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2.xml" ContentType="application/vnd.openxmlformats-officedocument.spreadsheetml.table+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evans\Desktop\COVID-19\"/>
    </mc:Choice>
  </mc:AlternateContent>
  <bookViews>
    <workbookView xWindow="0" yWindow="0" windowWidth="15345" windowHeight="4545" tabRatio="784" activeTab="2"/>
  </bookViews>
  <sheets>
    <sheet name="DISCLAIMER" sheetId="90" r:id="rId1"/>
    <sheet name="Tool Overview" sheetId="91" r:id="rId2"/>
    <sheet name="User Dashboard" sheetId="48" r:id="rId3"/>
    <sheet name="Case cluster output" sheetId="92" state="hidden" r:id="rId4"/>
    <sheet name="Equipment Needed by Setting" sheetId="46" r:id="rId5"/>
    <sheet name="SUMMARY TABS -&gt;" sheetId="30" r:id="rId6"/>
    <sheet name="Patient &amp; HCW Summary" sheetId="66" r:id="rId7"/>
    <sheet name="HCW &amp; Staff Summary" sheetId="62" r:id="rId8"/>
    <sheet name="Patient &amp; Case Type Summary" sheetId="47" r:id="rId9"/>
    <sheet name="ASSUMPTIONS -&gt;" sheetId="28" r:id="rId10"/>
    <sheet name="Patient &amp; Testing Assumptions" sheetId="42" r:id="rId11"/>
    <sheet name="Equipment Assumptions" sheetId="35" r:id="rId12"/>
    <sheet name="Staff &amp; Infra Assumptions" sheetId="63" r:id="rId13"/>
    <sheet name="Oxygen Use Assumptions" sheetId="72" r:id="rId14"/>
    <sheet name="PATIENT CALCS -&gt;" sheetId="65" r:id="rId15"/>
    <sheet name="Patient Calc Assumptions" sheetId="60" r:id="rId16"/>
    <sheet name="Automated Patient Calcs" sheetId="76" r:id="rId17"/>
    <sheet name="Manual Patient Calcs" sheetId="77" r:id="rId18"/>
    <sheet name="COMMODITY DETAILS -&gt;" sheetId="83" r:id="rId19"/>
    <sheet name="Patient Care Equip" sheetId="45" r:id="rId20"/>
    <sheet name="Required Drug Package" sheetId="82" r:id="rId21"/>
    <sheet name="Required Consumables Package" sheetId="81" r:id="rId22"/>
    <sheet name="REFERENCE DATA -&gt;" sheetId="31" r:id="rId23"/>
    <sheet name="HCW Summary Data" sheetId="84" r:id="rId24"/>
    <sheet name="WB Physician Data" sheetId="85" r:id="rId25"/>
    <sheet name="WHO Labs Data" sheetId="86" r:id="rId26"/>
    <sheet name="WB CHWs Data" sheetId="87" r:id="rId27"/>
    <sheet name="WB Nurses &amp; Midwives data" sheetId="88" r:id="rId28"/>
    <sheet name="Hospital Beds by Country" sheetId="75" r:id="rId29"/>
    <sheet name="Tabular Pop Data by Age" sheetId="50" r:id="rId30"/>
    <sheet name="Population Data by Age" sheetId="51" r:id="rId31"/>
    <sheet name="User options" sheetId="70" state="hidden" r:id="rId32"/>
  </sheets>
  <externalReferences>
    <externalReference r:id="rId33"/>
    <externalReference r:id="rId34"/>
    <externalReference r:id="rId35"/>
  </externalReferences>
  <definedNames>
    <definedName name="_xlnm._FilterDatabase" localSheetId="23" hidden="1">'HCW Summary Data'!$B$8:$Q$272</definedName>
    <definedName name="_xlnm._FilterDatabase" localSheetId="19" hidden="1">'Patient Care Equip'!$B$16:$F$74</definedName>
    <definedName name="_xlnm._FilterDatabase" localSheetId="21" hidden="1">'Required Consumables Package'!$B$11:$F$36</definedName>
    <definedName name="_xlnm._FilterDatabase" localSheetId="20" hidden="1">'Required Drug Package'!$B$11:$F$36</definedName>
    <definedName name="_xlnm._FilterDatabase" localSheetId="2" hidden="1">'User Dashboard'!$B$96:$F$122</definedName>
    <definedName name="_Key1" localSheetId="17" hidden="1">#REF!</definedName>
    <definedName name="_Key1" localSheetId="13" hidden="1">#REF!</definedName>
    <definedName name="_Key1" localSheetId="20" hidden="1">#REF!</definedName>
    <definedName name="_Key1" localSheetId="1" hidden="1">#REF!</definedName>
    <definedName name="_Key1" hidden="1">#REF!</definedName>
    <definedName name="_Order1" hidden="1">255</definedName>
    <definedName name="_Sort" localSheetId="17" hidden="1">#REF!</definedName>
    <definedName name="_Sort" localSheetId="13" hidden="1">#REF!</definedName>
    <definedName name="_Sort" localSheetId="20" hidden="1">#REF!</definedName>
    <definedName name="_Sort" localSheetId="1" hidden="1">#REF!</definedName>
    <definedName name="_Sort" hidden="1">#REF!</definedName>
    <definedName name="All_Outpatients_diagnosed">'Patient &amp; HCW Summary'!$BH$25</definedName>
    <definedName name="Ambulanciers_per_bed">'Staff &amp; Infra Assumptions'!$C$14</definedName>
    <definedName name="Attack_rate_modelled">'User Dashboard'!$F$20</definedName>
    <definedName name="AttackRate">'Patient Calc Assumptions'!$C$32</definedName>
    <definedName name="BedStay_Critical">'Patient &amp; Testing Assumptions'!$C$17</definedName>
    <definedName name="BedStay_Severe">'Patient &amp; Testing Assumptions'!$C$16</definedName>
    <definedName name="Caretaker_to_outpatient">'Patient &amp; Testing Assumptions'!$C$24</definedName>
    <definedName name="Caretakers_for_diagnosed_outpatients">'Patient &amp; HCW Summary'!$BH$26</definedName>
    <definedName name="Caretakers_per_bed">'Staff &amp; Infra Assumptions'!$C$13</definedName>
    <definedName name="CritcalCasePercentage">'Patient &amp; Testing Assumptions'!$C$13</definedName>
    <definedName name="Critical_patients_that_get_a_bed">'Patient &amp; HCW Summary'!$BF$17</definedName>
    <definedName name="CriticalCasePercentage">'Patient &amp; Testing Assumptions'!$C$13</definedName>
    <definedName name="Current_known_cases">'User Dashboard'!$F$17</definedName>
    <definedName name="Current_OutBreak_Week_Number">'User Dashboard'!#REF!</definedName>
    <definedName name="CutOffMaxTests">'Patient &amp; Testing Assumptions'!$C$29</definedName>
    <definedName name="DataDate">[1]OfDates!$B$2</definedName>
    <definedName name="DataWuenic">[1]OfDates!$B$4</definedName>
    <definedName name="DataYear">[1]OfDates!$B$6</definedName>
    <definedName name="DDL_Private">[2]drop_down_lists!$G$60:$G$63</definedName>
    <definedName name="DDL_yes_no_NR_ND">[2]drop_down_lists!$F$33:$F$36</definedName>
    <definedName name="Doubling_rate_modelled">'User Dashboard'!$F$19</definedName>
    <definedName name="DoublingTime_Best">#REF!</definedName>
    <definedName name="DoublingTime_Medium">#REF!</definedName>
    <definedName name="DoublingTime_Worst">#REF!</definedName>
    <definedName name="Equipment_usage_table">'Equipment Assumptions'!$D$14:$I$103</definedName>
    <definedName name="Fast_doubling_rate">'Patient Calc Assumptions'!$C$16</definedName>
    <definedName name="Filename">[3]drop_down_lists!$H$3</definedName>
    <definedName name="HCW_per_lab">'Staff &amp; Infra Assumptions'!$C$32</definedName>
    <definedName name="HCWs_per_bed">'Staff &amp; Infra Assumptions'!$C$11</definedName>
    <definedName name="Hygienists_per_bed">'Staff &amp; Infra Assumptions'!$C$12</definedName>
    <definedName name="Hygienists_per_lab">'Staff &amp; Infra Assumptions'!$C$33</definedName>
    <definedName name="Inpatient_PPE_usage">'Equipment Assumptions'!$D$14:$I$27</definedName>
    <definedName name="Inpatient_table">'Patient &amp; HCW Summary'!$D$12:$BD$21</definedName>
    <definedName name="Lab_table">'Patient &amp; HCW Summary'!$D$31:$BD$33</definedName>
    <definedName name="Max_critical_beds_for_period">'Patient &amp; Case Type Summary'!$BF$40</definedName>
    <definedName name="Max_critical_capped_beds">'Patient &amp; HCW Summary'!$BH$17</definedName>
    <definedName name="Max_HCW_for_outpatient">'Patient &amp; HCW Summary'!$BH$27</definedName>
    <definedName name="Max_hospitals_operating">'Patient &amp; HCW Summary'!$BH$22</definedName>
    <definedName name="Max_inpatient_ambulancier">'Patient &amp; HCW Summary'!$BH$21</definedName>
    <definedName name="Max_inpatient_beds">'Patient &amp; HCW Summary'!$BH$12</definedName>
    <definedName name="Max_inpatient_caretaker">'Patient &amp; HCW Summary'!$BH$20</definedName>
    <definedName name="Max_inpatient_HCWs">'Patient &amp; HCW Summary'!$BH$18</definedName>
    <definedName name="Max_inpatient_hygienist">'Patient &amp; HCW Summary'!$BH$19</definedName>
    <definedName name="Max_Lab_HCWs">'Patient &amp; HCW Summary'!$BH$32</definedName>
    <definedName name="Max_Lab_hygienists">'Patient &amp; HCW Summary'!$BH$33</definedName>
    <definedName name="Max_severe_beds_for_period">'Patient &amp; Case Type Summary'!$BF$39</definedName>
    <definedName name="Max_severe_capped_beds">'Patient &amp; HCW Summary'!$BH$16</definedName>
    <definedName name="Max_total_capped_beds">'Patient &amp; HCW Summary'!$BH$15</definedName>
    <definedName name="MaxTestsPerDay">'Patient &amp; Testing Assumptions'!$C$31</definedName>
    <definedName name="Medium_doubling_rate">'Patient Calc Assumptions'!$C$17</definedName>
    <definedName name="MildCasePercentage">'Patient &amp; Testing Assumptions'!$C$11</definedName>
    <definedName name="Multiplier_non_reusable">'Equipment Assumptions'!$C$107</definedName>
    <definedName name="Multiplier_reuseable">'Equipment Assumptions'!$C$106</definedName>
    <definedName name="NumberOfBeds_per_centre">'Staff &amp; Infra Assumptions'!$C$17</definedName>
    <definedName name="OLE_LINK1" localSheetId="0">DISCLAIMER!$B$6</definedName>
    <definedName name="Outpatient_Table">'Patient &amp; HCW Summary'!$D$25:$BD$27</definedName>
    <definedName name="Output_beds_in_country">'Staff &amp; Infra Assumptions'!$J$21</definedName>
    <definedName name="SearchItem_EUT">'Equipment Assumptions'!$C$14:$C$103</definedName>
    <definedName name="SearchUser_EUT">'Equipment Assumptions'!$D$11:$I$11</definedName>
    <definedName name="SearchUser_IUT">'Equipment Assumptions'!$D$11:$I$11</definedName>
    <definedName name="SelfQuarantine_Mild">'Patient &amp; Testing Assumptions'!$C$22</definedName>
    <definedName name="Severe_patients_that_get_a_bed">'Patient &amp; HCW Summary'!$BF$16</definedName>
    <definedName name="SevereCasePercentage">'Patient &amp; Testing Assumptions'!$C$12</definedName>
    <definedName name="Slow_doubling_rate">'Patient Calc Assumptions'!$C$18</definedName>
    <definedName name="Start_week_for_forecasting">'Patient Calc Assumptions'!$C$47</definedName>
    <definedName name="SuspectedCaseMultiplier">'Patient &amp; Testing Assumptions'!$C$27</definedName>
    <definedName name="TestingRate">'Patient &amp; Testing Assumptions'!$C$33</definedName>
    <definedName name="TestingStrategy">'User Dashboard'!$F$21</definedName>
    <definedName name="Tests_MildOrSuspected">'Patient &amp; Testing Assumptions'!$C$37</definedName>
    <definedName name="Tests_per_day_per_lab">'Staff &amp; Infra Assumptions'!$C$31</definedName>
    <definedName name="Tests_per_HCW">'Staff &amp; Infra Assumptions'!$C$25</definedName>
    <definedName name="Tests_SevereOrCritical">'Patient &amp; Testing Assumptions'!$C$35</definedName>
    <definedName name="Total_admitted_capped_critical_patients">'Patient &amp; Case Type Summary'!$BH$28</definedName>
    <definedName name="Total_admitted_capped_severe_patients">'Patient &amp; Case Type Summary'!$BH$27</definedName>
    <definedName name="Total_caretaker">'Patient &amp; HCW Summary'!$BF$26</definedName>
    <definedName name="Total_caretaker_for_outpatient">'Patient &amp; HCW Summary'!$BF$26</definedName>
    <definedName name="Total_critical_cases_for_period">'Patient &amp; Case Type Summary'!$BF$25</definedName>
    <definedName name="Total_HCW_for_outpatient">'Patient &amp; HCW Summary'!$BF$27</definedName>
    <definedName name="Total_HCW_labs">'Patient &amp; HCW Summary'!$BF$32</definedName>
    <definedName name="Total_hospitals_operating_per_week">'Patient &amp; HCW Summary'!$BF$22</definedName>
    <definedName name="Total_hygienist_labs">'Patient &amp; HCW Summary'!$BF$33</definedName>
    <definedName name="Total_inpatient_ambulancier">'Patient &amp; HCW Summary'!$BF$21</definedName>
    <definedName name="Total_Inpatient_caretaker">'Patient &amp; HCW Summary'!$BF$20</definedName>
    <definedName name="Total_Inpatient_days">'Patient &amp; HCW Summary'!$BF$12</definedName>
    <definedName name="Total_inpatient_HCW">'Patient &amp; HCW Summary'!$BF$18</definedName>
    <definedName name="Total_inpatient_Hygienist">'Patient &amp; HCW Summary'!$BF$19</definedName>
    <definedName name="Total_mild_cases_for_period">'Patient &amp; Case Type Summary'!$BF$23</definedName>
    <definedName name="Total_new_cases_for_period">'Patient &amp; Case Type Summary'!$BF$22</definedName>
    <definedName name="Total_Outpatient">'Patient &amp; HCW Summary'!$BF$25</definedName>
    <definedName name="Total_severe_cases_for_period">'Patient &amp; Case Type Summary'!$BF$24</definedName>
    <definedName name="Total_tests_conducted">'Patient &amp; HCW Summary'!$BF$31</definedName>
    <definedName name="Total_tests_if_decreased_rate">'Patient &amp; Case Type Summary'!$BF$58</definedName>
    <definedName name="Total_tests_if_everyone">'Patient &amp; Case Type Summary'!$BF$53</definedName>
    <definedName name="Usys_Xprt_IndicatorTextT">#REF!</definedName>
    <definedName name="WeekSuppliedUntil">'Patient Calc Assumptions'!$C$48</definedName>
    <definedName name="zCountryProfile_ScheduleT_2003">#REF!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12" i="48" l="1"/>
  <c r="I111" i="48"/>
  <c r="I110" i="48"/>
  <c r="I109" i="48"/>
  <c r="G18" i="48" l="1"/>
  <c r="G120" i="48" l="1"/>
  <c r="H29" i="48" l="1"/>
  <c r="D35" i="48" l="1"/>
  <c r="BQ6" i="75"/>
  <c r="BQ7" i="75"/>
  <c r="BQ8" i="75"/>
  <c r="BQ9"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Q48" i="75"/>
  <c r="BQ49" i="75"/>
  <c r="BQ50" i="75"/>
  <c r="BQ51" i="75"/>
  <c r="BQ52" i="75"/>
  <c r="BQ53" i="75"/>
  <c r="BQ54" i="75"/>
  <c r="BQ55" i="75"/>
  <c r="BQ56" i="75"/>
  <c r="BQ57" i="75"/>
  <c r="BQ58" i="75"/>
  <c r="BQ59" i="75"/>
  <c r="BQ60" i="75"/>
  <c r="BQ61" i="75"/>
  <c r="BQ62" i="75"/>
  <c r="BQ63" i="75"/>
  <c r="BQ64" i="75"/>
  <c r="BQ65" i="75"/>
  <c r="BQ66" i="75"/>
  <c r="BQ67" i="75"/>
  <c r="BQ68" i="75"/>
  <c r="BQ69" i="75"/>
  <c r="BQ70" i="75"/>
  <c r="BQ71" i="75"/>
  <c r="BQ72" i="75"/>
  <c r="BQ73" i="75"/>
  <c r="BQ74" i="75"/>
  <c r="BQ75" i="75"/>
  <c r="BQ76" i="75"/>
  <c r="BQ77" i="75"/>
  <c r="BQ78" i="75"/>
  <c r="BQ79" i="75"/>
  <c r="BQ80" i="75"/>
  <c r="BQ81" i="75"/>
  <c r="BQ82" i="75"/>
  <c r="BQ83" i="75"/>
  <c r="BQ84" i="75"/>
  <c r="BQ85" i="75"/>
  <c r="BQ86" i="75"/>
  <c r="BQ87" i="75"/>
  <c r="BQ88" i="75"/>
  <c r="BQ89" i="75"/>
  <c r="BQ90" i="75"/>
  <c r="BQ91" i="75"/>
  <c r="BQ92" i="75"/>
  <c r="BQ93" i="75"/>
  <c r="BQ94" i="75"/>
  <c r="BQ95" i="75"/>
  <c r="BQ96" i="75"/>
  <c r="BQ97" i="75"/>
  <c r="BQ98" i="75"/>
  <c r="BQ99" i="75"/>
  <c r="BQ100" i="75"/>
  <c r="BQ101" i="75"/>
  <c r="BQ102" i="75"/>
  <c r="BQ103" i="75"/>
  <c r="BQ104" i="75"/>
  <c r="BQ105" i="75"/>
  <c r="BQ106" i="75"/>
  <c r="BQ107" i="75"/>
  <c r="BQ108" i="75"/>
  <c r="BQ109" i="75"/>
  <c r="BQ110" i="75"/>
  <c r="BQ111" i="75"/>
  <c r="BQ112" i="75"/>
  <c r="BQ113" i="75"/>
  <c r="BQ114" i="75"/>
  <c r="BQ115" i="75"/>
  <c r="BQ116" i="75"/>
  <c r="BQ117" i="75"/>
  <c r="BQ118" i="75"/>
  <c r="BQ119" i="75"/>
  <c r="BQ120" i="75"/>
  <c r="BQ121" i="75"/>
  <c r="BQ122" i="75"/>
  <c r="BQ123" i="75"/>
  <c r="BQ124" i="75"/>
  <c r="BQ125" i="75"/>
  <c r="BQ126" i="75"/>
  <c r="BQ127" i="75"/>
  <c r="BQ128" i="75"/>
  <c r="BQ129" i="75"/>
  <c r="BQ130" i="75"/>
  <c r="BQ131" i="75"/>
  <c r="BQ132" i="75"/>
  <c r="BQ133" i="75"/>
  <c r="BQ134" i="75"/>
  <c r="BQ135" i="75"/>
  <c r="BQ136" i="75"/>
  <c r="BQ137" i="75"/>
  <c r="BQ138" i="75"/>
  <c r="BQ139" i="75"/>
  <c r="BQ140" i="75"/>
  <c r="BQ141" i="75"/>
  <c r="BQ142" i="75"/>
  <c r="BQ143" i="75"/>
  <c r="BQ144" i="75"/>
  <c r="BQ145" i="75"/>
  <c r="BQ146" i="75"/>
  <c r="BQ147" i="75"/>
  <c r="BQ148" i="75"/>
  <c r="BQ149" i="75"/>
  <c r="BQ150" i="75"/>
  <c r="BQ151" i="75"/>
  <c r="BQ152" i="75"/>
  <c r="BQ153" i="75"/>
  <c r="BQ154" i="75"/>
  <c r="BQ155" i="75"/>
  <c r="BQ156" i="75"/>
  <c r="BQ157" i="75"/>
  <c r="BQ158" i="75"/>
  <c r="BQ159" i="75"/>
  <c r="BQ160" i="75"/>
  <c r="BQ161" i="75"/>
  <c r="BQ162" i="75"/>
  <c r="BQ163" i="75"/>
  <c r="BQ164" i="75"/>
  <c r="BQ165" i="75"/>
  <c r="BQ166" i="75"/>
  <c r="BQ167" i="75"/>
  <c r="BQ168" i="75"/>
  <c r="BQ169" i="75"/>
  <c r="BQ170" i="75"/>
  <c r="BQ171" i="75"/>
  <c r="BQ172" i="75"/>
  <c r="BQ173" i="75"/>
  <c r="BQ174" i="75"/>
  <c r="BQ175" i="75"/>
  <c r="BQ176" i="75"/>
  <c r="BQ177" i="75"/>
  <c r="BQ178" i="75"/>
  <c r="BQ179" i="75"/>
  <c r="BQ180" i="75"/>
  <c r="BQ181" i="75"/>
  <c r="BQ182" i="75"/>
  <c r="BQ183" i="75"/>
  <c r="BQ184" i="75"/>
  <c r="BQ185" i="75"/>
  <c r="BQ186" i="75"/>
  <c r="BQ187" i="75"/>
  <c r="BQ188" i="75"/>
  <c r="BQ189" i="75"/>
  <c r="BQ190" i="75"/>
  <c r="BQ191" i="75"/>
  <c r="BQ192" i="75"/>
  <c r="BQ193" i="75"/>
  <c r="BQ194" i="75"/>
  <c r="BQ195" i="75"/>
  <c r="BQ196" i="75"/>
  <c r="BQ197" i="75"/>
  <c r="BQ198" i="75"/>
  <c r="BQ199" i="75"/>
  <c r="BQ200" i="75"/>
  <c r="BQ201" i="75"/>
  <c r="BQ202" i="75"/>
  <c r="BQ203" i="75"/>
  <c r="BQ204" i="75"/>
  <c r="BQ205" i="75"/>
  <c r="BQ206" i="75"/>
  <c r="BQ207" i="75"/>
  <c r="BQ208" i="75"/>
  <c r="BQ209" i="75"/>
  <c r="BQ210" i="75"/>
  <c r="BQ211" i="75"/>
  <c r="BQ212" i="75"/>
  <c r="BQ213" i="75"/>
  <c r="BQ214" i="75"/>
  <c r="BQ215" i="75"/>
  <c r="BQ216" i="75"/>
  <c r="BQ217" i="75"/>
  <c r="BQ218" i="75"/>
  <c r="BQ219" i="75"/>
  <c r="BQ220" i="75"/>
  <c r="BQ221" i="75"/>
  <c r="BQ222" i="75"/>
  <c r="BQ223" i="75"/>
  <c r="BQ224" i="75"/>
  <c r="BQ225" i="75"/>
  <c r="BQ226" i="75"/>
  <c r="BQ227" i="75"/>
  <c r="BQ228" i="75"/>
  <c r="BQ229" i="75"/>
  <c r="BQ230" i="75"/>
  <c r="BQ231" i="75"/>
  <c r="BQ232" i="75"/>
  <c r="BQ233" i="75"/>
  <c r="BQ234" i="75"/>
  <c r="BQ235" i="75"/>
  <c r="BQ236" i="75"/>
  <c r="BQ237" i="75"/>
  <c r="BQ238" i="75"/>
  <c r="BQ239" i="75"/>
  <c r="BQ240" i="75"/>
  <c r="BQ241" i="75"/>
  <c r="BQ242" i="75"/>
  <c r="BQ243" i="75"/>
  <c r="BQ244" i="75"/>
  <c r="BQ245" i="75"/>
  <c r="BQ246" i="75"/>
  <c r="BQ247" i="75"/>
  <c r="BQ248" i="75"/>
  <c r="BQ249" i="75"/>
  <c r="BQ250" i="75"/>
  <c r="BQ251" i="75"/>
  <c r="BQ252" i="75"/>
  <c r="BQ253" i="75"/>
  <c r="BQ254" i="75"/>
  <c r="BQ255" i="75"/>
  <c r="BQ256" i="75"/>
  <c r="BQ257" i="75"/>
  <c r="BQ258" i="75"/>
  <c r="BQ259" i="75"/>
  <c r="BQ260" i="75"/>
  <c r="BQ261" i="75"/>
  <c r="BQ262" i="75"/>
  <c r="BQ263" i="75"/>
  <c r="BQ264" i="75"/>
  <c r="BQ265" i="75"/>
  <c r="BQ266" i="75"/>
  <c r="BQ267" i="75"/>
  <c r="BQ268" i="75"/>
  <c r="BQ5" i="75"/>
  <c r="BV16" i="75"/>
  <c r="BO6" i="75"/>
  <c r="BO7" i="75"/>
  <c r="BO8" i="75"/>
  <c r="BO9"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O48" i="75"/>
  <c r="BO49" i="75"/>
  <c r="BO50" i="75"/>
  <c r="BO51" i="75"/>
  <c r="BO52" i="75"/>
  <c r="BO53" i="75"/>
  <c r="BO54" i="75"/>
  <c r="BO55" i="75"/>
  <c r="BO56" i="75"/>
  <c r="BO57" i="75"/>
  <c r="BO58" i="75"/>
  <c r="BO59" i="75"/>
  <c r="BO60" i="75"/>
  <c r="BO61" i="75"/>
  <c r="BO62" i="75"/>
  <c r="BO63" i="75"/>
  <c r="BO64" i="75"/>
  <c r="BO65" i="75"/>
  <c r="BO66" i="75"/>
  <c r="BO67" i="75"/>
  <c r="BO68" i="75"/>
  <c r="BO69" i="75"/>
  <c r="BO70" i="75"/>
  <c r="BO71" i="75"/>
  <c r="BO72" i="75"/>
  <c r="BO73" i="75"/>
  <c r="BO74" i="75"/>
  <c r="BO75" i="75"/>
  <c r="BO76" i="75"/>
  <c r="BO77" i="75"/>
  <c r="BO78" i="75"/>
  <c r="BO79" i="75"/>
  <c r="BO80" i="75"/>
  <c r="BO81" i="75"/>
  <c r="BO82" i="75"/>
  <c r="BO83" i="75"/>
  <c r="BO84" i="75"/>
  <c r="BO85" i="75"/>
  <c r="BO86" i="75"/>
  <c r="BO87" i="75"/>
  <c r="BO88" i="75"/>
  <c r="BO89" i="75"/>
  <c r="BO90" i="75"/>
  <c r="BO91" i="75"/>
  <c r="BO92" i="75"/>
  <c r="BO93" i="75"/>
  <c r="BO94" i="75"/>
  <c r="BO95" i="75"/>
  <c r="BO96" i="75"/>
  <c r="BO97" i="75"/>
  <c r="BO98" i="75"/>
  <c r="BO99" i="75"/>
  <c r="BO100" i="75"/>
  <c r="BO101" i="75"/>
  <c r="BO102" i="75"/>
  <c r="BO103" i="75"/>
  <c r="BO104" i="75"/>
  <c r="BO105" i="75"/>
  <c r="BO106" i="75"/>
  <c r="BO107" i="75"/>
  <c r="BO108" i="75"/>
  <c r="BO109" i="75"/>
  <c r="BO110" i="75"/>
  <c r="BO111" i="75"/>
  <c r="BO112" i="75"/>
  <c r="BO113" i="75"/>
  <c r="BO114" i="75"/>
  <c r="BO115" i="75"/>
  <c r="BO116" i="75"/>
  <c r="BO117" i="75"/>
  <c r="BO118" i="75"/>
  <c r="BO119" i="75"/>
  <c r="BO120" i="75"/>
  <c r="BO121" i="75"/>
  <c r="BO122" i="75"/>
  <c r="BO123" i="75"/>
  <c r="BO124" i="75"/>
  <c r="BO125" i="75"/>
  <c r="BO126" i="75"/>
  <c r="BO127" i="75"/>
  <c r="BO128" i="75"/>
  <c r="BO129" i="75"/>
  <c r="BO130" i="75"/>
  <c r="BO131" i="75"/>
  <c r="BO132" i="75"/>
  <c r="BO133" i="75"/>
  <c r="BO134" i="75"/>
  <c r="BO135" i="75"/>
  <c r="BO136" i="75"/>
  <c r="BO137" i="75"/>
  <c r="BO138" i="75"/>
  <c r="BO139" i="75"/>
  <c r="BO140" i="75"/>
  <c r="BO141" i="75"/>
  <c r="BO142" i="75"/>
  <c r="BO143" i="75"/>
  <c r="BO144" i="75"/>
  <c r="BO145" i="75"/>
  <c r="BO146" i="75"/>
  <c r="BO147" i="75"/>
  <c r="BO148" i="75"/>
  <c r="BO149" i="75"/>
  <c r="BO150" i="75"/>
  <c r="BO151" i="75"/>
  <c r="BO152" i="75"/>
  <c r="BO153" i="75"/>
  <c r="BO154" i="75"/>
  <c r="BO155" i="75"/>
  <c r="BO156" i="75"/>
  <c r="BO157" i="75"/>
  <c r="BO158" i="75"/>
  <c r="BO159" i="75"/>
  <c r="BO160" i="75"/>
  <c r="BO161" i="75"/>
  <c r="BO162" i="75"/>
  <c r="BO163" i="75"/>
  <c r="BO164" i="75"/>
  <c r="BO165" i="75"/>
  <c r="BO166" i="75"/>
  <c r="BO167" i="75"/>
  <c r="BO168" i="75"/>
  <c r="BO169" i="75"/>
  <c r="BO170" i="75"/>
  <c r="BO171" i="75"/>
  <c r="BO172" i="75"/>
  <c r="BO173" i="75"/>
  <c r="BO174" i="75"/>
  <c r="BO175" i="75"/>
  <c r="BO176" i="75"/>
  <c r="BO177" i="75"/>
  <c r="BO178" i="75"/>
  <c r="BO179" i="75"/>
  <c r="BO180" i="75"/>
  <c r="BO181" i="75"/>
  <c r="BO182" i="75"/>
  <c r="BO183" i="75"/>
  <c r="BO184" i="75"/>
  <c r="BO185" i="75"/>
  <c r="BO186" i="75"/>
  <c r="BO187" i="75"/>
  <c r="BO188" i="75"/>
  <c r="BO189" i="75"/>
  <c r="BO190" i="75"/>
  <c r="BO191" i="75"/>
  <c r="BO192" i="75"/>
  <c r="BO193" i="75"/>
  <c r="BO194" i="75"/>
  <c r="BO195" i="75"/>
  <c r="BO196" i="75"/>
  <c r="BO197" i="75"/>
  <c r="BO198" i="75"/>
  <c r="BO199" i="75"/>
  <c r="BO200" i="75"/>
  <c r="BO201" i="75"/>
  <c r="BO202" i="75"/>
  <c r="BO203" i="75"/>
  <c r="BO204" i="75"/>
  <c r="BO205" i="75"/>
  <c r="BO206" i="75"/>
  <c r="BO207" i="75"/>
  <c r="BO208" i="75"/>
  <c r="BO209" i="75"/>
  <c r="BO210" i="75"/>
  <c r="BO211" i="75"/>
  <c r="BO212" i="75"/>
  <c r="BO213" i="75"/>
  <c r="BO214" i="75"/>
  <c r="BO215" i="75"/>
  <c r="BO216" i="75"/>
  <c r="BO217" i="75"/>
  <c r="BO218" i="75"/>
  <c r="BO219" i="75"/>
  <c r="BO220" i="75"/>
  <c r="BO221" i="75"/>
  <c r="BO222" i="75"/>
  <c r="BO223" i="75"/>
  <c r="BO224" i="75"/>
  <c r="BO225" i="75"/>
  <c r="BO226" i="75"/>
  <c r="BO227" i="75"/>
  <c r="BO228" i="75"/>
  <c r="BO229" i="75"/>
  <c r="BO230" i="75"/>
  <c r="BO231" i="75"/>
  <c r="BO232" i="75"/>
  <c r="BO233" i="75"/>
  <c r="BO234" i="75"/>
  <c r="BO235" i="75"/>
  <c r="BO236" i="75"/>
  <c r="BO237" i="75"/>
  <c r="BO238" i="75"/>
  <c r="BO239" i="75"/>
  <c r="BO240" i="75"/>
  <c r="BO241" i="75"/>
  <c r="BO242" i="75"/>
  <c r="BO243" i="75"/>
  <c r="BO244" i="75"/>
  <c r="BO245" i="75"/>
  <c r="BO246" i="75"/>
  <c r="BO247" i="75"/>
  <c r="BO248" i="75"/>
  <c r="BO249" i="75"/>
  <c r="BO250" i="75"/>
  <c r="BO251" i="75"/>
  <c r="BO252" i="75"/>
  <c r="BO253" i="75"/>
  <c r="BO254" i="75"/>
  <c r="BO255" i="75"/>
  <c r="BO256" i="75"/>
  <c r="BO257" i="75"/>
  <c r="BO258" i="75"/>
  <c r="BO259" i="75"/>
  <c r="BO260" i="75"/>
  <c r="BO261" i="75"/>
  <c r="BO262" i="75"/>
  <c r="BO263" i="75"/>
  <c r="BO264" i="75"/>
  <c r="BO265" i="75"/>
  <c r="BO266" i="75"/>
  <c r="BO267" i="75"/>
  <c r="BO268" i="75"/>
  <c r="BO5" i="75"/>
  <c r="BP6" i="75"/>
  <c r="BP7" i="75"/>
  <c r="BP8" i="75"/>
  <c r="BP9"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P48" i="75"/>
  <c r="BP49" i="75"/>
  <c r="BP50" i="75"/>
  <c r="BP51" i="75"/>
  <c r="BP52" i="75"/>
  <c r="BP53" i="75"/>
  <c r="BP54" i="75"/>
  <c r="BP55" i="75"/>
  <c r="BP56" i="75"/>
  <c r="BP57" i="75"/>
  <c r="BP58" i="75"/>
  <c r="BP59" i="75"/>
  <c r="BP60" i="75"/>
  <c r="BP61" i="75"/>
  <c r="BP62" i="75"/>
  <c r="BP63" i="75"/>
  <c r="BP64" i="75"/>
  <c r="BP65" i="75"/>
  <c r="BP66" i="75"/>
  <c r="BP67" i="75"/>
  <c r="BP68" i="75"/>
  <c r="BP69" i="75"/>
  <c r="BP70" i="75"/>
  <c r="BP71" i="75"/>
  <c r="BP72" i="75"/>
  <c r="BP73" i="75"/>
  <c r="BP74" i="75"/>
  <c r="BP75" i="75"/>
  <c r="BP76" i="75"/>
  <c r="BP77" i="75"/>
  <c r="BP78" i="75"/>
  <c r="BP79" i="75"/>
  <c r="BP80" i="75"/>
  <c r="BP81" i="75"/>
  <c r="BP82" i="75"/>
  <c r="BP83" i="75"/>
  <c r="BP84" i="75"/>
  <c r="BP85" i="75"/>
  <c r="BP86" i="75"/>
  <c r="BP87" i="75"/>
  <c r="BP88" i="75"/>
  <c r="BP89" i="75"/>
  <c r="BP90" i="75"/>
  <c r="BP91" i="75"/>
  <c r="BP92" i="75"/>
  <c r="BP93" i="75"/>
  <c r="BP94" i="75"/>
  <c r="BP95" i="75"/>
  <c r="BP96" i="75"/>
  <c r="BP97" i="75"/>
  <c r="BP98" i="75"/>
  <c r="BP99" i="75"/>
  <c r="BP100" i="75"/>
  <c r="BP101" i="75"/>
  <c r="BP102" i="75"/>
  <c r="BP103" i="75"/>
  <c r="BP104" i="75"/>
  <c r="BP105" i="75"/>
  <c r="BP106" i="75"/>
  <c r="BP107" i="75"/>
  <c r="BP108" i="75"/>
  <c r="BP109" i="75"/>
  <c r="BP110" i="75"/>
  <c r="BP111" i="75"/>
  <c r="BP112" i="75"/>
  <c r="BP113" i="75"/>
  <c r="BP114" i="75"/>
  <c r="BP115" i="75"/>
  <c r="BP116" i="75"/>
  <c r="BP117" i="75"/>
  <c r="BP118" i="75"/>
  <c r="BP119" i="75"/>
  <c r="BP120" i="75"/>
  <c r="BP121" i="75"/>
  <c r="BP122" i="75"/>
  <c r="BP123" i="75"/>
  <c r="BP124" i="75"/>
  <c r="BP125" i="75"/>
  <c r="BP126" i="75"/>
  <c r="BP127" i="75"/>
  <c r="BP128" i="75"/>
  <c r="BP129" i="75"/>
  <c r="BP130" i="75"/>
  <c r="BP131" i="75"/>
  <c r="BP132" i="75"/>
  <c r="BP133" i="75"/>
  <c r="BP134" i="75"/>
  <c r="BP135" i="75"/>
  <c r="BP136" i="75"/>
  <c r="BP137" i="75"/>
  <c r="BP138" i="75"/>
  <c r="BP139" i="75"/>
  <c r="BP140" i="75"/>
  <c r="BP141" i="75"/>
  <c r="BP142" i="75"/>
  <c r="BP143" i="75"/>
  <c r="BP144" i="75"/>
  <c r="BP145" i="75"/>
  <c r="BP146" i="75"/>
  <c r="BP147" i="75"/>
  <c r="BP148" i="75"/>
  <c r="BP149" i="75"/>
  <c r="BP150" i="75"/>
  <c r="BP151" i="75"/>
  <c r="BP152" i="75"/>
  <c r="BP153" i="75"/>
  <c r="BP154" i="75"/>
  <c r="BP155" i="75"/>
  <c r="BP156" i="75"/>
  <c r="BP157" i="75"/>
  <c r="BP158" i="75"/>
  <c r="BP159" i="75"/>
  <c r="BP160" i="75"/>
  <c r="BP161" i="75"/>
  <c r="BP162" i="75"/>
  <c r="BP163" i="75"/>
  <c r="BP164" i="75"/>
  <c r="BP165" i="75"/>
  <c r="BP166" i="75"/>
  <c r="BP167" i="75"/>
  <c r="BP168" i="75"/>
  <c r="BP169" i="75"/>
  <c r="BP170" i="75"/>
  <c r="BP171" i="75"/>
  <c r="BP172" i="75"/>
  <c r="BP173" i="75"/>
  <c r="BP174" i="75"/>
  <c r="BP175" i="75"/>
  <c r="BP176" i="75"/>
  <c r="BP177" i="75"/>
  <c r="BP178" i="75"/>
  <c r="BP179" i="75"/>
  <c r="BP180" i="75"/>
  <c r="BP181" i="75"/>
  <c r="BP182" i="75"/>
  <c r="BP183" i="75"/>
  <c r="BP184" i="75"/>
  <c r="BP185" i="75"/>
  <c r="BP186" i="75"/>
  <c r="BP187" i="75"/>
  <c r="BP188" i="75"/>
  <c r="BP189" i="75"/>
  <c r="BP190" i="75"/>
  <c r="BP191" i="75"/>
  <c r="BP192" i="75"/>
  <c r="BP193" i="75"/>
  <c r="BP194" i="75"/>
  <c r="BP195" i="75"/>
  <c r="BP196" i="75"/>
  <c r="BP197" i="75"/>
  <c r="BP198" i="75"/>
  <c r="BP199" i="75"/>
  <c r="BP200" i="75"/>
  <c r="BP201" i="75"/>
  <c r="BP202" i="75"/>
  <c r="BP203" i="75"/>
  <c r="BP204" i="75"/>
  <c r="BP205" i="75"/>
  <c r="BP206" i="75"/>
  <c r="BP207" i="75"/>
  <c r="BP208" i="75"/>
  <c r="BP209" i="75"/>
  <c r="BP210" i="75"/>
  <c r="BP211" i="75"/>
  <c r="BP212" i="75"/>
  <c r="BP213" i="75"/>
  <c r="BP214" i="75"/>
  <c r="BP215" i="75"/>
  <c r="BP216" i="75"/>
  <c r="BP217" i="75"/>
  <c r="BP218" i="75"/>
  <c r="BP219" i="75"/>
  <c r="BP220" i="75"/>
  <c r="BP221" i="75"/>
  <c r="BP222" i="75"/>
  <c r="BP223" i="75"/>
  <c r="BP224" i="75"/>
  <c r="BP225" i="75"/>
  <c r="BP226" i="75"/>
  <c r="BP227" i="75"/>
  <c r="BP228" i="75"/>
  <c r="BP229" i="75"/>
  <c r="BP230" i="75"/>
  <c r="BP231" i="75"/>
  <c r="BP232" i="75"/>
  <c r="BP233" i="75"/>
  <c r="BP234" i="75"/>
  <c r="BP235" i="75"/>
  <c r="BP236" i="75"/>
  <c r="BP237" i="75"/>
  <c r="BP238" i="75"/>
  <c r="BP239" i="75"/>
  <c r="BP240" i="75"/>
  <c r="BP241" i="75"/>
  <c r="BP242" i="75"/>
  <c r="BP243" i="75"/>
  <c r="BP244" i="75"/>
  <c r="BP245" i="75"/>
  <c r="BP246" i="75"/>
  <c r="BP247" i="75"/>
  <c r="BP248" i="75"/>
  <c r="BP249" i="75"/>
  <c r="BP250" i="75"/>
  <c r="BP251" i="75"/>
  <c r="BP252" i="75"/>
  <c r="BP253" i="75"/>
  <c r="BP254" i="75"/>
  <c r="BP255" i="75"/>
  <c r="BP256" i="75"/>
  <c r="BP257" i="75"/>
  <c r="BP258" i="75"/>
  <c r="BP259" i="75"/>
  <c r="BP260" i="75"/>
  <c r="BP261" i="75"/>
  <c r="BP262" i="75"/>
  <c r="BP263" i="75"/>
  <c r="BP264" i="75"/>
  <c r="BP265" i="75"/>
  <c r="BP266" i="75"/>
  <c r="BP267" i="75"/>
  <c r="BP268" i="75"/>
  <c r="BP5" i="75"/>
  <c r="F73" i="48"/>
  <c r="C25" i="60" l="1"/>
  <c r="C24" i="60"/>
  <c r="C23" i="60"/>
  <c r="C22" i="60"/>
  <c r="I33" i="92" l="1"/>
  <c r="O6" i="92"/>
  <c r="O7" i="92"/>
  <c r="O8" i="92"/>
  <c r="O9" i="92"/>
  <c r="O10" i="92"/>
  <c r="O11" i="92"/>
  <c r="O12" i="92"/>
  <c r="O13" i="92"/>
  <c r="O14" i="92"/>
  <c r="O15" i="92"/>
  <c r="O16" i="92"/>
  <c r="O17" i="92"/>
  <c r="O18" i="92"/>
  <c r="O19" i="92"/>
  <c r="O20" i="92"/>
  <c r="O21" i="92"/>
  <c r="O22" i="92"/>
  <c r="O23" i="92"/>
  <c r="O24" i="92"/>
  <c r="O25" i="92"/>
  <c r="O26" i="92"/>
  <c r="O27" i="92"/>
  <c r="O28" i="92"/>
  <c r="O29" i="92"/>
  <c r="O30" i="92"/>
  <c r="O31" i="92"/>
  <c r="O32" i="92"/>
  <c r="O33" i="92"/>
  <c r="O34" i="92"/>
  <c r="O35" i="92"/>
  <c r="O36" i="92"/>
  <c r="O37" i="92"/>
  <c r="O38" i="92"/>
  <c r="O39" i="92"/>
  <c r="O40" i="92"/>
  <c r="O41" i="92"/>
  <c r="O42" i="92"/>
  <c r="O43" i="92"/>
  <c r="O44" i="92"/>
  <c r="O45" i="92"/>
  <c r="O46" i="92"/>
  <c r="O47" i="92"/>
  <c r="O48" i="92"/>
  <c r="O49" i="92"/>
  <c r="O50" i="92"/>
  <c r="O51" i="92"/>
  <c r="O52" i="92"/>
  <c r="O53" i="92"/>
  <c r="O54" i="92"/>
  <c r="O55" i="92"/>
  <c r="O56" i="92"/>
  <c r="O57" i="92"/>
  <c r="O58" i="92"/>
  <c r="O59" i="92"/>
  <c r="O60" i="92"/>
  <c r="O61" i="92"/>
  <c r="O62" i="92"/>
  <c r="O63" i="92"/>
  <c r="O64" i="92"/>
  <c r="O65" i="92"/>
  <c r="O66" i="92"/>
  <c r="O67" i="92"/>
  <c r="O68" i="92"/>
  <c r="O69" i="92"/>
  <c r="O70" i="92"/>
  <c r="O71" i="92"/>
  <c r="O72" i="92"/>
  <c r="O73" i="92"/>
  <c r="O74" i="92"/>
  <c r="O75" i="92"/>
  <c r="O76" i="92"/>
  <c r="O77" i="92"/>
  <c r="O78" i="92"/>
  <c r="O79" i="92"/>
  <c r="O5" i="92"/>
  <c r="M6" i="92"/>
  <c r="M7" i="92"/>
  <c r="M8" i="92"/>
  <c r="M9" i="92"/>
  <c r="M10" i="92"/>
  <c r="M11" i="92"/>
  <c r="M12" i="92"/>
  <c r="M13" i="92"/>
  <c r="M14" i="92"/>
  <c r="M15" i="92"/>
  <c r="M16" i="92"/>
  <c r="M17" i="92"/>
  <c r="M18" i="92"/>
  <c r="M19" i="92"/>
  <c r="M20" i="92"/>
  <c r="M21" i="92"/>
  <c r="M22" i="92"/>
  <c r="M23" i="92"/>
  <c r="M24" i="92"/>
  <c r="M25" i="92"/>
  <c r="M26" i="92"/>
  <c r="M27" i="92"/>
  <c r="M28" i="92"/>
  <c r="M29" i="92"/>
  <c r="M30" i="92"/>
  <c r="M31" i="92"/>
  <c r="M32" i="92"/>
  <c r="M33" i="92"/>
  <c r="M34" i="92"/>
  <c r="M35" i="92"/>
  <c r="M36" i="92"/>
  <c r="M37" i="92"/>
  <c r="M38" i="92"/>
  <c r="M39" i="92"/>
  <c r="M40" i="92"/>
  <c r="M41" i="92"/>
  <c r="M42" i="92"/>
  <c r="M43" i="92"/>
  <c r="M44" i="92"/>
  <c r="M45" i="92"/>
  <c r="M46" i="92"/>
  <c r="M47" i="92"/>
  <c r="M48" i="92"/>
  <c r="M49" i="92"/>
  <c r="M50" i="92"/>
  <c r="M51" i="92"/>
  <c r="M52" i="92"/>
  <c r="M53" i="92"/>
  <c r="M54" i="92"/>
  <c r="M55" i="92"/>
  <c r="M56" i="92"/>
  <c r="M57" i="92"/>
  <c r="M58" i="92"/>
  <c r="M59" i="92"/>
  <c r="M60" i="92"/>
  <c r="M61" i="92"/>
  <c r="M62" i="92"/>
  <c r="M63" i="92"/>
  <c r="M64" i="92"/>
  <c r="M65" i="92"/>
  <c r="M66" i="92"/>
  <c r="M67" i="92"/>
  <c r="M68" i="92"/>
  <c r="M69" i="92"/>
  <c r="M70" i="92"/>
  <c r="M71" i="92"/>
  <c r="M72" i="92"/>
  <c r="M73" i="92"/>
  <c r="M74" i="92"/>
  <c r="M75" i="92"/>
  <c r="M76" i="92"/>
  <c r="M77" i="92"/>
  <c r="M78" i="92"/>
  <c r="M79" i="92"/>
  <c r="M5" i="92"/>
  <c r="K6" i="92"/>
  <c r="K7" i="92"/>
  <c r="K8" i="92"/>
  <c r="K9" i="92"/>
  <c r="K10" i="92"/>
  <c r="K11" i="92"/>
  <c r="K12" i="92"/>
  <c r="K13" i="92"/>
  <c r="K14" i="92"/>
  <c r="K15" i="92"/>
  <c r="K16" i="92"/>
  <c r="K17" i="92"/>
  <c r="K18" i="92"/>
  <c r="K19" i="92"/>
  <c r="K20" i="92"/>
  <c r="K21" i="92"/>
  <c r="K22" i="92"/>
  <c r="K23" i="92"/>
  <c r="K24" i="92"/>
  <c r="K25" i="92"/>
  <c r="K26" i="92"/>
  <c r="K27" i="92"/>
  <c r="K28" i="92"/>
  <c r="K29" i="92"/>
  <c r="K30" i="92"/>
  <c r="K31" i="92"/>
  <c r="K32" i="92"/>
  <c r="K33" i="92"/>
  <c r="K34" i="92"/>
  <c r="K35" i="92"/>
  <c r="K36" i="92"/>
  <c r="K37" i="92"/>
  <c r="K38" i="92"/>
  <c r="K39" i="92"/>
  <c r="K40" i="92"/>
  <c r="K41" i="92"/>
  <c r="K42" i="92"/>
  <c r="K43" i="92"/>
  <c r="K44" i="92"/>
  <c r="K45" i="92"/>
  <c r="K46" i="92"/>
  <c r="K47" i="92"/>
  <c r="K48" i="92"/>
  <c r="K49" i="92"/>
  <c r="K50" i="92"/>
  <c r="K51" i="92"/>
  <c r="K52" i="92"/>
  <c r="K53" i="92"/>
  <c r="K54" i="92"/>
  <c r="K55" i="92"/>
  <c r="K56" i="92"/>
  <c r="K57" i="92"/>
  <c r="K58" i="92"/>
  <c r="K59" i="92"/>
  <c r="K60" i="92"/>
  <c r="K61" i="92"/>
  <c r="K62" i="92"/>
  <c r="K63" i="92"/>
  <c r="K64" i="92"/>
  <c r="K65" i="92"/>
  <c r="K66" i="92"/>
  <c r="K67" i="92"/>
  <c r="K68" i="92"/>
  <c r="K69" i="92"/>
  <c r="K70" i="92"/>
  <c r="K71" i="92"/>
  <c r="K72" i="92"/>
  <c r="K73" i="92"/>
  <c r="K74" i="92"/>
  <c r="K75" i="92"/>
  <c r="K76" i="92"/>
  <c r="K77" i="92"/>
  <c r="K78" i="92"/>
  <c r="K79" i="92"/>
  <c r="K5" i="92"/>
  <c r="I6" i="92"/>
  <c r="I7" i="92"/>
  <c r="I8" i="92"/>
  <c r="I9" i="92"/>
  <c r="I10" i="92"/>
  <c r="I11" i="92"/>
  <c r="I12" i="92"/>
  <c r="I13" i="92"/>
  <c r="I14" i="92"/>
  <c r="I15" i="92"/>
  <c r="I16" i="92"/>
  <c r="I17" i="92"/>
  <c r="I18" i="92"/>
  <c r="I19" i="92"/>
  <c r="I20" i="92"/>
  <c r="I21" i="92"/>
  <c r="I22" i="92"/>
  <c r="I23" i="92"/>
  <c r="I24" i="92"/>
  <c r="I25" i="92"/>
  <c r="I26" i="92"/>
  <c r="I27" i="92"/>
  <c r="I28" i="92"/>
  <c r="I29" i="92"/>
  <c r="I30" i="92"/>
  <c r="I31" i="92"/>
  <c r="I32" i="92"/>
  <c r="I34" i="92"/>
  <c r="I35" i="92"/>
  <c r="I36" i="92"/>
  <c r="I37" i="92"/>
  <c r="I38" i="92"/>
  <c r="I39" i="92"/>
  <c r="I40" i="92"/>
  <c r="I41" i="92"/>
  <c r="I42" i="92"/>
  <c r="I43" i="92"/>
  <c r="I44" i="92"/>
  <c r="I45" i="92"/>
  <c r="I46" i="92"/>
  <c r="I47" i="92"/>
  <c r="I48" i="92"/>
  <c r="I49" i="92"/>
  <c r="I50" i="92"/>
  <c r="I51" i="92"/>
  <c r="I52" i="92"/>
  <c r="I53" i="92"/>
  <c r="I54" i="92"/>
  <c r="I55" i="92"/>
  <c r="I56" i="92"/>
  <c r="I57" i="92"/>
  <c r="I58" i="92"/>
  <c r="I59" i="92"/>
  <c r="I60" i="92"/>
  <c r="I61" i="92"/>
  <c r="I62" i="92"/>
  <c r="I63" i="92"/>
  <c r="I64" i="92"/>
  <c r="I65" i="92"/>
  <c r="I66" i="92"/>
  <c r="I67" i="92"/>
  <c r="I68" i="92"/>
  <c r="I69" i="92"/>
  <c r="I70" i="92"/>
  <c r="I71" i="92"/>
  <c r="I72" i="92"/>
  <c r="I73" i="92"/>
  <c r="I74" i="92"/>
  <c r="I75" i="92"/>
  <c r="I76" i="92"/>
  <c r="I77" i="92"/>
  <c r="I78" i="92"/>
  <c r="I79" i="92"/>
  <c r="I5" i="92"/>
  <c r="E278" i="84"/>
  <c r="AN84" i="48"/>
  <c r="F84" i="48"/>
  <c r="H73" i="48"/>
  <c r="H84" i="48" s="1"/>
  <c r="I73" i="48"/>
  <c r="I84" i="48" s="1"/>
  <c r="J73" i="48"/>
  <c r="J84" i="48" s="1"/>
  <c r="K73" i="48"/>
  <c r="K84" i="48" s="1"/>
  <c r="L73" i="48"/>
  <c r="L84" i="48" s="1"/>
  <c r="M73" i="48"/>
  <c r="M84" i="48" s="1"/>
  <c r="N73" i="48"/>
  <c r="N84" i="48" s="1"/>
  <c r="O73" i="48"/>
  <c r="O84" i="48" s="1"/>
  <c r="P73" i="48"/>
  <c r="P84" i="48" s="1"/>
  <c r="Q73" i="48"/>
  <c r="Q84" i="48" s="1"/>
  <c r="R73" i="48"/>
  <c r="R84" i="48" s="1"/>
  <c r="S73" i="48"/>
  <c r="S84" i="48" s="1"/>
  <c r="T73" i="48"/>
  <c r="T84" i="48" s="1"/>
  <c r="U73" i="48"/>
  <c r="U84" i="48" s="1"/>
  <c r="V73" i="48"/>
  <c r="V84" i="48" s="1"/>
  <c r="W73" i="48"/>
  <c r="W84" i="48" s="1"/>
  <c r="X73" i="48"/>
  <c r="X84" i="48" s="1"/>
  <c r="Y73" i="48"/>
  <c r="Y84" i="48" s="1"/>
  <c r="Z73" i="48"/>
  <c r="Z84" i="48" s="1"/>
  <c r="AA73" i="48"/>
  <c r="AA84" i="48" s="1"/>
  <c r="AB73" i="48"/>
  <c r="AB84" i="48" s="1"/>
  <c r="AC73" i="48"/>
  <c r="AC84" i="48" s="1"/>
  <c r="AD73" i="48"/>
  <c r="AD84" i="48" s="1"/>
  <c r="AE73" i="48"/>
  <c r="AE84" i="48" s="1"/>
  <c r="AF73" i="48"/>
  <c r="AF84" i="48" s="1"/>
  <c r="AG73" i="48"/>
  <c r="AG84" i="48" s="1"/>
  <c r="AH73" i="48"/>
  <c r="AH84" i="48" s="1"/>
  <c r="AI73" i="48"/>
  <c r="AI84" i="48" s="1"/>
  <c r="AJ73" i="48"/>
  <c r="AJ84" i="48" s="1"/>
  <c r="AK73" i="48"/>
  <c r="AK84" i="48" s="1"/>
  <c r="AL73" i="48"/>
  <c r="AL84" i="48" s="1"/>
  <c r="AM73" i="48"/>
  <c r="AM84" i="48" s="1"/>
  <c r="AN73" i="48"/>
  <c r="AO73" i="48"/>
  <c r="AO84" i="48" s="1"/>
  <c r="AP73" i="48"/>
  <c r="AP84" i="48" s="1"/>
  <c r="AQ73" i="48"/>
  <c r="AQ84" i="48" s="1"/>
  <c r="AR73" i="48"/>
  <c r="AR84" i="48" s="1"/>
  <c r="AS73" i="48"/>
  <c r="AS84" i="48" s="1"/>
  <c r="AT73" i="48"/>
  <c r="AT84" i="48" s="1"/>
  <c r="AU73" i="48"/>
  <c r="AU84" i="48" s="1"/>
  <c r="AV73" i="48"/>
  <c r="AV84" i="48" s="1"/>
  <c r="AW73" i="48"/>
  <c r="AW84" i="48" s="1"/>
  <c r="AX73" i="48"/>
  <c r="AX84" i="48" s="1"/>
  <c r="AY73" i="48"/>
  <c r="AY84" i="48" s="1"/>
  <c r="AZ73" i="48"/>
  <c r="AZ84" i="48" s="1"/>
  <c r="BA73" i="48"/>
  <c r="BA84" i="48" s="1"/>
  <c r="BB73" i="48"/>
  <c r="BB84" i="48" s="1"/>
  <c r="BC73" i="48"/>
  <c r="BC84" i="48" s="1"/>
  <c r="BD73" i="48"/>
  <c r="BD84" i="48" s="1"/>
  <c r="BE73" i="48"/>
  <c r="BE84" i="48" s="1"/>
  <c r="BF73" i="48"/>
  <c r="BF84" i="48" s="1"/>
  <c r="BG73" i="48"/>
  <c r="BG84" i="48" s="1"/>
  <c r="BH73" i="48"/>
  <c r="BH84" i="48" s="1"/>
  <c r="BI73" i="48"/>
  <c r="BI84" i="48" s="1"/>
  <c r="BJ73" i="48"/>
  <c r="BJ84" i="48" s="1"/>
  <c r="BK73" i="48"/>
  <c r="BK84" i="48" s="1"/>
  <c r="BL73" i="48"/>
  <c r="BL84" i="48" s="1"/>
  <c r="BM73" i="48"/>
  <c r="BM84" i="48" s="1"/>
  <c r="BN73" i="48"/>
  <c r="BN84" i="48" s="1"/>
  <c r="G73" i="48"/>
  <c r="G84" i="48" s="1"/>
  <c r="G19" i="48"/>
  <c r="M275" i="84" l="1"/>
  <c r="Q275" i="84" s="1"/>
  <c r="M276" i="84"/>
  <c r="Q276" i="84" s="1"/>
  <c r="M277" i="84"/>
  <c r="M274" i="84"/>
  <c r="N274" i="84" s="1"/>
  <c r="N276" i="84"/>
  <c r="O276" i="84"/>
  <c r="P276" i="84"/>
  <c r="N277" i="84"/>
  <c r="O277" i="84"/>
  <c r="P277" i="84"/>
  <c r="Q277" i="84"/>
  <c r="K277" i="84"/>
  <c r="K276" i="84"/>
  <c r="K275" i="84"/>
  <c r="K274" i="84"/>
  <c r="I277" i="84"/>
  <c r="I276" i="84"/>
  <c r="I275" i="84"/>
  <c r="I274" i="84"/>
  <c r="G277" i="84"/>
  <c r="G276" i="84"/>
  <c r="G275" i="84"/>
  <c r="G274" i="84"/>
  <c r="E275" i="84"/>
  <c r="E276" i="84"/>
  <c r="E277" i="84"/>
  <c r="E274" i="84"/>
  <c r="C12" i="60"/>
  <c r="P275" i="84" l="1"/>
  <c r="O275" i="84"/>
  <c r="N275" i="84"/>
  <c r="P274" i="84"/>
  <c r="O274" i="84"/>
  <c r="Q274" i="84"/>
  <c r="M34" i="84"/>
  <c r="M76" i="84"/>
  <c r="M98" i="84"/>
  <c r="M109" i="84"/>
  <c r="M110" i="84"/>
  <c r="M111" i="84"/>
  <c r="M112" i="84"/>
  <c r="M114" i="84"/>
  <c r="M154" i="84"/>
  <c r="M232" i="84"/>
  <c r="C34" i="86"/>
  <c r="C102" i="86"/>
  <c r="C8" i="86"/>
  <c r="C9" i="86"/>
  <c r="C10" i="86"/>
  <c r="C11" i="86"/>
  <c r="C12" i="86"/>
  <c r="C13" i="86"/>
  <c r="C14" i="86"/>
  <c r="C15" i="86"/>
  <c r="C16" i="86"/>
  <c r="C17" i="86"/>
  <c r="C18" i="86"/>
  <c r="C19" i="86"/>
  <c r="C20" i="86"/>
  <c r="C21" i="86"/>
  <c r="C22" i="86"/>
  <c r="C23" i="86"/>
  <c r="C24" i="86"/>
  <c r="C25" i="86"/>
  <c r="C26" i="86"/>
  <c r="C27" i="86"/>
  <c r="C28" i="86"/>
  <c r="C29" i="86"/>
  <c r="C30" i="86"/>
  <c r="C31" i="86"/>
  <c r="C32" i="86"/>
  <c r="C33" i="86"/>
  <c r="C35" i="86"/>
  <c r="C36" i="86"/>
  <c r="C37" i="86"/>
  <c r="C38" i="86"/>
  <c r="C39" i="86"/>
  <c r="C40" i="86"/>
  <c r="C41" i="86"/>
  <c r="C42" i="86"/>
  <c r="C43" i="86"/>
  <c r="C44" i="86"/>
  <c r="C45" i="86"/>
  <c r="C46" i="86"/>
  <c r="C47" i="86"/>
  <c r="C48" i="86"/>
  <c r="C49" i="86"/>
  <c r="C50" i="86"/>
  <c r="C51" i="86"/>
  <c r="C52" i="86"/>
  <c r="C53" i="86"/>
  <c r="C54" i="86"/>
  <c r="C55" i="86"/>
  <c r="C56" i="86"/>
  <c r="C57" i="86"/>
  <c r="C58" i="86"/>
  <c r="C59" i="86"/>
  <c r="C60" i="86"/>
  <c r="C61" i="86"/>
  <c r="C62" i="86"/>
  <c r="C63" i="86"/>
  <c r="C64" i="86"/>
  <c r="C65" i="86"/>
  <c r="C66" i="86"/>
  <c r="C67" i="86"/>
  <c r="C68" i="86"/>
  <c r="C69" i="86"/>
  <c r="C70" i="86"/>
  <c r="C71" i="86"/>
  <c r="C72" i="86"/>
  <c r="C73" i="86"/>
  <c r="C74" i="86"/>
  <c r="C75" i="86"/>
  <c r="C76" i="86"/>
  <c r="C77" i="86"/>
  <c r="C78" i="86"/>
  <c r="C79" i="86"/>
  <c r="C80" i="86"/>
  <c r="C81" i="86"/>
  <c r="C82" i="86"/>
  <c r="C83" i="86"/>
  <c r="C84" i="86"/>
  <c r="C85" i="86"/>
  <c r="C86" i="86"/>
  <c r="C87" i="86"/>
  <c r="C88" i="86"/>
  <c r="C89" i="86"/>
  <c r="C90" i="86"/>
  <c r="C91" i="86"/>
  <c r="C92" i="86"/>
  <c r="C93" i="86"/>
  <c r="C94" i="86"/>
  <c r="C95" i="86"/>
  <c r="C96" i="86"/>
  <c r="C97" i="86"/>
  <c r="C98" i="86"/>
  <c r="C99" i="86"/>
  <c r="C100" i="86"/>
  <c r="C101" i="86"/>
  <c r="C103" i="86"/>
  <c r="C104" i="86"/>
  <c r="C105" i="86"/>
  <c r="C106" i="86"/>
  <c r="C107" i="86"/>
  <c r="C108" i="86"/>
  <c r="C109" i="86"/>
  <c r="C110" i="86"/>
  <c r="C111" i="86"/>
  <c r="C112" i="86"/>
  <c r="C113" i="86"/>
  <c r="C114" i="86"/>
  <c r="C115" i="86"/>
  <c r="C116" i="86"/>
  <c r="C117" i="86"/>
  <c r="C118" i="86"/>
  <c r="C119" i="86"/>
  <c r="C120" i="86"/>
  <c r="C121" i="86"/>
  <c r="C122" i="86"/>
  <c r="C123" i="86"/>
  <c r="C124" i="86"/>
  <c r="C125" i="86"/>
  <c r="C126" i="86"/>
  <c r="C7" i="86"/>
  <c r="G41" i="45" l="1"/>
  <c r="D155" i="48"/>
  <c r="G155" i="48" s="1"/>
  <c r="B155" i="48"/>
  <c r="I7" i="90" l="1"/>
  <c r="I8" i="90"/>
  <c r="I9" i="90"/>
  <c r="I10" i="90"/>
  <c r="I6" i="90" l="1"/>
  <c r="I11" i="90" s="1"/>
  <c r="G13" i="90" l="1"/>
  <c r="B17" i="48"/>
  <c r="B41" i="46"/>
  <c r="B42" i="46"/>
  <c r="B43" i="46"/>
  <c r="B44" i="46"/>
  <c r="B45" i="46"/>
  <c r="B46" i="46"/>
  <c r="B47" i="46"/>
  <c r="B48" i="46"/>
  <c r="B49" i="46"/>
  <c r="B50" i="46"/>
  <c r="B51" i="46"/>
  <c r="B52" i="46"/>
  <c r="B53" i="46"/>
  <c r="B54" i="46"/>
  <c r="B55" i="46"/>
  <c r="B56" i="46"/>
  <c r="B57" i="46"/>
  <c r="B58" i="46"/>
  <c r="B59" i="46"/>
  <c r="B60" i="46"/>
  <c r="B61" i="46"/>
  <c r="B62" i="46"/>
  <c r="B63" i="46"/>
  <c r="B64" i="46"/>
  <c r="B65" i="46"/>
  <c r="B66" i="46"/>
  <c r="B67" i="46"/>
  <c r="B68" i="46"/>
  <c r="B69" i="46"/>
  <c r="B70" i="46"/>
  <c r="B73" i="46"/>
  <c r="B74" i="46"/>
  <c r="B75" i="46"/>
  <c r="B76" i="46"/>
  <c r="B77" i="46"/>
  <c r="B79" i="46"/>
  <c r="B82" i="46"/>
  <c r="B83" i="46"/>
  <c r="B84" i="46"/>
  <c r="B85" i="46"/>
  <c r="B86" i="46"/>
  <c r="B87" i="46"/>
  <c r="B89" i="46"/>
  <c r="B90" i="46"/>
  <c r="B91" i="46"/>
  <c r="B94" i="46"/>
  <c r="B95" i="46"/>
  <c r="B96" i="46"/>
  <c r="B97" i="46"/>
  <c r="B98" i="46"/>
  <c r="B100" i="46"/>
  <c r="B101" i="46"/>
  <c r="B102" i="46"/>
  <c r="B103" i="46"/>
  <c r="B104" i="46"/>
  <c r="B105" i="46"/>
  <c r="B106" i="46"/>
  <c r="B108" i="46"/>
  <c r="B109" i="46"/>
  <c r="B110" i="46"/>
  <c r="B111" i="46"/>
  <c r="C46" i="63" l="1"/>
  <c r="M273" i="84"/>
  <c r="BN9" i="88"/>
  <c r="BO9" i="88" s="1"/>
  <c r="J9" i="84" s="1"/>
  <c r="BN10" i="88"/>
  <c r="BO10" i="88" s="1"/>
  <c r="BN11" i="88"/>
  <c r="BO11" i="88" s="1"/>
  <c r="J11" i="84" s="1"/>
  <c r="BN12" i="88"/>
  <c r="BO12" i="88" s="1"/>
  <c r="J12" i="84" s="1"/>
  <c r="BN13" i="88"/>
  <c r="BO13" i="88" s="1"/>
  <c r="BN14" i="88"/>
  <c r="BO14" i="88" s="1"/>
  <c r="BN15" i="88"/>
  <c r="BO15" i="88" s="1"/>
  <c r="BN16" i="88"/>
  <c r="BO16" i="88" s="1"/>
  <c r="J16" i="84" s="1"/>
  <c r="BN17" i="88"/>
  <c r="BO17" i="88" s="1"/>
  <c r="J17" i="84" s="1"/>
  <c r="BN18" i="88"/>
  <c r="BO18" i="88" s="1"/>
  <c r="BN19" i="88"/>
  <c r="BN20" i="88"/>
  <c r="BO20" i="88" s="1"/>
  <c r="J20" i="84" s="1"/>
  <c r="BN21" i="88"/>
  <c r="BO21" i="88" s="1"/>
  <c r="BN22" i="88"/>
  <c r="BO22" i="88" s="1"/>
  <c r="BN23" i="88"/>
  <c r="BO23" i="88" s="1"/>
  <c r="BN24" i="88"/>
  <c r="BO24" i="88" s="1"/>
  <c r="J24" i="84" s="1"/>
  <c r="BN25" i="88"/>
  <c r="BO25" i="88" s="1"/>
  <c r="BN26" i="88"/>
  <c r="BO26" i="88" s="1"/>
  <c r="BN27" i="88"/>
  <c r="BO27" i="88" s="1"/>
  <c r="J27" i="84" s="1"/>
  <c r="BN28" i="88"/>
  <c r="BO28" i="88" s="1"/>
  <c r="J28" i="84" s="1"/>
  <c r="BN29" i="88"/>
  <c r="BO29" i="88" s="1"/>
  <c r="BN30" i="88"/>
  <c r="BO30" i="88" s="1"/>
  <c r="BN31" i="88"/>
  <c r="BO31" i="88" s="1"/>
  <c r="BN32" i="88"/>
  <c r="BO32" i="88" s="1"/>
  <c r="J32" i="84" s="1"/>
  <c r="BN33" i="88"/>
  <c r="BO33" i="88" s="1"/>
  <c r="BN34" i="88"/>
  <c r="BO34" i="88" s="1"/>
  <c r="BN35" i="88"/>
  <c r="BO35" i="88" s="1"/>
  <c r="J35" i="84" s="1"/>
  <c r="BN36" i="88"/>
  <c r="BO36" i="88" s="1"/>
  <c r="J36" i="84" s="1"/>
  <c r="BN37" i="88"/>
  <c r="BO37" i="88" s="1"/>
  <c r="BN38" i="88"/>
  <c r="BO38" i="88" s="1"/>
  <c r="BN39" i="88"/>
  <c r="BO39" i="88" s="1"/>
  <c r="BN40" i="88"/>
  <c r="BO40" i="88" s="1"/>
  <c r="J40" i="84" s="1"/>
  <c r="BN41" i="88"/>
  <c r="BO41" i="88" s="1"/>
  <c r="J41" i="84" s="1"/>
  <c r="BN42" i="88"/>
  <c r="BO42" i="88" s="1"/>
  <c r="BN43" i="88"/>
  <c r="BN44" i="88"/>
  <c r="BO44" i="88" s="1"/>
  <c r="J44" i="84" s="1"/>
  <c r="BN45" i="88"/>
  <c r="BO45" i="88" s="1"/>
  <c r="BN46" i="88"/>
  <c r="BO46" i="88" s="1"/>
  <c r="BN47" i="88"/>
  <c r="BO47" i="88" s="1"/>
  <c r="BN48" i="88"/>
  <c r="BO48" i="88" s="1"/>
  <c r="J48" i="84" s="1"/>
  <c r="BN49" i="88"/>
  <c r="BO49" i="88" s="1"/>
  <c r="BN50" i="88"/>
  <c r="BO50" i="88" s="1"/>
  <c r="BN51" i="88"/>
  <c r="BO51" i="88" s="1"/>
  <c r="BN52" i="88"/>
  <c r="BO52" i="88" s="1"/>
  <c r="J52" i="84" s="1"/>
  <c r="BN53" i="88"/>
  <c r="BO53" i="88" s="1"/>
  <c r="BN54" i="88"/>
  <c r="BO54" i="88" s="1"/>
  <c r="BN55" i="88"/>
  <c r="BO55" i="88" s="1"/>
  <c r="BN56" i="88"/>
  <c r="BO56" i="88" s="1"/>
  <c r="J56" i="84" s="1"/>
  <c r="BN57" i="88"/>
  <c r="BO57" i="88" s="1"/>
  <c r="J57" i="84" s="1"/>
  <c r="BN58" i="88"/>
  <c r="BO58" i="88" s="1"/>
  <c r="BN59" i="88"/>
  <c r="BO59" i="88" s="1"/>
  <c r="J59" i="84" s="1"/>
  <c r="BN60" i="88"/>
  <c r="BO60" i="88" s="1"/>
  <c r="J60" i="84" s="1"/>
  <c r="BN61" i="88"/>
  <c r="BO61" i="88" s="1"/>
  <c r="BN62" i="88"/>
  <c r="BO62" i="88" s="1"/>
  <c r="BN63" i="88"/>
  <c r="BO63" i="88" s="1"/>
  <c r="BN64" i="88"/>
  <c r="BO64" i="88" s="1"/>
  <c r="J64" i="84" s="1"/>
  <c r="BN65" i="88"/>
  <c r="BO65" i="88" s="1"/>
  <c r="BN66" i="88"/>
  <c r="BO66" i="88" s="1"/>
  <c r="BN67" i="88"/>
  <c r="BN68" i="88"/>
  <c r="BO68" i="88" s="1"/>
  <c r="J68" i="84" s="1"/>
  <c r="BN69" i="88"/>
  <c r="BO69" i="88" s="1"/>
  <c r="J69" i="84" s="1"/>
  <c r="BN70" i="88"/>
  <c r="BO70" i="88" s="1"/>
  <c r="J70" i="84" s="1"/>
  <c r="BN71" i="88"/>
  <c r="BO71" i="88" s="1"/>
  <c r="BN72" i="88"/>
  <c r="BN73" i="88"/>
  <c r="BO73" i="88" s="1"/>
  <c r="J73" i="84" s="1"/>
  <c r="BN74" i="88"/>
  <c r="BO74" i="88" s="1"/>
  <c r="J74" i="84" s="1"/>
  <c r="BN75" i="88"/>
  <c r="BO75" i="88" s="1"/>
  <c r="BN76" i="88"/>
  <c r="BO76" i="88" s="1"/>
  <c r="BN77" i="88"/>
  <c r="BO77" i="88" s="1"/>
  <c r="J77" i="84" s="1"/>
  <c r="BN78" i="88"/>
  <c r="BO78" i="88" s="1"/>
  <c r="J78" i="84" s="1"/>
  <c r="BN79" i="88"/>
  <c r="BO79" i="88" s="1"/>
  <c r="BN80" i="88"/>
  <c r="BO80" i="88" s="1"/>
  <c r="BN81" i="88"/>
  <c r="BO81" i="88" s="1"/>
  <c r="BN82" i="88"/>
  <c r="BN83" i="88"/>
  <c r="BO83" i="88" s="1"/>
  <c r="BN84" i="88"/>
  <c r="BN85" i="88"/>
  <c r="BO85" i="88" s="1"/>
  <c r="BN86" i="88"/>
  <c r="BO86" i="88" s="1"/>
  <c r="BN87" i="88"/>
  <c r="BO87" i="88" s="1"/>
  <c r="BN88" i="88"/>
  <c r="BO88" i="88" s="1"/>
  <c r="BN89" i="88"/>
  <c r="BO89" i="88" s="1"/>
  <c r="BN90" i="88"/>
  <c r="BO90" i="88" s="1"/>
  <c r="BN91" i="88"/>
  <c r="BO91" i="88" s="1"/>
  <c r="BN92" i="88"/>
  <c r="BO92" i="88"/>
  <c r="J92" i="84" s="1"/>
  <c r="BN93" i="88"/>
  <c r="BO93" i="88" s="1"/>
  <c r="BN94" i="88"/>
  <c r="BO94" i="88" s="1"/>
  <c r="BN95" i="88"/>
  <c r="BO95" i="88" s="1"/>
  <c r="BN96" i="88"/>
  <c r="BO96" i="88" s="1"/>
  <c r="BN97" i="88"/>
  <c r="BO97" i="88" s="1"/>
  <c r="BN98" i="88"/>
  <c r="BO98" i="88" s="1"/>
  <c r="BN99" i="88"/>
  <c r="BO99" i="88" s="1"/>
  <c r="BN100" i="88"/>
  <c r="BO100" i="88" s="1"/>
  <c r="J100" i="84" s="1"/>
  <c r="BN101" i="88"/>
  <c r="BO101" i="88" s="1"/>
  <c r="BN102" i="88"/>
  <c r="BO102" i="88" s="1"/>
  <c r="BN103" i="88"/>
  <c r="BO103" i="88" s="1"/>
  <c r="BN104" i="88"/>
  <c r="BO104" i="88" s="1"/>
  <c r="BN105" i="88"/>
  <c r="BN106" i="88"/>
  <c r="BO106" i="88" s="1"/>
  <c r="BN107" i="88"/>
  <c r="BO107" i="88" s="1"/>
  <c r="BN108" i="88"/>
  <c r="BO108" i="88" s="1"/>
  <c r="J108" i="84" s="1"/>
  <c r="BN109" i="88"/>
  <c r="BO109" i="88" s="1"/>
  <c r="BN110" i="88"/>
  <c r="BO110" i="88" s="1"/>
  <c r="BN111" i="88"/>
  <c r="BO111" i="88" s="1"/>
  <c r="BN112" i="88"/>
  <c r="BO112" i="88" s="1"/>
  <c r="BN113" i="88"/>
  <c r="BN114" i="88"/>
  <c r="BO114" i="88" s="1"/>
  <c r="BN115" i="88"/>
  <c r="BO115" i="88" s="1"/>
  <c r="BN116" i="88"/>
  <c r="BO116" i="88" s="1"/>
  <c r="J116" i="84" s="1"/>
  <c r="BN117" i="88"/>
  <c r="BO117" i="88" s="1"/>
  <c r="BN118" i="88"/>
  <c r="BO118" i="88" s="1"/>
  <c r="BN119" i="88"/>
  <c r="BO119" i="88" s="1"/>
  <c r="BN120" i="88"/>
  <c r="BO120" i="88" s="1"/>
  <c r="J120" i="84" s="1"/>
  <c r="BN121" i="88"/>
  <c r="BO121" i="88" s="1"/>
  <c r="BN122" i="88"/>
  <c r="BO122" i="88" s="1"/>
  <c r="BN123" i="88"/>
  <c r="BO123" i="88" s="1"/>
  <c r="J123" i="84" s="1"/>
  <c r="BN124" i="88"/>
  <c r="BO124" i="88" s="1"/>
  <c r="BN125" i="88"/>
  <c r="BO125" i="88" s="1"/>
  <c r="BN126" i="88"/>
  <c r="BO126" i="88" s="1"/>
  <c r="BN127" i="88"/>
  <c r="BO127" i="88" s="1"/>
  <c r="J127" i="84" s="1"/>
  <c r="BN128" i="88"/>
  <c r="BO128" i="88" s="1"/>
  <c r="BN129" i="88"/>
  <c r="BO129" i="88" s="1"/>
  <c r="BN130" i="88"/>
  <c r="BO130" i="88" s="1"/>
  <c r="BN131" i="88"/>
  <c r="BO131" i="88" s="1"/>
  <c r="BN132" i="88"/>
  <c r="BO132" i="88" s="1"/>
  <c r="BN133" i="88"/>
  <c r="BO133" i="88" s="1"/>
  <c r="BN134" i="88"/>
  <c r="BO134" i="88" s="1"/>
  <c r="BN135" i="88"/>
  <c r="BO135" i="88" s="1"/>
  <c r="BN136" i="88"/>
  <c r="BO136" i="88"/>
  <c r="BN137" i="88"/>
  <c r="BO137" i="88" s="1"/>
  <c r="BN138" i="88"/>
  <c r="BO138" i="88" s="1"/>
  <c r="J138" i="84" s="1"/>
  <c r="BN139" i="88"/>
  <c r="BO139" i="88" s="1"/>
  <c r="BN140" i="88"/>
  <c r="BO140" i="88" s="1"/>
  <c r="BN141" i="88"/>
  <c r="BO141" i="88" s="1"/>
  <c r="BN142" i="88"/>
  <c r="BO142" i="88" s="1"/>
  <c r="BN143" i="88"/>
  <c r="BO143" i="88" s="1"/>
  <c r="BN144" i="88"/>
  <c r="BO144" i="88" s="1"/>
  <c r="BN145" i="88"/>
  <c r="BO145" i="88" s="1"/>
  <c r="BN146" i="88"/>
  <c r="BO146" i="88" s="1"/>
  <c r="J146" i="84" s="1"/>
  <c r="BN147" i="88"/>
  <c r="BO147" i="88" s="1"/>
  <c r="BN148" i="88"/>
  <c r="BO148" i="88" s="1"/>
  <c r="BN149" i="88"/>
  <c r="BO149" i="88" s="1"/>
  <c r="BN150" i="88"/>
  <c r="BO150" i="88" s="1"/>
  <c r="BN151" i="88"/>
  <c r="BO151" i="88" s="1"/>
  <c r="BN152" i="88"/>
  <c r="BO152" i="88" s="1"/>
  <c r="BN153" i="88"/>
  <c r="BO153" i="88" s="1"/>
  <c r="BN154" i="88"/>
  <c r="BO154" i="88" s="1"/>
  <c r="J154" i="84" s="1"/>
  <c r="BN155" i="88"/>
  <c r="BO155" i="88" s="1"/>
  <c r="BN156" i="88"/>
  <c r="BO156" i="88" s="1"/>
  <c r="J156" i="84" s="1"/>
  <c r="BN157" i="88"/>
  <c r="BO157" i="88" s="1"/>
  <c r="BN158" i="88"/>
  <c r="BO158" i="88" s="1"/>
  <c r="BN159" i="88"/>
  <c r="BO159" i="88" s="1"/>
  <c r="BN160" i="88"/>
  <c r="BO160" i="88" s="1"/>
  <c r="BN161" i="88"/>
  <c r="BO161" i="88" s="1"/>
  <c r="J161" i="84" s="1"/>
  <c r="BN162" i="88"/>
  <c r="BO162" i="88" s="1"/>
  <c r="BN163" i="88"/>
  <c r="BO163" i="88" s="1"/>
  <c r="BN164" i="88"/>
  <c r="BO164" i="88" s="1"/>
  <c r="BN165" i="88"/>
  <c r="BO165" i="88" s="1"/>
  <c r="BN166" i="88"/>
  <c r="BO166" i="88" s="1"/>
  <c r="BN167" i="88"/>
  <c r="BO167" i="88" s="1"/>
  <c r="BN168" i="88"/>
  <c r="BO168" i="88" s="1"/>
  <c r="BN169" i="88"/>
  <c r="BO169" i="88" s="1"/>
  <c r="J169" i="84" s="1"/>
  <c r="BN170" i="88"/>
  <c r="BO170" i="88" s="1"/>
  <c r="BN171" i="88"/>
  <c r="BO171" i="88" s="1"/>
  <c r="BN172" i="88"/>
  <c r="BO172" i="88" s="1"/>
  <c r="BN173" i="88"/>
  <c r="BO173" i="88" s="1"/>
  <c r="BN174" i="88"/>
  <c r="BO174" i="88" s="1"/>
  <c r="BN175" i="88"/>
  <c r="BO175" i="88" s="1"/>
  <c r="BN176" i="88"/>
  <c r="BO176" i="88" s="1"/>
  <c r="BN177" i="88"/>
  <c r="BO177" i="88" s="1"/>
  <c r="J177" i="84" s="1"/>
  <c r="BN178" i="88"/>
  <c r="BO178" i="88" s="1"/>
  <c r="BN179" i="88"/>
  <c r="BO179" i="88" s="1"/>
  <c r="BN180" i="88"/>
  <c r="BO180" i="88" s="1"/>
  <c r="BN181" i="88"/>
  <c r="BO181" i="88" s="1"/>
  <c r="BN182" i="88"/>
  <c r="BO182" i="88" s="1"/>
  <c r="BN183" i="88"/>
  <c r="BO183" i="88" s="1"/>
  <c r="BN184" i="88"/>
  <c r="BO184" i="88"/>
  <c r="J184" i="84" s="1"/>
  <c r="BN185" i="88"/>
  <c r="BO185" i="88" s="1"/>
  <c r="BN186" i="88"/>
  <c r="BO186" i="88" s="1"/>
  <c r="BN187" i="88"/>
  <c r="BO187" i="88" s="1"/>
  <c r="BN188" i="88"/>
  <c r="BO188" i="88" s="1"/>
  <c r="BN189" i="88"/>
  <c r="BO189" i="88" s="1"/>
  <c r="BN190" i="88"/>
  <c r="BO190" i="88" s="1"/>
  <c r="BN191" i="88"/>
  <c r="BO191" i="88" s="1"/>
  <c r="BN192" i="88"/>
  <c r="BO192" i="88" s="1"/>
  <c r="J192" i="84" s="1"/>
  <c r="BN193" i="88"/>
  <c r="BO193" i="88" s="1"/>
  <c r="BN194" i="88"/>
  <c r="BO194" i="88" s="1"/>
  <c r="BN195" i="88"/>
  <c r="BO195" i="88" s="1"/>
  <c r="BN196" i="88"/>
  <c r="BO196" i="88" s="1"/>
  <c r="BN197" i="88"/>
  <c r="BO197" i="88" s="1"/>
  <c r="BN198" i="88"/>
  <c r="BO198" i="88" s="1"/>
  <c r="BN199" i="88"/>
  <c r="BO199" i="88" s="1"/>
  <c r="BN200" i="88"/>
  <c r="BO200" i="88" s="1"/>
  <c r="J200" i="84" s="1"/>
  <c r="BN201" i="88"/>
  <c r="BO201" i="88" s="1"/>
  <c r="BN202" i="88"/>
  <c r="BO202" i="88" s="1"/>
  <c r="BN203" i="88"/>
  <c r="BO203" i="88" s="1"/>
  <c r="BN204" i="88"/>
  <c r="BO204" i="88" s="1"/>
  <c r="BN205" i="88"/>
  <c r="BO205" i="88" s="1"/>
  <c r="BN206" i="88"/>
  <c r="BO206" i="88" s="1"/>
  <c r="BN207" i="88"/>
  <c r="BO207" i="88" s="1"/>
  <c r="BN208" i="88"/>
  <c r="BO208" i="88" s="1"/>
  <c r="BN209" i="88"/>
  <c r="BO209" i="88" s="1"/>
  <c r="BN210" i="88"/>
  <c r="BO210" i="88" s="1"/>
  <c r="BN211" i="88"/>
  <c r="BO211" i="88" s="1"/>
  <c r="BN212" i="88"/>
  <c r="BO212" i="88" s="1"/>
  <c r="BN213" i="88"/>
  <c r="BO213" i="88" s="1"/>
  <c r="BN214" i="88"/>
  <c r="BO214" i="88" s="1"/>
  <c r="BN215" i="88"/>
  <c r="BO215" i="88" s="1"/>
  <c r="J215" i="84" s="1"/>
  <c r="BN216" i="88"/>
  <c r="BO216" i="88" s="1"/>
  <c r="BN217" i="88"/>
  <c r="BO217" i="88" s="1"/>
  <c r="BN218" i="88"/>
  <c r="BO218" i="88" s="1"/>
  <c r="BN219" i="88"/>
  <c r="BO219" i="88" s="1"/>
  <c r="BN220" i="88"/>
  <c r="BO220" i="88"/>
  <c r="BN221" i="88"/>
  <c r="BO221" i="88" s="1"/>
  <c r="BN222" i="88"/>
  <c r="BO222" i="88" s="1"/>
  <c r="J222" i="84" s="1"/>
  <c r="BN223" i="88"/>
  <c r="BO223" i="88" s="1"/>
  <c r="BN224" i="88"/>
  <c r="BO224" i="88" s="1"/>
  <c r="BN225" i="88"/>
  <c r="BO225" i="88" s="1"/>
  <c r="BN226" i="88"/>
  <c r="BO226" i="88" s="1"/>
  <c r="BN227" i="88"/>
  <c r="BO227" i="88" s="1"/>
  <c r="BN228" i="88"/>
  <c r="BO228" i="88" s="1"/>
  <c r="BN229" i="88"/>
  <c r="BO229" i="88" s="1"/>
  <c r="BN230" i="88"/>
  <c r="BO230" i="88" s="1"/>
  <c r="J230" i="84" s="1"/>
  <c r="BN231" i="88"/>
  <c r="BO231" i="88" s="1"/>
  <c r="BN232" i="88"/>
  <c r="BO232" i="88" s="1"/>
  <c r="BN233" i="88"/>
  <c r="BO233" i="88" s="1"/>
  <c r="BN234" i="88"/>
  <c r="BO234" i="88" s="1"/>
  <c r="BN235" i="88"/>
  <c r="BO235" i="88" s="1"/>
  <c r="BN236" i="88"/>
  <c r="BO236" i="88" s="1"/>
  <c r="BN237" i="88"/>
  <c r="BO237" i="88" s="1"/>
  <c r="BN238" i="88"/>
  <c r="BO238" i="88" s="1"/>
  <c r="J238" i="84" s="1"/>
  <c r="BN239" i="88"/>
  <c r="BO239" i="88" s="1"/>
  <c r="BN240" i="88"/>
  <c r="BO240" i="88" s="1"/>
  <c r="BN241" i="88"/>
  <c r="BO241" i="88" s="1"/>
  <c r="BN242" i="88"/>
  <c r="BO242" i="88" s="1"/>
  <c r="BN243" i="88"/>
  <c r="BO243" i="88" s="1"/>
  <c r="BN244" i="88"/>
  <c r="BO244" i="88" s="1"/>
  <c r="BN245" i="88"/>
  <c r="BO245" i="88" s="1"/>
  <c r="BN246" i="88"/>
  <c r="BO246" i="88" s="1"/>
  <c r="J246" i="84" s="1"/>
  <c r="BN247" i="88"/>
  <c r="BO247" i="88" s="1"/>
  <c r="BN248" i="88"/>
  <c r="BO248" i="88" s="1"/>
  <c r="J248" i="84" s="1"/>
  <c r="BN249" i="88"/>
  <c r="BO249" i="88" s="1"/>
  <c r="BN250" i="88"/>
  <c r="BO250" i="88" s="1"/>
  <c r="BN251" i="88"/>
  <c r="BO251" i="88" s="1"/>
  <c r="BN252" i="88"/>
  <c r="BO252" i="88" s="1"/>
  <c r="BN253" i="88"/>
  <c r="BO253" i="88" s="1"/>
  <c r="J253" i="84" s="1"/>
  <c r="BN254" i="88"/>
  <c r="BO254" i="88" s="1"/>
  <c r="BN255" i="88"/>
  <c r="BO255" i="88" s="1"/>
  <c r="BN256" i="88"/>
  <c r="BO256" i="88" s="1"/>
  <c r="BN257" i="88"/>
  <c r="BO257" i="88" s="1"/>
  <c r="BN258" i="88"/>
  <c r="BO258" i="88" s="1"/>
  <c r="BN259" i="88"/>
  <c r="BO259" i="88" s="1"/>
  <c r="BN260" i="88"/>
  <c r="BO260" i="88" s="1"/>
  <c r="BN261" i="88"/>
  <c r="BO261" i="88" s="1"/>
  <c r="J261" i="84" s="1"/>
  <c r="BN262" i="88"/>
  <c r="BO262" i="88" s="1"/>
  <c r="BN263" i="88"/>
  <c r="BO263" i="88" s="1"/>
  <c r="BN264" i="88"/>
  <c r="BO264" i="88"/>
  <c r="BN265" i="88"/>
  <c r="BO265" i="88" s="1"/>
  <c r="BN266" i="88"/>
  <c r="BO266" i="88" s="1"/>
  <c r="BN267" i="88"/>
  <c r="BO267" i="88" s="1"/>
  <c r="BN268" i="88"/>
  <c r="BO268" i="88" s="1"/>
  <c r="J268" i="84" s="1"/>
  <c r="BN269" i="88"/>
  <c r="BO269" i="88" s="1"/>
  <c r="BN270" i="88"/>
  <c r="BO270" i="88" s="1"/>
  <c r="BN271" i="88"/>
  <c r="BO271" i="88" s="1"/>
  <c r="BN272" i="88"/>
  <c r="BO272" i="88" s="1"/>
  <c r="BN11" i="87"/>
  <c r="BN12" i="87"/>
  <c r="BP12" i="87" s="1"/>
  <c r="G10" i="84" s="1"/>
  <c r="BN13" i="87"/>
  <c r="BP13" i="87" s="1"/>
  <c r="G11" i="84" s="1"/>
  <c r="BN14" i="87"/>
  <c r="BN15" i="87"/>
  <c r="BN16" i="87"/>
  <c r="BP16" i="87" s="1"/>
  <c r="BN17" i="87"/>
  <c r="BN18" i="87"/>
  <c r="BO18" i="87" s="1"/>
  <c r="H16" i="84" s="1"/>
  <c r="BN19" i="87"/>
  <c r="BP19" i="87" s="1"/>
  <c r="BN20" i="87"/>
  <c r="BN21" i="87"/>
  <c r="BP21" i="87" s="1"/>
  <c r="BN22" i="87"/>
  <c r="BP22" i="87" s="1"/>
  <c r="BN23" i="87"/>
  <c r="BN24" i="87"/>
  <c r="BP24" i="87" s="1"/>
  <c r="BN25" i="87"/>
  <c r="BN26" i="87"/>
  <c r="BN27" i="87"/>
  <c r="BN28" i="87"/>
  <c r="BP28" i="87" s="1"/>
  <c r="BO28" i="87"/>
  <c r="H26" i="84" s="1"/>
  <c r="BN29" i="87"/>
  <c r="BN30" i="87"/>
  <c r="BP30" i="87" s="1"/>
  <c r="BN31" i="87"/>
  <c r="BN32" i="87"/>
  <c r="BP32" i="87" s="1"/>
  <c r="BN33" i="87"/>
  <c r="BN34" i="87"/>
  <c r="BP34" i="87" s="1"/>
  <c r="G32" i="84" s="1"/>
  <c r="BN35" i="87"/>
  <c r="BP35" i="87" s="1"/>
  <c r="BN36" i="87"/>
  <c r="BP36" i="87" s="1"/>
  <c r="BN37" i="87"/>
  <c r="BP37" i="87" s="1"/>
  <c r="BN38" i="87"/>
  <c r="BN39" i="87"/>
  <c r="BN40" i="87"/>
  <c r="BP40" i="87" s="1"/>
  <c r="BN41" i="87"/>
  <c r="BN42" i="87"/>
  <c r="BN43" i="87"/>
  <c r="BN44" i="87"/>
  <c r="BP44" i="87" s="1"/>
  <c r="BN45" i="87"/>
  <c r="BN46" i="87"/>
  <c r="BP46" i="87" s="1"/>
  <c r="G44" i="84" s="1"/>
  <c r="BN47" i="87"/>
  <c r="BN48" i="87"/>
  <c r="BP48" i="87" s="1"/>
  <c r="G46" i="84" s="1"/>
  <c r="BN49" i="87"/>
  <c r="BN50" i="87"/>
  <c r="BP50" i="87" s="1"/>
  <c r="G48" i="84" s="1"/>
  <c r="BN51" i="87"/>
  <c r="BN52" i="87"/>
  <c r="BN53" i="87"/>
  <c r="BP53" i="87" s="1"/>
  <c r="BN54" i="87"/>
  <c r="BN55" i="87"/>
  <c r="BN56" i="87"/>
  <c r="BP56" i="87" s="1"/>
  <c r="BN57" i="87"/>
  <c r="BN58" i="87"/>
  <c r="BP58" i="87" s="1"/>
  <c r="BN59" i="87"/>
  <c r="BN60" i="87"/>
  <c r="BP60" i="87" s="1"/>
  <c r="G58" i="84" s="1"/>
  <c r="BN61" i="87"/>
  <c r="BN62" i="87"/>
  <c r="BP62" i="87" s="1"/>
  <c r="BO62" i="87"/>
  <c r="H60" i="84" s="1"/>
  <c r="BN63" i="87"/>
  <c r="BN64" i="87"/>
  <c r="BP64" i="87" s="1"/>
  <c r="G62" i="84" s="1"/>
  <c r="BN65" i="87"/>
  <c r="BN66" i="87"/>
  <c r="BP66" i="87" s="1"/>
  <c r="G64" i="84" s="1"/>
  <c r="BN67" i="87"/>
  <c r="BN68" i="87"/>
  <c r="BN69" i="87"/>
  <c r="BP69" i="87" s="1"/>
  <c r="BN70" i="87"/>
  <c r="BP70" i="87" s="1"/>
  <c r="BN71" i="87"/>
  <c r="BN72" i="87"/>
  <c r="BP72" i="87" s="1"/>
  <c r="BN73" i="87"/>
  <c r="BN74" i="87"/>
  <c r="BP74" i="87" s="1"/>
  <c r="BN75" i="87"/>
  <c r="BN76" i="87"/>
  <c r="BP76" i="87" s="1"/>
  <c r="BN77" i="87"/>
  <c r="BN78" i="87"/>
  <c r="BP78" i="87" s="1"/>
  <c r="BN79" i="87"/>
  <c r="BN80" i="87"/>
  <c r="BP80" i="87" s="1"/>
  <c r="BN81" i="87"/>
  <c r="BN82" i="87"/>
  <c r="BO82" i="87"/>
  <c r="BN83" i="87"/>
  <c r="BP83" i="87" s="1"/>
  <c r="BN84" i="87"/>
  <c r="BP84" i="87" s="1"/>
  <c r="G82" i="84" s="1"/>
  <c r="BN85" i="87"/>
  <c r="BN86" i="87"/>
  <c r="BP86" i="87" s="1"/>
  <c r="G84" i="84" s="1"/>
  <c r="BN87" i="87"/>
  <c r="BN88" i="87"/>
  <c r="BP88" i="87" s="1"/>
  <c r="BN89" i="87"/>
  <c r="BP89" i="87" s="1"/>
  <c r="BN90" i="87"/>
  <c r="BP90" i="87" s="1"/>
  <c r="BN91" i="87"/>
  <c r="BN92" i="87"/>
  <c r="BP92" i="87" s="1"/>
  <c r="G90" i="84" s="1"/>
  <c r="BN93" i="87"/>
  <c r="BN94" i="87"/>
  <c r="BN95" i="87"/>
  <c r="BN96" i="87"/>
  <c r="BP96" i="87" s="1"/>
  <c r="BN97" i="87"/>
  <c r="BN98" i="87"/>
  <c r="BN99" i="87"/>
  <c r="BP99" i="87" s="1"/>
  <c r="BN100" i="87"/>
  <c r="BP100" i="87" s="1"/>
  <c r="BN101" i="87"/>
  <c r="BP101" i="87" s="1"/>
  <c r="BN102" i="87"/>
  <c r="BN103" i="87"/>
  <c r="BN104" i="87"/>
  <c r="BP104" i="87" s="1"/>
  <c r="BN105" i="87"/>
  <c r="BN106" i="87"/>
  <c r="BP106" i="87" s="1"/>
  <c r="BN107" i="87"/>
  <c r="BN108" i="87"/>
  <c r="BP108" i="87" s="1"/>
  <c r="BN109" i="87"/>
  <c r="BP109" i="87" s="1"/>
  <c r="BN110" i="87"/>
  <c r="BN111" i="87"/>
  <c r="BN112" i="87"/>
  <c r="BP112" i="87" s="1"/>
  <c r="BN113" i="87"/>
  <c r="BN114" i="87"/>
  <c r="BP114" i="87" s="1"/>
  <c r="BN115" i="87"/>
  <c r="BP115" i="87" s="1"/>
  <c r="BN116" i="87"/>
  <c r="BP116" i="87" s="1"/>
  <c r="BN117" i="87"/>
  <c r="BP117" i="87" s="1"/>
  <c r="BN118" i="87"/>
  <c r="BN119" i="87"/>
  <c r="BP119" i="87" s="1"/>
  <c r="BN120" i="87"/>
  <c r="BP120" i="87" s="1"/>
  <c r="BN121" i="87"/>
  <c r="BP121" i="87" s="1"/>
  <c r="BN122" i="87"/>
  <c r="BN123" i="87"/>
  <c r="BN124" i="87"/>
  <c r="BP124" i="87" s="1"/>
  <c r="BN125" i="87"/>
  <c r="BP125" i="87" s="1"/>
  <c r="BN126" i="87"/>
  <c r="BP126" i="87" s="1"/>
  <c r="BN127" i="87"/>
  <c r="BN128" i="87"/>
  <c r="BP128" i="87" s="1"/>
  <c r="BN129" i="87"/>
  <c r="BP129" i="87" s="1"/>
  <c r="BN130" i="87"/>
  <c r="BN131" i="87"/>
  <c r="BN132" i="87"/>
  <c r="BP132" i="87" s="1"/>
  <c r="BO132" i="87"/>
  <c r="H130" i="84" s="1"/>
  <c r="BN133" i="87"/>
  <c r="BP133" i="87" s="1"/>
  <c r="BN134" i="87"/>
  <c r="BN135" i="87"/>
  <c r="BN136" i="87"/>
  <c r="BP136" i="87" s="1"/>
  <c r="BN137" i="87"/>
  <c r="BP137" i="87" s="1"/>
  <c r="BN138" i="87"/>
  <c r="BP138" i="87" s="1"/>
  <c r="BN139" i="87"/>
  <c r="BN140" i="87"/>
  <c r="BP140" i="87" s="1"/>
  <c r="G138" i="84" s="1"/>
  <c r="BN141" i="87"/>
  <c r="BN142" i="87"/>
  <c r="BN143" i="87"/>
  <c r="BN144" i="87"/>
  <c r="BP144" i="87" s="1"/>
  <c r="BN145" i="87"/>
  <c r="BN146" i="87"/>
  <c r="BN147" i="87"/>
  <c r="BN148" i="87"/>
  <c r="BP148" i="87" s="1"/>
  <c r="G146" i="84" s="1"/>
  <c r="BN149" i="87"/>
  <c r="BP149" i="87" s="1"/>
  <c r="BN150" i="87"/>
  <c r="BN151" i="87"/>
  <c r="BN152" i="87"/>
  <c r="BP152" i="87" s="1"/>
  <c r="BO152" i="87"/>
  <c r="H150" i="84" s="1"/>
  <c r="BN153" i="87"/>
  <c r="BP153" i="87" s="1"/>
  <c r="BN154" i="87"/>
  <c r="BN155" i="87"/>
  <c r="BN156" i="87"/>
  <c r="BP156" i="87" s="1"/>
  <c r="BN157" i="87"/>
  <c r="BN158" i="87"/>
  <c r="BP158" i="87" s="1"/>
  <c r="BN159" i="87"/>
  <c r="BN160" i="87"/>
  <c r="BN161" i="87"/>
  <c r="BP161" i="87" s="1"/>
  <c r="BN162" i="87"/>
  <c r="BP162" i="87" s="1"/>
  <c r="BN163" i="87"/>
  <c r="BP163" i="87" s="1"/>
  <c r="BN164" i="87"/>
  <c r="BP164" i="87" s="1"/>
  <c r="BN165" i="87"/>
  <c r="BP165" i="87" s="1"/>
  <c r="BN166" i="87"/>
  <c r="BP166" i="87" s="1"/>
  <c r="BN167" i="87"/>
  <c r="BN168" i="87"/>
  <c r="BP168" i="87" s="1"/>
  <c r="BN169" i="87"/>
  <c r="BP169" i="87" s="1"/>
  <c r="G167" i="84" s="1"/>
  <c r="BN170" i="87"/>
  <c r="BP170" i="87" s="1"/>
  <c r="BN171" i="87"/>
  <c r="BP171" i="87" s="1"/>
  <c r="BN172" i="87"/>
  <c r="BP172" i="87" s="1"/>
  <c r="G170" i="84" s="1"/>
  <c r="BN173" i="87"/>
  <c r="BP173" i="87" s="1"/>
  <c r="BN174" i="87"/>
  <c r="BP174" i="87" s="1"/>
  <c r="BN175" i="87"/>
  <c r="BN176" i="87"/>
  <c r="BP176" i="87" s="1"/>
  <c r="BN177" i="87"/>
  <c r="BP177" i="87" s="1"/>
  <c r="BN178" i="87"/>
  <c r="BN179" i="87"/>
  <c r="BN180" i="87"/>
  <c r="BN181" i="87"/>
  <c r="BP181" i="87" s="1"/>
  <c r="BN182" i="87"/>
  <c r="BP182" i="87" s="1"/>
  <c r="BN183" i="87"/>
  <c r="BP183" i="87" s="1"/>
  <c r="BN184" i="87"/>
  <c r="BP184" i="87" s="1"/>
  <c r="BN185" i="87"/>
  <c r="BP185" i="87" s="1"/>
  <c r="BN186" i="87"/>
  <c r="BN187" i="87"/>
  <c r="BN188" i="87"/>
  <c r="BN189" i="87"/>
  <c r="BP189" i="87" s="1"/>
  <c r="BN190" i="87"/>
  <c r="BP190" i="87" s="1"/>
  <c r="G188" i="84" s="1"/>
  <c r="BN191" i="87"/>
  <c r="BP191" i="87" s="1"/>
  <c r="BN192" i="87"/>
  <c r="BP192" i="87" s="1"/>
  <c r="BN193" i="87"/>
  <c r="BP193" i="87" s="1"/>
  <c r="BN194" i="87"/>
  <c r="BN195" i="87"/>
  <c r="BP195" i="87" s="1"/>
  <c r="BN196" i="87"/>
  <c r="BN197" i="87"/>
  <c r="BP197" i="87" s="1"/>
  <c r="BO197" i="87"/>
  <c r="H195" i="84" s="1"/>
  <c r="BN198" i="87"/>
  <c r="BP198" i="87" s="1"/>
  <c r="BN199" i="87"/>
  <c r="BP199" i="87" s="1"/>
  <c r="BN200" i="87"/>
  <c r="BP200" i="87" s="1"/>
  <c r="BN201" i="87"/>
  <c r="BP201" i="87" s="1"/>
  <c r="BN202" i="87"/>
  <c r="BN203" i="87"/>
  <c r="BN204" i="87"/>
  <c r="BN205" i="87"/>
  <c r="BP205" i="87" s="1"/>
  <c r="BN206" i="87"/>
  <c r="BP206" i="87" s="1"/>
  <c r="BN207" i="87"/>
  <c r="BP207" i="87" s="1"/>
  <c r="BN208" i="87"/>
  <c r="BP208" i="87" s="1"/>
  <c r="BN209" i="87"/>
  <c r="BP209" i="87" s="1"/>
  <c r="BN210" i="87"/>
  <c r="BN211" i="87"/>
  <c r="BP211" i="87" s="1"/>
  <c r="BN212" i="87"/>
  <c r="BN213" i="87"/>
  <c r="BP213" i="87" s="1"/>
  <c r="BN214" i="87"/>
  <c r="BP214" i="87" s="1"/>
  <c r="G212" i="84" s="1"/>
  <c r="BN215" i="87"/>
  <c r="BP215" i="87" s="1"/>
  <c r="G213" i="84" s="1"/>
  <c r="BN216" i="87"/>
  <c r="BP216" i="87" s="1"/>
  <c r="BN217" i="87"/>
  <c r="BP217" i="87" s="1"/>
  <c r="BN218" i="87"/>
  <c r="BN219" i="87"/>
  <c r="BP219" i="87" s="1"/>
  <c r="BN220" i="87"/>
  <c r="BN221" i="87"/>
  <c r="BP221" i="87" s="1"/>
  <c r="BN222" i="87"/>
  <c r="BP222" i="87" s="1"/>
  <c r="G220" i="84" s="1"/>
  <c r="BN223" i="87"/>
  <c r="BP223" i="87" s="1"/>
  <c r="BN224" i="87"/>
  <c r="BN225" i="87"/>
  <c r="BP225" i="87" s="1"/>
  <c r="BN226" i="87"/>
  <c r="BP226" i="87" s="1"/>
  <c r="BN227" i="87"/>
  <c r="BP227" i="87" s="1"/>
  <c r="BN228" i="87"/>
  <c r="BN229" i="87"/>
  <c r="BP229" i="87" s="1"/>
  <c r="BN230" i="87"/>
  <c r="BP230" i="87" s="1"/>
  <c r="BN231" i="87"/>
  <c r="BP231" i="87" s="1"/>
  <c r="BN232" i="87"/>
  <c r="BN233" i="87"/>
  <c r="BP233" i="87" s="1"/>
  <c r="BN234" i="87"/>
  <c r="BN235" i="87"/>
  <c r="BP235" i="87" s="1"/>
  <c r="BO235" i="87"/>
  <c r="H233" i="84" s="1"/>
  <c r="BN236" i="87"/>
  <c r="BP236" i="87" s="1"/>
  <c r="BN237" i="87"/>
  <c r="BP237" i="87" s="1"/>
  <c r="G235" i="84" s="1"/>
  <c r="BN238" i="87"/>
  <c r="BP238" i="87" s="1"/>
  <c r="BN239" i="87"/>
  <c r="BP239" i="87" s="1"/>
  <c r="BN240" i="87"/>
  <c r="BN241" i="87"/>
  <c r="BP241" i="87" s="1"/>
  <c r="BN242" i="87"/>
  <c r="BN243" i="87"/>
  <c r="BN244" i="87"/>
  <c r="BN245" i="87"/>
  <c r="BP245" i="87" s="1"/>
  <c r="BN246" i="87"/>
  <c r="BP246" i="87" s="1"/>
  <c r="BN247" i="87"/>
  <c r="BP247" i="87" s="1"/>
  <c r="BN248" i="87"/>
  <c r="BN249" i="87"/>
  <c r="BP249" i="87" s="1"/>
  <c r="BN250" i="87"/>
  <c r="BP250" i="87" s="1"/>
  <c r="BN251" i="87"/>
  <c r="BN252" i="87"/>
  <c r="BN253" i="87"/>
  <c r="BP253" i="87" s="1"/>
  <c r="BN254" i="87"/>
  <c r="BN255" i="87"/>
  <c r="BP255" i="87" s="1"/>
  <c r="BN256" i="87"/>
  <c r="BN257" i="87"/>
  <c r="BP257" i="87" s="1"/>
  <c r="BN258" i="87"/>
  <c r="BN259" i="87"/>
  <c r="BP259" i="87" s="1"/>
  <c r="BN260" i="87"/>
  <c r="BP260" i="87" s="1"/>
  <c r="BN261" i="87"/>
  <c r="BP261" i="87" s="1"/>
  <c r="BN262" i="87"/>
  <c r="BP262" i="87" s="1"/>
  <c r="BN263" i="87"/>
  <c r="BP263" i="87" s="1"/>
  <c r="BN264" i="87"/>
  <c r="BP264" i="87" s="1"/>
  <c r="BN265" i="87"/>
  <c r="BP265" i="87" s="1"/>
  <c r="G263" i="84" s="1"/>
  <c r="BN266" i="87"/>
  <c r="BN267" i="87"/>
  <c r="BP267" i="87" s="1"/>
  <c r="BN268" i="87"/>
  <c r="BN269" i="87"/>
  <c r="BP269" i="87" s="1"/>
  <c r="BN270" i="87"/>
  <c r="BP270" i="87" s="1"/>
  <c r="BN271" i="87"/>
  <c r="BP271" i="87" s="1"/>
  <c r="BN272" i="87"/>
  <c r="BN273" i="87"/>
  <c r="BP273" i="87" s="1"/>
  <c r="BN274" i="87"/>
  <c r="G7" i="86"/>
  <c r="G8" i="86"/>
  <c r="G9" i="86"/>
  <c r="G10" i="86"/>
  <c r="G11" i="86"/>
  <c r="G12" i="86"/>
  <c r="G13" i="86"/>
  <c r="G14" i="86"/>
  <c r="G15" i="86"/>
  <c r="G16" i="86"/>
  <c r="G17" i="86"/>
  <c r="G18" i="86"/>
  <c r="G19" i="86"/>
  <c r="G20" i="86"/>
  <c r="G21" i="86"/>
  <c r="G22" i="86"/>
  <c r="G23" i="86"/>
  <c r="G24" i="86"/>
  <c r="G25" i="86"/>
  <c r="G26" i="86"/>
  <c r="G27" i="86"/>
  <c r="G28" i="86"/>
  <c r="G29" i="86"/>
  <c r="G30" i="86"/>
  <c r="G31" i="86"/>
  <c r="G32" i="86"/>
  <c r="G33" i="86"/>
  <c r="G34" i="86"/>
  <c r="G35" i="86"/>
  <c r="G36" i="86"/>
  <c r="G37" i="86"/>
  <c r="G38" i="86"/>
  <c r="G39" i="86"/>
  <c r="G40" i="86"/>
  <c r="G41" i="86"/>
  <c r="G42" i="86"/>
  <c r="G43" i="86"/>
  <c r="G44" i="86"/>
  <c r="G45" i="86"/>
  <c r="G46" i="86"/>
  <c r="G47" i="86"/>
  <c r="G48" i="86"/>
  <c r="G49" i="86"/>
  <c r="G50" i="86"/>
  <c r="G51" i="86"/>
  <c r="G52" i="86"/>
  <c r="G53" i="86"/>
  <c r="G54" i="86"/>
  <c r="G55" i="86"/>
  <c r="G56" i="86"/>
  <c r="G57" i="86"/>
  <c r="G58" i="86"/>
  <c r="G59" i="86"/>
  <c r="G60" i="86"/>
  <c r="G61" i="86"/>
  <c r="G62" i="86"/>
  <c r="G63" i="86"/>
  <c r="G64" i="86"/>
  <c r="G65" i="86"/>
  <c r="G66" i="86"/>
  <c r="G67" i="86"/>
  <c r="G68" i="86"/>
  <c r="G69" i="86"/>
  <c r="G70" i="86"/>
  <c r="G71" i="86"/>
  <c r="G72" i="86"/>
  <c r="G73" i="86"/>
  <c r="G74" i="86"/>
  <c r="G75" i="86"/>
  <c r="G76" i="86"/>
  <c r="G77" i="86"/>
  <c r="G78" i="86"/>
  <c r="G79" i="86"/>
  <c r="G80" i="86"/>
  <c r="G81" i="86"/>
  <c r="G82" i="86"/>
  <c r="G83" i="86"/>
  <c r="G84" i="86"/>
  <c r="G85" i="86"/>
  <c r="G86" i="86"/>
  <c r="G87" i="86"/>
  <c r="G88" i="86"/>
  <c r="G89" i="86"/>
  <c r="G90" i="86"/>
  <c r="G91" i="86"/>
  <c r="I91" i="86" s="1"/>
  <c r="G92" i="86"/>
  <c r="G93" i="86"/>
  <c r="I93" i="86" s="1"/>
  <c r="G94" i="86"/>
  <c r="G95" i="86"/>
  <c r="G96" i="86"/>
  <c r="G97" i="86"/>
  <c r="G98" i="86"/>
  <c r="I99" i="86"/>
  <c r="G99" i="86"/>
  <c r="G100" i="86"/>
  <c r="G101" i="86"/>
  <c r="G102" i="86"/>
  <c r="G103" i="86"/>
  <c r="G104" i="86"/>
  <c r="G105" i="86"/>
  <c r="G106" i="86"/>
  <c r="G107" i="86"/>
  <c r="G108" i="86"/>
  <c r="G109" i="86"/>
  <c r="I109" i="86" s="1"/>
  <c r="G110" i="86"/>
  <c r="G111" i="86"/>
  <c r="G112" i="86"/>
  <c r="I113" i="86"/>
  <c r="G113" i="86"/>
  <c r="G114" i="86"/>
  <c r="I114" i="86" s="1"/>
  <c r="G115" i="86"/>
  <c r="G116" i="86"/>
  <c r="G117" i="86"/>
  <c r="G118" i="86"/>
  <c r="G119" i="86"/>
  <c r="G120" i="86"/>
  <c r="G121" i="86"/>
  <c r="G122" i="86"/>
  <c r="G123" i="86"/>
  <c r="G124" i="86"/>
  <c r="G125" i="86"/>
  <c r="G126" i="86"/>
  <c r="BN9" i="85"/>
  <c r="BO9" i="85" s="1"/>
  <c r="F9" i="84" s="1"/>
  <c r="BN10" i="85"/>
  <c r="BO10" i="85" s="1"/>
  <c r="F10" i="84" s="1"/>
  <c r="BN11" i="85"/>
  <c r="BN12" i="85"/>
  <c r="BO12" i="85" s="1"/>
  <c r="BN13" i="85"/>
  <c r="BO13" i="85" s="1"/>
  <c r="BN14" i="85"/>
  <c r="BO14" i="85" s="1"/>
  <c r="F14" i="84" s="1"/>
  <c r="BN15" i="85"/>
  <c r="BO15" i="85" s="1"/>
  <c r="F15" i="84" s="1"/>
  <c r="BN16" i="85"/>
  <c r="BO16" i="85" s="1"/>
  <c r="F16" i="84" s="1"/>
  <c r="BN17" i="85"/>
  <c r="BN18" i="85"/>
  <c r="BO18" i="85" s="1"/>
  <c r="F18" i="84" s="1"/>
  <c r="BN19" i="85"/>
  <c r="BO19" i="85" s="1"/>
  <c r="BN20" i="85"/>
  <c r="BO20" i="85" s="1"/>
  <c r="BN21" i="85"/>
  <c r="BO21" i="85" s="1"/>
  <c r="BN22" i="85"/>
  <c r="BO22" i="85" s="1"/>
  <c r="F22" i="84" s="1"/>
  <c r="BN23" i="85"/>
  <c r="BO23" i="85" s="1"/>
  <c r="F23" i="84" s="1"/>
  <c r="BN24" i="85"/>
  <c r="BO24" i="85" s="1"/>
  <c r="BN25" i="85"/>
  <c r="BN26" i="85"/>
  <c r="BN27" i="85"/>
  <c r="BO27" i="85" s="1"/>
  <c r="BN28" i="85"/>
  <c r="BO28" i="85" s="1"/>
  <c r="BN29" i="85"/>
  <c r="BO29" i="85" s="1"/>
  <c r="BN30" i="85"/>
  <c r="BN31" i="85"/>
  <c r="BN32" i="85"/>
  <c r="BO32" i="85" s="1"/>
  <c r="F32" i="84" s="1"/>
  <c r="BN33" i="85"/>
  <c r="BN34" i="85"/>
  <c r="BO34" i="85" s="1"/>
  <c r="F34" i="84" s="1"/>
  <c r="BN35" i="85"/>
  <c r="BO35" i="85" s="1"/>
  <c r="BN36" i="85"/>
  <c r="BO36" i="85" s="1"/>
  <c r="BN37" i="85"/>
  <c r="BO37" i="85" s="1"/>
  <c r="F37" i="84" s="1"/>
  <c r="BN38" i="85"/>
  <c r="BO38" i="85" s="1"/>
  <c r="BN39" i="85"/>
  <c r="BN40" i="85"/>
  <c r="BO40" i="85" s="1"/>
  <c r="F40" i="84" s="1"/>
  <c r="BN41" i="85"/>
  <c r="BO41" i="85" s="1"/>
  <c r="F41" i="84" s="1"/>
  <c r="BN42" i="85"/>
  <c r="BO42" i="85" s="1"/>
  <c r="F42" i="84" s="1"/>
  <c r="BN43" i="85"/>
  <c r="BO43" i="85" s="1"/>
  <c r="F43" i="84" s="1"/>
  <c r="BN44" i="85"/>
  <c r="BO44" i="85" s="1"/>
  <c r="BN45" i="85"/>
  <c r="BO45" i="85" s="1"/>
  <c r="F45" i="84" s="1"/>
  <c r="BN46" i="85"/>
  <c r="BO46" i="85" s="1"/>
  <c r="BN47" i="85"/>
  <c r="BN48" i="85"/>
  <c r="BO48" i="85" s="1"/>
  <c r="BN49" i="85"/>
  <c r="BN50" i="85"/>
  <c r="BO50" i="85" s="1"/>
  <c r="F50" i="84" s="1"/>
  <c r="BN51" i="85"/>
  <c r="BO51" i="85" s="1"/>
  <c r="BN52" i="85"/>
  <c r="BO52" i="85" s="1"/>
  <c r="BN53" i="85"/>
  <c r="BO53" i="85" s="1"/>
  <c r="F53" i="84" s="1"/>
  <c r="BN54" i="85"/>
  <c r="BO54" i="85" s="1"/>
  <c r="BN55" i="85"/>
  <c r="BO55" i="85" s="1"/>
  <c r="F55" i="84" s="1"/>
  <c r="BN56" i="85"/>
  <c r="BO56" i="85" s="1"/>
  <c r="F56" i="84" s="1"/>
  <c r="BN57" i="85"/>
  <c r="BO57" i="85" s="1"/>
  <c r="F57" i="84" s="1"/>
  <c r="BN58" i="85"/>
  <c r="BO58" i="85" s="1"/>
  <c r="F58" i="84" s="1"/>
  <c r="BN59" i="85"/>
  <c r="BO59" i="85" s="1"/>
  <c r="F59" i="84" s="1"/>
  <c r="BN60" i="85"/>
  <c r="BO60" i="85" s="1"/>
  <c r="BN61" i="85"/>
  <c r="BO61" i="85" s="1"/>
  <c r="F61" i="84" s="1"/>
  <c r="BN62" i="85"/>
  <c r="BO62" i="85" s="1"/>
  <c r="BN63" i="85"/>
  <c r="BN64" i="85"/>
  <c r="BO64" i="85" s="1"/>
  <c r="F64" i="84" s="1"/>
  <c r="BN65" i="85"/>
  <c r="BN66" i="85"/>
  <c r="BO66" i="85" s="1"/>
  <c r="F66" i="84" s="1"/>
  <c r="BN67" i="85"/>
  <c r="BO67" i="85" s="1"/>
  <c r="BN68" i="85"/>
  <c r="BO68" i="85" s="1"/>
  <c r="BN69" i="85"/>
  <c r="BN70" i="85"/>
  <c r="BO70" i="85" s="1"/>
  <c r="BN71" i="85"/>
  <c r="BO71" i="85" s="1"/>
  <c r="F71" i="84" s="1"/>
  <c r="BN72" i="85"/>
  <c r="BO72" i="85" s="1"/>
  <c r="F72" i="84" s="1"/>
  <c r="BN73" i="85"/>
  <c r="BO73" i="85" s="1"/>
  <c r="F73" i="84" s="1"/>
  <c r="BN74" i="85"/>
  <c r="BO74" i="85" s="1"/>
  <c r="F74" i="84" s="1"/>
  <c r="BN75" i="85"/>
  <c r="BO75" i="85" s="1"/>
  <c r="BN76" i="85"/>
  <c r="BO76" i="85" s="1"/>
  <c r="BN77" i="85"/>
  <c r="BN78" i="85"/>
  <c r="BO78" i="85" s="1"/>
  <c r="BN79" i="85"/>
  <c r="BO79" i="85" s="1"/>
  <c r="BN80" i="85"/>
  <c r="BO80" i="85" s="1"/>
  <c r="F80" i="84" s="1"/>
  <c r="BN81" i="85"/>
  <c r="BN82" i="85"/>
  <c r="BO82" i="85" s="1"/>
  <c r="BN83" i="85"/>
  <c r="BO83" i="85" s="1"/>
  <c r="BN84" i="85"/>
  <c r="BO84" i="85" s="1"/>
  <c r="BN85" i="85"/>
  <c r="BO85" i="85" s="1"/>
  <c r="F85" i="84" s="1"/>
  <c r="BN86" i="85"/>
  <c r="BO86" i="85" s="1"/>
  <c r="BN87" i="85"/>
  <c r="BN88" i="85"/>
  <c r="BO88" i="85" s="1"/>
  <c r="F88" i="84" s="1"/>
  <c r="BN89" i="85"/>
  <c r="BO89" i="85" s="1"/>
  <c r="F89" i="84" s="1"/>
  <c r="BN90" i="85"/>
  <c r="BO90" i="85" s="1"/>
  <c r="F90" i="84" s="1"/>
  <c r="BN91" i="85"/>
  <c r="BO91" i="85" s="1"/>
  <c r="BN92" i="85"/>
  <c r="BO92" i="85" s="1"/>
  <c r="BN93" i="85"/>
  <c r="BN94" i="85"/>
  <c r="BO94" i="85" s="1"/>
  <c r="BN95" i="85"/>
  <c r="BN96" i="85"/>
  <c r="BO96" i="85" s="1"/>
  <c r="BN97" i="85"/>
  <c r="BO97" i="85" s="1"/>
  <c r="F97" i="84" s="1"/>
  <c r="BN98" i="85"/>
  <c r="BO98" i="85" s="1"/>
  <c r="F98" i="84" s="1"/>
  <c r="BN99" i="85"/>
  <c r="BO99" i="85" s="1"/>
  <c r="BN100" i="85"/>
  <c r="BO100" i="85" s="1"/>
  <c r="BN101" i="85"/>
  <c r="BO101" i="85" s="1"/>
  <c r="F101" i="84" s="1"/>
  <c r="BN102" i="85"/>
  <c r="BO102" i="85" s="1"/>
  <c r="F102" i="84" s="1"/>
  <c r="BN103" i="85"/>
  <c r="BN104" i="85"/>
  <c r="BO104" i="85" s="1"/>
  <c r="BN105" i="85"/>
  <c r="BO105" i="85" s="1"/>
  <c r="BN106" i="85"/>
  <c r="BO106" i="85" s="1"/>
  <c r="BN107" i="85"/>
  <c r="BO107" i="85" s="1"/>
  <c r="BN108" i="85"/>
  <c r="BO108" i="85" s="1"/>
  <c r="F108" i="84" s="1"/>
  <c r="BN109" i="85"/>
  <c r="BO109" i="85" s="1"/>
  <c r="BN110" i="85"/>
  <c r="BO110" i="85" s="1"/>
  <c r="F110" i="84" s="1"/>
  <c r="BN111" i="85"/>
  <c r="BN112" i="85"/>
  <c r="BO112" i="85" s="1"/>
  <c r="BN113" i="85"/>
  <c r="BO113" i="85" s="1"/>
  <c r="F113" i="84" s="1"/>
  <c r="BN114" i="85"/>
  <c r="BO114" i="85" s="1"/>
  <c r="BN115" i="85"/>
  <c r="BN116" i="85"/>
  <c r="BO116" i="85" s="1"/>
  <c r="BN117" i="85"/>
  <c r="BO117" i="85" s="1"/>
  <c r="F117" i="84" s="1"/>
  <c r="BN118" i="85"/>
  <c r="BO118" i="85" s="1"/>
  <c r="BN119" i="85"/>
  <c r="BO119" i="85" s="1"/>
  <c r="BN120" i="85"/>
  <c r="BO120" i="85" s="1"/>
  <c r="BN121" i="85"/>
  <c r="BO121" i="85" s="1"/>
  <c r="BN122" i="85"/>
  <c r="BO122" i="85" s="1"/>
  <c r="BN123" i="85"/>
  <c r="BO123" i="85" s="1"/>
  <c r="F123" i="84" s="1"/>
  <c r="BN124" i="85"/>
  <c r="BO124" i="85" s="1"/>
  <c r="BN125" i="85"/>
  <c r="BN126" i="85"/>
  <c r="BO126" i="85" s="1"/>
  <c r="F126" i="84" s="1"/>
  <c r="BN127" i="85"/>
  <c r="BO127" i="85" s="1"/>
  <c r="BN128" i="85"/>
  <c r="BO128" i="85" s="1"/>
  <c r="F128" i="84" s="1"/>
  <c r="BN129" i="85"/>
  <c r="BO129" i="85" s="1"/>
  <c r="F129" i="84" s="1"/>
  <c r="BN130" i="85"/>
  <c r="BO130" i="85" s="1"/>
  <c r="F130" i="84" s="1"/>
  <c r="BN131" i="85"/>
  <c r="BO131" i="85" s="1"/>
  <c r="BN132" i="85"/>
  <c r="BN133" i="85"/>
  <c r="BO133" i="85" s="1"/>
  <c r="BN134" i="85"/>
  <c r="BO134" i="85" s="1"/>
  <c r="BN135" i="85"/>
  <c r="BO135" i="85" s="1"/>
  <c r="BN136" i="85"/>
  <c r="BO136" i="85" s="1"/>
  <c r="BN137" i="85"/>
  <c r="BO137" i="85" s="1"/>
  <c r="F137" i="84" s="1"/>
  <c r="BN138" i="85"/>
  <c r="BO138" i="85" s="1"/>
  <c r="BN139" i="85"/>
  <c r="BN140" i="85"/>
  <c r="BO140" i="85" s="1"/>
  <c r="BN141" i="85"/>
  <c r="BO141" i="85" s="1"/>
  <c r="BN142" i="85"/>
  <c r="BO142" i="85" s="1"/>
  <c r="F142" i="84" s="1"/>
  <c r="BN143" i="85"/>
  <c r="BO143" i="85" s="1"/>
  <c r="BN144" i="85"/>
  <c r="BO144" i="85" s="1"/>
  <c r="F144" i="84" s="1"/>
  <c r="BN145" i="85"/>
  <c r="BO145" i="85" s="1"/>
  <c r="BN146" i="85"/>
  <c r="BO146" i="85" s="1"/>
  <c r="BN147" i="85"/>
  <c r="BO147" i="85" s="1"/>
  <c r="BN148" i="85"/>
  <c r="BO148" i="85" s="1"/>
  <c r="BN149" i="85"/>
  <c r="BO149" i="85" s="1"/>
  <c r="BN150" i="85"/>
  <c r="BO150" i="85" s="1"/>
  <c r="F150" i="84" s="1"/>
  <c r="BN151" i="85"/>
  <c r="BN152" i="85"/>
  <c r="BO152" i="85" s="1"/>
  <c r="F152" i="84" s="1"/>
  <c r="BN153" i="85"/>
  <c r="BO153" i="85" s="1"/>
  <c r="BN154" i="85"/>
  <c r="BO154" i="85" s="1"/>
  <c r="BN155" i="85"/>
  <c r="BO155" i="85" s="1"/>
  <c r="BN156" i="85"/>
  <c r="BO156" i="85" s="1"/>
  <c r="BN157" i="85"/>
  <c r="BO157" i="85" s="1"/>
  <c r="BN158" i="85"/>
  <c r="BO158" i="85" s="1"/>
  <c r="F158" i="84" s="1"/>
  <c r="BN159" i="85"/>
  <c r="BO159" i="85" s="1"/>
  <c r="BN160" i="85"/>
  <c r="BO160" i="85" s="1"/>
  <c r="F160" i="84" s="1"/>
  <c r="BN161" i="85"/>
  <c r="BO161" i="85" s="1"/>
  <c r="BN162" i="85"/>
  <c r="BO162" i="85" s="1"/>
  <c r="BN163" i="85"/>
  <c r="BO163" i="85" s="1"/>
  <c r="BN164" i="85"/>
  <c r="BO164" i="85" s="1"/>
  <c r="BN165" i="85"/>
  <c r="BO165" i="85" s="1"/>
  <c r="BN166" i="85"/>
  <c r="E166" i="84" s="1"/>
  <c r="BN167" i="85"/>
  <c r="BO167" i="85" s="1"/>
  <c r="F167" i="84" s="1"/>
  <c r="BN168" i="85"/>
  <c r="BO168" i="85" s="1"/>
  <c r="BN169" i="85"/>
  <c r="BO169" i="85" s="1"/>
  <c r="BN170" i="85"/>
  <c r="BO170" i="85" s="1"/>
  <c r="BN171" i="85"/>
  <c r="BO171" i="85" s="1"/>
  <c r="BN172" i="85"/>
  <c r="BO172" i="85" s="1"/>
  <c r="BN173" i="85"/>
  <c r="BO173" i="85" s="1"/>
  <c r="F173" i="84" s="1"/>
  <c r="BN174" i="85"/>
  <c r="BO174" i="85" s="1"/>
  <c r="BN175" i="85"/>
  <c r="BO175" i="85" s="1"/>
  <c r="F175" i="84" s="1"/>
  <c r="BN176" i="85"/>
  <c r="BO176" i="85" s="1"/>
  <c r="BN177" i="85"/>
  <c r="BO177" i="85" s="1"/>
  <c r="BN178" i="85"/>
  <c r="BO178" i="85" s="1"/>
  <c r="F178" i="84" s="1"/>
  <c r="BN179" i="85"/>
  <c r="BO179" i="85"/>
  <c r="F179" i="84" s="1"/>
  <c r="BN180" i="85"/>
  <c r="BO180" i="85" s="1"/>
  <c r="BN181" i="85"/>
  <c r="BO181" i="85" s="1"/>
  <c r="F181" i="84" s="1"/>
  <c r="BN182" i="85"/>
  <c r="BO182" i="85" s="1"/>
  <c r="BN183" i="85"/>
  <c r="BO183" i="85" s="1"/>
  <c r="BN184" i="85"/>
  <c r="BO184" i="85" s="1"/>
  <c r="BN185" i="85"/>
  <c r="BO185" i="85" s="1"/>
  <c r="BN186" i="85"/>
  <c r="BO186" i="85" s="1"/>
  <c r="F186" i="84" s="1"/>
  <c r="BN187" i="85"/>
  <c r="E187" i="84" s="1"/>
  <c r="BN188" i="85"/>
  <c r="BO188" i="85" s="1"/>
  <c r="F188" i="84" s="1"/>
  <c r="BN189" i="85"/>
  <c r="BO189" i="85" s="1"/>
  <c r="BN190" i="85"/>
  <c r="BO190" i="85" s="1"/>
  <c r="F190" i="84" s="1"/>
  <c r="BN191" i="85"/>
  <c r="BO191" i="85" s="1"/>
  <c r="BN192" i="85"/>
  <c r="BO192" i="85" s="1"/>
  <c r="BN193" i="85"/>
  <c r="E193" i="84" s="1"/>
  <c r="BN194" i="85"/>
  <c r="BO194" i="85" s="1"/>
  <c r="F194" i="84" s="1"/>
  <c r="BN195" i="85"/>
  <c r="BO195" i="85" s="1"/>
  <c r="F195" i="84" s="1"/>
  <c r="BN196" i="85"/>
  <c r="BO196" i="85" s="1"/>
  <c r="BN197" i="85"/>
  <c r="BO197" i="85" s="1"/>
  <c r="BN198" i="85"/>
  <c r="BO198" i="85" s="1"/>
  <c r="BN199" i="85"/>
  <c r="BO199" i="85" s="1"/>
  <c r="BN200" i="85"/>
  <c r="BO200" i="85" s="1"/>
  <c r="BN201" i="85"/>
  <c r="BO201" i="85" s="1"/>
  <c r="F201" i="84" s="1"/>
  <c r="BN202" i="85"/>
  <c r="BO202" i="85" s="1"/>
  <c r="BN203" i="85"/>
  <c r="BO203" i="85" s="1"/>
  <c r="BN204" i="85"/>
  <c r="BO204" i="85" s="1"/>
  <c r="BN205" i="85"/>
  <c r="BO205" i="85" s="1"/>
  <c r="BN206" i="85"/>
  <c r="BN207" i="85"/>
  <c r="BO207" i="85" s="1"/>
  <c r="BN208" i="85"/>
  <c r="BO208" i="85" s="1"/>
  <c r="F208" i="84" s="1"/>
  <c r="BN209" i="85"/>
  <c r="BO209" i="85" s="1"/>
  <c r="BN210" i="85"/>
  <c r="BO210" i="85" s="1"/>
  <c r="BN211" i="85"/>
  <c r="BO211" i="85" s="1"/>
  <c r="BN212" i="85"/>
  <c r="BO212" i="85" s="1"/>
  <c r="BN213" i="85"/>
  <c r="BO213" i="85"/>
  <c r="BN214" i="85"/>
  <c r="BO214" i="85" s="1"/>
  <c r="BN215" i="85"/>
  <c r="BO215" i="85" s="1"/>
  <c r="BN216" i="85"/>
  <c r="BO216" i="85" s="1"/>
  <c r="BN217" i="85"/>
  <c r="BO217" i="85" s="1"/>
  <c r="BN218" i="85"/>
  <c r="BO218" i="85" s="1"/>
  <c r="BN219" i="85"/>
  <c r="BO219" i="85" s="1"/>
  <c r="BN220" i="85"/>
  <c r="BO220" i="85" s="1"/>
  <c r="F220" i="84" s="1"/>
  <c r="BN221" i="85"/>
  <c r="BO221" i="85" s="1"/>
  <c r="BN222" i="85"/>
  <c r="BO222" i="85" s="1"/>
  <c r="BN223" i="85"/>
  <c r="BO223" i="85" s="1"/>
  <c r="F223" i="84" s="1"/>
  <c r="BN224" i="85"/>
  <c r="BO224" i="85" s="1"/>
  <c r="BN225" i="85"/>
  <c r="BO225" i="85" s="1"/>
  <c r="BN226" i="85"/>
  <c r="BO226" i="85" s="1"/>
  <c r="F226" i="84" s="1"/>
  <c r="BN227" i="85"/>
  <c r="BO227" i="85" s="1"/>
  <c r="BN228" i="85"/>
  <c r="BO228" i="85" s="1"/>
  <c r="F228" i="84" s="1"/>
  <c r="BN229" i="85"/>
  <c r="BO229" i="85" s="1"/>
  <c r="BN230" i="85"/>
  <c r="BO230" i="85" s="1"/>
  <c r="BN231" i="85"/>
  <c r="BO231" i="85" s="1"/>
  <c r="BN232" i="85"/>
  <c r="BO232" i="85" s="1"/>
  <c r="BN233" i="85"/>
  <c r="BO233" i="85" s="1"/>
  <c r="BN234" i="85"/>
  <c r="BO234" i="85" s="1"/>
  <c r="F234" i="84" s="1"/>
  <c r="BN235" i="85"/>
  <c r="BO235" i="85" s="1"/>
  <c r="BN236" i="85"/>
  <c r="BO236" i="85" s="1"/>
  <c r="F236" i="84" s="1"/>
  <c r="BN237" i="85"/>
  <c r="BO237" i="85" s="1"/>
  <c r="BN238" i="85"/>
  <c r="BO238" i="85" s="1"/>
  <c r="BN239" i="85"/>
  <c r="BO239" i="85" s="1"/>
  <c r="BN240" i="85"/>
  <c r="BO240" i="85" s="1"/>
  <c r="BN241" i="85"/>
  <c r="BO241" i="85" s="1"/>
  <c r="BN242" i="85"/>
  <c r="BO242" i="85" s="1"/>
  <c r="F242" i="84" s="1"/>
  <c r="BN243" i="85"/>
  <c r="BO243" i="85" s="1"/>
  <c r="BN244" i="85"/>
  <c r="BO244" i="85" s="1"/>
  <c r="F244" i="84" s="1"/>
  <c r="BN245" i="85"/>
  <c r="BO245" i="85" s="1"/>
  <c r="F245" i="84" s="1"/>
  <c r="BN246" i="85"/>
  <c r="BO246" i="85" s="1"/>
  <c r="BN247" i="85"/>
  <c r="BO247" i="85" s="1"/>
  <c r="F247" i="84" s="1"/>
  <c r="BN248" i="85"/>
  <c r="BO248" i="85" s="1"/>
  <c r="BN249" i="85"/>
  <c r="BO249" i="85" s="1"/>
  <c r="BN250" i="85"/>
  <c r="BO250" i="85" s="1"/>
  <c r="BN251" i="85"/>
  <c r="BO251" i="85" s="1"/>
  <c r="BN252" i="85"/>
  <c r="BO252" i="85" s="1"/>
  <c r="F252" i="84" s="1"/>
  <c r="BN253" i="85"/>
  <c r="BO253" i="85" s="1"/>
  <c r="F253" i="84" s="1"/>
  <c r="BN254" i="85"/>
  <c r="BO254" i="85" s="1"/>
  <c r="BN255" i="85"/>
  <c r="BO255" i="85" s="1"/>
  <c r="F255" i="84" s="1"/>
  <c r="BN256" i="85"/>
  <c r="BO256" i="85" s="1"/>
  <c r="BN257" i="85"/>
  <c r="BO257" i="85" s="1"/>
  <c r="BN258" i="85"/>
  <c r="BO258" i="85" s="1"/>
  <c r="F258" i="84" s="1"/>
  <c r="BN259" i="85"/>
  <c r="BO259" i="85" s="1"/>
  <c r="BN260" i="85"/>
  <c r="BO260" i="85" s="1"/>
  <c r="BN261" i="85"/>
  <c r="BO261" i="85" s="1"/>
  <c r="BN262" i="85"/>
  <c r="BO262" i="85" s="1"/>
  <c r="BN263" i="85"/>
  <c r="BO263" i="85" s="1"/>
  <c r="F263" i="84" s="1"/>
  <c r="BN264" i="85"/>
  <c r="BO264" i="85" s="1"/>
  <c r="BN265" i="85"/>
  <c r="BO265" i="85" s="1"/>
  <c r="BN266" i="85"/>
  <c r="BO266" i="85" s="1"/>
  <c r="F266" i="84" s="1"/>
  <c r="BN267" i="85"/>
  <c r="BO267" i="85" s="1"/>
  <c r="BN268" i="85"/>
  <c r="BO268" i="85" s="1"/>
  <c r="F268" i="84" s="1"/>
  <c r="BN269" i="85"/>
  <c r="BO269" i="85" s="1"/>
  <c r="F269" i="84" s="1"/>
  <c r="BN270" i="85"/>
  <c r="BO270" i="85" s="1"/>
  <c r="BN271" i="85"/>
  <c r="BO271" i="85" s="1"/>
  <c r="F271" i="84" s="1"/>
  <c r="BN272" i="85"/>
  <c r="BO272" i="85" s="1"/>
  <c r="E9" i="84"/>
  <c r="I9" i="84"/>
  <c r="I10" i="84"/>
  <c r="J10" i="84"/>
  <c r="I11" i="84"/>
  <c r="E12" i="84"/>
  <c r="F12" i="84"/>
  <c r="E13" i="84"/>
  <c r="F13" i="84"/>
  <c r="I13" i="84"/>
  <c r="J13" i="84"/>
  <c r="E14" i="84"/>
  <c r="G14" i="84"/>
  <c r="I14" i="84"/>
  <c r="J14" i="84"/>
  <c r="I15" i="84"/>
  <c r="J15" i="84"/>
  <c r="E16" i="84"/>
  <c r="I16" i="84"/>
  <c r="I17" i="84"/>
  <c r="I18" i="84"/>
  <c r="J18" i="84"/>
  <c r="E19" i="84"/>
  <c r="F19" i="84"/>
  <c r="G19" i="84"/>
  <c r="E20" i="84"/>
  <c r="F20" i="84"/>
  <c r="E21" i="84"/>
  <c r="F21" i="84"/>
  <c r="I21" i="84"/>
  <c r="J21" i="84"/>
  <c r="E22" i="84"/>
  <c r="I22" i="84"/>
  <c r="J22" i="84"/>
  <c r="I23" i="84"/>
  <c r="J23" i="84"/>
  <c r="F24" i="84"/>
  <c r="I24" i="84"/>
  <c r="I25" i="84"/>
  <c r="J25" i="84"/>
  <c r="G26" i="84"/>
  <c r="I26" i="84"/>
  <c r="J26" i="84"/>
  <c r="E27" i="84"/>
  <c r="F27" i="84"/>
  <c r="I27" i="84"/>
  <c r="E28" i="84"/>
  <c r="F28" i="84"/>
  <c r="G28" i="84"/>
  <c r="E29" i="84"/>
  <c r="F29" i="84"/>
  <c r="I29" i="84"/>
  <c r="J29" i="84"/>
  <c r="G30" i="84"/>
  <c r="I30" i="84"/>
  <c r="J30" i="84"/>
  <c r="I31" i="84"/>
  <c r="J31" i="84"/>
  <c r="E32" i="84"/>
  <c r="I32" i="84"/>
  <c r="I33" i="84"/>
  <c r="J33" i="84"/>
  <c r="I34" i="84"/>
  <c r="J34" i="84"/>
  <c r="E35" i="84"/>
  <c r="F35" i="84"/>
  <c r="G35" i="84"/>
  <c r="I35" i="84"/>
  <c r="E36" i="84"/>
  <c r="F36" i="84"/>
  <c r="I36" i="84"/>
  <c r="E37" i="84"/>
  <c r="I37" i="84"/>
  <c r="J37" i="84"/>
  <c r="E38" i="84"/>
  <c r="F38" i="84"/>
  <c r="I38" i="84"/>
  <c r="J38" i="84"/>
  <c r="I39" i="84"/>
  <c r="J39" i="84"/>
  <c r="E40" i="84"/>
  <c r="I40" i="84"/>
  <c r="E41" i="84"/>
  <c r="I41" i="84"/>
  <c r="G42" i="84"/>
  <c r="I42" i="84"/>
  <c r="J42" i="84"/>
  <c r="E43" i="84"/>
  <c r="E44" i="84"/>
  <c r="F44" i="84"/>
  <c r="I45" i="84"/>
  <c r="J45" i="84"/>
  <c r="E46" i="84"/>
  <c r="F46" i="84"/>
  <c r="I46" i="84"/>
  <c r="J46" i="84"/>
  <c r="I47" i="84"/>
  <c r="J47" i="84"/>
  <c r="F48" i="84"/>
  <c r="I48" i="84"/>
  <c r="I49" i="84"/>
  <c r="J49" i="84"/>
  <c r="I50" i="84"/>
  <c r="J50" i="84"/>
  <c r="F51" i="84"/>
  <c r="G51" i="84"/>
  <c r="I51" i="84"/>
  <c r="J51" i="84"/>
  <c r="E52" i="84"/>
  <c r="F52" i="84"/>
  <c r="I52" i="84"/>
  <c r="I53" i="84"/>
  <c r="J53" i="84"/>
  <c r="E54" i="84"/>
  <c r="F54" i="84"/>
  <c r="I54" i="84"/>
  <c r="J54" i="84"/>
  <c r="I55" i="84"/>
  <c r="J55" i="84"/>
  <c r="I56" i="84"/>
  <c r="E57" i="84"/>
  <c r="I57" i="84"/>
  <c r="I58" i="84"/>
  <c r="J58" i="84"/>
  <c r="E59" i="84"/>
  <c r="I59" i="84"/>
  <c r="E60" i="84"/>
  <c r="F60" i="84"/>
  <c r="G60" i="84"/>
  <c r="I60" i="84"/>
  <c r="E61" i="84"/>
  <c r="I61" i="84"/>
  <c r="J61" i="84"/>
  <c r="E62" i="84"/>
  <c r="F62" i="84"/>
  <c r="I62" i="84"/>
  <c r="J62" i="84"/>
  <c r="I63" i="84"/>
  <c r="J63" i="84"/>
  <c r="I64" i="84"/>
  <c r="I65" i="84"/>
  <c r="J65" i="84"/>
  <c r="E66" i="84"/>
  <c r="I66" i="84"/>
  <c r="J66" i="84"/>
  <c r="F67" i="84"/>
  <c r="G67" i="84"/>
  <c r="E68" i="84"/>
  <c r="F68" i="84"/>
  <c r="I68" i="84"/>
  <c r="I69" i="84"/>
  <c r="E70" i="84"/>
  <c r="F70" i="84"/>
  <c r="I70" i="84"/>
  <c r="E71" i="84"/>
  <c r="I71" i="84"/>
  <c r="J71" i="84"/>
  <c r="E73" i="84"/>
  <c r="E74" i="84"/>
  <c r="G74" i="84"/>
  <c r="I74" i="84"/>
  <c r="E75" i="84"/>
  <c r="F75" i="84"/>
  <c r="I75" i="84"/>
  <c r="J75" i="84"/>
  <c r="E76" i="84"/>
  <c r="F76" i="84"/>
  <c r="G76" i="84"/>
  <c r="I76" i="84"/>
  <c r="J76" i="84"/>
  <c r="I77" i="84"/>
  <c r="E78" i="84"/>
  <c r="F78" i="84"/>
  <c r="G78" i="84"/>
  <c r="F79" i="84"/>
  <c r="I79" i="84"/>
  <c r="J79" i="84"/>
  <c r="H80" i="84"/>
  <c r="I80" i="84"/>
  <c r="J80" i="84"/>
  <c r="I81" i="84"/>
  <c r="J81" i="84"/>
  <c r="F82" i="84"/>
  <c r="F83" i="84"/>
  <c r="I83" i="84"/>
  <c r="J83" i="84"/>
  <c r="E84" i="84"/>
  <c r="F84" i="84"/>
  <c r="J85" i="84"/>
  <c r="E86" i="84"/>
  <c r="F86" i="84"/>
  <c r="G86" i="84"/>
  <c r="I86" i="84"/>
  <c r="J86" i="84"/>
  <c r="I87" i="84"/>
  <c r="J87" i="84"/>
  <c r="E88" i="84"/>
  <c r="G88" i="84"/>
  <c r="I88" i="84"/>
  <c r="J88" i="84"/>
  <c r="E89" i="84"/>
  <c r="I89" i="84"/>
  <c r="J89" i="84"/>
  <c r="E90" i="84"/>
  <c r="I90" i="84"/>
  <c r="J90" i="84"/>
  <c r="E91" i="84"/>
  <c r="F91" i="84"/>
  <c r="I91" i="84"/>
  <c r="J91" i="84"/>
  <c r="E92" i="84"/>
  <c r="F92" i="84"/>
  <c r="I92" i="84"/>
  <c r="I93" i="84"/>
  <c r="J93" i="84"/>
  <c r="E94" i="84"/>
  <c r="F94" i="84"/>
  <c r="G94" i="84"/>
  <c r="I94" i="84"/>
  <c r="J94" i="84"/>
  <c r="I95" i="84"/>
  <c r="J95" i="84"/>
  <c r="F96" i="84"/>
  <c r="I96" i="84"/>
  <c r="J96" i="84"/>
  <c r="I97" i="84"/>
  <c r="J97" i="84"/>
  <c r="I98" i="84"/>
  <c r="J98" i="84"/>
  <c r="E99" i="84"/>
  <c r="F99" i="84"/>
  <c r="G99" i="84"/>
  <c r="I99" i="84"/>
  <c r="J99" i="84"/>
  <c r="E100" i="84"/>
  <c r="F100" i="84"/>
  <c r="E101" i="84"/>
  <c r="I101" i="84"/>
  <c r="J101" i="84"/>
  <c r="E102" i="84"/>
  <c r="G102" i="84"/>
  <c r="I102" i="84"/>
  <c r="J102" i="84"/>
  <c r="I103" i="84"/>
  <c r="J103" i="84"/>
  <c r="E104" i="84"/>
  <c r="F104" i="84"/>
  <c r="G104" i="84"/>
  <c r="I104" i="84"/>
  <c r="J104" i="84"/>
  <c r="F105" i="84"/>
  <c r="E106" i="84"/>
  <c r="F106" i="84"/>
  <c r="G106" i="84"/>
  <c r="I106" i="84"/>
  <c r="J106" i="84"/>
  <c r="E107" i="84"/>
  <c r="F107" i="84"/>
  <c r="G107" i="84"/>
  <c r="I107" i="84"/>
  <c r="J107" i="84"/>
  <c r="E109" i="84"/>
  <c r="F109" i="84"/>
  <c r="I109" i="84"/>
  <c r="J109" i="84"/>
  <c r="I110" i="84"/>
  <c r="J110" i="84"/>
  <c r="I111" i="84"/>
  <c r="J111" i="84"/>
  <c r="E112" i="84"/>
  <c r="F112" i="84"/>
  <c r="G112" i="84"/>
  <c r="I112" i="84"/>
  <c r="J112" i="84"/>
  <c r="E114" i="84"/>
  <c r="F114" i="84"/>
  <c r="I114" i="84"/>
  <c r="J114" i="84"/>
  <c r="I115" i="84"/>
  <c r="J115" i="84"/>
  <c r="E116" i="84"/>
  <c r="F116" i="84"/>
  <c r="I117" i="84"/>
  <c r="J117" i="84"/>
  <c r="F118" i="84"/>
  <c r="I118" i="84"/>
  <c r="J118" i="84"/>
  <c r="E119" i="84"/>
  <c r="F119" i="84"/>
  <c r="I119" i="84"/>
  <c r="J119" i="84"/>
  <c r="F120" i="84"/>
  <c r="I120" i="84"/>
  <c r="E121" i="84"/>
  <c r="F121" i="84"/>
  <c r="I121" i="84"/>
  <c r="J121" i="84"/>
  <c r="E122" i="84"/>
  <c r="F122" i="84"/>
  <c r="I122" i="84"/>
  <c r="J122" i="84"/>
  <c r="E124" i="84"/>
  <c r="F124" i="84"/>
  <c r="I124" i="84"/>
  <c r="J124" i="84"/>
  <c r="I125" i="84"/>
  <c r="J125" i="84"/>
  <c r="G126" i="84"/>
  <c r="I126" i="84"/>
  <c r="J126" i="84"/>
  <c r="E127" i="84"/>
  <c r="F127" i="84"/>
  <c r="I127" i="84"/>
  <c r="I128" i="84"/>
  <c r="J128" i="84"/>
  <c r="E129" i="84"/>
  <c r="I129" i="84"/>
  <c r="J129" i="84"/>
  <c r="E130" i="84"/>
  <c r="G130" i="84"/>
  <c r="I130" i="84"/>
  <c r="J130" i="84"/>
  <c r="E131" i="84"/>
  <c r="F131" i="84"/>
  <c r="J131" i="84"/>
  <c r="I132" i="84"/>
  <c r="J132" i="84"/>
  <c r="E133" i="84"/>
  <c r="F133" i="84"/>
  <c r="I133" i="84"/>
  <c r="J133" i="84"/>
  <c r="F134" i="84"/>
  <c r="I134" i="84"/>
  <c r="J134" i="84"/>
  <c r="E135" i="84"/>
  <c r="F135" i="84"/>
  <c r="I135" i="84"/>
  <c r="J135" i="84"/>
  <c r="F136" i="84"/>
  <c r="I136" i="84"/>
  <c r="J136" i="84"/>
  <c r="E137" i="84"/>
  <c r="I137" i="84"/>
  <c r="J137" i="84"/>
  <c r="E138" i="84"/>
  <c r="F138" i="84"/>
  <c r="I138" i="84"/>
  <c r="I139" i="84"/>
  <c r="J139" i="84"/>
  <c r="E140" i="84"/>
  <c r="F140" i="84"/>
  <c r="I140" i="84"/>
  <c r="J140" i="84"/>
  <c r="E141" i="84"/>
  <c r="F141" i="84"/>
  <c r="I141" i="84"/>
  <c r="J141" i="84"/>
  <c r="G142" i="84"/>
  <c r="I142" i="84"/>
  <c r="J142" i="84"/>
  <c r="E143" i="84"/>
  <c r="F143" i="84"/>
  <c r="I143" i="84"/>
  <c r="J143" i="84"/>
  <c r="I144" i="84"/>
  <c r="J144" i="84"/>
  <c r="E145" i="84"/>
  <c r="F145" i="84"/>
  <c r="I145" i="84"/>
  <c r="J145" i="84"/>
  <c r="E146" i="84"/>
  <c r="F146" i="84"/>
  <c r="E147" i="84"/>
  <c r="F147" i="84"/>
  <c r="G147" i="84"/>
  <c r="I147" i="84"/>
  <c r="J147" i="84"/>
  <c r="E148" i="84"/>
  <c r="F148" i="84"/>
  <c r="I148" i="84"/>
  <c r="J148" i="84"/>
  <c r="E149" i="84"/>
  <c r="F149" i="84"/>
  <c r="I149" i="84"/>
  <c r="J149" i="84"/>
  <c r="E150" i="84"/>
  <c r="G150" i="84"/>
  <c r="I150" i="84"/>
  <c r="J150" i="84"/>
  <c r="I151" i="84"/>
  <c r="J151" i="84"/>
  <c r="E152" i="84"/>
  <c r="I152" i="84"/>
  <c r="J152" i="84"/>
  <c r="E153" i="84"/>
  <c r="F153" i="84"/>
  <c r="I153" i="84"/>
  <c r="J153" i="84"/>
  <c r="E154" i="84"/>
  <c r="N154" i="84" s="1"/>
  <c r="F154" i="84"/>
  <c r="G154" i="84"/>
  <c r="E155" i="84"/>
  <c r="F155" i="84"/>
  <c r="I155" i="84"/>
  <c r="J155" i="84"/>
  <c r="E156" i="84"/>
  <c r="F156" i="84"/>
  <c r="I156" i="84"/>
  <c r="E157" i="84"/>
  <c r="F157" i="84"/>
  <c r="I157" i="84"/>
  <c r="J157" i="84"/>
  <c r="I158" i="84"/>
  <c r="J158" i="84"/>
  <c r="E159" i="84"/>
  <c r="F159" i="84"/>
  <c r="I159" i="84"/>
  <c r="J159" i="84"/>
  <c r="I160" i="84"/>
  <c r="J160" i="84"/>
  <c r="E161" i="84"/>
  <c r="F161" i="84"/>
  <c r="G161" i="84"/>
  <c r="E162" i="84"/>
  <c r="F162" i="84"/>
  <c r="G162" i="84"/>
  <c r="I162" i="84"/>
  <c r="J162" i="84"/>
  <c r="E163" i="84"/>
  <c r="F163" i="84"/>
  <c r="I163" i="84"/>
  <c r="J163" i="84"/>
  <c r="E164" i="84"/>
  <c r="F164" i="84"/>
  <c r="I164" i="84"/>
  <c r="J164" i="84"/>
  <c r="E165" i="84"/>
  <c r="F165" i="84"/>
  <c r="I165" i="84"/>
  <c r="J165" i="84"/>
  <c r="G166" i="84"/>
  <c r="I166" i="84"/>
  <c r="J166" i="84"/>
  <c r="I167" i="84"/>
  <c r="J167" i="84"/>
  <c r="E168" i="84"/>
  <c r="F168" i="84"/>
  <c r="G168" i="84"/>
  <c r="I168" i="84"/>
  <c r="J168" i="84"/>
  <c r="E169" i="84"/>
  <c r="F169" i="84"/>
  <c r="E170" i="84"/>
  <c r="F170" i="84"/>
  <c r="I170" i="84"/>
  <c r="J170" i="84"/>
  <c r="E171" i="84"/>
  <c r="F171" i="84"/>
  <c r="I171" i="84"/>
  <c r="J171" i="84"/>
  <c r="E172" i="84"/>
  <c r="F172" i="84"/>
  <c r="I172" i="84"/>
  <c r="J172" i="84"/>
  <c r="I173" i="84"/>
  <c r="J173" i="84"/>
  <c r="E174" i="84"/>
  <c r="F174" i="84"/>
  <c r="I174" i="84"/>
  <c r="J174" i="84"/>
  <c r="I175" i="84"/>
  <c r="J175" i="84"/>
  <c r="E176" i="84"/>
  <c r="F176" i="84"/>
  <c r="I176" i="84"/>
  <c r="J176" i="84"/>
  <c r="E177" i="84"/>
  <c r="F177" i="84"/>
  <c r="E178" i="84"/>
  <c r="I178" i="84"/>
  <c r="J178" i="84"/>
  <c r="E179" i="84"/>
  <c r="I179" i="84"/>
  <c r="J179" i="84"/>
  <c r="E180" i="84"/>
  <c r="F180" i="84"/>
  <c r="I180" i="84"/>
  <c r="J180" i="84"/>
  <c r="I181" i="84"/>
  <c r="J181" i="84"/>
  <c r="E182" i="84"/>
  <c r="F182" i="84"/>
  <c r="I182" i="84"/>
  <c r="J182" i="84"/>
  <c r="E183" i="84"/>
  <c r="F183" i="84"/>
  <c r="I183" i="84"/>
  <c r="J183" i="84"/>
  <c r="E184" i="84"/>
  <c r="F184" i="84"/>
  <c r="I184" i="84"/>
  <c r="E185" i="84"/>
  <c r="F185" i="84"/>
  <c r="I185" i="84"/>
  <c r="J185" i="84"/>
  <c r="I186" i="84"/>
  <c r="J186" i="84"/>
  <c r="G187" i="84"/>
  <c r="I187" i="84"/>
  <c r="J187" i="84"/>
  <c r="E188" i="84"/>
  <c r="I188" i="84"/>
  <c r="J188" i="84"/>
  <c r="E189" i="84"/>
  <c r="F189" i="84"/>
  <c r="I189" i="84"/>
  <c r="J189" i="84"/>
  <c r="E190" i="84"/>
  <c r="I190" i="84"/>
  <c r="J190" i="84"/>
  <c r="E191" i="84"/>
  <c r="F191" i="84"/>
  <c r="I191" i="84"/>
  <c r="J191" i="84"/>
  <c r="F192" i="84"/>
  <c r="I193" i="84"/>
  <c r="J193" i="84"/>
  <c r="E194" i="84"/>
  <c r="I194" i="84"/>
  <c r="J194" i="84"/>
  <c r="E195" i="84"/>
  <c r="G195" i="84"/>
  <c r="I195" i="84"/>
  <c r="J195" i="84"/>
  <c r="E196" i="84"/>
  <c r="F196" i="84"/>
  <c r="G196" i="84"/>
  <c r="I196" i="84"/>
  <c r="J196" i="84"/>
  <c r="E197" i="84"/>
  <c r="F197" i="84"/>
  <c r="I197" i="84"/>
  <c r="J197" i="84"/>
  <c r="E198" i="84"/>
  <c r="F198" i="84"/>
  <c r="I198" i="84"/>
  <c r="J198" i="84"/>
  <c r="F199" i="84"/>
  <c r="I199" i="84"/>
  <c r="J199" i="84"/>
  <c r="E200" i="84"/>
  <c r="F200" i="84"/>
  <c r="I201" i="84"/>
  <c r="J201" i="84"/>
  <c r="E202" i="84"/>
  <c r="F202" i="84"/>
  <c r="I202" i="84"/>
  <c r="J202" i="84"/>
  <c r="F203" i="84"/>
  <c r="G203" i="84"/>
  <c r="I203" i="84"/>
  <c r="J203" i="84"/>
  <c r="E204" i="84"/>
  <c r="F204" i="84"/>
  <c r="I204" i="84"/>
  <c r="J204" i="84"/>
  <c r="E205" i="84"/>
  <c r="F205" i="84"/>
  <c r="I205" i="84"/>
  <c r="J205" i="84"/>
  <c r="I206" i="84"/>
  <c r="J206" i="84"/>
  <c r="E207" i="84"/>
  <c r="F207" i="84"/>
  <c r="J207" i="84"/>
  <c r="I208" i="84"/>
  <c r="J208" i="84"/>
  <c r="E209" i="84"/>
  <c r="F209" i="84"/>
  <c r="I209" i="84"/>
  <c r="J209" i="84"/>
  <c r="E210" i="84"/>
  <c r="F210" i="84"/>
  <c r="I210" i="84"/>
  <c r="J210" i="84"/>
  <c r="F211" i="84"/>
  <c r="G211" i="84"/>
  <c r="I211" i="84"/>
  <c r="J211" i="84"/>
  <c r="E212" i="84"/>
  <c r="F212" i="84"/>
  <c r="I212" i="84"/>
  <c r="J212" i="84"/>
  <c r="E213" i="84"/>
  <c r="F213" i="84"/>
  <c r="I213" i="84"/>
  <c r="J213" i="84"/>
  <c r="E214" i="84"/>
  <c r="F214" i="84"/>
  <c r="I214" i="84"/>
  <c r="J214" i="84"/>
  <c r="F215" i="84"/>
  <c r="E216" i="84"/>
  <c r="F216" i="84"/>
  <c r="I216" i="84"/>
  <c r="J216" i="84"/>
  <c r="E217" i="84"/>
  <c r="F217" i="84"/>
  <c r="G217" i="84"/>
  <c r="I217" i="84"/>
  <c r="J217" i="84"/>
  <c r="E218" i="84"/>
  <c r="F218" i="84"/>
  <c r="I218" i="84"/>
  <c r="J218" i="84"/>
  <c r="E219" i="84"/>
  <c r="F219" i="84"/>
  <c r="I219" i="84"/>
  <c r="J219" i="84"/>
  <c r="I220" i="84"/>
  <c r="J220" i="84"/>
  <c r="F221" i="84"/>
  <c r="G221" i="84"/>
  <c r="I221" i="84"/>
  <c r="J221" i="84"/>
  <c r="E222" i="84"/>
  <c r="F222" i="84"/>
  <c r="E223" i="84"/>
  <c r="I223" i="84"/>
  <c r="J223" i="84"/>
  <c r="E224" i="84"/>
  <c r="F224" i="84"/>
  <c r="I224" i="84"/>
  <c r="J224" i="84"/>
  <c r="E225" i="84"/>
  <c r="F225" i="84"/>
  <c r="G225" i="84"/>
  <c r="I225" i="84"/>
  <c r="J225" i="84"/>
  <c r="E226" i="84"/>
  <c r="I226" i="84"/>
  <c r="J226" i="84"/>
  <c r="E227" i="84"/>
  <c r="F227" i="84"/>
  <c r="G227" i="84"/>
  <c r="I227" i="84"/>
  <c r="J227" i="84"/>
  <c r="I228" i="84"/>
  <c r="J228" i="84"/>
  <c r="F229" i="84"/>
  <c r="I229" i="84"/>
  <c r="J229" i="84"/>
  <c r="E230" i="84"/>
  <c r="F230" i="84"/>
  <c r="F231" i="84"/>
  <c r="I231" i="84"/>
  <c r="J231" i="84"/>
  <c r="E232" i="84"/>
  <c r="F232" i="84"/>
  <c r="I232" i="84"/>
  <c r="J232" i="84"/>
  <c r="E233" i="84"/>
  <c r="F233" i="84"/>
  <c r="G233" i="84"/>
  <c r="I233" i="84"/>
  <c r="J233" i="84"/>
  <c r="E234" i="84"/>
  <c r="I234" i="84"/>
  <c r="J234" i="84"/>
  <c r="E235" i="84"/>
  <c r="F235" i="84"/>
  <c r="I235" i="84"/>
  <c r="J235" i="84"/>
  <c r="I236" i="84"/>
  <c r="J236" i="84"/>
  <c r="F237" i="84"/>
  <c r="I237" i="84"/>
  <c r="J237" i="84"/>
  <c r="E238" i="84"/>
  <c r="F238" i="84"/>
  <c r="F239" i="84"/>
  <c r="G239" i="84"/>
  <c r="I239" i="84"/>
  <c r="J239" i="84"/>
  <c r="E240" i="84"/>
  <c r="F240" i="84"/>
  <c r="I240" i="84"/>
  <c r="J240" i="84"/>
  <c r="E241" i="84"/>
  <c r="F241" i="84"/>
  <c r="I241" i="84"/>
  <c r="J241" i="84"/>
  <c r="E242" i="84"/>
  <c r="I242" i="84"/>
  <c r="J242" i="84"/>
  <c r="E243" i="84"/>
  <c r="F243" i="84"/>
  <c r="I243" i="84"/>
  <c r="J243" i="84"/>
  <c r="I244" i="84"/>
  <c r="J244" i="84"/>
  <c r="E245" i="84"/>
  <c r="I245" i="84"/>
  <c r="J245" i="84"/>
  <c r="E246" i="84"/>
  <c r="F246" i="84"/>
  <c r="G247" i="84"/>
  <c r="I247" i="84"/>
  <c r="J247" i="84"/>
  <c r="E248" i="84"/>
  <c r="F248" i="84"/>
  <c r="I248" i="84"/>
  <c r="E249" i="84"/>
  <c r="F249" i="84"/>
  <c r="I249" i="84"/>
  <c r="J249" i="84"/>
  <c r="E250" i="84"/>
  <c r="F250" i="84"/>
  <c r="I250" i="84"/>
  <c r="J250" i="84"/>
  <c r="E251" i="84"/>
  <c r="F251" i="84"/>
  <c r="G251" i="84"/>
  <c r="I251" i="84"/>
  <c r="J251" i="84"/>
  <c r="I252" i="84"/>
  <c r="J252" i="84"/>
  <c r="E253" i="84"/>
  <c r="I253" i="84"/>
  <c r="E254" i="84"/>
  <c r="F254" i="84"/>
  <c r="I254" i="84"/>
  <c r="J254" i="84"/>
  <c r="I255" i="84"/>
  <c r="J255" i="84"/>
  <c r="E256" i="84"/>
  <c r="F256" i="84"/>
  <c r="I256" i="84"/>
  <c r="J256" i="84"/>
  <c r="E257" i="84"/>
  <c r="F257" i="84"/>
  <c r="G257" i="84"/>
  <c r="I257" i="84"/>
  <c r="J257" i="84"/>
  <c r="E258" i="84"/>
  <c r="I258" i="84"/>
  <c r="J258" i="84"/>
  <c r="E259" i="84"/>
  <c r="F259" i="84"/>
  <c r="I259" i="84"/>
  <c r="J259" i="84"/>
  <c r="F260" i="84"/>
  <c r="G260" i="84"/>
  <c r="I260" i="84"/>
  <c r="J260" i="84"/>
  <c r="F261" i="84"/>
  <c r="G261" i="84"/>
  <c r="E262" i="84"/>
  <c r="F262" i="84"/>
  <c r="I262" i="84"/>
  <c r="J262" i="84"/>
  <c r="E263" i="84"/>
  <c r="I263" i="84"/>
  <c r="J263" i="84"/>
  <c r="E264" i="84"/>
  <c r="F264" i="84"/>
  <c r="I264" i="84"/>
  <c r="J264" i="84"/>
  <c r="E265" i="84"/>
  <c r="F265" i="84"/>
  <c r="I265" i="84"/>
  <c r="J265" i="84"/>
  <c r="E266" i="84"/>
  <c r="I266" i="84"/>
  <c r="J266" i="84"/>
  <c r="E267" i="84"/>
  <c r="F267" i="84"/>
  <c r="G267" i="84"/>
  <c r="I267" i="84"/>
  <c r="J267" i="84"/>
  <c r="G268" i="84"/>
  <c r="I268" i="84"/>
  <c r="I269" i="84"/>
  <c r="J269" i="84"/>
  <c r="E270" i="84"/>
  <c r="F270" i="84"/>
  <c r="I270" i="84"/>
  <c r="J270" i="84"/>
  <c r="I271" i="84"/>
  <c r="J271" i="84"/>
  <c r="E272" i="84"/>
  <c r="F272" i="84"/>
  <c r="I272" i="84"/>
  <c r="J272" i="84"/>
  <c r="N76" i="84" l="1"/>
  <c r="O154" i="84"/>
  <c r="P110" i="84"/>
  <c r="E261" i="84"/>
  <c r="E239" i="84"/>
  <c r="E237" i="84"/>
  <c r="E231" i="84"/>
  <c r="E229" i="84"/>
  <c r="E221" i="84"/>
  <c r="E215" i="84"/>
  <c r="I207" i="84"/>
  <c r="E201" i="84"/>
  <c r="E199" i="84"/>
  <c r="E136" i="84"/>
  <c r="E134" i="84"/>
  <c r="I131" i="84"/>
  <c r="E120" i="84"/>
  <c r="E105" i="84"/>
  <c r="I85" i="84"/>
  <c r="E82" i="84"/>
  <c r="E48" i="84"/>
  <c r="BO193" i="85"/>
  <c r="F193" i="84" s="1"/>
  <c r="BO187" i="85"/>
  <c r="F187" i="84" s="1"/>
  <c r="BO166" i="85"/>
  <c r="F166" i="84" s="1"/>
  <c r="BO213" i="87"/>
  <c r="H211" i="84" s="1"/>
  <c r="BO168" i="87"/>
  <c r="H166" i="84" s="1"/>
  <c r="BO34" i="87"/>
  <c r="H32" i="84" s="1"/>
  <c r="E255" i="84"/>
  <c r="I238" i="84"/>
  <c r="I230" i="84"/>
  <c r="I200" i="84"/>
  <c r="E144" i="84"/>
  <c r="E96" i="84"/>
  <c r="I44" i="84"/>
  <c r="E24" i="84"/>
  <c r="BO270" i="87"/>
  <c r="H268" i="84" s="1"/>
  <c r="BO241" i="87"/>
  <c r="H239" i="84" s="1"/>
  <c r="BO189" i="87"/>
  <c r="H187" i="84" s="1"/>
  <c r="BO106" i="87"/>
  <c r="H104" i="84" s="1"/>
  <c r="BO76" i="87"/>
  <c r="H74" i="84" s="1"/>
  <c r="E247" i="84"/>
  <c r="I100" i="84"/>
  <c r="I246" i="84"/>
  <c r="E181" i="84"/>
  <c r="E175" i="84"/>
  <c r="E173" i="84"/>
  <c r="E142" i="84"/>
  <c r="I116" i="84"/>
  <c r="I78" i="84"/>
  <c r="E42" i="84"/>
  <c r="E34" i="84"/>
  <c r="N34" i="84" s="1"/>
  <c r="I28" i="84"/>
  <c r="E10" i="84"/>
  <c r="I222" i="84"/>
  <c r="I154" i="84"/>
  <c r="I108" i="84"/>
  <c r="E98" i="84"/>
  <c r="E72" i="84"/>
  <c r="E64" i="84"/>
  <c r="I20" i="84"/>
  <c r="E18" i="84"/>
  <c r="I12" i="84"/>
  <c r="BO269" i="87"/>
  <c r="H267" i="84" s="1"/>
  <c r="BO262" i="87"/>
  <c r="H260" i="84" s="1"/>
  <c r="I177" i="84"/>
  <c r="I169" i="84"/>
  <c r="I73" i="84"/>
  <c r="E50" i="84"/>
  <c r="E271" i="84"/>
  <c r="E269" i="84"/>
  <c r="I261" i="84"/>
  <c r="I192" i="84"/>
  <c r="E167" i="84"/>
  <c r="E160" i="84"/>
  <c r="E158" i="84"/>
  <c r="E128" i="84"/>
  <c r="E126" i="84"/>
  <c r="I123" i="84"/>
  <c r="E113" i="84"/>
  <c r="BO44" i="87"/>
  <c r="H42" i="84" s="1"/>
  <c r="E58" i="84"/>
  <c r="I215" i="84"/>
  <c r="E208" i="84"/>
  <c r="I161" i="84"/>
  <c r="I146" i="84"/>
  <c r="E56" i="84"/>
  <c r="BO148" i="87"/>
  <c r="H146" i="84" s="1"/>
  <c r="BO50" i="87"/>
  <c r="H48" i="84" s="1"/>
  <c r="C47" i="63"/>
  <c r="BO188" i="87"/>
  <c r="H186" i="84" s="1"/>
  <c r="BP188" i="87"/>
  <c r="G186" i="84" s="1"/>
  <c r="BO272" i="87"/>
  <c r="H270" i="84" s="1"/>
  <c r="BP272" i="87"/>
  <c r="BO266" i="87"/>
  <c r="H264" i="84" s="1"/>
  <c r="BP266" i="87"/>
  <c r="G264" i="84" s="1"/>
  <c r="BO232" i="87"/>
  <c r="H230" i="84" s="1"/>
  <c r="BP232" i="87"/>
  <c r="BO220" i="87"/>
  <c r="H218" i="84" s="1"/>
  <c r="BP220" i="87"/>
  <c r="G218" i="84" s="1"/>
  <c r="BO214" i="87"/>
  <c r="H212" i="84" s="1"/>
  <c r="BO194" i="87"/>
  <c r="H192" i="84" s="1"/>
  <c r="BP194" i="87"/>
  <c r="BO187" i="87"/>
  <c r="H185" i="84" s="1"/>
  <c r="BP187" i="87"/>
  <c r="G185" i="84" s="1"/>
  <c r="BO179" i="87"/>
  <c r="H177" i="84" s="1"/>
  <c r="BP179" i="87"/>
  <c r="G177" i="84" s="1"/>
  <c r="BO159" i="87"/>
  <c r="H157" i="84" s="1"/>
  <c r="BP159" i="87"/>
  <c r="G157" i="84" s="1"/>
  <c r="BO146" i="87"/>
  <c r="H144" i="84" s="1"/>
  <c r="BP146" i="87"/>
  <c r="G144" i="84" s="1"/>
  <c r="BO139" i="87"/>
  <c r="H137" i="84" s="1"/>
  <c r="BP139" i="87"/>
  <c r="G137" i="84" s="1"/>
  <c r="BO110" i="87"/>
  <c r="H108" i="84" s="1"/>
  <c r="BP110" i="87"/>
  <c r="G108" i="84" s="1"/>
  <c r="BO104" i="87"/>
  <c r="H102" i="84" s="1"/>
  <c r="BO98" i="87"/>
  <c r="H96" i="84" s="1"/>
  <c r="BP98" i="87"/>
  <c r="G96" i="84" s="1"/>
  <c r="BO91" i="87"/>
  <c r="H89" i="84" s="1"/>
  <c r="BP91" i="87"/>
  <c r="BO85" i="87"/>
  <c r="H83" i="84" s="1"/>
  <c r="BP85" i="87"/>
  <c r="G83" i="84" s="1"/>
  <c r="BO78" i="87"/>
  <c r="H76" i="84" s="1"/>
  <c r="BO65" i="87"/>
  <c r="H63" i="84" s="1"/>
  <c r="BP65" i="87"/>
  <c r="BO59" i="87"/>
  <c r="H57" i="84" s="1"/>
  <c r="BP59" i="87"/>
  <c r="G57" i="84" s="1"/>
  <c r="BO51" i="87"/>
  <c r="H49" i="84" s="1"/>
  <c r="BP51" i="87"/>
  <c r="G49" i="84" s="1"/>
  <c r="BO45" i="87"/>
  <c r="H43" i="84" s="1"/>
  <c r="BP45" i="87"/>
  <c r="BO27" i="87"/>
  <c r="H25" i="84" s="1"/>
  <c r="BP27" i="87"/>
  <c r="G25" i="84" s="1"/>
  <c r="BO12" i="87"/>
  <c r="H10" i="84" s="1"/>
  <c r="BO180" i="87"/>
  <c r="H178" i="84" s="1"/>
  <c r="BP180" i="87"/>
  <c r="BO52" i="87"/>
  <c r="H50" i="84" s="1"/>
  <c r="BP52" i="87"/>
  <c r="BO259" i="87"/>
  <c r="H257" i="84" s="1"/>
  <c r="BO252" i="87"/>
  <c r="H250" i="84" s="1"/>
  <c r="BP252" i="87"/>
  <c r="G250" i="84" s="1"/>
  <c r="BO244" i="87"/>
  <c r="H242" i="84" s="1"/>
  <c r="BP244" i="87"/>
  <c r="G242" i="84" s="1"/>
  <c r="BO237" i="87"/>
  <c r="H235" i="84" s="1"/>
  <c r="BO219" i="87"/>
  <c r="H217" i="84" s="1"/>
  <c r="BO186" i="87"/>
  <c r="H184" i="84" s="1"/>
  <c r="BP186" i="87"/>
  <c r="BO178" i="87"/>
  <c r="H176" i="84" s="1"/>
  <c r="BP178" i="87"/>
  <c r="BO170" i="87"/>
  <c r="H168" i="84" s="1"/>
  <c r="BO151" i="87"/>
  <c r="H149" i="84" s="1"/>
  <c r="BP151" i="87"/>
  <c r="G149" i="84" s="1"/>
  <c r="BO145" i="87"/>
  <c r="H143" i="84" s="1"/>
  <c r="BP145" i="87"/>
  <c r="BO97" i="87"/>
  <c r="H95" i="84" s="1"/>
  <c r="BP97" i="87"/>
  <c r="BO90" i="87"/>
  <c r="H88" i="84" s="1"/>
  <c r="BO71" i="87"/>
  <c r="H69" i="84" s="1"/>
  <c r="BP71" i="87"/>
  <c r="BO38" i="87"/>
  <c r="H36" i="84" s="1"/>
  <c r="BP38" i="87"/>
  <c r="G36" i="84" s="1"/>
  <c r="BO31" i="87"/>
  <c r="H29" i="84" s="1"/>
  <c r="BP31" i="87"/>
  <c r="BO26" i="87"/>
  <c r="H24" i="84" s="1"/>
  <c r="BP26" i="87"/>
  <c r="G24" i="84" s="1"/>
  <c r="BO79" i="87"/>
  <c r="H77" i="84" s="1"/>
  <c r="BP79" i="87"/>
  <c r="BO251" i="87"/>
  <c r="H249" i="84" s="1"/>
  <c r="BP251" i="87"/>
  <c r="G249" i="84" s="1"/>
  <c r="BO243" i="87"/>
  <c r="H241" i="84" s="1"/>
  <c r="BP243" i="87"/>
  <c r="G241" i="84" s="1"/>
  <c r="BO224" i="87"/>
  <c r="H222" i="84" s="1"/>
  <c r="BP224" i="87"/>
  <c r="G222" i="84" s="1"/>
  <c r="BO157" i="87"/>
  <c r="H155" i="84" s="1"/>
  <c r="BP157" i="87"/>
  <c r="BO150" i="87"/>
  <c r="H148" i="84" s="1"/>
  <c r="BP150" i="87"/>
  <c r="G148" i="84" s="1"/>
  <c r="BO131" i="87"/>
  <c r="H129" i="84" s="1"/>
  <c r="BP131" i="87"/>
  <c r="G129" i="84" s="1"/>
  <c r="BO123" i="87"/>
  <c r="H121" i="84" s="1"/>
  <c r="BP123" i="87"/>
  <c r="BO108" i="87"/>
  <c r="H106" i="84" s="1"/>
  <c r="BO77" i="87"/>
  <c r="H75" i="84" s="1"/>
  <c r="BP77" i="87"/>
  <c r="BO63" i="87"/>
  <c r="H61" i="84" s="1"/>
  <c r="BP63" i="87"/>
  <c r="BO57" i="87"/>
  <c r="H55" i="84" s="1"/>
  <c r="BP57" i="87"/>
  <c r="BO30" i="87"/>
  <c r="H28" i="84" s="1"/>
  <c r="BO25" i="87"/>
  <c r="H23" i="84" s="1"/>
  <c r="BP25" i="87"/>
  <c r="BP18" i="87"/>
  <c r="G16" i="84" s="1"/>
  <c r="BO11" i="87"/>
  <c r="H9" i="84" s="1"/>
  <c r="BP11" i="87"/>
  <c r="G9" i="84" s="1"/>
  <c r="BO254" i="87"/>
  <c r="H252" i="84" s="1"/>
  <c r="BP254" i="87"/>
  <c r="BO160" i="87"/>
  <c r="H158" i="84" s="1"/>
  <c r="BP160" i="87"/>
  <c r="BO111" i="87"/>
  <c r="H109" i="84" s="1"/>
  <c r="BP111" i="87"/>
  <c r="G109" i="84" s="1"/>
  <c r="O109" i="84" s="1"/>
  <c r="BO33" i="87"/>
  <c r="H31" i="84" s="1"/>
  <c r="BP33" i="87"/>
  <c r="BO263" i="87"/>
  <c r="H261" i="84" s="1"/>
  <c r="BO258" i="87"/>
  <c r="H256" i="84" s="1"/>
  <c r="BP258" i="87"/>
  <c r="BO242" i="87"/>
  <c r="H240" i="84" s="1"/>
  <c r="BP242" i="87"/>
  <c r="BO229" i="87"/>
  <c r="H227" i="84" s="1"/>
  <c r="BO223" i="87"/>
  <c r="H221" i="84" s="1"/>
  <c r="BO218" i="87"/>
  <c r="H216" i="84" s="1"/>
  <c r="BP218" i="87"/>
  <c r="BO205" i="87"/>
  <c r="H203" i="84" s="1"/>
  <c r="BO169" i="87"/>
  <c r="H167" i="84" s="1"/>
  <c r="BO163" i="87"/>
  <c r="H161" i="84" s="1"/>
  <c r="BO149" i="87"/>
  <c r="H147" i="84" s="1"/>
  <c r="BO143" i="87"/>
  <c r="H141" i="84" s="1"/>
  <c r="BP143" i="87"/>
  <c r="BO130" i="87"/>
  <c r="H128" i="84" s="1"/>
  <c r="BP130" i="87"/>
  <c r="BO122" i="87"/>
  <c r="H120" i="84" s="1"/>
  <c r="BP122" i="87"/>
  <c r="G120" i="84" s="1"/>
  <c r="BO114" i="87"/>
  <c r="H112" i="84" s="1"/>
  <c r="BO103" i="87"/>
  <c r="H101" i="84" s="1"/>
  <c r="BP103" i="87"/>
  <c r="G101" i="84" s="1"/>
  <c r="BO95" i="87"/>
  <c r="H93" i="84" s="1"/>
  <c r="BP95" i="87"/>
  <c r="BO49" i="87"/>
  <c r="H47" i="84" s="1"/>
  <c r="BP49" i="87"/>
  <c r="BO43" i="87"/>
  <c r="H41" i="84" s="1"/>
  <c r="BP43" i="87"/>
  <c r="G41" i="84" s="1"/>
  <c r="BO17" i="87"/>
  <c r="H15" i="84" s="1"/>
  <c r="BP17" i="87"/>
  <c r="G15" i="84" s="1"/>
  <c r="BO147" i="87"/>
  <c r="H145" i="84" s="1"/>
  <c r="BP147" i="87"/>
  <c r="G145" i="84" s="1"/>
  <c r="BO39" i="87"/>
  <c r="H37" i="84" s="1"/>
  <c r="BP39" i="87"/>
  <c r="BO212" i="87"/>
  <c r="H210" i="84" s="1"/>
  <c r="BP212" i="87"/>
  <c r="G210" i="84" s="1"/>
  <c r="BO175" i="87"/>
  <c r="H173" i="84" s="1"/>
  <c r="BP175" i="87"/>
  <c r="BO155" i="87"/>
  <c r="H153" i="84" s="1"/>
  <c r="BP155" i="87"/>
  <c r="BO142" i="87"/>
  <c r="H140" i="84" s="1"/>
  <c r="BP142" i="87"/>
  <c r="G140" i="84" s="1"/>
  <c r="BO135" i="87"/>
  <c r="H133" i="84" s="1"/>
  <c r="BP135" i="87"/>
  <c r="G133" i="84" s="1"/>
  <c r="BO107" i="87"/>
  <c r="H105" i="84" s="1"/>
  <c r="BP107" i="87"/>
  <c r="G105" i="84" s="1"/>
  <c r="BO102" i="87"/>
  <c r="H100" i="84" s="1"/>
  <c r="BP102" i="87"/>
  <c r="G100" i="84" s="1"/>
  <c r="BO94" i="87"/>
  <c r="H92" i="84" s="1"/>
  <c r="BP94" i="87"/>
  <c r="BP82" i="87"/>
  <c r="G80" i="84" s="1"/>
  <c r="BO68" i="87"/>
  <c r="H66" i="84" s="1"/>
  <c r="BP68" i="87"/>
  <c r="G66" i="84" s="1"/>
  <c r="BO55" i="87"/>
  <c r="H53" i="84" s="1"/>
  <c r="BP55" i="87"/>
  <c r="BO42" i="87"/>
  <c r="H40" i="84" s="1"/>
  <c r="BP42" i="87"/>
  <c r="G40" i="84" s="1"/>
  <c r="BO29" i="87"/>
  <c r="H27" i="84" s="1"/>
  <c r="BP29" i="87"/>
  <c r="BO23" i="87"/>
  <c r="H21" i="84" s="1"/>
  <c r="BP23" i="87"/>
  <c r="BO202" i="87"/>
  <c r="H200" i="84" s="1"/>
  <c r="BP202" i="87"/>
  <c r="BO167" i="87"/>
  <c r="H165" i="84" s="1"/>
  <c r="BP167" i="87"/>
  <c r="BO118" i="87"/>
  <c r="H116" i="84" s="1"/>
  <c r="BP118" i="87"/>
  <c r="G116" i="84" s="1"/>
  <c r="BO73" i="87"/>
  <c r="H71" i="84" s="1"/>
  <c r="BP73" i="87"/>
  <c r="BO256" i="87"/>
  <c r="H254" i="84" s="1"/>
  <c r="BP256" i="87"/>
  <c r="BO248" i="87"/>
  <c r="H246" i="84" s="1"/>
  <c r="BP248" i="87"/>
  <c r="BO228" i="87"/>
  <c r="H226" i="84" s="1"/>
  <c r="BP228" i="87"/>
  <c r="BO204" i="87"/>
  <c r="H202" i="84" s="1"/>
  <c r="BP204" i="87"/>
  <c r="G202" i="84" s="1"/>
  <c r="BO154" i="87"/>
  <c r="H152" i="84" s="1"/>
  <c r="BP154" i="87"/>
  <c r="BO141" i="87"/>
  <c r="H139" i="84" s="1"/>
  <c r="BP141" i="87"/>
  <c r="BO134" i="87"/>
  <c r="H132" i="84" s="1"/>
  <c r="BP134" i="87"/>
  <c r="G132" i="84" s="1"/>
  <c r="BO113" i="87"/>
  <c r="H111" i="84" s="1"/>
  <c r="BP113" i="87"/>
  <c r="BO93" i="87"/>
  <c r="H91" i="84" s="1"/>
  <c r="BP93" i="87"/>
  <c r="BO87" i="87"/>
  <c r="H85" i="84" s="1"/>
  <c r="BP87" i="87"/>
  <c r="BO81" i="87"/>
  <c r="H79" i="84" s="1"/>
  <c r="BP81" i="87"/>
  <c r="BO75" i="87"/>
  <c r="H73" i="84" s="1"/>
  <c r="BP75" i="87"/>
  <c r="G73" i="84" s="1"/>
  <c r="BO67" i="87"/>
  <c r="H65" i="84" s="1"/>
  <c r="BP67" i="87"/>
  <c r="BO61" i="87"/>
  <c r="H59" i="84" s="1"/>
  <c r="BP61" i="87"/>
  <c r="BO54" i="87"/>
  <c r="H52" i="84" s="1"/>
  <c r="BP54" i="87"/>
  <c r="BO47" i="87"/>
  <c r="H45" i="84" s="1"/>
  <c r="BP47" i="87"/>
  <c r="BO41" i="87"/>
  <c r="H39" i="84" s="1"/>
  <c r="BP41" i="87"/>
  <c r="BO15" i="87"/>
  <c r="H13" i="84" s="1"/>
  <c r="BP15" i="87"/>
  <c r="BO105" i="87"/>
  <c r="H103" i="84" s="1"/>
  <c r="BP105" i="87"/>
  <c r="G103" i="84" s="1"/>
  <c r="BO20" i="87"/>
  <c r="H18" i="84" s="1"/>
  <c r="BP20" i="87"/>
  <c r="G18" i="84" s="1"/>
  <c r="BO274" i="87"/>
  <c r="H272" i="84" s="1"/>
  <c r="BP274" i="87"/>
  <c r="BO268" i="87"/>
  <c r="H266" i="84" s="1"/>
  <c r="BP268" i="87"/>
  <c r="BO240" i="87"/>
  <c r="H238" i="84" s="1"/>
  <c r="BP240" i="87"/>
  <c r="BO234" i="87"/>
  <c r="H232" i="84" s="1"/>
  <c r="BP234" i="87"/>
  <c r="G232" i="84" s="1"/>
  <c r="BO227" i="87"/>
  <c r="H225" i="84" s="1"/>
  <c r="BO215" i="87"/>
  <c r="H213" i="84" s="1"/>
  <c r="BO210" i="87"/>
  <c r="H208" i="84" s="1"/>
  <c r="BP210" i="87"/>
  <c r="BO203" i="87"/>
  <c r="H201" i="84" s="1"/>
  <c r="BP203" i="87"/>
  <c r="BO196" i="87"/>
  <c r="H194" i="84" s="1"/>
  <c r="BP196" i="87"/>
  <c r="G194" i="84" s="1"/>
  <c r="BO140" i="87"/>
  <c r="H138" i="84" s="1"/>
  <c r="BO127" i="87"/>
  <c r="H125" i="84" s="1"/>
  <c r="BP127" i="87"/>
  <c r="BO92" i="87"/>
  <c r="H90" i="84" s="1"/>
  <c r="BO86" i="87"/>
  <c r="H84" i="84" s="1"/>
  <c r="BO66" i="87"/>
  <c r="H64" i="84" s="1"/>
  <c r="BO60" i="87"/>
  <c r="H58" i="84" s="1"/>
  <c r="BO46" i="87"/>
  <c r="H44" i="84" s="1"/>
  <c r="BO14" i="87"/>
  <c r="H12" i="84" s="1"/>
  <c r="BP14" i="87"/>
  <c r="I49" i="86"/>
  <c r="I121" i="86"/>
  <c r="K258" i="84" s="1"/>
  <c r="I97" i="86"/>
  <c r="I73" i="86"/>
  <c r="K162" i="84" s="1"/>
  <c r="I105" i="86"/>
  <c r="I7" i="86"/>
  <c r="K67" i="84" s="1"/>
  <c r="BO211" i="87"/>
  <c r="H209" i="84" s="1"/>
  <c r="G209" i="84"/>
  <c r="BO138" i="87"/>
  <c r="H136" i="84" s="1"/>
  <c r="G136" i="84"/>
  <c r="BO126" i="87"/>
  <c r="H124" i="84" s="1"/>
  <c r="G124" i="84"/>
  <c r="E260" i="84"/>
  <c r="E211" i="84"/>
  <c r="E192" i="84"/>
  <c r="E79" i="84"/>
  <c r="BO132" i="85"/>
  <c r="F132" i="84" s="1"/>
  <c r="E132" i="84"/>
  <c r="E30" i="84"/>
  <c r="BO30" i="85"/>
  <c r="F30" i="84" s="1"/>
  <c r="I95" i="86"/>
  <c r="G269" i="84"/>
  <c r="BO271" i="87"/>
  <c r="H269" i="84" s="1"/>
  <c r="G259" i="84"/>
  <c r="BO261" i="87"/>
  <c r="H259" i="84" s="1"/>
  <c r="G253" i="84"/>
  <c r="BO255" i="87"/>
  <c r="H253" i="84" s="1"/>
  <c r="G229" i="84"/>
  <c r="BO231" i="87"/>
  <c r="H229" i="84" s="1"/>
  <c r="BO84" i="88"/>
  <c r="J84" i="84" s="1"/>
  <c r="I84" i="84"/>
  <c r="BO72" i="88"/>
  <c r="J72" i="84" s="1"/>
  <c r="I72" i="84"/>
  <c r="BO67" i="88"/>
  <c r="J67" i="84" s="1"/>
  <c r="I67" i="84"/>
  <c r="BO43" i="88"/>
  <c r="J43" i="84" s="1"/>
  <c r="I43" i="84"/>
  <c r="BO19" i="88"/>
  <c r="J19" i="84" s="1"/>
  <c r="I19" i="84"/>
  <c r="I273" i="84" s="1"/>
  <c r="P273" i="84" s="1"/>
  <c r="C42" i="63" s="1"/>
  <c r="BO125" i="85"/>
  <c r="F125" i="84" s="1"/>
  <c r="E125" i="84"/>
  <c r="BO63" i="85"/>
  <c r="F63" i="84" s="1"/>
  <c r="E63" i="84"/>
  <c r="BO39" i="85"/>
  <c r="F39" i="84" s="1"/>
  <c r="E39" i="84"/>
  <c r="BO31" i="85"/>
  <c r="F31" i="84" s="1"/>
  <c r="E31" i="84"/>
  <c r="E268" i="84"/>
  <c r="BO77" i="85"/>
  <c r="F77" i="84" s="1"/>
  <c r="E77" i="84"/>
  <c r="E203" i="84"/>
  <c r="E186" i="84"/>
  <c r="E15" i="84"/>
  <c r="BO113" i="88"/>
  <c r="J113" i="84" s="1"/>
  <c r="I113" i="84"/>
  <c r="BO105" i="88"/>
  <c r="J105" i="84" s="1"/>
  <c r="I105" i="84"/>
  <c r="BO82" i="88"/>
  <c r="J82" i="84" s="1"/>
  <c r="I82" i="84"/>
  <c r="BO87" i="85"/>
  <c r="F87" i="84" s="1"/>
  <c r="E87" i="84"/>
  <c r="BO139" i="85"/>
  <c r="F139" i="84" s="1"/>
  <c r="E139" i="84"/>
  <c r="E123" i="84"/>
  <c r="E108" i="84"/>
  <c r="E55" i="84"/>
  <c r="G244" i="84"/>
  <c r="BO246" i="87"/>
  <c r="H244" i="84" s="1"/>
  <c r="BO195" i="87"/>
  <c r="H193" i="84" s="1"/>
  <c r="G193" i="84"/>
  <c r="G180" i="84"/>
  <c r="BO182" i="87"/>
  <c r="H180" i="84" s="1"/>
  <c r="BO74" i="87"/>
  <c r="H72" i="84" s="1"/>
  <c r="G72" i="84"/>
  <c r="BO22" i="87"/>
  <c r="H20" i="84" s="1"/>
  <c r="G20" i="84"/>
  <c r="BO115" i="85"/>
  <c r="F115" i="84" s="1"/>
  <c r="E115" i="84"/>
  <c r="BO158" i="87"/>
  <c r="H156" i="84" s="1"/>
  <c r="G156" i="84"/>
  <c r="E220" i="84"/>
  <c r="E53" i="84"/>
  <c r="G243" i="84"/>
  <c r="BO245" i="87"/>
  <c r="H243" i="84" s="1"/>
  <c r="BO200" i="87"/>
  <c r="H198" i="84" s="1"/>
  <c r="G198" i="84"/>
  <c r="BO162" i="87"/>
  <c r="H160" i="84" s="1"/>
  <c r="G160" i="84"/>
  <c r="BO83" i="87"/>
  <c r="H81" i="84" s="1"/>
  <c r="G81" i="84"/>
  <c r="BO47" i="85"/>
  <c r="F47" i="84" s="1"/>
  <c r="E47" i="84"/>
  <c r="E236" i="84"/>
  <c r="E228" i="84"/>
  <c r="BO93" i="85"/>
  <c r="F93" i="84" s="1"/>
  <c r="E93" i="84"/>
  <c r="BO69" i="85"/>
  <c r="F69" i="84" s="1"/>
  <c r="E69" i="84"/>
  <c r="I8" i="86"/>
  <c r="K11" i="84" s="1"/>
  <c r="E252" i="84"/>
  <c r="E85" i="84"/>
  <c r="E45" i="84"/>
  <c r="BO151" i="85"/>
  <c r="F151" i="84" s="1"/>
  <c r="E151" i="84"/>
  <c r="BO25" i="85"/>
  <c r="F25" i="84" s="1"/>
  <c r="E25" i="84"/>
  <c r="BO17" i="85"/>
  <c r="F17" i="84" s="1"/>
  <c r="E17" i="84"/>
  <c r="BO173" i="87"/>
  <c r="H171" i="84" s="1"/>
  <c r="G171" i="84"/>
  <c r="BO121" i="87"/>
  <c r="H119" i="84" s="1"/>
  <c r="G119" i="84"/>
  <c r="BO95" i="85"/>
  <c r="F95" i="84" s="1"/>
  <c r="E95" i="84"/>
  <c r="E110" i="84"/>
  <c r="N110" i="84" s="1"/>
  <c r="E23" i="84"/>
  <c r="BO236" i="87"/>
  <c r="H234" i="84" s="1"/>
  <c r="G234" i="84"/>
  <c r="E244" i="84"/>
  <c r="E117" i="84"/>
  <c r="BO267" i="87"/>
  <c r="H265" i="84" s="1"/>
  <c r="G265" i="84"/>
  <c r="BO216" i="87"/>
  <c r="H214" i="84" s="1"/>
  <c r="G214" i="84"/>
  <c r="E67" i="84"/>
  <c r="I123" i="86"/>
  <c r="K265" i="84" s="1"/>
  <c r="I111" i="86"/>
  <c r="K145" i="84" s="1"/>
  <c r="I98" i="86"/>
  <c r="K208" i="84" s="1"/>
  <c r="I89" i="86"/>
  <c r="I33" i="86"/>
  <c r="K55" i="84" s="1"/>
  <c r="I17" i="86"/>
  <c r="K35" i="84" s="1"/>
  <c r="G228" i="84"/>
  <c r="BO230" i="87"/>
  <c r="H228" i="84" s="1"/>
  <c r="G197" i="84"/>
  <c r="BO199" i="87"/>
  <c r="H197" i="84" s="1"/>
  <c r="G179" i="84"/>
  <c r="BO181" i="87"/>
  <c r="H179" i="84" s="1"/>
  <c r="BO137" i="87"/>
  <c r="H135" i="84" s="1"/>
  <c r="G135" i="84"/>
  <c r="G118" i="84"/>
  <c r="BO120" i="87"/>
  <c r="H118" i="84" s="1"/>
  <c r="E83" i="84"/>
  <c r="E80" i="84"/>
  <c r="E51" i="84"/>
  <c r="I107" i="86"/>
  <c r="K228" i="84" s="1"/>
  <c r="I65" i="86"/>
  <c r="K136" i="84" s="1"/>
  <c r="BO260" i="87"/>
  <c r="H258" i="84" s="1"/>
  <c r="G258" i="84"/>
  <c r="G237" i="84"/>
  <c r="BO239" i="87"/>
  <c r="H237" i="84" s="1"/>
  <c r="BO192" i="87"/>
  <c r="H190" i="84" s="1"/>
  <c r="G190" i="84"/>
  <c r="G159" i="84"/>
  <c r="BO161" i="87"/>
  <c r="H159" i="84" s="1"/>
  <c r="BO125" i="87"/>
  <c r="H123" i="84" s="1"/>
  <c r="G123" i="84"/>
  <c r="I81" i="86"/>
  <c r="I9" i="86"/>
  <c r="K19" i="84" s="1"/>
  <c r="BO253" i="87"/>
  <c r="H251" i="84" s="1"/>
  <c r="G246" i="84"/>
  <c r="G236" i="84"/>
  <c r="BO238" i="87"/>
  <c r="H236" i="84" s="1"/>
  <c r="G226" i="84"/>
  <c r="G201" i="84"/>
  <c r="G189" i="84"/>
  <c r="BO191" i="87"/>
  <c r="H189" i="84" s="1"/>
  <c r="G164" i="84"/>
  <c r="BO166" i="87"/>
  <c r="H164" i="84" s="1"/>
  <c r="G152" i="84"/>
  <c r="G128" i="84"/>
  <c r="G122" i="84"/>
  <c r="BO124" i="87"/>
  <c r="H122" i="84" s="1"/>
  <c r="G110" i="84"/>
  <c r="O110" i="84" s="1"/>
  <c r="BO112" i="87"/>
  <c r="H110" i="84" s="1"/>
  <c r="BO70" i="87"/>
  <c r="H68" i="84" s="1"/>
  <c r="G68" i="84"/>
  <c r="G50" i="84"/>
  <c r="G12" i="84"/>
  <c r="I25" i="86"/>
  <c r="G271" i="84"/>
  <c r="BO273" i="87"/>
  <c r="H271" i="84" s="1"/>
  <c r="BO208" i="87"/>
  <c r="H206" i="84" s="1"/>
  <c r="G206" i="84"/>
  <c r="G163" i="84"/>
  <c r="BO165" i="87"/>
  <c r="H163" i="84" s="1"/>
  <c r="G115" i="84"/>
  <c r="BO117" i="87"/>
  <c r="H115" i="84" s="1"/>
  <c r="BO36" i="87"/>
  <c r="H34" i="84" s="1"/>
  <c r="G34" i="84"/>
  <c r="I115" i="86"/>
  <c r="K239" i="84" s="1"/>
  <c r="I41" i="86"/>
  <c r="G245" i="84"/>
  <c r="BO247" i="87"/>
  <c r="H245" i="84" s="1"/>
  <c r="G230" i="84"/>
  <c r="G205" i="84"/>
  <c r="BO207" i="87"/>
  <c r="H205" i="84" s="1"/>
  <c r="BO184" i="87"/>
  <c r="H182" i="84" s="1"/>
  <c r="G182" i="84"/>
  <c r="G114" i="84"/>
  <c r="O114" i="84" s="1"/>
  <c r="BO116" i="87"/>
  <c r="H114" i="84" s="1"/>
  <c r="G92" i="84"/>
  <c r="BO58" i="87"/>
  <c r="H56" i="84" s="1"/>
  <c r="G56" i="84"/>
  <c r="BO35" i="87"/>
  <c r="H33" i="84" s="1"/>
  <c r="G33" i="84"/>
  <c r="BO19" i="87"/>
  <c r="H17" i="84" s="1"/>
  <c r="G17" i="84"/>
  <c r="I57" i="86"/>
  <c r="K107" i="84" s="1"/>
  <c r="G219" i="84"/>
  <c r="BO221" i="87"/>
  <c r="H219" i="84" s="1"/>
  <c r="G181" i="84"/>
  <c r="BO183" i="87"/>
  <c r="H181" i="84" s="1"/>
  <c r="BO176" i="87"/>
  <c r="H174" i="84" s="1"/>
  <c r="G174" i="84"/>
  <c r="BO115" i="87"/>
  <c r="H113" i="84" s="1"/>
  <c r="G113" i="84"/>
  <c r="G98" i="84"/>
  <c r="O98" i="84" s="1"/>
  <c r="BO100" i="87"/>
  <c r="H98" i="84" s="1"/>
  <c r="P111" i="84"/>
  <c r="BO88" i="87"/>
  <c r="H86" i="84" s="1"/>
  <c r="BO13" i="87"/>
  <c r="H11" i="84" s="1"/>
  <c r="G52" i="84"/>
  <c r="BO101" i="87"/>
  <c r="H99" i="84" s="1"/>
  <c r="G85" i="84"/>
  <c r="BO84" i="87"/>
  <c r="H82" i="84" s="1"/>
  <c r="G65" i="84"/>
  <c r="BO16" i="87"/>
  <c r="H14" i="84" s="1"/>
  <c r="O232" i="84"/>
  <c r="N112" i="84"/>
  <c r="N98" i="84"/>
  <c r="O76" i="84"/>
  <c r="N232" i="84"/>
  <c r="K233" i="84"/>
  <c r="BO26" i="85"/>
  <c r="F26" i="84" s="1"/>
  <c r="E26" i="84"/>
  <c r="K210" i="84"/>
  <c r="BO49" i="85"/>
  <c r="F49" i="84" s="1"/>
  <c r="E49" i="84"/>
  <c r="I38" i="86"/>
  <c r="K63" i="84" s="1"/>
  <c r="K220" i="84"/>
  <c r="K191" i="84"/>
  <c r="K207" i="84"/>
  <c r="N109" i="84"/>
  <c r="K240" i="84"/>
  <c r="P232" i="84"/>
  <c r="K218" i="84"/>
  <c r="BO206" i="85"/>
  <c r="F206" i="84" s="1"/>
  <c r="E206" i="84"/>
  <c r="BO81" i="85"/>
  <c r="F81" i="84" s="1"/>
  <c r="E81" i="84"/>
  <c r="BO33" i="85"/>
  <c r="F33" i="84" s="1"/>
  <c r="E33" i="84"/>
  <c r="K244" i="84"/>
  <c r="K202" i="84"/>
  <c r="BO264" i="87"/>
  <c r="H262" i="84" s="1"/>
  <c r="G262" i="84"/>
  <c r="P114" i="84"/>
  <c r="N114" i="84"/>
  <c r="BO65" i="85"/>
  <c r="F65" i="84" s="1"/>
  <c r="E65" i="84"/>
  <c r="P154" i="84"/>
  <c r="E97" i="84"/>
  <c r="BO129" i="87"/>
  <c r="H127" i="84" s="1"/>
  <c r="G127" i="84"/>
  <c r="BO111" i="85"/>
  <c r="F111" i="84" s="1"/>
  <c r="E111" i="84"/>
  <c r="N111" i="84" s="1"/>
  <c r="BO103" i="85"/>
  <c r="F103" i="84" s="1"/>
  <c r="E103" i="84"/>
  <c r="BO11" i="85"/>
  <c r="F11" i="84" s="1"/>
  <c r="E11" i="84"/>
  <c r="I12" i="86"/>
  <c r="K29" i="84" s="1"/>
  <c r="K42" i="84"/>
  <c r="K157" i="84"/>
  <c r="K167" i="84"/>
  <c r="G38" i="84"/>
  <c r="BO40" i="87"/>
  <c r="H38" i="84" s="1"/>
  <c r="E118" i="84"/>
  <c r="O112" i="84"/>
  <c r="P109" i="84"/>
  <c r="K93" i="84"/>
  <c r="P112" i="84"/>
  <c r="P98" i="84"/>
  <c r="O34" i="84"/>
  <c r="P34" i="84"/>
  <c r="P76" i="84"/>
  <c r="I125" i="86"/>
  <c r="K271" i="84" s="1"/>
  <c r="I119" i="86"/>
  <c r="K254" i="84" s="1"/>
  <c r="I118" i="86"/>
  <c r="K252" i="84" s="1"/>
  <c r="I103" i="86"/>
  <c r="K214" i="84" s="1"/>
  <c r="I75" i="86"/>
  <c r="K174" i="84" s="1"/>
  <c r="I59" i="86"/>
  <c r="K113" i="84" s="1"/>
  <c r="I43" i="86"/>
  <c r="K76" i="84" s="1"/>
  <c r="Q76" i="84" s="1"/>
  <c r="I27" i="86"/>
  <c r="K236" i="84" s="1"/>
  <c r="BO250" i="87"/>
  <c r="H248" i="84" s="1"/>
  <c r="G248" i="84"/>
  <c r="BO193" i="87"/>
  <c r="H191" i="84" s="1"/>
  <c r="G191" i="84"/>
  <c r="G54" i="84"/>
  <c r="BO56" i="87"/>
  <c r="H54" i="84" s="1"/>
  <c r="I117" i="86"/>
  <c r="K250" i="84" s="1"/>
  <c r="I102" i="86"/>
  <c r="G204" i="84"/>
  <c r="BO206" i="87"/>
  <c r="H204" i="84" s="1"/>
  <c r="G70" i="84"/>
  <c r="BO72" i="87"/>
  <c r="H70" i="84" s="1"/>
  <c r="I101" i="86"/>
  <c r="K267" i="84" s="1"/>
  <c r="I83" i="86"/>
  <c r="K186" i="84" s="1"/>
  <c r="I67" i="86"/>
  <c r="K148" i="84" s="1"/>
  <c r="I51" i="86"/>
  <c r="K96" i="84" s="1"/>
  <c r="I35" i="86"/>
  <c r="K57" i="84" s="1"/>
  <c r="G255" i="84"/>
  <c r="BO257" i="87"/>
  <c r="H255" i="84" s="1"/>
  <c r="G22" i="84"/>
  <c r="BO24" i="87"/>
  <c r="H22" i="84" s="1"/>
  <c r="I116" i="86"/>
  <c r="K246" i="84" s="1"/>
  <c r="I100" i="86"/>
  <c r="K260" i="84" s="1"/>
  <c r="I86" i="86"/>
  <c r="K182" i="84" s="1"/>
  <c r="I78" i="86"/>
  <c r="K170" i="84" s="1"/>
  <c r="I70" i="86"/>
  <c r="K176" i="84" s="1"/>
  <c r="I62" i="86"/>
  <c r="K125" i="84" s="1"/>
  <c r="I54" i="86"/>
  <c r="K92" i="84" s="1"/>
  <c r="I46" i="86"/>
  <c r="K83" i="84" s="1"/>
  <c r="I30" i="86"/>
  <c r="K53" i="84" s="1"/>
  <c r="I22" i="86"/>
  <c r="K23" i="84" s="1"/>
  <c r="I14" i="86"/>
  <c r="K37" i="84" s="1"/>
  <c r="G272" i="84"/>
  <c r="G254" i="84"/>
  <c r="BO249" i="87"/>
  <c r="H247" i="84" s="1"/>
  <c r="G240" i="84"/>
  <c r="BO222" i="87"/>
  <c r="H220" i="84" s="1"/>
  <c r="BO201" i="87"/>
  <c r="H199" i="84" s="1"/>
  <c r="G199" i="84"/>
  <c r="BO174" i="87"/>
  <c r="H172" i="84" s="1"/>
  <c r="G172" i="84"/>
  <c r="BO156" i="87"/>
  <c r="H154" i="84" s="1"/>
  <c r="G134" i="84"/>
  <c r="BO136" i="87"/>
  <c r="H134" i="84" s="1"/>
  <c r="G93" i="84"/>
  <c r="I19" i="86"/>
  <c r="K36" i="84" s="1"/>
  <c r="I11" i="86"/>
  <c r="K30" i="84" s="1"/>
  <c r="BO209" i="87"/>
  <c r="H207" i="84" s="1"/>
  <c r="G207" i="84"/>
  <c r="BO119" i="87"/>
  <c r="H117" i="84" s="1"/>
  <c r="G117" i="84"/>
  <c r="I120" i="86"/>
  <c r="K253" i="84" s="1"/>
  <c r="I104" i="86"/>
  <c r="K221" i="84" s="1"/>
  <c r="I88" i="86"/>
  <c r="K181" i="84" s="1"/>
  <c r="I80" i="86"/>
  <c r="K172" i="84" s="1"/>
  <c r="I72" i="86"/>
  <c r="K165" i="84" s="1"/>
  <c r="I64" i="86"/>
  <c r="K131" i="84" s="1"/>
  <c r="I56" i="86"/>
  <c r="K101" i="84" s="1"/>
  <c r="I48" i="86"/>
  <c r="K87" i="84" s="1"/>
  <c r="I40" i="86"/>
  <c r="K74" i="84" s="1"/>
  <c r="I32" i="86"/>
  <c r="I24" i="86"/>
  <c r="K49" i="84" s="1"/>
  <c r="I16" i="86"/>
  <c r="K39" i="84" s="1"/>
  <c r="BO226" i="87"/>
  <c r="H224" i="84" s="1"/>
  <c r="G224" i="84"/>
  <c r="BO217" i="87"/>
  <c r="H215" i="84" s="1"/>
  <c r="G215" i="84"/>
  <c r="BO99" i="87"/>
  <c r="H97" i="84" s="1"/>
  <c r="G97" i="84"/>
  <c r="I122" i="86"/>
  <c r="K257" i="84" s="1"/>
  <c r="I106" i="86"/>
  <c r="K217" i="84" s="1"/>
  <c r="I90" i="86"/>
  <c r="K189" i="84" s="1"/>
  <c r="I85" i="86"/>
  <c r="K187" i="84" s="1"/>
  <c r="I77" i="86"/>
  <c r="K86" i="84" s="1"/>
  <c r="I69" i="86"/>
  <c r="K175" i="84" s="1"/>
  <c r="I61" i="86"/>
  <c r="K124" i="84" s="1"/>
  <c r="I53" i="86"/>
  <c r="K99" i="84" s="1"/>
  <c r="I45" i="86"/>
  <c r="K79" i="84" s="1"/>
  <c r="I37" i="86"/>
  <c r="K50" i="84" s="1"/>
  <c r="I29" i="86"/>
  <c r="K47" i="84" s="1"/>
  <c r="I21" i="86"/>
  <c r="K26" i="84" s="1"/>
  <c r="I13" i="86"/>
  <c r="K27" i="84" s="1"/>
  <c r="BO225" i="87"/>
  <c r="H223" i="84" s="1"/>
  <c r="G223" i="84"/>
  <c r="I124" i="86"/>
  <c r="K269" i="84" s="1"/>
  <c r="I108" i="86"/>
  <c r="K216" i="84" s="1"/>
  <c r="I92" i="86"/>
  <c r="K195" i="84" s="1"/>
  <c r="I82" i="86"/>
  <c r="K178" i="84" s="1"/>
  <c r="I74" i="86"/>
  <c r="K173" i="84" s="1"/>
  <c r="I66" i="86"/>
  <c r="K137" i="84" s="1"/>
  <c r="I58" i="86"/>
  <c r="K121" i="84" s="1"/>
  <c r="I50" i="86"/>
  <c r="K90" i="84" s="1"/>
  <c r="I42" i="86"/>
  <c r="K95" i="84" s="1"/>
  <c r="I34" i="86"/>
  <c r="I26" i="86"/>
  <c r="K41" i="84" s="1"/>
  <c r="I18" i="86"/>
  <c r="K40" i="84" s="1"/>
  <c r="I10" i="86"/>
  <c r="K16" i="84" s="1"/>
  <c r="G270" i="84"/>
  <c r="BO265" i="87"/>
  <c r="H263" i="84" s="1"/>
  <c r="G256" i="84"/>
  <c r="G252" i="84"/>
  <c r="G238" i="84"/>
  <c r="BO233" i="87"/>
  <c r="H231" i="84" s="1"/>
  <c r="G231" i="84"/>
  <c r="BO190" i="87"/>
  <c r="H188" i="84" s="1"/>
  <c r="BO177" i="87"/>
  <c r="H175" i="84" s="1"/>
  <c r="G175" i="84"/>
  <c r="BO171" i="87"/>
  <c r="H169" i="84" s="1"/>
  <c r="G169" i="84"/>
  <c r="BO89" i="87"/>
  <c r="H87" i="84" s="1"/>
  <c r="G87" i="84"/>
  <c r="BO69" i="87"/>
  <c r="H67" i="84" s="1"/>
  <c r="BO53" i="87"/>
  <c r="H51" i="84" s="1"/>
  <c r="BO37" i="87"/>
  <c r="H35" i="84" s="1"/>
  <c r="BO21" i="87"/>
  <c r="H19" i="84" s="1"/>
  <c r="I126" i="86"/>
  <c r="K272" i="84" s="1"/>
  <c r="I110" i="86"/>
  <c r="K270" i="84" s="1"/>
  <c r="I94" i="86"/>
  <c r="K193" i="84" s="1"/>
  <c r="I87" i="86"/>
  <c r="K180" i="84" s="1"/>
  <c r="I79" i="86"/>
  <c r="K155" i="84" s="1"/>
  <c r="I71" i="86"/>
  <c r="K159" i="84" s="1"/>
  <c r="I63" i="86"/>
  <c r="K128" i="84" s="1"/>
  <c r="I55" i="86"/>
  <c r="K94" i="84" s="1"/>
  <c r="I47" i="86"/>
  <c r="K82" i="84" s="1"/>
  <c r="I39" i="86"/>
  <c r="K73" i="84" s="1"/>
  <c r="I31" i="86"/>
  <c r="K51" i="84" s="1"/>
  <c r="I23" i="86"/>
  <c r="K130" i="84" s="1"/>
  <c r="I15" i="86"/>
  <c r="K25" i="84" s="1"/>
  <c r="G266" i="84"/>
  <c r="BO198" i="87"/>
  <c r="H196" i="84" s="1"/>
  <c r="BO109" i="87"/>
  <c r="H107" i="84" s="1"/>
  <c r="I112" i="86"/>
  <c r="K213" i="84" s="1"/>
  <c r="I96" i="86"/>
  <c r="K133" i="84" s="1"/>
  <c r="I84" i="86"/>
  <c r="K185" i="84" s="1"/>
  <c r="I76" i="86"/>
  <c r="K161" i="84" s="1"/>
  <c r="I68" i="86"/>
  <c r="K138" i="84" s="1"/>
  <c r="I60" i="86"/>
  <c r="K119" i="84" s="1"/>
  <c r="I52" i="86"/>
  <c r="K97" i="84" s="1"/>
  <c r="I44" i="86"/>
  <c r="K231" i="84" s="1"/>
  <c r="I36" i="86"/>
  <c r="K60" i="84" s="1"/>
  <c r="I28" i="86"/>
  <c r="K46" i="84" s="1"/>
  <c r="I20" i="86"/>
  <c r="K38" i="84" s="1"/>
  <c r="BO185" i="87"/>
  <c r="H183" i="84" s="1"/>
  <c r="G183" i="84"/>
  <c r="BO153" i="87"/>
  <c r="H151" i="84" s="1"/>
  <c r="G151" i="84"/>
  <c r="BO133" i="87"/>
  <c r="H131" i="84" s="1"/>
  <c r="G131" i="84"/>
  <c r="G165" i="84"/>
  <c r="BO164" i="87"/>
  <c r="H162" i="84" s="1"/>
  <c r="G153" i="84"/>
  <c r="G143" i="84"/>
  <c r="BO128" i="87"/>
  <c r="H126" i="84" s="1"/>
  <c r="G89" i="84"/>
  <c r="G79" i="84"/>
  <c r="G69" i="84"/>
  <c r="G63" i="84"/>
  <c r="G53" i="84"/>
  <c r="G47" i="84"/>
  <c r="G37" i="84"/>
  <c r="G31" i="84"/>
  <c r="G21" i="84"/>
  <c r="G216" i="84"/>
  <c r="G208" i="84"/>
  <c r="G200" i="84"/>
  <c r="G192" i="84"/>
  <c r="G184" i="84"/>
  <c r="G176" i="84"/>
  <c r="G139" i="84"/>
  <c r="G75" i="84"/>
  <c r="G59" i="84"/>
  <c r="G43" i="84"/>
  <c r="G27" i="84"/>
  <c r="G173" i="84"/>
  <c r="BO172" i="87"/>
  <c r="H170" i="84" s="1"/>
  <c r="BO144" i="87"/>
  <c r="H142" i="84" s="1"/>
  <c r="G125" i="84"/>
  <c r="G95" i="84"/>
  <c r="BO80" i="87"/>
  <c r="H78" i="84" s="1"/>
  <c r="BO64" i="87"/>
  <c r="H62" i="84" s="1"/>
  <c r="BO48" i="87"/>
  <c r="H46" i="84" s="1"/>
  <c r="BO32" i="87"/>
  <c r="H30" i="84" s="1"/>
  <c r="G178" i="84"/>
  <c r="G158" i="84"/>
  <c r="G155" i="84"/>
  <c r="G91" i="84"/>
  <c r="G141" i="84"/>
  <c r="G121" i="84"/>
  <c r="G111" i="84"/>
  <c r="O111" i="84" s="1"/>
  <c r="BO96" i="87"/>
  <c r="H94" i="84" s="1"/>
  <c r="G77" i="84"/>
  <c r="G71" i="84"/>
  <c r="G61" i="84"/>
  <c r="G55" i="84"/>
  <c r="G45" i="84"/>
  <c r="G39" i="84"/>
  <c r="G29" i="84"/>
  <c r="G23" i="84"/>
  <c r="G13" i="84"/>
  <c r="K226" i="84" l="1"/>
  <c r="K48" i="84"/>
  <c r="G273" i="84"/>
  <c r="O273" i="84" s="1"/>
  <c r="C43" i="63" s="1"/>
  <c r="E273" i="84"/>
  <c r="N273" i="84" s="1"/>
  <c r="C41" i="63" s="1"/>
  <c r="M7" i="86"/>
  <c r="D129" i="48"/>
  <c r="G129" i="48" s="1"/>
  <c r="C129" i="48"/>
  <c r="B129" i="48"/>
  <c r="B40" i="35"/>
  <c r="C40" i="35" s="1"/>
  <c r="K232" i="84" l="1"/>
  <c r="Q232" i="84" s="1"/>
  <c r="K177" i="84"/>
  <c r="K100" i="84"/>
  <c r="K179" i="84"/>
  <c r="K199" i="84"/>
  <c r="K237" i="84"/>
  <c r="K222" i="84"/>
  <c r="K264" i="84"/>
  <c r="K268" i="84"/>
  <c r="K184" i="84"/>
  <c r="K10" i="84"/>
  <c r="K81" i="84"/>
  <c r="K71" i="84"/>
  <c r="K9" i="84"/>
  <c r="K43" i="84"/>
  <c r="K62" i="84"/>
  <c r="K106" i="84"/>
  <c r="K114" i="84"/>
  <c r="Q114" i="84" s="1"/>
  <c r="K122" i="84"/>
  <c r="K146" i="84"/>
  <c r="K154" i="84"/>
  <c r="Q154" i="84" s="1"/>
  <c r="K28" i="84"/>
  <c r="K89" i="84"/>
  <c r="K103" i="84"/>
  <c r="K20" i="84"/>
  <c r="K201" i="84"/>
  <c r="K104" i="84"/>
  <c r="K248" i="84"/>
  <c r="K194" i="84"/>
  <c r="K262" i="84"/>
  <c r="K18" i="84"/>
  <c r="K33" i="84"/>
  <c r="K78" i="84"/>
  <c r="K22" i="84"/>
  <c r="K70" i="84"/>
  <c r="K115" i="84"/>
  <c r="K123" i="84"/>
  <c r="K139" i="84"/>
  <c r="K147" i="84"/>
  <c r="K163" i="84"/>
  <c r="K171" i="84"/>
  <c r="K129" i="84"/>
  <c r="K190" i="84"/>
  <c r="K215" i="84"/>
  <c r="K229" i="84"/>
  <c r="K266" i="84"/>
  <c r="K247" i="84"/>
  <c r="K259" i="84"/>
  <c r="K24" i="84"/>
  <c r="K45" i="84"/>
  <c r="K17" i="84"/>
  <c r="K31" i="84"/>
  <c r="K69" i="84"/>
  <c r="K68" i="84"/>
  <c r="K84" i="84"/>
  <c r="K116" i="84"/>
  <c r="K132" i="84"/>
  <c r="K140" i="84"/>
  <c r="K156" i="84"/>
  <c r="K164" i="84"/>
  <c r="K54" i="84"/>
  <c r="K80" i="84"/>
  <c r="K127" i="84"/>
  <c r="K200" i="84"/>
  <c r="K65" i="84"/>
  <c r="K169" i="84"/>
  <c r="K227" i="84"/>
  <c r="K197" i="84"/>
  <c r="K188" i="84"/>
  <c r="K203" i="84"/>
  <c r="K223" i="84"/>
  <c r="K263" i="84"/>
  <c r="K230" i="84"/>
  <c r="K256" i="84"/>
  <c r="K32" i="84"/>
  <c r="K44" i="84"/>
  <c r="K85" i="84"/>
  <c r="K77" i="84"/>
  <c r="K117" i="84"/>
  <c r="K141" i="84"/>
  <c r="K149" i="84"/>
  <c r="K91" i="84"/>
  <c r="K135" i="84"/>
  <c r="K75" i="84"/>
  <c r="K72" i="84"/>
  <c r="K192" i="84"/>
  <c r="K205" i="84"/>
  <c r="K196" i="84"/>
  <c r="K211" i="84"/>
  <c r="K224" i="84"/>
  <c r="K241" i="84"/>
  <c r="K245" i="84"/>
  <c r="K261" i="84"/>
  <c r="K15" i="84"/>
  <c r="K52" i="84"/>
  <c r="K56" i="84"/>
  <c r="K88" i="84"/>
  <c r="K110" i="84"/>
  <c r="Q110" i="84" s="1"/>
  <c r="K118" i="84"/>
  <c r="K126" i="84"/>
  <c r="K134" i="84"/>
  <c r="K142" i="84"/>
  <c r="K150" i="84"/>
  <c r="K158" i="84"/>
  <c r="K166" i="84"/>
  <c r="K59" i="84"/>
  <c r="K151" i="84"/>
  <c r="K209" i="84"/>
  <c r="K64" i="84"/>
  <c r="K34" i="84"/>
  <c r="Q34" i="84" s="1"/>
  <c r="K204" i="84"/>
  <c r="K219" i="84"/>
  <c r="K225" i="84"/>
  <c r="K235" i="84"/>
  <c r="K234" i="84"/>
  <c r="K249" i="84"/>
  <c r="K14" i="84"/>
  <c r="K111" i="84"/>
  <c r="Q111" i="84" s="1"/>
  <c r="K143" i="84"/>
  <c r="K251" i="84"/>
  <c r="K12" i="84"/>
  <c r="K153" i="84"/>
  <c r="K206" i="84"/>
  <c r="K212" i="84"/>
  <c r="K183" i="84"/>
  <c r="K242" i="84"/>
  <c r="K198" i="84"/>
  <c r="K255" i="84"/>
  <c r="K243" i="84"/>
  <c r="K238" i="84"/>
  <c r="K21" i="84"/>
  <c r="K61" i="84"/>
  <c r="K13" i="84"/>
  <c r="K66" i="84"/>
  <c r="K58" i="84"/>
  <c r="K98" i="84"/>
  <c r="Q98" i="84" s="1"/>
  <c r="K112" i="84"/>
  <c r="Q112" i="84" s="1"/>
  <c r="K120" i="84"/>
  <c r="K144" i="84"/>
  <c r="K152" i="84"/>
  <c r="K160" i="84"/>
  <c r="K168" i="84"/>
  <c r="K105" i="84"/>
  <c r="K108" i="84"/>
  <c r="K102" i="84"/>
  <c r="K109" i="84"/>
  <c r="Q109" i="84" s="1"/>
  <c r="B39" i="35"/>
  <c r="K273" i="84" l="1"/>
  <c r="Q273" i="84" s="1"/>
  <c r="C44" i="63" s="1"/>
  <c r="D30" i="48" s="1"/>
  <c r="C43" i="46"/>
  <c r="B95" i="82"/>
  <c r="B96" i="82" s="1"/>
  <c r="B97" i="82" s="1"/>
  <c r="B98" i="82" s="1"/>
  <c r="B99" i="82" s="1"/>
  <c r="B100" i="82" s="1"/>
  <c r="B101" i="82" s="1"/>
  <c r="B102" i="82" s="1"/>
  <c r="B103" i="82" s="1"/>
  <c r="B104" i="82" s="1"/>
  <c r="B13" i="81"/>
  <c r="B14" i="81" s="1"/>
  <c r="B15" i="81" s="1"/>
  <c r="B16" i="81" s="1"/>
  <c r="B17" i="81" s="1"/>
  <c r="B18" i="81" s="1"/>
  <c r="B19" i="81" s="1"/>
  <c r="B20" i="81" s="1"/>
  <c r="B21" i="81" s="1"/>
  <c r="B22" i="81" s="1"/>
  <c r="B23" i="81" s="1"/>
  <c r="B24" i="81" s="1"/>
  <c r="B25" i="81" s="1"/>
  <c r="B26" i="81" s="1"/>
  <c r="B27" i="81" s="1"/>
  <c r="B28" i="81" s="1"/>
  <c r="B29" i="81" s="1"/>
  <c r="B30" i="81" s="1"/>
  <c r="B31" i="81" s="1"/>
  <c r="B32" i="81" s="1"/>
  <c r="B33" i="81" s="1"/>
  <c r="B34" i="81" s="1"/>
  <c r="B35" i="81" s="1"/>
  <c r="B36" i="81" s="1"/>
  <c r="B37" i="81" s="1"/>
  <c r="B38" i="81" s="1"/>
  <c r="B39" i="81" s="1"/>
  <c r="B40" i="81" s="1"/>
  <c r="B41" i="81" s="1"/>
  <c r="C20" i="60" l="1"/>
  <c r="C32" i="60" l="1"/>
  <c r="G20" i="48" s="1"/>
  <c r="C21" i="60"/>
  <c r="A2" i="76"/>
  <c r="O67" i="76" l="1"/>
  <c r="O68" i="76"/>
  <c r="O2" i="76"/>
  <c r="N67" i="76"/>
  <c r="N2" i="76"/>
  <c r="M2" i="76"/>
  <c r="L67" i="76"/>
  <c r="L2" i="76"/>
  <c r="K2" i="76"/>
  <c r="J2" i="76"/>
  <c r="J20" i="60" l="1"/>
  <c r="H20" i="60"/>
  <c r="F20" i="60"/>
  <c r="B3" i="77" l="1"/>
  <c r="C3" i="77" s="1"/>
  <c r="B50" i="77"/>
  <c r="C50" i="77" s="1"/>
  <c r="B42" i="77"/>
  <c r="C42" i="77" s="1"/>
  <c r="B9" i="77"/>
  <c r="C9" i="77" s="1"/>
  <c r="B22" i="77"/>
  <c r="C22" i="77" s="1"/>
  <c r="B21" i="77"/>
  <c r="C21" i="77" s="1"/>
  <c r="B32" i="77"/>
  <c r="C32" i="77" s="1"/>
  <c r="B2" i="77"/>
  <c r="C2" i="77" s="1"/>
  <c r="B23" i="77"/>
  <c r="C23" i="77" s="1"/>
  <c r="B18" i="77"/>
  <c r="C18" i="77" s="1"/>
  <c r="B47" i="77"/>
  <c r="C47" i="77" s="1"/>
  <c r="B20" i="77"/>
  <c r="C20" i="77" s="1"/>
  <c r="B38" i="77"/>
  <c r="C38" i="77" s="1"/>
  <c r="B4" i="77"/>
  <c r="C4" i="77" s="1"/>
  <c r="B26" i="77"/>
  <c r="C26" i="77" s="1"/>
  <c r="B34" i="77"/>
  <c r="C34" i="77" s="1"/>
  <c r="B14" i="77"/>
  <c r="C14" i="77" s="1"/>
  <c r="B13" i="77"/>
  <c r="C13" i="77" s="1"/>
  <c r="B28" i="77"/>
  <c r="C28" i="77" s="1"/>
  <c r="B51" i="77"/>
  <c r="C51" i="77" s="1"/>
  <c r="B19" i="77"/>
  <c r="C19" i="77" s="1"/>
  <c r="B6" i="77"/>
  <c r="C6" i="77" s="1"/>
  <c r="B5" i="77"/>
  <c r="C5" i="77" s="1"/>
  <c r="B15" i="77"/>
  <c r="C15" i="77" s="1"/>
  <c r="B11" i="77"/>
  <c r="C11" i="77" s="1"/>
  <c r="B8" i="77"/>
  <c r="C8" i="77" s="1"/>
  <c r="B29" i="77"/>
  <c r="C29" i="77" s="1"/>
  <c r="B24" i="77"/>
  <c r="C24" i="77" s="1"/>
  <c r="B7" i="77"/>
  <c r="C7" i="77" s="1"/>
  <c r="B17" i="77"/>
  <c r="C17" i="77" s="1"/>
  <c r="B49" i="77"/>
  <c r="C49" i="77" s="1"/>
  <c r="B10" i="77"/>
  <c r="C10" i="77" s="1"/>
  <c r="B52" i="77"/>
  <c r="C52" i="77" s="1"/>
  <c r="B43" i="77"/>
  <c r="C43" i="77" s="1"/>
  <c r="B37" i="77"/>
  <c r="C37" i="77" s="1"/>
  <c r="B41" i="77"/>
  <c r="C41" i="77" s="1"/>
  <c r="B54" i="77"/>
  <c r="C54" i="77" s="1"/>
  <c r="B53" i="77"/>
  <c r="C53" i="77" s="1"/>
  <c r="B48" i="77"/>
  <c r="C48" i="77" s="1"/>
  <c r="B16" i="77"/>
  <c r="C16" i="77" s="1"/>
  <c r="B39" i="77"/>
  <c r="C39" i="77" s="1"/>
  <c r="B31" i="77"/>
  <c r="C31" i="77" s="1"/>
  <c r="B36" i="77"/>
  <c r="C36" i="77" s="1"/>
  <c r="B33" i="77"/>
  <c r="C33" i="77" s="1"/>
  <c r="B46" i="77"/>
  <c r="C46" i="77" s="1"/>
  <c r="B45" i="77"/>
  <c r="C45" i="77" s="1"/>
  <c r="B44" i="77"/>
  <c r="C44" i="77" s="1"/>
  <c r="B12" i="77"/>
  <c r="C12" i="77" s="1"/>
  <c r="B35" i="77"/>
  <c r="C35" i="77" s="1"/>
  <c r="B40" i="77"/>
  <c r="C40" i="77" s="1"/>
  <c r="B27" i="77"/>
  <c r="C27" i="77" s="1"/>
  <c r="B25" i="77"/>
  <c r="C25" i="77" s="1"/>
  <c r="B30" i="77"/>
  <c r="C30" i="77" s="1"/>
  <c r="B14" i="35"/>
  <c r="B15" i="35"/>
  <c r="B16" i="35"/>
  <c r="B17" i="35"/>
  <c r="B18" i="35"/>
  <c r="B19" i="35"/>
  <c r="B20" i="35"/>
  <c r="B21" i="35"/>
  <c r="B22" i="35"/>
  <c r="B23" i="35"/>
  <c r="B24" i="35"/>
  <c r="B25" i="35"/>
  <c r="B26" i="35"/>
  <c r="B27" i="35"/>
  <c r="B29" i="35"/>
  <c r="B31" i="35"/>
  <c r="B32" i="35"/>
  <c r="B33" i="35"/>
  <c r="B34" i="35"/>
  <c r="B36" i="35"/>
  <c r="B37" i="35"/>
  <c r="B38" i="35"/>
  <c r="B41" i="35"/>
  <c r="B42" i="35"/>
  <c r="B43" i="35"/>
  <c r="B44" i="35"/>
  <c r="B45" i="35"/>
  <c r="B46" i="35"/>
  <c r="B47" i="35"/>
  <c r="B48" i="35"/>
  <c r="B49" i="35"/>
  <c r="B50" i="35"/>
  <c r="B51" i="35"/>
  <c r="B52" i="35"/>
  <c r="B53" i="35"/>
  <c r="B54" i="35"/>
  <c r="B55" i="35"/>
  <c r="B56" i="35"/>
  <c r="B57" i="35"/>
  <c r="B58" i="35"/>
  <c r="B59" i="35"/>
  <c r="B60" i="35"/>
  <c r="B61" i="35"/>
  <c r="B62" i="35"/>
  <c r="B63" i="35"/>
  <c r="B64" i="35"/>
  <c r="B65" i="35"/>
  <c r="B66" i="35"/>
  <c r="B69" i="35"/>
  <c r="B70" i="35"/>
  <c r="B71" i="35"/>
  <c r="B72" i="35"/>
  <c r="B73" i="35"/>
  <c r="B75" i="35"/>
  <c r="B78" i="35"/>
  <c r="B79" i="35"/>
  <c r="B80" i="35"/>
  <c r="B81" i="35"/>
  <c r="B82" i="35"/>
  <c r="B83" i="35"/>
  <c r="B85" i="35"/>
  <c r="B86" i="35"/>
  <c r="B87" i="35"/>
  <c r="B90" i="35"/>
  <c r="B91" i="35"/>
  <c r="B92" i="35"/>
  <c r="B93" i="35"/>
  <c r="B94" i="35"/>
  <c r="B96" i="35"/>
  <c r="B97" i="35"/>
  <c r="B98" i="35"/>
  <c r="B100" i="35"/>
  <c r="B101" i="35"/>
  <c r="B102" i="35"/>
  <c r="B103" i="35"/>
  <c r="C35" i="60"/>
  <c r="C39" i="60" l="1"/>
  <c r="C47" i="60" s="1"/>
  <c r="C48" i="60" l="1"/>
  <c r="H20" i="48"/>
  <c r="B123" i="48"/>
  <c r="C123" i="48"/>
  <c r="D123" i="48"/>
  <c r="G123" i="48" s="1"/>
  <c r="B124" i="48"/>
  <c r="C124" i="48"/>
  <c r="D124" i="48"/>
  <c r="G124" i="48" s="1"/>
  <c r="BN268" i="75"/>
  <c r="BN267" i="75"/>
  <c r="BN266" i="75"/>
  <c r="BN265" i="75"/>
  <c r="BN264" i="75"/>
  <c r="BN263" i="75"/>
  <c r="BN262" i="75"/>
  <c r="BN261" i="75"/>
  <c r="BN260" i="75"/>
  <c r="BN259" i="75"/>
  <c r="BN258" i="75"/>
  <c r="BN257" i="75"/>
  <c r="BN256" i="75"/>
  <c r="BN255" i="75"/>
  <c r="BN254" i="75"/>
  <c r="BN253" i="75"/>
  <c r="BN252" i="75"/>
  <c r="BN251" i="75"/>
  <c r="BN250" i="75"/>
  <c r="BN249" i="75"/>
  <c r="BN248" i="75"/>
  <c r="BN247" i="75"/>
  <c r="BN246" i="75"/>
  <c r="BN245" i="75"/>
  <c r="BN244" i="75"/>
  <c r="BN243" i="75"/>
  <c r="BN242" i="75"/>
  <c r="BN241" i="75"/>
  <c r="BN240" i="75"/>
  <c r="BN239" i="75"/>
  <c r="BN238" i="75"/>
  <c r="BN237" i="75"/>
  <c r="BN236" i="75"/>
  <c r="BN235" i="75"/>
  <c r="BN234" i="75"/>
  <c r="BN233" i="75"/>
  <c r="BN232" i="75"/>
  <c r="BN231" i="75"/>
  <c r="BN230" i="75"/>
  <c r="BN229" i="75"/>
  <c r="BN228" i="75"/>
  <c r="BN227" i="75"/>
  <c r="BN226" i="75"/>
  <c r="BN225" i="75"/>
  <c r="BN224" i="75"/>
  <c r="BN223" i="75"/>
  <c r="BN222" i="75"/>
  <c r="BN221" i="75"/>
  <c r="BN220" i="75"/>
  <c r="BN219" i="75"/>
  <c r="BN218" i="75"/>
  <c r="BN217" i="75"/>
  <c r="BN216" i="75"/>
  <c r="BN215" i="75"/>
  <c r="BN214" i="75"/>
  <c r="BN213" i="75"/>
  <c r="BN212" i="75"/>
  <c r="BN211" i="75"/>
  <c r="BN210" i="75"/>
  <c r="BN209" i="75"/>
  <c r="BN208" i="75"/>
  <c r="BN207" i="75"/>
  <c r="BN206" i="75"/>
  <c r="BN205" i="75"/>
  <c r="BN204" i="75"/>
  <c r="BN203" i="75"/>
  <c r="BN202" i="75"/>
  <c r="BN201" i="75"/>
  <c r="BN200" i="75"/>
  <c r="BN199" i="75"/>
  <c r="BN198" i="75"/>
  <c r="BN197" i="75"/>
  <c r="BN196" i="75"/>
  <c r="BN195" i="75"/>
  <c r="BN194" i="75"/>
  <c r="BN193" i="75"/>
  <c r="BN192" i="75"/>
  <c r="BN191" i="75"/>
  <c r="BN190" i="75"/>
  <c r="BN189" i="75"/>
  <c r="BN188" i="75"/>
  <c r="BN187" i="75"/>
  <c r="BN186" i="75"/>
  <c r="BN185" i="75"/>
  <c r="BN184" i="75"/>
  <c r="BN183" i="75"/>
  <c r="BN182" i="75"/>
  <c r="BN181" i="75"/>
  <c r="BN180" i="75"/>
  <c r="BN179" i="75"/>
  <c r="BN178" i="75"/>
  <c r="BN177" i="75"/>
  <c r="BN176" i="75"/>
  <c r="BN175" i="75"/>
  <c r="BN174" i="75"/>
  <c r="BN173" i="75"/>
  <c r="BN172" i="75"/>
  <c r="BN171" i="75"/>
  <c r="BN170" i="75"/>
  <c r="BN169" i="75"/>
  <c r="BN168" i="75"/>
  <c r="BN167" i="75"/>
  <c r="BN166" i="75"/>
  <c r="BN165" i="75"/>
  <c r="BN164" i="75"/>
  <c r="BN163" i="75"/>
  <c r="BN162" i="75"/>
  <c r="BN161" i="75"/>
  <c r="BN160" i="75"/>
  <c r="BN159" i="75"/>
  <c r="BN158" i="75"/>
  <c r="BN157" i="75"/>
  <c r="BN156" i="75"/>
  <c r="BN155" i="75"/>
  <c r="BN154" i="75"/>
  <c r="BN153" i="75"/>
  <c r="BN152" i="75"/>
  <c r="BN151" i="75"/>
  <c r="BN150" i="75"/>
  <c r="BN149" i="75"/>
  <c r="BN148" i="75"/>
  <c r="BN147" i="75"/>
  <c r="BN146" i="75"/>
  <c r="BN145" i="75"/>
  <c r="BN144" i="75"/>
  <c r="BN143" i="75"/>
  <c r="BN142" i="75"/>
  <c r="BN141" i="75"/>
  <c r="BN140" i="75"/>
  <c r="BN139" i="75"/>
  <c r="BN138" i="75"/>
  <c r="BN137" i="75"/>
  <c r="BN136" i="75"/>
  <c r="BN135" i="75"/>
  <c r="BN134" i="75"/>
  <c r="BN133" i="75"/>
  <c r="BN132" i="75"/>
  <c r="BN131" i="75"/>
  <c r="BN130" i="75"/>
  <c r="BN129" i="75"/>
  <c r="BN128" i="75"/>
  <c r="BN127" i="75"/>
  <c r="BN126" i="75"/>
  <c r="BN125" i="75"/>
  <c r="BN124" i="75"/>
  <c r="BN123" i="75"/>
  <c r="BN122" i="75"/>
  <c r="BN121" i="75"/>
  <c r="BN120" i="75"/>
  <c r="BN119" i="75"/>
  <c r="BN118" i="75"/>
  <c r="BN117" i="75"/>
  <c r="BN116" i="75"/>
  <c r="BN115" i="75"/>
  <c r="BN114" i="75"/>
  <c r="BN113" i="75"/>
  <c r="BN112" i="75"/>
  <c r="BN111" i="75"/>
  <c r="BN110" i="75"/>
  <c r="BN109" i="75"/>
  <c r="BN108" i="75"/>
  <c r="BN107" i="75"/>
  <c r="BN106" i="75"/>
  <c r="BN105" i="75"/>
  <c r="BN104" i="75"/>
  <c r="BN103" i="75"/>
  <c r="BN102" i="75"/>
  <c r="BN101" i="75"/>
  <c r="BN100" i="75"/>
  <c r="BN99" i="75"/>
  <c r="BN98" i="75"/>
  <c r="BN97" i="75"/>
  <c r="BN96" i="75"/>
  <c r="BN95" i="75"/>
  <c r="BN94" i="75"/>
  <c r="BN93" i="75"/>
  <c r="BN92" i="75"/>
  <c r="BN91" i="75"/>
  <c r="BN90" i="75"/>
  <c r="BN89" i="75"/>
  <c r="BN88" i="75"/>
  <c r="BN87" i="75"/>
  <c r="BN86" i="75"/>
  <c r="BN85" i="75"/>
  <c r="BN84" i="75"/>
  <c r="BN83" i="75"/>
  <c r="BN82" i="75"/>
  <c r="BN81" i="75"/>
  <c r="BN80" i="75"/>
  <c r="BN79" i="75"/>
  <c r="BN78" i="75"/>
  <c r="BN77" i="75"/>
  <c r="BN76" i="75"/>
  <c r="BN75" i="75"/>
  <c r="BN74" i="75"/>
  <c r="BN73" i="75"/>
  <c r="BN72" i="75"/>
  <c r="BN71" i="75"/>
  <c r="BN70" i="75"/>
  <c r="BN69" i="75"/>
  <c r="BN68" i="75"/>
  <c r="BN67" i="75"/>
  <c r="BN66" i="75"/>
  <c r="BN65" i="75"/>
  <c r="BN64" i="75"/>
  <c r="BN63" i="75"/>
  <c r="BN62" i="75"/>
  <c r="BN61" i="75"/>
  <c r="BN60" i="75"/>
  <c r="BN59" i="75"/>
  <c r="BN58" i="75"/>
  <c r="BN57" i="75"/>
  <c r="BN56" i="75"/>
  <c r="BN55" i="75"/>
  <c r="BN54" i="75"/>
  <c r="BN53" i="75"/>
  <c r="BN52" i="75"/>
  <c r="BN51" i="75"/>
  <c r="BN50" i="75"/>
  <c r="BN49" i="75"/>
  <c r="BN48" i="75"/>
  <c r="BN47" i="75"/>
  <c r="BN46" i="75"/>
  <c r="BN45" i="75"/>
  <c r="BN44" i="75"/>
  <c r="BN43" i="75"/>
  <c r="BN42" i="75"/>
  <c r="BN41" i="75"/>
  <c r="BN40" i="75"/>
  <c r="BN39" i="75"/>
  <c r="BN38" i="75"/>
  <c r="BN37" i="75"/>
  <c r="BN36" i="75"/>
  <c r="BN35" i="75"/>
  <c r="BN34" i="75"/>
  <c r="BN33" i="75"/>
  <c r="BN32" i="75"/>
  <c r="BN31" i="75"/>
  <c r="BN30" i="75"/>
  <c r="BN29" i="75"/>
  <c r="BN28" i="75"/>
  <c r="BN27" i="75"/>
  <c r="BN26" i="75"/>
  <c r="BN25" i="75"/>
  <c r="BN24" i="75"/>
  <c r="BN23" i="75"/>
  <c r="BN22" i="75"/>
  <c r="BN21" i="75"/>
  <c r="BN20" i="75"/>
  <c r="BN19" i="75"/>
  <c r="BN18" i="75"/>
  <c r="BN17" i="75"/>
  <c r="BN16" i="75"/>
  <c r="BN15" i="75"/>
  <c r="BN14" i="75"/>
  <c r="BN13" i="75"/>
  <c r="BN12" i="75"/>
  <c r="BN11" i="75"/>
  <c r="BN10" i="75"/>
  <c r="BN9" i="75"/>
  <c r="BN8" i="75"/>
  <c r="BN7" i="75"/>
  <c r="BN6" i="75"/>
  <c r="BN5" i="75"/>
  <c r="C19" i="63" l="1"/>
  <c r="K33" i="46"/>
  <c r="D23" i="72" l="1"/>
  <c r="D21" i="72"/>
  <c r="D128" i="48"/>
  <c r="G128" i="48" s="1"/>
  <c r="B128" i="48"/>
  <c r="C128" i="48"/>
  <c r="C22" i="70" l="1"/>
  <c r="C23" i="70"/>
  <c r="C24" i="70"/>
  <c r="C21" i="70"/>
  <c r="B97" i="48" l="1"/>
  <c r="C97" i="48"/>
  <c r="B98" i="48"/>
  <c r="C98" i="48"/>
  <c r="B99" i="48"/>
  <c r="C99" i="48"/>
  <c r="B100" i="48"/>
  <c r="C100" i="48"/>
  <c r="B101" i="48"/>
  <c r="C101" i="48"/>
  <c r="B102" i="48"/>
  <c r="C102" i="48"/>
  <c r="B103" i="48"/>
  <c r="C103" i="48"/>
  <c r="B104" i="48"/>
  <c r="C104" i="48"/>
  <c r="B105" i="48"/>
  <c r="C105" i="48"/>
  <c r="B106" i="48"/>
  <c r="C106" i="48"/>
  <c r="B107" i="48"/>
  <c r="C107" i="48"/>
  <c r="B108" i="48"/>
  <c r="C108" i="48"/>
  <c r="B109" i="48"/>
  <c r="C109" i="48"/>
  <c r="B110" i="48"/>
  <c r="C110" i="48"/>
  <c r="B111" i="48"/>
  <c r="C111" i="48"/>
  <c r="B112" i="48"/>
  <c r="C112" i="48"/>
  <c r="B113" i="48"/>
  <c r="C113" i="48"/>
  <c r="B114" i="48"/>
  <c r="C114" i="48"/>
  <c r="B115" i="48"/>
  <c r="C115" i="48"/>
  <c r="B116" i="48"/>
  <c r="C116" i="48"/>
  <c r="B117" i="48"/>
  <c r="C117" i="48"/>
  <c r="B118" i="48"/>
  <c r="C118" i="48"/>
  <c r="B119" i="48"/>
  <c r="C119" i="48"/>
  <c r="C121" i="48"/>
  <c r="C120" i="48" s="1"/>
  <c r="B121" i="48"/>
  <c r="B120" i="48" s="1"/>
  <c r="C122" i="48"/>
  <c r="B122" i="48"/>
  <c r="B126" i="48"/>
  <c r="C126" i="48"/>
  <c r="B127" i="48"/>
  <c r="C127" i="48"/>
  <c r="B130" i="48"/>
  <c r="C130" i="48"/>
  <c r="B131" i="48"/>
  <c r="C131" i="48"/>
  <c r="B132" i="48"/>
  <c r="C132" i="48"/>
  <c r="B133" i="48"/>
  <c r="C133" i="48"/>
  <c r="B134" i="48"/>
  <c r="C134" i="48"/>
  <c r="B135" i="48"/>
  <c r="C135" i="48"/>
  <c r="B136" i="48"/>
  <c r="C136" i="48"/>
  <c r="B137" i="48"/>
  <c r="C137" i="48"/>
  <c r="B138" i="48"/>
  <c r="C138" i="48"/>
  <c r="B139" i="48"/>
  <c r="C139" i="48"/>
  <c r="B140" i="48"/>
  <c r="C140" i="48"/>
  <c r="B141" i="48"/>
  <c r="C141" i="48"/>
  <c r="B142" i="48"/>
  <c r="C142" i="48"/>
  <c r="B143" i="48"/>
  <c r="C143" i="48"/>
  <c r="B144" i="48"/>
  <c r="C144" i="48"/>
  <c r="B145" i="48"/>
  <c r="C145" i="48"/>
  <c r="B146" i="48"/>
  <c r="C146" i="48"/>
  <c r="B147" i="48"/>
  <c r="C147" i="48"/>
  <c r="B148" i="48"/>
  <c r="C148" i="48"/>
  <c r="B149" i="48"/>
  <c r="C149" i="48"/>
  <c r="B150" i="48"/>
  <c r="C150" i="48"/>
  <c r="B151" i="48"/>
  <c r="C151" i="48"/>
  <c r="B152" i="48"/>
  <c r="C152" i="48"/>
  <c r="B153" i="48"/>
  <c r="C153" i="48"/>
  <c r="B154" i="48"/>
  <c r="C154" i="48"/>
  <c r="C155" i="48"/>
  <c r="B125" i="48"/>
  <c r="C125" i="48"/>
  <c r="E39" i="60" l="1"/>
  <c r="E43" i="60" s="1"/>
  <c r="C103" i="46"/>
  <c r="C105" i="46"/>
  <c r="C45" i="42"/>
  <c r="C44" i="42"/>
  <c r="C43" i="42"/>
  <c r="C42" i="42"/>
  <c r="D106" i="46" l="1"/>
  <c r="C106" i="46"/>
  <c r="D104" i="46"/>
  <c r="C104" i="46"/>
  <c r="D105" i="46"/>
  <c r="D103" i="46"/>
  <c r="I66" i="35"/>
  <c r="I65" i="35"/>
  <c r="I64" i="35"/>
  <c r="I63" i="35"/>
  <c r="I62" i="35"/>
  <c r="I61" i="35"/>
  <c r="I60" i="35"/>
  <c r="I59" i="35"/>
  <c r="I58" i="35"/>
  <c r="I53" i="35"/>
  <c r="I52" i="35"/>
  <c r="I51" i="35"/>
  <c r="I50" i="35"/>
  <c r="I49" i="35"/>
  <c r="I48" i="35"/>
  <c r="I47" i="35"/>
  <c r="I45" i="35"/>
  <c r="I43" i="35"/>
  <c r="C14" i="63"/>
  <c r="F68" i="48" l="1"/>
  <c r="C15" i="46"/>
  <c r="C16" i="46"/>
  <c r="C17" i="46"/>
  <c r="C32" i="46"/>
  <c r="C34" i="46"/>
  <c r="C39" i="46"/>
  <c r="C71" i="46"/>
  <c r="C72" i="46"/>
  <c r="C78" i="46"/>
  <c r="C80" i="46"/>
  <c r="C81" i="46"/>
  <c r="C88" i="46"/>
  <c r="C92" i="46"/>
  <c r="C93" i="46"/>
  <c r="C99" i="46"/>
  <c r="C107" i="46"/>
  <c r="G68" i="48" l="1"/>
  <c r="H68" i="48" l="1"/>
  <c r="D109" i="48"/>
  <c r="G109" i="48" s="1"/>
  <c r="D110" i="48"/>
  <c r="G110" i="48" s="1"/>
  <c r="D111" i="48"/>
  <c r="G111" i="48" s="1"/>
  <c r="D112" i="48"/>
  <c r="G112" i="48" s="1"/>
  <c r="B10366" i="51"/>
  <c r="B10365" i="51"/>
  <c r="B10364" i="51"/>
  <c r="B10363" i="51"/>
  <c r="B10362" i="51"/>
  <c r="B10361" i="51"/>
  <c r="B10360" i="51"/>
  <c r="B10359" i="51"/>
  <c r="B10358" i="51"/>
  <c r="B10357" i="51"/>
  <c r="B10356" i="51"/>
  <c r="B10355" i="51"/>
  <c r="B10354" i="51"/>
  <c r="B10353" i="51"/>
  <c r="B10352" i="51"/>
  <c r="B10351" i="51"/>
  <c r="B10350" i="51"/>
  <c r="B10349" i="51"/>
  <c r="B10348" i="51"/>
  <c r="B10347" i="51"/>
  <c r="B10346" i="51"/>
  <c r="B10345" i="51"/>
  <c r="B10344" i="51"/>
  <c r="B10343" i="51"/>
  <c r="B10342" i="51"/>
  <c r="B10341" i="51"/>
  <c r="B10340" i="51"/>
  <c r="B10339" i="51"/>
  <c r="B10338" i="51"/>
  <c r="B10337" i="51"/>
  <c r="B10336" i="51"/>
  <c r="B10335" i="51"/>
  <c r="B10334" i="51"/>
  <c r="B10333" i="51"/>
  <c r="B10332" i="51"/>
  <c r="B10331" i="51"/>
  <c r="B10330" i="51"/>
  <c r="B10329" i="51"/>
  <c r="B10328" i="51"/>
  <c r="B10327" i="51"/>
  <c r="B10326" i="51"/>
  <c r="B10325" i="51"/>
  <c r="B10324" i="51"/>
  <c r="B10323" i="51"/>
  <c r="B10322" i="51"/>
  <c r="B10321" i="51"/>
  <c r="B10320" i="51"/>
  <c r="B10319" i="51"/>
  <c r="B10318" i="51"/>
  <c r="B10317" i="51"/>
  <c r="B10316" i="51"/>
  <c r="B10315" i="51"/>
  <c r="B10314" i="51"/>
  <c r="B10313" i="51"/>
  <c r="B10312" i="51"/>
  <c r="B10311" i="51"/>
  <c r="B10310" i="51"/>
  <c r="B10309" i="51"/>
  <c r="B10308" i="51"/>
  <c r="B10307" i="51"/>
  <c r="B10306" i="51"/>
  <c r="B10305" i="51"/>
  <c r="B10304" i="51"/>
  <c r="B10303" i="51"/>
  <c r="B10302" i="51"/>
  <c r="B10301" i="51"/>
  <c r="B10300" i="51"/>
  <c r="B10299" i="51"/>
  <c r="B10298" i="51"/>
  <c r="B10297" i="51"/>
  <c r="B10296" i="51"/>
  <c r="B10295" i="51"/>
  <c r="B10294" i="51"/>
  <c r="B10293" i="51"/>
  <c r="B10292" i="51"/>
  <c r="B10291" i="51"/>
  <c r="B10290" i="51"/>
  <c r="B10289" i="51"/>
  <c r="B10288" i="51"/>
  <c r="B10287" i="51"/>
  <c r="B10286" i="51"/>
  <c r="B10285" i="51"/>
  <c r="B10284" i="51"/>
  <c r="B10283" i="51"/>
  <c r="B10282" i="51"/>
  <c r="B10281" i="51"/>
  <c r="B10280" i="51"/>
  <c r="B10279" i="51"/>
  <c r="B10278" i="51"/>
  <c r="B10277" i="51"/>
  <c r="B10276" i="51"/>
  <c r="B10275" i="51"/>
  <c r="B10274" i="51"/>
  <c r="B10273" i="51"/>
  <c r="B10272" i="51"/>
  <c r="B10271" i="51"/>
  <c r="B10270" i="51"/>
  <c r="B10269" i="51"/>
  <c r="B10268" i="51"/>
  <c r="B10267" i="51"/>
  <c r="B10266" i="51"/>
  <c r="B10265" i="51"/>
  <c r="B10264" i="51"/>
  <c r="B10263" i="51"/>
  <c r="B10262" i="51"/>
  <c r="B10261" i="51"/>
  <c r="B10260" i="51"/>
  <c r="B10259" i="51"/>
  <c r="B10258" i="51"/>
  <c r="B10257" i="51"/>
  <c r="B10256" i="51"/>
  <c r="B10255" i="51"/>
  <c r="B10254" i="51"/>
  <c r="B10253" i="51"/>
  <c r="B10252" i="51"/>
  <c r="B10251" i="51"/>
  <c r="B10250" i="51"/>
  <c r="B10249" i="51"/>
  <c r="B10248" i="51"/>
  <c r="B10247" i="51"/>
  <c r="B10246" i="51"/>
  <c r="B10245" i="51"/>
  <c r="B10244" i="51"/>
  <c r="B10243" i="51"/>
  <c r="B10242" i="51"/>
  <c r="B10241" i="51"/>
  <c r="B10240" i="51"/>
  <c r="B10239" i="51"/>
  <c r="B10238" i="51"/>
  <c r="B10237" i="51"/>
  <c r="B10236" i="51"/>
  <c r="B10235" i="51"/>
  <c r="B10234" i="51"/>
  <c r="B10233" i="51"/>
  <c r="B10232" i="51"/>
  <c r="B10231" i="51"/>
  <c r="B10230" i="51"/>
  <c r="B10229" i="51"/>
  <c r="B10228" i="51"/>
  <c r="B10227" i="51"/>
  <c r="B10226" i="51"/>
  <c r="B10225" i="51"/>
  <c r="B10224" i="51"/>
  <c r="B10223" i="51"/>
  <c r="B10222" i="51"/>
  <c r="B10221" i="51"/>
  <c r="B10220" i="51"/>
  <c r="B10219" i="51"/>
  <c r="B10218" i="51"/>
  <c r="B10217" i="51"/>
  <c r="B10216" i="51"/>
  <c r="B10215" i="51"/>
  <c r="B10214" i="51"/>
  <c r="B10213" i="51"/>
  <c r="B10212" i="51"/>
  <c r="B10211" i="51"/>
  <c r="B10210" i="51"/>
  <c r="B10209" i="51"/>
  <c r="B10208" i="51"/>
  <c r="B10207" i="51"/>
  <c r="B10206" i="51"/>
  <c r="B10205" i="51"/>
  <c r="B10204" i="51"/>
  <c r="B10203" i="51"/>
  <c r="B10202" i="51"/>
  <c r="B10201" i="51"/>
  <c r="B10200" i="51"/>
  <c r="B10199" i="51"/>
  <c r="B10198" i="51"/>
  <c r="B10197" i="51"/>
  <c r="B10196" i="51"/>
  <c r="B10195" i="51"/>
  <c r="B10194" i="51"/>
  <c r="B10193" i="51"/>
  <c r="B10192" i="51"/>
  <c r="B10191" i="51"/>
  <c r="B10190" i="51"/>
  <c r="B10189" i="51"/>
  <c r="B10188" i="51"/>
  <c r="B10187" i="51"/>
  <c r="B10186" i="51"/>
  <c r="B10185" i="51"/>
  <c r="B10184" i="51"/>
  <c r="B10183" i="51"/>
  <c r="B10182" i="51"/>
  <c r="B10181" i="51"/>
  <c r="B10180" i="51"/>
  <c r="B10179" i="51"/>
  <c r="B10178" i="51"/>
  <c r="B10177" i="51"/>
  <c r="B10176" i="51"/>
  <c r="B10175" i="51"/>
  <c r="B10174" i="51"/>
  <c r="B10173" i="51"/>
  <c r="B10172" i="51"/>
  <c r="B10171" i="51"/>
  <c r="B10170" i="51"/>
  <c r="B10169" i="51"/>
  <c r="B10168" i="51"/>
  <c r="B10167" i="51"/>
  <c r="B10166" i="51"/>
  <c r="B10165" i="51"/>
  <c r="B10164" i="51"/>
  <c r="B10163" i="51"/>
  <c r="B10162" i="51"/>
  <c r="B10161" i="51"/>
  <c r="B10160" i="51"/>
  <c r="B10159" i="51"/>
  <c r="B10158" i="51"/>
  <c r="B10157" i="51"/>
  <c r="B10156" i="51"/>
  <c r="B10155" i="51"/>
  <c r="B10154" i="51"/>
  <c r="B10153" i="51"/>
  <c r="B10152" i="51"/>
  <c r="B10151" i="51"/>
  <c r="B10150" i="51"/>
  <c r="B10149" i="51"/>
  <c r="B10148" i="51"/>
  <c r="B10147" i="51"/>
  <c r="B10146" i="51"/>
  <c r="B10145" i="51"/>
  <c r="B10144" i="51"/>
  <c r="B10143" i="51"/>
  <c r="B10142" i="51"/>
  <c r="B10141" i="51"/>
  <c r="B10140" i="51"/>
  <c r="B10139" i="51"/>
  <c r="B10138" i="51"/>
  <c r="B10137" i="51"/>
  <c r="B10136" i="51"/>
  <c r="B10135" i="51"/>
  <c r="B10134" i="51"/>
  <c r="B10133" i="51"/>
  <c r="B10132" i="51"/>
  <c r="B10131" i="51"/>
  <c r="B10130" i="51"/>
  <c r="B10129" i="51"/>
  <c r="B10128" i="51"/>
  <c r="B10127" i="51"/>
  <c r="B10126" i="51"/>
  <c r="B10125" i="51"/>
  <c r="B10124" i="51"/>
  <c r="B10123" i="51"/>
  <c r="B10122" i="51"/>
  <c r="B10121" i="51"/>
  <c r="B10120" i="51"/>
  <c r="B10119" i="51"/>
  <c r="B10118" i="51"/>
  <c r="B10117" i="51"/>
  <c r="B10116" i="51"/>
  <c r="B10115" i="51"/>
  <c r="B10114" i="51"/>
  <c r="B10113" i="51"/>
  <c r="B10112" i="51"/>
  <c r="B10111" i="51"/>
  <c r="B10110" i="51"/>
  <c r="B10109" i="51"/>
  <c r="B10108" i="51"/>
  <c r="B10107" i="51"/>
  <c r="B10106" i="51"/>
  <c r="B10105" i="51"/>
  <c r="B10104" i="51"/>
  <c r="B10103" i="51"/>
  <c r="B10102" i="51"/>
  <c r="B10101" i="51"/>
  <c r="B10100" i="51"/>
  <c r="B10099" i="51"/>
  <c r="B10098" i="51"/>
  <c r="B10097" i="51"/>
  <c r="B10096" i="51"/>
  <c r="B10095" i="51"/>
  <c r="B10094" i="51"/>
  <c r="B10093" i="51"/>
  <c r="B10092" i="51"/>
  <c r="B10091" i="51"/>
  <c r="B10090" i="51"/>
  <c r="B10089" i="51"/>
  <c r="B10088" i="51"/>
  <c r="B10087" i="51"/>
  <c r="B10086" i="51"/>
  <c r="B10085" i="51"/>
  <c r="B10084" i="51"/>
  <c r="B10083" i="51"/>
  <c r="B10082" i="51"/>
  <c r="B10081" i="51"/>
  <c r="B10080" i="51"/>
  <c r="B10079" i="51"/>
  <c r="B10078" i="51"/>
  <c r="B10077" i="51"/>
  <c r="B10076" i="51"/>
  <c r="B10075" i="51"/>
  <c r="B10074" i="51"/>
  <c r="B10073" i="51"/>
  <c r="B10072" i="51"/>
  <c r="B10071" i="51"/>
  <c r="B10070" i="51"/>
  <c r="B10069" i="51"/>
  <c r="B10068" i="51"/>
  <c r="B10067" i="51"/>
  <c r="B10066" i="51"/>
  <c r="B10065" i="51"/>
  <c r="B10064" i="51"/>
  <c r="B10063" i="51"/>
  <c r="B10062" i="51"/>
  <c r="B10061" i="51"/>
  <c r="B10060" i="51"/>
  <c r="B10059" i="51"/>
  <c r="B10058" i="51"/>
  <c r="B10057" i="51"/>
  <c r="B10056" i="51"/>
  <c r="B10055" i="51"/>
  <c r="B10054" i="51"/>
  <c r="B10053" i="51"/>
  <c r="B10052" i="51"/>
  <c r="B10051" i="51"/>
  <c r="B10050" i="51"/>
  <c r="B10049" i="51"/>
  <c r="B10048" i="51"/>
  <c r="B10047" i="51"/>
  <c r="B10046" i="51"/>
  <c r="B10045" i="51"/>
  <c r="B10044" i="51"/>
  <c r="B10043" i="51"/>
  <c r="B10042" i="51"/>
  <c r="B10041" i="51"/>
  <c r="B10040" i="51"/>
  <c r="B10039" i="51"/>
  <c r="B10038" i="51"/>
  <c r="B10037" i="51"/>
  <c r="B10036" i="51"/>
  <c r="B10035" i="51"/>
  <c r="B10034" i="51"/>
  <c r="B10033" i="51"/>
  <c r="B10032" i="51"/>
  <c r="B10031" i="51"/>
  <c r="B10030" i="51"/>
  <c r="B10029" i="51"/>
  <c r="B10028" i="51"/>
  <c r="B10027" i="51"/>
  <c r="B10026" i="51"/>
  <c r="B10025" i="51"/>
  <c r="B10024" i="51"/>
  <c r="B10023" i="51"/>
  <c r="B10022" i="51"/>
  <c r="B10021" i="51"/>
  <c r="B10020" i="51"/>
  <c r="B10019" i="51"/>
  <c r="B10018" i="51"/>
  <c r="B10017" i="51"/>
  <c r="B10016" i="51"/>
  <c r="B10015" i="51"/>
  <c r="B10014" i="51"/>
  <c r="B10013" i="51"/>
  <c r="B10012" i="51"/>
  <c r="B10011" i="51"/>
  <c r="B10010" i="51"/>
  <c r="B10009" i="51"/>
  <c r="B10008" i="51"/>
  <c r="B10007" i="51"/>
  <c r="B10006" i="51"/>
  <c r="B10005" i="51"/>
  <c r="B10004" i="51"/>
  <c r="B10003" i="51"/>
  <c r="B10002" i="51"/>
  <c r="B10001" i="51"/>
  <c r="B10000" i="51"/>
  <c r="B9999" i="51"/>
  <c r="B9998" i="51"/>
  <c r="B9997" i="51"/>
  <c r="B9996" i="51"/>
  <c r="B9995" i="51"/>
  <c r="B9994" i="51"/>
  <c r="B9993" i="51"/>
  <c r="B9992" i="51"/>
  <c r="B9991" i="51"/>
  <c r="B9990" i="51"/>
  <c r="B9989" i="51"/>
  <c r="B9988" i="51"/>
  <c r="B9987" i="51"/>
  <c r="B9986" i="51"/>
  <c r="B9985" i="51"/>
  <c r="B9984" i="51"/>
  <c r="B9983" i="51"/>
  <c r="B9982" i="51"/>
  <c r="B9981" i="51"/>
  <c r="B9980" i="51"/>
  <c r="B9979" i="51"/>
  <c r="B9978" i="51"/>
  <c r="B9977" i="51"/>
  <c r="B9976" i="51"/>
  <c r="B9975" i="51"/>
  <c r="B9974" i="51"/>
  <c r="B9973" i="51"/>
  <c r="B9972" i="51"/>
  <c r="B9971" i="51"/>
  <c r="B9970" i="51"/>
  <c r="B9969" i="51"/>
  <c r="B9968" i="51"/>
  <c r="B9967" i="51"/>
  <c r="B9966" i="51"/>
  <c r="B9965" i="51"/>
  <c r="B9964" i="51"/>
  <c r="B9963" i="51"/>
  <c r="B9962" i="51"/>
  <c r="B9961" i="51"/>
  <c r="B9960" i="51"/>
  <c r="B9959" i="51"/>
  <c r="B9958" i="51"/>
  <c r="B9957" i="51"/>
  <c r="B9956" i="51"/>
  <c r="B9955" i="51"/>
  <c r="B9954" i="51"/>
  <c r="B9953" i="51"/>
  <c r="B9952" i="51"/>
  <c r="B9951" i="51"/>
  <c r="B9950" i="51"/>
  <c r="B9949" i="51"/>
  <c r="B9948" i="51"/>
  <c r="B9947" i="51"/>
  <c r="B9946" i="51"/>
  <c r="B9945" i="51"/>
  <c r="B9944" i="51"/>
  <c r="B9943" i="51"/>
  <c r="B9942" i="51"/>
  <c r="B9941" i="51"/>
  <c r="B9940" i="51"/>
  <c r="B9939" i="51"/>
  <c r="B9938" i="51"/>
  <c r="B9937" i="51"/>
  <c r="B9936" i="51"/>
  <c r="B9935" i="51"/>
  <c r="B9934" i="51"/>
  <c r="B9933" i="51"/>
  <c r="B9932" i="51"/>
  <c r="B9931" i="51"/>
  <c r="B9930" i="51"/>
  <c r="B9929" i="51"/>
  <c r="B9928" i="51"/>
  <c r="B9927" i="51"/>
  <c r="B9926" i="51"/>
  <c r="B9925" i="51"/>
  <c r="B9924" i="51"/>
  <c r="B9923" i="51"/>
  <c r="B9922" i="51"/>
  <c r="B9921" i="51"/>
  <c r="B9920" i="51"/>
  <c r="B9919" i="51"/>
  <c r="B9918" i="51"/>
  <c r="B9917" i="51"/>
  <c r="B9916" i="51"/>
  <c r="B9915" i="51"/>
  <c r="B9914" i="51"/>
  <c r="B9913" i="51"/>
  <c r="B9912" i="51"/>
  <c r="B9911" i="51"/>
  <c r="B9910" i="51"/>
  <c r="B9909" i="51"/>
  <c r="B9908" i="51"/>
  <c r="B9907" i="51"/>
  <c r="B9906" i="51"/>
  <c r="B9905" i="51"/>
  <c r="B9904" i="51"/>
  <c r="B9903" i="51"/>
  <c r="B9902" i="51"/>
  <c r="B9901" i="51"/>
  <c r="B9900" i="51"/>
  <c r="B9899" i="51"/>
  <c r="B9898" i="51"/>
  <c r="B9897" i="51"/>
  <c r="B9896" i="51"/>
  <c r="B9895" i="51"/>
  <c r="B9894" i="51"/>
  <c r="B9893" i="51"/>
  <c r="B9892" i="51"/>
  <c r="B9891" i="51"/>
  <c r="B9890" i="51"/>
  <c r="B9889" i="51"/>
  <c r="B9888" i="51"/>
  <c r="B9887" i="51"/>
  <c r="B9886" i="51"/>
  <c r="B9885" i="51"/>
  <c r="B9884" i="51"/>
  <c r="B9883" i="51"/>
  <c r="B9882" i="51"/>
  <c r="B9881" i="51"/>
  <c r="B9880" i="51"/>
  <c r="B9879" i="51"/>
  <c r="B9878" i="51"/>
  <c r="B9877" i="51"/>
  <c r="B9876" i="51"/>
  <c r="B9875" i="51"/>
  <c r="B9874" i="51"/>
  <c r="B9873" i="51"/>
  <c r="B9872" i="51"/>
  <c r="B9871" i="51"/>
  <c r="B9870" i="51"/>
  <c r="B9869" i="51"/>
  <c r="B9868" i="51"/>
  <c r="B9867" i="51"/>
  <c r="B9866" i="51"/>
  <c r="B9865" i="51"/>
  <c r="B9864" i="51"/>
  <c r="B9863" i="51"/>
  <c r="B9862" i="51"/>
  <c r="B9861" i="51"/>
  <c r="B9860" i="51"/>
  <c r="B9859" i="51"/>
  <c r="B9858" i="51"/>
  <c r="B9857" i="51"/>
  <c r="B9856" i="51"/>
  <c r="B9855" i="51"/>
  <c r="B9854" i="51"/>
  <c r="B9853" i="51"/>
  <c r="B9852" i="51"/>
  <c r="B9851" i="51"/>
  <c r="B9850" i="51"/>
  <c r="B9849" i="51"/>
  <c r="B9848" i="51"/>
  <c r="B9847" i="51"/>
  <c r="B9846" i="51"/>
  <c r="B9845" i="51"/>
  <c r="B9844" i="51"/>
  <c r="B9843" i="51"/>
  <c r="B9842" i="51"/>
  <c r="B9841" i="51"/>
  <c r="B9840" i="51"/>
  <c r="B9839" i="51"/>
  <c r="B9838" i="51"/>
  <c r="B9837" i="51"/>
  <c r="B9836" i="51"/>
  <c r="B9835" i="51"/>
  <c r="B9834" i="51"/>
  <c r="B9833" i="51"/>
  <c r="B9832" i="51"/>
  <c r="B9831" i="51"/>
  <c r="B9830" i="51"/>
  <c r="B9829" i="51"/>
  <c r="B9828" i="51"/>
  <c r="B9827" i="51"/>
  <c r="B9826" i="51"/>
  <c r="B9825" i="51"/>
  <c r="B9824" i="51"/>
  <c r="B9823" i="51"/>
  <c r="B9822" i="51"/>
  <c r="B9821" i="51"/>
  <c r="B9820" i="51"/>
  <c r="B9819" i="51"/>
  <c r="B9818" i="51"/>
  <c r="B9817" i="51"/>
  <c r="B9816" i="51"/>
  <c r="B9815" i="51"/>
  <c r="B9814" i="51"/>
  <c r="B9813" i="51"/>
  <c r="B9812" i="51"/>
  <c r="B9811" i="51"/>
  <c r="B9810" i="51"/>
  <c r="B9809" i="51"/>
  <c r="B9808" i="51"/>
  <c r="B9807" i="51"/>
  <c r="B9806" i="51"/>
  <c r="B9805" i="51"/>
  <c r="B9804" i="51"/>
  <c r="B9803" i="51"/>
  <c r="B9802" i="51"/>
  <c r="B9801" i="51"/>
  <c r="B9800" i="51"/>
  <c r="B9799" i="51"/>
  <c r="B9798" i="51"/>
  <c r="B9797" i="51"/>
  <c r="B9796" i="51"/>
  <c r="B9795" i="51"/>
  <c r="B9794" i="51"/>
  <c r="B9793" i="51"/>
  <c r="B9792" i="51"/>
  <c r="B9791" i="51"/>
  <c r="B9790" i="51"/>
  <c r="B9789" i="51"/>
  <c r="B9788" i="51"/>
  <c r="B9787" i="51"/>
  <c r="B9786" i="51"/>
  <c r="B9785" i="51"/>
  <c r="B9784" i="51"/>
  <c r="B9783" i="51"/>
  <c r="B9782" i="51"/>
  <c r="B9781" i="51"/>
  <c r="B9780" i="51"/>
  <c r="B9779" i="51"/>
  <c r="B9778" i="51"/>
  <c r="B9777" i="51"/>
  <c r="B9776" i="51"/>
  <c r="B9775" i="51"/>
  <c r="B9774" i="51"/>
  <c r="B9773" i="51"/>
  <c r="B9772" i="51"/>
  <c r="B9771" i="51"/>
  <c r="B9770" i="51"/>
  <c r="B9769" i="51"/>
  <c r="B9768" i="51"/>
  <c r="B9767" i="51"/>
  <c r="B9766" i="51"/>
  <c r="B9765" i="51"/>
  <c r="B9764" i="51"/>
  <c r="B9763" i="51"/>
  <c r="B9762" i="51"/>
  <c r="B9761" i="51"/>
  <c r="B9760" i="51"/>
  <c r="B9759" i="51"/>
  <c r="B9758" i="51"/>
  <c r="B9757" i="51"/>
  <c r="B9756" i="51"/>
  <c r="B9755" i="51"/>
  <c r="B9754" i="51"/>
  <c r="B9753" i="51"/>
  <c r="B9752" i="51"/>
  <c r="B9751" i="51"/>
  <c r="B9750" i="51"/>
  <c r="B9749" i="51"/>
  <c r="B9748" i="51"/>
  <c r="B9747" i="51"/>
  <c r="B9746" i="51"/>
  <c r="B9745" i="51"/>
  <c r="B9744" i="51"/>
  <c r="B9743" i="51"/>
  <c r="B9742" i="51"/>
  <c r="B9741" i="51"/>
  <c r="B9740" i="51"/>
  <c r="B9739" i="51"/>
  <c r="B9738" i="51"/>
  <c r="B9737" i="51"/>
  <c r="B9736" i="51"/>
  <c r="B9735" i="51"/>
  <c r="B9734" i="51"/>
  <c r="B9733" i="51"/>
  <c r="B9732" i="51"/>
  <c r="B9731" i="51"/>
  <c r="B9730" i="51"/>
  <c r="B9729" i="51"/>
  <c r="B9728" i="51"/>
  <c r="B9727" i="51"/>
  <c r="B9726" i="51"/>
  <c r="B9725" i="51"/>
  <c r="B9724" i="51"/>
  <c r="B9723" i="51"/>
  <c r="B9722" i="51"/>
  <c r="B9721" i="51"/>
  <c r="B9720" i="51"/>
  <c r="B9719" i="51"/>
  <c r="B9718" i="51"/>
  <c r="B9717" i="51"/>
  <c r="B9716" i="51"/>
  <c r="B9715" i="51"/>
  <c r="B9714" i="51"/>
  <c r="B9713" i="51"/>
  <c r="B9712" i="51"/>
  <c r="B9711" i="51"/>
  <c r="B9710" i="51"/>
  <c r="B9709" i="51"/>
  <c r="B9708" i="51"/>
  <c r="B9707" i="51"/>
  <c r="B9706" i="51"/>
  <c r="B9705" i="51"/>
  <c r="B9704" i="51"/>
  <c r="B9703" i="51"/>
  <c r="B9702" i="51"/>
  <c r="B9701" i="51"/>
  <c r="B9700" i="51"/>
  <c r="B9699" i="51"/>
  <c r="B9698" i="51"/>
  <c r="B9697" i="51"/>
  <c r="B9696" i="51"/>
  <c r="B9695" i="51"/>
  <c r="B9694" i="51"/>
  <c r="B9693" i="51"/>
  <c r="B9692" i="51"/>
  <c r="B9691" i="51"/>
  <c r="B9690" i="51"/>
  <c r="B9689" i="51"/>
  <c r="B9688" i="51"/>
  <c r="B9687" i="51"/>
  <c r="B9686" i="51"/>
  <c r="B9685" i="51"/>
  <c r="B9684" i="51"/>
  <c r="B9683" i="51"/>
  <c r="B9682" i="51"/>
  <c r="B9681" i="51"/>
  <c r="B9680" i="51"/>
  <c r="B9679" i="51"/>
  <c r="B9678" i="51"/>
  <c r="B9677" i="51"/>
  <c r="B9676" i="51"/>
  <c r="B9675" i="51"/>
  <c r="B9674" i="51"/>
  <c r="B9673" i="51"/>
  <c r="B9672" i="51"/>
  <c r="B9671" i="51"/>
  <c r="B9670" i="51"/>
  <c r="B9669" i="51"/>
  <c r="B9668" i="51"/>
  <c r="B9667" i="51"/>
  <c r="B9666" i="51"/>
  <c r="B9665" i="51"/>
  <c r="B9664" i="51"/>
  <c r="B9663" i="51"/>
  <c r="B9662" i="51"/>
  <c r="B9661" i="51"/>
  <c r="B9660" i="51"/>
  <c r="B9659" i="51"/>
  <c r="B9658" i="51"/>
  <c r="B9657" i="51"/>
  <c r="B9656" i="51"/>
  <c r="B9655" i="51"/>
  <c r="B9654" i="51"/>
  <c r="B9653" i="51"/>
  <c r="B9652" i="51"/>
  <c r="B9651" i="51"/>
  <c r="B9650" i="51"/>
  <c r="B9649" i="51"/>
  <c r="B9648" i="51"/>
  <c r="B9647" i="51"/>
  <c r="B9646" i="51"/>
  <c r="B9645" i="51"/>
  <c r="B9644" i="51"/>
  <c r="B9643" i="51"/>
  <c r="B9642" i="51"/>
  <c r="B9641" i="51"/>
  <c r="B9640" i="51"/>
  <c r="B9639" i="51"/>
  <c r="B9638" i="51"/>
  <c r="B9637" i="51"/>
  <c r="B9636" i="51"/>
  <c r="B9635" i="51"/>
  <c r="B9634" i="51"/>
  <c r="B9633" i="51"/>
  <c r="B9632" i="51"/>
  <c r="B9631" i="51"/>
  <c r="B9630" i="51"/>
  <c r="B9629" i="51"/>
  <c r="B9628" i="51"/>
  <c r="B9627" i="51"/>
  <c r="B9626" i="51"/>
  <c r="B9625" i="51"/>
  <c r="B9624" i="51"/>
  <c r="B9623" i="51"/>
  <c r="B9622" i="51"/>
  <c r="B9621" i="51"/>
  <c r="B9620" i="51"/>
  <c r="B9619" i="51"/>
  <c r="B9618" i="51"/>
  <c r="B9617" i="51"/>
  <c r="B9616" i="51"/>
  <c r="B9615" i="51"/>
  <c r="B9614" i="51"/>
  <c r="B9613" i="51"/>
  <c r="B9612" i="51"/>
  <c r="B9611" i="51"/>
  <c r="B9610" i="51"/>
  <c r="B9609" i="51"/>
  <c r="B9608" i="51"/>
  <c r="B9607" i="51"/>
  <c r="B9606" i="51"/>
  <c r="B9605" i="51"/>
  <c r="B9604" i="51"/>
  <c r="B9603" i="51"/>
  <c r="B9602" i="51"/>
  <c r="B9601" i="51"/>
  <c r="B9600" i="51"/>
  <c r="B9599" i="51"/>
  <c r="B9598" i="51"/>
  <c r="B9597" i="51"/>
  <c r="B9596" i="51"/>
  <c r="B9595" i="51"/>
  <c r="B9594" i="51"/>
  <c r="B9593" i="51"/>
  <c r="B9592" i="51"/>
  <c r="B9591" i="51"/>
  <c r="B9590" i="51"/>
  <c r="B9589" i="51"/>
  <c r="B9588" i="51"/>
  <c r="B9587" i="51"/>
  <c r="B9586" i="51"/>
  <c r="B9585" i="51"/>
  <c r="B9584" i="51"/>
  <c r="B9583" i="51"/>
  <c r="B9582" i="51"/>
  <c r="B9581" i="51"/>
  <c r="B9580" i="51"/>
  <c r="B9579" i="51"/>
  <c r="B9578" i="51"/>
  <c r="B9577" i="51"/>
  <c r="B9576" i="51"/>
  <c r="B9575" i="51"/>
  <c r="B9574" i="51"/>
  <c r="B9573" i="51"/>
  <c r="B9572" i="51"/>
  <c r="B9571" i="51"/>
  <c r="B9570" i="51"/>
  <c r="B9569" i="51"/>
  <c r="B9568" i="51"/>
  <c r="B9567" i="51"/>
  <c r="B9566" i="51"/>
  <c r="B9565" i="51"/>
  <c r="B9564" i="51"/>
  <c r="B9563" i="51"/>
  <c r="B9562" i="51"/>
  <c r="B9561" i="51"/>
  <c r="B9560" i="51"/>
  <c r="B9559" i="51"/>
  <c r="B9558" i="51"/>
  <c r="B9557" i="51"/>
  <c r="B9556" i="51"/>
  <c r="B9555" i="51"/>
  <c r="B9554" i="51"/>
  <c r="B9553" i="51"/>
  <c r="B9552" i="51"/>
  <c r="B9551" i="51"/>
  <c r="B9550" i="51"/>
  <c r="B9549" i="51"/>
  <c r="B9548" i="51"/>
  <c r="B9547" i="51"/>
  <c r="B9546" i="51"/>
  <c r="B9545" i="51"/>
  <c r="B9544" i="51"/>
  <c r="B9543" i="51"/>
  <c r="B9542" i="51"/>
  <c r="B9541" i="51"/>
  <c r="B9540" i="51"/>
  <c r="B9539" i="51"/>
  <c r="B9538" i="51"/>
  <c r="B9537" i="51"/>
  <c r="B9536" i="51"/>
  <c r="B9535" i="51"/>
  <c r="B9534" i="51"/>
  <c r="B9533" i="51"/>
  <c r="B9532" i="51"/>
  <c r="B9531" i="51"/>
  <c r="B9530" i="51"/>
  <c r="B9529" i="51"/>
  <c r="B9528" i="51"/>
  <c r="B9527" i="51"/>
  <c r="B9526" i="51"/>
  <c r="B9525" i="51"/>
  <c r="B9524" i="51"/>
  <c r="B9523" i="51"/>
  <c r="B9522" i="51"/>
  <c r="B9521" i="51"/>
  <c r="B9520" i="51"/>
  <c r="B9519" i="51"/>
  <c r="B9518" i="51"/>
  <c r="B9517" i="51"/>
  <c r="B9516" i="51"/>
  <c r="B9515" i="51"/>
  <c r="B9514" i="51"/>
  <c r="B9513" i="51"/>
  <c r="B9512" i="51"/>
  <c r="B9511" i="51"/>
  <c r="B9510" i="51"/>
  <c r="B9509" i="51"/>
  <c r="B9508" i="51"/>
  <c r="B9507" i="51"/>
  <c r="B9506" i="51"/>
  <c r="B9505" i="51"/>
  <c r="B9504" i="51"/>
  <c r="B9503" i="51"/>
  <c r="B9502" i="51"/>
  <c r="B9501" i="51"/>
  <c r="B9500" i="51"/>
  <c r="B9499" i="51"/>
  <c r="B9498" i="51"/>
  <c r="B9497" i="51"/>
  <c r="B9496" i="51"/>
  <c r="B9495" i="51"/>
  <c r="B9494" i="51"/>
  <c r="B9493" i="51"/>
  <c r="B9492" i="51"/>
  <c r="B9491" i="51"/>
  <c r="B9490" i="51"/>
  <c r="B9489" i="51"/>
  <c r="B9488" i="51"/>
  <c r="B9487" i="51"/>
  <c r="B9486" i="51"/>
  <c r="B9485" i="51"/>
  <c r="B9484" i="51"/>
  <c r="B9483" i="51"/>
  <c r="B9482" i="51"/>
  <c r="B9481" i="51"/>
  <c r="B9480" i="51"/>
  <c r="B9479" i="51"/>
  <c r="B9478" i="51"/>
  <c r="B9477" i="51"/>
  <c r="B9476" i="51"/>
  <c r="B9475" i="51"/>
  <c r="B9474" i="51"/>
  <c r="B9473" i="51"/>
  <c r="B9472" i="51"/>
  <c r="B9471" i="51"/>
  <c r="B9470" i="51"/>
  <c r="B9469" i="51"/>
  <c r="B9468" i="51"/>
  <c r="B9467" i="51"/>
  <c r="B9466" i="51"/>
  <c r="B9465" i="51"/>
  <c r="B9464" i="51"/>
  <c r="B9463" i="51"/>
  <c r="B9462" i="51"/>
  <c r="B9461" i="51"/>
  <c r="B9460" i="51"/>
  <c r="B9459" i="51"/>
  <c r="B9458" i="51"/>
  <c r="B9457" i="51"/>
  <c r="B9456" i="51"/>
  <c r="B9455" i="51"/>
  <c r="B9454" i="51"/>
  <c r="B9453" i="51"/>
  <c r="B9452" i="51"/>
  <c r="B9451" i="51"/>
  <c r="B9450" i="51"/>
  <c r="B9449" i="51"/>
  <c r="B9448" i="51"/>
  <c r="B9447" i="51"/>
  <c r="B9446" i="51"/>
  <c r="B9445" i="51"/>
  <c r="B9444" i="51"/>
  <c r="B9443" i="51"/>
  <c r="B9442" i="51"/>
  <c r="B9441" i="51"/>
  <c r="B9440" i="51"/>
  <c r="B9439" i="51"/>
  <c r="B9438" i="51"/>
  <c r="B9437" i="51"/>
  <c r="B9436" i="51"/>
  <c r="B9435" i="51"/>
  <c r="B9434" i="51"/>
  <c r="B9433" i="51"/>
  <c r="B9432" i="51"/>
  <c r="B9431" i="51"/>
  <c r="B9430" i="51"/>
  <c r="B9429" i="51"/>
  <c r="B9428" i="51"/>
  <c r="B9427" i="51"/>
  <c r="B9426" i="51"/>
  <c r="B9425" i="51"/>
  <c r="B9424" i="51"/>
  <c r="B9423" i="51"/>
  <c r="B9422" i="51"/>
  <c r="B9421" i="51"/>
  <c r="B9420" i="51"/>
  <c r="B9419" i="51"/>
  <c r="B9418" i="51"/>
  <c r="B9417" i="51"/>
  <c r="B9416" i="51"/>
  <c r="B9415" i="51"/>
  <c r="B9414" i="51"/>
  <c r="B9413" i="51"/>
  <c r="B9412" i="51"/>
  <c r="B9411" i="51"/>
  <c r="B9410" i="51"/>
  <c r="B9409" i="51"/>
  <c r="B9408" i="51"/>
  <c r="B9407" i="51"/>
  <c r="B9406" i="51"/>
  <c r="B9405" i="51"/>
  <c r="B9404" i="51"/>
  <c r="B9403" i="51"/>
  <c r="B9402" i="51"/>
  <c r="B9401" i="51"/>
  <c r="B9400" i="51"/>
  <c r="B9399" i="51"/>
  <c r="B9398" i="51"/>
  <c r="B9397" i="51"/>
  <c r="B9396" i="51"/>
  <c r="B9395" i="51"/>
  <c r="B9394" i="51"/>
  <c r="B9393" i="51"/>
  <c r="B9392" i="51"/>
  <c r="B9391" i="51"/>
  <c r="B9390" i="51"/>
  <c r="B9389" i="51"/>
  <c r="B9388" i="51"/>
  <c r="B9387" i="51"/>
  <c r="B9386" i="51"/>
  <c r="B9385" i="51"/>
  <c r="B9384" i="51"/>
  <c r="B9383" i="51"/>
  <c r="B9382" i="51"/>
  <c r="B9381" i="51"/>
  <c r="B9380" i="51"/>
  <c r="B9379" i="51"/>
  <c r="B9378" i="51"/>
  <c r="B9377" i="51"/>
  <c r="B9376" i="51"/>
  <c r="B9375" i="51"/>
  <c r="B9374" i="51"/>
  <c r="B9373" i="51"/>
  <c r="B9372" i="51"/>
  <c r="B9371" i="51"/>
  <c r="B9370" i="51"/>
  <c r="B9369" i="51"/>
  <c r="B9368" i="51"/>
  <c r="B9367" i="51"/>
  <c r="B9366" i="51"/>
  <c r="B9365" i="51"/>
  <c r="B9364" i="51"/>
  <c r="B9363" i="51"/>
  <c r="B9362" i="51"/>
  <c r="B9361" i="51"/>
  <c r="B9360" i="51"/>
  <c r="B9359" i="51"/>
  <c r="B9358" i="51"/>
  <c r="B9357" i="51"/>
  <c r="B9356" i="51"/>
  <c r="B9355" i="51"/>
  <c r="B9354" i="51"/>
  <c r="B9353" i="51"/>
  <c r="B9352" i="51"/>
  <c r="B9351" i="51"/>
  <c r="B9350" i="51"/>
  <c r="B9349" i="51"/>
  <c r="B9348" i="51"/>
  <c r="B9347" i="51"/>
  <c r="B9346" i="51"/>
  <c r="B9345" i="51"/>
  <c r="B9344" i="51"/>
  <c r="B9343" i="51"/>
  <c r="B9342" i="51"/>
  <c r="B9341" i="51"/>
  <c r="B9340" i="51"/>
  <c r="B9339" i="51"/>
  <c r="B9338" i="51"/>
  <c r="B9337" i="51"/>
  <c r="B9336" i="51"/>
  <c r="B9335" i="51"/>
  <c r="B9334" i="51"/>
  <c r="B9333" i="51"/>
  <c r="B9332" i="51"/>
  <c r="B9331" i="51"/>
  <c r="B9330" i="51"/>
  <c r="B9329" i="51"/>
  <c r="B9328" i="51"/>
  <c r="B9327" i="51"/>
  <c r="B9326" i="51"/>
  <c r="B9325" i="51"/>
  <c r="B9324" i="51"/>
  <c r="B9323" i="51"/>
  <c r="B9322" i="51"/>
  <c r="B9321" i="51"/>
  <c r="B9320" i="51"/>
  <c r="B9319" i="51"/>
  <c r="B9318" i="51"/>
  <c r="B9317" i="51"/>
  <c r="B9316" i="51"/>
  <c r="B9315" i="51"/>
  <c r="B9314" i="51"/>
  <c r="B9313" i="51"/>
  <c r="B9312" i="51"/>
  <c r="B9311" i="51"/>
  <c r="B9310" i="51"/>
  <c r="B9309" i="51"/>
  <c r="B9308" i="51"/>
  <c r="B9307" i="51"/>
  <c r="B9306" i="51"/>
  <c r="B9305" i="51"/>
  <c r="B9304" i="51"/>
  <c r="B9303" i="51"/>
  <c r="B9302" i="51"/>
  <c r="B9301" i="51"/>
  <c r="B9300" i="51"/>
  <c r="B9299" i="51"/>
  <c r="B9298" i="51"/>
  <c r="B9297" i="51"/>
  <c r="B9296" i="51"/>
  <c r="B9295" i="51"/>
  <c r="B9294" i="51"/>
  <c r="B9293" i="51"/>
  <c r="B9292" i="51"/>
  <c r="B9291" i="51"/>
  <c r="B9290" i="51"/>
  <c r="B9289" i="51"/>
  <c r="B9288" i="51"/>
  <c r="B9287" i="51"/>
  <c r="B9286" i="51"/>
  <c r="B9285" i="51"/>
  <c r="B9284" i="51"/>
  <c r="B9283" i="51"/>
  <c r="B9282" i="51"/>
  <c r="B9281" i="51"/>
  <c r="B9280" i="51"/>
  <c r="B9279" i="51"/>
  <c r="B9278" i="51"/>
  <c r="B9277" i="51"/>
  <c r="B9276" i="51"/>
  <c r="B9275" i="51"/>
  <c r="B9274" i="51"/>
  <c r="B9273" i="51"/>
  <c r="B9272" i="51"/>
  <c r="B9271" i="51"/>
  <c r="B9270" i="51"/>
  <c r="B9269" i="51"/>
  <c r="B9268" i="51"/>
  <c r="B9267" i="51"/>
  <c r="B9266" i="51"/>
  <c r="B9265" i="51"/>
  <c r="B9264" i="51"/>
  <c r="B9263" i="51"/>
  <c r="B9262" i="51"/>
  <c r="B9261" i="51"/>
  <c r="B9260" i="51"/>
  <c r="B9259" i="51"/>
  <c r="B9258" i="51"/>
  <c r="B9257" i="51"/>
  <c r="B9256" i="51"/>
  <c r="B9255" i="51"/>
  <c r="B9254" i="51"/>
  <c r="B9253" i="51"/>
  <c r="B9252" i="51"/>
  <c r="B9251" i="51"/>
  <c r="B9250" i="51"/>
  <c r="B9249" i="51"/>
  <c r="B9248" i="51"/>
  <c r="B9247" i="51"/>
  <c r="B9246" i="51"/>
  <c r="B9245" i="51"/>
  <c r="B9244" i="51"/>
  <c r="B9243" i="51"/>
  <c r="B9242" i="51"/>
  <c r="B9241" i="51"/>
  <c r="B9240" i="51"/>
  <c r="B9239" i="51"/>
  <c r="B9238" i="51"/>
  <c r="B9237" i="51"/>
  <c r="B9236" i="51"/>
  <c r="B9235" i="51"/>
  <c r="B9234" i="51"/>
  <c r="B9233" i="51"/>
  <c r="B9232" i="51"/>
  <c r="B9231" i="51"/>
  <c r="B9230" i="51"/>
  <c r="B9229" i="51"/>
  <c r="B9228" i="51"/>
  <c r="B9227" i="51"/>
  <c r="B9226" i="51"/>
  <c r="B9225" i="51"/>
  <c r="B9224" i="51"/>
  <c r="B9223" i="51"/>
  <c r="B9222" i="51"/>
  <c r="B9221" i="51"/>
  <c r="B9220" i="51"/>
  <c r="B9219" i="51"/>
  <c r="B9218" i="51"/>
  <c r="B9217" i="51"/>
  <c r="B9216" i="51"/>
  <c r="B9215" i="51"/>
  <c r="B9214" i="51"/>
  <c r="B9213" i="51"/>
  <c r="B9212" i="51"/>
  <c r="B9211" i="51"/>
  <c r="B9210" i="51"/>
  <c r="B9209" i="51"/>
  <c r="B9208" i="51"/>
  <c r="B9207" i="51"/>
  <c r="B9206" i="51"/>
  <c r="B9205" i="51"/>
  <c r="B9204" i="51"/>
  <c r="B9203" i="51"/>
  <c r="B9202" i="51"/>
  <c r="B9201" i="51"/>
  <c r="B9200" i="51"/>
  <c r="B9199" i="51"/>
  <c r="B9198" i="51"/>
  <c r="B9197" i="51"/>
  <c r="B9196" i="51"/>
  <c r="B9195" i="51"/>
  <c r="B9194" i="51"/>
  <c r="B9193" i="51"/>
  <c r="B9192" i="51"/>
  <c r="B9191" i="51"/>
  <c r="B9190" i="51"/>
  <c r="B9189" i="51"/>
  <c r="B9188" i="51"/>
  <c r="B9187" i="51"/>
  <c r="B9186" i="51"/>
  <c r="B9185" i="51"/>
  <c r="B9184" i="51"/>
  <c r="B9183" i="51"/>
  <c r="B9182" i="51"/>
  <c r="B9181" i="51"/>
  <c r="B9180" i="51"/>
  <c r="B9179" i="51"/>
  <c r="B9178" i="51"/>
  <c r="B9177" i="51"/>
  <c r="B9176" i="51"/>
  <c r="B9175" i="51"/>
  <c r="B9174" i="51"/>
  <c r="B9173" i="51"/>
  <c r="B9172" i="51"/>
  <c r="B9171" i="51"/>
  <c r="B9170" i="51"/>
  <c r="B9169" i="51"/>
  <c r="B9168" i="51"/>
  <c r="B9167" i="51"/>
  <c r="B9166" i="51"/>
  <c r="B9165" i="51"/>
  <c r="B9164" i="51"/>
  <c r="B9163" i="51"/>
  <c r="B9162" i="51"/>
  <c r="B9161" i="51"/>
  <c r="B9160" i="51"/>
  <c r="B9159" i="51"/>
  <c r="B9158" i="51"/>
  <c r="B9157" i="51"/>
  <c r="B9156" i="51"/>
  <c r="B9155" i="51"/>
  <c r="B9154" i="51"/>
  <c r="B9153" i="51"/>
  <c r="B9152" i="51"/>
  <c r="B9151" i="51"/>
  <c r="B9150" i="51"/>
  <c r="B9149" i="51"/>
  <c r="B9148" i="51"/>
  <c r="B9147" i="51"/>
  <c r="B9146" i="51"/>
  <c r="B9145" i="51"/>
  <c r="B9144" i="51"/>
  <c r="B9143" i="51"/>
  <c r="B9142" i="51"/>
  <c r="B9141" i="51"/>
  <c r="B9140" i="51"/>
  <c r="B9139" i="51"/>
  <c r="B9138" i="51"/>
  <c r="B9137" i="51"/>
  <c r="B9136" i="51"/>
  <c r="B9135" i="51"/>
  <c r="B9134" i="51"/>
  <c r="B9133" i="51"/>
  <c r="B9132" i="51"/>
  <c r="B9131" i="51"/>
  <c r="B9130" i="51"/>
  <c r="B9129" i="51"/>
  <c r="B9128" i="51"/>
  <c r="B9127" i="51"/>
  <c r="B9126" i="51"/>
  <c r="B9125" i="51"/>
  <c r="B9124" i="51"/>
  <c r="B9123" i="51"/>
  <c r="B9122" i="51"/>
  <c r="B9121" i="51"/>
  <c r="B9120" i="51"/>
  <c r="B9119" i="51"/>
  <c r="B9118" i="51"/>
  <c r="B9117" i="51"/>
  <c r="B9116" i="51"/>
  <c r="B9115" i="51"/>
  <c r="B9114" i="51"/>
  <c r="B9113" i="51"/>
  <c r="B9112" i="51"/>
  <c r="B9111" i="51"/>
  <c r="B9110" i="51"/>
  <c r="B9109" i="51"/>
  <c r="B9108" i="51"/>
  <c r="B9107" i="51"/>
  <c r="B9106" i="51"/>
  <c r="B9105" i="51"/>
  <c r="B9104" i="51"/>
  <c r="B9103" i="51"/>
  <c r="B9102" i="51"/>
  <c r="B9101" i="51"/>
  <c r="B9100" i="51"/>
  <c r="B9099" i="51"/>
  <c r="B9098" i="51"/>
  <c r="B9097" i="51"/>
  <c r="B9096" i="51"/>
  <c r="B9095" i="51"/>
  <c r="B9094" i="51"/>
  <c r="B9093" i="51"/>
  <c r="B9092" i="51"/>
  <c r="B9091" i="51"/>
  <c r="B9090" i="51"/>
  <c r="B9089" i="51"/>
  <c r="B9088" i="51"/>
  <c r="B9087" i="51"/>
  <c r="B9086" i="51"/>
  <c r="B9085" i="51"/>
  <c r="B9084" i="51"/>
  <c r="B9083" i="51"/>
  <c r="B9082" i="51"/>
  <c r="B9081" i="51"/>
  <c r="B9080" i="51"/>
  <c r="B9079" i="51"/>
  <c r="B9078" i="51"/>
  <c r="B9077" i="51"/>
  <c r="B9076" i="51"/>
  <c r="B9075" i="51"/>
  <c r="B9074" i="51"/>
  <c r="B9073" i="51"/>
  <c r="B9072" i="51"/>
  <c r="B9071" i="51"/>
  <c r="B9070" i="51"/>
  <c r="B9069" i="51"/>
  <c r="B9068" i="51"/>
  <c r="B9067" i="51"/>
  <c r="B9066" i="51"/>
  <c r="B9065" i="51"/>
  <c r="B9064" i="51"/>
  <c r="B9063" i="51"/>
  <c r="B9062" i="51"/>
  <c r="B9061" i="51"/>
  <c r="B9060" i="51"/>
  <c r="B9059" i="51"/>
  <c r="B9058" i="51"/>
  <c r="B9057" i="51"/>
  <c r="B9056" i="51"/>
  <c r="B9055" i="51"/>
  <c r="B9054" i="51"/>
  <c r="B9053" i="51"/>
  <c r="B9052" i="51"/>
  <c r="B9051" i="51"/>
  <c r="B9050" i="51"/>
  <c r="B9049" i="51"/>
  <c r="B9048" i="51"/>
  <c r="B9047" i="51"/>
  <c r="B9046" i="51"/>
  <c r="B9045" i="51"/>
  <c r="B9044" i="51"/>
  <c r="B9043" i="51"/>
  <c r="B9042" i="51"/>
  <c r="B9041" i="51"/>
  <c r="B9040" i="51"/>
  <c r="B9039" i="51"/>
  <c r="B9038" i="51"/>
  <c r="B9037" i="51"/>
  <c r="B9036" i="51"/>
  <c r="B9035" i="51"/>
  <c r="B9034" i="51"/>
  <c r="B9033" i="51"/>
  <c r="B9032" i="51"/>
  <c r="B9031" i="51"/>
  <c r="B9030" i="51"/>
  <c r="B9029" i="51"/>
  <c r="B9028" i="51"/>
  <c r="B9027" i="51"/>
  <c r="B9026" i="51"/>
  <c r="B9025" i="51"/>
  <c r="B9024" i="51"/>
  <c r="B9023" i="51"/>
  <c r="B9022" i="51"/>
  <c r="B9021" i="51"/>
  <c r="B9020" i="51"/>
  <c r="B9019" i="51"/>
  <c r="B9018" i="51"/>
  <c r="B9017" i="51"/>
  <c r="B9016" i="51"/>
  <c r="B9015" i="51"/>
  <c r="B9014" i="51"/>
  <c r="B9013" i="51"/>
  <c r="B9012" i="51"/>
  <c r="B9011" i="51"/>
  <c r="B9010" i="51"/>
  <c r="B9009" i="51"/>
  <c r="B9008" i="51"/>
  <c r="B9007" i="51"/>
  <c r="B9006" i="51"/>
  <c r="B9005" i="51"/>
  <c r="B9004" i="51"/>
  <c r="B9003" i="51"/>
  <c r="B9002" i="51"/>
  <c r="B9001" i="51"/>
  <c r="B9000" i="51"/>
  <c r="B8999" i="51"/>
  <c r="B8998" i="51"/>
  <c r="B8997" i="51"/>
  <c r="B8996" i="51"/>
  <c r="B8995" i="51"/>
  <c r="B8994" i="51"/>
  <c r="B8993" i="51"/>
  <c r="B8992" i="51"/>
  <c r="B8991" i="51"/>
  <c r="B8990" i="51"/>
  <c r="B8989" i="51"/>
  <c r="B8988" i="51"/>
  <c r="B8987" i="51"/>
  <c r="B8986" i="51"/>
  <c r="B8985" i="51"/>
  <c r="B8984" i="51"/>
  <c r="B8983" i="51"/>
  <c r="B8982" i="51"/>
  <c r="B8981" i="51"/>
  <c r="B8980" i="51"/>
  <c r="B8979" i="51"/>
  <c r="B8978" i="51"/>
  <c r="B8977" i="51"/>
  <c r="B8976" i="51"/>
  <c r="B8975" i="51"/>
  <c r="B8974" i="51"/>
  <c r="B8973" i="51"/>
  <c r="B8972" i="51"/>
  <c r="B8971" i="51"/>
  <c r="B8970" i="51"/>
  <c r="B8969" i="51"/>
  <c r="B8968" i="51"/>
  <c r="B8967" i="51"/>
  <c r="B8966" i="51"/>
  <c r="B8965" i="51"/>
  <c r="B8964" i="51"/>
  <c r="B8963" i="51"/>
  <c r="B8962" i="51"/>
  <c r="B8961" i="51"/>
  <c r="B8960" i="51"/>
  <c r="B8959" i="51"/>
  <c r="B8958" i="51"/>
  <c r="B8957" i="51"/>
  <c r="B8956" i="51"/>
  <c r="B8955" i="51"/>
  <c r="B8954" i="51"/>
  <c r="B8953" i="51"/>
  <c r="B8952" i="51"/>
  <c r="B8951" i="51"/>
  <c r="B8950" i="51"/>
  <c r="B8949" i="51"/>
  <c r="B8948" i="51"/>
  <c r="B8947" i="51"/>
  <c r="B8946" i="51"/>
  <c r="B8945" i="51"/>
  <c r="B8944" i="51"/>
  <c r="B8943" i="51"/>
  <c r="B8942" i="51"/>
  <c r="B8941" i="51"/>
  <c r="B8940" i="51"/>
  <c r="B8939" i="51"/>
  <c r="B8938" i="51"/>
  <c r="B8937" i="51"/>
  <c r="B8936" i="51"/>
  <c r="B8935" i="51"/>
  <c r="B8934" i="51"/>
  <c r="B8933" i="51"/>
  <c r="B8932" i="51"/>
  <c r="B8931" i="51"/>
  <c r="B8930" i="51"/>
  <c r="B8929" i="51"/>
  <c r="B8928" i="51"/>
  <c r="B8927" i="51"/>
  <c r="B8926" i="51"/>
  <c r="B8925" i="51"/>
  <c r="B8924" i="51"/>
  <c r="B8923" i="51"/>
  <c r="B8922" i="51"/>
  <c r="B8921" i="51"/>
  <c r="B8920" i="51"/>
  <c r="B8919" i="51"/>
  <c r="B8918" i="51"/>
  <c r="B8917" i="51"/>
  <c r="B8916" i="51"/>
  <c r="B8915" i="51"/>
  <c r="B8914" i="51"/>
  <c r="B8913" i="51"/>
  <c r="B8912" i="51"/>
  <c r="B8911" i="51"/>
  <c r="B8910" i="51"/>
  <c r="B8909" i="51"/>
  <c r="B8908" i="51"/>
  <c r="B8907" i="51"/>
  <c r="B8906" i="51"/>
  <c r="B8905" i="51"/>
  <c r="B8904" i="51"/>
  <c r="B8903" i="51"/>
  <c r="B8902" i="51"/>
  <c r="B8901" i="51"/>
  <c r="B8900" i="51"/>
  <c r="B8899" i="51"/>
  <c r="B8898" i="51"/>
  <c r="B8897" i="51"/>
  <c r="B8896" i="51"/>
  <c r="B8895" i="51"/>
  <c r="B8894" i="51"/>
  <c r="B8893" i="51"/>
  <c r="B8892" i="51"/>
  <c r="B8891" i="51"/>
  <c r="B8890" i="51"/>
  <c r="B8889" i="51"/>
  <c r="B8888" i="51"/>
  <c r="B8887" i="51"/>
  <c r="B8886" i="51"/>
  <c r="B8885" i="51"/>
  <c r="B8884" i="51"/>
  <c r="B8883" i="51"/>
  <c r="B8882" i="51"/>
  <c r="B8881" i="51"/>
  <c r="B8880" i="51"/>
  <c r="B8879" i="51"/>
  <c r="B8878" i="51"/>
  <c r="B8877" i="51"/>
  <c r="B8876" i="51"/>
  <c r="B8875" i="51"/>
  <c r="B8874" i="51"/>
  <c r="B8873" i="51"/>
  <c r="B8872" i="51"/>
  <c r="B8871" i="51"/>
  <c r="B8870" i="51"/>
  <c r="B8869" i="51"/>
  <c r="B8868" i="51"/>
  <c r="B8867" i="51"/>
  <c r="B8866" i="51"/>
  <c r="B8865" i="51"/>
  <c r="B8864" i="51"/>
  <c r="B8863" i="51"/>
  <c r="B8862" i="51"/>
  <c r="B8861" i="51"/>
  <c r="B8860" i="51"/>
  <c r="B8859" i="51"/>
  <c r="B8858" i="51"/>
  <c r="B8857" i="51"/>
  <c r="B8856" i="51"/>
  <c r="B8855" i="51"/>
  <c r="B8854" i="51"/>
  <c r="B8853" i="51"/>
  <c r="B8852" i="51"/>
  <c r="B8851" i="51"/>
  <c r="B8850" i="51"/>
  <c r="B8849" i="51"/>
  <c r="B8848" i="51"/>
  <c r="B8847" i="51"/>
  <c r="B8846" i="51"/>
  <c r="B8845" i="51"/>
  <c r="B8844" i="51"/>
  <c r="B8843" i="51"/>
  <c r="B8842" i="51"/>
  <c r="B8841" i="51"/>
  <c r="B8840" i="51"/>
  <c r="B8839" i="51"/>
  <c r="B8838" i="51"/>
  <c r="B8837" i="51"/>
  <c r="B8836" i="51"/>
  <c r="B8835" i="51"/>
  <c r="B8834" i="51"/>
  <c r="B8833" i="51"/>
  <c r="B8832" i="51"/>
  <c r="B8831" i="51"/>
  <c r="B8830" i="51"/>
  <c r="B8829" i="51"/>
  <c r="B8828" i="51"/>
  <c r="B8827" i="51"/>
  <c r="B8826" i="51"/>
  <c r="B8825" i="51"/>
  <c r="B8824" i="51"/>
  <c r="B8823" i="51"/>
  <c r="B8822" i="51"/>
  <c r="B8821" i="51"/>
  <c r="B8820" i="51"/>
  <c r="B8819" i="51"/>
  <c r="B8818" i="51"/>
  <c r="B8817" i="51"/>
  <c r="B8816" i="51"/>
  <c r="B8815" i="51"/>
  <c r="B8814" i="51"/>
  <c r="B8813" i="51"/>
  <c r="B8812" i="51"/>
  <c r="B8811" i="51"/>
  <c r="B8810" i="51"/>
  <c r="B8809" i="51"/>
  <c r="B8808" i="51"/>
  <c r="B8807" i="51"/>
  <c r="B8806" i="51"/>
  <c r="B8805" i="51"/>
  <c r="B8804" i="51"/>
  <c r="B8803" i="51"/>
  <c r="B8802" i="51"/>
  <c r="B8801" i="51"/>
  <c r="B8800" i="51"/>
  <c r="B8799" i="51"/>
  <c r="B8798" i="51"/>
  <c r="B8797" i="51"/>
  <c r="B8796" i="51"/>
  <c r="B8795" i="51"/>
  <c r="B8794" i="51"/>
  <c r="B8793" i="51"/>
  <c r="B8792" i="51"/>
  <c r="B8791" i="51"/>
  <c r="B8790" i="51"/>
  <c r="B8789" i="51"/>
  <c r="B8788" i="51"/>
  <c r="B8787" i="51"/>
  <c r="B8786" i="51"/>
  <c r="B8785" i="51"/>
  <c r="B8784" i="51"/>
  <c r="B8783" i="51"/>
  <c r="B8782" i="51"/>
  <c r="B8781" i="51"/>
  <c r="B8780" i="51"/>
  <c r="B8779" i="51"/>
  <c r="B8778" i="51"/>
  <c r="B8777" i="51"/>
  <c r="B8776" i="51"/>
  <c r="B8775" i="51"/>
  <c r="B8774" i="51"/>
  <c r="B8773" i="51"/>
  <c r="B8772" i="51"/>
  <c r="B8771" i="51"/>
  <c r="B8770" i="51"/>
  <c r="B8769" i="51"/>
  <c r="B8768" i="51"/>
  <c r="B8767" i="51"/>
  <c r="B8766" i="51"/>
  <c r="B8765" i="51"/>
  <c r="B8764" i="51"/>
  <c r="B8763" i="51"/>
  <c r="B8762" i="51"/>
  <c r="B8761" i="51"/>
  <c r="B8760" i="51"/>
  <c r="B8759" i="51"/>
  <c r="B8758" i="51"/>
  <c r="B8757" i="51"/>
  <c r="B8756" i="51"/>
  <c r="B8755" i="51"/>
  <c r="B8754" i="51"/>
  <c r="B8753" i="51"/>
  <c r="B8752" i="51"/>
  <c r="B8751" i="51"/>
  <c r="B8750" i="51"/>
  <c r="B8749" i="51"/>
  <c r="B8748" i="51"/>
  <c r="B8747" i="51"/>
  <c r="B8746" i="51"/>
  <c r="B8745" i="51"/>
  <c r="B8744" i="51"/>
  <c r="B8743" i="51"/>
  <c r="B8742" i="51"/>
  <c r="B8741" i="51"/>
  <c r="B8740" i="51"/>
  <c r="B8739" i="51"/>
  <c r="B8738" i="51"/>
  <c r="B8737" i="51"/>
  <c r="B8736" i="51"/>
  <c r="B8735" i="51"/>
  <c r="B8734" i="51"/>
  <c r="B8733" i="51"/>
  <c r="B8732" i="51"/>
  <c r="B8731" i="51"/>
  <c r="B8730" i="51"/>
  <c r="B8729" i="51"/>
  <c r="B8728" i="51"/>
  <c r="B8727" i="51"/>
  <c r="B8726" i="51"/>
  <c r="B8725" i="51"/>
  <c r="B8724" i="51"/>
  <c r="B8723" i="51"/>
  <c r="B8722" i="51"/>
  <c r="B8721" i="51"/>
  <c r="B8720" i="51"/>
  <c r="B8719" i="51"/>
  <c r="B8718" i="51"/>
  <c r="B8717" i="51"/>
  <c r="B8716" i="51"/>
  <c r="B8715" i="51"/>
  <c r="B8714" i="51"/>
  <c r="B8713" i="51"/>
  <c r="B8712" i="51"/>
  <c r="B8711" i="51"/>
  <c r="B8710" i="51"/>
  <c r="B8709" i="51"/>
  <c r="B8708" i="51"/>
  <c r="B8707" i="51"/>
  <c r="B8706" i="51"/>
  <c r="B8705" i="51"/>
  <c r="B8704" i="51"/>
  <c r="B8703" i="51"/>
  <c r="B8702" i="51"/>
  <c r="B8701" i="51"/>
  <c r="B8700" i="51"/>
  <c r="B8699" i="51"/>
  <c r="B8698" i="51"/>
  <c r="B8697" i="51"/>
  <c r="B8696" i="51"/>
  <c r="B8695" i="51"/>
  <c r="B8694" i="51"/>
  <c r="B8693" i="51"/>
  <c r="B8692" i="51"/>
  <c r="B8691" i="51"/>
  <c r="B8690" i="51"/>
  <c r="B8689" i="51"/>
  <c r="B8688" i="51"/>
  <c r="B8687" i="51"/>
  <c r="B8686" i="51"/>
  <c r="B8685" i="51"/>
  <c r="B8684" i="51"/>
  <c r="B8683" i="51"/>
  <c r="B8682" i="51"/>
  <c r="B8681" i="51"/>
  <c r="B8680" i="51"/>
  <c r="B8679" i="51"/>
  <c r="B8678" i="51"/>
  <c r="B8677" i="51"/>
  <c r="B8676" i="51"/>
  <c r="B8675" i="51"/>
  <c r="B8674" i="51"/>
  <c r="B8673" i="51"/>
  <c r="B8672" i="51"/>
  <c r="B8671" i="51"/>
  <c r="B8670" i="51"/>
  <c r="B8669" i="51"/>
  <c r="B8668" i="51"/>
  <c r="B8667" i="51"/>
  <c r="B8666" i="51"/>
  <c r="B8665" i="51"/>
  <c r="B8664" i="51"/>
  <c r="B8663" i="51"/>
  <c r="B8662" i="51"/>
  <c r="B8661" i="51"/>
  <c r="B8660" i="51"/>
  <c r="B8659" i="51"/>
  <c r="B8658" i="51"/>
  <c r="B8657" i="51"/>
  <c r="B8656" i="51"/>
  <c r="B8655" i="51"/>
  <c r="B8654" i="51"/>
  <c r="B8653" i="51"/>
  <c r="B8652" i="51"/>
  <c r="B8651" i="51"/>
  <c r="B8650" i="51"/>
  <c r="B8649" i="51"/>
  <c r="B8648" i="51"/>
  <c r="B8647" i="51"/>
  <c r="B8646" i="51"/>
  <c r="B8645" i="51"/>
  <c r="B8644" i="51"/>
  <c r="B8643" i="51"/>
  <c r="B8642" i="51"/>
  <c r="B8641" i="51"/>
  <c r="B8640" i="51"/>
  <c r="B8639" i="51"/>
  <c r="B8638" i="51"/>
  <c r="B8637" i="51"/>
  <c r="B8636" i="51"/>
  <c r="B8635" i="51"/>
  <c r="B8634" i="51"/>
  <c r="B8633" i="51"/>
  <c r="B8632" i="51"/>
  <c r="B8631" i="51"/>
  <c r="B8630" i="51"/>
  <c r="B8629" i="51"/>
  <c r="B8628" i="51"/>
  <c r="B8627" i="51"/>
  <c r="B8626" i="51"/>
  <c r="B8625" i="51"/>
  <c r="B8624" i="51"/>
  <c r="B8623" i="51"/>
  <c r="B8622" i="51"/>
  <c r="B8621" i="51"/>
  <c r="B8620" i="51"/>
  <c r="B8619" i="51"/>
  <c r="B8618" i="51"/>
  <c r="B8617" i="51"/>
  <c r="B8616" i="51"/>
  <c r="B8615" i="51"/>
  <c r="B8614" i="51"/>
  <c r="B8613" i="51"/>
  <c r="B8612" i="51"/>
  <c r="B8611" i="51"/>
  <c r="B8610" i="51"/>
  <c r="B8609" i="51"/>
  <c r="B8608" i="51"/>
  <c r="B8607" i="51"/>
  <c r="B8606" i="51"/>
  <c r="B8605" i="51"/>
  <c r="B8604" i="51"/>
  <c r="B8603" i="51"/>
  <c r="B8602" i="51"/>
  <c r="B8601" i="51"/>
  <c r="B8600" i="51"/>
  <c r="B8599" i="51"/>
  <c r="B8598" i="51"/>
  <c r="B8597" i="51"/>
  <c r="B8596" i="51"/>
  <c r="B8595" i="51"/>
  <c r="B8594" i="51"/>
  <c r="B8593" i="51"/>
  <c r="B8592" i="51"/>
  <c r="B8591" i="51"/>
  <c r="B8590" i="51"/>
  <c r="B8589" i="51"/>
  <c r="B8588" i="51"/>
  <c r="B8587" i="51"/>
  <c r="B8586" i="51"/>
  <c r="B8585" i="51"/>
  <c r="B8584" i="51"/>
  <c r="B8583" i="51"/>
  <c r="B8582" i="51"/>
  <c r="B8581" i="51"/>
  <c r="B8580" i="51"/>
  <c r="B8579" i="51"/>
  <c r="B8578" i="51"/>
  <c r="B8577" i="51"/>
  <c r="B8576" i="51"/>
  <c r="B8575" i="51"/>
  <c r="B8574" i="51"/>
  <c r="B8573" i="51"/>
  <c r="B8572" i="51"/>
  <c r="B8571" i="51"/>
  <c r="B8570" i="51"/>
  <c r="B8569" i="51"/>
  <c r="B8568" i="51"/>
  <c r="B8567" i="51"/>
  <c r="B8566" i="51"/>
  <c r="B8565" i="51"/>
  <c r="B8564" i="51"/>
  <c r="B8563" i="51"/>
  <c r="B8562" i="51"/>
  <c r="B8561" i="51"/>
  <c r="B8560" i="51"/>
  <c r="B8559" i="51"/>
  <c r="B8558" i="51"/>
  <c r="B8557" i="51"/>
  <c r="B8556" i="51"/>
  <c r="B8555" i="51"/>
  <c r="B8554" i="51"/>
  <c r="B8553" i="51"/>
  <c r="B8552" i="51"/>
  <c r="B8551" i="51"/>
  <c r="B8550" i="51"/>
  <c r="B8549" i="51"/>
  <c r="B8548" i="51"/>
  <c r="B8547" i="51"/>
  <c r="B8546" i="51"/>
  <c r="B8545" i="51"/>
  <c r="B8544" i="51"/>
  <c r="B8543" i="51"/>
  <c r="B8542" i="51"/>
  <c r="B8541" i="51"/>
  <c r="B8540" i="51"/>
  <c r="B8539" i="51"/>
  <c r="B8538" i="51"/>
  <c r="B8537" i="51"/>
  <c r="B8536" i="51"/>
  <c r="B8535" i="51"/>
  <c r="B8534" i="51"/>
  <c r="B8533" i="51"/>
  <c r="B8532" i="51"/>
  <c r="B8531" i="51"/>
  <c r="B8530" i="51"/>
  <c r="B8529" i="51"/>
  <c r="B8528" i="51"/>
  <c r="B8527" i="51"/>
  <c r="B8526" i="51"/>
  <c r="B8525" i="51"/>
  <c r="B8524" i="51"/>
  <c r="B8523" i="51"/>
  <c r="B8522" i="51"/>
  <c r="B8521" i="51"/>
  <c r="B8520" i="51"/>
  <c r="B8519" i="51"/>
  <c r="B8518" i="51"/>
  <c r="B8517" i="51"/>
  <c r="B8516" i="51"/>
  <c r="B8515" i="51"/>
  <c r="B8514" i="51"/>
  <c r="B8513" i="51"/>
  <c r="B8512" i="51"/>
  <c r="B8511" i="51"/>
  <c r="B8510" i="51"/>
  <c r="B8509" i="51"/>
  <c r="B8508" i="51"/>
  <c r="B8507" i="51"/>
  <c r="B8506" i="51"/>
  <c r="B8505" i="51"/>
  <c r="B8504" i="51"/>
  <c r="B8503" i="51"/>
  <c r="B8502" i="51"/>
  <c r="B8501" i="51"/>
  <c r="B8500" i="51"/>
  <c r="B8499" i="51"/>
  <c r="B8498" i="51"/>
  <c r="B8497" i="51"/>
  <c r="B8496" i="51"/>
  <c r="B8495" i="51"/>
  <c r="B8494" i="51"/>
  <c r="B8493" i="51"/>
  <c r="B8492" i="51"/>
  <c r="B8491" i="51"/>
  <c r="B8490" i="51"/>
  <c r="B8489" i="51"/>
  <c r="B8488" i="51"/>
  <c r="B8487" i="51"/>
  <c r="B8486" i="51"/>
  <c r="B8485" i="51"/>
  <c r="B8484" i="51"/>
  <c r="B8483" i="51"/>
  <c r="B8482" i="51"/>
  <c r="B8481" i="51"/>
  <c r="B8480" i="51"/>
  <c r="B8479" i="51"/>
  <c r="B8478" i="51"/>
  <c r="B8477" i="51"/>
  <c r="B8476" i="51"/>
  <c r="B8475" i="51"/>
  <c r="B8474" i="51"/>
  <c r="B8473" i="51"/>
  <c r="B8472" i="51"/>
  <c r="B8471" i="51"/>
  <c r="B8470" i="51"/>
  <c r="B8469" i="51"/>
  <c r="B8468" i="51"/>
  <c r="B8467" i="51"/>
  <c r="B8466" i="51"/>
  <c r="B8465" i="51"/>
  <c r="B8464" i="51"/>
  <c r="B8463" i="51"/>
  <c r="B8462" i="51"/>
  <c r="B8461" i="51"/>
  <c r="B8460" i="51"/>
  <c r="B8459" i="51"/>
  <c r="B8458" i="51"/>
  <c r="B8457" i="51"/>
  <c r="B8456" i="51"/>
  <c r="B8455" i="51"/>
  <c r="B8454" i="51"/>
  <c r="B8453" i="51"/>
  <c r="B8452" i="51"/>
  <c r="B8451" i="51"/>
  <c r="B8450" i="51"/>
  <c r="B8449" i="51"/>
  <c r="B8448" i="51"/>
  <c r="B8447" i="51"/>
  <c r="B8446" i="51"/>
  <c r="B8445" i="51"/>
  <c r="B8444" i="51"/>
  <c r="B8443" i="51"/>
  <c r="B8442" i="51"/>
  <c r="B8441" i="51"/>
  <c r="B8440" i="51"/>
  <c r="B8439" i="51"/>
  <c r="B8438" i="51"/>
  <c r="B8437" i="51"/>
  <c r="B8436" i="51"/>
  <c r="B8435" i="51"/>
  <c r="B8434" i="51"/>
  <c r="B8433" i="51"/>
  <c r="B8432" i="51"/>
  <c r="B8431" i="51"/>
  <c r="B8430" i="51"/>
  <c r="B8429" i="51"/>
  <c r="B8428" i="51"/>
  <c r="B8427" i="51"/>
  <c r="B8426" i="51"/>
  <c r="B8425" i="51"/>
  <c r="B8424" i="51"/>
  <c r="B8423" i="51"/>
  <c r="B8422" i="51"/>
  <c r="B8421" i="51"/>
  <c r="B8420" i="51"/>
  <c r="B8419" i="51"/>
  <c r="B8418" i="51"/>
  <c r="B8417" i="51"/>
  <c r="B8416" i="51"/>
  <c r="B8415" i="51"/>
  <c r="B8414" i="51"/>
  <c r="B8413" i="51"/>
  <c r="B8412" i="51"/>
  <c r="B8411" i="51"/>
  <c r="B8410" i="51"/>
  <c r="B8409" i="51"/>
  <c r="B8408" i="51"/>
  <c r="B8407" i="51"/>
  <c r="B8406" i="51"/>
  <c r="B8405" i="51"/>
  <c r="B8404" i="51"/>
  <c r="B8403" i="51"/>
  <c r="B8402" i="51"/>
  <c r="B8401" i="51"/>
  <c r="B8400" i="51"/>
  <c r="B8399" i="51"/>
  <c r="B8398" i="51"/>
  <c r="B8397" i="51"/>
  <c r="B8396" i="51"/>
  <c r="B8395" i="51"/>
  <c r="B8394" i="51"/>
  <c r="B8393" i="51"/>
  <c r="B8392" i="51"/>
  <c r="B8391" i="51"/>
  <c r="B8390" i="51"/>
  <c r="B8389" i="51"/>
  <c r="B8388" i="51"/>
  <c r="B8387" i="51"/>
  <c r="B8386" i="51"/>
  <c r="B8385" i="51"/>
  <c r="B8384" i="51"/>
  <c r="B8383" i="51"/>
  <c r="B8382" i="51"/>
  <c r="B8381" i="51"/>
  <c r="B8380" i="51"/>
  <c r="B8379" i="51"/>
  <c r="B8378" i="51"/>
  <c r="B8377" i="51"/>
  <c r="B8376" i="51"/>
  <c r="B8375" i="51"/>
  <c r="B8374" i="51"/>
  <c r="B8373" i="51"/>
  <c r="B8372" i="51"/>
  <c r="B8371" i="51"/>
  <c r="B8370" i="51"/>
  <c r="B8369" i="51"/>
  <c r="B8368" i="51"/>
  <c r="B8367" i="51"/>
  <c r="B8366" i="51"/>
  <c r="B8365" i="51"/>
  <c r="B8364" i="51"/>
  <c r="B8363" i="51"/>
  <c r="B8362" i="51"/>
  <c r="B8361" i="51"/>
  <c r="B8360" i="51"/>
  <c r="B8359" i="51"/>
  <c r="B8358" i="51"/>
  <c r="B8357" i="51"/>
  <c r="B8356" i="51"/>
  <c r="B8355" i="51"/>
  <c r="B8354" i="51"/>
  <c r="B8353" i="51"/>
  <c r="B8352" i="51"/>
  <c r="B8351" i="51"/>
  <c r="B8350" i="51"/>
  <c r="B8349" i="51"/>
  <c r="B8348" i="51"/>
  <c r="B8347" i="51"/>
  <c r="B8346" i="51"/>
  <c r="B8345" i="51"/>
  <c r="B8344" i="51"/>
  <c r="B8343" i="51"/>
  <c r="B8342" i="51"/>
  <c r="B8341" i="51"/>
  <c r="B8340" i="51"/>
  <c r="B8339" i="51"/>
  <c r="B8338" i="51"/>
  <c r="B8337" i="51"/>
  <c r="B8336" i="51"/>
  <c r="B8335" i="51"/>
  <c r="B8334" i="51"/>
  <c r="B8333" i="51"/>
  <c r="B8332" i="51"/>
  <c r="B8331" i="51"/>
  <c r="B8330" i="51"/>
  <c r="B8329" i="51"/>
  <c r="B8328" i="51"/>
  <c r="B8327" i="51"/>
  <c r="B8326" i="51"/>
  <c r="B8325" i="51"/>
  <c r="B8324" i="51"/>
  <c r="B8323" i="51"/>
  <c r="B8322" i="51"/>
  <c r="B8321" i="51"/>
  <c r="B8320" i="51"/>
  <c r="B8319" i="51"/>
  <c r="B8318" i="51"/>
  <c r="B8317" i="51"/>
  <c r="B8316" i="51"/>
  <c r="B8315" i="51"/>
  <c r="B8314" i="51"/>
  <c r="B8313" i="51"/>
  <c r="B8312" i="51"/>
  <c r="B8311" i="51"/>
  <c r="B8310" i="51"/>
  <c r="B8309" i="51"/>
  <c r="B8308" i="51"/>
  <c r="B8307" i="51"/>
  <c r="B8306" i="51"/>
  <c r="B8305" i="51"/>
  <c r="B8304" i="51"/>
  <c r="B8303" i="51"/>
  <c r="B8302" i="51"/>
  <c r="B8301" i="51"/>
  <c r="B8300" i="51"/>
  <c r="B8299" i="51"/>
  <c r="B8298" i="51"/>
  <c r="B8297" i="51"/>
  <c r="B8296" i="51"/>
  <c r="B8295" i="51"/>
  <c r="B8294" i="51"/>
  <c r="B8293" i="51"/>
  <c r="B8292" i="51"/>
  <c r="B8291" i="51"/>
  <c r="B8290" i="51"/>
  <c r="B8289" i="51"/>
  <c r="B8288" i="51"/>
  <c r="B8287" i="51"/>
  <c r="B8286" i="51"/>
  <c r="B8285" i="51"/>
  <c r="B8284" i="51"/>
  <c r="B8283" i="51"/>
  <c r="B8282" i="51"/>
  <c r="B8281" i="51"/>
  <c r="B8280" i="51"/>
  <c r="B8279" i="51"/>
  <c r="B8278" i="51"/>
  <c r="B8277" i="51"/>
  <c r="B8276" i="51"/>
  <c r="B8275" i="51"/>
  <c r="B8274" i="51"/>
  <c r="B8273" i="51"/>
  <c r="B8272" i="51"/>
  <c r="B8271" i="51"/>
  <c r="B8270" i="51"/>
  <c r="B8269" i="51"/>
  <c r="B8268" i="51"/>
  <c r="B8267" i="51"/>
  <c r="B8266" i="51"/>
  <c r="B8265" i="51"/>
  <c r="B8264" i="51"/>
  <c r="B8263" i="51"/>
  <c r="B8262" i="51"/>
  <c r="B8261" i="51"/>
  <c r="B8260" i="51"/>
  <c r="B8259" i="51"/>
  <c r="B8258" i="51"/>
  <c r="B8257" i="51"/>
  <c r="B8256" i="51"/>
  <c r="B8255" i="51"/>
  <c r="B8254" i="51"/>
  <c r="B8253" i="51"/>
  <c r="B8252" i="51"/>
  <c r="B8251" i="51"/>
  <c r="B8250" i="51"/>
  <c r="B8249" i="51"/>
  <c r="B8248" i="51"/>
  <c r="B8247" i="51"/>
  <c r="B8246" i="51"/>
  <c r="B8245" i="51"/>
  <c r="B8244" i="51"/>
  <c r="B8243" i="51"/>
  <c r="B8242" i="51"/>
  <c r="B8241" i="51"/>
  <c r="B8240" i="51"/>
  <c r="B8239" i="51"/>
  <c r="B8238" i="51"/>
  <c r="B8237" i="51"/>
  <c r="B8236" i="51"/>
  <c r="B8235" i="51"/>
  <c r="B8234" i="51"/>
  <c r="B8233" i="51"/>
  <c r="B8232" i="51"/>
  <c r="B8231" i="51"/>
  <c r="B8230" i="51"/>
  <c r="B8229" i="51"/>
  <c r="B8228" i="51"/>
  <c r="B8227" i="51"/>
  <c r="B8226" i="51"/>
  <c r="B8225" i="51"/>
  <c r="B8224" i="51"/>
  <c r="B8223" i="51"/>
  <c r="B8222" i="51"/>
  <c r="B8221" i="51"/>
  <c r="B8220" i="51"/>
  <c r="B8219" i="51"/>
  <c r="B8218" i="51"/>
  <c r="B8217" i="51"/>
  <c r="B8216" i="51"/>
  <c r="B8215" i="51"/>
  <c r="B8214" i="51"/>
  <c r="B8213" i="51"/>
  <c r="B8212" i="51"/>
  <c r="B8211" i="51"/>
  <c r="B8210" i="51"/>
  <c r="B8209" i="51"/>
  <c r="B8208" i="51"/>
  <c r="B8207" i="51"/>
  <c r="B8206" i="51"/>
  <c r="B8205" i="51"/>
  <c r="B8204" i="51"/>
  <c r="B8203" i="51"/>
  <c r="B8202" i="51"/>
  <c r="B8201" i="51"/>
  <c r="B8200" i="51"/>
  <c r="B8199" i="51"/>
  <c r="B8198" i="51"/>
  <c r="B8197" i="51"/>
  <c r="B8196" i="51"/>
  <c r="B8195" i="51"/>
  <c r="B8194" i="51"/>
  <c r="B8193" i="51"/>
  <c r="B8192" i="51"/>
  <c r="B8191" i="51"/>
  <c r="B8190" i="51"/>
  <c r="B8189" i="51"/>
  <c r="B8188" i="51"/>
  <c r="B8187" i="51"/>
  <c r="B8186" i="51"/>
  <c r="B8185" i="51"/>
  <c r="B8184" i="51"/>
  <c r="B8183" i="51"/>
  <c r="B8182" i="51"/>
  <c r="B8181" i="51"/>
  <c r="B8180" i="51"/>
  <c r="B8179" i="51"/>
  <c r="B8178" i="51"/>
  <c r="B8177" i="51"/>
  <c r="B8176" i="51"/>
  <c r="B8175" i="51"/>
  <c r="B8174" i="51"/>
  <c r="B8173" i="51"/>
  <c r="B8172" i="51"/>
  <c r="B8171" i="51"/>
  <c r="B8170" i="51"/>
  <c r="B8169" i="51"/>
  <c r="B8168" i="51"/>
  <c r="B8167" i="51"/>
  <c r="B8166" i="51"/>
  <c r="B8165" i="51"/>
  <c r="B8164" i="51"/>
  <c r="B8163" i="51"/>
  <c r="B8162" i="51"/>
  <c r="B8161" i="51"/>
  <c r="B8160" i="51"/>
  <c r="B8159" i="51"/>
  <c r="B8158" i="51"/>
  <c r="B8157" i="51"/>
  <c r="B8156" i="51"/>
  <c r="B8155" i="51"/>
  <c r="B8154" i="51"/>
  <c r="B8153" i="51"/>
  <c r="B8152" i="51"/>
  <c r="B8151" i="51"/>
  <c r="B8150" i="51"/>
  <c r="B8149" i="51"/>
  <c r="B8148" i="51"/>
  <c r="B8147" i="51"/>
  <c r="B8146" i="51"/>
  <c r="B8145" i="51"/>
  <c r="B8144" i="51"/>
  <c r="B8143" i="51"/>
  <c r="B8142" i="51"/>
  <c r="B8141" i="51"/>
  <c r="B8140" i="51"/>
  <c r="B8139" i="51"/>
  <c r="B8138" i="51"/>
  <c r="B8137" i="51"/>
  <c r="B8136" i="51"/>
  <c r="B8135" i="51"/>
  <c r="B8134" i="51"/>
  <c r="B8133" i="51"/>
  <c r="B8132" i="51"/>
  <c r="B8131" i="51"/>
  <c r="B8130" i="51"/>
  <c r="B8129" i="51"/>
  <c r="B8128" i="51"/>
  <c r="B8127" i="51"/>
  <c r="B8126" i="51"/>
  <c r="B8125" i="51"/>
  <c r="B8124" i="51"/>
  <c r="B8123" i="51"/>
  <c r="B8122" i="51"/>
  <c r="B8121" i="51"/>
  <c r="B8120" i="51"/>
  <c r="B8119" i="51"/>
  <c r="B8118" i="51"/>
  <c r="B8117" i="51"/>
  <c r="B8116" i="51"/>
  <c r="B8115" i="51"/>
  <c r="B8114" i="51"/>
  <c r="B8113" i="51"/>
  <c r="B8112" i="51"/>
  <c r="B8111" i="51"/>
  <c r="B8110" i="51"/>
  <c r="B8109" i="51"/>
  <c r="B8108" i="51"/>
  <c r="B8107" i="51"/>
  <c r="B8106" i="51"/>
  <c r="B8105" i="51"/>
  <c r="B8104" i="51"/>
  <c r="B8103" i="51"/>
  <c r="B8102" i="51"/>
  <c r="B8101" i="51"/>
  <c r="B8100" i="51"/>
  <c r="B8099" i="51"/>
  <c r="B8098" i="51"/>
  <c r="B8097" i="51"/>
  <c r="B8096" i="51"/>
  <c r="B8095" i="51"/>
  <c r="B8094" i="51"/>
  <c r="B8093" i="51"/>
  <c r="B8092" i="51"/>
  <c r="B8091" i="51"/>
  <c r="B8090" i="51"/>
  <c r="B8089" i="51"/>
  <c r="B8088" i="51"/>
  <c r="B8087" i="51"/>
  <c r="B8086" i="51"/>
  <c r="B8085" i="51"/>
  <c r="B8084" i="51"/>
  <c r="B8083" i="51"/>
  <c r="B8082" i="51"/>
  <c r="B8081" i="51"/>
  <c r="B8080" i="51"/>
  <c r="B8079" i="51"/>
  <c r="B8078" i="51"/>
  <c r="B8077" i="51"/>
  <c r="B8076" i="51"/>
  <c r="B8075" i="51"/>
  <c r="B8074" i="51"/>
  <c r="B8073" i="51"/>
  <c r="B8072" i="51"/>
  <c r="B8071" i="51"/>
  <c r="B8070" i="51"/>
  <c r="B8069" i="51"/>
  <c r="B8068" i="51"/>
  <c r="B8067" i="51"/>
  <c r="B8066" i="51"/>
  <c r="B8065" i="51"/>
  <c r="B8064" i="51"/>
  <c r="B8063" i="51"/>
  <c r="B8062" i="51"/>
  <c r="B8061" i="51"/>
  <c r="B8060" i="51"/>
  <c r="B8059" i="51"/>
  <c r="B8058" i="51"/>
  <c r="B8057" i="51"/>
  <c r="B8056" i="51"/>
  <c r="B8055" i="51"/>
  <c r="B8054" i="51"/>
  <c r="B8053" i="51"/>
  <c r="B8052" i="51"/>
  <c r="B8051" i="51"/>
  <c r="B8050" i="51"/>
  <c r="B8049" i="51"/>
  <c r="B8048" i="51"/>
  <c r="B8047" i="51"/>
  <c r="B8046" i="51"/>
  <c r="B8045" i="51"/>
  <c r="B8044" i="51"/>
  <c r="B8043" i="51"/>
  <c r="B8042" i="51"/>
  <c r="B8041" i="51"/>
  <c r="B8040" i="51"/>
  <c r="B8039" i="51"/>
  <c r="B8038" i="51"/>
  <c r="B8037" i="51"/>
  <c r="B8036" i="51"/>
  <c r="B8035" i="51"/>
  <c r="B8034" i="51"/>
  <c r="B8033" i="51"/>
  <c r="B8032" i="51"/>
  <c r="B8031" i="51"/>
  <c r="B8030" i="51"/>
  <c r="B8029" i="51"/>
  <c r="B8028" i="51"/>
  <c r="B8027" i="51"/>
  <c r="B8026" i="51"/>
  <c r="B8025" i="51"/>
  <c r="B8024" i="51"/>
  <c r="B8023" i="51"/>
  <c r="B8022" i="51"/>
  <c r="B8021" i="51"/>
  <c r="B8020" i="51"/>
  <c r="B8019" i="51"/>
  <c r="B8018" i="51"/>
  <c r="B8017" i="51"/>
  <c r="B8016" i="51"/>
  <c r="B8015" i="51"/>
  <c r="B8014" i="51"/>
  <c r="B8013" i="51"/>
  <c r="B8012" i="51"/>
  <c r="B8011" i="51"/>
  <c r="B8010" i="51"/>
  <c r="B8009" i="51"/>
  <c r="B8008" i="51"/>
  <c r="B8007" i="51"/>
  <c r="B8006" i="51"/>
  <c r="B8005" i="51"/>
  <c r="B8004" i="51"/>
  <c r="B8003" i="51"/>
  <c r="B8002" i="51"/>
  <c r="B8001" i="51"/>
  <c r="B8000" i="51"/>
  <c r="B7999" i="51"/>
  <c r="B7998" i="51"/>
  <c r="B7997" i="51"/>
  <c r="B7996" i="51"/>
  <c r="B7995" i="51"/>
  <c r="B7994" i="51"/>
  <c r="B7993" i="51"/>
  <c r="B7992" i="51"/>
  <c r="B7991" i="51"/>
  <c r="B7990" i="51"/>
  <c r="B7989" i="51"/>
  <c r="B7988" i="51"/>
  <c r="B7987" i="51"/>
  <c r="B7986" i="51"/>
  <c r="B7985" i="51"/>
  <c r="B7984" i="51"/>
  <c r="B7983" i="51"/>
  <c r="B7982" i="51"/>
  <c r="B7981" i="51"/>
  <c r="B7980" i="51"/>
  <c r="B7979" i="51"/>
  <c r="B7978" i="51"/>
  <c r="B7977" i="51"/>
  <c r="B7976" i="51"/>
  <c r="B7975" i="51"/>
  <c r="B7974" i="51"/>
  <c r="B7973" i="51"/>
  <c r="B7972" i="51"/>
  <c r="B7971" i="51"/>
  <c r="B7970" i="51"/>
  <c r="B7969" i="51"/>
  <c r="B7968" i="51"/>
  <c r="B7967" i="51"/>
  <c r="B7966" i="51"/>
  <c r="B7965" i="51"/>
  <c r="B7964" i="51"/>
  <c r="B7963" i="51"/>
  <c r="B7962" i="51"/>
  <c r="B7961" i="51"/>
  <c r="B7960" i="51"/>
  <c r="B7959" i="51"/>
  <c r="B7958" i="51"/>
  <c r="B7957" i="51"/>
  <c r="B7956" i="51"/>
  <c r="B7955" i="51"/>
  <c r="B7954" i="51"/>
  <c r="B7953" i="51"/>
  <c r="B7952" i="51"/>
  <c r="B7951" i="51"/>
  <c r="B7950" i="51"/>
  <c r="B7949" i="51"/>
  <c r="B7948" i="51"/>
  <c r="B7947" i="51"/>
  <c r="B7946" i="51"/>
  <c r="B7945" i="51"/>
  <c r="B7944" i="51"/>
  <c r="B7943" i="51"/>
  <c r="B7942" i="51"/>
  <c r="B7941" i="51"/>
  <c r="B7940" i="51"/>
  <c r="B7939" i="51"/>
  <c r="B7938" i="51"/>
  <c r="B7937" i="51"/>
  <c r="B7936" i="51"/>
  <c r="B7935" i="51"/>
  <c r="B7934" i="51"/>
  <c r="B7933" i="51"/>
  <c r="B7932" i="51"/>
  <c r="B7931" i="51"/>
  <c r="B7930" i="51"/>
  <c r="B7929" i="51"/>
  <c r="B7928" i="51"/>
  <c r="B7927" i="51"/>
  <c r="B7926" i="51"/>
  <c r="B7925" i="51"/>
  <c r="B7924" i="51"/>
  <c r="B7923" i="51"/>
  <c r="B7922" i="51"/>
  <c r="B7921" i="51"/>
  <c r="B7920" i="51"/>
  <c r="B7919" i="51"/>
  <c r="B7918" i="51"/>
  <c r="B7917" i="51"/>
  <c r="B7916" i="51"/>
  <c r="B7915" i="51"/>
  <c r="B7914" i="51"/>
  <c r="B7913" i="51"/>
  <c r="B7912" i="51"/>
  <c r="B7911" i="51"/>
  <c r="B7910" i="51"/>
  <c r="B7909" i="51"/>
  <c r="B7908" i="51"/>
  <c r="B7907" i="51"/>
  <c r="B7906" i="51"/>
  <c r="B7905" i="51"/>
  <c r="B7904" i="51"/>
  <c r="B7903" i="51"/>
  <c r="B7902" i="51"/>
  <c r="B7901" i="51"/>
  <c r="B7900" i="51"/>
  <c r="B7899" i="51"/>
  <c r="B7898" i="51"/>
  <c r="B7897" i="51"/>
  <c r="B7896" i="51"/>
  <c r="B7895" i="51"/>
  <c r="B7894" i="51"/>
  <c r="B7893" i="51"/>
  <c r="B7892" i="51"/>
  <c r="B7891" i="51"/>
  <c r="B7890" i="51"/>
  <c r="B7889" i="51"/>
  <c r="B7888" i="51"/>
  <c r="B7887" i="51"/>
  <c r="B7886" i="51"/>
  <c r="B7885" i="51"/>
  <c r="B7884" i="51"/>
  <c r="B7883" i="51"/>
  <c r="B7882" i="51"/>
  <c r="B7881" i="51"/>
  <c r="B7880" i="51"/>
  <c r="B7879" i="51"/>
  <c r="B7878" i="51"/>
  <c r="B7877" i="51"/>
  <c r="B7876" i="51"/>
  <c r="B7875" i="51"/>
  <c r="B7874" i="51"/>
  <c r="B7873" i="51"/>
  <c r="B7872" i="51"/>
  <c r="B7871" i="51"/>
  <c r="B7870" i="51"/>
  <c r="B7869" i="51"/>
  <c r="B7868" i="51"/>
  <c r="B7867" i="51"/>
  <c r="B7866" i="51"/>
  <c r="B7865" i="51"/>
  <c r="B7864" i="51"/>
  <c r="B7863" i="51"/>
  <c r="B7862" i="51"/>
  <c r="B7861" i="51"/>
  <c r="B7860" i="51"/>
  <c r="B7859" i="51"/>
  <c r="B7858" i="51"/>
  <c r="B7857" i="51"/>
  <c r="B7856" i="51"/>
  <c r="B7855" i="51"/>
  <c r="B7854" i="51"/>
  <c r="B7853" i="51"/>
  <c r="B7852" i="51"/>
  <c r="B7851" i="51"/>
  <c r="B7850" i="51"/>
  <c r="B7849" i="51"/>
  <c r="B7848" i="51"/>
  <c r="B7847" i="51"/>
  <c r="B7846" i="51"/>
  <c r="B7845" i="51"/>
  <c r="B7844" i="51"/>
  <c r="B7843" i="51"/>
  <c r="B7842" i="51"/>
  <c r="B7841" i="51"/>
  <c r="B7840" i="51"/>
  <c r="B7839" i="51"/>
  <c r="B7838" i="51"/>
  <c r="B7837" i="51"/>
  <c r="B7836" i="51"/>
  <c r="B7835" i="51"/>
  <c r="B7834" i="51"/>
  <c r="B7833" i="51"/>
  <c r="B7832" i="51"/>
  <c r="B7831" i="51"/>
  <c r="B7830" i="51"/>
  <c r="B7829" i="51"/>
  <c r="B7828" i="51"/>
  <c r="B7827" i="51"/>
  <c r="B7826" i="51"/>
  <c r="B7825" i="51"/>
  <c r="B7824" i="51"/>
  <c r="B7823" i="51"/>
  <c r="B7822" i="51"/>
  <c r="B7821" i="51"/>
  <c r="B7820" i="51"/>
  <c r="B7819" i="51"/>
  <c r="B7818" i="51"/>
  <c r="B7817" i="51"/>
  <c r="B7816" i="51"/>
  <c r="B7815" i="51"/>
  <c r="B7814" i="51"/>
  <c r="B7813" i="51"/>
  <c r="B7812" i="51"/>
  <c r="B7811" i="51"/>
  <c r="B7810" i="51"/>
  <c r="B7809" i="51"/>
  <c r="B7808" i="51"/>
  <c r="B7807" i="51"/>
  <c r="B7806" i="51"/>
  <c r="B7805" i="51"/>
  <c r="B7804" i="51"/>
  <c r="B7803" i="51"/>
  <c r="B7802" i="51"/>
  <c r="B7801" i="51"/>
  <c r="B7800" i="51"/>
  <c r="B7799" i="51"/>
  <c r="B7798" i="51"/>
  <c r="B7797" i="51"/>
  <c r="B7796" i="51"/>
  <c r="B7795" i="51"/>
  <c r="B7794" i="51"/>
  <c r="B7793" i="51"/>
  <c r="B7792" i="51"/>
  <c r="B7791" i="51"/>
  <c r="B7790" i="51"/>
  <c r="B7789" i="51"/>
  <c r="B7788" i="51"/>
  <c r="B7787" i="51"/>
  <c r="B7786" i="51"/>
  <c r="B7785" i="51"/>
  <c r="B7784" i="51"/>
  <c r="B7783" i="51"/>
  <c r="B7782" i="51"/>
  <c r="B7781" i="51"/>
  <c r="B7780" i="51"/>
  <c r="B7779" i="51"/>
  <c r="B7778" i="51"/>
  <c r="B7777" i="51"/>
  <c r="B7776" i="51"/>
  <c r="B7775" i="51"/>
  <c r="B7774" i="51"/>
  <c r="B7773" i="51"/>
  <c r="B7772" i="51"/>
  <c r="B7771" i="51"/>
  <c r="B7770" i="51"/>
  <c r="B7769" i="51"/>
  <c r="B7768" i="51"/>
  <c r="B7767" i="51"/>
  <c r="B7766" i="51"/>
  <c r="B7765" i="51"/>
  <c r="B7764" i="51"/>
  <c r="B7763" i="51"/>
  <c r="B7762" i="51"/>
  <c r="B7761" i="51"/>
  <c r="B7760" i="51"/>
  <c r="B7759" i="51"/>
  <c r="B7758" i="51"/>
  <c r="B7757" i="51"/>
  <c r="B7756" i="51"/>
  <c r="B7755" i="51"/>
  <c r="B7754" i="51"/>
  <c r="B7753" i="51"/>
  <c r="B7752" i="51"/>
  <c r="B7751" i="51"/>
  <c r="B7750" i="51"/>
  <c r="B7749" i="51"/>
  <c r="B7748" i="51"/>
  <c r="B7747" i="51"/>
  <c r="B7746" i="51"/>
  <c r="B7745" i="51"/>
  <c r="B7744" i="51"/>
  <c r="B7743" i="51"/>
  <c r="B7742" i="51"/>
  <c r="B7741" i="51"/>
  <c r="B7740" i="51"/>
  <c r="B7739" i="51"/>
  <c r="B7738" i="51"/>
  <c r="B7737" i="51"/>
  <c r="B7736" i="51"/>
  <c r="B7735" i="51"/>
  <c r="B7734" i="51"/>
  <c r="B7733" i="51"/>
  <c r="B7732" i="51"/>
  <c r="B7731" i="51"/>
  <c r="B7730" i="51"/>
  <c r="B7729" i="51"/>
  <c r="B7728" i="51"/>
  <c r="B7727" i="51"/>
  <c r="B7726" i="51"/>
  <c r="B7725" i="51"/>
  <c r="B7724" i="51"/>
  <c r="B7723" i="51"/>
  <c r="B7722" i="51"/>
  <c r="B7721" i="51"/>
  <c r="B7720" i="51"/>
  <c r="B7719" i="51"/>
  <c r="B7718" i="51"/>
  <c r="B7717" i="51"/>
  <c r="B7716" i="51"/>
  <c r="B7715" i="51"/>
  <c r="B7714" i="51"/>
  <c r="B7713" i="51"/>
  <c r="B7712" i="51"/>
  <c r="B7711" i="51"/>
  <c r="B7710" i="51"/>
  <c r="B7709" i="51"/>
  <c r="B7708" i="51"/>
  <c r="B7707" i="51"/>
  <c r="B7706" i="51"/>
  <c r="B7705" i="51"/>
  <c r="B7704" i="51"/>
  <c r="B7703" i="51"/>
  <c r="B7702" i="51"/>
  <c r="B7701" i="51"/>
  <c r="B7700" i="51"/>
  <c r="B7699" i="51"/>
  <c r="B7698" i="51"/>
  <c r="B7697" i="51"/>
  <c r="B7696" i="51"/>
  <c r="B7695" i="51"/>
  <c r="B7694" i="51"/>
  <c r="B7693" i="51"/>
  <c r="B7692" i="51"/>
  <c r="B7691" i="51"/>
  <c r="B7690" i="51"/>
  <c r="B7689" i="51"/>
  <c r="B7688" i="51"/>
  <c r="B7687" i="51"/>
  <c r="B7686" i="51"/>
  <c r="B7685" i="51"/>
  <c r="B7684" i="51"/>
  <c r="B7683" i="51"/>
  <c r="B7682" i="51"/>
  <c r="B7681" i="51"/>
  <c r="B7680" i="51"/>
  <c r="B7679" i="51"/>
  <c r="B7678" i="51"/>
  <c r="B7677" i="51"/>
  <c r="B7676" i="51"/>
  <c r="B7675" i="51"/>
  <c r="B7674" i="51"/>
  <c r="B7673" i="51"/>
  <c r="B7672" i="51"/>
  <c r="B7671" i="51"/>
  <c r="B7670" i="51"/>
  <c r="B7669" i="51"/>
  <c r="B7668" i="51"/>
  <c r="B7667" i="51"/>
  <c r="B7666" i="51"/>
  <c r="B7665" i="51"/>
  <c r="B7664" i="51"/>
  <c r="B7663" i="51"/>
  <c r="B7662" i="51"/>
  <c r="B7661" i="51"/>
  <c r="B7660" i="51"/>
  <c r="B7659" i="51"/>
  <c r="B7658" i="51"/>
  <c r="B7657" i="51"/>
  <c r="B7656" i="51"/>
  <c r="B7655" i="51"/>
  <c r="B7654" i="51"/>
  <c r="B7653" i="51"/>
  <c r="B7652" i="51"/>
  <c r="B7651" i="51"/>
  <c r="B7650" i="51"/>
  <c r="B7649" i="51"/>
  <c r="B7648" i="51"/>
  <c r="B7647" i="51"/>
  <c r="B7646" i="51"/>
  <c r="B7645" i="51"/>
  <c r="B7644" i="51"/>
  <c r="B7643" i="51"/>
  <c r="B7642" i="51"/>
  <c r="B7641" i="51"/>
  <c r="B7640" i="51"/>
  <c r="B7639" i="51"/>
  <c r="B7638" i="51"/>
  <c r="B7637" i="51"/>
  <c r="B7636" i="51"/>
  <c r="B7635" i="51"/>
  <c r="B7634" i="51"/>
  <c r="B7633" i="51"/>
  <c r="B7632" i="51"/>
  <c r="B7631" i="51"/>
  <c r="B7630" i="51"/>
  <c r="B7629" i="51"/>
  <c r="B7628" i="51"/>
  <c r="B7627" i="51"/>
  <c r="B7626" i="51"/>
  <c r="B7625" i="51"/>
  <c r="B7624" i="51"/>
  <c r="B7623" i="51"/>
  <c r="B7622" i="51"/>
  <c r="B7621" i="51"/>
  <c r="B7620" i="51"/>
  <c r="B7619" i="51"/>
  <c r="B7618" i="51"/>
  <c r="B7617" i="51"/>
  <c r="B7616" i="51"/>
  <c r="B7615" i="51"/>
  <c r="B7614" i="51"/>
  <c r="B7613" i="51"/>
  <c r="B7612" i="51"/>
  <c r="B7611" i="51"/>
  <c r="B7610" i="51"/>
  <c r="B7609" i="51"/>
  <c r="B7608" i="51"/>
  <c r="B7607" i="51"/>
  <c r="B7606" i="51"/>
  <c r="B7605" i="51"/>
  <c r="B7604" i="51"/>
  <c r="B7603" i="51"/>
  <c r="B7602" i="51"/>
  <c r="B7601" i="51"/>
  <c r="B7600" i="51"/>
  <c r="B7599" i="51"/>
  <c r="B7598" i="51"/>
  <c r="B7597" i="51"/>
  <c r="B7596" i="51"/>
  <c r="B7595" i="51"/>
  <c r="B7594" i="51"/>
  <c r="B7593" i="51"/>
  <c r="B7592" i="51"/>
  <c r="B7591" i="51"/>
  <c r="B7590" i="51"/>
  <c r="B7589" i="51"/>
  <c r="B7588" i="51"/>
  <c r="B7587" i="51"/>
  <c r="B7586" i="51"/>
  <c r="B7585" i="51"/>
  <c r="B7584" i="51"/>
  <c r="B7583" i="51"/>
  <c r="B7582" i="51"/>
  <c r="B7581" i="51"/>
  <c r="B7580" i="51"/>
  <c r="B7579" i="51"/>
  <c r="B7578" i="51"/>
  <c r="B7577" i="51"/>
  <c r="B7576" i="51"/>
  <c r="B7575" i="51"/>
  <c r="B7574" i="51"/>
  <c r="B7573" i="51"/>
  <c r="B7572" i="51"/>
  <c r="B7571" i="51"/>
  <c r="B7570" i="51"/>
  <c r="B7569" i="51"/>
  <c r="B7568" i="51"/>
  <c r="B7567" i="51"/>
  <c r="B7566" i="51"/>
  <c r="B7565" i="51"/>
  <c r="B7564" i="51"/>
  <c r="B7563" i="51"/>
  <c r="B7562" i="51"/>
  <c r="B7561" i="51"/>
  <c r="B7560" i="51"/>
  <c r="B7559" i="51"/>
  <c r="B7558" i="51"/>
  <c r="B7557" i="51"/>
  <c r="B7556" i="51"/>
  <c r="B7555" i="51"/>
  <c r="B7554" i="51"/>
  <c r="B7553" i="51"/>
  <c r="B7552" i="51"/>
  <c r="B7551" i="51"/>
  <c r="B7550" i="51"/>
  <c r="B7549" i="51"/>
  <c r="B7548" i="51"/>
  <c r="B7547" i="51"/>
  <c r="B7546" i="51"/>
  <c r="B7545" i="51"/>
  <c r="B7544" i="51"/>
  <c r="B7543" i="51"/>
  <c r="B7542" i="51"/>
  <c r="B7541" i="51"/>
  <c r="B7540" i="51"/>
  <c r="B7539" i="51"/>
  <c r="B7538" i="51"/>
  <c r="B7537" i="51"/>
  <c r="B7536" i="51"/>
  <c r="B7535" i="51"/>
  <c r="B7534" i="51"/>
  <c r="B7533" i="51"/>
  <c r="B7532" i="51"/>
  <c r="B7531" i="51"/>
  <c r="B7530" i="51"/>
  <c r="B7529" i="51"/>
  <c r="B7528" i="51"/>
  <c r="B7527" i="51"/>
  <c r="B7526" i="51"/>
  <c r="B7525" i="51"/>
  <c r="B7524" i="51"/>
  <c r="B7523" i="51"/>
  <c r="B7522" i="51"/>
  <c r="B7521" i="51"/>
  <c r="B7520" i="51"/>
  <c r="B7519" i="51"/>
  <c r="B7518" i="51"/>
  <c r="B7517" i="51"/>
  <c r="B7516" i="51"/>
  <c r="B7515" i="51"/>
  <c r="B7514" i="51"/>
  <c r="B7513" i="51"/>
  <c r="B7512" i="51"/>
  <c r="B7511" i="51"/>
  <c r="B7510" i="51"/>
  <c r="B7509" i="51"/>
  <c r="B7508" i="51"/>
  <c r="B7507" i="51"/>
  <c r="B7506" i="51"/>
  <c r="B7505" i="51"/>
  <c r="B7504" i="51"/>
  <c r="B7503" i="51"/>
  <c r="B7502" i="51"/>
  <c r="B7501" i="51"/>
  <c r="B7500" i="51"/>
  <c r="B7499" i="51"/>
  <c r="B7498" i="51"/>
  <c r="B7497" i="51"/>
  <c r="B7496" i="51"/>
  <c r="B7495" i="51"/>
  <c r="B7494" i="51"/>
  <c r="B7493" i="51"/>
  <c r="B7492" i="51"/>
  <c r="B7491" i="51"/>
  <c r="B7490" i="51"/>
  <c r="B7489" i="51"/>
  <c r="B7488" i="51"/>
  <c r="B7487" i="51"/>
  <c r="B7486" i="51"/>
  <c r="B7485" i="51"/>
  <c r="B7484" i="51"/>
  <c r="B7483" i="51"/>
  <c r="B7482" i="51"/>
  <c r="B7481" i="51"/>
  <c r="B7480" i="51"/>
  <c r="B7479" i="51"/>
  <c r="B7478" i="51"/>
  <c r="B7477" i="51"/>
  <c r="B7476" i="51"/>
  <c r="B7475" i="51"/>
  <c r="B7474" i="51"/>
  <c r="B7473" i="51"/>
  <c r="B7472" i="51"/>
  <c r="B7471" i="51"/>
  <c r="B7470" i="51"/>
  <c r="B7469" i="51"/>
  <c r="B7468" i="51"/>
  <c r="B7467" i="51"/>
  <c r="B7466" i="51"/>
  <c r="B7465" i="51"/>
  <c r="B7464" i="51"/>
  <c r="B7463" i="51"/>
  <c r="B7462" i="51"/>
  <c r="B7461" i="51"/>
  <c r="B7460" i="51"/>
  <c r="B7459" i="51"/>
  <c r="B7458" i="51"/>
  <c r="B7457" i="51"/>
  <c r="B7456" i="51"/>
  <c r="B7455" i="51"/>
  <c r="B7454" i="51"/>
  <c r="B7453" i="51"/>
  <c r="B7452" i="51"/>
  <c r="B7451" i="51"/>
  <c r="B7450" i="51"/>
  <c r="B7449" i="51"/>
  <c r="B7448" i="51"/>
  <c r="B7447" i="51"/>
  <c r="B7446" i="51"/>
  <c r="B7445" i="51"/>
  <c r="B7444" i="51"/>
  <c r="B7443" i="51"/>
  <c r="B7442" i="51"/>
  <c r="B7441" i="51"/>
  <c r="B7440" i="51"/>
  <c r="B7439" i="51"/>
  <c r="B7438" i="51"/>
  <c r="B7437" i="51"/>
  <c r="B7436" i="51"/>
  <c r="B7435" i="51"/>
  <c r="B7434" i="51"/>
  <c r="B7433" i="51"/>
  <c r="B7432" i="51"/>
  <c r="B7431" i="51"/>
  <c r="B7430" i="51"/>
  <c r="B7429" i="51"/>
  <c r="B7428" i="51"/>
  <c r="B7427" i="51"/>
  <c r="B7426" i="51"/>
  <c r="B7425" i="51"/>
  <c r="B7424" i="51"/>
  <c r="B7423" i="51"/>
  <c r="B7422" i="51"/>
  <c r="B7421" i="51"/>
  <c r="B7420" i="51"/>
  <c r="B7419" i="51"/>
  <c r="B7418" i="51"/>
  <c r="B7417" i="51"/>
  <c r="B7416" i="51"/>
  <c r="B7415" i="51"/>
  <c r="B7414" i="51"/>
  <c r="B7413" i="51"/>
  <c r="B7412" i="51"/>
  <c r="B7411" i="51"/>
  <c r="B7410" i="51"/>
  <c r="B7409" i="51"/>
  <c r="B7408" i="51"/>
  <c r="B7407" i="51"/>
  <c r="B7406" i="51"/>
  <c r="B7405" i="51"/>
  <c r="B7404" i="51"/>
  <c r="B7403" i="51"/>
  <c r="B7402" i="51"/>
  <c r="B7401" i="51"/>
  <c r="B7400" i="51"/>
  <c r="B7399" i="51"/>
  <c r="B7398" i="51"/>
  <c r="B7397" i="51"/>
  <c r="B7396" i="51"/>
  <c r="B7395" i="51"/>
  <c r="B7394" i="51"/>
  <c r="B7393" i="51"/>
  <c r="B7392" i="51"/>
  <c r="B7391" i="51"/>
  <c r="B7390" i="51"/>
  <c r="B7389" i="51"/>
  <c r="B7388" i="51"/>
  <c r="B7387" i="51"/>
  <c r="B7386" i="51"/>
  <c r="B7385" i="51"/>
  <c r="B7384" i="51"/>
  <c r="B7383" i="51"/>
  <c r="B7382" i="51"/>
  <c r="B7381" i="51"/>
  <c r="B7380" i="51"/>
  <c r="B7379" i="51"/>
  <c r="B7378" i="51"/>
  <c r="B7377" i="51"/>
  <c r="B7376" i="51"/>
  <c r="B7375" i="51"/>
  <c r="B7374" i="51"/>
  <c r="B7373" i="51"/>
  <c r="B7372" i="51"/>
  <c r="B7371" i="51"/>
  <c r="B7370" i="51"/>
  <c r="B7369" i="51"/>
  <c r="B7368" i="51"/>
  <c r="B7367" i="51"/>
  <c r="B7366" i="51"/>
  <c r="B7365" i="51"/>
  <c r="B7364" i="51"/>
  <c r="B7363" i="51"/>
  <c r="B7362" i="51"/>
  <c r="B7361" i="51"/>
  <c r="B7360" i="51"/>
  <c r="B7359" i="51"/>
  <c r="B7358" i="51"/>
  <c r="B7357" i="51"/>
  <c r="B7356" i="51"/>
  <c r="B7355" i="51"/>
  <c r="B7354" i="51"/>
  <c r="B7353" i="51"/>
  <c r="B7352" i="51"/>
  <c r="B7351" i="51"/>
  <c r="B7350" i="51"/>
  <c r="B7349" i="51"/>
  <c r="B7348" i="51"/>
  <c r="B7347" i="51"/>
  <c r="B7346" i="51"/>
  <c r="B7345" i="51"/>
  <c r="B7344" i="51"/>
  <c r="B7343" i="51"/>
  <c r="B7342" i="51"/>
  <c r="B7341" i="51"/>
  <c r="B7340" i="51"/>
  <c r="B7339" i="51"/>
  <c r="B7338" i="51"/>
  <c r="B7337" i="51"/>
  <c r="B7336" i="51"/>
  <c r="B7335" i="51"/>
  <c r="B7334" i="51"/>
  <c r="B7333" i="51"/>
  <c r="B7332" i="51"/>
  <c r="B7331" i="51"/>
  <c r="B7330" i="51"/>
  <c r="B7329" i="51"/>
  <c r="B7328" i="51"/>
  <c r="B7327" i="51"/>
  <c r="B7326" i="51"/>
  <c r="B7325" i="51"/>
  <c r="B7324" i="51"/>
  <c r="B7323" i="51"/>
  <c r="B7322" i="51"/>
  <c r="B7321" i="51"/>
  <c r="B7320" i="51"/>
  <c r="B7319" i="51"/>
  <c r="B7318" i="51"/>
  <c r="B7317" i="51"/>
  <c r="B7316" i="51"/>
  <c r="B7315" i="51"/>
  <c r="B7314" i="51"/>
  <c r="B7313" i="51"/>
  <c r="B7312" i="51"/>
  <c r="B7311" i="51"/>
  <c r="B7310" i="51"/>
  <c r="B7309" i="51"/>
  <c r="B7308" i="51"/>
  <c r="B7307" i="51"/>
  <c r="B7306" i="51"/>
  <c r="B7305" i="51"/>
  <c r="B7304" i="51"/>
  <c r="B7303" i="51"/>
  <c r="B7302" i="51"/>
  <c r="B7301" i="51"/>
  <c r="B7300" i="51"/>
  <c r="B7299" i="51"/>
  <c r="B7298" i="51"/>
  <c r="B7297" i="51"/>
  <c r="B7296" i="51"/>
  <c r="B7295" i="51"/>
  <c r="B7294" i="51"/>
  <c r="B7293" i="51"/>
  <c r="B7292" i="51"/>
  <c r="B7291" i="51"/>
  <c r="B7290" i="51"/>
  <c r="B7289" i="51"/>
  <c r="B7288" i="51"/>
  <c r="B7287" i="51"/>
  <c r="B7286" i="51"/>
  <c r="B7285" i="51"/>
  <c r="B7284" i="51"/>
  <c r="B7283" i="51"/>
  <c r="B7282" i="51"/>
  <c r="B7281" i="51"/>
  <c r="B7280" i="51"/>
  <c r="B7279" i="51"/>
  <c r="B7278" i="51"/>
  <c r="B7277" i="51"/>
  <c r="B7276" i="51"/>
  <c r="B7275" i="51"/>
  <c r="B7274" i="51"/>
  <c r="B7273" i="51"/>
  <c r="B7272" i="51"/>
  <c r="B7271" i="51"/>
  <c r="B7270" i="51"/>
  <c r="B7269" i="51"/>
  <c r="B7268" i="51"/>
  <c r="B7267" i="51"/>
  <c r="B7266" i="51"/>
  <c r="B7265" i="51"/>
  <c r="B7264" i="51"/>
  <c r="B7263" i="51"/>
  <c r="B7262" i="51"/>
  <c r="B7261" i="51"/>
  <c r="B7260" i="51"/>
  <c r="B7259" i="51"/>
  <c r="B7258" i="51"/>
  <c r="B7257" i="51"/>
  <c r="B7256" i="51"/>
  <c r="B7255" i="51"/>
  <c r="B7254" i="51"/>
  <c r="B7253" i="51"/>
  <c r="B7252" i="51"/>
  <c r="B7251" i="51"/>
  <c r="B7250" i="51"/>
  <c r="B7249" i="51"/>
  <c r="B7248" i="51"/>
  <c r="B7247" i="51"/>
  <c r="B7246" i="51"/>
  <c r="B7245" i="51"/>
  <c r="B7244" i="51"/>
  <c r="B7243" i="51"/>
  <c r="B7242" i="51"/>
  <c r="B7241" i="51"/>
  <c r="B7240" i="51"/>
  <c r="B7239" i="51"/>
  <c r="B7238" i="51"/>
  <c r="B7237" i="51"/>
  <c r="B7236" i="51"/>
  <c r="B7235" i="51"/>
  <c r="B7234" i="51"/>
  <c r="B7233" i="51"/>
  <c r="B7232" i="51"/>
  <c r="B7231" i="51"/>
  <c r="B7230" i="51"/>
  <c r="B7229" i="51"/>
  <c r="B7228" i="51"/>
  <c r="B7227" i="51"/>
  <c r="B7226" i="51"/>
  <c r="B7225" i="51"/>
  <c r="B7224" i="51"/>
  <c r="B7223" i="51"/>
  <c r="B7222" i="51"/>
  <c r="B7221" i="51"/>
  <c r="B7220" i="51"/>
  <c r="B7219" i="51"/>
  <c r="B7218" i="51"/>
  <c r="B7217" i="51"/>
  <c r="B7216" i="51"/>
  <c r="B7215" i="51"/>
  <c r="B7214" i="51"/>
  <c r="B7213" i="51"/>
  <c r="B7212" i="51"/>
  <c r="B7211" i="51"/>
  <c r="B7210" i="51"/>
  <c r="B7209" i="51"/>
  <c r="B7208" i="51"/>
  <c r="B7207" i="51"/>
  <c r="B7206" i="51"/>
  <c r="B7205" i="51"/>
  <c r="B7204" i="51"/>
  <c r="B7203" i="51"/>
  <c r="B7202" i="51"/>
  <c r="B7201" i="51"/>
  <c r="B7200" i="51"/>
  <c r="B7199" i="51"/>
  <c r="B7198" i="51"/>
  <c r="B7197" i="51"/>
  <c r="B7196" i="51"/>
  <c r="B7195" i="51"/>
  <c r="B7194" i="51"/>
  <c r="B7193" i="51"/>
  <c r="B7192" i="51"/>
  <c r="B7191" i="51"/>
  <c r="B7190" i="51"/>
  <c r="B7189" i="51"/>
  <c r="B7188" i="51"/>
  <c r="B7187" i="51"/>
  <c r="B7186" i="51"/>
  <c r="B7185" i="51"/>
  <c r="B7184" i="51"/>
  <c r="B7183" i="51"/>
  <c r="B7182" i="51"/>
  <c r="B7181" i="51"/>
  <c r="B7180" i="51"/>
  <c r="B7179" i="51"/>
  <c r="B7178" i="51"/>
  <c r="B7177" i="51"/>
  <c r="B7176" i="51"/>
  <c r="B7175" i="51"/>
  <c r="B7174" i="51"/>
  <c r="B7173" i="51"/>
  <c r="B7172" i="51"/>
  <c r="B7171" i="51"/>
  <c r="B7170" i="51"/>
  <c r="B7169" i="51"/>
  <c r="B7168" i="51"/>
  <c r="B7167" i="51"/>
  <c r="B7166" i="51"/>
  <c r="B7165" i="51"/>
  <c r="B7164" i="51"/>
  <c r="B7163" i="51"/>
  <c r="B7162" i="51"/>
  <c r="B7161" i="51"/>
  <c r="B7160" i="51"/>
  <c r="B7159" i="51"/>
  <c r="B7158" i="51"/>
  <c r="B7157" i="51"/>
  <c r="B7156" i="51"/>
  <c r="B7155" i="51"/>
  <c r="B7154" i="51"/>
  <c r="B7153" i="51"/>
  <c r="B7152" i="51"/>
  <c r="B7151" i="51"/>
  <c r="B7150" i="51"/>
  <c r="B7149" i="51"/>
  <c r="B7148" i="51"/>
  <c r="B7147" i="51"/>
  <c r="B7146" i="51"/>
  <c r="B7145" i="51"/>
  <c r="B7144" i="51"/>
  <c r="B7143" i="51"/>
  <c r="B7142" i="51"/>
  <c r="B7141" i="51"/>
  <c r="B7140" i="51"/>
  <c r="B7139" i="51"/>
  <c r="B7138" i="51"/>
  <c r="B7137" i="51"/>
  <c r="B7136" i="51"/>
  <c r="B7135" i="51"/>
  <c r="B7134" i="51"/>
  <c r="B7133" i="51"/>
  <c r="B7132" i="51"/>
  <c r="B7131" i="51"/>
  <c r="B7130" i="51"/>
  <c r="B7129" i="51"/>
  <c r="B7128" i="51"/>
  <c r="B7127" i="51"/>
  <c r="B7126" i="51"/>
  <c r="B7125" i="51"/>
  <c r="B7124" i="51"/>
  <c r="B7123" i="51"/>
  <c r="B7122" i="51"/>
  <c r="B7121" i="51"/>
  <c r="B7120" i="51"/>
  <c r="B7119" i="51"/>
  <c r="B7118" i="51"/>
  <c r="B7117" i="51"/>
  <c r="B7116" i="51"/>
  <c r="B7115" i="51"/>
  <c r="B7114" i="51"/>
  <c r="B7113" i="51"/>
  <c r="B7112" i="51"/>
  <c r="B7111" i="51"/>
  <c r="B7110" i="51"/>
  <c r="B7109" i="51"/>
  <c r="B7108" i="51"/>
  <c r="B7107" i="51"/>
  <c r="B7106" i="51"/>
  <c r="B7105" i="51"/>
  <c r="B7104" i="51"/>
  <c r="B7103" i="51"/>
  <c r="B7102" i="51"/>
  <c r="B7101" i="51"/>
  <c r="B7100" i="51"/>
  <c r="B7099" i="51"/>
  <c r="B7098" i="51"/>
  <c r="B7097" i="51"/>
  <c r="B7096" i="51"/>
  <c r="B7095" i="51"/>
  <c r="B7094" i="51"/>
  <c r="B7093" i="51"/>
  <c r="B7092" i="51"/>
  <c r="B7091" i="51"/>
  <c r="B7090" i="51"/>
  <c r="B7089" i="51"/>
  <c r="B7088" i="51"/>
  <c r="B7087" i="51"/>
  <c r="B7086" i="51"/>
  <c r="B7085" i="51"/>
  <c r="B7084" i="51"/>
  <c r="B7083" i="51"/>
  <c r="B7082" i="51"/>
  <c r="B7081" i="51"/>
  <c r="B7080" i="51"/>
  <c r="B7079" i="51"/>
  <c r="B7078" i="51"/>
  <c r="B7077" i="51"/>
  <c r="B7076" i="51"/>
  <c r="B7075" i="51"/>
  <c r="B7074" i="51"/>
  <c r="B7073" i="51"/>
  <c r="B7072" i="51"/>
  <c r="B7071" i="51"/>
  <c r="B7070" i="51"/>
  <c r="B7069" i="51"/>
  <c r="B7068" i="51"/>
  <c r="B7067" i="51"/>
  <c r="B7066" i="51"/>
  <c r="B7065" i="51"/>
  <c r="B7064" i="51"/>
  <c r="B7063" i="51"/>
  <c r="B7062" i="51"/>
  <c r="B7061" i="51"/>
  <c r="B7060" i="51"/>
  <c r="B7059" i="51"/>
  <c r="B7058" i="51"/>
  <c r="B7057" i="51"/>
  <c r="B7056" i="51"/>
  <c r="B7055" i="51"/>
  <c r="B7054" i="51"/>
  <c r="B7053" i="51"/>
  <c r="B7052" i="51"/>
  <c r="B7051" i="51"/>
  <c r="B7050" i="51"/>
  <c r="B7049" i="51"/>
  <c r="B7048" i="51"/>
  <c r="B7047" i="51"/>
  <c r="B7046" i="51"/>
  <c r="B7045" i="51"/>
  <c r="B7044" i="51"/>
  <c r="B7043" i="51"/>
  <c r="B7042" i="51"/>
  <c r="B7041" i="51"/>
  <c r="B7040" i="51"/>
  <c r="B7039" i="51"/>
  <c r="B7038" i="51"/>
  <c r="B7037" i="51"/>
  <c r="B7036" i="51"/>
  <c r="B7035" i="51"/>
  <c r="B7034" i="51"/>
  <c r="B7033" i="51"/>
  <c r="B7032" i="51"/>
  <c r="B7031" i="51"/>
  <c r="B7030" i="51"/>
  <c r="B7029" i="51"/>
  <c r="B7028" i="51"/>
  <c r="B7027" i="51"/>
  <c r="B7026" i="51"/>
  <c r="B7025" i="51"/>
  <c r="B7024" i="51"/>
  <c r="B7023" i="51"/>
  <c r="B7022" i="51"/>
  <c r="B7021" i="51"/>
  <c r="B7020" i="51"/>
  <c r="B7019" i="51"/>
  <c r="B7018" i="51"/>
  <c r="B7017" i="51"/>
  <c r="B7016" i="51"/>
  <c r="B7015" i="51"/>
  <c r="B7014" i="51"/>
  <c r="B7013" i="51"/>
  <c r="B7012" i="51"/>
  <c r="B7011" i="51"/>
  <c r="B7010" i="51"/>
  <c r="B7009" i="51"/>
  <c r="B7008" i="51"/>
  <c r="B7007" i="51"/>
  <c r="B7006" i="51"/>
  <c r="B7005" i="51"/>
  <c r="B7004" i="51"/>
  <c r="B7003" i="51"/>
  <c r="B7002" i="51"/>
  <c r="B7001" i="51"/>
  <c r="B7000" i="51"/>
  <c r="B6999" i="51"/>
  <c r="B6998" i="51"/>
  <c r="B6997" i="51"/>
  <c r="B6996" i="51"/>
  <c r="B6995" i="51"/>
  <c r="B6994" i="51"/>
  <c r="B6993" i="51"/>
  <c r="B6992" i="51"/>
  <c r="B6991" i="51"/>
  <c r="B6990" i="51"/>
  <c r="B6989" i="51"/>
  <c r="B6988" i="51"/>
  <c r="B6987" i="51"/>
  <c r="B6986" i="51"/>
  <c r="B6985" i="51"/>
  <c r="B6984" i="51"/>
  <c r="B6983" i="51"/>
  <c r="B6982" i="51"/>
  <c r="B6981" i="51"/>
  <c r="B6980" i="51"/>
  <c r="B6979" i="51"/>
  <c r="B6978" i="51"/>
  <c r="B6977" i="51"/>
  <c r="B6976" i="51"/>
  <c r="B6975" i="51"/>
  <c r="B6974" i="51"/>
  <c r="B6973" i="51"/>
  <c r="B6972" i="51"/>
  <c r="B6971" i="51"/>
  <c r="B6970" i="51"/>
  <c r="B6969" i="51"/>
  <c r="B6968" i="51"/>
  <c r="B6967" i="51"/>
  <c r="B6966" i="51"/>
  <c r="B6965" i="51"/>
  <c r="B6964" i="51"/>
  <c r="B6963" i="51"/>
  <c r="B6962" i="51"/>
  <c r="B6961" i="51"/>
  <c r="B6960" i="51"/>
  <c r="B6959" i="51"/>
  <c r="B6958" i="51"/>
  <c r="B6957" i="51"/>
  <c r="B6956" i="51"/>
  <c r="B6955" i="51"/>
  <c r="B6954" i="51"/>
  <c r="B6953" i="51"/>
  <c r="B6952" i="51"/>
  <c r="B6951" i="51"/>
  <c r="B6950" i="51"/>
  <c r="B6949" i="51"/>
  <c r="B6948" i="51"/>
  <c r="B6947" i="51"/>
  <c r="B6946" i="51"/>
  <c r="B6945" i="51"/>
  <c r="B6944" i="51"/>
  <c r="B6943" i="51"/>
  <c r="B6942" i="51"/>
  <c r="B6941" i="51"/>
  <c r="B6940" i="51"/>
  <c r="B6939" i="51"/>
  <c r="B6938" i="51"/>
  <c r="B6937" i="51"/>
  <c r="B6936" i="51"/>
  <c r="B6935" i="51"/>
  <c r="B6934" i="51"/>
  <c r="B6933" i="51"/>
  <c r="B6932" i="51"/>
  <c r="B6931" i="51"/>
  <c r="B6930" i="51"/>
  <c r="B6929" i="51"/>
  <c r="B6928" i="51"/>
  <c r="B6927" i="51"/>
  <c r="B6926" i="51"/>
  <c r="B6925" i="51"/>
  <c r="B6924" i="51"/>
  <c r="B6923" i="51"/>
  <c r="B6922" i="51"/>
  <c r="B6921" i="51"/>
  <c r="B6920" i="51"/>
  <c r="B6919" i="51"/>
  <c r="B6918" i="51"/>
  <c r="B6917" i="51"/>
  <c r="B6916" i="51"/>
  <c r="B6915" i="51"/>
  <c r="B6914" i="51"/>
  <c r="B6913" i="51"/>
  <c r="B6912" i="51"/>
  <c r="B6911" i="51"/>
  <c r="B6910" i="51"/>
  <c r="B6909" i="51"/>
  <c r="B6908" i="51"/>
  <c r="B6907" i="51"/>
  <c r="B6906" i="51"/>
  <c r="B6905" i="51"/>
  <c r="B6904" i="51"/>
  <c r="B6903" i="51"/>
  <c r="B6902" i="51"/>
  <c r="B6901" i="51"/>
  <c r="B6900" i="51"/>
  <c r="B6899" i="51"/>
  <c r="B6898" i="51"/>
  <c r="B6897" i="51"/>
  <c r="B6896" i="51"/>
  <c r="B6895" i="51"/>
  <c r="B6894" i="51"/>
  <c r="B6893" i="51"/>
  <c r="B6892" i="51"/>
  <c r="B6891" i="51"/>
  <c r="B6890" i="51"/>
  <c r="B6889" i="51"/>
  <c r="B6888" i="51"/>
  <c r="B6887" i="51"/>
  <c r="B6886" i="51"/>
  <c r="B6885" i="51"/>
  <c r="B6884" i="51"/>
  <c r="B6883" i="51"/>
  <c r="B6882" i="51"/>
  <c r="B6881" i="51"/>
  <c r="B6880" i="51"/>
  <c r="B6879" i="51"/>
  <c r="B6878" i="51"/>
  <c r="B6877" i="51"/>
  <c r="B6876" i="51"/>
  <c r="B6875" i="51"/>
  <c r="B6874" i="51"/>
  <c r="B6873" i="51"/>
  <c r="B6872" i="51"/>
  <c r="B6871" i="51"/>
  <c r="B6870" i="51"/>
  <c r="B6869" i="51"/>
  <c r="B6868" i="51"/>
  <c r="B6867" i="51"/>
  <c r="B6866" i="51"/>
  <c r="B6865" i="51"/>
  <c r="B6864" i="51"/>
  <c r="B6863" i="51"/>
  <c r="B6862" i="51"/>
  <c r="B6861" i="51"/>
  <c r="B6860" i="51"/>
  <c r="B6859" i="51"/>
  <c r="B6858" i="51"/>
  <c r="B6857" i="51"/>
  <c r="B6856" i="51"/>
  <c r="B6855" i="51"/>
  <c r="B6854" i="51"/>
  <c r="B6853" i="51"/>
  <c r="B6852" i="51"/>
  <c r="B6851" i="51"/>
  <c r="B6850" i="51"/>
  <c r="B6849" i="51"/>
  <c r="B6848" i="51"/>
  <c r="B6847" i="51"/>
  <c r="B6846" i="51"/>
  <c r="B6845" i="51"/>
  <c r="B6844" i="51"/>
  <c r="B6843" i="51"/>
  <c r="B6842" i="51"/>
  <c r="B6841" i="51"/>
  <c r="B6840" i="51"/>
  <c r="B6839" i="51"/>
  <c r="B6838" i="51"/>
  <c r="B6837" i="51"/>
  <c r="B6836" i="51"/>
  <c r="B6835" i="51"/>
  <c r="B6834" i="51"/>
  <c r="B6833" i="51"/>
  <c r="B6832" i="51"/>
  <c r="B6831" i="51"/>
  <c r="B6830" i="51"/>
  <c r="B6829" i="51"/>
  <c r="B6828" i="51"/>
  <c r="B6827" i="51"/>
  <c r="B6826" i="51"/>
  <c r="B6825" i="51"/>
  <c r="B6824" i="51"/>
  <c r="B6823" i="51"/>
  <c r="B6822" i="51"/>
  <c r="B6821" i="51"/>
  <c r="B6820" i="51"/>
  <c r="B6819" i="51"/>
  <c r="B6818" i="51"/>
  <c r="B6817" i="51"/>
  <c r="B6816" i="51"/>
  <c r="B6815" i="51"/>
  <c r="B6814" i="51"/>
  <c r="B6813" i="51"/>
  <c r="B6812" i="51"/>
  <c r="B6811" i="51"/>
  <c r="B6810" i="51"/>
  <c r="B6809" i="51"/>
  <c r="B6808" i="51"/>
  <c r="B6807" i="51"/>
  <c r="B6806" i="51"/>
  <c r="B6805" i="51"/>
  <c r="B6804" i="51"/>
  <c r="B6803" i="51"/>
  <c r="B6802" i="51"/>
  <c r="B6801" i="51"/>
  <c r="B6800" i="51"/>
  <c r="B6799" i="51"/>
  <c r="B6798" i="51"/>
  <c r="B6797" i="51"/>
  <c r="B6796" i="51"/>
  <c r="B6795" i="51"/>
  <c r="B6794" i="51"/>
  <c r="B6793" i="51"/>
  <c r="B6792" i="51"/>
  <c r="B6791" i="51"/>
  <c r="B6790" i="51"/>
  <c r="B6789" i="51"/>
  <c r="B6788" i="51"/>
  <c r="B6787" i="51"/>
  <c r="B6786" i="51"/>
  <c r="B6785" i="51"/>
  <c r="B6784" i="51"/>
  <c r="B6783" i="51"/>
  <c r="B6782" i="51"/>
  <c r="B6781" i="51"/>
  <c r="B6780" i="51"/>
  <c r="B6779" i="51"/>
  <c r="B6778" i="51"/>
  <c r="B6777" i="51"/>
  <c r="B6776" i="51"/>
  <c r="B6775" i="51"/>
  <c r="B6774" i="51"/>
  <c r="B6773" i="51"/>
  <c r="B6772" i="51"/>
  <c r="B6771" i="51"/>
  <c r="B6770" i="51"/>
  <c r="B6769" i="51"/>
  <c r="B6768" i="51"/>
  <c r="B6767" i="51"/>
  <c r="B6766" i="51"/>
  <c r="B6765" i="51"/>
  <c r="B6764" i="51"/>
  <c r="B6763" i="51"/>
  <c r="B6762" i="51"/>
  <c r="B6761" i="51"/>
  <c r="B6760" i="51"/>
  <c r="B6759" i="51"/>
  <c r="B6758" i="51"/>
  <c r="B6757" i="51"/>
  <c r="B6756" i="51"/>
  <c r="B6755" i="51"/>
  <c r="B6754" i="51"/>
  <c r="B6753" i="51"/>
  <c r="B6752" i="51"/>
  <c r="B6751" i="51"/>
  <c r="B6750" i="51"/>
  <c r="B6749" i="51"/>
  <c r="B6748" i="51"/>
  <c r="B6747" i="51"/>
  <c r="B6746" i="51"/>
  <c r="B6745" i="51"/>
  <c r="B6744" i="51"/>
  <c r="B6743" i="51"/>
  <c r="B6742" i="51"/>
  <c r="B6741" i="51"/>
  <c r="B6740" i="51"/>
  <c r="B6739" i="51"/>
  <c r="B6738" i="51"/>
  <c r="B6737" i="51"/>
  <c r="B6736" i="51"/>
  <c r="B6735" i="51"/>
  <c r="B6734" i="51"/>
  <c r="B6733" i="51"/>
  <c r="B6732" i="51"/>
  <c r="B6731" i="51"/>
  <c r="B6730" i="51"/>
  <c r="B6729" i="51"/>
  <c r="B6728" i="51"/>
  <c r="B6727" i="51"/>
  <c r="B6726" i="51"/>
  <c r="B6725" i="51"/>
  <c r="B6724" i="51"/>
  <c r="B6723" i="51"/>
  <c r="B6722" i="51"/>
  <c r="B6721" i="51"/>
  <c r="B6720" i="51"/>
  <c r="B6719" i="51"/>
  <c r="B6718" i="51"/>
  <c r="B6717" i="51"/>
  <c r="B6716" i="51"/>
  <c r="B6715" i="51"/>
  <c r="B6714" i="51"/>
  <c r="B6713" i="51"/>
  <c r="B6712" i="51"/>
  <c r="B6711" i="51"/>
  <c r="B6710" i="51"/>
  <c r="B6709" i="51"/>
  <c r="B6708" i="51"/>
  <c r="B6707" i="51"/>
  <c r="B6706" i="51"/>
  <c r="B6705" i="51"/>
  <c r="B6704" i="51"/>
  <c r="B6703" i="51"/>
  <c r="B6702" i="51"/>
  <c r="B6701" i="51"/>
  <c r="B6700" i="51"/>
  <c r="B6699" i="51"/>
  <c r="B6698" i="51"/>
  <c r="B6697" i="51"/>
  <c r="B6696" i="51"/>
  <c r="B6695" i="51"/>
  <c r="B6694" i="51"/>
  <c r="B6693" i="51"/>
  <c r="B6692" i="51"/>
  <c r="B6691" i="51"/>
  <c r="B6690" i="51"/>
  <c r="B6689" i="51"/>
  <c r="B6688" i="51"/>
  <c r="B6687" i="51"/>
  <c r="B6686" i="51"/>
  <c r="B6685" i="51"/>
  <c r="B6684" i="51"/>
  <c r="B6683" i="51"/>
  <c r="B6682" i="51"/>
  <c r="B6681" i="51"/>
  <c r="B6680" i="51"/>
  <c r="B6679" i="51"/>
  <c r="B6678" i="51"/>
  <c r="B6677" i="51"/>
  <c r="B6676" i="51"/>
  <c r="B6675" i="51"/>
  <c r="B6674" i="51"/>
  <c r="B6673" i="51"/>
  <c r="B6672" i="51"/>
  <c r="B6671" i="51"/>
  <c r="B6670" i="51"/>
  <c r="B6669" i="51"/>
  <c r="B6668" i="51"/>
  <c r="B6667" i="51"/>
  <c r="B6666" i="51"/>
  <c r="B6665" i="51"/>
  <c r="B6664" i="51"/>
  <c r="B6663" i="51"/>
  <c r="B6662" i="51"/>
  <c r="B6661" i="51"/>
  <c r="B6660" i="51"/>
  <c r="B6659" i="51"/>
  <c r="B6658" i="51"/>
  <c r="B6657" i="51"/>
  <c r="B6656" i="51"/>
  <c r="B6655" i="51"/>
  <c r="B6654" i="51"/>
  <c r="B6653" i="51"/>
  <c r="B6652" i="51"/>
  <c r="B6651" i="51"/>
  <c r="B6650" i="51"/>
  <c r="B6649" i="51"/>
  <c r="B6648" i="51"/>
  <c r="B6647" i="51"/>
  <c r="B6646" i="51"/>
  <c r="B6645" i="51"/>
  <c r="B6644" i="51"/>
  <c r="B6643" i="51"/>
  <c r="B6642" i="51"/>
  <c r="B6641" i="51"/>
  <c r="B6640" i="51"/>
  <c r="B6639" i="51"/>
  <c r="B6638" i="51"/>
  <c r="B6637" i="51"/>
  <c r="B6636" i="51"/>
  <c r="B6635" i="51"/>
  <c r="B6634" i="51"/>
  <c r="B6633" i="51"/>
  <c r="B6632" i="51"/>
  <c r="B6631" i="51"/>
  <c r="B6630" i="51"/>
  <c r="B6629" i="51"/>
  <c r="B6628" i="51"/>
  <c r="B6627" i="51"/>
  <c r="B6626" i="51"/>
  <c r="B6625" i="51"/>
  <c r="B6624" i="51"/>
  <c r="B6623" i="51"/>
  <c r="B6622" i="51"/>
  <c r="B6621" i="51"/>
  <c r="B6620" i="51"/>
  <c r="B6619" i="51"/>
  <c r="B6618" i="51"/>
  <c r="B6617" i="51"/>
  <c r="B6616" i="51"/>
  <c r="B6615" i="51"/>
  <c r="B6614" i="51"/>
  <c r="B6613" i="51"/>
  <c r="B6612" i="51"/>
  <c r="B6611" i="51"/>
  <c r="B6610" i="51"/>
  <c r="B6609" i="51"/>
  <c r="B6608" i="51"/>
  <c r="B6607" i="51"/>
  <c r="B6606" i="51"/>
  <c r="B6605" i="51"/>
  <c r="B6604" i="51"/>
  <c r="B6603" i="51"/>
  <c r="B6602" i="51"/>
  <c r="B6601" i="51"/>
  <c r="B6600" i="51"/>
  <c r="B6599" i="51"/>
  <c r="B6598" i="51"/>
  <c r="B6597" i="51"/>
  <c r="B6596" i="51"/>
  <c r="B6595" i="51"/>
  <c r="B6594" i="51"/>
  <c r="B6593" i="51"/>
  <c r="B6592" i="51"/>
  <c r="B6591" i="51"/>
  <c r="B6590" i="51"/>
  <c r="B6589" i="51"/>
  <c r="B6588" i="51"/>
  <c r="B6587" i="51"/>
  <c r="B6586" i="51"/>
  <c r="B6585" i="51"/>
  <c r="B6584" i="51"/>
  <c r="B6583" i="51"/>
  <c r="B6582" i="51"/>
  <c r="B6581" i="51"/>
  <c r="B6580" i="51"/>
  <c r="B6579" i="51"/>
  <c r="B6578" i="51"/>
  <c r="B6577" i="51"/>
  <c r="B6576" i="51"/>
  <c r="B6575" i="51"/>
  <c r="B6574" i="51"/>
  <c r="B6573" i="51"/>
  <c r="B6572" i="51"/>
  <c r="B6571" i="51"/>
  <c r="B6570" i="51"/>
  <c r="B6569" i="51"/>
  <c r="B6568" i="51"/>
  <c r="B6567" i="51"/>
  <c r="B6566" i="51"/>
  <c r="B6565" i="51"/>
  <c r="B6564" i="51"/>
  <c r="B6563" i="51"/>
  <c r="B6562" i="51"/>
  <c r="B6561" i="51"/>
  <c r="B6560" i="51"/>
  <c r="B6559" i="51"/>
  <c r="B6558" i="51"/>
  <c r="B6557" i="51"/>
  <c r="B6556" i="51"/>
  <c r="B6555" i="51"/>
  <c r="B6554" i="51"/>
  <c r="B6553" i="51"/>
  <c r="B6552" i="51"/>
  <c r="B6551" i="51"/>
  <c r="B6550" i="51"/>
  <c r="B6549" i="51"/>
  <c r="B6548" i="51"/>
  <c r="B6547" i="51"/>
  <c r="B6546" i="51"/>
  <c r="B6545" i="51"/>
  <c r="B6544" i="51"/>
  <c r="B6543" i="51"/>
  <c r="B6542" i="51"/>
  <c r="B6541" i="51"/>
  <c r="B6540" i="51"/>
  <c r="B6539" i="51"/>
  <c r="B6538" i="51"/>
  <c r="B6537" i="51"/>
  <c r="B6536" i="51"/>
  <c r="B6535" i="51"/>
  <c r="B6534" i="51"/>
  <c r="B6533" i="51"/>
  <c r="B6532" i="51"/>
  <c r="B6531" i="51"/>
  <c r="B6530" i="51"/>
  <c r="B6529" i="51"/>
  <c r="B6528" i="51"/>
  <c r="B6527" i="51"/>
  <c r="B6526" i="51"/>
  <c r="B6525" i="51"/>
  <c r="B6524" i="51"/>
  <c r="B6523" i="51"/>
  <c r="B6522" i="51"/>
  <c r="B6521" i="51"/>
  <c r="B6520" i="51"/>
  <c r="B6519" i="51"/>
  <c r="B6518" i="51"/>
  <c r="B6517" i="51"/>
  <c r="B6516" i="51"/>
  <c r="B6515" i="51"/>
  <c r="B6514" i="51"/>
  <c r="B6513" i="51"/>
  <c r="B6512" i="51"/>
  <c r="B6511" i="51"/>
  <c r="B6510" i="51"/>
  <c r="B6509" i="51"/>
  <c r="B6508" i="51"/>
  <c r="B6507" i="51"/>
  <c r="B6506" i="51"/>
  <c r="B6505" i="51"/>
  <c r="B6504" i="51"/>
  <c r="B6503" i="51"/>
  <c r="B6502" i="51"/>
  <c r="B6501" i="51"/>
  <c r="B6500" i="51"/>
  <c r="B6499" i="51"/>
  <c r="B6498" i="51"/>
  <c r="B6497" i="51"/>
  <c r="B6496" i="51"/>
  <c r="B6495" i="51"/>
  <c r="B6494" i="51"/>
  <c r="B6493" i="51"/>
  <c r="B6492" i="51"/>
  <c r="B6491" i="51"/>
  <c r="B6490" i="51"/>
  <c r="B6489" i="51"/>
  <c r="B6488" i="51"/>
  <c r="B6487" i="51"/>
  <c r="B6486" i="51"/>
  <c r="B6485" i="51"/>
  <c r="B6484" i="51"/>
  <c r="B6483" i="51"/>
  <c r="B6482" i="51"/>
  <c r="B6481" i="51"/>
  <c r="B6480" i="51"/>
  <c r="B6479" i="51"/>
  <c r="B6478" i="51"/>
  <c r="B6477" i="51"/>
  <c r="B6476" i="51"/>
  <c r="B6475" i="51"/>
  <c r="B6474" i="51"/>
  <c r="B6473" i="51"/>
  <c r="B6472" i="51"/>
  <c r="B6471" i="51"/>
  <c r="B6470" i="51"/>
  <c r="B6469" i="51"/>
  <c r="B6468" i="51"/>
  <c r="B6467" i="51"/>
  <c r="B6466" i="51"/>
  <c r="B6465" i="51"/>
  <c r="B6464" i="51"/>
  <c r="B6463" i="51"/>
  <c r="B6462" i="51"/>
  <c r="B6461" i="51"/>
  <c r="B6460" i="51"/>
  <c r="B6459" i="51"/>
  <c r="B6458" i="51"/>
  <c r="B6457" i="51"/>
  <c r="B6456" i="51"/>
  <c r="B6455" i="51"/>
  <c r="B6454" i="51"/>
  <c r="B6453" i="51"/>
  <c r="B6452" i="51"/>
  <c r="B6451" i="51"/>
  <c r="B6450" i="51"/>
  <c r="B6449" i="51"/>
  <c r="B6448" i="51"/>
  <c r="B6447" i="51"/>
  <c r="B6446" i="51"/>
  <c r="B6445" i="51"/>
  <c r="B6444" i="51"/>
  <c r="B6443" i="51"/>
  <c r="B6442" i="51"/>
  <c r="B6441" i="51"/>
  <c r="B6440" i="51"/>
  <c r="B6439" i="51"/>
  <c r="B6438" i="51"/>
  <c r="B6437" i="51"/>
  <c r="B6436" i="51"/>
  <c r="B6435" i="51"/>
  <c r="B6434" i="51"/>
  <c r="B6433" i="51"/>
  <c r="B6432" i="51"/>
  <c r="B6431" i="51"/>
  <c r="B6430" i="51"/>
  <c r="B6429" i="51"/>
  <c r="B6428" i="51"/>
  <c r="B6427" i="51"/>
  <c r="B6426" i="51"/>
  <c r="B6425" i="51"/>
  <c r="B6424" i="51"/>
  <c r="B6423" i="51"/>
  <c r="B6422" i="51"/>
  <c r="B6421" i="51"/>
  <c r="B6420" i="51"/>
  <c r="B6419" i="51"/>
  <c r="B6418" i="51"/>
  <c r="B6417" i="51"/>
  <c r="B6416" i="51"/>
  <c r="B6415" i="51"/>
  <c r="B6414" i="51"/>
  <c r="B6413" i="51"/>
  <c r="B6412" i="51"/>
  <c r="B6411" i="51"/>
  <c r="B6410" i="51"/>
  <c r="B6409" i="51"/>
  <c r="B6408" i="51"/>
  <c r="B6407" i="51"/>
  <c r="B6406" i="51"/>
  <c r="B6405" i="51"/>
  <c r="B6404" i="51"/>
  <c r="B6403" i="51"/>
  <c r="B6402" i="51"/>
  <c r="B6401" i="51"/>
  <c r="B6400" i="51"/>
  <c r="B6399" i="51"/>
  <c r="B6398" i="51"/>
  <c r="B6397" i="51"/>
  <c r="B6396" i="51"/>
  <c r="B6395" i="51"/>
  <c r="B6394" i="51"/>
  <c r="B6393" i="51"/>
  <c r="B6392" i="51"/>
  <c r="B6391" i="51"/>
  <c r="B6390" i="51"/>
  <c r="B6389" i="51"/>
  <c r="B6388" i="51"/>
  <c r="B6387" i="51"/>
  <c r="B6386" i="51"/>
  <c r="B6385" i="51"/>
  <c r="B6384" i="51"/>
  <c r="B6383" i="51"/>
  <c r="B6382" i="51"/>
  <c r="B6381" i="51"/>
  <c r="B6380" i="51"/>
  <c r="B6379" i="51"/>
  <c r="B6378" i="51"/>
  <c r="B6377" i="51"/>
  <c r="B6376" i="51"/>
  <c r="B6375" i="51"/>
  <c r="B6374" i="51"/>
  <c r="B6373" i="51"/>
  <c r="B6372" i="51"/>
  <c r="B6371" i="51"/>
  <c r="B6370" i="51"/>
  <c r="B6369" i="51"/>
  <c r="B6368" i="51"/>
  <c r="B6367" i="51"/>
  <c r="B6366" i="51"/>
  <c r="B6365" i="51"/>
  <c r="B6364" i="51"/>
  <c r="B6363" i="51"/>
  <c r="B6362" i="51"/>
  <c r="B6361" i="51"/>
  <c r="B6360" i="51"/>
  <c r="B6359" i="51"/>
  <c r="B6358" i="51"/>
  <c r="B6357" i="51"/>
  <c r="B6356" i="51"/>
  <c r="B6355" i="51"/>
  <c r="B6354" i="51"/>
  <c r="B6353" i="51"/>
  <c r="B6352" i="51"/>
  <c r="B6351" i="51"/>
  <c r="B6350" i="51"/>
  <c r="B6349" i="51"/>
  <c r="B6348" i="51"/>
  <c r="B6347" i="51"/>
  <c r="B6346" i="51"/>
  <c r="B6345" i="51"/>
  <c r="B6344" i="51"/>
  <c r="B6343" i="51"/>
  <c r="B6342" i="51"/>
  <c r="B6341" i="51"/>
  <c r="B6340" i="51"/>
  <c r="B6339" i="51"/>
  <c r="B6338" i="51"/>
  <c r="B6337" i="51"/>
  <c r="B6336" i="51"/>
  <c r="B6335" i="51"/>
  <c r="B6334" i="51"/>
  <c r="B6333" i="51"/>
  <c r="B6332" i="51"/>
  <c r="B6331" i="51"/>
  <c r="B6330" i="51"/>
  <c r="B6329" i="51"/>
  <c r="B6328" i="51"/>
  <c r="B6327" i="51"/>
  <c r="B6326" i="51"/>
  <c r="B6325" i="51"/>
  <c r="B6324" i="51"/>
  <c r="B6323" i="51"/>
  <c r="B6322" i="51"/>
  <c r="B6321" i="51"/>
  <c r="B6320" i="51"/>
  <c r="B6319" i="51"/>
  <c r="B6318" i="51"/>
  <c r="B6317" i="51"/>
  <c r="B6316" i="51"/>
  <c r="B6315" i="51"/>
  <c r="B6314" i="51"/>
  <c r="B6313" i="51"/>
  <c r="B6312" i="51"/>
  <c r="B6311" i="51"/>
  <c r="B6310" i="51"/>
  <c r="B6309" i="51"/>
  <c r="B6308" i="51"/>
  <c r="B6307" i="51"/>
  <c r="B6306" i="51"/>
  <c r="B6305" i="51"/>
  <c r="B6304" i="51"/>
  <c r="B6303" i="51"/>
  <c r="B6302" i="51"/>
  <c r="B6301" i="51"/>
  <c r="B6300" i="51"/>
  <c r="B6299" i="51"/>
  <c r="B6298" i="51"/>
  <c r="B6297" i="51"/>
  <c r="B6296" i="51"/>
  <c r="B6295" i="51"/>
  <c r="B6294" i="51"/>
  <c r="B6293" i="51"/>
  <c r="B6292" i="51"/>
  <c r="B6291" i="51"/>
  <c r="B6290" i="51"/>
  <c r="B6289" i="51"/>
  <c r="B6288" i="51"/>
  <c r="B6287" i="51"/>
  <c r="B6286" i="51"/>
  <c r="B6285" i="51"/>
  <c r="B6284" i="51"/>
  <c r="B6283" i="51"/>
  <c r="B6282" i="51"/>
  <c r="B6281" i="51"/>
  <c r="B6280" i="51"/>
  <c r="B6279" i="51"/>
  <c r="B6278" i="51"/>
  <c r="B6277" i="51"/>
  <c r="B6276" i="51"/>
  <c r="B6275" i="51"/>
  <c r="B6274" i="51"/>
  <c r="B6273" i="51"/>
  <c r="B6272" i="51"/>
  <c r="B6271" i="51"/>
  <c r="B6270" i="51"/>
  <c r="B6269" i="51"/>
  <c r="B6268" i="51"/>
  <c r="B6267" i="51"/>
  <c r="B6266" i="51"/>
  <c r="B6265" i="51"/>
  <c r="B6264" i="51"/>
  <c r="B6263" i="51"/>
  <c r="B6262" i="51"/>
  <c r="B6261" i="51"/>
  <c r="B6260" i="51"/>
  <c r="B6259" i="51"/>
  <c r="B6258" i="51"/>
  <c r="B6257" i="51"/>
  <c r="B6256" i="51"/>
  <c r="B6255" i="51"/>
  <c r="B6254" i="51"/>
  <c r="B6253" i="51"/>
  <c r="B6252" i="51"/>
  <c r="B6251" i="51"/>
  <c r="B6250" i="51"/>
  <c r="B6249" i="51"/>
  <c r="B6248" i="51"/>
  <c r="B6247" i="51"/>
  <c r="B6246" i="51"/>
  <c r="B6245" i="51"/>
  <c r="B6244" i="51"/>
  <c r="B6243" i="51"/>
  <c r="B6242" i="51"/>
  <c r="B6241" i="51"/>
  <c r="B6240" i="51"/>
  <c r="B6239" i="51"/>
  <c r="B6238" i="51"/>
  <c r="B6237" i="51"/>
  <c r="B6236" i="51"/>
  <c r="B6235" i="51"/>
  <c r="B6234" i="51"/>
  <c r="B6233" i="51"/>
  <c r="B6232" i="51"/>
  <c r="B6231" i="51"/>
  <c r="B6230" i="51"/>
  <c r="B6229" i="51"/>
  <c r="B6228" i="51"/>
  <c r="B6227" i="51"/>
  <c r="B6226" i="51"/>
  <c r="B6225" i="51"/>
  <c r="B6224" i="51"/>
  <c r="B6223" i="51"/>
  <c r="B6222" i="51"/>
  <c r="B6221" i="51"/>
  <c r="B6220" i="51"/>
  <c r="B6219" i="51"/>
  <c r="B6218" i="51"/>
  <c r="B6217" i="51"/>
  <c r="B6216" i="51"/>
  <c r="B6215" i="51"/>
  <c r="B6214" i="51"/>
  <c r="B6213" i="51"/>
  <c r="B6212" i="51"/>
  <c r="B6211" i="51"/>
  <c r="B6210" i="51"/>
  <c r="B6209" i="51"/>
  <c r="B6208" i="51"/>
  <c r="B6207" i="51"/>
  <c r="B6206" i="51"/>
  <c r="B6205" i="51"/>
  <c r="B6204" i="51"/>
  <c r="B6203" i="51"/>
  <c r="B6202" i="51"/>
  <c r="B6201" i="51"/>
  <c r="B6200" i="51"/>
  <c r="B6199" i="51"/>
  <c r="B6198" i="51"/>
  <c r="B6197" i="51"/>
  <c r="B6196" i="51"/>
  <c r="B6195" i="51"/>
  <c r="B6194" i="51"/>
  <c r="B6193" i="51"/>
  <c r="B6192" i="51"/>
  <c r="B6191" i="51"/>
  <c r="B6190" i="51"/>
  <c r="B6189" i="51"/>
  <c r="B6188" i="51"/>
  <c r="B6187" i="51"/>
  <c r="B6186" i="51"/>
  <c r="B6185" i="51"/>
  <c r="B6184" i="51"/>
  <c r="B6183" i="51"/>
  <c r="B6182" i="51"/>
  <c r="B6181" i="51"/>
  <c r="B6180" i="51"/>
  <c r="B6179" i="51"/>
  <c r="B6178" i="51"/>
  <c r="B6177" i="51"/>
  <c r="B6176" i="51"/>
  <c r="B6175" i="51"/>
  <c r="B6174" i="51"/>
  <c r="B6173" i="51"/>
  <c r="B6172" i="51"/>
  <c r="B6171" i="51"/>
  <c r="B6170" i="51"/>
  <c r="B6169" i="51"/>
  <c r="B6168" i="51"/>
  <c r="B6167" i="51"/>
  <c r="B6166" i="51"/>
  <c r="B6165" i="51"/>
  <c r="B6164" i="51"/>
  <c r="B6163" i="51"/>
  <c r="B6162" i="51"/>
  <c r="B6161" i="51"/>
  <c r="B6160" i="51"/>
  <c r="B6159" i="51"/>
  <c r="B6158" i="51"/>
  <c r="B6157" i="51"/>
  <c r="B6156" i="51"/>
  <c r="B6155" i="51"/>
  <c r="B6154" i="51"/>
  <c r="B6153" i="51"/>
  <c r="B6152" i="51"/>
  <c r="B6151" i="51"/>
  <c r="B6150" i="51"/>
  <c r="B6149" i="51"/>
  <c r="B6148" i="51"/>
  <c r="B6147" i="51"/>
  <c r="B6146" i="51"/>
  <c r="B6145" i="51"/>
  <c r="B6144" i="51"/>
  <c r="B6143" i="51"/>
  <c r="B6142" i="51"/>
  <c r="B6141" i="51"/>
  <c r="B6140" i="51"/>
  <c r="B6139" i="51"/>
  <c r="B6138" i="51"/>
  <c r="B6137" i="51"/>
  <c r="B6136" i="51"/>
  <c r="B6135" i="51"/>
  <c r="B6134" i="51"/>
  <c r="B6133" i="51"/>
  <c r="B6132" i="51"/>
  <c r="B6131" i="51"/>
  <c r="B6130" i="51"/>
  <c r="B6129" i="51"/>
  <c r="B6128" i="51"/>
  <c r="B6127" i="51"/>
  <c r="B6126" i="51"/>
  <c r="B6125" i="51"/>
  <c r="B6124" i="51"/>
  <c r="B6123" i="51"/>
  <c r="B6122" i="51"/>
  <c r="B6121" i="51"/>
  <c r="B6120" i="51"/>
  <c r="B6119" i="51"/>
  <c r="B6118" i="51"/>
  <c r="B6117" i="51"/>
  <c r="B6116" i="51"/>
  <c r="B6115" i="51"/>
  <c r="B6114" i="51"/>
  <c r="B6113" i="51"/>
  <c r="B6112" i="51"/>
  <c r="B6111" i="51"/>
  <c r="B6110" i="51"/>
  <c r="B6109" i="51"/>
  <c r="B6108" i="51"/>
  <c r="B6107" i="51"/>
  <c r="B6106" i="51"/>
  <c r="B6105" i="51"/>
  <c r="B6104" i="51"/>
  <c r="B6103" i="51"/>
  <c r="B6102" i="51"/>
  <c r="B6101" i="51"/>
  <c r="B6100" i="51"/>
  <c r="B6099" i="51"/>
  <c r="B6098" i="51"/>
  <c r="B6097" i="51"/>
  <c r="B6096" i="51"/>
  <c r="B6095" i="51"/>
  <c r="B6094" i="51"/>
  <c r="B6093" i="51"/>
  <c r="B6092" i="51"/>
  <c r="B6091" i="51"/>
  <c r="B6090" i="51"/>
  <c r="B6089" i="51"/>
  <c r="B6088" i="51"/>
  <c r="B6087" i="51"/>
  <c r="B6086" i="51"/>
  <c r="B6085" i="51"/>
  <c r="B6084" i="51"/>
  <c r="B6083" i="51"/>
  <c r="B6082" i="51"/>
  <c r="B6081" i="51"/>
  <c r="B6080" i="51"/>
  <c r="B6079" i="51"/>
  <c r="B6078" i="51"/>
  <c r="B6077" i="51"/>
  <c r="B6076" i="51"/>
  <c r="B6075" i="51"/>
  <c r="B6074" i="51"/>
  <c r="B6073" i="51"/>
  <c r="B6072" i="51"/>
  <c r="B6071" i="51"/>
  <c r="B6070" i="51"/>
  <c r="B6069" i="51"/>
  <c r="B6068" i="51"/>
  <c r="B6067" i="51"/>
  <c r="B6066" i="51"/>
  <c r="B6065" i="51"/>
  <c r="B6064" i="51"/>
  <c r="B6063" i="51"/>
  <c r="B6062" i="51"/>
  <c r="B6061" i="51"/>
  <c r="B6060" i="51"/>
  <c r="B6059" i="51"/>
  <c r="B6058" i="51"/>
  <c r="B6057" i="51"/>
  <c r="B6056" i="51"/>
  <c r="B6055" i="51"/>
  <c r="B6054" i="51"/>
  <c r="B6053" i="51"/>
  <c r="B6052" i="51"/>
  <c r="B6051" i="51"/>
  <c r="B6050" i="51"/>
  <c r="B6049" i="51"/>
  <c r="B6048" i="51"/>
  <c r="B6047" i="51"/>
  <c r="B6046" i="51"/>
  <c r="B6045" i="51"/>
  <c r="B6044" i="51"/>
  <c r="B6043" i="51"/>
  <c r="B6042" i="51"/>
  <c r="B6041" i="51"/>
  <c r="B6040" i="51"/>
  <c r="B6039" i="51"/>
  <c r="B6038" i="51"/>
  <c r="B6037" i="51"/>
  <c r="B6036" i="51"/>
  <c r="B6035" i="51"/>
  <c r="B6034" i="51"/>
  <c r="B6033" i="51"/>
  <c r="B6032" i="51"/>
  <c r="B6031" i="51"/>
  <c r="B6030" i="51"/>
  <c r="B6029" i="51"/>
  <c r="B6028" i="51"/>
  <c r="B6027" i="51"/>
  <c r="B6026" i="51"/>
  <c r="B6025" i="51"/>
  <c r="B6024" i="51"/>
  <c r="B6023" i="51"/>
  <c r="B6022" i="51"/>
  <c r="B6021" i="51"/>
  <c r="B6020" i="51"/>
  <c r="B6019" i="51"/>
  <c r="B6018" i="51"/>
  <c r="B6017" i="51"/>
  <c r="B6016" i="51"/>
  <c r="B6015" i="51"/>
  <c r="B6014" i="51"/>
  <c r="B6013" i="51"/>
  <c r="B6012" i="51"/>
  <c r="B6011" i="51"/>
  <c r="B6010" i="51"/>
  <c r="B6009" i="51"/>
  <c r="B6008" i="51"/>
  <c r="B6007" i="51"/>
  <c r="B6006" i="51"/>
  <c r="B6005" i="51"/>
  <c r="B6004" i="51"/>
  <c r="B6003" i="51"/>
  <c r="B6002" i="51"/>
  <c r="B6001" i="51"/>
  <c r="B6000" i="51"/>
  <c r="B5999" i="51"/>
  <c r="B5998" i="51"/>
  <c r="B5997" i="51"/>
  <c r="B5996" i="51"/>
  <c r="B5995" i="51"/>
  <c r="B5994" i="51"/>
  <c r="B5993" i="51"/>
  <c r="B5992" i="51"/>
  <c r="B5991" i="51"/>
  <c r="B5990" i="51"/>
  <c r="B5989" i="51"/>
  <c r="B5988" i="51"/>
  <c r="B5987" i="51"/>
  <c r="B5986" i="51"/>
  <c r="B5985" i="51"/>
  <c r="B5984" i="51"/>
  <c r="B5983" i="51"/>
  <c r="B5982" i="51"/>
  <c r="B5981" i="51"/>
  <c r="B5980" i="51"/>
  <c r="B5979" i="51"/>
  <c r="B5978" i="51"/>
  <c r="B5977" i="51"/>
  <c r="B5976" i="51"/>
  <c r="B5975" i="51"/>
  <c r="B5974" i="51"/>
  <c r="B5973" i="51"/>
  <c r="B5972" i="51"/>
  <c r="B5971" i="51"/>
  <c r="B5970" i="51"/>
  <c r="B5969" i="51"/>
  <c r="B5968" i="51"/>
  <c r="B5967" i="51"/>
  <c r="B5966" i="51"/>
  <c r="B5965" i="51"/>
  <c r="B5964" i="51"/>
  <c r="B5963" i="51"/>
  <c r="B5962" i="51"/>
  <c r="B5961" i="51"/>
  <c r="B5960" i="51"/>
  <c r="B5959" i="51"/>
  <c r="B5958" i="51"/>
  <c r="B5957" i="51"/>
  <c r="B5956" i="51"/>
  <c r="B5955" i="51"/>
  <c r="B5954" i="51"/>
  <c r="B5953" i="51"/>
  <c r="B5952" i="51"/>
  <c r="B5951" i="51"/>
  <c r="B5950" i="51"/>
  <c r="B5949" i="51"/>
  <c r="B5948" i="51"/>
  <c r="B5947" i="51"/>
  <c r="B5946" i="51"/>
  <c r="B5945" i="51"/>
  <c r="B5944" i="51"/>
  <c r="B5943" i="51"/>
  <c r="B5942" i="51"/>
  <c r="B5941" i="51"/>
  <c r="B5940" i="51"/>
  <c r="B5939" i="51"/>
  <c r="B5938" i="51"/>
  <c r="B5937" i="51"/>
  <c r="B5936" i="51"/>
  <c r="B5935" i="51"/>
  <c r="B5934" i="51"/>
  <c r="B5933" i="51"/>
  <c r="B5932" i="51"/>
  <c r="B5931" i="51"/>
  <c r="B5930" i="51"/>
  <c r="B5929" i="51"/>
  <c r="B5928" i="51"/>
  <c r="B5927" i="51"/>
  <c r="B5926" i="51"/>
  <c r="B5925" i="51"/>
  <c r="B5924" i="51"/>
  <c r="B5923" i="51"/>
  <c r="B5922" i="51"/>
  <c r="B5921" i="51"/>
  <c r="B5920" i="51"/>
  <c r="B5919" i="51"/>
  <c r="B5918" i="51"/>
  <c r="B5917" i="51"/>
  <c r="B5916" i="51"/>
  <c r="B5915" i="51"/>
  <c r="B5914" i="51"/>
  <c r="B5913" i="51"/>
  <c r="B5912" i="51"/>
  <c r="B5911" i="51"/>
  <c r="B5910" i="51"/>
  <c r="B5909" i="51"/>
  <c r="B5908" i="51"/>
  <c r="B5907" i="51"/>
  <c r="B5906" i="51"/>
  <c r="B5905" i="51"/>
  <c r="B5904" i="51"/>
  <c r="B5903" i="51"/>
  <c r="B5902" i="51"/>
  <c r="B5901" i="51"/>
  <c r="B5900" i="51"/>
  <c r="B5899" i="51"/>
  <c r="B5898" i="51"/>
  <c r="B5897" i="51"/>
  <c r="B5896" i="51"/>
  <c r="B5895" i="51"/>
  <c r="B5894" i="51"/>
  <c r="B5893" i="51"/>
  <c r="B5892" i="51"/>
  <c r="B5891" i="51"/>
  <c r="B5890" i="51"/>
  <c r="B5889" i="51"/>
  <c r="B5888" i="51"/>
  <c r="B5887" i="51"/>
  <c r="B5886" i="51"/>
  <c r="B5885" i="51"/>
  <c r="B5884" i="51"/>
  <c r="B5883" i="51"/>
  <c r="B5882" i="51"/>
  <c r="B5881" i="51"/>
  <c r="B5880" i="51"/>
  <c r="B5879" i="51"/>
  <c r="B5878" i="51"/>
  <c r="B5877" i="51"/>
  <c r="B5876" i="51"/>
  <c r="B5875" i="51"/>
  <c r="B5874" i="51"/>
  <c r="B5873" i="51"/>
  <c r="B5872" i="51"/>
  <c r="B5871" i="51"/>
  <c r="B5870" i="51"/>
  <c r="B5869" i="51"/>
  <c r="B5868" i="51"/>
  <c r="B5867" i="51"/>
  <c r="B5866" i="51"/>
  <c r="B5865" i="51"/>
  <c r="B5864" i="51"/>
  <c r="B5863" i="51"/>
  <c r="B5862" i="51"/>
  <c r="B5861" i="51"/>
  <c r="B5860" i="51"/>
  <c r="B5859" i="51"/>
  <c r="B5858" i="51"/>
  <c r="B5857" i="51"/>
  <c r="B5856" i="51"/>
  <c r="B5855" i="51"/>
  <c r="B5854" i="51"/>
  <c r="B5853" i="51"/>
  <c r="B5852" i="51"/>
  <c r="B5851" i="51"/>
  <c r="B5850" i="51"/>
  <c r="B5849" i="51"/>
  <c r="B5848" i="51"/>
  <c r="B5847" i="51"/>
  <c r="B5846" i="51"/>
  <c r="B5845" i="51"/>
  <c r="B5844" i="51"/>
  <c r="B5843" i="51"/>
  <c r="B5842" i="51"/>
  <c r="B5841" i="51"/>
  <c r="B5840" i="51"/>
  <c r="B5839" i="51"/>
  <c r="B5838" i="51"/>
  <c r="B5837" i="51"/>
  <c r="B5836" i="51"/>
  <c r="B5835" i="51"/>
  <c r="B5834" i="51"/>
  <c r="B5833" i="51"/>
  <c r="B5832" i="51"/>
  <c r="B5831" i="51"/>
  <c r="B5830" i="51"/>
  <c r="B5829" i="51"/>
  <c r="B5828" i="51"/>
  <c r="B5827" i="51"/>
  <c r="B5826" i="51"/>
  <c r="B5825" i="51"/>
  <c r="B5824" i="51"/>
  <c r="B5823" i="51"/>
  <c r="B5822" i="51"/>
  <c r="B5821" i="51"/>
  <c r="B5820" i="51"/>
  <c r="B5819" i="51"/>
  <c r="B5818" i="51"/>
  <c r="B5817" i="51"/>
  <c r="B5816" i="51"/>
  <c r="B5815" i="51"/>
  <c r="B5814" i="51"/>
  <c r="B5813" i="51"/>
  <c r="B5812" i="51"/>
  <c r="B5811" i="51"/>
  <c r="B5810" i="51"/>
  <c r="B5809" i="51"/>
  <c r="B5808" i="51"/>
  <c r="B5807" i="51"/>
  <c r="B5806" i="51"/>
  <c r="B5805" i="51"/>
  <c r="B5804" i="51"/>
  <c r="B5803" i="51"/>
  <c r="B5802" i="51"/>
  <c r="B5801" i="51"/>
  <c r="B5800" i="51"/>
  <c r="B5799" i="51"/>
  <c r="B5798" i="51"/>
  <c r="B5797" i="51"/>
  <c r="B5796" i="51"/>
  <c r="B5795" i="51"/>
  <c r="B5794" i="51"/>
  <c r="B5793" i="51"/>
  <c r="B5792" i="51"/>
  <c r="B5791" i="51"/>
  <c r="B5790" i="51"/>
  <c r="B5789" i="51"/>
  <c r="B5788" i="51"/>
  <c r="B5787" i="51"/>
  <c r="B5786" i="51"/>
  <c r="B5785" i="51"/>
  <c r="B5784" i="51"/>
  <c r="B5783" i="51"/>
  <c r="B5782" i="51"/>
  <c r="B5781" i="51"/>
  <c r="B5780" i="51"/>
  <c r="B5779" i="51"/>
  <c r="B5778" i="51"/>
  <c r="B5777" i="51"/>
  <c r="B5776" i="51"/>
  <c r="B5775" i="51"/>
  <c r="B5774" i="51"/>
  <c r="B5773" i="51"/>
  <c r="B5772" i="51"/>
  <c r="B5771" i="51"/>
  <c r="B5770" i="51"/>
  <c r="B5769" i="51"/>
  <c r="B5768" i="51"/>
  <c r="B5767" i="51"/>
  <c r="B5766" i="51"/>
  <c r="B5765" i="51"/>
  <c r="B5764" i="51"/>
  <c r="B5763" i="51"/>
  <c r="B5762" i="51"/>
  <c r="B5761" i="51"/>
  <c r="B5760" i="51"/>
  <c r="B5759" i="51"/>
  <c r="B5758" i="51"/>
  <c r="B5757" i="51"/>
  <c r="B5756" i="51"/>
  <c r="B5755" i="51"/>
  <c r="B5754" i="51"/>
  <c r="B5753" i="51"/>
  <c r="B5752" i="51"/>
  <c r="B5751" i="51"/>
  <c r="B5750" i="51"/>
  <c r="B5749" i="51"/>
  <c r="B5748" i="51"/>
  <c r="B5747" i="51"/>
  <c r="B5746" i="51"/>
  <c r="B5745" i="51"/>
  <c r="B5744" i="51"/>
  <c r="B5743" i="51"/>
  <c r="B5742" i="51"/>
  <c r="B5741" i="51"/>
  <c r="B5740" i="51"/>
  <c r="B5739" i="51"/>
  <c r="B5738" i="51"/>
  <c r="B5737" i="51"/>
  <c r="B5736" i="51"/>
  <c r="B5735" i="51"/>
  <c r="B5734" i="51"/>
  <c r="B5733" i="51"/>
  <c r="B5732" i="51"/>
  <c r="B5731" i="51"/>
  <c r="B5730" i="51"/>
  <c r="B5729" i="51"/>
  <c r="B5728" i="51"/>
  <c r="B5727" i="51"/>
  <c r="B5726" i="51"/>
  <c r="B5725" i="51"/>
  <c r="B5724" i="51"/>
  <c r="B5723" i="51"/>
  <c r="B5722" i="51"/>
  <c r="B5721" i="51"/>
  <c r="B5720" i="51"/>
  <c r="B5719" i="51"/>
  <c r="B5718" i="51"/>
  <c r="B5717" i="51"/>
  <c r="B5716" i="51"/>
  <c r="B5715" i="51"/>
  <c r="B5714" i="51"/>
  <c r="B5713" i="51"/>
  <c r="B5712" i="51"/>
  <c r="B5711" i="51"/>
  <c r="B5710" i="51"/>
  <c r="B5709" i="51"/>
  <c r="B5708" i="51"/>
  <c r="B5707" i="51"/>
  <c r="B5706" i="51"/>
  <c r="B5705" i="51"/>
  <c r="B5704" i="51"/>
  <c r="B5703" i="51"/>
  <c r="B5702" i="51"/>
  <c r="B5701" i="51"/>
  <c r="B5700" i="51"/>
  <c r="B5699" i="51"/>
  <c r="B5698" i="51"/>
  <c r="B5697" i="51"/>
  <c r="B5696" i="51"/>
  <c r="B5695" i="51"/>
  <c r="B5694" i="51"/>
  <c r="B5693" i="51"/>
  <c r="B5692" i="51"/>
  <c r="B5691" i="51"/>
  <c r="B5690" i="51"/>
  <c r="B5689" i="51"/>
  <c r="B5688" i="51"/>
  <c r="B5687" i="51"/>
  <c r="B5686" i="51"/>
  <c r="B5685" i="51"/>
  <c r="B5684" i="51"/>
  <c r="B5683" i="51"/>
  <c r="B5682" i="51"/>
  <c r="B5681" i="51"/>
  <c r="B5680" i="51"/>
  <c r="B5679" i="51"/>
  <c r="B5678" i="51"/>
  <c r="B5677" i="51"/>
  <c r="B5676" i="51"/>
  <c r="B5675" i="51"/>
  <c r="B5674" i="51"/>
  <c r="B5673" i="51"/>
  <c r="B5672" i="51"/>
  <c r="B5671" i="51"/>
  <c r="B5670" i="51"/>
  <c r="B5669" i="51"/>
  <c r="B5668" i="51"/>
  <c r="B5667" i="51"/>
  <c r="B5666" i="51"/>
  <c r="B5665" i="51"/>
  <c r="B5664" i="51"/>
  <c r="B5663" i="51"/>
  <c r="B5662" i="51"/>
  <c r="B5661" i="51"/>
  <c r="B5660" i="51"/>
  <c r="B5659" i="51"/>
  <c r="B5658" i="51"/>
  <c r="B5657" i="51"/>
  <c r="B5656" i="51"/>
  <c r="B5655" i="51"/>
  <c r="B5654" i="51"/>
  <c r="B5653" i="51"/>
  <c r="B5652" i="51"/>
  <c r="B5651" i="51"/>
  <c r="B5650" i="51"/>
  <c r="B5649" i="51"/>
  <c r="B5648" i="51"/>
  <c r="B5647" i="51"/>
  <c r="B5646" i="51"/>
  <c r="B5645" i="51"/>
  <c r="B5644" i="51"/>
  <c r="B5643" i="51"/>
  <c r="B5642" i="51"/>
  <c r="B5641" i="51"/>
  <c r="B5640" i="51"/>
  <c r="B5639" i="51"/>
  <c r="B5638" i="51"/>
  <c r="B5637" i="51"/>
  <c r="B5636" i="51"/>
  <c r="B5635" i="51"/>
  <c r="B5634" i="51"/>
  <c r="B5633" i="51"/>
  <c r="B5632" i="51"/>
  <c r="B5631" i="51"/>
  <c r="B5630" i="51"/>
  <c r="B5629" i="51"/>
  <c r="B5628" i="51"/>
  <c r="B5627" i="51"/>
  <c r="B5626" i="51"/>
  <c r="B5625" i="51"/>
  <c r="B5624" i="51"/>
  <c r="B5623" i="51"/>
  <c r="B5622" i="51"/>
  <c r="B5621" i="51"/>
  <c r="B5620" i="51"/>
  <c r="B5619" i="51"/>
  <c r="B5618" i="51"/>
  <c r="B5617" i="51"/>
  <c r="B5616" i="51"/>
  <c r="B5615" i="51"/>
  <c r="B5614" i="51"/>
  <c r="B5613" i="51"/>
  <c r="B5612" i="51"/>
  <c r="B5611" i="51"/>
  <c r="B5610" i="51"/>
  <c r="B5609" i="51"/>
  <c r="B5608" i="51"/>
  <c r="B5607" i="51"/>
  <c r="B5606" i="51"/>
  <c r="B5605" i="51"/>
  <c r="B5604" i="51"/>
  <c r="B5603" i="51"/>
  <c r="B5602" i="51"/>
  <c r="B5601" i="51"/>
  <c r="B5600" i="51"/>
  <c r="B5599" i="51"/>
  <c r="B5598" i="51"/>
  <c r="B5597" i="51"/>
  <c r="B5596" i="51"/>
  <c r="B5595" i="51"/>
  <c r="B5594" i="51"/>
  <c r="B5593" i="51"/>
  <c r="B5592" i="51"/>
  <c r="B5591" i="51"/>
  <c r="B5590" i="51"/>
  <c r="B5589" i="51"/>
  <c r="B5588" i="51"/>
  <c r="B5587" i="51"/>
  <c r="B5586" i="51"/>
  <c r="B5585" i="51"/>
  <c r="B5584" i="51"/>
  <c r="B5583" i="51"/>
  <c r="B5582" i="51"/>
  <c r="B5581" i="51"/>
  <c r="B5580" i="51"/>
  <c r="B5579" i="51"/>
  <c r="B5578" i="51"/>
  <c r="B5577" i="51"/>
  <c r="B5576" i="51"/>
  <c r="B5575" i="51"/>
  <c r="B5574" i="51"/>
  <c r="B5573" i="51"/>
  <c r="B5572" i="51"/>
  <c r="B5571" i="51"/>
  <c r="B5570" i="51"/>
  <c r="B5569" i="51"/>
  <c r="B5568" i="51"/>
  <c r="B5567" i="51"/>
  <c r="B5566" i="51"/>
  <c r="B5565" i="51"/>
  <c r="B5564" i="51"/>
  <c r="B5563" i="51"/>
  <c r="B5562" i="51"/>
  <c r="B5561" i="51"/>
  <c r="B5560" i="51"/>
  <c r="B5559" i="51"/>
  <c r="B5558" i="51"/>
  <c r="B5557" i="51"/>
  <c r="B5556" i="51"/>
  <c r="B5555" i="51"/>
  <c r="B5554" i="51"/>
  <c r="B5553" i="51"/>
  <c r="B5552" i="51"/>
  <c r="B5551" i="51"/>
  <c r="B5550" i="51"/>
  <c r="B5549" i="51"/>
  <c r="B5548" i="51"/>
  <c r="B5547" i="51"/>
  <c r="B5546" i="51"/>
  <c r="B5545" i="51"/>
  <c r="B5544" i="51"/>
  <c r="B5543" i="51"/>
  <c r="B5542" i="51"/>
  <c r="B5541" i="51"/>
  <c r="B5540" i="51"/>
  <c r="B5539" i="51"/>
  <c r="B5538" i="51"/>
  <c r="B5537" i="51"/>
  <c r="B5536" i="51"/>
  <c r="B5535" i="51"/>
  <c r="B5534" i="51"/>
  <c r="B5533" i="51"/>
  <c r="B5532" i="51"/>
  <c r="B5531" i="51"/>
  <c r="B5530" i="51"/>
  <c r="B5529" i="51"/>
  <c r="B5528" i="51"/>
  <c r="B5527" i="51"/>
  <c r="B5526" i="51"/>
  <c r="B5525" i="51"/>
  <c r="B5524" i="51"/>
  <c r="B5523" i="51"/>
  <c r="B5522" i="51"/>
  <c r="B5521" i="51"/>
  <c r="B5520" i="51"/>
  <c r="B5519" i="51"/>
  <c r="B5518" i="51"/>
  <c r="B5517" i="51"/>
  <c r="B5516" i="51"/>
  <c r="B5515" i="51"/>
  <c r="B5514" i="51"/>
  <c r="B5513" i="51"/>
  <c r="B5512" i="51"/>
  <c r="B5511" i="51"/>
  <c r="B5510" i="51"/>
  <c r="B5509" i="51"/>
  <c r="B5508" i="51"/>
  <c r="B5507" i="51"/>
  <c r="B5506" i="51"/>
  <c r="B5505" i="51"/>
  <c r="B5504" i="51"/>
  <c r="B5503" i="51"/>
  <c r="B5502" i="51"/>
  <c r="B5501" i="51"/>
  <c r="B5500" i="51"/>
  <c r="B5499" i="51"/>
  <c r="B5498" i="51"/>
  <c r="B5497" i="51"/>
  <c r="B5496" i="51"/>
  <c r="B5495" i="51"/>
  <c r="B5494" i="51"/>
  <c r="B5493" i="51"/>
  <c r="B5492" i="51"/>
  <c r="B5491" i="51"/>
  <c r="B5490" i="51"/>
  <c r="B5489" i="51"/>
  <c r="B5488" i="51"/>
  <c r="B5487" i="51"/>
  <c r="B5486" i="51"/>
  <c r="B5485" i="51"/>
  <c r="B5484" i="51"/>
  <c r="B5483" i="51"/>
  <c r="B5482" i="51"/>
  <c r="B5481" i="51"/>
  <c r="B5480" i="51"/>
  <c r="B5479" i="51"/>
  <c r="B5478" i="51"/>
  <c r="B5477" i="51"/>
  <c r="B5476" i="51"/>
  <c r="B5475" i="51"/>
  <c r="B5474" i="51"/>
  <c r="B5473" i="51"/>
  <c r="B5472" i="51"/>
  <c r="B5471" i="51"/>
  <c r="B5470" i="51"/>
  <c r="B5469" i="51"/>
  <c r="B5468" i="51"/>
  <c r="B5467" i="51"/>
  <c r="B5466" i="51"/>
  <c r="B5465" i="51"/>
  <c r="B5464" i="51"/>
  <c r="B5463" i="51"/>
  <c r="B5462" i="51"/>
  <c r="B5461" i="51"/>
  <c r="B5460" i="51"/>
  <c r="B5459" i="51"/>
  <c r="B5458" i="51"/>
  <c r="B5457" i="51"/>
  <c r="B5456" i="51"/>
  <c r="B5455" i="51"/>
  <c r="B5454" i="51"/>
  <c r="B5453" i="51"/>
  <c r="B5452" i="51"/>
  <c r="B5451" i="51"/>
  <c r="B5450" i="51"/>
  <c r="B5449" i="51"/>
  <c r="B5448" i="51"/>
  <c r="B5447" i="51"/>
  <c r="B5446" i="51"/>
  <c r="B5445" i="51"/>
  <c r="B5444" i="51"/>
  <c r="B5443" i="51"/>
  <c r="B5442" i="51"/>
  <c r="B5441" i="51"/>
  <c r="B5440" i="51"/>
  <c r="B5439" i="51"/>
  <c r="B5438" i="51"/>
  <c r="B5437" i="51"/>
  <c r="B5436" i="51"/>
  <c r="B5435" i="51"/>
  <c r="B5434" i="51"/>
  <c r="B5433" i="51"/>
  <c r="B5432" i="51"/>
  <c r="B5431" i="51"/>
  <c r="B5430" i="51"/>
  <c r="B5429" i="51"/>
  <c r="B5428" i="51"/>
  <c r="B5427" i="51"/>
  <c r="B5426" i="51"/>
  <c r="B5425" i="51"/>
  <c r="B5424" i="51"/>
  <c r="B5423" i="51"/>
  <c r="B5422" i="51"/>
  <c r="B5421" i="51"/>
  <c r="B5420" i="51"/>
  <c r="B5419" i="51"/>
  <c r="B5418" i="51"/>
  <c r="B5417" i="51"/>
  <c r="B5416" i="51"/>
  <c r="B5415" i="51"/>
  <c r="B5414" i="51"/>
  <c r="B5413" i="51"/>
  <c r="B5412" i="51"/>
  <c r="B5411" i="51"/>
  <c r="B5410" i="51"/>
  <c r="B5409" i="51"/>
  <c r="B5408" i="51"/>
  <c r="B5407" i="51"/>
  <c r="B5406" i="51"/>
  <c r="B5405" i="51"/>
  <c r="B5404" i="51"/>
  <c r="B5403" i="51"/>
  <c r="B5402" i="51"/>
  <c r="B5401" i="51"/>
  <c r="B5400" i="51"/>
  <c r="B5399" i="51"/>
  <c r="B5398" i="51"/>
  <c r="B5397" i="51"/>
  <c r="B5396" i="51"/>
  <c r="B5395" i="51"/>
  <c r="B5394" i="51"/>
  <c r="B5393" i="51"/>
  <c r="B5392" i="51"/>
  <c r="B5391" i="51"/>
  <c r="B5390" i="51"/>
  <c r="B5389" i="51"/>
  <c r="B5388" i="51"/>
  <c r="B5387" i="51"/>
  <c r="B5386" i="51"/>
  <c r="B5385" i="51"/>
  <c r="B5384" i="51"/>
  <c r="B5383" i="51"/>
  <c r="B5382" i="51"/>
  <c r="B5381" i="51"/>
  <c r="B5380" i="51"/>
  <c r="B5379" i="51"/>
  <c r="B5378" i="51"/>
  <c r="B5377" i="51"/>
  <c r="B5376" i="51"/>
  <c r="B5375" i="51"/>
  <c r="B5374" i="51"/>
  <c r="B5373" i="51"/>
  <c r="B5372" i="51"/>
  <c r="B5371" i="51"/>
  <c r="B5370" i="51"/>
  <c r="B5369" i="51"/>
  <c r="B5368" i="51"/>
  <c r="B5367" i="51"/>
  <c r="B5366" i="51"/>
  <c r="B5365" i="51"/>
  <c r="B5364" i="51"/>
  <c r="B5363" i="51"/>
  <c r="B5362" i="51"/>
  <c r="B5361" i="51"/>
  <c r="B5360" i="51"/>
  <c r="B5359" i="51"/>
  <c r="B5358" i="51"/>
  <c r="B5357" i="51"/>
  <c r="B5356" i="51"/>
  <c r="B5355" i="51"/>
  <c r="B5354" i="51"/>
  <c r="B5353" i="51"/>
  <c r="B5352" i="51"/>
  <c r="B5351" i="51"/>
  <c r="B5350" i="51"/>
  <c r="B5349" i="51"/>
  <c r="B5348" i="51"/>
  <c r="B5347" i="51"/>
  <c r="B5346" i="51"/>
  <c r="B5345" i="51"/>
  <c r="B5344" i="51"/>
  <c r="B5343" i="51"/>
  <c r="B5342" i="51"/>
  <c r="B5341" i="51"/>
  <c r="B5340" i="51"/>
  <c r="B5339" i="51"/>
  <c r="B5338" i="51"/>
  <c r="B5337" i="51"/>
  <c r="B5336" i="51"/>
  <c r="B5335" i="51"/>
  <c r="B5334" i="51"/>
  <c r="B5333" i="51"/>
  <c r="B5332" i="51"/>
  <c r="B5331" i="51"/>
  <c r="B5330" i="51"/>
  <c r="B5329" i="51"/>
  <c r="B5328" i="51"/>
  <c r="B5327" i="51"/>
  <c r="B5326" i="51"/>
  <c r="B5325" i="51"/>
  <c r="B5324" i="51"/>
  <c r="B5323" i="51"/>
  <c r="B5322" i="51"/>
  <c r="B5321" i="51"/>
  <c r="B5320" i="51"/>
  <c r="B5319" i="51"/>
  <c r="B5318" i="51"/>
  <c r="B5317" i="51"/>
  <c r="B5316" i="51"/>
  <c r="B5315" i="51"/>
  <c r="B5314" i="51"/>
  <c r="B5313" i="51"/>
  <c r="B5312" i="51"/>
  <c r="B5311" i="51"/>
  <c r="B5310" i="51"/>
  <c r="B5309" i="51"/>
  <c r="B5308" i="51"/>
  <c r="B5307" i="51"/>
  <c r="B5306" i="51"/>
  <c r="B5305" i="51"/>
  <c r="B5304" i="51"/>
  <c r="B5303" i="51"/>
  <c r="B5302" i="51"/>
  <c r="B5301" i="51"/>
  <c r="B5300" i="51"/>
  <c r="B5299" i="51"/>
  <c r="B5298" i="51"/>
  <c r="B5297" i="51"/>
  <c r="B5296" i="51"/>
  <c r="B5295" i="51"/>
  <c r="B5294" i="51"/>
  <c r="B5293" i="51"/>
  <c r="B5292" i="51"/>
  <c r="B5291" i="51"/>
  <c r="B5290" i="51"/>
  <c r="B5289" i="51"/>
  <c r="B5288" i="51"/>
  <c r="B5287" i="51"/>
  <c r="B5286" i="51"/>
  <c r="B5285" i="51"/>
  <c r="B5284" i="51"/>
  <c r="B5283" i="51"/>
  <c r="B5282" i="51"/>
  <c r="B5281" i="51"/>
  <c r="B5280" i="51"/>
  <c r="B5279" i="51"/>
  <c r="B5278" i="51"/>
  <c r="B5277" i="51"/>
  <c r="B5276" i="51"/>
  <c r="B5275" i="51"/>
  <c r="B5274" i="51"/>
  <c r="B5273" i="51"/>
  <c r="B5272" i="51"/>
  <c r="B5271" i="51"/>
  <c r="B5270" i="51"/>
  <c r="B5269" i="51"/>
  <c r="B5268" i="51"/>
  <c r="B5267" i="51"/>
  <c r="B5266" i="51"/>
  <c r="B5265" i="51"/>
  <c r="B5264" i="51"/>
  <c r="B5263" i="51"/>
  <c r="B5262" i="51"/>
  <c r="B5261" i="51"/>
  <c r="B5260" i="51"/>
  <c r="B5259" i="51"/>
  <c r="B5258" i="51"/>
  <c r="B5257" i="51"/>
  <c r="B5256" i="51"/>
  <c r="B5255" i="51"/>
  <c r="B5254" i="51"/>
  <c r="B5253" i="51"/>
  <c r="B5252" i="51"/>
  <c r="B5251" i="51"/>
  <c r="B5250" i="51"/>
  <c r="B5249" i="51"/>
  <c r="B5248" i="51"/>
  <c r="B5247" i="51"/>
  <c r="B5246" i="51"/>
  <c r="B5245" i="51"/>
  <c r="B5244" i="51"/>
  <c r="B5243" i="51"/>
  <c r="B5242" i="51"/>
  <c r="B5241" i="51"/>
  <c r="B5240" i="51"/>
  <c r="B5239" i="51"/>
  <c r="B5238" i="51"/>
  <c r="B5237" i="51"/>
  <c r="B5236" i="51"/>
  <c r="B5235" i="51"/>
  <c r="B5234" i="51"/>
  <c r="B5233" i="51"/>
  <c r="B5232" i="51"/>
  <c r="B5231" i="51"/>
  <c r="B5230" i="51"/>
  <c r="B5229" i="51"/>
  <c r="B5228" i="51"/>
  <c r="B5227" i="51"/>
  <c r="B5226" i="51"/>
  <c r="B5225" i="51"/>
  <c r="B5224" i="51"/>
  <c r="B5223" i="51"/>
  <c r="B5222" i="51"/>
  <c r="B5221" i="51"/>
  <c r="B5220" i="51"/>
  <c r="B5219" i="51"/>
  <c r="B5218" i="51"/>
  <c r="B5217" i="51"/>
  <c r="B5216" i="51"/>
  <c r="B5215" i="51"/>
  <c r="B5214" i="51"/>
  <c r="B5213" i="51"/>
  <c r="B5212" i="51"/>
  <c r="B5211" i="51"/>
  <c r="B5210" i="51"/>
  <c r="B5209" i="51"/>
  <c r="B5208" i="51"/>
  <c r="B5207" i="51"/>
  <c r="B5206" i="51"/>
  <c r="B5205" i="51"/>
  <c r="B5204" i="51"/>
  <c r="B5203" i="51"/>
  <c r="B5202" i="51"/>
  <c r="B5201" i="51"/>
  <c r="B5200" i="51"/>
  <c r="B5199" i="51"/>
  <c r="B5198" i="51"/>
  <c r="B5197" i="51"/>
  <c r="B5196" i="51"/>
  <c r="B5195" i="51"/>
  <c r="B5194" i="51"/>
  <c r="B5193" i="51"/>
  <c r="B5192" i="51"/>
  <c r="B5191" i="51"/>
  <c r="B5190" i="51"/>
  <c r="B5189" i="51"/>
  <c r="B5188" i="51"/>
  <c r="B5187" i="51"/>
  <c r="B5186" i="51"/>
  <c r="B5185" i="51"/>
  <c r="B5184" i="51"/>
  <c r="B5183" i="51"/>
  <c r="B5182" i="51"/>
  <c r="B5181" i="51"/>
  <c r="B5180" i="51"/>
  <c r="B5179" i="51"/>
  <c r="B5178" i="51"/>
  <c r="B5177" i="51"/>
  <c r="B5176" i="51"/>
  <c r="B5175" i="51"/>
  <c r="B5174" i="51"/>
  <c r="B5173" i="51"/>
  <c r="B5172" i="51"/>
  <c r="B5171" i="51"/>
  <c r="B5170" i="51"/>
  <c r="B5169" i="51"/>
  <c r="B5168" i="51"/>
  <c r="B5167" i="51"/>
  <c r="B5166" i="51"/>
  <c r="B5165" i="51"/>
  <c r="B5164" i="51"/>
  <c r="B5163" i="51"/>
  <c r="B5162" i="51"/>
  <c r="B5161" i="51"/>
  <c r="B5160" i="51"/>
  <c r="B5159" i="51"/>
  <c r="B5158" i="51"/>
  <c r="B5157" i="51"/>
  <c r="B5156" i="51"/>
  <c r="B5155" i="51"/>
  <c r="B5154" i="51"/>
  <c r="B5153" i="51"/>
  <c r="B5152" i="51"/>
  <c r="B5151" i="51"/>
  <c r="B5150" i="51"/>
  <c r="B5149" i="51"/>
  <c r="B5148" i="51"/>
  <c r="B5147" i="51"/>
  <c r="B5146" i="51"/>
  <c r="B5145" i="51"/>
  <c r="B5144" i="51"/>
  <c r="B5143" i="51"/>
  <c r="B5142" i="51"/>
  <c r="B5141" i="51"/>
  <c r="B5140" i="51"/>
  <c r="B5139" i="51"/>
  <c r="B5138" i="51"/>
  <c r="B5137" i="51"/>
  <c r="B5136" i="51"/>
  <c r="B5135" i="51"/>
  <c r="B5134" i="51"/>
  <c r="B5133" i="51"/>
  <c r="B5132" i="51"/>
  <c r="B5131" i="51"/>
  <c r="B5130" i="51"/>
  <c r="B5129" i="51"/>
  <c r="B5128" i="51"/>
  <c r="B5127" i="51"/>
  <c r="B5126" i="51"/>
  <c r="B5125" i="51"/>
  <c r="B5124" i="51"/>
  <c r="B5123" i="51"/>
  <c r="B5122" i="51"/>
  <c r="B5121" i="51"/>
  <c r="B5120" i="51"/>
  <c r="B5119" i="51"/>
  <c r="B5118" i="51"/>
  <c r="B5117" i="51"/>
  <c r="B5116" i="51"/>
  <c r="B5115" i="51"/>
  <c r="B5114" i="51"/>
  <c r="B5113" i="51"/>
  <c r="B5112" i="51"/>
  <c r="B5111" i="51"/>
  <c r="B5110" i="51"/>
  <c r="B5109" i="51"/>
  <c r="B5108" i="51"/>
  <c r="B5107" i="51"/>
  <c r="B5106" i="51"/>
  <c r="B5105" i="51"/>
  <c r="B5104" i="51"/>
  <c r="B5103" i="51"/>
  <c r="B5102" i="51"/>
  <c r="B5101" i="51"/>
  <c r="B5100" i="51"/>
  <c r="B5099" i="51"/>
  <c r="B5098" i="51"/>
  <c r="B5097" i="51"/>
  <c r="B5096" i="51"/>
  <c r="B5095" i="51"/>
  <c r="B5094" i="51"/>
  <c r="B5093" i="51"/>
  <c r="B5092" i="51"/>
  <c r="B5091" i="51"/>
  <c r="B5090" i="51"/>
  <c r="B5089" i="51"/>
  <c r="B5088" i="51"/>
  <c r="B5087" i="51"/>
  <c r="B5086" i="51"/>
  <c r="B5085" i="51"/>
  <c r="B5084" i="51"/>
  <c r="B5083" i="51"/>
  <c r="B5082" i="51"/>
  <c r="B5081" i="51"/>
  <c r="B5080" i="51"/>
  <c r="B5079" i="51"/>
  <c r="B5078" i="51"/>
  <c r="B5077" i="51"/>
  <c r="B5076" i="51"/>
  <c r="B5075" i="51"/>
  <c r="B5074" i="51"/>
  <c r="B5073" i="51"/>
  <c r="B5072" i="51"/>
  <c r="B5071" i="51"/>
  <c r="B5070" i="51"/>
  <c r="B5069" i="51"/>
  <c r="B5068" i="51"/>
  <c r="B5067" i="51"/>
  <c r="B5066" i="51"/>
  <c r="B5065" i="51"/>
  <c r="B5064" i="51"/>
  <c r="B5063" i="51"/>
  <c r="B5062" i="51"/>
  <c r="B5061" i="51"/>
  <c r="B5060" i="51"/>
  <c r="B5059" i="51"/>
  <c r="B5058" i="51"/>
  <c r="B5057" i="51"/>
  <c r="B5056" i="51"/>
  <c r="B5055" i="51"/>
  <c r="B5054" i="51"/>
  <c r="B5053" i="51"/>
  <c r="B5052" i="51"/>
  <c r="B5051" i="51"/>
  <c r="B5050" i="51"/>
  <c r="B5049" i="51"/>
  <c r="B5048" i="51"/>
  <c r="B5047" i="51"/>
  <c r="B5046" i="51"/>
  <c r="B5045" i="51"/>
  <c r="B5044" i="51"/>
  <c r="B5043" i="51"/>
  <c r="B5042" i="51"/>
  <c r="B5041" i="51"/>
  <c r="B5040" i="51"/>
  <c r="B5039" i="51"/>
  <c r="B5038" i="51"/>
  <c r="B5037" i="51"/>
  <c r="B5036" i="51"/>
  <c r="B5035" i="51"/>
  <c r="B5034" i="51"/>
  <c r="B5033" i="51"/>
  <c r="B5032" i="51"/>
  <c r="B5031" i="51"/>
  <c r="B5030" i="51"/>
  <c r="B5029" i="51"/>
  <c r="B5028" i="51"/>
  <c r="B5027" i="51"/>
  <c r="B5026" i="51"/>
  <c r="B5025" i="51"/>
  <c r="B5024" i="51"/>
  <c r="B5023" i="51"/>
  <c r="B5022" i="51"/>
  <c r="B5021" i="51"/>
  <c r="B5020" i="51"/>
  <c r="B5019" i="51"/>
  <c r="B5018" i="51"/>
  <c r="B5017" i="51"/>
  <c r="B5016" i="51"/>
  <c r="B5015" i="51"/>
  <c r="B5014" i="51"/>
  <c r="B5013" i="51"/>
  <c r="B5012" i="51"/>
  <c r="B5011" i="51"/>
  <c r="B5010" i="51"/>
  <c r="B5009" i="51"/>
  <c r="B5008" i="51"/>
  <c r="B5007" i="51"/>
  <c r="B5006" i="51"/>
  <c r="B5005" i="51"/>
  <c r="B5004" i="51"/>
  <c r="B5003" i="51"/>
  <c r="B5002" i="51"/>
  <c r="B5001" i="51"/>
  <c r="B5000" i="51"/>
  <c r="B4999" i="51"/>
  <c r="B4998" i="51"/>
  <c r="B4997" i="51"/>
  <c r="B4996" i="51"/>
  <c r="B4995" i="51"/>
  <c r="B4994" i="51"/>
  <c r="B4993" i="51"/>
  <c r="B4992" i="51"/>
  <c r="B4991" i="51"/>
  <c r="B4990" i="51"/>
  <c r="B4989" i="51"/>
  <c r="B4988" i="51"/>
  <c r="B4987" i="51"/>
  <c r="B4986" i="51"/>
  <c r="B4985" i="51"/>
  <c r="B4984" i="51"/>
  <c r="B4983" i="51"/>
  <c r="B4982" i="51"/>
  <c r="B4981" i="51"/>
  <c r="B4980" i="51"/>
  <c r="B4979" i="51"/>
  <c r="B4978" i="51"/>
  <c r="B4977" i="51"/>
  <c r="B4976" i="51"/>
  <c r="B4975" i="51"/>
  <c r="B4974" i="51"/>
  <c r="B4973" i="51"/>
  <c r="B4972" i="51"/>
  <c r="B4971" i="51"/>
  <c r="B4970" i="51"/>
  <c r="B4969" i="51"/>
  <c r="B4968" i="51"/>
  <c r="B4967" i="51"/>
  <c r="B4966" i="51"/>
  <c r="B4965" i="51"/>
  <c r="B4964" i="51"/>
  <c r="B4963" i="51"/>
  <c r="B4962" i="51"/>
  <c r="B4961" i="51"/>
  <c r="B4960" i="51"/>
  <c r="B4959" i="51"/>
  <c r="B4958" i="51"/>
  <c r="B4957" i="51"/>
  <c r="B4956" i="51"/>
  <c r="B4955" i="51"/>
  <c r="B4954" i="51"/>
  <c r="B4953" i="51"/>
  <c r="B4952" i="51"/>
  <c r="B4951" i="51"/>
  <c r="B4950" i="51"/>
  <c r="B4949" i="51"/>
  <c r="B4948" i="51"/>
  <c r="B4947" i="51"/>
  <c r="B4946" i="51"/>
  <c r="B4945" i="51"/>
  <c r="B4944" i="51"/>
  <c r="B4943" i="51"/>
  <c r="B4942" i="51"/>
  <c r="B4941" i="51"/>
  <c r="B4940" i="51"/>
  <c r="B4939" i="51"/>
  <c r="B4938" i="51"/>
  <c r="B4937" i="51"/>
  <c r="B4936" i="51"/>
  <c r="B4935" i="51"/>
  <c r="B4934" i="51"/>
  <c r="B4933" i="51"/>
  <c r="B4932" i="51"/>
  <c r="B4931" i="51"/>
  <c r="B4930" i="51"/>
  <c r="B4929" i="51"/>
  <c r="B4928" i="51"/>
  <c r="B4927" i="51"/>
  <c r="B4926" i="51"/>
  <c r="B4925" i="51"/>
  <c r="B4924" i="51"/>
  <c r="B4923" i="51"/>
  <c r="B4922" i="51"/>
  <c r="B4921" i="51"/>
  <c r="B4920" i="51"/>
  <c r="B4919" i="51"/>
  <c r="B4918" i="51"/>
  <c r="B4917" i="51"/>
  <c r="B4916" i="51"/>
  <c r="B4915" i="51"/>
  <c r="B4914" i="51"/>
  <c r="B4913" i="51"/>
  <c r="B4912" i="51"/>
  <c r="B4911" i="51"/>
  <c r="B4910" i="51"/>
  <c r="B4909" i="51"/>
  <c r="B4908" i="51"/>
  <c r="B4907" i="51"/>
  <c r="B4906" i="51"/>
  <c r="B4905" i="51"/>
  <c r="B4904" i="51"/>
  <c r="B4903" i="51"/>
  <c r="B4902" i="51"/>
  <c r="B4901" i="51"/>
  <c r="B4900" i="51"/>
  <c r="B4899" i="51"/>
  <c r="B4898" i="51"/>
  <c r="B4897" i="51"/>
  <c r="B4896" i="51"/>
  <c r="B4895" i="51"/>
  <c r="B4894" i="51"/>
  <c r="B4893" i="51"/>
  <c r="B4892" i="51"/>
  <c r="B4891" i="51"/>
  <c r="B4890" i="51"/>
  <c r="B4889" i="51"/>
  <c r="B4888" i="51"/>
  <c r="B4887" i="51"/>
  <c r="B4886" i="51"/>
  <c r="B4885" i="51"/>
  <c r="B4884" i="51"/>
  <c r="B4883" i="51"/>
  <c r="B4882" i="51"/>
  <c r="B4881" i="51"/>
  <c r="B4880" i="51"/>
  <c r="B4879" i="51"/>
  <c r="B4878" i="51"/>
  <c r="B4877" i="51"/>
  <c r="B4876" i="51"/>
  <c r="B4875" i="51"/>
  <c r="B4874" i="51"/>
  <c r="B4873" i="51"/>
  <c r="B4872" i="51"/>
  <c r="B4871" i="51"/>
  <c r="B4870" i="51"/>
  <c r="B4869" i="51"/>
  <c r="B4868" i="51"/>
  <c r="B4867" i="51"/>
  <c r="B4866" i="51"/>
  <c r="B4865" i="51"/>
  <c r="B4864" i="51"/>
  <c r="B4863" i="51"/>
  <c r="B4862" i="51"/>
  <c r="B4861" i="51"/>
  <c r="B4860" i="51"/>
  <c r="B4859" i="51"/>
  <c r="B4858" i="51"/>
  <c r="B4857" i="51"/>
  <c r="B4856" i="51"/>
  <c r="B4855" i="51"/>
  <c r="B4854" i="51"/>
  <c r="B4853" i="51"/>
  <c r="B4852" i="51"/>
  <c r="B4851" i="51"/>
  <c r="B4850" i="51"/>
  <c r="B4849" i="51"/>
  <c r="B4848" i="51"/>
  <c r="B4847" i="51"/>
  <c r="B4846" i="51"/>
  <c r="B4845" i="51"/>
  <c r="B4844" i="51"/>
  <c r="B4843" i="51"/>
  <c r="B4842" i="51"/>
  <c r="B4841" i="51"/>
  <c r="B4840" i="51"/>
  <c r="B4839" i="51"/>
  <c r="B4838" i="51"/>
  <c r="B4837" i="51"/>
  <c r="B4836" i="51"/>
  <c r="B4835" i="51"/>
  <c r="B4834" i="51"/>
  <c r="B4833" i="51"/>
  <c r="B4832" i="51"/>
  <c r="B4831" i="51"/>
  <c r="B4830" i="51"/>
  <c r="B4829" i="51"/>
  <c r="B4828" i="51"/>
  <c r="B4827" i="51"/>
  <c r="B4826" i="51"/>
  <c r="B4825" i="51"/>
  <c r="B4824" i="51"/>
  <c r="B4823" i="51"/>
  <c r="B4822" i="51"/>
  <c r="B4821" i="51"/>
  <c r="B4820" i="51"/>
  <c r="B4819" i="51"/>
  <c r="B4818" i="51"/>
  <c r="B4817" i="51"/>
  <c r="B4816" i="51"/>
  <c r="B4815" i="51"/>
  <c r="B4814" i="51"/>
  <c r="B4813" i="51"/>
  <c r="B4812" i="51"/>
  <c r="B4811" i="51"/>
  <c r="B4810" i="51"/>
  <c r="B4809" i="51"/>
  <c r="B4808" i="51"/>
  <c r="B4807" i="51"/>
  <c r="B4806" i="51"/>
  <c r="B4805" i="51"/>
  <c r="B4804" i="51"/>
  <c r="B4803" i="51"/>
  <c r="B4802" i="51"/>
  <c r="B4801" i="51"/>
  <c r="B4800" i="51"/>
  <c r="B4799" i="51"/>
  <c r="B4798" i="51"/>
  <c r="B4797" i="51"/>
  <c r="B4796" i="51"/>
  <c r="B4795" i="51"/>
  <c r="B4794" i="51"/>
  <c r="B4793" i="51"/>
  <c r="B4792" i="51"/>
  <c r="B4791" i="51"/>
  <c r="B4790" i="51"/>
  <c r="B4789" i="51"/>
  <c r="B4788" i="51"/>
  <c r="B4787" i="51"/>
  <c r="B4786" i="51"/>
  <c r="B4785" i="51"/>
  <c r="B4784" i="51"/>
  <c r="B4783" i="51"/>
  <c r="B4782" i="51"/>
  <c r="B4781" i="51"/>
  <c r="B4780" i="51"/>
  <c r="B4779" i="51"/>
  <c r="B4778" i="51"/>
  <c r="B4777" i="51"/>
  <c r="B4776" i="51"/>
  <c r="B4775" i="51"/>
  <c r="B4774" i="51"/>
  <c r="B4773" i="51"/>
  <c r="B4772" i="51"/>
  <c r="B4771" i="51"/>
  <c r="B4770" i="51"/>
  <c r="B4769" i="51"/>
  <c r="B4768" i="51"/>
  <c r="B4767" i="51"/>
  <c r="B4766" i="51"/>
  <c r="B4765" i="51"/>
  <c r="B4764" i="51"/>
  <c r="B4763" i="51"/>
  <c r="B4762" i="51"/>
  <c r="B4761" i="51"/>
  <c r="B4760" i="51"/>
  <c r="B4759" i="51"/>
  <c r="B4758" i="51"/>
  <c r="B4757" i="51"/>
  <c r="B4756" i="51"/>
  <c r="B4755" i="51"/>
  <c r="B4754" i="51"/>
  <c r="B4753" i="51"/>
  <c r="B4752" i="51"/>
  <c r="B4751" i="51"/>
  <c r="B4750" i="51"/>
  <c r="B4749" i="51"/>
  <c r="B4748" i="51"/>
  <c r="B4747" i="51"/>
  <c r="B4746" i="51"/>
  <c r="B4745" i="51"/>
  <c r="B4744" i="51"/>
  <c r="B4743" i="51"/>
  <c r="B4742" i="51"/>
  <c r="B4741" i="51"/>
  <c r="B4740" i="51"/>
  <c r="B4739" i="51"/>
  <c r="B4738" i="51"/>
  <c r="B4737" i="51"/>
  <c r="B4736" i="51"/>
  <c r="B4735" i="51"/>
  <c r="B4734" i="51"/>
  <c r="B4733" i="51"/>
  <c r="B4732" i="51"/>
  <c r="B4731" i="51"/>
  <c r="B4730" i="51"/>
  <c r="B4729" i="51"/>
  <c r="B4728" i="51"/>
  <c r="B4727" i="51"/>
  <c r="B4726" i="51"/>
  <c r="B4725" i="51"/>
  <c r="B4724" i="51"/>
  <c r="B4723" i="51"/>
  <c r="B4722" i="51"/>
  <c r="B4721" i="51"/>
  <c r="B4720" i="51"/>
  <c r="B4719" i="51"/>
  <c r="B4718" i="51"/>
  <c r="B4717" i="51"/>
  <c r="B4716" i="51"/>
  <c r="B4715" i="51"/>
  <c r="B4714" i="51"/>
  <c r="B4713" i="51"/>
  <c r="B4712" i="51"/>
  <c r="B4711" i="51"/>
  <c r="B4710" i="51"/>
  <c r="B4709" i="51"/>
  <c r="B4708" i="51"/>
  <c r="B4707" i="51"/>
  <c r="B4706" i="51"/>
  <c r="B4705" i="51"/>
  <c r="B4704" i="51"/>
  <c r="B4703" i="51"/>
  <c r="B4702" i="51"/>
  <c r="B4701" i="51"/>
  <c r="B4700" i="51"/>
  <c r="B4699" i="51"/>
  <c r="B4698" i="51"/>
  <c r="B4697" i="51"/>
  <c r="B4696" i="51"/>
  <c r="B4695" i="51"/>
  <c r="B4694" i="51"/>
  <c r="B4693" i="51"/>
  <c r="B4692" i="51"/>
  <c r="B4691" i="51"/>
  <c r="B4690" i="51"/>
  <c r="B4689" i="51"/>
  <c r="B4688" i="51"/>
  <c r="B4687" i="51"/>
  <c r="B4686" i="51"/>
  <c r="B4685" i="51"/>
  <c r="B4684" i="51"/>
  <c r="B4683" i="51"/>
  <c r="B4682" i="51"/>
  <c r="B4681" i="51"/>
  <c r="B4680" i="51"/>
  <c r="B4679" i="51"/>
  <c r="B4678" i="51"/>
  <c r="B4677" i="51"/>
  <c r="B4676" i="51"/>
  <c r="B4675" i="51"/>
  <c r="B4674" i="51"/>
  <c r="B4673" i="51"/>
  <c r="B4672" i="51"/>
  <c r="B4671" i="51"/>
  <c r="B4670" i="51"/>
  <c r="B4669" i="51"/>
  <c r="B4668" i="51"/>
  <c r="B4667" i="51"/>
  <c r="B4666" i="51"/>
  <c r="B4665" i="51"/>
  <c r="B4664" i="51"/>
  <c r="B4663" i="51"/>
  <c r="B4662" i="51"/>
  <c r="B4661" i="51"/>
  <c r="B4660" i="51"/>
  <c r="B4659" i="51"/>
  <c r="B4658" i="51"/>
  <c r="B4657" i="51"/>
  <c r="B4656" i="51"/>
  <c r="B4655" i="51"/>
  <c r="B4654" i="51"/>
  <c r="B4653" i="51"/>
  <c r="B4652" i="51"/>
  <c r="B4651" i="51"/>
  <c r="B4650" i="51"/>
  <c r="B4649" i="51"/>
  <c r="B4648" i="51"/>
  <c r="B4647" i="51"/>
  <c r="B4646" i="51"/>
  <c r="B4645" i="51"/>
  <c r="B4644" i="51"/>
  <c r="B4643" i="51"/>
  <c r="B4642" i="51"/>
  <c r="B4641" i="51"/>
  <c r="B4640" i="51"/>
  <c r="B4639" i="51"/>
  <c r="B4638" i="51"/>
  <c r="B4637" i="51"/>
  <c r="B4636" i="51"/>
  <c r="B4635" i="51"/>
  <c r="B4634" i="51"/>
  <c r="B4633" i="51"/>
  <c r="B4632" i="51"/>
  <c r="B4631" i="51"/>
  <c r="B4630" i="51"/>
  <c r="B4629" i="51"/>
  <c r="B4628" i="51"/>
  <c r="B4627" i="51"/>
  <c r="B4626" i="51"/>
  <c r="B4625" i="51"/>
  <c r="B4624" i="51"/>
  <c r="B4623" i="51"/>
  <c r="B4622" i="51"/>
  <c r="B4621" i="51"/>
  <c r="B4620" i="51"/>
  <c r="B4619" i="51"/>
  <c r="B4618" i="51"/>
  <c r="B4617" i="51"/>
  <c r="B4616" i="51"/>
  <c r="B4615" i="51"/>
  <c r="B4614" i="51"/>
  <c r="B4613" i="51"/>
  <c r="B4612" i="51"/>
  <c r="B4611" i="51"/>
  <c r="B4610" i="51"/>
  <c r="B4609" i="51"/>
  <c r="B4608" i="51"/>
  <c r="B4607" i="51"/>
  <c r="B4606" i="51"/>
  <c r="B4605" i="51"/>
  <c r="B4604" i="51"/>
  <c r="B4603" i="51"/>
  <c r="B4602" i="51"/>
  <c r="B4601" i="51"/>
  <c r="B4600" i="51"/>
  <c r="B4599" i="51"/>
  <c r="B4598" i="51"/>
  <c r="B4597" i="51"/>
  <c r="B4596" i="51"/>
  <c r="B4595" i="51"/>
  <c r="B4594" i="51"/>
  <c r="B4593" i="51"/>
  <c r="B4592" i="51"/>
  <c r="B4591" i="51"/>
  <c r="B4590" i="51"/>
  <c r="B4589" i="51"/>
  <c r="B4588" i="51"/>
  <c r="B4587" i="51"/>
  <c r="B4586" i="51"/>
  <c r="B4585" i="51"/>
  <c r="B4584" i="51"/>
  <c r="B4583" i="51"/>
  <c r="B4582" i="51"/>
  <c r="B4581" i="51"/>
  <c r="B4580" i="51"/>
  <c r="B4579" i="51"/>
  <c r="B4578" i="51"/>
  <c r="B4577" i="51"/>
  <c r="B4576" i="51"/>
  <c r="B4575" i="51"/>
  <c r="B4574" i="51"/>
  <c r="B4573" i="51"/>
  <c r="B4572" i="51"/>
  <c r="B4571" i="51"/>
  <c r="B4570" i="51"/>
  <c r="B4569" i="51"/>
  <c r="B4568" i="51"/>
  <c r="B4567" i="51"/>
  <c r="B4566" i="51"/>
  <c r="B4565" i="51"/>
  <c r="B4564" i="51"/>
  <c r="B4563" i="51"/>
  <c r="B4562" i="51"/>
  <c r="B4561" i="51"/>
  <c r="B4560" i="51"/>
  <c r="B4559" i="51"/>
  <c r="B4558" i="51"/>
  <c r="B4557" i="51"/>
  <c r="B4556" i="51"/>
  <c r="B4555" i="51"/>
  <c r="B4554" i="51"/>
  <c r="B4553" i="51"/>
  <c r="B4552" i="51"/>
  <c r="B4551" i="51"/>
  <c r="B4550" i="51"/>
  <c r="B4549" i="51"/>
  <c r="B4548" i="51"/>
  <c r="B4547" i="51"/>
  <c r="B4546" i="51"/>
  <c r="B4545" i="51"/>
  <c r="B4544" i="51"/>
  <c r="B4543" i="51"/>
  <c r="B4542" i="51"/>
  <c r="B4541" i="51"/>
  <c r="B4540" i="51"/>
  <c r="B4539" i="51"/>
  <c r="B4538" i="51"/>
  <c r="B4537" i="51"/>
  <c r="B4536" i="51"/>
  <c r="B4535" i="51"/>
  <c r="B4534" i="51"/>
  <c r="B4533" i="51"/>
  <c r="B4532" i="51"/>
  <c r="B4531" i="51"/>
  <c r="B4530" i="51"/>
  <c r="B4529" i="51"/>
  <c r="B4528" i="51"/>
  <c r="B4527" i="51"/>
  <c r="B4526" i="51"/>
  <c r="B4525" i="51"/>
  <c r="B4524" i="51"/>
  <c r="B4523" i="51"/>
  <c r="B4522" i="51"/>
  <c r="B4521" i="51"/>
  <c r="B4520" i="51"/>
  <c r="B4519" i="51"/>
  <c r="B4518" i="51"/>
  <c r="B4517" i="51"/>
  <c r="B4516" i="51"/>
  <c r="B4515" i="51"/>
  <c r="B4514" i="51"/>
  <c r="B4513" i="51"/>
  <c r="B4512" i="51"/>
  <c r="B4511" i="51"/>
  <c r="B4510" i="51"/>
  <c r="B4509" i="51"/>
  <c r="B4508" i="51"/>
  <c r="B4507" i="51"/>
  <c r="B4506" i="51"/>
  <c r="B4505" i="51"/>
  <c r="B4504" i="51"/>
  <c r="B4503" i="51"/>
  <c r="B4502" i="51"/>
  <c r="B4501" i="51"/>
  <c r="B4500" i="51"/>
  <c r="B4499" i="51"/>
  <c r="B4498" i="51"/>
  <c r="B4497" i="51"/>
  <c r="B4496" i="51"/>
  <c r="B4495" i="51"/>
  <c r="B4494" i="51"/>
  <c r="B4493" i="51"/>
  <c r="B4492" i="51"/>
  <c r="B4491" i="51"/>
  <c r="B4490" i="51"/>
  <c r="B4489" i="51"/>
  <c r="B4488" i="51"/>
  <c r="B4487" i="51"/>
  <c r="B4486" i="51"/>
  <c r="B4485" i="51"/>
  <c r="B4484" i="51"/>
  <c r="B4483" i="51"/>
  <c r="B4482" i="51"/>
  <c r="B4481" i="51"/>
  <c r="B4480" i="51"/>
  <c r="B4479" i="51"/>
  <c r="B4478" i="51"/>
  <c r="B4477" i="51"/>
  <c r="B4476" i="51"/>
  <c r="B4475" i="51"/>
  <c r="B4474" i="51"/>
  <c r="B4473" i="51"/>
  <c r="B4472" i="51"/>
  <c r="B4471" i="51"/>
  <c r="B4470" i="51"/>
  <c r="B4469" i="51"/>
  <c r="B4468" i="51"/>
  <c r="B4467" i="51"/>
  <c r="B4466" i="51"/>
  <c r="B4465" i="51"/>
  <c r="B4464" i="51"/>
  <c r="B4463" i="51"/>
  <c r="B4462" i="51"/>
  <c r="B4461" i="51"/>
  <c r="B4460" i="51"/>
  <c r="B4459" i="51"/>
  <c r="B4458" i="51"/>
  <c r="B4457" i="51"/>
  <c r="B4456" i="51"/>
  <c r="B4455" i="51"/>
  <c r="B4454" i="51"/>
  <c r="B4453" i="51"/>
  <c r="B4452" i="51"/>
  <c r="B4451" i="51"/>
  <c r="B4450" i="51"/>
  <c r="B4449" i="51"/>
  <c r="B4448" i="51"/>
  <c r="B4447" i="51"/>
  <c r="B4446" i="51"/>
  <c r="B4445" i="51"/>
  <c r="B4444" i="51"/>
  <c r="B4443" i="51"/>
  <c r="B4442" i="51"/>
  <c r="B4441" i="51"/>
  <c r="B4440" i="51"/>
  <c r="B4439" i="51"/>
  <c r="B4438" i="51"/>
  <c r="B4437" i="51"/>
  <c r="B4436" i="51"/>
  <c r="B4435" i="51"/>
  <c r="B4434" i="51"/>
  <c r="B4433" i="51"/>
  <c r="B4432" i="51"/>
  <c r="B4431" i="51"/>
  <c r="B4430" i="51"/>
  <c r="B4429" i="51"/>
  <c r="B4428" i="51"/>
  <c r="B4427" i="51"/>
  <c r="B4426" i="51"/>
  <c r="B4425" i="51"/>
  <c r="B4424" i="51"/>
  <c r="B4423" i="51"/>
  <c r="B4422" i="51"/>
  <c r="B4421" i="51"/>
  <c r="B4420" i="51"/>
  <c r="B4419" i="51"/>
  <c r="B4418" i="51"/>
  <c r="B4417" i="51"/>
  <c r="B4416" i="51"/>
  <c r="B4415" i="51"/>
  <c r="B4414" i="51"/>
  <c r="B4413" i="51"/>
  <c r="B4412" i="51"/>
  <c r="B4411" i="51"/>
  <c r="B4410" i="51"/>
  <c r="B4409" i="51"/>
  <c r="B4408" i="51"/>
  <c r="B4407" i="51"/>
  <c r="B4406" i="51"/>
  <c r="B4405" i="51"/>
  <c r="B4404" i="51"/>
  <c r="B4403" i="51"/>
  <c r="B4402" i="51"/>
  <c r="B4401" i="51"/>
  <c r="B4400" i="51"/>
  <c r="B4399" i="51"/>
  <c r="B4398" i="51"/>
  <c r="B4397" i="51"/>
  <c r="B4396" i="51"/>
  <c r="B4395" i="51"/>
  <c r="B4394" i="51"/>
  <c r="B4393" i="51"/>
  <c r="B4392" i="51"/>
  <c r="B4391" i="51"/>
  <c r="B4390" i="51"/>
  <c r="B4389" i="51"/>
  <c r="B4388" i="51"/>
  <c r="B4387" i="51"/>
  <c r="B4386" i="51"/>
  <c r="B4385" i="51"/>
  <c r="B4384" i="51"/>
  <c r="B4383" i="51"/>
  <c r="B4382" i="51"/>
  <c r="B4381" i="51"/>
  <c r="B4380" i="51"/>
  <c r="B4379" i="51"/>
  <c r="B4378" i="51"/>
  <c r="B4377" i="51"/>
  <c r="B4376" i="51"/>
  <c r="B4375" i="51"/>
  <c r="B4374" i="51"/>
  <c r="B4373" i="51"/>
  <c r="B4372" i="51"/>
  <c r="B4371" i="51"/>
  <c r="B4370" i="51"/>
  <c r="B4369" i="51"/>
  <c r="B4368" i="51"/>
  <c r="B4367" i="51"/>
  <c r="B4366" i="51"/>
  <c r="B4365" i="51"/>
  <c r="B4364" i="51"/>
  <c r="B4363" i="51"/>
  <c r="B4362" i="51"/>
  <c r="B4361" i="51"/>
  <c r="B4360" i="51"/>
  <c r="B4359" i="51"/>
  <c r="B4358" i="51"/>
  <c r="B4357" i="51"/>
  <c r="B4356" i="51"/>
  <c r="B4355" i="51"/>
  <c r="B4354" i="51"/>
  <c r="B4353" i="51"/>
  <c r="B4352" i="51"/>
  <c r="B4351" i="51"/>
  <c r="B4350" i="51"/>
  <c r="B4349" i="51"/>
  <c r="B4348" i="51"/>
  <c r="B4347" i="51"/>
  <c r="B4346" i="51"/>
  <c r="B4345" i="51"/>
  <c r="B4344" i="51"/>
  <c r="B4343" i="51"/>
  <c r="B4342" i="51"/>
  <c r="B4341" i="51"/>
  <c r="B4340" i="51"/>
  <c r="B4339" i="51"/>
  <c r="B4338" i="51"/>
  <c r="B4337" i="51"/>
  <c r="B4336" i="51"/>
  <c r="B4335" i="51"/>
  <c r="B4334" i="51"/>
  <c r="B4333" i="51"/>
  <c r="B4332" i="51"/>
  <c r="B4331" i="51"/>
  <c r="B4330" i="51"/>
  <c r="B4329" i="51"/>
  <c r="B4328" i="51"/>
  <c r="B4327" i="51"/>
  <c r="B4326" i="51"/>
  <c r="B4325" i="51"/>
  <c r="B4324" i="51"/>
  <c r="B4323" i="51"/>
  <c r="B4322" i="51"/>
  <c r="B4321" i="51"/>
  <c r="B4320" i="51"/>
  <c r="B4319" i="51"/>
  <c r="B4318" i="51"/>
  <c r="B4317" i="51"/>
  <c r="B4316" i="51"/>
  <c r="B4315" i="51"/>
  <c r="B4314" i="51"/>
  <c r="B4313" i="51"/>
  <c r="B4312" i="51"/>
  <c r="B4311" i="51"/>
  <c r="B4310" i="51"/>
  <c r="B4309" i="51"/>
  <c r="B4308" i="51"/>
  <c r="B4307" i="51"/>
  <c r="B4306" i="51"/>
  <c r="B4305" i="51"/>
  <c r="B4304" i="51"/>
  <c r="B4303" i="51"/>
  <c r="B4302" i="51"/>
  <c r="B4301" i="51"/>
  <c r="B4300" i="51"/>
  <c r="B4299" i="51"/>
  <c r="B4298" i="51"/>
  <c r="B4297" i="51"/>
  <c r="B4296" i="51"/>
  <c r="B4295" i="51"/>
  <c r="B4294" i="51"/>
  <c r="B4293" i="51"/>
  <c r="B4292" i="51"/>
  <c r="B4291" i="51"/>
  <c r="B4290" i="51"/>
  <c r="B4289" i="51"/>
  <c r="B4288" i="51"/>
  <c r="B4287" i="51"/>
  <c r="B4286" i="51"/>
  <c r="B4285" i="51"/>
  <c r="B4284" i="51"/>
  <c r="B4283" i="51"/>
  <c r="B4282" i="51"/>
  <c r="B4281" i="51"/>
  <c r="B4280" i="51"/>
  <c r="B4279" i="51"/>
  <c r="B4278" i="51"/>
  <c r="B4277" i="51"/>
  <c r="B4276" i="51"/>
  <c r="B4275" i="51"/>
  <c r="B4274" i="51"/>
  <c r="B4273" i="51"/>
  <c r="B4272" i="51"/>
  <c r="B4271" i="51"/>
  <c r="B4270" i="51"/>
  <c r="B4269" i="51"/>
  <c r="B4268" i="51"/>
  <c r="B4267" i="51"/>
  <c r="B4266" i="51"/>
  <c r="B4265" i="51"/>
  <c r="B4264" i="51"/>
  <c r="B4263" i="51"/>
  <c r="B4262" i="51"/>
  <c r="B4261" i="51"/>
  <c r="B4260" i="51"/>
  <c r="B4259" i="51"/>
  <c r="B4258" i="51"/>
  <c r="B4257" i="51"/>
  <c r="B4256" i="51"/>
  <c r="B4255" i="51"/>
  <c r="B4254" i="51"/>
  <c r="B4253" i="51"/>
  <c r="B4252" i="51"/>
  <c r="B4251" i="51"/>
  <c r="B4250" i="51"/>
  <c r="B4249" i="51"/>
  <c r="B4248" i="51"/>
  <c r="B4247" i="51"/>
  <c r="B4246" i="51"/>
  <c r="B4245" i="51"/>
  <c r="B4244" i="51"/>
  <c r="B4243" i="51"/>
  <c r="B4242" i="51"/>
  <c r="B4241" i="51"/>
  <c r="B4240" i="51"/>
  <c r="B4239" i="51"/>
  <c r="B4238" i="51"/>
  <c r="B4237" i="51"/>
  <c r="B4236" i="51"/>
  <c r="B4235" i="51"/>
  <c r="B4234" i="51"/>
  <c r="B4233" i="51"/>
  <c r="B4232" i="51"/>
  <c r="B4231" i="51"/>
  <c r="B4230" i="51"/>
  <c r="B4229" i="51"/>
  <c r="B4228" i="51"/>
  <c r="B4227" i="51"/>
  <c r="B4226" i="51"/>
  <c r="B4225" i="51"/>
  <c r="B4224" i="51"/>
  <c r="B4223" i="51"/>
  <c r="B4222" i="51"/>
  <c r="B4221" i="51"/>
  <c r="B4220" i="51"/>
  <c r="B4219" i="51"/>
  <c r="B4218" i="51"/>
  <c r="B4217" i="51"/>
  <c r="B4216" i="51"/>
  <c r="B4215" i="51"/>
  <c r="B4214" i="51"/>
  <c r="B4213" i="51"/>
  <c r="B4212" i="51"/>
  <c r="B4211" i="51"/>
  <c r="B4210" i="51"/>
  <c r="B4209" i="51"/>
  <c r="B4208" i="51"/>
  <c r="B4207" i="51"/>
  <c r="B4206" i="51"/>
  <c r="B4205" i="51"/>
  <c r="B4204" i="51"/>
  <c r="B4203" i="51"/>
  <c r="B4202" i="51"/>
  <c r="B4201" i="51"/>
  <c r="B4200" i="51"/>
  <c r="B4199" i="51"/>
  <c r="B4198" i="51"/>
  <c r="B4197" i="51"/>
  <c r="B4196" i="51"/>
  <c r="B4195" i="51"/>
  <c r="B4194" i="51"/>
  <c r="B4193" i="51"/>
  <c r="B4192" i="51"/>
  <c r="B4191" i="51"/>
  <c r="B4190" i="51"/>
  <c r="B4189" i="51"/>
  <c r="B4188" i="51"/>
  <c r="B4187" i="51"/>
  <c r="B4186" i="51"/>
  <c r="B4185" i="51"/>
  <c r="B4184" i="51"/>
  <c r="B4183" i="51"/>
  <c r="B4182" i="51"/>
  <c r="B4181" i="51"/>
  <c r="B4180" i="51"/>
  <c r="B4179" i="51"/>
  <c r="B4178" i="51"/>
  <c r="B4177" i="51"/>
  <c r="B4176" i="51"/>
  <c r="B4175" i="51"/>
  <c r="B4174" i="51"/>
  <c r="B4173" i="51"/>
  <c r="B4172" i="51"/>
  <c r="B4171" i="51"/>
  <c r="B4170" i="51"/>
  <c r="B4169" i="51"/>
  <c r="B4168" i="51"/>
  <c r="B4167" i="51"/>
  <c r="B4166" i="51"/>
  <c r="B4165" i="51"/>
  <c r="B4164" i="51"/>
  <c r="B4163" i="51"/>
  <c r="B4162" i="51"/>
  <c r="B4161" i="51"/>
  <c r="B4160" i="51"/>
  <c r="B4159" i="51"/>
  <c r="B4158" i="51"/>
  <c r="B4157" i="51"/>
  <c r="B4156" i="51"/>
  <c r="B4155" i="51"/>
  <c r="B4154" i="51"/>
  <c r="B4153" i="51"/>
  <c r="B4152" i="51"/>
  <c r="B4151" i="51"/>
  <c r="B4150" i="51"/>
  <c r="B4149" i="51"/>
  <c r="B4148" i="51"/>
  <c r="B4147" i="51"/>
  <c r="B4146" i="51"/>
  <c r="B4145" i="51"/>
  <c r="B4144" i="51"/>
  <c r="B4143" i="51"/>
  <c r="B4142" i="51"/>
  <c r="B4141" i="51"/>
  <c r="B4140" i="51"/>
  <c r="B4139" i="51"/>
  <c r="B4138" i="51"/>
  <c r="B4137" i="51"/>
  <c r="B4136" i="51"/>
  <c r="B4135" i="51"/>
  <c r="B4134" i="51"/>
  <c r="B4133" i="51"/>
  <c r="B4132" i="51"/>
  <c r="B4131" i="51"/>
  <c r="B4130" i="51"/>
  <c r="B4129" i="51"/>
  <c r="B4128" i="51"/>
  <c r="B4127" i="51"/>
  <c r="B4126" i="51"/>
  <c r="B4125" i="51"/>
  <c r="B4124" i="51"/>
  <c r="B4123" i="51"/>
  <c r="B4122" i="51"/>
  <c r="B4121" i="51"/>
  <c r="B4120" i="51"/>
  <c r="B4119" i="51"/>
  <c r="B4118" i="51"/>
  <c r="B4117" i="51"/>
  <c r="B4116" i="51"/>
  <c r="B4115" i="51"/>
  <c r="B4114" i="51"/>
  <c r="B4113" i="51"/>
  <c r="B4112" i="51"/>
  <c r="B4111" i="51"/>
  <c r="B4110" i="51"/>
  <c r="B4109" i="51"/>
  <c r="B4108" i="51"/>
  <c r="B4107" i="51"/>
  <c r="B4106" i="51"/>
  <c r="B4105" i="51"/>
  <c r="B4104" i="51"/>
  <c r="B4103" i="51"/>
  <c r="B4102" i="51"/>
  <c r="B4101" i="51"/>
  <c r="B4100" i="51"/>
  <c r="B4099" i="51"/>
  <c r="B4098" i="51"/>
  <c r="B4097" i="51"/>
  <c r="B4096" i="51"/>
  <c r="B4095" i="51"/>
  <c r="B4094" i="51"/>
  <c r="B4093" i="51"/>
  <c r="B4092" i="51"/>
  <c r="B4091" i="51"/>
  <c r="B4090" i="51"/>
  <c r="B4089" i="51"/>
  <c r="B4088" i="51"/>
  <c r="B4087" i="51"/>
  <c r="B4086" i="51"/>
  <c r="B4085" i="51"/>
  <c r="B4084" i="51"/>
  <c r="B4083" i="51"/>
  <c r="B4082" i="51"/>
  <c r="B4081" i="51"/>
  <c r="B4080" i="51"/>
  <c r="B4079" i="51"/>
  <c r="B4078" i="51"/>
  <c r="B4077" i="51"/>
  <c r="B4076" i="51"/>
  <c r="B4075" i="51"/>
  <c r="B4074" i="51"/>
  <c r="B4073" i="51"/>
  <c r="B4072" i="51"/>
  <c r="B4071" i="51"/>
  <c r="B4070" i="51"/>
  <c r="B4069" i="51"/>
  <c r="B4068" i="51"/>
  <c r="B4067" i="51"/>
  <c r="B4066" i="51"/>
  <c r="B4065" i="51"/>
  <c r="B4064" i="51"/>
  <c r="B4063" i="51"/>
  <c r="B4062" i="51"/>
  <c r="B4061" i="51"/>
  <c r="B4060" i="51"/>
  <c r="B4059" i="51"/>
  <c r="B4058" i="51"/>
  <c r="B4057" i="51"/>
  <c r="B4056" i="51"/>
  <c r="B4055" i="51"/>
  <c r="B4054" i="51"/>
  <c r="B4053" i="51"/>
  <c r="B4052" i="51"/>
  <c r="B4051" i="51"/>
  <c r="B4050" i="51"/>
  <c r="B4049" i="51"/>
  <c r="B4048" i="51"/>
  <c r="B4047" i="51"/>
  <c r="B4046" i="51"/>
  <c r="B4045" i="51"/>
  <c r="B4044" i="51"/>
  <c r="B4043" i="51"/>
  <c r="B4042" i="51"/>
  <c r="B4041" i="51"/>
  <c r="B4040" i="51"/>
  <c r="B4039" i="51"/>
  <c r="B4038" i="51"/>
  <c r="B4037" i="51"/>
  <c r="B4036" i="51"/>
  <c r="B4035" i="51"/>
  <c r="B4034" i="51"/>
  <c r="B4033" i="51"/>
  <c r="B4032" i="51"/>
  <c r="B4031" i="51"/>
  <c r="B4030" i="51"/>
  <c r="B4029" i="51"/>
  <c r="B4028" i="51"/>
  <c r="B4027" i="51"/>
  <c r="B4026" i="51"/>
  <c r="B4025" i="51"/>
  <c r="B4024" i="51"/>
  <c r="B4023" i="51"/>
  <c r="B4022" i="51"/>
  <c r="B4021" i="51"/>
  <c r="B4020" i="51"/>
  <c r="B4019" i="51"/>
  <c r="B4018" i="51"/>
  <c r="B4017" i="51"/>
  <c r="B4016" i="51"/>
  <c r="B4015" i="51"/>
  <c r="B4014" i="51"/>
  <c r="B4013" i="51"/>
  <c r="B4012" i="51"/>
  <c r="B4011" i="51"/>
  <c r="B4010" i="51"/>
  <c r="B4009" i="51"/>
  <c r="B4008" i="51"/>
  <c r="B4007" i="51"/>
  <c r="B4006" i="51"/>
  <c r="B4005" i="51"/>
  <c r="B4004" i="51"/>
  <c r="B4003" i="51"/>
  <c r="B4002" i="51"/>
  <c r="B4001" i="51"/>
  <c r="B4000" i="51"/>
  <c r="B3999" i="51"/>
  <c r="B3998" i="51"/>
  <c r="B3997" i="51"/>
  <c r="B3996" i="51"/>
  <c r="B3995" i="51"/>
  <c r="B3994" i="51"/>
  <c r="B3993" i="51"/>
  <c r="B3992" i="51"/>
  <c r="B3991" i="51"/>
  <c r="B3990" i="51"/>
  <c r="B3989" i="51"/>
  <c r="B3988" i="51"/>
  <c r="B3987" i="51"/>
  <c r="B3986" i="51"/>
  <c r="B3985" i="51"/>
  <c r="B3984" i="51"/>
  <c r="B3983" i="51"/>
  <c r="B3982" i="51"/>
  <c r="B3981" i="51"/>
  <c r="B3980" i="51"/>
  <c r="B3979" i="51"/>
  <c r="B3978" i="51"/>
  <c r="B3977" i="51"/>
  <c r="B3976" i="51"/>
  <c r="B3975" i="51"/>
  <c r="B3974" i="51"/>
  <c r="B3973" i="51"/>
  <c r="B3972" i="51"/>
  <c r="B3971" i="51"/>
  <c r="B3970" i="51"/>
  <c r="B3969" i="51"/>
  <c r="B3968" i="51"/>
  <c r="B3967" i="51"/>
  <c r="B3966" i="51"/>
  <c r="B3965" i="51"/>
  <c r="B3964" i="51"/>
  <c r="B3963" i="51"/>
  <c r="B3962" i="51"/>
  <c r="B3961" i="51"/>
  <c r="B3960" i="51"/>
  <c r="B3959" i="51"/>
  <c r="B3958" i="51"/>
  <c r="B3957" i="51"/>
  <c r="B3956" i="51"/>
  <c r="B3955" i="51"/>
  <c r="B3954" i="51"/>
  <c r="B3953" i="51"/>
  <c r="B3952" i="51"/>
  <c r="B3951" i="51"/>
  <c r="B3950" i="51"/>
  <c r="B3949" i="51"/>
  <c r="B3948" i="51"/>
  <c r="B3947" i="51"/>
  <c r="B3946" i="51"/>
  <c r="B3945" i="51"/>
  <c r="B3944" i="51"/>
  <c r="B3943" i="51"/>
  <c r="B3942" i="51"/>
  <c r="B3941" i="51"/>
  <c r="B3940" i="51"/>
  <c r="B3939" i="51"/>
  <c r="B3938" i="51"/>
  <c r="B3937" i="51"/>
  <c r="B3936" i="51"/>
  <c r="B3935" i="51"/>
  <c r="B3934" i="51"/>
  <c r="B3933" i="51"/>
  <c r="B3932" i="51"/>
  <c r="B3931" i="51"/>
  <c r="B3930" i="51"/>
  <c r="B3929" i="51"/>
  <c r="B3928" i="51"/>
  <c r="B3927" i="51"/>
  <c r="B3926" i="51"/>
  <c r="B3925" i="51"/>
  <c r="B3924" i="51"/>
  <c r="B3923" i="51"/>
  <c r="B3922" i="51"/>
  <c r="B3921" i="51"/>
  <c r="B3920" i="51"/>
  <c r="B3919" i="51"/>
  <c r="B3918" i="51"/>
  <c r="B3917" i="51"/>
  <c r="B3916" i="51"/>
  <c r="B3915" i="51"/>
  <c r="B3914" i="51"/>
  <c r="B3913" i="51"/>
  <c r="B3912" i="51"/>
  <c r="B3911" i="51"/>
  <c r="B3910" i="51"/>
  <c r="B3909" i="51"/>
  <c r="B3908" i="51"/>
  <c r="B3907" i="51"/>
  <c r="B3906" i="51"/>
  <c r="B3905" i="51"/>
  <c r="B3904" i="51"/>
  <c r="B3903" i="51"/>
  <c r="B3902" i="51"/>
  <c r="B3901" i="51"/>
  <c r="B3900" i="51"/>
  <c r="B3899" i="51"/>
  <c r="B3898" i="51"/>
  <c r="B3897" i="51"/>
  <c r="B3896" i="51"/>
  <c r="B3895" i="51"/>
  <c r="B3894" i="51"/>
  <c r="B3893" i="51"/>
  <c r="B3892" i="51"/>
  <c r="B3891" i="51"/>
  <c r="B3890" i="51"/>
  <c r="B3889" i="51"/>
  <c r="B3888" i="51"/>
  <c r="B3887" i="51"/>
  <c r="B3886" i="51"/>
  <c r="B3885" i="51"/>
  <c r="B3884" i="51"/>
  <c r="B3883" i="51"/>
  <c r="B3882" i="51"/>
  <c r="B3881" i="51"/>
  <c r="B3880" i="51"/>
  <c r="B3879" i="51"/>
  <c r="B3878" i="51"/>
  <c r="B3877" i="51"/>
  <c r="B3876" i="51"/>
  <c r="B3875" i="51"/>
  <c r="B3874" i="51"/>
  <c r="B3873" i="51"/>
  <c r="B3872" i="51"/>
  <c r="B3871" i="51"/>
  <c r="B3870" i="51"/>
  <c r="B3869" i="51"/>
  <c r="B3868" i="51"/>
  <c r="B3867" i="51"/>
  <c r="B3866" i="51"/>
  <c r="B3865" i="51"/>
  <c r="B3864" i="51"/>
  <c r="B3863" i="51"/>
  <c r="B3862" i="51"/>
  <c r="B3861" i="51"/>
  <c r="B3860" i="51"/>
  <c r="B3859" i="51"/>
  <c r="B3858" i="51"/>
  <c r="B3857" i="51"/>
  <c r="B3856" i="51"/>
  <c r="B3855" i="51"/>
  <c r="B3854" i="51"/>
  <c r="B3853" i="51"/>
  <c r="B3852" i="51"/>
  <c r="B3851" i="51"/>
  <c r="B3850" i="51"/>
  <c r="B3849" i="51"/>
  <c r="B3848" i="51"/>
  <c r="B3847" i="51"/>
  <c r="B3846" i="51"/>
  <c r="B3845" i="51"/>
  <c r="B3844" i="51"/>
  <c r="B3843" i="51"/>
  <c r="B3842" i="51"/>
  <c r="B3841" i="51"/>
  <c r="B3840" i="51"/>
  <c r="B3839" i="51"/>
  <c r="B3838" i="51"/>
  <c r="B3837" i="51"/>
  <c r="B3836" i="51"/>
  <c r="B3835" i="51"/>
  <c r="B3834" i="51"/>
  <c r="B3833" i="51"/>
  <c r="B3832" i="51"/>
  <c r="B3831" i="51"/>
  <c r="B3830" i="51"/>
  <c r="B3829" i="51"/>
  <c r="B3828" i="51"/>
  <c r="B3827" i="51"/>
  <c r="B3826" i="51"/>
  <c r="B3825" i="51"/>
  <c r="B3824" i="51"/>
  <c r="B3823" i="51"/>
  <c r="B3822" i="51"/>
  <c r="B3821" i="51"/>
  <c r="B3820" i="51"/>
  <c r="B3819" i="51"/>
  <c r="B3818" i="51"/>
  <c r="B3817" i="51"/>
  <c r="B3816" i="51"/>
  <c r="B3815" i="51"/>
  <c r="B3814" i="51"/>
  <c r="B3813" i="51"/>
  <c r="B3812" i="51"/>
  <c r="B3811" i="51"/>
  <c r="B3810" i="51"/>
  <c r="B3809" i="51"/>
  <c r="B3808" i="51"/>
  <c r="B3807" i="51"/>
  <c r="B3806" i="51"/>
  <c r="B3805" i="51"/>
  <c r="B3804" i="51"/>
  <c r="B3803" i="51"/>
  <c r="B3802" i="51"/>
  <c r="B3801" i="51"/>
  <c r="B3800" i="51"/>
  <c r="B3799" i="51"/>
  <c r="B3798" i="51"/>
  <c r="B3797" i="51"/>
  <c r="B3796" i="51"/>
  <c r="B3795" i="51"/>
  <c r="B3794" i="51"/>
  <c r="B3793" i="51"/>
  <c r="B3792" i="51"/>
  <c r="B3791" i="51"/>
  <c r="B3790" i="51"/>
  <c r="B3789" i="51"/>
  <c r="B3788" i="51"/>
  <c r="B3787" i="51"/>
  <c r="B3786" i="51"/>
  <c r="B3785" i="51"/>
  <c r="B3784" i="51"/>
  <c r="B3783" i="51"/>
  <c r="B3782" i="51"/>
  <c r="B3781" i="51"/>
  <c r="B3780" i="51"/>
  <c r="B3779" i="51"/>
  <c r="B3778" i="51"/>
  <c r="B3777" i="51"/>
  <c r="B3776" i="51"/>
  <c r="B3775" i="51"/>
  <c r="B3774" i="51"/>
  <c r="B3773" i="51"/>
  <c r="B3772" i="51"/>
  <c r="B3771" i="51"/>
  <c r="B3770" i="51"/>
  <c r="B3769" i="51"/>
  <c r="B3768" i="51"/>
  <c r="B3767" i="51"/>
  <c r="B3766" i="51"/>
  <c r="B3765" i="51"/>
  <c r="B3764" i="51"/>
  <c r="B3763" i="51"/>
  <c r="B3762" i="51"/>
  <c r="B3761" i="51"/>
  <c r="B3760" i="51"/>
  <c r="B3759" i="51"/>
  <c r="B3758" i="51"/>
  <c r="B3757" i="51"/>
  <c r="B3756" i="51"/>
  <c r="B3755" i="51"/>
  <c r="B3754" i="51"/>
  <c r="B3753" i="51"/>
  <c r="B3752" i="51"/>
  <c r="B3751" i="51"/>
  <c r="B3750" i="51"/>
  <c r="B3749" i="51"/>
  <c r="B3748" i="51"/>
  <c r="B3747" i="51"/>
  <c r="B3746" i="51"/>
  <c r="B3745" i="51"/>
  <c r="B3744" i="51"/>
  <c r="B3743" i="51"/>
  <c r="B3742" i="51"/>
  <c r="B3741" i="51"/>
  <c r="B3740" i="51"/>
  <c r="B3739" i="51"/>
  <c r="B3738" i="51"/>
  <c r="B3737" i="51"/>
  <c r="B3736" i="51"/>
  <c r="B3735" i="51"/>
  <c r="B3734" i="51"/>
  <c r="B3733" i="51"/>
  <c r="B3732" i="51"/>
  <c r="B3731" i="51"/>
  <c r="B3730" i="51"/>
  <c r="B3729" i="51"/>
  <c r="B3728" i="51"/>
  <c r="B3727" i="51"/>
  <c r="B3726" i="51"/>
  <c r="B3725" i="51"/>
  <c r="B3724" i="51"/>
  <c r="B3723" i="51"/>
  <c r="B3722" i="51"/>
  <c r="B3721" i="51"/>
  <c r="B3720" i="51"/>
  <c r="B3719" i="51"/>
  <c r="B3718" i="51"/>
  <c r="B3717" i="51"/>
  <c r="B3716" i="51"/>
  <c r="B3715" i="51"/>
  <c r="B3714" i="51"/>
  <c r="B3713" i="51"/>
  <c r="B3712" i="51"/>
  <c r="B3711" i="51"/>
  <c r="B3710" i="51"/>
  <c r="B3709" i="51"/>
  <c r="B3708" i="51"/>
  <c r="B3707" i="51"/>
  <c r="B3706" i="51"/>
  <c r="B3705" i="51"/>
  <c r="B3704" i="51"/>
  <c r="B3703" i="51"/>
  <c r="B3702" i="51"/>
  <c r="B3701" i="51"/>
  <c r="B3700" i="51"/>
  <c r="B3699" i="51"/>
  <c r="B3698" i="51"/>
  <c r="B3697" i="51"/>
  <c r="B3696" i="51"/>
  <c r="B3695" i="51"/>
  <c r="B3694" i="51"/>
  <c r="B3693" i="51"/>
  <c r="B3692" i="51"/>
  <c r="B3691" i="51"/>
  <c r="B3690" i="51"/>
  <c r="B3689" i="51"/>
  <c r="B3688" i="51"/>
  <c r="B3687" i="51"/>
  <c r="B3686" i="51"/>
  <c r="B3685" i="51"/>
  <c r="B3684" i="51"/>
  <c r="B3683" i="51"/>
  <c r="B3682" i="51"/>
  <c r="B3681" i="51"/>
  <c r="B3680" i="51"/>
  <c r="B3679" i="51"/>
  <c r="B3678" i="51"/>
  <c r="B3677" i="51"/>
  <c r="B3676" i="51"/>
  <c r="B3675" i="51"/>
  <c r="B3674" i="51"/>
  <c r="B3673" i="51"/>
  <c r="B3672" i="51"/>
  <c r="B3671" i="51"/>
  <c r="B3670" i="51"/>
  <c r="B3669" i="51"/>
  <c r="B3668" i="51"/>
  <c r="B3667" i="51"/>
  <c r="B3666" i="51"/>
  <c r="B3665" i="51"/>
  <c r="B3664" i="51"/>
  <c r="B3663" i="51"/>
  <c r="B3662" i="51"/>
  <c r="B3661" i="51"/>
  <c r="B3660" i="51"/>
  <c r="B3659" i="51"/>
  <c r="B3658" i="51"/>
  <c r="B3657" i="51"/>
  <c r="B3656" i="51"/>
  <c r="B3655" i="51"/>
  <c r="B3654" i="51"/>
  <c r="B3653" i="51"/>
  <c r="B3652" i="51"/>
  <c r="B3651" i="51"/>
  <c r="B3650" i="51"/>
  <c r="B3649" i="51"/>
  <c r="B3648" i="51"/>
  <c r="B3647" i="51"/>
  <c r="B3646" i="51"/>
  <c r="B3645" i="51"/>
  <c r="B3644" i="51"/>
  <c r="B3643" i="51"/>
  <c r="B3642" i="51"/>
  <c r="B3641" i="51"/>
  <c r="B3640" i="51"/>
  <c r="B3639" i="51"/>
  <c r="B3638" i="51"/>
  <c r="B3637" i="51"/>
  <c r="B3636" i="51"/>
  <c r="B3635" i="51"/>
  <c r="B3634" i="51"/>
  <c r="B3633" i="51"/>
  <c r="B3632" i="51"/>
  <c r="B3631" i="51"/>
  <c r="B3630" i="51"/>
  <c r="B3629" i="51"/>
  <c r="B3628" i="51"/>
  <c r="B3627" i="51"/>
  <c r="B3626" i="51"/>
  <c r="B3625" i="51"/>
  <c r="B3624" i="51"/>
  <c r="B3623" i="51"/>
  <c r="B3622" i="51"/>
  <c r="B3621" i="51"/>
  <c r="B3620" i="51"/>
  <c r="B3619" i="51"/>
  <c r="B3618" i="51"/>
  <c r="B3617" i="51"/>
  <c r="B3616" i="51"/>
  <c r="B3615" i="51"/>
  <c r="B3614" i="51"/>
  <c r="B3613" i="51"/>
  <c r="B3612" i="51"/>
  <c r="B3611" i="51"/>
  <c r="B3610" i="51"/>
  <c r="B3609" i="51"/>
  <c r="B3608" i="51"/>
  <c r="B3607" i="51"/>
  <c r="B3606" i="51"/>
  <c r="B3605" i="51"/>
  <c r="B3604" i="51"/>
  <c r="B3603" i="51"/>
  <c r="B3602" i="51"/>
  <c r="B3601" i="51"/>
  <c r="B3600" i="51"/>
  <c r="B3599" i="51"/>
  <c r="B3598" i="51"/>
  <c r="B3597" i="51"/>
  <c r="B3596" i="51"/>
  <c r="B3595" i="51"/>
  <c r="B3594" i="51"/>
  <c r="B3593" i="51"/>
  <c r="B3592" i="51"/>
  <c r="B3591" i="51"/>
  <c r="B3590" i="51"/>
  <c r="B3589" i="51"/>
  <c r="B3588" i="51"/>
  <c r="B3587" i="51"/>
  <c r="B3586" i="51"/>
  <c r="B3585" i="51"/>
  <c r="B3584" i="51"/>
  <c r="B3583" i="51"/>
  <c r="B3582" i="51"/>
  <c r="B3581" i="51"/>
  <c r="B3580" i="51"/>
  <c r="B3579" i="51"/>
  <c r="B3578" i="51"/>
  <c r="B3577" i="51"/>
  <c r="B3576" i="51"/>
  <c r="B3575" i="51"/>
  <c r="B3574" i="51"/>
  <c r="B3573" i="51"/>
  <c r="B3572" i="51"/>
  <c r="B3571" i="51"/>
  <c r="B3570" i="51"/>
  <c r="B3569" i="51"/>
  <c r="B3568" i="51"/>
  <c r="B3567" i="51"/>
  <c r="B3566" i="51"/>
  <c r="B3565" i="51"/>
  <c r="B3564" i="51"/>
  <c r="B3563" i="51"/>
  <c r="B3562" i="51"/>
  <c r="B3561" i="51"/>
  <c r="B3560" i="51"/>
  <c r="B3559" i="51"/>
  <c r="B3558" i="51"/>
  <c r="B3557" i="51"/>
  <c r="B3556" i="51"/>
  <c r="B3555" i="51"/>
  <c r="B3554" i="51"/>
  <c r="B3553" i="51"/>
  <c r="B3552" i="51"/>
  <c r="B3551" i="51"/>
  <c r="B3550" i="51"/>
  <c r="B3549" i="51"/>
  <c r="B3548" i="51"/>
  <c r="B3547" i="51"/>
  <c r="B3546" i="51"/>
  <c r="B3545" i="51"/>
  <c r="B3544" i="51"/>
  <c r="B3543" i="51"/>
  <c r="B3542" i="51"/>
  <c r="B3541" i="51"/>
  <c r="B3540" i="51"/>
  <c r="B3539" i="51"/>
  <c r="B3538" i="51"/>
  <c r="B3537" i="51"/>
  <c r="B3536" i="51"/>
  <c r="B3535" i="51"/>
  <c r="B3534" i="51"/>
  <c r="B3533" i="51"/>
  <c r="B3532" i="51"/>
  <c r="B3531" i="51"/>
  <c r="B3530" i="51"/>
  <c r="B3529" i="51"/>
  <c r="B3528" i="51"/>
  <c r="B3527" i="51"/>
  <c r="B3526" i="51"/>
  <c r="B3525" i="51"/>
  <c r="B3524" i="51"/>
  <c r="B3523" i="51"/>
  <c r="B3522" i="51"/>
  <c r="B3521" i="51"/>
  <c r="B3520" i="51"/>
  <c r="B3519" i="51"/>
  <c r="B3518" i="51"/>
  <c r="B3517" i="51"/>
  <c r="B3516" i="51"/>
  <c r="B3515" i="51"/>
  <c r="B3514" i="51"/>
  <c r="B3513" i="51"/>
  <c r="B3512" i="51"/>
  <c r="B3511" i="51"/>
  <c r="B3510" i="51"/>
  <c r="B3509" i="51"/>
  <c r="B3508" i="51"/>
  <c r="B3507" i="51"/>
  <c r="B3506" i="51"/>
  <c r="B3505" i="51"/>
  <c r="B3504" i="51"/>
  <c r="B3503" i="51"/>
  <c r="B3502" i="51"/>
  <c r="B3501" i="51"/>
  <c r="B3500" i="51"/>
  <c r="B3499" i="51"/>
  <c r="B3498" i="51"/>
  <c r="B3497" i="51"/>
  <c r="B3496" i="51"/>
  <c r="B3495" i="51"/>
  <c r="B3494" i="51"/>
  <c r="B3493" i="51"/>
  <c r="B3492" i="51"/>
  <c r="B3491" i="51"/>
  <c r="B3490" i="51"/>
  <c r="B3489" i="51"/>
  <c r="B3488" i="51"/>
  <c r="B3487" i="51"/>
  <c r="B3486" i="51"/>
  <c r="B3485" i="51"/>
  <c r="B3484" i="51"/>
  <c r="B3483" i="51"/>
  <c r="B3482" i="51"/>
  <c r="B3481" i="51"/>
  <c r="B3480" i="51"/>
  <c r="B3479" i="51"/>
  <c r="B3478" i="51"/>
  <c r="B3477" i="51"/>
  <c r="B3476" i="51"/>
  <c r="B3475" i="51"/>
  <c r="B3474" i="51"/>
  <c r="B3473" i="51"/>
  <c r="B3472" i="51"/>
  <c r="B3471" i="51"/>
  <c r="B3470" i="51"/>
  <c r="B3469" i="51"/>
  <c r="B3468" i="51"/>
  <c r="B3467" i="51"/>
  <c r="B3466" i="51"/>
  <c r="B3465" i="51"/>
  <c r="B3464" i="51"/>
  <c r="B3463" i="51"/>
  <c r="B3462" i="51"/>
  <c r="B3461" i="51"/>
  <c r="B3460" i="51"/>
  <c r="B3459" i="51"/>
  <c r="B3458" i="51"/>
  <c r="B3457" i="51"/>
  <c r="B3456" i="51"/>
  <c r="B3455" i="51"/>
  <c r="B3454" i="51"/>
  <c r="B3453" i="51"/>
  <c r="B3452" i="51"/>
  <c r="B3451" i="51"/>
  <c r="B3450" i="51"/>
  <c r="B3449" i="51"/>
  <c r="B3448" i="51"/>
  <c r="B3447" i="51"/>
  <c r="B3446" i="51"/>
  <c r="B3445" i="51"/>
  <c r="B3444" i="51"/>
  <c r="B3443" i="51"/>
  <c r="B3442" i="51"/>
  <c r="B3441" i="51"/>
  <c r="B3440" i="51"/>
  <c r="B3439" i="51"/>
  <c r="B3438" i="51"/>
  <c r="B3437" i="51"/>
  <c r="B3436" i="51"/>
  <c r="B3435" i="51"/>
  <c r="B3434" i="51"/>
  <c r="B3433" i="51"/>
  <c r="B3432" i="51"/>
  <c r="B3431" i="51"/>
  <c r="B3430" i="51"/>
  <c r="B3429" i="51"/>
  <c r="B3428" i="51"/>
  <c r="B3427" i="51"/>
  <c r="B3426" i="51"/>
  <c r="B3425" i="51"/>
  <c r="B3424" i="51"/>
  <c r="B3423" i="51"/>
  <c r="B3422" i="51"/>
  <c r="B3421" i="51"/>
  <c r="B3420" i="51"/>
  <c r="B3419" i="51"/>
  <c r="B3418" i="51"/>
  <c r="B3417" i="51"/>
  <c r="B3416" i="51"/>
  <c r="B3415" i="51"/>
  <c r="B3414" i="51"/>
  <c r="B3413" i="51"/>
  <c r="B3412" i="51"/>
  <c r="B3411" i="51"/>
  <c r="B3410" i="51"/>
  <c r="B3409" i="51"/>
  <c r="B3408" i="51"/>
  <c r="B3407" i="51"/>
  <c r="B3406" i="51"/>
  <c r="B3405" i="51"/>
  <c r="B3404" i="51"/>
  <c r="B3403" i="51"/>
  <c r="B3402" i="51"/>
  <c r="B3401" i="51"/>
  <c r="B3400" i="51"/>
  <c r="B3399" i="51"/>
  <c r="B3398" i="51"/>
  <c r="B3397" i="51"/>
  <c r="B3396" i="51"/>
  <c r="B3395" i="51"/>
  <c r="B3394" i="51"/>
  <c r="B3393" i="51"/>
  <c r="B3392" i="51"/>
  <c r="B3391" i="51"/>
  <c r="B3390" i="51"/>
  <c r="B3389" i="51"/>
  <c r="B3388" i="51"/>
  <c r="B3387" i="51"/>
  <c r="B3386" i="51"/>
  <c r="B3385" i="51"/>
  <c r="B3384" i="51"/>
  <c r="B3383" i="51"/>
  <c r="B3382" i="51"/>
  <c r="B3381" i="51"/>
  <c r="B3380" i="51"/>
  <c r="B3379" i="51"/>
  <c r="B3378" i="51"/>
  <c r="B3377" i="51"/>
  <c r="B3376" i="51"/>
  <c r="B3375" i="51"/>
  <c r="B3374" i="51"/>
  <c r="B3373" i="51"/>
  <c r="B3372" i="51"/>
  <c r="B3371" i="51"/>
  <c r="B3370" i="51"/>
  <c r="B3369" i="51"/>
  <c r="B3368" i="51"/>
  <c r="B3367" i="51"/>
  <c r="B3366" i="51"/>
  <c r="B3365" i="51"/>
  <c r="B3364" i="51"/>
  <c r="B3363" i="51"/>
  <c r="B3362" i="51"/>
  <c r="B3361" i="51"/>
  <c r="B3360" i="51"/>
  <c r="B3359" i="51"/>
  <c r="B3358" i="51"/>
  <c r="B3357" i="51"/>
  <c r="B3356" i="51"/>
  <c r="B3355" i="51"/>
  <c r="B3354" i="51"/>
  <c r="B3353" i="51"/>
  <c r="B3352" i="51"/>
  <c r="B3351" i="51"/>
  <c r="B3350" i="51"/>
  <c r="B3349" i="51"/>
  <c r="B3348" i="51"/>
  <c r="B3347" i="51"/>
  <c r="B3346" i="51"/>
  <c r="B3345" i="51"/>
  <c r="B3344" i="51"/>
  <c r="B3343" i="51"/>
  <c r="B3342" i="51"/>
  <c r="B3341" i="51"/>
  <c r="B3340" i="51"/>
  <c r="B3339" i="51"/>
  <c r="B3338" i="51"/>
  <c r="B3337" i="51"/>
  <c r="B3336" i="51"/>
  <c r="B3335" i="51"/>
  <c r="B3334" i="51"/>
  <c r="B3333" i="51"/>
  <c r="B3332" i="51"/>
  <c r="B3331" i="51"/>
  <c r="B3330" i="51"/>
  <c r="B3329" i="51"/>
  <c r="B3328" i="51"/>
  <c r="B3327" i="51"/>
  <c r="B3326" i="51"/>
  <c r="B3325" i="51"/>
  <c r="B3324" i="51"/>
  <c r="B3323" i="51"/>
  <c r="B3322" i="51"/>
  <c r="B3321" i="51"/>
  <c r="B3320" i="51"/>
  <c r="B3319" i="51"/>
  <c r="B3318" i="51"/>
  <c r="B3317" i="51"/>
  <c r="B3316" i="51"/>
  <c r="B3315" i="51"/>
  <c r="B3314" i="51"/>
  <c r="B3313" i="51"/>
  <c r="B3312" i="51"/>
  <c r="B3311" i="51"/>
  <c r="B3310" i="51"/>
  <c r="B3309" i="51"/>
  <c r="B3308" i="51"/>
  <c r="B3307" i="51"/>
  <c r="B3306" i="51"/>
  <c r="B3305" i="51"/>
  <c r="B3304" i="51"/>
  <c r="B3303" i="51"/>
  <c r="B3302" i="51"/>
  <c r="B3301" i="51"/>
  <c r="B3300" i="51"/>
  <c r="B3299" i="51"/>
  <c r="B3298" i="51"/>
  <c r="B3297" i="51"/>
  <c r="B3296" i="51"/>
  <c r="B3295" i="51"/>
  <c r="B3294" i="51"/>
  <c r="B3293" i="51"/>
  <c r="B3292" i="51"/>
  <c r="B3291" i="51"/>
  <c r="B3290" i="51"/>
  <c r="B3289" i="51"/>
  <c r="B3288" i="51"/>
  <c r="B3287" i="51"/>
  <c r="B3286" i="51"/>
  <c r="B3285" i="51"/>
  <c r="B3284" i="51"/>
  <c r="B3283" i="51"/>
  <c r="B3282" i="51"/>
  <c r="B3281" i="51"/>
  <c r="B3280" i="51"/>
  <c r="B3279" i="51"/>
  <c r="B3278" i="51"/>
  <c r="B3277" i="51"/>
  <c r="B3276" i="51"/>
  <c r="B3275" i="51"/>
  <c r="B3274" i="51"/>
  <c r="B3273" i="51"/>
  <c r="B3272" i="51"/>
  <c r="B3271" i="51"/>
  <c r="B3270" i="51"/>
  <c r="B3269" i="51"/>
  <c r="B3268" i="51"/>
  <c r="B3267" i="51"/>
  <c r="B3266" i="51"/>
  <c r="B3265" i="51"/>
  <c r="B3264" i="51"/>
  <c r="B3263" i="51"/>
  <c r="B3262" i="51"/>
  <c r="B3261" i="51"/>
  <c r="B3260" i="51"/>
  <c r="B3259" i="51"/>
  <c r="B3258" i="51"/>
  <c r="B3257" i="51"/>
  <c r="B3256" i="51"/>
  <c r="B3255" i="51"/>
  <c r="B3254" i="51"/>
  <c r="B3253" i="51"/>
  <c r="B3252" i="51"/>
  <c r="B3251" i="51"/>
  <c r="B3250" i="51"/>
  <c r="B3249" i="51"/>
  <c r="B3248" i="51"/>
  <c r="B3247" i="51"/>
  <c r="B3246" i="51"/>
  <c r="B3245" i="51"/>
  <c r="B3244" i="51"/>
  <c r="B3243" i="51"/>
  <c r="B3242" i="51"/>
  <c r="B3241" i="51"/>
  <c r="B3240" i="51"/>
  <c r="B3239" i="51"/>
  <c r="B3238" i="51"/>
  <c r="B3237" i="51"/>
  <c r="B3236" i="51"/>
  <c r="B3235" i="51"/>
  <c r="B3234" i="51"/>
  <c r="B3233" i="51"/>
  <c r="B3232" i="51"/>
  <c r="B3231" i="51"/>
  <c r="B3230" i="51"/>
  <c r="B3229" i="51"/>
  <c r="B3228" i="51"/>
  <c r="B3227" i="51"/>
  <c r="B3226" i="51"/>
  <c r="B3225" i="51"/>
  <c r="B3224" i="51"/>
  <c r="B3223" i="51"/>
  <c r="B3222" i="51"/>
  <c r="B3221" i="51"/>
  <c r="B3220" i="51"/>
  <c r="B3219" i="51"/>
  <c r="B3218" i="51"/>
  <c r="B3217" i="51"/>
  <c r="B3216" i="51"/>
  <c r="B3215" i="51"/>
  <c r="B3214" i="51"/>
  <c r="B3213" i="51"/>
  <c r="B3212" i="51"/>
  <c r="B3211" i="51"/>
  <c r="B3210" i="51"/>
  <c r="B3209" i="51"/>
  <c r="B3208" i="51"/>
  <c r="B3207" i="51"/>
  <c r="B3206" i="51"/>
  <c r="B3205" i="51"/>
  <c r="B3204" i="51"/>
  <c r="B3203" i="51"/>
  <c r="B3202" i="51"/>
  <c r="B3201" i="51"/>
  <c r="B3200" i="51"/>
  <c r="B3199" i="51"/>
  <c r="B3198" i="51"/>
  <c r="B3197" i="51"/>
  <c r="B3196" i="51"/>
  <c r="B3195" i="51"/>
  <c r="B3194" i="51"/>
  <c r="B3193" i="51"/>
  <c r="B3192" i="51"/>
  <c r="B3191" i="51"/>
  <c r="B3190" i="51"/>
  <c r="B3189" i="51"/>
  <c r="B3188" i="51"/>
  <c r="B3187" i="51"/>
  <c r="B3186" i="51"/>
  <c r="B3185" i="51"/>
  <c r="B3184" i="51"/>
  <c r="B3183" i="51"/>
  <c r="B3182" i="51"/>
  <c r="B3181" i="51"/>
  <c r="B3180" i="51"/>
  <c r="B3179" i="51"/>
  <c r="B3178" i="51"/>
  <c r="B3177" i="51"/>
  <c r="B3176" i="51"/>
  <c r="B3175" i="51"/>
  <c r="B3174" i="51"/>
  <c r="B3173" i="51"/>
  <c r="B3172" i="51"/>
  <c r="B3171" i="51"/>
  <c r="B3170" i="51"/>
  <c r="B3169" i="51"/>
  <c r="B3168" i="51"/>
  <c r="B3167" i="51"/>
  <c r="B3166" i="51"/>
  <c r="B3165" i="51"/>
  <c r="B3164" i="51"/>
  <c r="B3163" i="51"/>
  <c r="B3162" i="51"/>
  <c r="B3161" i="51"/>
  <c r="B3160" i="51"/>
  <c r="B3159" i="51"/>
  <c r="B3158" i="51"/>
  <c r="B3157" i="51"/>
  <c r="B3156" i="51"/>
  <c r="B3155" i="51"/>
  <c r="B3154" i="51"/>
  <c r="B3153" i="51"/>
  <c r="B3152" i="51"/>
  <c r="B3151" i="51"/>
  <c r="B3150" i="51"/>
  <c r="B3149" i="51"/>
  <c r="B3148" i="51"/>
  <c r="B3147" i="51"/>
  <c r="B3146" i="51"/>
  <c r="B3145" i="51"/>
  <c r="B3144" i="51"/>
  <c r="B3143" i="51"/>
  <c r="B3142" i="51"/>
  <c r="B3141" i="51"/>
  <c r="B3140" i="51"/>
  <c r="B3139" i="51"/>
  <c r="B3138" i="51"/>
  <c r="B3137" i="51"/>
  <c r="B3136" i="51"/>
  <c r="B3135" i="51"/>
  <c r="B3134" i="51"/>
  <c r="B3133" i="51"/>
  <c r="B3132" i="51"/>
  <c r="B3131" i="51"/>
  <c r="B3130" i="51"/>
  <c r="B3129" i="51"/>
  <c r="B3128" i="51"/>
  <c r="B3127" i="51"/>
  <c r="B3126" i="51"/>
  <c r="B3125" i="51"/>
  <c r="B3124" i="51"/>
  <c r="B3123" i="51"/>
  <c r="B3122" i="51"/>
  <c r="B3121" i="51"/>
  <c r="B3120" i="51"/>
  <c r="B3119" i="51"/>
  <c r="B3118" i="51"/>
  <c r="B3117" i="51"/>
  <c r="B3116" i="51"/>
  <c r="B3115" i="51"/>
  <c r="B3114" i="51"/>
  <c r="B3113" i="51"/>
  <c r="B3112" i="51"/>
  <c r="B3111" i="51"/>
  <c r="B3110" i="51"/>
  <c r="B3109" i="51"/>
  <c r="B3108" i="51"/>
  <c r="B3107" i="51"/>
  <c r="B3106" i="51"/>
  <c r="B3105" i="51"/>
  <c r="B3104" i="51"/>
  <c r="B3103" i="51"/>
  <c r="B3102" i="51"/>
  <c r="B3101" i="51"/>
  <c r="B3100" i="51"/>
  <c r="B3099" i="51"/>
  <c r="B3098" i="51"/>
  <c r="B3097" i="51"/>
  <c r="B3096" i="51"/>
  <c r="B3095" i="51"/>
  <c r="B3094" i="51"/>
  <c r="B3093" i="51"/>
  <c r="B3092" i="51"/>
  <c r="B3091" i="51"/>
  <c r="B3090" i="51"/>
  <c r="B3089" i="51"/>
  <c r="B3088" i="51"/>
  <c r="B3087" i="51"/>
  <c r="B3086" i="51"/>
  <c r="B3085" i="51"/>
  <c r="B3084" i="51"/>
  <c r="B3083" i="51"/>
  <c r="B3082" i="51"/>
  <c r="B3081" i="51"/>
  <c r="B3080" i="51"/>
  <c r="B3079" i="51"/>
  <c r="B3078" i="51"/>
  <c r="B3077" i="51"/>
  <c r="B3076" i="51"/>
  <c r="B3075" i="51"/>
  <c r="B3074" i="51"/>
  <c r="B3073" i="51"/>
  <c r="B3072" i="51"/>
  <c r="B3071" i="51"/>
  <c r="B3070" i="51"/>
  <c r="B3069" i="51"/>
  <c r="B3068" i="51"/>
  <c r="B3067" i="51"/>
  <c r="B3066" i="51"/>
  <c r="B3065" i="51"/>
  <c r="B3064" i="51"/>
  <c r="B3063" i="51"/>
  <c r="B3062" i="51"/>
  <c r="B3061" i="51"/>
  <c r="B3060" i="51"/>
  <c r="B3059" i="51"/>
  <c r="B3058" i="51"/>
  <c r="B3057" i="51"/>
  <c r="B3056" i="51"/>
  <c r="B3055" i="51"/>
  <c r="B3054" i="51"/>
  <c r="B3053" i="51"/>
  <c r="B3052" i="51"/>
  <c r="B3051" i="51"/>
  <c r="B3050" i="51"/>
  <c r="B3049" i="51"/>
  <c r="B3048" i="51"/>
  <c r="B3047" i="51"/>
  <c r="B3046" i="51"/>
  <c r="B3045" i="51"/>
  <c r="B3044" i="51"/>
  <c r="B3043" i="51"/>
  <c r="B3042" i="51"/>
  <c r="B3041" i="51"/>
  <c r="B3040" i="51"/>
  <c r="B3039" i="51"/>
  <c r="B3038" i="51"/>
  <c r="B3037" i="51"/>
  <c r="B3036" i="51"/>
  <c r="B3035" i="51"/>
  <c r="B3034" i="51"/>
  <c r="B3033" i="51"/>
  <c r="B3032" i="51"/>
  <c r="B3031" i="51"/>
  <c r="B3030" i="51"/>
  <c r="B3029" i="51"/>
  <c r="B3028" i="51"/>
  <c r="B3027" i="51"/>
  <c r="B3026" i="51"/>
  <c r="B3025" i="51"/>
  <c r="B3024" i="51"/>
  <c r="B3023" i="51"/>
  <c r="B3022" i="51"/>
  <c r="B3021" i="51"/>
  <c r="B3020" i="51"/>
  <c r="B3019" i="51"/>
  <c r="B3018" i="51"/>
  <c r="B3017" i="51"/>
  <c r="B3016" i="51"/>
  <c r="B3015" i="51"/>
  <c r="B3014" i="51"/>
  <c r="B3013" i="51"/>
  <c r="B3012" i="51"/>
  <c r="B3011" i="51"/>
  <c r="B3010" i="51"/>
  <c r="B3009" i="51"/>
  <c r="B3008" i="51"/>
  <c r="B3007" i="51"/>
  <c r="B3006" i="51"/>
  <c r="B3005" i="51"/>
  <c r="B3004" i="51"/>
  <c r="B3003" i="51"/>
  <c r="B3002" i="51"/>
  <c r="B3001" i="51"/>
  <c r="B3000" i="51"/>
  <c r="B2999" i="51"/>
  <c r="B2998" i="51"/>
  <c r="B2997" i="51"/>
  <c r="B2996" i="51"/>
  <c r="B2995" i="51"/>
  <c r="B2994" i="51"/>
  <c r="B2993" i="51"/>
  <c r="B2992" i="51"/>
  <c r="B2991" i="51"/>
  <c r="B2990" i="51"/>
  <c r="B2989" i="51"/>
  <c r="B2988" i="51"/>
  <c r="B2987" i="51"/>
  <c r="B2986" i="51"/>
  <c r="B2985" i="51"/>
  <c r="B2984" i="51"/>
  <c r="B2983" i="51"/>
  <c r="B2982" i="51"/>
  <c r="B2981" i="51"/>
  <c r="B2980" i="51"/>
  <c r="B2979" i="51"/>
  <c r="B2978" i="51"/>
  <c r="B2977" i="51"/>
  <c r="B2976" i="51"/>
  <c r="B2975" i="51"/>
  <c r="B2974" i="51"/>
  <c r="B2973" i="51"/>
  <c r="B2972" i="51"/>
  <c r="B2971" i="51"/>
  <c r="B2970" i="51"/>
  <c r="B2969" i="51"/>
  <c r="B2968" i="51"/>
  <c r="B2967" i="51"/>
  <c r="B2966" i="51"/>
  <c r="B2965" i="51"/>
  <c r="B2964" i="51"/>
  <c r="B2963" i="51"/>
  <c r="B2962" i="51"/>
  <c r="B2961" i="51"/>
  <c r="B2960" i="51"/>
  <c r="B2959" i="51"/>
  <c r="B2958" i="51"/>
  <c r="B2957" i="51"/>
  <c r="B2956" i="51"/>
  <c r="B2955" i="51"/>
  <c r="B2954" i="51"/>
  <c r="B2953" i="51"/>
  <c r="B2952" i="51"/>
  <c r="B2951" i="51"/>
  <c r="B2950" i="51"/>
  <c r="B2949" i="51"/>
  <c r="B2948" i="51"/>
  <c r="B2947" i="51"/>
  <c r="B2946" i="51"/>
  <c r="B2945" i="51"/>
  <c r="B2944" i="51"/>
  <c r="B2943" i="51"/>
  <c r="B2942" i="51"/>
  <c r="B2941" i="51"/>
  <c r="B2940" i="51"/>
  <c r="B2939" i="51"/>
  <c r="B2938" i="51"/>
  <c r="B2937" i="51"/>
  <c r="B2936" i="51"/>
  <c r="B2935" i="51"/>
  <c r="B2934" i="51"/>
  <c r="B2933" i="51"/>
  <c r="B2932" i="51"/>
  <c r="B2931" i="51"/>
  <c r="B2930" i="51"/>
  <c r="B2929" i="51"/>
  <c r="B2928" i="51"/>
  <c r="B2927" i="51"/>
  <c r="B2926" i="51"/>
  <c r="B2925" i="51"/>
  <c r="B2924" i="51"/>
  <c r="B2923" i="51"/>
  <c r="B2922" i="51"/>
  <c r="B2921" i="51"/>
  <c r="B2920" i="51"/>
  <c r="B2919" i="51"/>
  <c r="B2918" i="51"/>
  <c r="B2917" i="51"/>
  <c r="B2916" i="51"/>
  <c r="B2915" i="51"/>
  <c r="B2914" i="51"/>
  <c r="B2913" i="51"/>
  <c r="B2912" i="51"/>
  <c r="B2911" i="51"/>
  <c r="B2910" i="51"/>
  <c r="B2909" i="51"/>
  <c r="B2908" i="51"/>
  <c r="B2907" i="51"/>
  <c r="B2906" i="51"/>
  <c r="B2905" i="51"/>
  <c r="B2904" i="51"/>
  <c r="B2903" i="51"/>
  <c r="B2902" i="51"/>
  <c r="B2901" i="51"/>
  <c r="B2900" i="51"/>
  <c r="B2899" i="51"/>
  <c r="B2898" i="51"/>
  <c r="B2897" i="51"/>
  <c r="B2896" i="51"/>
  <c r="B2895" i="51"/>
  <c r="B2894" i="51"/>
  <c r="B2893" i="51"/>
  <c r="B2892" i="51"/>
  <c r="B2891" i="51"/>
  <c r="B2890" i="51"/>
  <c r="B2889" i="51"/>
  <c r="B2888" i="51"/>
  <c r="B2887" i="51"/>
  <c r="B2886" i="51"/>
  <c r="B2885" i="51"/>
  <c r="B2884" i="51"/>
  <c r="B2883" i="51"/>
  <c r="B2882" i="51"/>
  <c r="B2881" i="51"/>
  <c r="B2880" i="51"/>
  <c r="B2879" i="51"/>
  <c r="B2878" i="51"/>
  <c r="B2877" i="51"/>
  <c r="B2876" i="51"/>
  <c r="B2875" i="51"/>
  <c r="B2874" i="51"/>
  <c r="B2873" i="51"/>
  <c r="B2872" i="51"/>
  <c r="B2871" i="51"/>
  <c r="B2870" i="51"/>
  <c r="B2869" i="51"/>
  <c r="B2868" i="51"/>
  <c r="B2867" i="51"/>
  <c r="B2866" i="51"/>
  <c r="B2865" i="51"/>
  <c r="B2864" i="51"/>
  <c r="B2863" i="51"/>
  <c r="B2862" i="51"/>
  <c r="B2861" i="51"/>
  <c r="B2860" i="51"/>
  <c r="B2859" i="51"/>
  <c r="B2858" i="51"/>
  <c r="B2857" i="51"/>
  <c r="B2856" i="51"/>
  <c r="B2855" i="51"/>
  <c r="B2854" i="51"/>
  <c r="B2853" i="51"/>
  <c r="B2852" i="51"/>
  <c r="B2851" i="51"/>
  <c r="B2850" i="51"/>
  <c r="B2849" i="51"/>
  <c r="B2848" i="51"/>
  <c r="B2847" i="51"/>
  <c r="B2846" i="51"/>
  <c r="B2845" i="51"/>
  <c r="B2844" i="51"/>
  <c r="B2843" i="51"/>
  <c r="B2842" i="51"/>
  <c r="B2841" i="51"/>
  <c r="B2840" i="51"/>
  <c r="B2839" i="51"/>
  <c r="B2838" i="51"/>
  <c r="B2837" i="51"/>
  <c r="B2836" i="51"/>
  <c r="B2835" i="51"/>
  <c r="B2834" i="51"/>
  <c r="B2833" i="51"/>
  <c r="B2832" i="51"/>
  <c r="B2831" i="51"/>
  <c r="B2830" i="51"/>
  <c r="B2829" i="51"/>
  <c r="B2828" i="51"/>
  <c r="B2827" i="51"/>
  <c r="B2826" i="51"/>
  <c r="B2825" i="51"/>
  <c r="B2824" i="51"/>
  <c r="B2823" i="51"/>
  <c r="B2822" i="51"/>
  <c r="B2821" i="51"/>
  <c r="B2820" i="51"/>
  <c r="B2819" i="51"/>
  <c r="B2818" i="51"/>
  <c r="B2817" i="51"/>
  <c r="B2816" i="51"/>
  <c r="B2815" i="51"/>
  <c r="B2814" i="51"/>
  <c r="B2813" i="51"/>
  <c r="B2812" i="51"/>
  <c r="B2811" i="51"/>
  <c r="B2810" i="51"/>
  <c r="B2809" i="51"/>
  <c r="B2808" i="51"/>
  <c r="B2807" i="51"/>
  <c r="B2806" i="51"/>
  <c r="B2805" i="51"/>
  <c r="B2804" i="51"/>
  <c r="B2803" i="51"/>
  <c r="B2802" i="51"/>
  <c r="B2801" i="51"/>
  <c r="B2800" i="51"/>
  <c r="B2799" i="51"/>
  <c r="B2798" i="51"/>
  <c r="B2797" i="51"/>
  <c r="B2796" i="51"/>
  <c r="B2795" i="51"/>
  <c r="B2794" i="51"/>
  <c r="B2793" i="51"/>
  <c r="B2792" i="51"/>
  <c r="B2791" i="51"/>
  <c r="B2790" i="51"/>
  <c r="B2789" i="51"/>
  <c r="B2788" i="51"/>
  <c r="B2787" i="51"/>
  <c r="B2786" i="51"/>
  <c r="B2785" i="51"/>
  <c r="B2784" i="51"/>
  <c r="B2783" i="51"/>
  <c r="B2782" i="51"/>
  <c r="B2781" i="51"/>
  <c r="B2780" i="51"/>
  <c r="B2779" i="51"/>
  <c r="B2778" i="51"/>
  <c r="B2777" i="51"/>
  <c r="B2776" i="51"/>
  <c r="B2775" i="51"/>
  <c r="B2774" i="51"/>
  <c r="B2773" i="51"/>
  <c r="B2772" i="51"/>
  <c r="B2771" i="51"/>
  <c r="B2770" i="51"/>
  <c r="B2769" i="51"/>
  <c r="B2768" i="51"/>
  <c r="B2767" i="51"/>
  <c r="B2766" i="51"/>
  <c r="B2765" i="51"/>
  <c r="B2764" i="51"/>
  <c r="B2763" i="51"/>
  <c r="B2762" i="51"/>
  <c r="B2761" i="51"/>
  <c r="B2760" i="51"/>
  <c r="B2759" i="51"/>
  <c r="B2758" i="51"/>
  <c r="B2757" i="51"/>
  <c r="B2756" i="51"/>
  <c r="B2755" i="51"/>
  <c r="B2754" i="51"/>
  <c r="B2753" i="51"/>
  <c r="B2752" i="51"/>
  <c r="B2751" i="51"/>
  <c r="B2750" i="51"/>
  <c r="B2749" i="51"/>
  <c r="B2748" i="51"/>
  <c r="B2747" i="51"/>
  <c r="B2746" i="51"/>
  <c r="B2745" i="51"/>
  <c r="B2744" i="51"/>
  <c r="B2743" i="51"/>
  <c r="B2742" i="51"/>
  <c r="B2741" i="51"/>
  <c r="B2740" i="51"/>
  <c r="B2739" i="51"/>
  <c r="B2738" i="51"/>
  <c r="B2737" i="51"/>
  <c r="B2736" i="51"/>
  <c r="B2735" i="51"/>
  <c r="B2734" i="51"/>
  <c r="B2733" i="51"/>
  <c r="B2732" i="51"/>
  <c r="B2731" i="51"/>
  <c r="B2730" i="51"/>
  <c r="B2729" i="51"/>
  <c r="B2728" i="51"/>
  <c r="B2727" i="51"/>
  <c r="B2726" i="51"/>
  <c r="B2725" i="51"/>
  <c r="B2724" i="51"/>
  <c r="B2723" i="51"/>
  <c r="B2722" i="51"/>
  <c r="B2721" i="51"/>
  <c r="B2720" i="51"/>
  <c r="B2719" i="51"/>
  <c r="B2718" i="51"/>
  <c r="B2717" i="51"/>
  <c r="B2716" i="51"/>
  <c r="B2715" i="51"/>
  <c r="B2714" i="51"/>
  <c r="B2713" i="51"/>
  <c r="B2712" i="51"/>
  <c r="B2711" i="51"/>
  <c r="B2710" i="51"/>
  <c r="B2709" i="51"/>
  <c r="B2708" i="51"/>
  <c r="B2707" i="51"/>
  <c r="B2706" i="51"/>
  <c r="B2705" i="51"/>
  <c r="B2704" i="51"/>
  <c r="B2703" i="51"/>
  <c r="B2702" i="51"/>
  <c r="B2701" i="51"/>
  <c r="B2700" i="51"/>
  <c r="B2699" i="51"/>
  <c r="B2698" i="51"/>
  <c r="B2697" i="51"/>
  <c r="B2696" i="51"/>
  <c r="B2695" i="51"/>
  <c r="B2694" i="51"/>
  <c r="B2693" i="51"/>
  <c r="B2692" i="51"/>
  <c r="B2691" i="51"/>
  <c r="B2690" i="51"/>
  <c r="B2689" i="51"/>
  <c r="B2688" i="51"/>
  <c r="B2687" i="51"/>
  <c r="B2686" i="51"/>
  <c r="B2685" i="51"/>
  <c r="B2684" i="51"/>
  <c r="B2683" i="51"/>
  <c r="B2682" i="51"/>
  <c r="B2681" i="51"/>
  <c r="B2680" i="51"/>
  <c r="B2679" i="51"/>
  <c r="B2678" i="51"/>
  <c r="B2677" i="51"/>
  <c r="B2676" i="51"/>
  <c r="B2675" i="51"/>
  <c r="B2674" i="51"/>
  <c r="B2673" i="51"/>
  <c r="B2672" i="51"/>
  <c r="B2671" i="51"/>
  <c r="B2670" i="51"/>
  <c r="B2669" i="51"/>
  <c r="B2668" i="51"/>
  <c r="B2667" i="51"/>
  <c r="B2666" i="51"/>
  <c r="B2665" i="51"/>
  <c r="B2664" i="51"/>
  <c r="B2663" i="51"/>
  <c r="B2662" i="51"/>
  <c r="B2661" i="51"/>
  <c r="B2660" i="51"/>
  <c r="B2659" i="51"/>
  <c r="B2658" i="51"/>
  <c r="B2657" i="51"/>
  <c r="B2656" i="51"/>
  <c r="B2655" i="51"/>
  <c r="B2654" i="51"/>
  <c r="B2653" i="51"/>
  <c r="B2652" i="51"/>
  <c r="B2651" i="51"/>
  <c r="B2650" i="51"/>
  <c r="B2649" i="51"/>
  <c r="B2648" i="51"/>
  <c r="B2647" i="51"/>
  <c r="B2646" i="51"/>
  <c r="B2645" i="51"/>
  <c r="B2644" i="51"/>
  <c r="B2643" i="51"/>
  <c r="B2642" i="51"/>
  <c r="B2641" i="51"/>
  <c r="B2640" i="51"/>
  <c r="B2639" i="51"/>
  <c r="B2638" i="51"/>
  <c r="B2637" i="51"/>
  <c r="B2636" i="51"/>
  <c r="B2635" i="51"/>
  <c r="B2634" i="51"/>
  <c r="B2633" i="51"/>
  <c r="B2632" i="51"/>
  <c r="B2631" i="51"/>
  <c r="B2630" i="51"/>
  <c r="B2629" i="51"/>
  <c r="B2628" i="51"/>
  <c r="B2627" i="51"/>
  <c r="B2626" i="51"/>
  <c r="B2625" i="51"/>
  <c r="B2624" i="51"/>
  <c r="B2623" i="51"/>
  <c r="B2622" i="51"/>
  <c r="B2621" i="51"/>
  <c r="B2620" i="51"/>
  <c r="B2619" i="51"/>
  <c r="B2618" i="51"/>
  <c r="B2617" i="51"/>
  <c r="B2616" i="51"/>
  <c r="B2615" i="51"/>
  <c r="B2614" i="51"/>
  <c r="B2613" i="51"/>
  <c r="B2612" i="51"/>
  <c r="B2611" i="51"/>
  <c r="B2610" i="51"/>
  <c r="B2609" i="51"/>
  <c r="B2608" i="51"/>
  <c r="B2607" i="51"/>
  <c r="B2606" i="51"/>
  <c r="B2605" i="51"/>
  <c r="B2604" i="51"/>
  <c r="B2603" i="51"/>
  <c r="B2602" i="51"/>
  <c r="B2601" i="51"/>
  <c r="B2600" i="51"/>
  <c r="B2599" i="51"/>
  <c r="B2598" i="51"/>
  <c r="B2597" i="51"/>
  <c r="B2596" i="51"/>
  <c r="B2595" i="51"/>
  <c r="B2594" i="51"/>
  <c r="B2593" i="51"/>
  <c r="B2592" i="51"/>
  <c r="B2591" i="51"/>
  <c r="B2590" i="51"/>
  <c r="B2589" i="51"/>
  <c r="B2588" i="51"/>
  <c r="B2587" i="51"/>
  <c r="B2586" i="51"/>
  <c r="B2585" i="51"/>
  <c r="B2584" i="51"/>
  <c r="B2583" i="51"/>
  <c r="B2582" i="51"/>
  <c r="B2581" i="51"/>
  <c r="B2580" i="51"/>
  <c r="B2579" i="51"/>
  <c r="B2578" i="51"/>
  <c r="B2577" i="51"/>
  <c r="B2576" i="51"/>
  <c r="B2575" i="51"/>
  <c r="B2574" i="51"/>
  <c r="B2573" i="51"/>
  <c r="B2572" i="51"/>
  <c r="B2571" i="51"/>
  <c r="B2570" i="51"/>
  <c r="B2569" i="51"/>
  <c r="B2568" i="51"/>
  <c r="B2567" i="51"/>
  <c r="B2566" i="51"/>
  <c r="B2565" i="51"/>
  <c r="B2564" i="51"/>
  <c r="B2563" i="51"/>
  <c r="B2562" i="51"/>
  <c r="B2561" i="51"/>
  <c r="B2560" i="51"/>
  <c r="B2559" i="51"/>
  <c r="B2558" i="51"/>
  <c r="B2557" i="51"/>
  <c r="B2556" i="51"/>
  <c r="B2555" i="51"/>
  <c r="B2554" i="51"/>
  <c r="B2553" i="51"/>
  <c r="B2552" i="51"/>
  <c r="B2551" i="51"/>
  <c r="B2550" i="51"/>
  <c r="B2549" i="51"/>
  <c r="B2548" i="51"/>
  <c r="B2547" i="51"/>
  <c r="B2546" i="51"/>
  <c r="B2545" i="51"/>
  <c r="B2544" i="51"/>
  <c r="B2543" i="51"/>
  <c r="B2542" i="51"/>
  <c r="B2541" i="51"/>
  <c r="B2540" i="51"/>
  <c r="B2539" i="51"/>
  <c r="B2538" i="51"/>
  <c r="B2537" i="51"/>
  <c r="B2536" i="51"/>
  <c r="B2535" i="51"/>
  <c r="B2534" i="51"/>
  <c r="B2533" i="51"/>
  <c r="B2532" i="51"/>
  <c r="B2531" i="51"/>
  <c r="B2530" i="51"/>
  <c r="B2529" i="51"/>
  <c r="B2528" i="51"/>
  <c r="B2527" i="51"/>
  <c r="B2526" i="51"/>
  <c r="B2525" i="51"/>
  <c r="B2524" i="51"/>
  <c r="B2523" i="51"/>
  <c r="B2522" i="51"/>
  <c r="B2521" i="51"/>
  <c r="B2520" i="51"/>
  <c r="B2519" i="51"/>
  <c r="B2518" i="51"/>
  <c r="B2517" i="51"/>
  <c r="B2516" i="51"/>
  <c r="B2515" i="51"/>
  <c r="B2514" i="51"/>
  <c r="B2513" i="51"/>
  <c r="B2512" i="51"/>
  <c r="B2511" i="51"/>
  <c r="B2510" i="51"/>
  <c r="B2509" i="51"/>
  <c r="B2508" i="51"/>
  <c r="B2507" i="51"/>
  <c r="B2506" i="51"/>
  <c r="B2505" i="51"/>
  <c r="B2504" i="51"/>
  <c r="B2503" i="51"/>
  <c r="B2502" i="51"/>
  <c r="B2501" i="51"/>
  <c r="B2500" i="51"/>
  <c r="B2499" i="51"/>
  <c r="B2498" i="51"/>
  <c r="B2497" i="51"/>
  <c r="B2496" i="51"/>
  <c r="B2495" i="51"/>
  <c r="B2494" i="51"/>
  <c r="B2493" i="51"/>
  <c r="B2492" i="51"/>
  <c r="B2491" i="51"/>
  <c r="B2490" i="51"/>
  <c r="B2489" i="51"/>
  <c r="B2488" i="51"/>
  <c r="B2487" i="51"/>
  <c r="B2486" i="51"/>
  <c r="B2485" i="51"/>
  <c r="B2484" i="51"/>
  <c r="B2483" i="51"/>
  <c r="B2482" i="51"/>
  <c r="B2481" i="51"/>
  <c r="B2480" i="51"/>
  <c r="B2479" i="51"/>
  <c r="B2478" i="51"/>
  <c r="B2477" i="51"/>
  <c r="B2476" i="51"/>
  <c r="B2475" i="51"/>
  <c r="B2474" i="51"/>
  <c r="B2473" i="51"/>
  <c r="B2472" i="51"/>
  <c r="B2471" i="51"/>
  <c r="B2470" i="51"/>
  <c r="B2469" i="51"/>
  <c r="B2468" i="51"/>
  <c r="B2467" i="51"/>
  <c r="B2466" i="51"/>
  <c r="B2465" i="51"/>
  <c r="B2464" i="51"/>
  <c r="B2463" i="51"/>
  <c r="B2462" i="51"/>
  <c r="B2461" i="51"/>
  <c r="B2460" i="51"/>
  <c r="B2459" i="51"/>
  <c r="B2458" i="51"/>
  <c r="B2457" i="51"/>
  <c r="B2456" i="51"/>
  <c r="B2455" i="51"/>
  <c r="B2454" i="51"/>
  <c r="B2453" i="51"/>
  <c r="B2452" i="51"/>
  <c r="B2451" i="51"/>
  <c r="B2450" i="51"/>
  <c r="B2449" i="51"/>
  <c r="B2448" i="51"/>
  <c r="B2447" i="51"/>
  <c r="B2446" i="51"/>
  <c r="B2445" i="51"/>
  <c r="B2444" i="51"/>
  <c r="B2443" i="51"/>
  <c r="B2442" i="51"/>
  <c r="B2441" i="51"/>
  <c r="B2440" i="51"/>
  <c r="B2439" i="51"/>
  <c r="B2438" i="51"/>
  <c r="B2437" i="51"/>
  <c r="B2436" i="51"/>
  <c r="B2435" i="51"/>
  <c r="B2434" i="51"/>
  <c r="B2433" i="51"/>
  <c r="B2432" i="51"/>
  <c r="B2431" i="51"/>
  <c r="B2430" i="51"/>
  <c r="B2429" i="51"/>
  <c r="B2428" i="51"/>
  <c r="B2427" i="51"/>
  <c r="B2426" i="51"/>
  <c r="B2425" i="51"/>
  <c r="B2424" i="51"/>
  <c r="B2423" i="51"/>
  <c r="B2422" i="51"/>
  <c r="B2421" i="51"/>
  <c r="B2420" i="51"/>
  <c r="B2419" i="51"/>
  <c r="B2418" i="51"/>
  <c r="B2417" i="51"/>
  <c r="B2416" i="51"/>
  <c r="B2415" i="51"/>
  <c r="B2414" i="51"/>
  <c r="B2413" i="51"/>
  <c r="B2412" i="51"/>
  <c r="B2411" i="51"/>
  <c r="B2410" i="51"/>
  <c r="B2409" i="51"/>
  <c r="B2408" i="51"/>
  <c r="B2407" i="51"/>
  <c r="B2406" i="51"/>
  <c r="B2405" i="51"/>
  <c r="B2404" i="51"/>
  <c r="B2403" i="51"/>
  <c r="B2402" i="51"/>
  <c r="B2401" i="51"/>
  <c r="B2400" i="51"/>
  <c r="B2399" i="51"/>
  <c r="B2398" i="51"/>
  <c r="B2397" i="51"/>
  <c r="B2396" i="51"/>
  <c r="B2395" i="51"/>
  <c r="B2394" i="51"/>
  <c r="B2393" i="51"/>
  <c r="B2392" i="51"/>
  <c r="B2391" i="51"/>
  <c r="B2390" i="51"/>
  <c r="B2389" i="51"/>
  <c r="B2388" i="51"/>
  <c r="B2387" i="51"/>
  <c r="B2386" i="51"/>
  <c r="B2385" i="51"/>
  <c r="B2384" i="51"/>
  <c r="B2383" i="51"/>
  <c r="B2382" i="51"/>
  <c r="B2381" i="51"/>
  <c r="B2380" i="51"/>
  <c r="B2379" i="51"/>
  <c r="B2378" i="51"/>
  <c r="B2377" i="51"/>
  <c r="B2376" i="51"/>
  <c r="B2375" i="51"/>
  <c r="B2374" i="51"/>
  <c r="B2373" i="51"/>
  <c r="B2372" i="51"/>
  <c r="B2371" i="51"/>
  <c r="B2370" i="51"/>
  <c r="B2369" i="51"/>
  <c r="B2368" i="51"/>
  <c r="B2367" i="51"/>
  <c r="B2366" i="51"/>
  <c r="B2365" i="51"/>
  <c r="B2364" i="51"/>
  <c r="B2363" i="51"/>
  <c r="B2362" i="51"/>
  <c r="B2361" i="51"/>
  <c r="B2360" i="51"/>
  <c r="B2359" i="51"/>
  <c r="B2358" i="51"/>
  <c r="B2357" i="51"/>
  <c r="B2356" i="51"/>
  <c r="B2355" i="51"/>
  <c r="B2354" i="51"/>
  <c r="B2353" i="51"/>
  <c r="B2352" i="51"/>
  <c r="B2351" i="51"/>
  <c r="B2350" i="51"/>
  <c r="B2349" i="51"/>
  <c r="B2348" i="51"/>
  <c r="B2347" i="51"/>
  <c r="B2346" i="51"/>
  <c r="B2345" i="51"/>
  <c r="B2344" i="51"/>
  <c r="B2343" i="51"/>
  <c r="B2342" i="51"/>
  <c r="B2341" i="51"/>
  <c r="B2340" i="51"/>
  <c r="B2339" i="51"/>
  <c r="B2338" i="51"/>
  <c r="B2337" i="51"/>
  <c r="B2336" i="51"/>
  <c r="B2335" i="51"/>
  <c r="B2334" i="51"/>
  <c r="B2333" i="51"/>
  <c r="B2332" i="51"/>
  <c r="B2331" i="51"/>
  <c r="B2330" i="51"/>
  <c r="B2329" i="51"/>
  <c r="B2328" i="51"/>
  <c r="B2327" i="51"/>
  <c r="B2326" i="51"/>
  <c r="B2325" i="51"/>
  <c r="B2324" i="51"/>
  <c r="B2323" i="51"/>
  <c r="B2322" i="51"/>
  <c r="B2321" i="51"/>
  <c r="B2320" i="51"/>
  <c r="B2319" i="51"/>
  <c r="B2318" i="51"/>
  <c r="B2317" i="51"/>
  <c r="B2316" i="51"/>
  <c r="B2315" i="51"/>
  <c r="B2314" i="51"/>
  <c r="B2313" i="51"/>
  <c r="B2312" i="51"/>
  <c r="B2311" i="51"/>
  <c r="B2310" i="51"/>
  <c r="B2309" i="51"/>
  <c r="B2308" i="51"/>
  <c r="B2307" i="51"/>
  <c r="B2306" i="51"/>
  <c r="B2305" i="51"/>
  <c r="B2304" i="51"/>
  <c r="B2303" i="51"/>
  <c r="B2302" i="51"/>
  <c r="B2301" i="51"/>
  <c r="B2300" i="51"/>
  <c r="B2299" i="51"/>
  <c r="B2298" i="51"/>
  <c r="B2297" i="51"/>
  <c r="B2296" i="51"/>
  <c r="B2295" i="51"/>
  <c r="B2294" i="51"/>
  <c r="B2293" i="51"/>
  <c r="B2292" i="51"/>
  <c r="B2291" i="51"/>
  <c r="B2290" i="51"/>
  <c r="B2289" i="51"/>
  <c r="B2288" i="51"/>
  <c r="B2287" i="51"/>
  <c r="B2286" i="51"/>
  <c r="B2285" i="51"/>
  <c r="B2284" i="51"/>
  <c r="B2283" i="51"/>
  <c r="B2282" i="51"/>
  <c r="B2281" i="51"/>
  <c r="B2280" i="51"/>
  <c r="B2279" i="51"/>
  <c r="B2278" i="51"/>
  <c r="B2277" i="51"/>
  <c r="B2276" i="51"/>
  <c r="B2275" i="51"/>
  <c r="B2274" i="51"/>
  <c r="B2273" i="51"/>
  <c r="B2272" i="51"/>
  <c r="B2271" i="51"/>
  <c r="B2270" i="51"/>
  <c r="B2269" i="51"/>
  <c r="B2268" i="51"/>
  <c r="B2267" i="51"/>
  <c r="B2266" i="51"/>
  <c r="B2265" i="51"/>
  <c r="B2264" i="51"/>
  <c r="B2263" i="51"/>
  <c r="B2262" i="51"/>
  <c r="B2261" i="51"/>
  <c r="B2260" i="51"/>
  <c r="B2259" i="51"/>
  <c r="B2258" i="51"/>
  <c r="B2257" i="51"/>
  <c r="B2256" i="51"/>
  <c r="B2255" i="51"/>
  <c r="B2254" i="51"/>
  <c r="B2253" i="51"/>
  <c r="B2252" i="51"/>
  <c r="B2251" i="51"/>
  <c r="B2250" i="51"/>
  <c r="B2249" i="51"/>
  <c r="B2248" i="51"/>
  <c r="B2247" i="51"/>
  <c r="B2246" i="51"/>
  <c r="B2245" i="51"/>
  <c r="B2244" i="51"/>
  <c r="B2243" i="51"/>
  <c r="B2242" i="51"/>
  <c r="B2241" i="51"/>
  <c r="B2240" i="51"/>
  <c r="B2239" i="51"/>
  <c r="B2238" i="51"/>
  <c r="B2237" i="51"/>
  <c r="B2236" i="51"/>
  <c r="B2235" i="51"/>
  <c r="B2234" i="51"/>
  <c r="B2233" i="51"/>
  <c r="B2232" i="51"/>
  <c r="B2231" i="51"/>
  <c r="B2230" i="51"/>
  <c r="B2229" i="51"/>
  <c r="B2228" i="51"/>
  <c r="B2227" i="51"/>
  <c r="B2226" i="51"/>
  <c r="B2225" i="51"/>
  <c r="B2224" i="51"/>
  <c r="B2223" i="51"/>
  <c r="B2222" i="51"/>
  <c r="B2221" i="51"/>
  <c r="B2220" i="51"/>
  <c r="B2219" i="51"/>
  <c r="B2218" i="51"/>
  <c r="B2217" i="51"/>
  <c r="B2216" i="51"/>
  <c r="B2215" i="51"/>
  <c r="B2214" i="51"/>
  <c r="B2213" i="51"/>
  <c r="B2212" i="51"/>
  <c r="B2211" i="51"/>
  <c r="B2210" i="51"/>
  <c r="B2209" i="51"/>
  <c r="B2208" i="51"/>
  <c r="B2207" i="51"/>
  <c r="B2206" i="51"/>
  <c r="B2205" i="51"/>
  <c r="B2204" i="51"/>
  <c r="B2203" i="51"/>
  <c r="B2202" i="51"/>
  <c r="B2201" i="51"/>
  <c r="B2200" i="51"/>
  <c r="B2199" i="51"/>
  <c r="B2198" i="51"/>
  <c r="B2197" i="51"/>
  <c r="B2196" i="51"/>
  <c r="B2195" i="51"/>
  <c r="B2194" i="51"/>
  <c r="B2193" i="51"/>
  <c r="B2192" i="51"/>
  <c r="B2191" i="51"/>
  <c r="B2190" i="51"/>
  <c r="B2189" i="51"/>
  <c r="B2188" i="51"/>
  <c r="B2187" i="51"/>
  <c r="B2186" i="51"/>
  <c r="B2185" i="51"/>
  <c r="B2184" i="51"/>
  <c r="B2183" i="51"/>
  <c r="B2182" i="51"/>
  <c r="B2181" i="51"/>
  <c r="B2180" i="51"/>
  <c r="B2179" i="51"/>
  <c r="B2178" i="51"/>
  <c r="B2177" i="51"/>
  <c r="B2176" i="51"/>
  <c r="B2175" i="51"/>
  <c r="B2174" i="51"/>
  <c r="B2173" i="51"/>
  <c r="B2172" i="51"/>
  <c r="B2171" i="51"/>
  <c r="B2170" i="51"/>
  <c r="B2169" i="51"/>
  <c r="B2168" i="51"/>
  <c r="B2167" i="51"/>
  <c r="B2166" i="51"/>
  <c r="B2165" i="51"/>
  <c r="B2164" i="51"/>
  <c r="B2163" i="51"/>
  <c r="B2162" i="51"/>
  <c r="B2161" i="51"/>
  <c r="B2160" i="51"/>
  <c r="B2159" i="51"/>
  <c r="B2158" i="51"/>
  <c r="B2157" i="51"/>
  <c r="B2156" i="51"/>
  <c r="B2155" i="51"/>
  <c r="B2154" i="51"/>
  <c r="B2153" i="51"/>
  <c r="B2152" i="51"/>
  <c r="B2151" i="51"/>
  <c r="B2150" i="51"/>
  <c r="B2149" i="51"/>
  <c r="B2148" i="51"/>
  <c r="B2147" i="51"/>
  <c r="B2146" i="51"/>
  <c r="B2145" i="51"/>
  <c r="B2144" i="51"/>
  <c r="B2143" i="51"/>
  <c r="B2142" i="51"/>
  <c r="B2141" i="51"/>
  <c r="B2140" i="51"/>
  <c r="B2139" i="51"/>
  <c r="B2138" i="51"/>
  <c r="B2137" i="51"/>
  <c r="B2136" i="51"/>
  <c r="B2135" i="51"/>
  <c r="B2134" i="51"/>
  <c r="B2133" i="51"/>
  <c r="B2132" i="51"/>
  <c r="B2131" i="51"/>
  <c r="B2130" i="51"/>
  <c r="B2129" i="51"/>
  <c r="B2128" i="51"/>
  <c r="B2127" i="51"/>
  <c r="B2126" i="51"/>
  <c r="B2125" i="51"/>
  <c r="B2124" i="51"/>
  <c r="B2123" i="51"/>
  <c r="B2122" i="51"/>
  <c r="B2121" i="51"/>
  <c r="B2120" i="51"/>
  <c r="B2119" i="51"/>
  <c r="B2118" i="51"/>
  <c r="B2117" i="51"/>
  <c r="B2116" i="51"/>
  <c r="B2115" i="51"/>
  <c r="B2114" i="51"/>
  <c r="B2113" i="51"/>
  <c r="B2112" i="51"/>
  <c r="B2111" i="51"/>
  <c r="B2110" i="51"/>
  <c r="B2109" i="51"/>
  <c r="B2108" i="51"/>
  <c r="B2107" i="51"/>
  <c r="B2106" i="51"/>
  <c r="B2105" i="51"/>
  <c r="B2104" i="51"/>
  <c r="B2103" i="51"/>
  <c r="B2102" i="51"/>
  <c r="B2101" i="51"/>
  <c r="B2100" i="51"/>
  <c r="B2099" i="51"/>
  <c r="B2098" i="51"/>
  <c r="B2097" i="51"/>
  <c r="B2096" i="51"/>
  <c r="B2095" i="51"/>
  <c r="B2094" i="51"/>
  <c r="B2093" i="51"/>
  <c r="B2092" i="51"/>
  <c r="B2091" i="51"/>
  <c r="B2090" i="51"/>
  <c r="B2089" i="51"/>
  <c r="B2088" i="51"/>
  <c r="B2087" i="51"/>
  <c r="B2086" i="51"/>
  <c r="B2085" i="51"/>
  <c r="B2084" i="51"/>
  <c r="B2083" i="51"/>
  <c r="B2082" i="51"/>
  <c r="B2081" i="51"/>
  <c r="B2080" i="51"/>
  <c r="B2079" i="51"/>
  <c r="B2078" i="51"/>
  <c r="B2077" i="51"/>
  <c r="B2076" i="51"/>
  <c r="B2075" i="51"/>
  <c r="B2074" i="51"/>
  <c r="B2073" i="51"/>
  <c r="B2072" i="51"/>
  <c r="B2071" i="51"/>
  <c r="B2070" i="51"/>
  <c r="B2069" i="51"/>
  <c r="B2068" i="51"/>
  <c r="B2067" i="51"/>
  <c r="B2066" i="51"/>
  <c r="B2065" i="51"/>
  <c r="B2064" i="51"/>
  <c r="B2063" i="51"/>
  <c r="B2062" i="51"/>
  <c r="B2061" i="51"/>
  <c r="B2060" i="51"/>
  <c r="B2059" i="51"/>
  <c r="B2058" i="51"/>
  <c r="B2057" i="51"/>
  <c r="B2056" i="51"/>
  <c r="B2055" i="51"/>
  <c r="B2054" i="51"/>
  <c r="B2053" i="51"/>
  <c r="B2052" i="51"/>
  <c r="B2051" i="51"/>
  <c r="B2050" i="51"/>
  <c r="B2049" i="51"/>
  <c r="B2048" i="51"/>
  <c r="B2047" i="51"/>
  <c r="B2046" i="51"/>
  <c r="B2045" i="51"/>
  <c r="B2044" i="51"/>
  <c r="B2043" i="51"/>
  <c r="B2042" i="51"/>
  <c r="B2041" i="51"/>
  <c r="B2040" i="51"/>
  <c r="B2039" i="51"/>
  <c r="B2038" i="51"/>
  <c r="B2037" i="51"/>
  <c r="B2036" i="51"/>
  <c r="B2035" i="51"/>
  <c r="B2034" i="51"/>
  <c r="B2033" i="51"/>
  <c r="B2032" i="51"/>
  <c r="B2031" i="51"/>
  <c r="B2030" i="51"/>
  <c r="B2029" i="51"/>
  <c r="B2028" i="51"/>
  <c r="B2027" i="51"/>
  <c r="B2026" i="51"/>
  <c r="B2025" i="51"/>
  <c r="B2024" i="51"/>
  <c r="B2023" i="51"/>
  <c r="B2022" i="51"/>
  <c r="B2021" i="51"/>
  <c r="B2020" i="51"/>
  <c r="B2019" i="51"/>
  <c r="B2018" i="51"/>
  <c r="B2017" i="51"/>
  <c r="B2016" i="51"/>
  <c r="B2015" i="51"/>
  <c r="B2014" i="51"/>
  <c r="B2013" i="51"/>
  <c r="B2012" i="51"/>
  <c r="B2011" i="51"/>
  <c r="B2010" i="51"/>
  <c r="B2009" i="51"/>
  <c r="B2008" i="51"/>
  <c r="B2007" i="51"/>
  <c r="B2006" i="51"/>
  <c r="B2005" i="51"/>
  <c r="B2004" i="51"/>
  <c r="B2003" i="51"/>
  <c r="B2002" i="51"/>
  <c r="B2001" i="51"/>
  <c r="B2000" i="51"/>
  <c r="B1999" i="51"/>
  <c r="B1998" i="51"/>
  <c r="B1997" i="51"/>
  <c r="B1996" i="51"/>
  <c r="B1995" i="51"/>
  <c r="B1994" i="51"/>
  <c r="B1993" i="51"/>
  <c r="B1992" i="51"/>
  <c r="B1991" i="51"/>
  <c r="B1990" i="51"/>
  <c r="B1989" i="51"/>
  <c r="B1988" i="51"/>
  <c r="B1987" i="51"/>
  <c r="B1986" i="51"/>
  <c r="B1985" i="51"/>
  <c r="B1984" i="51"/>
  <c r="B1983" i="51"/>
  <c r="B1982" i="51"/>
  <c r="B1981" i="51"/>
  <c r="B1980" i="51"/>
  <c r="B1979" i="51"/>
  <c r="B1978" i="51"/>
  <c r="B1977" i="51"/>
  <c r="B1976" i="51"/>
  <c r="B1975" i="51"/>
  <c r="B1974" i="51"/>
  <c r="B1973" i="51"/>
  <c r="B1972" i="51"/>
  <c r="B1971" i="51"/>
  <c r="B1970" i="51"/>
  <c r="B1969" i="51"/>
  <c r="B1968" i="51"/>
  <c r="B1967" i="51"/>
  <c r="B1966" i="51"/>
  <c r="B1965" i="51"/>
  <c r="B1964" i="51"/>
  <c r="B1963" i="51"/>
  <c r="B1962" i="51"/>
  <c r="B1961" i="51"/>
  <c r="B1960" i="51"/>
  <c r="B1959" i="51"/>
  <c r="B1958" i="51"/>
  <c r="B1957" i="51"/>
  <c r="B1956" i="51"/>
  <c r="B1955" i="51"/>
  <c r="B1954" i="51"/>
  <c r="B1953" i="51"/>
  <c r="B1952" i="51"/>
  <c r="B1951" i="51"/>
  <c r="B1950" i="51"/>
  <c r="B1949" i="51"/>
  <c r="B1948" i="51"/>
  <c r="B1947" i="51"/>
  <c r="B1946" i="51"/>
  <c r="B1945" i="51"/>
  <c r="B1944" i="51"/>
  <c r="B1943" i="51"/>
  <c r="B1942" i="51"/>
  <c r="B1941" i="51"/>
  <c r="B1940" i="51"/>
  <c r="B1939" i="51"/>
  <c r="B1938" i="51"/>
  <c r="B1937" i="51"/>
  <c r="B1936" i="51"/>
  <c r="B1935" i="51"/>
  <c r="B1934" i="51"/>
  <c r="B1933" i="51"/>
  <c r="B1932" i="51"/>
  <c r="B1931" i="51"/>
  <c r="B1930" i="51"/>
  <c r="B1929" i="51"/>
  <c r="B1928" i="51"/>
  <c r="B1927" i="51"/>
  <c r="B1926" i="51"/>
  <c r="B1925" i="51"/>
  <c r="B1924" i="51"/>
  <c r="B1923" i="51"/>
  <c r="B1922" i="51"/>
  <c r="B1921" i="51"/>
  <c r="B1920" i="51"/>
  <c r="B1919" i="51"/>
  <c r="B1918" i="51"/>
  <c r="B1917" i="51"/>
  <c r="B1916" i="51"/>
  <c r="B1915" i="51"/>
  <c r="B1914" i="51"/>
  <c r="B1913" i="51"/>
  <c r="B1912" i="51"/>
  <c r="B1911" i="51"/>
  <c r="B1910" i="51"/>
  <c r="B1909" i="51"/>
  <c r="B1908" i="51"/>
  <c r="B1907" i="51"/>
  <c r="B1906" i="51"/>
  <c r="B1905" i="51"/>
  <c r="B1904" i="51"/>
  <c r="B1903" i="51"/>
  <c r="B1902" i="51"/>
  <c r="B1901" i="51"/>
  <c r="B1900" i="51"/>
  <c r="B1899" i="51"/>
  <c r="B1898" i="51"/>
  <c r="B1897" i="51"/>
  <c r="B1896" i="51"/>
  <c r="B1895" i="51"/>
  <c r="B1894" i="51"/>
  <c r="B1893" i="51"/>
  <c r="B1892" i="51"/>
  <c r="B1891" i="51"/>
  <c r="B1890" i="51"/>
  <c r="B1889" i="51"/>
  <c r="B1888" i="51"/>
  <c r="B1887" i="51"/>
  <c r="B1886" i="51"/>
  <c r="B1885" i="51"/>
  <c r="B1884" i="51"/>
  <c r="B1883" i="51"/>
  <c r="B1882" i="51"/>
  <c r="B1881" i="51"/>
  <c r="B1880" i="51"/>
  <c r="B1879" i="51"/>
  <c r="B1878" i="51"/>
  <c r="B1877" i="51"/>
  <c r="B1876" i="51"/>
  <c r="B1875" i="51"/>
  <c r="B1874" i="51"/>
  <c r="B1873" i="51"/>
  <c r="B1872" i="51"/>
  <c r="B1871" i="51"/>
  <c r="B1870" i="51"/>
  <c r="B1869" i="51"/>
  <c r="B1868" i="51"/>
  <c r="B1867" i="51"/>
  <c r="B1866" i="51"/>
  <c r="B1865" i="51"/>
  <c r="B1864" i="51"/>
  <c r="B1863" i="51"/>
  <c r="B1862" i="51"/>
  <c r="B1861" i="51"/>
  <c r="B1860" i="51"/>
  <c r="B1859" i="51"/>
  <c r="B1858" i="51"/>
  <c r="B1857" i="51"/>
  <c r="B1856" i="51"/>
  <c r="B1855" i="51"/>
  <c r="B1854" i="51"/>
  <c r="B1853" i="51"/>
  <c r="B1852" i="51"/>
  <c r="B1851" i="51"/>
  <c r="B1850" i="51"/>
  <c r="B1849" i="51"/>
  <c r="B1848" i="51"/>
  <c r="B1847" i="51"/>
  <c r="B1846" i="51"/>
  <c r="B1845" i="51"/>
  <c r="B1844" i="51"/>
  <c r="B1843" i="51"/>
  <c r="B1842" i="51"/>
  <c r="B1841" i="51"/>
  <c r="B1840" i="51"/>
  <c r="B1839" i="51"/>
  <c r="B1838" i="51"/>
  <c r="B1837" i="51"/>
  <c r="B1836" i="51"/>
  <c r="B1835" i="51"/>
  <c r="B1834" i="51"/>
  <c r="B1833" i="51"/>
  <c r="B1832" i="51"/>
  <c r="B1831" i="51"/>
  <c r="B1830" i="51"/>
  <c r="B1829" i="51"/>
  <c r="B1828" i="51"/>
  <c r="B1827" i="51"/>
  <c r="B1826" i="51"/>
  <c r="B1825" i="51"/>
  <c r="B1824" i="51"/>
  <c r="B1823" i="51"/>
  <c r="B1822" i="51"/>
  <c r="B1821" i="51"/>
  <c r="B1820" i="51"/>
  <c r="B1819" i="51"/>
  <c r="B1818" i="51"/>
  <c r="B1817" i="51"/>
  <c r="B1816" i="51"/>
  <c r="B1815" i="51"/>
  <c r="B1814" i="51"/>
  <c r="B1813" i="51"/>
  <c r="B1812" i="51"/>
  <c r="B1811" i="51"/>
  <c r="B1810" i="51"/>
  <c r="B1809" i="51"/>
  <c r="B1808" i="51"/>
  <c r="B1807" i="51"/>
  <c r="B1806" i="51"/>
  <c r="B1805" i="51"/>
  <c r="B1804" i="51"/>
  <c r="B1803" i="51"/>
  <c r="B1802" i="51"/>
  <c r="B1801" i="51"/>
  <c r="B1800" i="51"/>
  <c r="B1799" i="51"/>
  <c r="B1798" i="51"/>
  <c r="B1797" i="51"/>
  <c r="B1796" i="51"/>
  <c r="B1795" i="51"/>
  <c r="B1794" i="51"/>
  <c r="B1793" i="51"/>
  <c r="B1792" i="51"/>
  <c r="B1791" i="51"/>
  <c r="B1790" i="51"/>
  <c r="B1789" i="51"/>
  <c r="B1788" i="51"/>
  <c r="B1787" i="51"/>
  <c r="B1786" i="51"/>
  <c r="B1785" i="51"/>
  <c r="B1784" i="51"/>
  <c r="B1783" i="51"/>
  <c r="B1782" i="51"/>
  <c r="B1781" i="51"/>
  <c r="B1780" i="51"/>
  <c r="B1779" i="51"/>
  <c r="B1778" i="51"/>
  <c r="B1777" i="51"/>
  <c r="B1776" i="51"/>
  <c r="B1775" i="51"/>
  <c r="B1774" i="51"/>
  <c r="B1773" i="51"/>
  <c r="B1772" i="51"/>
  <c r="B1771" i="51"/>
  <c r="B1770" i="51"/>
  <c r="B1769" i="51"/>
  <c r="B1768" i="51"/>
  <c r="B1767" i="51"/>
  <c r="B1766" i="51"/>
  <c r="B1765" i="51"/>
  <c r="B1764" i="51"/>
  <c r="B1763" i="51"/>
  <c r="B1762" i="51"/>
  <c r="B1761" i="51"/>
  <c r="B1760" i="51"/>
  <c r="B1759" i="51"/>
  <c r="B1758" i="51"/>
  <c r="B1757" i="51"/>
  <c r="B1756" i="51"/>
  <c r="B1755" i="51"/>
  <c r="B1754" i="51"/>
  <c r="B1753" i="51"/>
  <c r="B1752" i="51"/>
  <c r="B1751" i="51"/>
  <c r="B1750" i="51"/>
  <c r="B1749" i="51"/>
  <c r="B1748" i="51"/>
  <c r="B1747" i="51"/>
  <c r="B1746" i="51"/>
  <c r="B1745" i="51"/>
  <c r="B1744" i="51"/>
  <c r="B1743" i="51"/>
  <c r="B1742" i="51"/>
  <c r="B1741" i="51"/>
  <c r="B1740" i="51"/>
  <c r="B1739" i="51"/>
  <c r="B1738" i="51"/>
  <c r="B1737" i="51"/>
  <c r="B1736" i="51"/>
  <c r="B1735" i="51"/>
  <c r="B1734" i="51"/>
  <c r="B1733" i="51"/>
  <c r="B1732" i="51"/>
  <c r="B1731" i="51"/>
  <c r="B1730" i="51"/>
  <c r="B1729" i="51"/>
  <c r="B1728" i="51"/>
  <c r="B1727" i="51"/>
  <c r="B1726" i="51"/>
  <c r="B1725" i="51"/>
  <c r="B1724" i="51"/>
  <c r="B1723" i="51"/>
  <c r="B1722" i="51"/>
  <c r="B1721" i="51"/>
  <c r="B1720" i="51"/>
  <c r="B1719" i="51"/>
  <c r="B1718" i="51"/>
  <c r="B1717" i="51"/>
  <c r="B1716" i="51"/>
  <c r="B1715" i="51"/>
  <c r="B1714" i="51"/>
  <c r="B1713" i="51"/>
  <c r="B1712" i="51"/>
  <c r="B1711" i="51"/>
  <c r="B1710" i="51"/>
  <c r="B1709" i="51"/>
  <c r="B1708" i="51"/>
  <c r="B1707" i="51"/>
  <c r="B1706" i="51"/>
  <c r="B1705" i="51"/>
  <c r="B1704" i="51"/>
  <c r="B1703" i="51"/>
  <c r="B1702" i="51"/>
  <c r="B1701" i="51"/>
  <c r="B1700" i="51"/>
  <c r="B1699" i="51"/>
  <c r="B1698" i="51"/>
  <c r="B1697" i="51"/>
  <c r="B1696" i="51"/>
  <c r="B1695" i="51"/>
  <c r="B1694" i="51"/>
  <c r="B1693" i="51"/>
  <c r="B1692" i="51"/>
  <c r="B1691" i="51"/>
  <c r="B1690" i="51"/>
  <c r="B1689" i="51"/>
  <c r="B1688" i="51"/>
  <c r="B1687" i="51"/>
  <c r="B1686" i="51"/>
  <c r="B1685" i="51"/>
  <c r="B1684" i="51"/>
  <c r="B1683" i="51"/>
  <c r="B1682" i="51"/>
  <c r="B1681" i="51"/>
  <c r="B1680" i="51"/>
  <c r="B1679" i="51"/>
  <c r="B1678" i="51"/>
  <c r="B1677" i="51"/>
  <c r="B1676" i="51"/>
  <c r="B1675" i="51"/>
  <c r="B1674" i="51"/>
  <c r="B1673" i="51"/>
  <c r="B1672" i="51"/>
  <c r="B1671" i="51"/>
  <c r="B1670" i="51"/>
  <c r="B1669" i="51"/>
  <c r="B1668" i="51"/>
  <c r="B1667" i="51"/>
  <c r="B1666" i="51"/>
  <c r="B1665" i="51"/>
  <c r="B1664" i="51"/>
  <c r="B1663" i="51"/>
  <c r="B1662" i="51"/>
  <c r="B1661" i="51"/>
  <c r="B1660" i="51"/>
  <c r="B1659" i="51"/>
  <c r="B1658" i="51"/>
  <c r="B1657" i="51"/>
  <c r="B1656" i="51"/>
  <c r="B1655" i="51"/>
  <c r="B1654" i="51"/>
  <c r="B1653" i="51"/>
  <c r="B1652" i="51"/>
  <c r="B1651" i="51"/>
  <c r="B1650" i="51"/>
  <c r="B1649" i="51"/>
  <c r="B1648" i="51"/>
  <c r="B1647" i="51"/>
  <c r="B1646" i="51"/>
  <c r="B1645" i="51"/>
  <c r="B1644" i="51"/>
  <c r="B1643" i="51"/>
  <c r="B1642" i="51"/>
  <c r="B1641" i="51"/>
  <c r="B1640" i="51"/>
  <c r="B1639" i="51"/>
  <c r="B1638" i="51"/>
  <c r="B1637" i="51"/>
  <c r="B1636" i="51"/>
  <c r="B1635" i="51"/>
  <c r="B1634" i="51"/>
  <c r="B1633" i="51"/>
  <c r="B1632" i="51"/>
  <c r="B1631" i="51"/>
  <c r="B1630" i="51"/>
  <c r="B1629" i="51"/>
  <c r="B1628" i="51"/>
  <c r="B1627" i="51"/>
  <c r="B1626" i="51"/>
  <c r="B1625" i="51"/>
  <c r="B1624" i="51"/>
  <c r="B1623" i="51"/>
  <c r="B1622" i="51"/>
  <c r="B1621" i="51"/>
  <c r="B1620" i="51"/>
  <c r="B1619" i="51"/>
  <c r="B1618" i="51"/>
  <c r="B1617" i="51"/>
  <c r="B1616" i="51"/>
  <c r="B1615" i="51"/>
  <c r="B1614" i="51"/>
  <c r="B1613" i="51"/>
  <c r="B1612" i="51"/>
  <c r="B1611" i="51"/>
  <c r="B1610" i="51"/>
  <c r="B1609" i="51"/>
  <c r="B1608" i="51"/>
  <c r="B1607" i="51"/>
  <c r="B1606" i="51"/>
  <c r="B1605" i="51"/>
  <c r="B1604" i="51"/>
  <c r="B1603" i="51"/>
  <c r="B1602" i="51"/>
  <c r="B1601" i="51"/>
  <c r="B1600" i="51"/>
  <c r="B1599" i="51"/>
  <c r="B1598" i="51"/>
  <c r="B1597" i="51"/>
  <c r="B1596" i="51"/>
  <c r="B1595" i="51"/>
  <c r="B1594" i="51"/>
  <c r="B1593" i="51"/>
  <c r="B1592" i="51"/>
  <c r="B1591" i="51"/>
  <c r="B1590" i="51"/>
  <c r="B1589" i="51"/>
  <c r="B1588" i="51"/>
  <c r="B1587" i="51"/>
  <c r="B1586" i="51"/>
  <c r="B1585" i="51"/>
  <c r="B1584" i="51"/>
  <c r="B1583" i="51"/>
  <c r="B1582" i="51"/>
  <c r="B1581" i="51"/>
  <c r="B1580" i="51"/>
  <c r="B1579" i="51"/>
  <c r="B1578" i="51"/>
  <c r="B1577" i="51"/>
  <c r="B1576" i="51"/>
  <c r="B1575" i="51"/>
  <c r="B1574" i="51"/>
  <c r="B1573" i="51"/>
  <c r="B1572" i="51"/>
  <c r="B1571" i="51"/>
  <c r="B1570" i="51"/>
  <c r="B1569" i="51"/>
  <c r="B1568" i="51"/>
  <c r="B1567" i="51"/>
  <c r="B1566" i="51"/>
  <c r="B1565" i="51"/>
  <c r="B1564" i="51"/>
  <c r="B1563" i="51"/>
  <c r="B1562" i="51"/>
  <c r="B1561" i="51"/>
  <c r="B1560" i="51"/>
  <c r="B1559" i="51"/>
  <c r="B1558" i="51"/>
  <c r="B1557" i="51"/>
  <c r="B1556" i="51"/>
  <c r="B1555" i="51"/>
  <c r="B1554" i="51"/>
  <c r="B1553" i="51"/>
  <c r="B1552" i="51"/>
  <c r="B1551" i="51"/>
  <c r="B1550" i="51"/>
  <c r="B1549" i="51"/>
  <c r="B1548" i="51"/>
  <c r="B1547" i="51"/>
  <c r="B1546" i="51"/>
  <c r="B1545" i="51"/>
  <c r="B1544" i="51"/>
  <c r="B1543" i="51"/>
  <c r="B1542" i="51"/>
  <c r="B1541" i="51"/>
  <c r="B1540" i="51"/>
  <c r="B1539" i="51"/>
  <c r="B1538" i="51"/>
  <c r="B1537" i="51"/>
  <c r="B1536" i="51"/>
  <c r="B1535" i="51"/>
  <c r="B1534" i="51"/>
  <c r="B1533" i="51"/>
  <c r="B1532" i="51"/>
  <c r="B1531" i="51"/>
  <c r="B1530" i="51"/>
  <c r="B1529" i="51"/>
  <c r="B1528" i="51"/>
  <c r="B1527" i="51"/>
  <c r="B1526" i="51"/>
  <c r="B1525" i="51"/>
  <c r="B1524" i="51"/>
  <c r="B1523" i="51"/>
  <c r="B1522" i="51"/>
  <c r="B1521" i="51"/>
  <c r="B1520" i="51"/>
  <c r="B1519" i="51"/>
  <c r="B1518" i="51"/>
  <c r="B1517" i="51"/>
  <c r="B1516" i="51"/>
  <c r="B1515" i="51"/>
  <c r="B1514" i="51"/>
  <c r="B1513" i="51"/>
  <c r="B1512" i="51"/>
  <c r="B1511" i="51"/>
  <c r="B1510" i="51"/>
  <c r="B1509" i="51"/>
  <c r="B1508" i="51"/>
  <c r="B1507" i="51"/>
  <c r="B1506" i="51"/>
  <c r="B1505" i="51"/>
  <c r="B1504" i="51"/>
  <c r="B1503" i="51"/>
  <c r="B1502" i="51"/>
  <c r="B1501" i="51"/>
  <c r="B1500" i="51"/>
  <c r="B1499" i="51"/>
  <c r="B1498" i="51"/>
  <c r="B1497" i="51"/>
  <c r="B1496" i="51"/>
  <c r="B1495" i="51"/>
  <c r="B1494" i="51"/>
  <c r="B1493" i="51"/>
  <c r="B1492" i="51"/>
  <c r="B1491" i="51"/>
  <c r="B1490" i="51"/>
  <c r="B1489" i="51"/>
  <c r="B1488" i="51"/>
  <c r="B1487" i="51"/>
  <c r="B1486" i="51"/>
  <c r="B1485" i="51"/>
  <c r="B1484" i="51"/>
  <c r="B1483" i="51"/>
  <c r="B1482" i="51"/>
  <c r="B1481" i="51"/>
  <c r="B1480" i="51"/>
  <c r="B1479" i="51"/>
  <c r="B1478" i="51"/>
  <c r="B1477" i="51"/>
  <c r="B1476" i="51"/>
  <c r="B1475" i="51"/>
  <c r="B1474" i="51"/>
  <c r="B1473" i="51"/>
  <c r="B1472" i="51"/>
  <c r="B1471" i="51"/>
  <c r="B1470" i="51"/>
  <c r="B1469" i="51"/>
  <c r="B1468" i="51"/>
  <c r="B1467" i="51"/>
  <c r="B1466" i="51"/>
  <c r="B1465" i="51"/>
  <c r="B1464" i="51"/>
  <c r="B1463" i="51"/>
  <c r="B1462" i="51"/>
  <c r="B1461" i="51"/>
  <c r="B1460" i="51"/>
  <c r="B1459" i="51"/>
  <c r="B1458" i="51"/>
  <c r="B1457" i="51"/>
  <c r="B1456" i="51"/>
  <c r="B1455" i="51"/>
  <c r="B1454" i="51"/>
  <c r="B1453" i="51"/>
  <c r="B1452" i="51"/>
  <c r="B1451" i="51"/>
  <c r="B1450" i="51"/>
  <c r="B1449" i="51"/>
  <c r="B1448" i="51"/>
  <c r="B1447" i="51"/>
  <c r="B1446" i="51"/>
  <c r="B1445" i="51"/>
  <c r="B1444" i="51"/>
  <c r="B1443" i="51"/>
  <c r="B1442" i="51"/>
  <c r="B1441" i="51"/>
  <c r="B1440" i="51"/>
  <c r="B1439" i="51"/>
  <c r="B1438" i="51"/>
  <c r="B1437" i="51"/>
  <c r="B1436" i="51"/>
  <c r="B1435" i="51"/>
  <c r="B1434" i="51"/>
  <c r="B1433" i="51"/>
  <c r="B1432" i="51"/>
  <c r="B1431" i="51"/>
  <c r="B1430" i="51"/>
  <c r="B1429" i="51"/>
  <c r="B1428" i="51"/>
  <c r="B1427" i="51"/>
  <c r="B1426" i="51"/>
  <c r="B1425" i="51"/>
  <c r="B1424" i="51"/>
  <c r="B1423" i="51"/>
  <c r="B1422" i="51"/>
  <c r="B1421" i="51"/>
  <c r="B1420" i="51"/>
  <c r="B1419" i="51"/>
  <c r="B1418" i="51"/>
  <c r="B1417" i="51"/>
  <c r="B1416" i="51"/>
  <c r="B1415" i="51"/>
  <c r="B1414" i="51"/>
  <c r="B1413" i="51"/>
  <c r="B1412" i="51"/>
  <c r="B1411" i="51"/>
  <c r="B1410" i="51"/>
  <c r="B1409" i="51"/>
  <c r="B1408" i="51"/>
  <c r="B1407" i="51"/>
  <c r="B1406" i="51"/>
  <c r="B1405" i="51"/>
  <c r="B1404" i="51"/>
  <c r="B1403" i="51"/>
  <c r="B1402" i="51"/>
  <c r="B1401" i="51"/>
  <c r="B1400" i="51"/>
  <c r="B1399" i="51"/>
  <c r="B1398" i="51"/>
  <c r="B1397" i="51"/>
  <c r="B1396" i="51"/>
  <c r="B1395" i="51"/>
  <c r="B1394" i="51"/>
  <c r="B1393" i="51"/>
  <c r="B1392" i="51"/>
  <c r="B1391" i="51"/>
  <c r="B1390" i="51"/>
  <c r="B1389" i="51"/>
  <c r="B1388" i="51"/>
  <c r="B1387" i="51"/>
  <c r="B1386" i="51"/>
  <c r="B1385" i="51"/>
  <c r="B1384" i="51"/>
  <c r="B1383" i="51"/>
  <c r="B1382" i="51"/>
  <c r="B1381" i="51"/>
  <c r="B1380" i="51"/>
  <c r="B1379" i="51"/>
  <c r="B1378" i="51"/>
  <c r="B1377" i="51"/>
  <c r="B1376" i="51"/>
  <c r="B1375" i="51"/>
  <c r="B1374" i="51"/>
  <c r="B1373" i="51"/>
  <c r="B1372" i="51"/>
  <c r="B1371" i="51"/>
  <c r="B1370" i="51"/>
  <c r="B1369" i="51"/>
  <c r="B1368" i="51"/>
  <c r="B1367" i="51"/>
  <c r="B1366" i="51"/>
  <c r="B1365" i="51"/>
  <c r="B1364" i="51"/>
  <c r="B1363" i="51"/>
  <c r="B1362" i="51"/>
  <c r="B1361" i="51"/>
  <c r="B1360" i="51"/>
  <c r="B1359" i="51"/>
  <c r="B1358" i="51"/>
  <c r="B1357" i="51"/>
  <c r="B1356" i="51"/>
  <c r="B1355" i="51"/>
  <c r="B1354" i="51"/>
  <c r="B1353" i="51"/>
  <c r="B1352" i="51"/>
  <c r="B1351" i="51"/>
  <c r="B1350" i="51"/>
  <c r="B1349" i="51"/>
  <c r="B1348" i="51"/>
  <c r="B1347" i="51"/>
  <c r="B1346" i="51"/>
  <c r="B1345" i="51"/>
  <c r="B1344" i="51"/>
  <c r="B1343" i="51"/>
  <c r="B1342" i="51"/>
  <c r="B1341" i="51"/>
  <c r="B1340" i="51"/>
  <c r="B1339" i="51"/>
  <c r="B1338" i="51"/>
  <c r="B1337" i="51"/>
  <c r="B1336" i="51"/>
  <c r="B1335" i="51"/>
  <c r="B1334" i="51"/>
  <c r="B1333" i="51"/>
  <c r="B1332" i="51"/>
  <c r="B1331" i="51"/>
  <c r="B1330" i="51"/>
  <c r="B1329" i="51"/>
  <c r="B1328" i="51"/>
  <c r="B1327" i="51"/>
  <c r="B1326" i="51"/>
  <c r="B1325" i="51"/>
  <c r="B1324" i="51"/>
  <c r="B1323" i="51"/>
  <c r="B1322" i="51"/>
  <c r="B1321" i="51"/>
  <c r="B1320" i="51"/>
  <c r="B1319" i="51"/>
  <c r="B1318" i="51"/>
  <c r="B1317" i="51"/>
  <c r="B1316" i="51"/>
  <c r="B1315" i="51"/>
  <c r="B1314" i="51"/>
  <c r="B1313" i="51"/>
  <c r="B1312" i="51"/>
  <c r="B1311" i="51"/>
  <c r="B1310" i="51"/>
  <c r="B1309" i="51"/>
  <c r="B1308" i="51"/>
  <c r="B1307" i="51"/>
  <c r="B1306" i="51"/>
  <c r="B1305" i="51"/>
  <c r="B1304" i="51"/>
  <c r="B1303" i="51"/>
  <c r="B1302" i="51"/>
  <c r="B1301" i="51"/>
  <c r="B1300" i="51"/>
  <c r="B1299" i="51"/>
  <c r="B1298" i="51"/>
  <c r="B1297" i="51"/>
  <c r="B1296" i="51"/>
  <c r="B1295" i="51"/>
  <c r="B1294" i="51"/>
  <c r="B1293" i="51"/>
  <c r="B1292" i="51"/>
  <c r="B1291" i="51"/>
  <c r="B1290" i="51"/>
  <c r="B1289" i="51"/>
  <c r="B1288" i="51"/>
  <c r="B1287" i="51"/>
  <c r="B1286" i="51"/>
  <c r="B1285" i="51"/>
  <c r="B1284" i="51"/>
  <c r="B1283" i="51"/>
  <c r="B1282" i="51"/>
  <c r="B1281" i="51"/>
  <c r="B1280" i="51"/>
  <c r="B1279" i="51"/>
  <c r="B1278" i="51"/>
  <c r="B1277" i="51"/>
  <c r="B1276" i="51"/>
  <c r="B1275" i="51"/>
  <c r="B1274" i="51"/>
  <c r="B1273" i="51"/>
  <c r="B1272" i="51"/>
  <c r="B1271" i="51"/>
  <c r="B1270" i="51"/>
  <c r="B1269" i="51"/>
  <c r="B1268" i="51"/>
  <c r="B1267" i="51"/>
  <c r="B1266" i="51"/>
  <c r="B1265" i="51"/>
  <c r="B1264" i="51"/>
  <c r="B1263" i="51"/>
  <c r="B1262" i="51"/>
  <c r="B1261" i="51"/>
  <c r="B1260" i="51"/>
  <c r="B1259" i="51"/>
  <c r="B1258" i="51"/>
  <c r="B1257" i="51"/>
  <c r="B1256" i="51"/>
  <c r="B1255" i="51"/>
  <c r="B1254" i="51"/>
  <c r="B1253" i="51"/>
  <c r="B1252" i="51"/>
  <c r="B1251" i="51"/>
  <c r="B1250" i="51"/>
  <c r="B1249" i="51"/>
  <c r="B1248" i="51"/>
  <c r="B1247" i="51"/>
  <c r="B1246" i="51"/>
  <c r="B1245" i="51"/>
  <c r="B1244" i="51"/>
  <c r="B1243" i="51"/>
  <c r="B1242" i="51"/>
  <c r="B1241" i="51"/>
  <c r="B1240" i="51"/>
  <c r="B1239" i="51"/>
  <c r="B1238" i="51"/>
  <c r="B1237" i="51"/>
  <c r="B1236" i="51"/>
  <c r="B1235" i="51"/>
  <c r="B1234" i="51"/>
  <c r="B1233" i="51"/>
  <c r="B1232" i="51"/>
  <c r="B1231" i="51"/>
  <c r="B1230" i="51"/>
  <c r="B1229" i="51"/>
  <c r="B1228" i="51"/>
  <c r="B1227" i="51"/>
  <c r="B1226" i="51"/>
  <c r="B1225" i="51"/>
  <c r="B1224" i="51"/>
  <c r="B1223" i="51"/>
  <c r="B1222" i="51"/>
  <c r="B1221" i="51"/>
  <c r="B1220" i="51"/>
  <c r="B1219" i="51"/>
  <c r="B1218" i="51"/>
  <c r="B1217" i="51"/>
  <c r="B1216" i="51"/>
  <c r="B1215" i="51"/>
  <c r="B1214" i="51"/>
  <c r="B1213" i="51"/>
  <c r="B1212" i="51"/>
  <c r="B1211" i="51"/>
  <c r="B1210" i="51"/>
  <c r="B1209" i="51"/>
  <c r="B1208" i="51"/>
  <c r="B1207" i="51"/>
  <c r="B1206" i="51"/>
  <c r="B1205" i="51"/>
  <c r="B1204" i="51"/>
  <c r="B1203" i="51"/>
  <c r="B1202" i="51"/>
  <c r="B1201" i="51"/>
  <c r="B1200" i="51"/>
  <c r="B1199" i="51"/>
  <c r="B1198" i="51"/>
  <c r="B1197" i="51"/>
  <c r="B1196" i="51"/>
  <c r="B1195" i="51"/>
  <c r="B1194" i="51"/>
  <c r="B1193" i="51"/>
  <c r="B1192" i="51"/>
  <c r="B1191" i="51"/>
  <c r="B1190" i="51"/>
  <c r="B1189" i="51"/>
  <c r="B1188" i="51"/>
  <c r="B1187" i="51"/>
  <c r="B1186" i="51"/>
  <c r="B1185" i="51"/>
  <c r="B1184" i="51"/>
  <c r="B1183" i="51"/>
  <c r="B1182" i="51"/>
  <c r="B1181" i="51"/>
  <c r="B1180" i="51"/>
  <c r="B1179" i="51"/>
  <c r="B1178" i="51"/>
  <c r="B1177" i="51"/>
  <c r="B1176" i="51"/>
  <c r="B1175" i="51"/>
  <c r="B1174" i="51"/>
  <c r="B1173" i="51"/>
  <c r="B1172" i="51"/>
  <c r="B1171" i="51"/>
  <c r="B1170" i="51"/>
  <c r="B1169" i="51"/>
  <c r="B1168" i="51"/>
  <c r="B1167" i="51"/>
  <c r="B1166" i="51"/>
  <c r="B1165" i="51"/>
  <c r="B1164" i="51"/>
  <c r="B1163" i="51"/>
  <c r="B1162" i="51"/>
  <c r="B1161" i="51"/>
  <c r="B1160" i="51"/>
  <c r="B1159" i="51"/>
  <c r="B1158" i="51"/>
  <c r="B1157" i="51"/>
  <c r="B1156" i="51"/>
  <c r="B1155" i="51"/>
  <c r="B1154" i="51"/>
  <c r="B1153" i="51"/>
  <c r="B1152" i="51"/>
  <c r="B1151" i="51"/>
  <c r="B1150" i="51"/>
  <c r="B1149" i="51"/>
  <c r="B1148" i="51"/>
  <c r="B1147" i="51"/>
  <c r="B1146" i="51"/>
  <c r="B1145" i="51"/>
  <c r="B1144" i="51"/>
  <c r="B1143" i="51"/>
  <c r="B1142" i="51"/>
  <c r="B1141" i="51"/>
  <c r="B1140" i="51"/>
  <c r="B1139" i="51"/>
  <c r="B1138" i="51"/>
  <c r="B1137" i="51"/>
  <c r="B1136" i="51"/>
  <c r="B1135" i="51"/>
  <c r="B1134" i="51"/>
  <c r="B1133" i="51"/>
  <c r="B1132" i="51"/>
  <c r="B1131" i="51"/>
  <c r="B1130" i="51"/>
  <c r="B1129" i="51"/>
  <c r="B1128" i="51"/>
  <c r="B1127" i="51"/>
  <c r="B1126" i="51"/>
  <c r="B1125" i="51"/>
  <c r="B1124" i="51"/>
  <c r="B1123" i="51"/>
  <c r="B1122" i="51"/>
  <c r="B1121" i="51"/>
  <c r="B1120" i="51"/>
  <c r="B1119" i="51"/>
  <c r="B1118" i="51"/>
  <c r="B1117" i="51"/>
  <c r="B1116" i="51"/>
  <c r="B1115" i="51"/>
  <c r="B1114" i="51"/>
  <c r="B1113" i="51"/>
  <c r="B1112" i="51"/>
  <c r="B1111" i="51"/>
  <c r="B1110" i="51"/>
  <c r="B1109" i="51"/>
  <c r="B1108" i="51"/>
  <c r="B1107" i="51"/>
  <c r="B1106" i="51"/>
  <c r="B1105" i="51"/>
  <c r="B1104" i="51"/>
  <c r="B1103" i="51"/>
  <c r="B1102" i="51"/>
  <c r="B1101" i="51"/>
  <c r="B1100" i="51"/>
  <c r="B1099" i="51"/>
  <c r="B1098" i="51"/>
  <c r="B1097" i="51"/>
  <c r="B1096" i="51"/>
  <c r="B1095" i="51"/>
  <c r="B1094" i="51"/>
  <c r="B1093" i="51"/>
  <c r="B1092" i="51"/>
  <c r="B1091" i="51"/>
  <c r="B1090" i="51"/>
  <c r="B1089" i="51"/>
  <c r="B1088" i="51"/>
  <c r="B1087" i="51"/>
  <c r="B1086" i="51"/>
  <c r="B1085" i="51"/>
  <c r="B1084" i="51"/>
  <c r="B1083" i="51"/>
  <c r="B1082" i="51"/>
  <c r="B1081" i="51"/>
  <c r="B1080" i="51"/>
  <c r="B1079" i="51"/>
  <c r="B1078" i="51"/>
  <c r="B1077" i="51"/>
  <c r="B1076" i="51"/>
  <c r="B1075" i="51"/>
  <c r="B1074" i="51"/>
  <c r="B1073" i="51"/>
  <c r="B1072" i="51"/>
  <c r="B1071" i="51"/>
  <c r="B1070" i="51"/>
  <c r="B1069" i="51"/>
  <c r="B1068" i="51"/>
  <c r="B1067" i="51"/>
  <c r="B1066" i="51"/>
  <c r="B1065" i="51"/>
  <c r="B1064" i="51"/>
  <c r="B1063" i="51"/>
  <c r="B1062" i="51"/>
  <c r="B1061" i="51"/>
  <c r="B1060" i="51"/>
  <c r="B1059" i="51"/>
  <c r="B1058" i="51"/>
  <c r="B1057" i="51"/>
  <c r="B1056" i="51"/>
  <c r="B1055" i="51"/>
  <c r="B1054" i="51"/>
  <c r="B1053" i="51"/>
  <c r="B1052" i="51"/>
  <c r="B1051" i="51"/>
  <c r="B1050" i="51"/>
  <c r="B1049" i="51"/>
  <c r="B1048" i="51"/>
  <c r="B1047" i="51"/>
  <c r="B1046" i="51"/>
  <c r="B1045" i="51"/>
  <c r="B1044" i="51"/>
  <c r="B1043" i="51"/>
  <c r="B1042" i="51"/>
  <c r="B1041" i="51"/>
  <c r="B1040" i="51"/>
  <c r="B1039" i="51"/>
  <c r="B1038" i="51"/>
  <c r="B1037" i="51"/>
  <c r="B1036" i="51"/>
  <c r="B1035" i="51"/>
  <c r="B1034" i="51"/>
  <c r="B1033" i="51"/>
  <c r="B1032" i="51"/>
  <c r="B1031" i="51"/>
  <c r="B1030" i="51"/>
  <c r="B1029" i="51"/>
  <c r="B1028" i="51"/>
  <c r="B1027" i="51"/>
  <c r="B1026" i="51"/>
  <c r="B1025" i="51"/>
  <c r="B1024" i="51"/>
  <c r="B1023" i="51"/>
  <c r="B1022" i="51"/>
  <c r="B1021" i="51"/>
  <c r="B1020" i="51"/>
  <c r="B1019" i="51"/>
  <c r="B1018" i="51"/>
  <c r="B1017" i="51"/>
  <c r="B1016" i="51"/>
  <c r="B1015" i="51"/>
  <c r="B1014" i="51"/>
  <c r="B1013" i="51"/>
  <c r="B1012" i="51"/>
  <c r="B1011" i="51"/>
  <c r="B1010" i="51"/>
  <c r="B1009" i="51"/>
  <c r="B1008" i="51"/>
  <c r="B1007" i="51"/>
  <c r="B1006" i="51"/>
  <c r="B1005" i="51"/>
  <c r="B1004" i="51"/>
  <c r="B1003" i="51"/>
  <c r="B1002" i="51"/>
  <c r="B1001" i="51"/>
  <c r="B1000" i="51"/>
  <c r="B999" i="51"/>
  <c r="B998" i="51"/>
  <c r="B997" i="51"/>
  <c r="B996" i="51"/>
  <c r="B995" i="51"/>
  <c r="B994" i="51"/>
  <c r="B993" i="51"/>
  <c r="B992" i="51"/>
  <c r="B991" i="51"/>
  <c r="B990" i="51"/>
  <c r="B989" i="51"/>
  <c r="B988" i="51"/>
  <c r="B987" i="51"/>
  <c r="B986" i="51"/>
  <c r="B985" i="51"/>
  <c r="B984" i="51"/>
  <c r="B983" i="51"/>
  <c r="B982" i="51"/>
  <c r="B981" i="51"/>
  <c r="B980" i="51"/>
  <c r="B979" i="51"/>
  <c r="B978" i="51"/>
  <c r="B977" i="51"/>
  <c r="B976" i="51"/>
  <c r="B975" i="51"/>
  <c r="B974" i="51"/>
  <c r="B973" i="51"/>
  <c r="B972" i="51"/>
  <c r="B971" i="51"/>
  <c r="B970" i="51"/>
  <c r="B969" i="51"/>
  <c r="B968" i="51"/>
  <c r="B967" i="51"/>
  <c r="B966" i="51"/>
  <c r="B965" i="51"/>
  <c r="B964" i="51"/>
  <c r="B963" i="51"/>
  <c r="B962" i="51"/>
  <c r="B961" i="51"/>
  <c r="B960" i="51"/>
  <c r="B959" i="51"/>
  <c r="B958" i="51"/>
  <c r="B957" i="51"/>
  <c r="B956" i="51"/>
  <c r="B955" i="51"/>
  <c r="B954" i="51"/>
  <c r="B953" i="51"/>
  <c r="B952" i="51"/>
  <c r="B951" i="51"/>
  <c r="B950" i="51"/>
  <c r="B949" i="51"/>
  <c r="B948" i="51"/>
  <c r="B947" i="51"/>
  <c r="B946" i="51"/>
  <c r="B945" i="51"/>
  <c r="B944" i="51"/>
  <c r="B943" i="51"/>
  <c r="B942" i="51"/>
  <c r="B941" i="51"/>
  <c r="B940" i="51"/>
  <c r="B939" i="51"/>
  <c r="B938" i="51"/>
  <c r="B937" i="51"/>
  <c r="B936" i="51"/>
  <c r="B935" i="51"/>
  <c r="B934" i="51"/>
  <c r="B933" i="51"/>
  <c r="B932" i="51"/>
  <c r="B931" i="51"/>
  <c r="B930" i="51"/>
  <c r="B929" i="51"/>
  <c r="B928" i="51"/>
  <c r="B927" i="51"/>
  <c r="B926" i="51"/>
  <c r="B925" i="51"/>
  <c r="B924" i="51"/>
  <c r="B923" i="51"/>
  <c r="B922" i="51"/>
  <c r="B921" i="51"/>
  <c r="B920" i="51"/>
  <c r="B919" i="51"/>
  <c r="B918" i="51"/>
  <c r="B917" i="51"/>
  <c r="B916" i="51"/>
  <c r="B915" i="51"/>
  <c r="B914" i="51"/>
  <c r="B913" i="51"/>
  <c r="B912" i="51"/>
  <c r="B911" i="51"/>
  <c r="B910" i="51"/>
  <c r="B909" i="51"/>
  <c r="B908" i="51"/>
  <c r="B907" i="51"/>
  <c r="B906" i="51"/>
  <c r="B905" i="51"/>
  <c r="B904" i="51"/>
  <c r="B903" i="51"/>
  <c r="B902" i="51"/>
  <c r="B901" i="51"/>
  <c r="B900" i="51"/>
  <c r="B899" i="51"/>
  <c r="B898" i="51"/>
  <c r="B897" i="51"/>
  <c r="B896" i="51"/>
  <c r="B895" i="51"/>
  <c r="B894" i="51"/>
  <c r="B893" i="51"/>
  <c r="B892" i="51"/>
  <c r="B891" i="51"/>
  <c r="B890" i="51"/>
  <c r="B889" i="51"/>
  <c r="B888" i="51"/>
  <c r="B887" i="51"/>
  <c r="B886" i="51"/>
  <c r="B885" i="51"/>
  <c r="B884" i="51"/>
  <c r="B883" i="51"/>
  <c r="B882" i="51"/>
  <c r="B881" i="51"/>
  <c r="B880" i="51"/>
  <c r="B879" i="51"/>
  <c r="B878" i="51"/>
  <c r="B877" i="51"/>
  <c r="B876" i="51"/>
  <c r="B875" i="51"/>
  <c r="B874" i="51"/>
  <c r="B873" i="51"/>
  <c r="B872" i="51"/>
  <c r="B871" i="51"/>
  <c r="B870" i="51"/>
  <c r="B869" i="51"/>
  <c r="B868" i="51"/>
  <c r="B867" i="51"/>
  <c r="B866" i="51"/>
  <c r="B865" i="51"/>
  <c r="B864" i="51"/>
  <c r="B863" i="51"/>
  <c r="B862" i="51"/>
  <c r="B861" i="51"/>
  <c r="B860" i="51"/>
  <c r="B859" i="51"/>
  <c r="B858" i="51"/>
  <c r="B857" i="51"/>
  <c r="B856" i="51"/>
  <c r="B855" i="51"/>
  <c r="B854" i="51"/>
  <c r="B853" i="51"/>
  <c r="B852" i="51"/>
  <c r="B851" i="51"/>
  <c r="B850" i="51"/>
  <c r="B849" i="51"/>
  <c r="B848" i="51"/>
  <c r="B847" i="51"/>
  <c r="B846" i="51"/>
  <c r="B845" i="51"/>
  <c r="B844" i="51"/>
  <c r="B843" i="51"/>
  <c r="B842" i="51"/>
  <c r="B841" i="51"/>
  <c r="B840" i="51"/>
  <c r="B839" i="51"/>
  <c r="B838" i="51"/>
  <c r="B837" i="51"/>
  <c r="B836" i="51"/>
  <c r="B835" i="51"/>
  <c r="B834" i="51"/>
  <c r="B833" i="51"/>
  <c r="B832" i="51"/>
  <c r="B831" i="51"/>
  <c r="B830" i="51"/>
  <c r="B829" i="51"/>
  <c r="B828" i="51"/>
  <c r="B827" i="51"/>
  <c r="B826" i="51"/>
  <c r="B825" i="51"/>
  <c r="B824" i="51"/>
  <c r="B823" i="51"/>
  <c r="B822" i="51"/>
  <c r="B821" i="51"/>
  <c r="B820" i="51"/>
  <c r="B819" i="51"/>
  <c r="B818" i="51"/>
  <c r="B817" i="51"/>
  <c r="B816" i="51"/>
  <c r="B815" i="51"/>
  <c r="B814" i="51"/>
  <c r="B813" i="51"/>
  <c r="B812" i="51"/>
  <c r="B811" i="51"/>
  <c r="B810" i="51"/>
  <c r="B809" i="51"/>
  <c r="B808" i="51"/>
  <c r="B807" i="51"/>
  <c r="B806" i="51"/>
  <c r="B805" i="51"/>
  <c r="B804" i="51"/>
  <c r="B803" i="51"/>
  <c r="B802" i="51"/>
  <c r="B801" i="51"/>
  <c r="B800" i="51"/>
  <c r="B799" i="51"/>
  <c r="B798" i="51"/>
  <c r="B797" i="51"/>
  <c r="B796" i="51"/>
  <c r="B795" i="51"/>
  <c r="B794" i="51"/>
  <c r="B793" i="51"/>
  <c r="B792" i="51"/>
  <c r="B791" i="51"/>
  <c r="B790" i="51"/>
  <c r="B789" i="51"/>
  <c r="B788" i="51"/>
  <c r="B787" i="51"/>
  <c r="B786" i="51"/>
  <c r="B785" i="51"/>
  <c r="B784" i="51"/>
  <c r="B783" i="51"/>
  <c r="B782" i="51"/>
  <c r="B781" i="51"/>
  <c r="B780" i="51"/>
  <c r="B779" i="51"/>
  <c r="B778" i="51"/>
  <c r="B777" i="51"/>
  <c r="B776" i="51"/>
  <c r="B775" i="51"/>
  <c r="B774" i="51"/>
  <c r="B773" i="51"/>
  <c r="B772" i="51"/>
  <c r="B771" i="51"/>
  <c r="B770" i="51"/>
  <c r="B769" i="51"/>
  <c r="B768" i="51"/>
  <c r="B767" i="51"/>
  <c r="B766" i="51"/>
  <c r="B765" i="51"/>
  <c r="B764" i="51"/>
  <c r="B763" i="51"/>
  <c r="B762" i="51"/>
  <c r="B761" i="51"/>
  <c r="B760" i="51"/>
  <c r="B759" i="51"/>
  <c r="B758" i="51"/>
  <c r="B757" i="51"/>
  <c r="B756" i="51"/>
  <c r="B755" i="51"/>
  <c r="B754" i="51"/>
  <c r="B753" i="51"/>
  <c r="B752" i="51"/>
  <c r="B751" i="51"/>
  <c r="B750" i="51"/>
  <c r="B749" i="51"/>
  <c r="B748" i="51"/>
  <c r="B747" i="51"/>
  <c r="B746" i="51"/>
  <c r="B745" i="51"/>
  <c r="B744" i="51"/>
  <c r="B743" i="51"/>
  <c r="B742" i="51"/>
  <c r="B741" i="51"/>
  <c r="B740" i="51"/>
  <c r="B739" i="51"/>
  <c r="B738" i="51"/>
  <c r="B737" i="51"/>
  <c r="B736" i="51"/>
  <c r="B735" i="51"/>
  <c r="B734" i="51"/>
  <c r="B733" i="51"/>
  <c r="B732" i="51"/>
  <c r="B731" i="51"/>
  <c r="B730" i="51"/>
  <c r="B729" i="51"/>
  <c r="B728" i="51"/>
  <c r="B727" i="51"/>
  <c r="B726" i="51"/>
  <c r="B725" i="51"/>
  <c r="B724" i="51"/>
  <c r="B723" i="51"/>
  <c r="B722" i="51"/>
  <c r="B721" i="51"/>
  <c r="B720" i="51"/>
  <c r="B719" i="51"/>
  <c r="B718" i="51"/>
  <c r="B717" i="51"/>
  <c r="B716" i="51"/>
  <c r="B715" i="51"/>
  <c r="B714" i="51"/>
  <c r="B713" i="51"/>
  <c r="B712" i="51"/>
  <c r="B711" i="51"/>
  <c r="B710" i="51"/>
  <c r="B709" i="51"/>
  <c r="B708" i="51"/>
  <c r="B707" i="51"/>
  <c r="B706" i="51"/>
  <c r="B705" i="51"/>
  <c r="B704" i="51"/>
  <c r="B703" i="51"/>
  <c r="B702" i="51"/>
  <c r="B701" i="51"/>
  <c r="B700" i="51"/>
  <c r="B699" i="51"/>
  <c r="B698" i="51"/>
  <c r="B697" i="51"/>
  <c r="B696" i="51"/>
  <c r="B695" i="51"/>
  <c r="B694" i="51"/>
  <c r="B693" i="51"/>
  <c r="B692" i="51"/>
  <c r="B691" i="51"/>
  <c r="B690" i="51"/>
  <c r="B689" i="51"/>
  <c r="B688" i="51"/>
  <c r="B687" i="51"/>
  <c r="B686" i="51"/>
  <c r="B685" i="51"/>
  <c r="B684" i="51"/>
  <c r="B683" i="51"/>
  <c r="B682" i="51"/>
  <c r="B681" i="51"/>
  <c r="B680" i="51"/>
  <c r="B679" i="51"/>
  <c r="B678" i="51"/>
  <c r="B677" i="51"/>
  <c r="B676" i="51"/>
  <c r="B675" i="51"/>
  <c r="B674" i="51"/>
  <c r="B673" i="51"/>
  <c r="B672" i="51"/>
  <c r="B671" i="51"/>
  <c r="B670" i="51"/>
  <c r="B669" i="51"/>
  <c r="B668" i="51"/>
  <c r="B667" i="51"/>
  <c r="B666" i="51"/>
  <c r="B665" i="51"/>
  <c r="B664" i="51"/>
  <c r="B663" i="51"/>
  <c r="B662" i="51"/>
  <c r="B661" i="51"/>
  <c r="B660" i="51"/>
  <c r="B659" i="51"/>
  <c r="B658" i="51"/>
  <c r="B657" i="51"/>
  <c r="B656" i="51"/>
  <c r="B655" i="51"/>
  <c r="B654" i="51"/>
  <c r="B653" i="51"/>
  <c r="B652" i="51"/>
  <c r="B651" i="51"/>
  <c r="B650" i="51"/>
  <c r="B649" i="51"/>
  <c r="B648" i="51"/>
  <c r="B647" i="51"/>
  <c r="B646" i="51"/>
  <c r="B645" i="51"/>
  <c r="B644" i="51"/>
  <c r="B643" i="51"/>
  <c r="B642" i="51"/>
  <c r="B641" i="51"/>
  <c r="B640" i="51"/>
  <c r="B639" i="51"/>
  <c r="B638" i="51"/>
  <c r="B637" i="51"/>
  <c r="B636" i="51"/>
  <c r="B635" i="51"/>
  <c r="B634" i="51"/>
  <c r="B633" i="51"/>
  <c r="B632" i="51"/>
  <c r="B631" i="51"/>
  <c r="B630" i="51"/>
  <c r="B629" i="51"/>
  <c r="B628" i="51"/>
  <c r="B627" i="51"/>
  <c r="B626" i="51"/>
  <c r="B625" i="51"/>
  <c r="B624" i="51"/>
  <c r="B623" i="51"/>
  <c r="B622" i="51"/>
  <c r="B621" i="51"/>
  <c r="B620" i="51"/>
  <c r="B619" i="51"/>
  <c r="B618" i="51"/>
  <c r="B617" i="51"/>
  <c r="B616" i="51"/>
  <c r="B615" i="51"/>
  <c r="B614" i="51"/>
  <c r="B613" i="51"/>
  <c r="B612" i="51"/>
  <c r="B611" i="51"/>
  <c r="B610" i="51"/>
  <c r="B609" i="51"/>
  <c r="B608" i="51"/>
  <c r="B607" i="51"/>
  <c r="B606" i="51"/>
  <c r="B605" i="51"/>
  <c r="B604" i="51"/>
  <c r="B603" i="51"/>
  <c r="B602" i="51"/>
  <c r="B601" i="51"/>
  <c r="B600" i="51"/>
  <c r="B599" i="51"/>
  <c r="B598" i="51"/>
  <c r="B597" i="51"/>
  <c r="B596" i="51"/>
  <c r="B595" i="51"/>
  <c r="B594" i="51"/>
  <c r="B593" i="51"/>
  <c r="B592" i="51"/>
  <c r="B591" i="51"/>
  <c r="B590" i="51"/>
  <c r="B589" i="51"/>
  <c r="B588" i="51"/>
  <c r="B587" i="51"/>
  <c r="B586" i="51"/>
  <c r="B585" i="51"/>
  <c r="B584" i="51"/>
  <c r="B583" i="51"/>
  <c r="B582" i="51"/>
  <c r="B581" i="51"/>
  <c r="B580" i="51"/>
  <c r="B579" i="51"/>
  <c r="B578" i="51"/>
  <c r="B577" i="51"/>
  <c r="B576" i="51"/>
  <c r="B575" i="51"/>
  <c r="B574" i="51"/>
  <c r="B573" i="51"/>
  <c r="B572" i="51"/>
  <c r="B571" i="51"/>
  <c r="B570" i="51"/>
  <c r="B569" i="51"/>
  <c r="B568" i="51"/>
  <c r="B567" i="51"/>
  <c r="B566" i="51"/>
  <c r="B565" i="51"/>
  <c r="B564" i="51"/>
  <c r="B563" i="51"/>
  <c r="B562" i="51"/>
  <c r="B561" i="51"/>
  <c r="B560" i="51"/>
  <c r="B559" i="51"/>
  <c r="B558" i="51"/>
  <c r="B557" i="51"/>
  <c r="B556" i="51"/>
  <c r="B555" i="51"/>
  <c r="B554" i="51"/>
  <c r="B553" i="51"/>
  <c r="B552" i="51"/>
  <c r="B551" i="51"/>
  <c r="B550" i="51"/>
  <c r="B549" i="51"/>
  <c r="B548" i="51"/>
  <c r="B547" i="51"/>
  <c r="B546" i="51"/>
  <c r="B545" i="51"/>
  <c r="B544" i="51"/>
  <c r="B543" i="51"/>
  <c r="B542" i="51"/>
  <c r="B541" i="51"/>
  <c r="B540" i="51"/>
  <c r="B539" i="51"/>
  <c r="B538" i="51"/>
  <c r="B537" i="51"/>
  <c r="B536" i="51"/>
  <c r="B535" i="51"/>
  <c r="B534" i="51"/>
  <c r="B533" i="51"/>
  <c r="B532" i="51"/>
  <c r="B531" i="51"/>
  <c r="B530" i="51"/>
  <c r="B529" i="51"/>
  <c r="B528" i="51"/>
  <c r="B527" i="51"/>
  <c r="B526" i="51"/>
  <c r="B525" i="51"/>
  <c r="B524" i="51"/>
  <c r="B523" i="51"/>
  <c r="B522" i="51"/>
  <c r="B521" i="51"/>
  <c r="B520" i="51"/>
  <c r="B519" i="51"/>
  <c r="B518" i="51"/>
  <c r="B517" i="51"/>
  <c r="B516" i="51"/>
  <c r="B515" i="51"/>
  <c r="B514" i="51"/>
  <c r="B513" i="51"/>
  <c r="B512" i="51"/>
  <c r="B511" i="51"/>
  <c r="B510" i="51"/>
  <c r="B509" i="51"/>
  <c r="B508" i="51"/>
  <c r="B507" i="51"/>
  <c r="B506" i="51"/>
  <c r="B505" i="51"/>
  <c r="B504" i="51"/>
  <c r="B503" i="51"/>
  <c r="B502" i="51"/>
  <c r="B501" i="51"/>
  <c r="B500" i="51"/>
  <c r="B499" i="51"/>
  <c r="B498" i="51"/>
  <c r="B497" i="51"/>
  <c r="B496" i="51"/>
  <c r="B495" i="51"/>
  <c r="B494" i="51"/>
  <c r="B493" i="51"/>
  <c r="B492" i="51"/>
  <c r="B491" i="51"/>
  <c r="B490" i="51"/>
  <c r="B489" i="51"/>
  <c r="B488" i="51"/>
  <c r="B487" i="51"/>
  <c r="B486" i="51"/>
  <c r="B485" i="51"/>
  <c r="B484" i="51"/>
  <c r="B483" i="51"/>
  <c r="B482" i="51"/>
  <c r="B481" i="51"/>
  <c r="B480" i="51"/>
  <c r="B479" i="51"/>
  <c r="B478" i="51"/>
  <c r="B477" i="51"/>
  <c r="B476" i="51"/>
  <c r="B475" i="51"/>
  <c r="B474" i="51"/>
  <c r="B473" i="51"/>
  <c r="B472" i="51"/>
  <c r="B471" i="51"/>
  <c r="B470" i="51"/>
  <c r="B469" i="51"/>
  <c r="B468" i="51"/>
  <c r="B467" i="51"/>
  <c r="B466" i="51"/>
  <c r="B465" i="51"/>
  <c r="B464" i="51"/>
  <c r="B463" i="51"/>
  <c r="B462" i="51"/>
  <c r="B461" i="51"/>
  <c r="B460" i="51"/>
  <c r="B459" i="51"/>
  <c r="B458" i="51"/>
  <c r="B457" i="51"/>
  <c r="B456" i="51"/>
  <c r="B455" i="51"/>
  <c r="B454" i="51"/>
  <c r="B453" i="51"/>
  <c r="B452" i="51"/>
  <c r="B451" i="51"/>
  <c r="B450" i="51"/>
  <c r="B449" i="51"/>
  <c r="B448" i="51"/>
  <c r="B447" i="51"/>
  <c r="B446" i="51"/>
  <c r="B445" i="51"/>
  <c r="B444" i="51"/>
  <c r="B443" i="51"/>
  <c r="B442" i="51"/>
  <c r="B441" i="51"/>
  <c r="B440" i="51"/>
  <c r="B439" i="51"/>
  <c r="B438" i="51"/>
  <c r="B437" i="51"/>
  <c r="B436" i="51"/>
  <c r="B435" i="51"/>
  <c r="B434" i="51"/>
  <c r="B433" i="51"/>
  <c r="B432" i="51"/>
  <c r="B431" i="51"/>
  <c r="B430" i="51"/>
  <c r="B429" i="51"/>
  <c r="B428" i="51"/>
  <c r="B427" i="51"/>
  <c r="B426" i="51"/>
  <c r="B425" i="51"/>
  <c r="B424" i="51"/>
  <c r="B423" i="51"/>
  <c r="B422" i="51"/>
  <c r="B421" i="51"/>
  <c r="B420" i="51"/>
  <c r="B419" i="51"/>
  <c r="B418" i="51"/>
  <c r="B417" i="51"/>
  <c r="B416" i="51"/>
  <c r="B415" i="51"/>
  <c r="B414" i="51"/>
  <c r="B413" i="51"/>
  <c r="B412" i="51"/>
  <c r="B411" i="51"/>
  <c r="B410" i="51"/>
  <c r="B409" i="51"/>
  <c r="B408" i="51"/>
  <c r="B407" i="51"/>
  <c r="B406" i="51"/>
  <c r="B405" i="51"/>
  <c r="B404" i="51"/>
  <c r="B403" i="51"/>
  <c r="B402" i="51"/>
  <c r="B401" i="51"/>
  <c r="B400" i="51"/>
  <c r="B399" i="51"/>
  <c r="B398" i="51"/>
  <c r="B397" i="51"/>
  <c r="B396" i="51"/>
  <c r="B395" i="51"/>
  <c r="B394" i="51"/>
  <c r="B393" i="51"/>
  <c r="B392" i="51"/>
  <c r="B391" i="51"/>
  <c r="B390" i="51"/>
  <c r="B389" i="51"/>
  <c r="B388" i="51"/>
  <c r="B387" i="51"/>
  <c r="B386" i="51"/>
  <c r="B385" i="51"/>
  <c r="B384" i="51"/>
  <c r="B383" i="51"/>
  <c r="B382" i="51"/>
  <c r="B381" i="51"/>
  <c r="B380" i="51"/>
  <c r="B379" i="51"/>
  <c r="B378" i="51"/>
  <c r="B377" i="51"/>
  <c r="B376" i="51"/>
  <c r="B375" i="51"/>
  <c r="B374" i="51"/>
  <c r="B373" i="51"/>
  <c r="B372" i="51"/>
  <c r="B371" i="51"/>
  <c r="B370" i="51"/>
  <c r="B369" i="51"/>
  <c r="B368" i="51"/>
  <c r="B367" i="51"/>
  <c r="B366" i="51"/>
  <c r="B365" i="51"/>
  <c r="B364" i="51"/>
  <c r="B363" i="51"/>
  <c r="B362" i="51"/>
  <c r="B361" i="51"/>
  <c r="B360" i="51"/>
  <c r="B359" i="51"/>
  <c r="B358" i="51"/>
  <c r="B357" i="51"/>
  <c r="B356" i="51"/>
  <c r="B355" i="51"/>
  <c r="B354" i="51"/>
  <c r="B353" i="51"/>
  <c r="B352" i="51"/>
  <c r="B351" i="51"/>
  <c r="B350" i="51"/>
  <c r="B349" i="51"/>
  <c r="B348" i="51"/>
  <c r="B347" i="51"/>
  <c r="B346" i="51"/>
  <c r="B345" i="51"/>
  <c r="B344" i="51"/>
  <c r="B343" i="51"/>
  <c r="B342" i="51"/>
  <c r="B341" i="51"/>
  <c r="B340" i="51"/>
  <c r="B339" i="51"/>
  <c r="B338" i="51"/>
  <c r="B337" i="51"/>
  <c r="B336" i="51"/>
  <c r="B335" i="51"/>
  <c r="B334" i="51"/>
  <c r="B333" i="51"/>
  <c r="B332" i="51"/>
  <c r="B331" i="51"/>
  <c r="B330" i="51"/>
  <c r="B329" i="51"/>
  <c r="B328" i="51"/>
  <c r="B327" i="51"/>
  <c r="B326" i="51"/>
  <c r="B325" i="51"/>
  <c r="B324" i="51"/>
  <c r="B323" i="51"/>
  <c r="B322" i="51"/>
  <c r="B321" i="51"/>
  <c r="B320" i="51"/>
  <c r="B319" i="51"/>
  <c r="B318" i="51"/>
  <c r="B317" i="51"/>
  <c r="B316" i="51"/>
  <c r="B315" i="51"/>
  <c r="B314" i="51"/>
  <c r="B313" i="51"/>
  <c r="B312" i="51"/>
  <c r="B311" i="51"/>
  <c r="B310" i="51"/>
  <c r="B309" i="51"/>
  <c r="B308" i="51"/>
  <c r="B307" i="51"/>
  <c r="B306" i="51"/>
  <c r="B305" i="51"/>
  <c r="B304" i="51"/>
  <c r="B303" i="51"/>
  <c r="B302" i="51"/>
  <c r="B301" i="51"/>
  <c r="B300" i="51"/>
  <c r="B299" i="51"/>
  <c r="B298" i="51"/>
  <c r="B297" i="51"/>
  <c r="B296" i="51"/>
  <c r="B295" i="51"/>
  <c r="B294" i="51"/>
  <c r="B293" i="51"/>
  <c r="B292" i="51"/>
  <c r="B291" i="51"/>
  <c r="B290" i="51"/>
  <c r="B289" i="51"/>
  <c r="B288" i="51"/>
  <c r="B287" i="51"/>
  <c r="B286" i="51"/>
  <c r="B285" i="51"/>
  <c r="B284" i="51"/>
  <c r="B283" i="51"/>
  <c r="B282" i="51"/>
  <c r="B281" i="51"/>
  <c r="B280" i="51"/>
  <c r="B279" i="51"/>
  <c r="B278" i="51"/>
  <c r="B277" i="51"/>
  <c r="B276" i="51"/>
  <c r="B275" i="51"/>
  <c r="B274" i="51"/>
  <c r="B273" i="51"/>
  <c r="B272" i="51"/>
  <c r="B271" i="51"/>
  <c r="B270" i="51"/>
  <c r="B269" i="51"/>
  <c r="B268" i="51"/>
  <c r="B267" i="51"/>
  <c r="B266" i="51"/>
  <c r="B265" i="51"/>
  <c r="B264" i="51"/>
  <c r="B263" i="51"/>
  <c r="B262" i="51"/>
  <c r="B261" i="51"/>
  <c r="B260" i="51"/>
  <c r="B259" i="51"/>
  <c r="B258" i="51"/>
  <c r="B257" i="51"/>
  <c r="B256" i="51"/>
  <c r="B255" i="51"/>
  <c r="B254" i="51"/>
  <c r="B253" i="51"/>
  <c r="B252" i="51"/>
  <c r="B251" i="51"/>
  <c r="B250" i="51"/>
  <c r="B249" i="51"/>
  <c r="B248" i="51"/>
  <c r="B247" i="51"/>
  <c r="B246" i="51"/>
  <c r="B245" i="51"/>
  <c r="B244" i="51"/>
  <c r="B243" i="51"/>
  <c r="B242" i="51"/>
  <c r="B241" i="51"/>
  <c r="B240" i="51"/>
  <c r="B239" i="51"/>
  <c r="B238" i="51"/>
  <c r="B237" i="51"/>
  <c r="B236" i="51"/>
  <c r="B235" i="51"/>
  <c r="B234" i="51"/>
  <c r="B233" i="51"/>
  <c r="B232" i="51"/>
  <c r="B231" i="51"/>
  <c r="B230" i="51"/>
  <c r="B229" i="51"/>
  <c r="B228" i="51"/>
  <c r="B227" i="51"/>
  <c r="B226" i="51"/>
  <c r="B225" i="51"/>
  <c r="B224" i="51"/>
  <c r="B223" i="51"/>
  <c r="B222" i="51"/>
  <c r="B221" i="51"/>
  <c r="B220" i="51"/>
  <c r="B219" i="51"/>
  <c r="B218" i="51"/>
  <c r="B217" i="51"/>
  <c r="B216" i="51"/>
  <c r="B215" i="51"/>
  <c r="B214" i="51"/>
  <c r="B213" i="51"/>
  <c r="B212" i="51"/>
  <c r="B211" i="51"/>
  <c r="B210" i="51"/>
  <c r="B209" i="51"/>
  <c r="B208" i="51"/>
  <c r="B207" i="51"/>
  <c r="B206" i="51"/>
  <c r="B205" i="51"/>
  <c r="B204" i="51"/>
  <c r="B203" i="51"/>
  <c r="B202" i="51"/>
  <c r="B201" i="51"/>
  <c r="B200" i="51"/>
  <c r="B199" i="51"/>
  <c r="B198" i="51"/>
  <c r="B197" i="51"/>
  <c r="B196" i="51"/>
  <c r="B195" i="51"/>
  <c r="B194" i="51"/>
  <c r="B193" i="51"/>
  <c r="B192" i="51"/>
  <c r="B191" i="51"/>
  <c r="B190" i="51"/>
  <c r="B189" i="51"/>
  <c r="B188" i="51"/>
  <c r="B187" i="51"/>
  <c r="B186" i="51"/>
  <c r="B185" i="51"/>
  <c r="B184" i="51"/>
  <c r="B183" i="51"/>
  <c r="B182" i="51"/>
  <c r="B181" i="51"/>
  <c r="B180" i="51"/>
  <c r="B179" i="51"/>
  <c r="B178" i="51"/>
  <c r="B177" i="51"/>
  <c r="B176" i="51"/>
  <c r="B175" i="51"/>
  <c r="B174" i="51"/>
  <c r="B173" i="51"/>
  <c r="B172" i="51"/>
  <c r="B171" i="51"/>
  <c r="B170" i="51"/>
  <c r="B169" i="51"/>
  <c r="B168" i="51"/>
  <c r="B167" i="51"/>
  <c r="B166" i="51"/>
  <c r="B165" i="51"/>
  <c r="B164" i="51"/>
  <c r="B163" i="51"/>
  <c r="B162" i="51"/>
  <c r="B161" i="51"/>
  <c r="B160" i="51"/>
  <c r="B159" i="51"/>
  <c r="B158" i="51"/>
  <c r="B157" i="51"/>
  <c r="B156" i="51"/>
  <c r="B155" i="51"/>
  <c r="B154" i="51"/>
  <c r="B153" i="51"/>
  <c r="B152" i="51"/>
  <c r="B151" i="51"/>
  <c r="B150" i="51"/>
  <c r="B149" i="51"/>
  <c r="B148" i="51"/>
  <c r="B147" i="51"/>
  <c r="B146" i="51"/>
  <c r="B145" i="51"/>
  <c r="B144" i="51"/>
  <c r="B143" i="51"/>
  <c r="B142" i="51"/>
  <c r="B141" i="51"/>
  <c r="B140" i="51"/>
  <c r="B139" i="51"/>
  <c r="B138" i="51"/>
  <c r="B137" i="51"/>
  <c r="B136" i="51"/>
  <c r="B135" i="51"/>
  <c r="B134" i="51"/>
  <c r="B133" i="51"/>
  <c r="B132" i="51"/>
  <c r="B131" i="51"/>
  <c r="B130" i="51"/>
  <c r="B129" i="51"/>
  <c r="B128" i="51"/>
  <c r="B127" i="51"/>
  <c r="B126" i="51"/>
  <c r="B125" i="51"/>
  <c r="B124" i="51"/>
  <c r="B123" i="51"/>
  <c r="B122" i="51"/>
  <c r="B121" i="51"/>
  <c r="B120" i="51"/>
  <c r="B119" i="51"/>
  <c r="B118" i="51"/>
  <c r="B117" i="51"/>
  <c r="B116" i="51"/>
  <c r="B115" i="51"/>
  <c r="B114" i="51"/>
  <c r="B113" i="51"/>
  <c r="B112" i="51"/>
  <c r="B111" i="51"/>
  <c r="B110" i="51"/>
  <c r="B109" i="51"/>
  <c r="B108" i="51"/>
  <c r="B107" i="51"/>
  <c r="B106" i="51"/>
  <c r="B105" i="51"/>
  <c r="B104" i="51"/>
  <c r="B103" i="51"/>
  <c r="B102" i="51"/>
  <c r="B101" i="51"/>
  <c r="B100" i="51"/>
  <c r="B99" i="51"/>
  <c r="B98" i="51"/>
  <c r="B97" i="51"/>
  <c r="B96" i="51"/>
  <c r="B95" i="51"/>
  <c r="B94" i="51"/>
  <c r="B93" i="51"/>
  <c r="B92" i="51"/>
  <c r="B91" i="51"/>
  <c r="B90" i="51"/>
  <c r="B89" i="51"/>
  <c r="B88" i="51"/>
  <c r="B87" i="51"/>
  <c r="B86" i="51"/>
  <c r="B85" i="51"/>
  <c r="B84" i="51"/>
  <c r="B83" i="51"/>
  <c r="B82" i="51"/>
  <c r="B81" i="51"/>
  <c r="B80" i="51"/>
  <c r="B79" i="51"/>
  <c r="B78" i="51"/>
  <c r="B77" i="51"/>
  <c r="B76" i="51"/>
  <c r="B75" i="51"/>
  <c r="B74" i="51"/>
  <c r="B73" i="51"/>
  <c r="B72" i="51"/>
  <c r="B71" i="51"/>
  <c r="B70" i="51"/>
  <c r="B69" i="51"/>
  <c r="B68" i="51"/>
  <c r="B67" i="51"/>
  <c r="B66" i="51"/>
  <c r="B65" i="51"/>
  <c r="B64" i="51"/>
  <c r="B63" i="51"/>
  <c r="B62" i="51"/>
  <c r="B61" i="51"/>
  <c r="B60" i="51"/>
  <c r="B59" i="51"/>
  <c r="B58" i="51"/>
  <c r="B57" i="51"/>
  <c r="B56" i="51"/>
  <c r="B55" i="51"/>
  <c r="B54" i="51"/>
  <c r="B53" i="51"/>
  <c r="B52" i="51"/>
  <c r="B51" i="51"/>
  <c r="B50" i="51"/>
  <c r="B49" i="51"/>
  <c r="B48" i="51"/>
  <c r="B47" i="51"/>
  <c r="B46" i="51"/>
  <c r="B45" i="51"/>
  <c r="B44" i="51"/>
  <c r="B43" i="51"/>
  <c r="B42" i="51"/>
  <c r="B41" i="51"/>
  <c r="B40" i="51"/>
  <c r="B39" i="51"/>
  <c r="B38" i="51"/>
  <c r="B37" i="51"/>
  <c r="B36" i="51"/>
  <c r="B35" i="51"/>
  <c r="B34" i="51"/>
  <c r="B33" i="51"/>
  <c r="B32" i="51"/>
  <c r="B31" i="51"/>
  <c r="B30" i="51"/>
  <c r="B29" i="51"/>
  <c r="B28" i="51"/>
  <c r="B27" i="51"/>
  <c r="B26" i="51"/>
  <c r="B25" i="51"/>
  <c r="B24" i="51"/>
  <c r="B23" i="51"/>
  <c r="B22" i="51"/>
  <c r="B21" i="51"/>
  <c r="B20" i="51"/>
  <c r="B19" i="51"/>
  <c r="B18" i="51"/>
  <c r="B17" i="51"/>
  <c r="B16" i="51"/>
  <c r="B15" i="51"/>
  <c r="B14" i="51"/>
  <c r="B13" i="51"/>
  <c r="Q18" i="50" s="1"/>
  <c r="B12" i="51"/>
  <c r="B11" i="51"/>
  <c r="B10" i="51"/>
  <c r="B9" i="51"/>
  <c r="B8" i="51"/>
  <c r="B7" i="51"/>
  <c r="I68" i="48" l="1"/>
  <c r="J68" i="48" s="1"/>
  <c r="AF41" i="50"/>
  <c r="Z57" i="50"/>
  <c r="AJ26" i="50"/>
  <c r="D21" i="50"/>
  <c r="I53" i="50"/>
  <c r="G55" i="50"/>
  <c r="Z12" i="50"/>
  <c r="AC43" i="50"/>
  <c r="AA13" i="50"/>
  <c r="J19" i="50"/>
  <c r="J28" i="50"/>
  <c r="H60" i="50"/>
  <c r="T14" i="50"/>
  <c r="K20" i="50"/>
  <c r="L30" i="50"/>
  <c r="AA44" i="50"/>
  <c r="V8" i="50"/>
  <c r="M249" i="50"/>
  <c r="O9" i="50"/>
  <c r="F15" i="50"/>
  <c r="AL21" i="50"/>
  <c r="W33" i="50"/>
  <c r="H48" i="50"/>
  <c r="AJ59" i="50"/>
  <c r="AK31" i="50"/>
  <c r="H10" i="50"/>
  <c r="AL15" i="50"/>
  <c r="AM22" i="50"/>
  <c r="I35" i="50"/>
  <c r="Z50" i="50"/>
  <c r="J46" i="50"/>
  <c r="AN10" i="50"/>
  <c r="M67" i="84" s="1"/>
  <c r="AE16" i="50"/>
  <c r="G24" i="50"/>
  <c r="S37" i="50"/>
  <c r="AG11" i="50"/>
  <c r="X17" i="50"/>
  <c r="AA25" i="50"/>
  <c r="N39" i="50"/>
  <c r="W9" i="50"/>
  <c r="AO11" i="50"/>
  <c r="AB14" i="50"/>
  <c r="G16" i="50"/>
  <c r="S20" i="50"/>
  <c r="I23" i="50"/>
  <c r="I27" i="50"/>
  <c r="N32" i="50"/>
  <c r="AK39" i="50"/>
  <c r="AE46" i="50"/>
  <c r="AD53" i="50"/>
  <c r="L63" i="50"/>
  <c r="AD8" i="50"/>
  <c r="I11" i="50"/>
  <c r="AI13" i="50"/>
  <c r="N15" i="50"/>
  <c r="AM16" i="50"/>
  <c r="Y18" i="50"/>
  <c r="E22" i="50"/>
  <c r="AO25" i="50"/>
  <c r="Z28" i="50"/>
  <c r="AM33" i="50"/>
  <c r="AM37" i="50"/>
  <c r="R250" i="50"/>
  <c r="AB48" i="50"/>
  <c r="R58" i="50"/>
  <c r="F8" i="50"/>
  <c r="AL8" i="50"/>
  <c r="AE9" i="50"/>
  <c r="X10" i="50"/>
  <c r="Q11" i="50"/>
  <c r="J12" i="50"/>
  <c r="K13" i="50"/>
  <c r="D14" i="50"/>
  <c r="AJ14" i="50"/>
  <c r="AC249" i="50"/>
  <c r="V15" i="50"/>
  <c r="O16" i="50"/>
  <c r="H17" i="50"/>
  <c r="AN17" i="50"/>
  <c r="M9" i="84" s="1"/>
  <c r="AG18" i="50"/>
  <c r="Z19" i="50"/>
  <c r="AA20" i="50"/>
  <c r="T21" i="50"/>
  <c r="O22" i="50"/>
  <c r="W23" i="50"/>
  <c r="AF24" i="50"/>
  <c r="K26" i="50"/>
  <c r="T27" i="50"/>
  <c r="S29" i="50"/>
  <c r="E31" i="50"/>
  <c r="AD32" i="50"/>
  <c r="P34" i="50"/>
  <c r="J36" i="50"/>
  <c r="E38" i="50"/>
  <c r="W40" i="50"/>
  <c r="AO42" i="50"/>
  <c r="AL250" i="50"/>
  <c r="AJ45" i="50"/>
  <c r="S47" i="50"/>
  <c r="Q49" i="50"/>
  <c r="AI51" i="50"/>
  <c r="R54" i="50"/>
  <c r="P56" i="50"/>
  <c r="L59" i="50"/>
  <c r="P10" i="50"/>
  <c r="AH12" i="50"/>
  <c r="U249" i="50"/>
  <c r="AF17" i="50"/>
  <c r="R19" i="50"/>
  <c r="L21" i="50"/>
  <c r="R24" i="50"/>
  <c r="AB30" i="50"/>
  <c r="Y35" i="50"/>
  <c r="T42" i="50"/>
  <c r="M45" i="50"/>
  <c r="L51" i="50"/>
  <c r="AA55" i="50"/>
  <c r="N8" i="50"/>
  <c r="G9" i="50"/>
  <c r="AM9" i="50"/>
  <c r="AF10" i="50"/>
  <c r="Y11" i="50"/>
  <c r="R12" i="50"/>
  <c r="S13" i="50"/>
  <c r="L14" i="50"/>
  <c r="E249" i="50"/>
  <c r="AK249" i="50"/>
  <c r="AD15" i="50"/>
  <c r="W16" i="50"/>
  <c r="P17" i="50"/>
  <c r="I18" i="50"/>
  <c r="AO18" i="50"/>
  <c r="AH19" i="50"/>
  <c r="AI20" i="50"/>
  <c r="AB21" i="50"/>
  <c r="AB22" i="50"/>
  <c r="AK23" i="50"/>
  <c r="P25" i="50"/>
  <c r="Y26" i="50"/>
  <c r="AH27" i="50"/>
  <c r="AI29" i="50"/>
  <c r="U31" i="50"/>
  <c r="G33" i="50"/>
  <c r="AF34" i="50"/>
  <c r="AD36" i="50"/>
  <c r="AB38" i="50"/>
  <c r="K41" i="50"/>
  <c r="I43" i="50"/>
  <c r="D44" i="50"/>
  <c r="V251" i="50"/>
  <c r="AN47" i="50"/>
  <c r="M45" i="84" s="1"/>
  <c r="AK49" i="50"/>
  <c r="U52" i="50"/>
  <c r="AM54" i="50"/>
  <c r="AJ56" i="50"/>
  <c r="AH224" i="50"/>
  <c r="Z224" i="50"/>
  <c r="R224" i="50"/>
  <c r="J224" i="50"/>
  <c r="AO223" i="50"/>
  <c r="AG223" i="50"/>
  <c r="Y223" i="50"/>
  <c r="Q223" i="50"/>
  <c r="I223" i="50"/>
  <c r="AN222" i="50"/>
  <c r="M269" i="84" s="1"/>
  <c r="AF222" i="50"/>
  <c r="X222" i="50"/>
  <c r="P222" i="50"/>
  <c r="H222" i="50"/>
  <c r="AM230" i="50"/>
  <c r="AE230" i="50"/>
  <c r="W230" i="50"/>
  <c r="O230" i="50"/>
  <c r="G230" i="50"/>
  <c r="AL221" i="50"/>
  <c r="AD221" i="50"/>
  <c r="V221" i="50"/>
  <c r="N221" i="50"/>
  <c r="F221" i="50"/>
  <c r="AK220" i="50"/>
  <c r="AC220" i="50"/>
  <c r="U220" i="50"/>
  <c r="M220" i="50"/>
  <c r="E220" i="50"/>
  <c r="AJ219" i="50"/>
  <c r="AB219" i="50"/>
  <c r="T219" i="50"/>
  <c r="L219" i="50"/>
  <c r="D219" i="50"/>
  <c r="AI218" i="50"/>
  <c r="AA218" i="50"/>
  <c r="S218" i="50"/>
  <c r="K218" i="50"/>
  <c r="AH217" i="50"/>
  <c r="Z217" i="50"/>
  <c r="R217" i="50"/>
  <c r="J217" i="50"/>
  <c r="AO216" i="50"/>
  <c r="AG216" i="50"/>
  <c r="Y216" i="50"/>
  <c r="Q216" i="50"/>
  <c r="I216" i="50"/>
  <c r="AN215" i="50"/>
  <c r="M257" i="84" s="1"/>
  <c r="AF215" i="50"/>
  <c r="X215" i="50"/>
  <c r="P215" i="50"/>
  <c r="H215" i="50"/>
  <c r="AM231" i="50"/>
  <c r="AE231" i="50"/>
  <c r="W231" i="50"/>
  <c r="O231" i="50"/>
  <c r="G231" i="50"/>
  <c r="AM224" i="50"/>
  <c r="AD224" i="50"/>
  <c r="U224" i="50"/>
  <c r="L224" i="50"/>
  <c r="AM223" i="50"/>
  <c r="AD223" i="50"/>
  <c r="U223" i="50"/>
  <c r="L223" i="50"/>
  <c r="AM222" i="50"/>
  <c r="AD222" i="50"/>
  <c r="U222" i="50"/>
  <c r="L222" i="50"/>
  <c r="AN230" i="50"/>
  <c r="M266" i="84" s="1"/>
  <c r="AD230" i="50"/>
  <c r="U230" i="50"/>
  <c r="L230" i="50"/>
  <c r="AN221" i="50"/>
  <c r="M203" i="84" s="1"/>
  <c r="AE221" i="50"/>
  <c r="U221" i="50"/>
  <c r="L221" i="50"/>
  <c r="AN220" i="50"/>
  <c r="M263" i="84" s="1"/>
  <c r="AE220" i="50"/>
  <c r="V220" i="50"/>
  <c r="L220" i="50"/>
  <c r="AN219" i="50"/>
  <c r="M264" i="84" s="1"/>
  <c r="AE219" i="50"/>
  <c r="V219" i="50"/>
  <c r="M219" i="50"/>
  <c r="AN218" i="50"/>
  <c r="M261" i="84" s="1"/>
  <c r="AE218" i="50"/>
  <c r="V218" i="50"/>
  <c r="M218" i="50"/>
  <c r="D218" i="50"/>
  <c r="AN217" i="50"/>
  <c r="M265" i="84" s="1"/>
  <c r="AE217" i="50"/>
  <c r="V217" i="50"/>
  <c r="M217" i="50"/>
  <c r="D217" i="50"/>
  <c r="AN216" i="50"/>
  <c r="M259" i="84" s="1"/>
  <c r="AE216" i="50"/>
  <c r="V216" i="50"/>
  <c r="M216" i="50"/>
  <c r="D216" i="50"/>
  <c r="AO215" i="50"/>
  <c r="AE215" i="50"/>
  <c r="V215" i="50"/>
  <c r="M215" i="50"/>
  <c r="D215" i="50"/>
  <c r="AO231" i="50"/>
  <c r="AF231" i="50"/>
  <c r="V231" i="50"/>
  <c r="M231" i="50"/>
  <c r="D231" i="50"/>
  <c r="AO214" i="50"/>
  <c r="AG214" i="50"/>
  <c r="Y214" i="50"/>
  <c r="Q214" i="50"/>
  <c r="I214" i="50"/>
  <c r="AN213" i="50"/>
  <c r="M88" i="84" s="1"/>
  <c r="AF213" i="50"/>
  <c r="X213" i="50"/>
  <c r="P213" i="50"/>
  <c r="H213" i="50"/>
  <c r="AM212" i="50"/>
  <c r="AE212" i="50"/>
  <c r="W212" i="50"/>
  <c r="O212" i="50"/>
  <c r="G212" i="50"/>
  <c r="AL211" i="50"/>
  <c r="AD211" i="50"/>
  <c r="V211" i="50"/>
  <c r="N211" i="50"/>
  <c r="F211" i="50"/>
  <c r="AK210" i="50"/>
  <c r="AC210" i="50"/>
  <c r="U210" i="50"/>
  <c r="M210" i="50"/>
  <c r="E210" i="50"/>
  <c r="AJ209" i="50"/>
  <c r="AB209" i="50"/>
  <c r="T209" i="50"/>
  <c r="L209" i="50"/>
  <c r="D209" i="50"/>
  <c r="AI208" i="50"/>
  <c r="AA208" i="50"/>
  <c r="S208" i="50"/>
  <c r="K208" i="50"/>
  <c r="AH207" i="50"/>
  <c r="Z207" i="50"/>
  <c r="R207" i="50"/>
  <c r="J207" i="50"/>
  <c r="AO206" i="50"/>
  <c r="AG206" i="50"/>
  <c r="Y206" i="50"/>
  <c r="Q206" i="50"/>
  <c r="I206" i="50"/>
  <c r="AN205" i="50"/>
  <c r="M250" i="84" s="1"/>
  <c r="AF205" i="50"/>
  <c r="X205" i="50"/>
  <c r="P205" i="50"/>
  <c r="H205" i="50"/>
  <c r="AM204" i="50"/>
  <c r="AE204" i="50"/>
  <c r="W204" i="50"/>
  <c r="O204" i="50"/>
  <c r="G204" i="50"/>
  <c r="AL203" i="50"/>
  <c r="AD203" i="50"/>
  <c r="V203" i="50"/>
  <c r="N203" i="50"/>
  <c r="F203" i="50"/>
  <c r="AK202" i="50"/>
  <c r="AC202" i="50"/>
  <c r="U202" i="50"/>
  <c r="M202" i="50"/>
  <c r="E202" i="50"/>
  <c r="AJ201" i="50"/>
  <c r="AB201" i="50"/>
  <c r="T201" i="50"/>
  <c r="L201" i="50"/>
  <c r="D201" i="50"/>
  <c r="AO224" i="50"/>
  <c r="AF224" i="50"/>
  <c r="W224" i="50"/>
  <c r="N224" i="50"/>
  <c r="E224" i="50"/>
  <c r="AF223" i="50"/>
  <c r="W223" i="50"/>
  <c r="N223" i="50"/>
  <c r="E223" i="50"/>
  <c r="AG222" i="50"/>
  <c r="W222" i="50"/>
  <c r="N222" i="50"/>
  <c r="E222" i="50"/>
  <c r="AG230" i="50"/>
  <c r="X230" i="50"/>
  <c r="N230" i="50"/>
  <c r="AU230" i="50" s="1"/>
  <c r="E230" i="50"/>
  <c r="AG221" i="50"/>
  <c r="X221" i="50"/>
  <c r="O221" i="50"/>
  <c r="E221" i="50"/>
  <c r="AG220" i="50"/>
  <c r="X220" i="50"/>
  <c r="AG224" i="50"/>
  <c r="T224" i="50"/>
  <c r="H224" i="50"/>
  <c r="AL223" i="50"/>
  <c r="AA223" i="50"/>
  <c r="O223" i="50"/>
  <c r="AH222" i="50"/>
  <c r="T222" i="50"/>
  <c r="I222" i="50"/>
  <c r="AL230" i="50"/>
  <c r="AA230" i="50"/>
  <c r="P230" i="50"/>
  <c r="AH221" i="50"/>
  <c r="T221" i="50"/>
  <c r="I221" i="50"/>
  <c r="AM220" i="50"/>
  <c r="AA220" i="50"/>
  <c r="P220" i="50"/>
  <c r="F220" i="50"/>
  <c r="AM219" i="50"/>
  <c r="AC219" i="50"/>
  <c r="R219" i="50"/>
  <c r="H219" i="50"/>
  <c r="AF218" i="50"/>
  <c r="U218" i="50"/>
  <c r="J218" i="50"/>
  <c r="AI217" i="50"/>
  <c r="X217" i="50"/>
  <c r="N217" i="50"/>
  <c r="AK216" i="50"/>
  <c r="AA216" i="50"/>
  <c r="P216" i="50"/>
  <c r="F216" i="50"/>
  <c r="AM215" i="50"/>
  <c r="AC215" i="50"/>
  <c r="S215" i="50"/>
  <c r="I215" i="50"/>
  <c r="AG231" i="50"/>
  <c r="U231" i="50"/>
  <c r="K231" i="50"/>
  <c r="AJ214" i="50"/>
  <c r="AA214" i="50"/>
  <c r="R214" i="50"/>
  <c r="H214" i="50"/>
  <c r="AJ213" i="50"/>
  <c r="AA213" i="50"/>
  <c r="R213" i="50"/>
  <c r="I213" i="50"/>
  <c r="AJ212" i="50"/>
  <c r="AA212" i="50"/>
  <c r="R212" i="50"/>
  <c r="I212" i="50"/>
  <c r="AJ211" i="50"/>
  <c r="AA211" i="50"/>
  <c r="R211" i="50"/>
  <c r="I211" i="50"/>
  <c r="AJ210" i="50"/>
  <c r="AA210" i="50"/>
  <c r="R210" i="50"/>
  <c r="I210" i="50"/>
  <c r="AK209" i="50"/>
  <c r="AA209" i="50"/>
  <c r="R209" i="50"/>
  <c r="I209" i="50"/>
  <c r="AK208" i="50"/>
  <c r="AB208" i="50"/>
  <c r="R208" i="50"/>
  <c r="I208" i="50"/>
  <c r="AK207" i="50"/>
  <c r="AB207" i="50"/>
  <c r="S207" i="50"/>
  <c r="I207" i="50"/>
  <c r="AK206" i="50"/>
  <c r="AB206" i="50"/>
  <c r="S206" i="50"/>
  <c r="J206" i="50"/>
  <c r="AK205" i="50"/>
  <c r="AB205" i="50"/>
  <c r="S205" i="50"/>
  <c r="J205" i="50"/>
  <c r="AK204" i="50"/>
  <c r="AB204" i="50"/>
  <c r="S204" i="50"/>
  <c r="J204" i="50"/>
  <c r="AK203" i="50"/>
  <c r="AB203" i="50"/>
  <c r="S203" i="50"/>
  <c r="J203" i="50"/>
  <c r="AL202" i="50"/>
  <c r="AB202" i="50"/>
  <c r="S202" i="50"/>
  <c r="J202" i="50"/>
  <c r="AL201" i="50"/>
  <c r="AC201" i="50"/>
  <c r="S201" i="50"/>
  <c r="J201" i="50"/>
  <c r="AM200" i="50"/>
  <c r="AE200" i="50"/>
  <c r="W200" i="50"/>
  <c r="O200" i="50"/>
  <c r="G200" i="50"/>
  <c r="AL199" i="50"/>
  <c r="AD199" i="50"/>
  <c r="V199" i="50"/>
  <c r="N199" i="50"/>
  <c r="F199" i="50"/>
  <c r="AJ224" i="50"/>
  <c r="X224" i="50"/>
  <c r="K224" i="50"/>
  <c r="AC223" i="50"/>
  <c r="R223" i="50"/>
  <c r="F223" i="50"/>
  <c r="AJ222" i="50"/>
  <c r="Y222" i="50"/>
  <c r="K222" i="50"/>
  <c r="AC230" i="50"/>
  <c r="R230" i="50"/>
  <c r="F230" i="50"/>
  <c r="AJ221" i="50"/>
  <c r="Y221" i="50"/>
  <c r="K221" i="50"/>
  <c r="AD220" i="50"/>
  <c r="R220" i="50"/>
  <c r="H220" i="50"/>
  <c r="AF219" i="50"/>
  <c r="U219" i="50"/>
  <c r="J219" i="50"/>
  <c r="AH218" i="50"/>
  <c r="X218" i="50"/>
  <c r="N218" i="50"/>
  <c r="AK217" i="50"/>
  <c r="AA217" i="50"/>
  <c r="P217" i="50"/>
  <c r="F217" i="50"/>
  <c r="AM216" i="50"/>
  <c r="AC216" i="50"/>
  <c r="S216" i="50"/>
  <c r="H216" i="50"/>
  <c r="AG215" i="50"/>
  <c r="U215" i="50"/>
  <c r="K215" i="50"/>
  <c r="AI231" i="50"/>
  <c r="Y231" i="50"/>
  <c r="N231" i="50"/>
  <c r="AL214" i="50"/>
  <c r="AC214" i="50"/>
  <c r="T214" i="50"/>
  <c r="K214" i="50"/>
  <c r="AL213" i="50"/>
  <c r="AC213" i="50"/>
  <c r="T213" i="50"/>
  <c r="K213" i="50"/>
  <c r="AL212" i="50"/>
  <c r="AC212" i="50"/>
  <c r="T212" i="50"/>
  <c r="K212" i="50"/>
  <c r="AM211" i="50"/>
  <c r="AC211" i="50"/>
  <c r="T211" i="50"/>
  <c r="K211" i="50"/>
  <c r="AM210" i="50"/>
  <c r="AN224" i="50"/>
  <c r="M272" i="84" s="1"/>
  <c r="Y224" i="50"/>
  <c r="G224" i="50"/>
  <c r="AE223" i="50"/>
  <c r="M223" i="50"/>
  <c r="AK222" i="50"/>
  <c r="S222" i="50"/>
  <c r="D222" i="50"/>
  <c r="Z230" i="50"/>
  <c r="J230" i="50"/>
  <c r="AF221" i="50"/>
  <c r="Q221" i="50"/>
  <c r="AL220" i="50"/>
  <c r="W220" i="50"/>
  <c r="I220" i="50"/>
  <c r="AI219" i="50"/>
  <c r="W219" i="50"/>
  <c r="G219" i="50"/>
  <c r="AJ218" i="50"/>
  <c r="T218" i="50"/>
  <c r="G218" i="50"/>
  <c r="AG217" i="50"/>
  <c r="T217" i="50"/>
  <c r="G217" i="50"/>
  <c r="AH216" i="50"/>
  <c r="T216" i="50"/>
  <c r="E216" i="50"/>
  <c r="AH215" i="50"/>
  <c r="R215" i="50"/>
  <c r="E215" i="50"/>
  <c r="AD231" i="50"/>
  <c r="R231" i="50"/>
  <c r="E231" i="50"/>
  <c r="AF214" i="50"/>
  <c r="BD214" i="50" s="1"/>
  <c r="U214" i="50"/>
  <c r="G214" i="50"/>
  <c r="AM213" i="50"/>
  <c r="Z213" i="50"/>
  <c r="N213" i="50"/>
  <c r="AG212" i="50"/>
  <c r="U212" i="50"/>
  <c r="H212" i="50"/>
  <c r="AN211" i="50"/>
  <c r="M255" i="84" s="1"/>
  <c r="Z211" i="50"/>
  <c r="O211" i="50"/>
  <c r="AG210" i="50"/>
  <c r="W210" i="50"/>
  <c r="L210" i="50"/>
  <c r="AI209" i="50"/>
  <c r="Y209" i="50"/>
  <c r="O209" i="50"/>
  <c r="E209" i="50"/>
  <c r="AM208" i="50"/>
  <c r="AC208" i="50"/>
  <c r="Q208" i="50"/>
  <c r="G208" i="50"/>
  <c r="AO207" i="50"/>
  <c r="AE207" i="50"/>
  <c r="U207" i="50"/>
  <c r="K207" i="50"/>
  <c r="AH206" i="50"/>
  <c r="W206" i="50"/>
  <c r="M206" i="50"/>
  <c r="AJ205" i="50"/>
  <c r="Z205" i="50"/>
  <c r="O205" i="50"/>
  <c r="E205" i="50"/>
  <c r="AN204" i="50"/>
  <c r="M249" i="84" s="1"/>
  <c r="AC204" i="50"/>
  <c r="R204" i="50"/>
  <c r="H204" i="50"/>
  <c r="AF203" i="50"/>
  <c r="U203" i="50"/>
  <c r="K203" i="50"/>
  <c r="AH202" i="50"/>
  <c r="X202" i="50"/>
  <c r="N202" i="50"/>
  <c r="AK201" i="50"/>
  <c r="Z201" i="50"/>
  <c r="P201" i="50"/>
  <c r="F201" i="50"/>
  <c r="AB224" i="50"/>
  <c r="M224" i="50"/>
  <c r="AI223" i="50"/>
  <c r="S223" i="50"/>
  <c r="AO222" i="50"/>
  <c r="Z222" i="50"/>
  <c r="G222" i="50"/>
  <c r="AF230" i="50"/>
  <c r="M230" i="50"/>
  <c r="AK221" i="50"/>
  <c r="S221" i="50"/>
  <c r="D221" i="50"/>
  <c r="AP221" i="50" s="1"/>
  <c r="Z220" i="50"/>
  <c r="K220" i="50"/>
  <c r="AL219" i="50"/>
  <c r="Y219" i="50"/>
  <c r="K219" i="50"/>
  <c r="AL218" i="50"/>
  <c r="Y218" i="50"/>
  <c r="I218" i="50"/>
  <c r="AL217" i="50"/>
  <c r="W217" i="50"/>
  <c r="I217" i="50"/>
  <c r="AJ216" i="50"/>
  <c r="W216" i="50"/>
  <c r="J216" i="50"/>
  <c r="AJ215" i="50"/>
  <c r="W215" i="50"/>
  <c r="G215" i="50"/>
  <c r="AJ231" i="50"/>
  <c r="T231" i="50"/>
  <c r="H231" i="50"/>
  <c r="AI214" i="50"/>
  <c r="W214" i="50"/>
  <c r="L214" i="50"/>
  <c r="AD213" i="50"/>
  <c r="Q213" i="50"/>
  <c r="E213" i="50"/>
  <c r="AI212" i="50"/>
  <c r="X212" i="50"/>
  <c r="L212" i="50"/>
  <c r="AE211" i="50"/>
  <c r="Q211" i="50"/>
  <c r="E211" i="50"/>
  <c r="AI210" i="50"/>
  <c r="Y210" i="50"/>
  <c r="O210" i="50"/>
  <c r="D210" i="50"/>
  <c r="AM209" i="50"/>
  <c r="AC209" i="50"/>
  <c r="Q209" i="50"/>
  <c r="G209" i="50"/>
  <c r="AO208" i="50"/>
  <c r="AE208" i="50"/>
  <c r="U208" i="50"/>
  <c r="J208" i="50"/>
  <c r="AG207" i="50"/>
  <c r="W207" i="50"/>
  <c r="M207" i="50"/>
  <c r="AJ206" i="50"/>
  <c r="Z206" i="50"/>
  <c r="O206" i="50"/>
  <c r="E206" i="50"/>
  <c r="AM205" i="50"/>
  <c r="AC205" i="50"/>
  <c r="R205" i="50"/>
  <c r="G205" i="50"/>
  <c r="AF204" i="50"/>
  <c r="U204" i="50"/>
  <c r="K204" i="50"/>
  <c r="AH203" i="50"/>
  <c r="X203" i="50"/>
  <c r="M203" i="50"/>
  <c r="AJ202" i="50"/>
  <c r="Z202" i="50"/>
  <c r="P202" i="50"/>
  <c r="F202" i="50"/>
  <c r="AN201" i="50"/>
  <c r="M244" i="84" s="1"/>
  <c r="AD201" i="50"/>
  <c r="R201" i="50"/>
  <c r="H201" i="50"/>
  <c r="AH200" i="50"/>
  <c r="Y200" i="50"/>
  <c r="P200" i="50"/>
  <c r="F200" i="50"/>
  <c r="AH199" i="50"/>
  <c r="Y199" i="50"/>
  <c r="P199" i="50"/>
  <c r="G199" i="50"/>
  <c r="AJ198" i="50"/>
  <c r="AB198" i="50"/>
  <c r="T198" i="50"/>
  <c r="L198" i="50"/>
  <c r="D198" i="50"/>
  <c r="AI197" i="50"/>
  <c r="AA197" i="50"/>
  <c r="S197" i="50"/>
  <c r="K197" i="50"/>
  <c r="AH196" i="50"/>
  <c r="Z196" i="50"/>
  <c r="R196" i="50"/>
  <c r="J196" i="50"/>
  <c r="AO195" i="50"/>
  <c r="AG195" i="50"/>
  <c r="Y195" i="50"/>
  <c r="Q195" i="50"/>
  <c r="I195" i="50"/>
  <c r="AN194" i="50"/>
  <c r="M227" i="84" s="1"/>
  <c r="AF194" i="50"/>
  <c r="X194" i="50"/>
  <c r="P194" i="50"/>
  <c r="H194" i="50"/>
  <c r="AM193" i="50"/>
  <c r="AE193" i="50"/>
  <c r="W193" i="50"/>
  <c r="O193" i="50"/>
  <c r="G193" i="50"/>
  <c r="AL234" i="50"/>
  <c r="AI224" i="50"/>
  <c r="O224" i="50"/>
  <c r="X223" i="50"/>
  <c r="D223" i="50"/>
  <c r="AI222" i="50"/>
  <c r="O222" i="50"/>
  <c r="Y230" i="50"/>
  <c r="D230" i="50"/>
  <c r="AM221" i="50"/>
  <c r="P221" i="50"/>
  <c r="AB220" i="50"/>
  <c r="G220" i="50"/>
  <c r="Z219" i="50"/>
  <c r="F219" i="50"/>
  <c r="Z218" i="50"/>
  <c r="F218" i="50"/>
  <c r="Y217" i="50"/>
  <c r="E217" i="50"/>
  <c r="X216" i="50"/>
  <c r="Y215" i="50"/>
  <c r="AN231" i="50"/>
  <c r="M256" i="84" s="1"/>
  <c r="X231" i="50"/>
  <c r="AN214" i="50"/>
  <c r="M258" i="84" s="1"/>
  <c r="X214" i="50"/>
  <c r="AZ214" i="50" s="1"/>
  <c r="F214" i="50"/>
  <c r="AE213" i="50"/>
  <c r="M213" i="50"/>
  <c r="AK212" i="50"/>
  <c r="S212" i="50"/>
  <c r="D212" i="50"/>
  <c r="Y211" i="50"/>
  <c r="J211" i="50"/>
  <c r="AS211" i="50" s="1"/>
  <c r="AF210" i="50"/>
  <c r="S210" i="50"/>
  <c r="F210" i="50"/>
  <c r="AF209" i="50"/>
  <c r="S209" i="50"/>
  <c r="AF208" i="50"/>
  <c r="P208" i="50"/>
  <c r="D208" i="50"/>
  <c r="AD207" i="50"/>
  <c r="P207" i="50"/>
  <c r="D207" i="50"/>
  <c r="AD206" i="50"/>
  <c r="P206" i="50"/>
  <c r="AD205" i="50"/>
  <c r="N205" i="50"/>
  <c r="AA204" i="50"/>
  <c r="N204" i="50"/>
  <c r="AU204" i="50" s="1"/>
  <c r="AO203" i="50"/>
  <c r="AA203" i="50"/>
  <c r="O203" i="50"/>
  <c r="AO202" i="50"/>
  <c r="AA202" i="50"/>
  <c r="L202" i="50"/>
  <c r="AO201" i="50"/>
  <c r="Y201" i="50"/>
  <c r="M201" i="50"/>
  <c r="AF200" i="50"/>
  <c r="U200" i="50"/>
  <c r="K200" i="50"/>
  <c r="AI199" i="50"/>
  <c r="X199" i="50"/>
  <c r="M199" i="50"/>
  <c r="AM198" i="50"/>
  <c r="AD198" i="50"/>
  <c r="U198" i="50"/>
  <c r="K198" i="50"/>
  <c r="AM197" i="50"/>
  <c r="AD197" i="50"/>
  <c r="U197" i="50"/>
  <c r="L197" i="50"/>
  <c r="AM196" i="50"/>
  <c r="AD196" i="50"/>
  <c r="U196" i="50"/>
  <c r="L196" i="50"/>
  <c r="AM195" i="50"/>
  <c r="AD195" i="50"/>
  <c r="U195" i="50"/>
  <c r="L195" i="50"/>
  <c r="S224" i="50"/>
  <c r="AH223" i="50"/>
  <c r="J223" i="50"/>
  <c r="V222" i="50"/>
  <c r="AY222" i="50" s="1"/>
  <c r="AI230" i="50"/>
  <c r="K230" i="50"/>
  <c r="Z221" i="50"/>
  <c r="AI220" i="50"/>
  <c r="O220" i="50"/>
  <c r="AG219" i="50"/>
  <c r="O219" i="50"/>
  <c r="AD218" i="50"/>
  <c r="O218" i="50"/>
  <c r="AD217" i="50"/>
  <c r="L217" i="50"/>
  <c r="AT217" i="50" s="1"/>
  <c r="AD216" i="50"/>
  <c r="BC216" i="50" s="1"/>
  <c r="L216" i="50"/>
  <c r="AB215" i="50"/>
  <c r="L215" i="50"/>
  <c r="AT215" i="50" s="1"/>
  <c r="AB231" i="50"/>
  <c r="J231" i="50"/>
  <c r="AD214" i="50"/>
  <c r="N214" i="50"/>
  <c r="AI213" i="50"/>
  <c r="U213" i="50"/>
  <c r="D213" i="50"/>
  <c r="Z212" i="50"/>
  <c r="J212" i="50"/>
  <c r="AS212" i="50" s="1"/>
  <c r="AG211" i="50"/>
  <c r="P211" i="50"/>
  <c r="AN210" i="50"/>
  <c r="M254" i="84" s="1"/>
  <c r="X210" i="50"/>
  <c r="AZ210" i="50" s="1"/>
  <c r="J210" i="50"/>
  <c r="AL209" i="50"/>
  <c r="W209" i="50"/>
  <c r="J209" i="50"/>
  <c r="AJ208" i="50"/>
  <c r="W208" i="50"/>
  <c r="H208" i="50"/>
  <c r="AJ207" i="50"/>
  <c r="V207" i="50"/>
  <c r="G207" i="50"/>
  <c r="AI206" i="50"/>
  <c r="U206" i="50"/>
  <c r="G206" i="50"/>
  <c r="AH205" i="50"/>
  <c r="U205" i="50"/>
  <c r="F205" i="50"/>
  <c r="AH204" i="50"/>
  <c r="T204" i="50"/>
  <c r="E204" i="50"/>
  <c r="AG203" i="50"/>
  <c r="R203" i="50"/>
  <c r="E203" i="50"/>
  <c r="AF202" i="50"/>
  <c r="R202" i="50"/>
  <c r="D202" i="50"/>
  <c r="AP202" i="50" s="1"/>
  <c r="AF201" i="50"/>
  <c r="Q201" i="50"/>
  <c r="AL224" i="50"/>
  <c r="Q224" i="50"/>
  <c r="AB223" i="50"/>
  <c r="BB223" i="50" s="1"/>
  <c r="H223" i="50"/>
  <c r="R222" i="50"/>
  <c r="AW222" i="50" s="1"/>
  <c r="AH230" i="50"/>
  <c r="I230" i="50"/>
  <c r="W221" i="50"/>
  <c r="AH220" i="50"/>
  <c r="N220" i="50"/>
  <c r="AD219" i="50"/>
  <c r="N219" i="50"/>
  <c r="AC218" i="50"/>
  <c r="L218" i="50"/>
  <c r="AC217" i="50"/>
  <c r="K217" i="50"/>
  <c r="AB216" i="50"/>
  <c r="K216" i="50"/>
  <c r="AA215" i="50"/>
  <c r="J215" i="50"/>
  <c r="AA231" i="50"/>
  <c r="I231" i="50"/>
  <c r="AB214" i="50"/>
  <c r="BB214" i="50" s="1"/>
  <c r="M214" i="50"/>
  <c r="AH213" i="50"/>
  <c r="S213" i="50"/>
  <c r="AO212" i="50"/>
  <c r="Y212" i="50"/>
  <c r="F212" i="50"/>
  <c r="AF211" i="50"/>
  <c r="M211" i="50"/>
  <c r="AL210" i="50"/>
  <c r="V210" i="50"/>
  <c r="H210" i="50"/>
  <c r="AH209" i="50"/>
  <c r="V209" i="50"/>
  <c r="H209" i="50"/>
  <c r="AR209" i="50" s="1"/>
  <c r="AH208" i="50"/>
  <c r="BE208" i="50" s="1"/>
  <c r="V208" i="50"/>
  <c r="F208" i="50"/>
  <c r="AI207" i="50"/>
  <c r="T207" i="50"/>
  <c r="F207" i="50"/>
  <c r="AF206" i="50"/>
  <c r="BD206" i="50" s="1"/>
  <c r="T206" i="50"/>
  <c r="F206" i="50"/>
  <c r="AG205" i="50"/>
  <c r="T205" i="50"/>
  <c r="D205" i="50"/>
  <c r="AP205" i="50" s="1"/>
  <c r="AG204" i="50"/>
  <c r="Q204" i="50"/>
  <c r="D204" i="50"/>
  <c r="AE203" i="50"/>
  <c r="Q203" i="50"/>
  <c r="D203" i="50"/>
  <c r="AE202" i="50"/>
  <c r="Q202" i="50"/>
  <c r="AE201" i="50"/>
  <c r="O201" i="50"/>
  <c r="AI200" i="50"/>
  <c r="X200" i="50"/>
  <c r="M200" i="50"/>
  <c r="AK199" i="50"/>
  <c r="AA199" i="50"/>
  <c r="Q199" i="50"/>
  <c r="E199" i="50"/>
  <c r="AO198" i="50"/>
  <c r="AF198" i="50"/>
  <c r="W198" i="50"/>
  <c r="N198" i="50"/>
  <c r="E198" i="50"/>
  <c r="AO197" i="50"/>
  <c r="AF197" i="50"/>
  <c r="W197" i="50"/>
  <c r="N197" i="50"/>
  <c r="E197" i="50"/>
  <c r="AO196" i="50"/>
  <c r="AF196" i="50"/>
  <c r="W196" i="50"/>
  <c r="N196" i="50"/>
  <c r="E196" i="50"/>
  <c r="AF195" i="50"/>
  <c r="W195" i="50"/>
  <c r="N195" i="50"/>
  <c r="E195" i="50"/>
  <c r="AG194" i="50"/>
  <c r="W194" i="50"/>
  <c r="N194" i="50"/>
  <c r="E194" i="50"/>
  <c r="AG193" i="50"/>
  <c r="X193" i="50"/>
  <c r="N193" i="50"/>
  <c r="E193" i="50"/>
  <c r="AG234" i="50"/>
  <c r="Y234" i="50"/>
  <c r="Q234" i="50"/>
  <c r="I234" i="50"/>
  <c r="AN233" i="50"/>
  <c r="M222" i="84" s="1"/>
  <c r="AF233" i="50"/>
  <c r="X233" i="50"/>
  <c r="P233" i="50"/>
  <c r="H233" i="50"/>
  <c r="AM232" i="50"/>
  <c r="AE232" i="50"/>
  <c r="W232" i="50"/>
  <c r="O232" i="50"/>
  <c r="G232" i="50"/>
  <c r="AL192" i="50"/>
  <c r="AD192" i="50"/>
  <c r="V224" i="50"/>
  <c r="AY224" i="50" s="1"/>
  <c r="AN223" i="50"/>
  <c r="M271" i="84" s="1"/>
  <c r="G223" i="50"/>
  <c r="AB222" i="50"/>
  <c r="Q230" i="50"/>
  <c r="AC221" i="50"/>
  <c r="S220" i="50"/>
  <c r="P219" i="50"/>
  <c r="AM218" i="50"/>
  <c r="H218" i="50"/>
  <c r="AJ217" i="50"/>
  <c r="BF217" i="50" s="1"/>
  <c r="AF216" i="50"/>
  <c r="Z215" i="50"/>
  <c r="S231" i="50"/>
  <c r="S214" i="50"/>
  <c r="W213" i="50"/>
  <c r="AB212" i="50"/>
  <c r="AB211" i="50"/>
  <c r="D211" i="50"/>
  <c r="AE210" i="50"/>
  <c r="K210" i="50"/>
  <c r="U209" i="50"/>
  <c r="AD208" i="50"/>
  <c r="L208" i="50"/>
  <c r="AN207" i="50"/>
  <c r="M242" i="84" s="1"/>
  <c r="Q207" i="50"/>
  <c r="AC206" i="50"/>
  <c r="H206" i="50"/>
  <c r="AO205" i="50"/>
  <c r="Q205" i="50"/>
  <c r="Z204" i="50"/>
  <c r="F204" i="50"/>
  <c r="AM203" i="50"/>
  <c r="P203" i="50"/>
  <c r="Y202" i="50"/>
  <c r="G202" i="50"/>
  <c r="AI201" i="50"/>
  <c r="N201" i="50"/>
  <c r="AU201" i="50" s="1"/>
  <c r="AK200" i="50"/>
  <c r="V200" i="50"/>
  <c r="I200" i="50"/>
  <c r="AJ199" i="50"/>
  <c r="BF199" i="50" s="1"/>
  <c r="U199" i="50"/>
  <c r="I199" i="50"/>
  <c r="AK198" i="50"/>
  <c r="Y198" i="50"/>
  <c r="M198" i="50"/>
  <c r="AE197" i="50"/>
  <c r="R197" i="50"/>
  <c r="G197" i="50"/>
  <c r="AK196" i="50"/>
  <c r="Y196" i="50"/>
  <c r="M196" i="50"/>
  <c r="AE195" i="50"/>
  <c r="S195" i="50"/>
  <c r="G195" i="50"/>
  <c r="AO194" i="50"/>
  <c r="AD194" i="50"/>
  <c r="T194" i="50"/>
  <c r="J194" i="50"/>
  <c r="AH193" i="50"/>
  <c r="V193" i="50"/>
  <c r="L193" i="50"/>
  <c r="AJ234" i="50"/>
  <c r="AA234" i="50"/>
  <c r="R234" i="50"/>
  <c r="H234" i="50"/>
  <c r="AJ233" i="50"/>
  <c r="AA233" i="50"/>
  <c r="R233" i="50"/>
  <c r="I233" i="50"/>
  <c r="AJ232" i="50"/>
  <c r="AA232" i="50"/>
  <c r="R232" i="50"/>
  <c r="I232" i="50"/>
  <c r="AJ192" i="50"/>
  <c r="AA192" i="50"/>
  <c r="S192" i="50"/>
  <c r="K192" i="50"/>
  <c r="AH191" i="50"/>
  <c r="Z191" i="50"/>
  <c r="R191" i="50"/>
  <c r="J191" i="50"/>
  <c r="AO190" i="50"/>
  <c r="AG190" i="50"/>
  <c r="Y190" i="50"/>
  <c r="Q190" i="50"/>
  <c r="I190" i="50"/>
  <c r="AN189" i="50"/>
  <c r="M132" i="84" s="1"/>
  <c r="AF189" i="50"/>
  <c r="X189" i="50"/>
  <c r="P189" i="50"/>
  <c r="H189" i="50"/>
  <c r="AM188" i="50"/>
  <c r="AE188" i="50"/>
  <c r="W188" i="50"/>
  <c r="O188" i="50"/>
  <c r="G188" i="50"/>
  <c r="AL187" i="50"/>
  <c r="AD187" i="50"/>
  <c r="V187" i="50"/>
  <c r="N187" i="50"/>
  <c r="F187" i="50"/>
  <c r="AK186" i="50"/>
  <c r="AC186" i="50"/>
  <c r="U186" i="50"/>
  <c r="M186" i="50"/>
  <c r="E186" i="50"/>
  <c r="AJ236" i="50"/>
  <c r="AK224" i="50"/>
  <c r="D224" i="50"/>
  <c r="V223" i="50"/>
  <c r="AY223" i="50" s="1"/>
  <c r="J222" i="50"/>
  <c r="AB230" i="50"/>
  <c r="BB230" i="50" s="1"/>
  <c r="M221" i="50"/>
  <c r="AJ220" i="50"/>
  <c r="AA219" i="50"/>
  <c r="W218" i="50"/>
  <c r="S217" i="50"/>
  <c r="O216" i="50"/>
  <c r="AL215" i="50"/>
  <c r="N215" i="50"/>
  <c r="AK231" i="50"/>
  <c r="F231" i="50"/>
  <c r="AH214" i="50"/>
  <c r="E214" i="50"/>
  <c r="AK213" i="50"/>
  <c r="J213" i="50"/>
  <c r="AS213" i="50" s="1"/>
  <c r="AN212" i="50"/>
  <c r="M15" i="84" s="1"/>
  <c r="N212" i="50"/>
  <c r="AO211" i="50"/>
  <c r="S211" i="50"/>
  <c r="T210" i="50"/>
  <c r="AE209" i="50"/>
  <c r="K209" i="50"/>
  <c r="T208" i="50"/>
  <c r="AC207" i="50"/>
  <c r="H207" i="50"/>
  <c r="AN206" i="50"/>
  <c r="M251" i="84" s="1"/>
  <c r="R206" i="50"/>
  <c r="AA205" i="50"/>
  <c r="I205" i="50"/>
  <c r="AL204" i="50"/>
  <c r="P204" i="50"/>
  <c r="Z203" i="50"/>
  <c r="G203" i="50"/>
  <c r="AM202" i="50"/>
  <c r="O202" i="50"/>
  <c r="X201" i="50"/>
  <c r="E201" i="50"/>
  <c r="AC200" i="50"/>
  <c r="Q200" i="50"/>
  <c r="AC199" i="50"/>
  <c r="O199" i="50"/>
  <c r="AE198" i="50"/>
  <c r="R198" i="50"/>
  <c r="G198" i="50"/>
  <c r="AK197" i="50"/>
  <c r="Y197" i="50"/>
  <c r="M197" i="50"/>
  <c r="AE196" i="50"/>
  <c r="S196" i="50"/>
  <c r="G196" i="50"/>
  <c r="AK195" i="50"/>
  <c r="Z195" i="50"/>
  <c r="M195" i="50"/>
  <c r="AJ194" i="50"/>
  <c r="Z194" i="50"/>
  <c r="O194" i="50"/>
  <c r="D194" i="50"/>
  <c r="AE224" i="50"/>
  <c r="T223" i="50"/>
  <c r="AL222" i="50"/>
  <c r="F222" i="50"/>
  <c r="V230" i="50"/>
  <c r="J221" i="50"/>
  <c r="AF220" i="50"/>
  <c r="X219" i="50"/>
  <c r="AZ219" i="50" s="1"/>
  <c r="R218" i="50"/>
  <c r="Q217" i="50"/>
  <c r="N216" i="50"/>
  <c r="AK215" i="50"/>
  <c r="F215" i="50"/>
  <c r="AQ215" i="50" s="1"/>
  <c r="AH231" i="50"/>
  <c r="AE214" i="50"/>
  <c r="D214" i="50"/>
  <c r="AG213" i="50"/>
  <c r="G213" i="50"/>
  <c r="AH212" i="50"/>
  <c r="M212" i="50"/>
  <c r="AK211" i="50"/>
  <c r="L211" i="50"/>
  <c r="Q210" i="50"/>
  <c r="AD209" i="50"/>
  <c r="F209" i="50"/>
  <c r="AN208" i="50"/>
  <c r="M235" i="84" s="1"/>
  <c r="O208" i="50"/>
  <c r="AA207" i="50"/>
  <c r="E207" i="50"/>
  <c r="AM206" i="50"/>
  <c r="N206" i="50"/>
  <c r="Y205" i="50"/>
  <c r="AJ204" i="50"/>
  <c r="M204" i="50"/>
  <c r="Y203" i="50"/>
  <c r="AI202" i="50"/>
  <c r="K202" i="50"/>
  <c r="W201" i="50"/>
  <c r="AO200" i="50"/>
  <c r="AB200" i="50"/>
  <c r="N200" i="50"/>
  <c r="AO199" i="50"/>
  <c r="AB199" i="50"/>
  <c r="L199" i="50"/>
  <c r="AC198" i="50"/>
  <c r="Q198" i="50"/>
  <c r="F198" i="50"/>
  <c r="AJ197" i="50"/>
  <c r="X197" i="50"/>
  <c r="J197" i="50"/>
  <c r="AS197" i="50" s="1"/>
  <c r="AC196" i="50"/>
  <c r="Q196" i="50"/>
  <c r="F196" i="50"/>
  <c r="AJ195" i="50"/>
  <c r="X195" i="50"/>
  <c r="K195" i="50"/>
  <c r="AI194" i="50"/>
  <c r="Y194" i="50"/>
  <c r="M194" i="50"/>
  <c r="AK193" i="50"/>
  <c r="AA193" i="50"/>
  <c r="Q193" i="50"/>
  <c r="F193" i="50"/>
  <c r="AN234" i="50"/>
  <c r="M248" i="84" s="1"/>
  <c r="AD234" i="50"/>
  <c r="U234" i="50"/>
  <c r="L234" i="50"/>
  <c r="AM233" i="50"/>
  <c r="AD233" i="50"/>
  <c r="U233" i="50"/>
  <c r="L233" i="50"/>
  <c r="AN232" i="50"/>
  <c r="M224" i="84" s="1"/>
  <c r="AD232" i="50"/>
  <c r="BC232" i="50" s="1"/>
  <c r="U232" i="50"/>
  <c r="L232" i="50"/>
  <c r="AN192" i="50"/>
  <c r="M260" i="84" s="1"/>
  <c r="AE192" i="50"/>
  <c r="V192" i="50"/>
  <c r="N192" i="50"/>
  <c r="F192" i="50"/>
  <c r="AK191" i="50"/>
  <c r="AC191" i="50"/>
  <c r="U191" i="50"/>
  <c r="M191" i="50"/>
  <c r="E191" i="50"/>
  <c r="AJ190" i="50"/>
  <c r="AB190" i="50"/>
  <c r="T190" i="50"/>
  <c r="L190" i="50"/>
  <c r="D190" i="50"/>
  <c r="AI189" i="50"/>
  <c r="AA189" i="50"/>
  <c r="S189" i="50"/>
  <c r="K189" i="50"/>
  <c r="AH188" i="50"/>
  <c r="Z188" i="50"/>
  <c r="R188" i="50"/>
  <c r="J188" i="50"/>
  <c r="AO187" i="50"/>
  <c r="AG187" i="50"/>
  <c r="Y187" i="50"/>
  <c r="Q187" i="50"/>
  <c r="I187" i="50"/>
  <c r="AN186" i="50"/>
  <c r="M223" i="84" s="1"/>
  <c r="AF186" i="50"/>
  <c r="X186" i="50"/>
  <c r="P186" i="50"/>
  <c r="H186" i="50"/>
  <c r="AM236" i="50"/>
  <c r="AE236" i="50"/>
  <c r="W236" i="50"/>
  <c r="O236" i="50"/>
  <c r="AC224" i="50"/>
  <c r="P223" i="50"/>
  <c r="AE222" i="50"/>
  <c r="T230" i="50"/>
  <c r="AO221" i="50"/>
  <c r="H221" i="50"/>
  <c r="Y220" i="50"/>
  <c r="S219" i="50"/>
  <c r="Q218" i="50"/>
  <c r="AO217" i="50"/>
  <c r="O217" i="50"/>
  <c r="AL216" i="50"/>
  <c r="G216" i="50"/>
  <c r="AI215" i="50"/>
  <c r="AC231" i="50"/>
  <c r="Z214" i="50"/>
  <c r="BA214" i="50" s="1"/>
  <c r="AB213" i="50"/>
  <c r="F213" i="50"/>
  <c r="AQ213" i="50" s="1"/>
  <c r="AF212" i="50"/>
  <c r="E212" i="50"/>
  <c r="AI211" i="50"/>
  <c r="H211" i="50"/>
  <c r="AR211" i="50" s="1"/>
  <c r="AO210" i="50"/>
  <c r="P210" i="50"/>
  <c r="Z209" i="50"/>
  <c r="AL208" i="50"/>
  <c r="N208" i="50"/>
  <c r="AU208" i="50" s="1"/>
  <c r="Y207" i="50"/>
  <c r="AL206" i="50"/>
  <c r="L206" i="50"/>
  <c r="AT206" i="50" s="1"/>
  <c r="W205" i="50"/>
  <c r="AI204" i="50"/>
  <c r="L204" i="50"/>
  <c r="W203" i="50"/>
  <c r="AG202" i="50"/>
  <c r="I202" i="50"/>
  <c r="V201" i="50"/>
  <c r="AN200" i="50"/>
  <c r="M240" i="84" s="1"/>
  <c r="AA200" i="50"/>
  <c r="L200" i="50"/>
  <c r="AN199" i="50"/>
  <c r="M253" i="84" s="1"/>
  <c r="Z199" i="50"/>
  <c r="K199" i="50"/>
  <c r="AN198" i="50"/>
  <c r="M241" i="84" s="1"/>
  <c r="AA198" i="50"/>
  <c r="P198" i="50"/>
  <c r="AV198" i="50" s="1"/>
  <c r="AH197" i="50"/>
  <c r="BE197" i="50" s="1"/>
  <c r="V197" i="50"/>
  <c r="I197" i="50"/>
  <c r="AN196" i="50"/>
  <c r="M44" i="84" s="1"/>
  <c r="AB196" i="50"/>
  <c r="BB196" i="50" s="1"/>
  <c r="P196" i="50"/>
  <c r="AV196" i="50" s="1"/>
  <c r="D196" i="50"/>
  <c r="AI195" i="50"/>
  <c r="V195" i="50"/>
  <c r="J195" i="50"/>
  <c r="AS195" i="50" s="1"/>
  <c r="AH194" i="50"/>
  <c r="BE194" i="50" s="1"/>
  <c r="V194" i="50"/>
  <c r="L194" i="50"/>
  <c r="AT194" i="50" s="1"/>
  <c r="AJ193" i="50"/>
  <c r="BF193" i="50" s="1"/>
  <c r="Z193" i="50"/>
  <c r="BA193" i="50" s="1"/>
  <c r="P193" i="50"/>
  <c r="AV193" i="50" s="1"/>
  <c r="D193" i="50"/>
  <c r="AM234" i="50"/>
  <c r="AC234" i="50"/>
  <c r="T234" i="50"/>
  <c r="AX234" i="50" s="1"/>
  <c r="K234" i="50"/>
  <c r="AL233" i="50"/>
  <c r="AC233" i="50"/>
  <c r="T233" i="50"/>
  <c r="AX233" i="50" s="1"/>
  <c r="K233" i="50"/>
  <c r="AL232" i="50"/>
  <c r="AC232" i="50"/>
  <c r="T232" i="50"/>
  <c r="AX232" i="50" s="1"/>
  <c r="K232" i="50"/>
  <c r="AM192" i="50"/>
  <c r="AC192" i="50"/>
  <c r="U192" i="50"/>
  <c r="M192" i="50"/>
  <c r="E192" i="50"/>
  <c r="AJ191" i="50"/>
  <c r="BF191" i="50" s="1"/>
  <c r="AB191" i="50"/>
  <c r="BB191" i="50" s="1"/>
  <c r="T191" i="50"/>
  <c r="AX191" i="50" s="1"/>
  <c r="L191" i="50"/>
  <c r="AT191" i="50" s="1"/>
  <c r="D191" i="50"/>
  <c r="AP191" i="50" s="1"/>
  <c r="AI190" i="50"/>
  <c r="AA190" i="50"/>
  <c r="S190" i="50"/>
  <c r="K190" i="50"/>
  <c r="AH189" i="50"/>
  <c r="Z189" i="50"/>
  <c r="R189" i="50"/>
  <c r="J189" i="50"/>
  <c r="AO188" i="50"/>
  <c r="AG188" i="50"/>
  <c r="Y188" i="50"/>
  <c r="Q188" i="50"/>
  <c r="I188" i="50"/>
  <c r="AN187" i="50"/>
  <c r="M77" i="84" s="1"/>
  <c r="AF187" i="50"/>
  <c r="BD187" i="50" s="1"/>
  <c r="X187" i="50"/>
  <c r="AZ187" i="50" s="1"/>
  <c r="P187" i="50"/>
  <c r="AV187" i="50" s="1"/>
  <c r="H187" i="50"/>
  <c r="AR187" i="50" s="1"/>
  <c r="AM186" i="50"/>
  <c r="AE186" i="50"/>
  <c r="W186" i="50"/>
  <c r="O186" i="50"/>
  <c r="G186" i="50"/>
  <c r="AL236" i="50"/>
  <c r="AD236" i="50"/>
  <c r="BC236" i="50" s="1"/>
  <c r="V236" i="50"/>
  <c r="AY236" i="50" s="1"/>
  <c r="N236" i="50"/>
  <c r="AU236" i="50" s="1"/>
  <c r="AK223" i="50"/>
  <c r="AA222" i="50"/>
  <c r="H230" i="50"/>
  <c r="AO219" i="50"/>
  <c r="AK218" i="50"/>
  <c r="AF217" i="50"/>
  <c r="Z216" i="50"/>
  <c r="T215" i="50"/>
  <c r="AX215" i="50" s="1"/>
  <c r="Q231" i="50"/>
  <c r="P214" i="50"/>
  <c r="V213" i="50"/>
  <c r="V212" i="50"/>
  <c r="X211" i="50"/>
  <c r="AZ211" i="50" s="1"/>
  <c r="AD210" i="50"/>
  <c r="AO209" i="50"/>
  <c r="E208" i="50"/>
  <c r="O207" i="50"/>
  <c r="AA206" i="50"/>
  <c r="AL205" i="50"/>
  <c r="L203" i="50"/>
  <c r="W202" i="50"/>
  <c r="AH201" i="50"/>
  <c r="T200" i="50"/>
  <c r="AX200" i="50" s="1"/>
  <c r="T199" i="50"/>
  <c r="X198" i="50"/>
  <c r="AC197" i="50"/>
  <c r="F197" i="50"/>
  <c r="AJ196" i="50"/>
  <c r="K196" i="50"/>
  <c r="R195" i="50"/>
  <c r="AC194" i="50"/>
  <c r="I194" i="50"/>
  <c r="AC193" i="50"/>
  <c r="K193" i="50"/>
  <c r="AH234" i="50"/>
  <c r="S234" i="50"/>
  <c r="E234" i="50"/>
  <c r="AE233" i="50"/>
  <c r="O233" i="50"/>
  <c r="Z232" i="50"/>
  <c r="M232" i="50"/>
  <c r="AK192" i="50"/>
  <c r="X192" i="50"/>
  <c r="J192" i="50"/>
  <c r="AA191" i="50"/>
  <c r="O191" i="50"/>
  <c r="AE190" i="50"/>
  <c r="R190" i="50"/>
  <c r="AW190" i="50" s="1"/>
  <c r="F190" i="50"/>
  <c r="AJ189" i="50"/>
  <c r="V189" i="50"/>
  <c r="I189" i="50"/>
  <c r="AL188" i="50"/>
  <c r="AA188" i="50"/>
  <c r="M188" i="50"/>
  <c r="AC187" i="50"/>
  <c r="R187" i="50"/>
  <c r="D187" i="50"/>
  <c r="AH186" i="50"/>
  <c r="T186" i="50"/>
  <c r="I186" i="50"/>
  <c r="AK236" i="50"/>
  <c r="Z236" i="50"/>
  <c r="P236" i="50"/>
  <c r="F236" i="50"/>
  <c r="AK235" i="50"/>
  <c r="AC235" i="50"/>
  <c r="U235" i="50"/>
  <c r="M235" i="50"/>
  <c r="E235" i="50"/>
  <c r="AJ185" i="50"/>
  <c r="AB185" i="50"/>
  <c r="T185" i="50"/>
  <c r="L185" i="50"/>
  <c r="D185" i="50"/>
  <c r="AI184" i="50"/>
  <c r="AA184" i="50"/>
  <c r="S184" i="50"/>
  <c r="AJ223" i="50"/>
  <c r="Q222" i="50"/>
  <c r="AK219" i="50"/>
  <c r="AG218" i="50"/>
  <c r="AB217" i="50"/>
  <c r="U216" i="50"/>
  <c r="Q215" i="50"/>
  <c r="P231" i="50"/>
  <c r="O214" i="50"/>
  <c r="O213" i="50"/>
  <c r="Q212" i="50"/>
  <c r="W211" i="50"/>
  <c r="AB210" i="50"/>
  <c r="AN209" i="50"/>
  <c r="M252" i="84" s="1"/>
  <c r="N207" i="50"/>
  <c r="X206" i="50"/>
  <c r="AI205" i="50"/>
  <c r="I203" i="50"/>
  <c r="V202" i="50"/>
  <c r="AG201" i="50"/>
  <c r="S200" i="50"/>
  <c r="S199" i="50"/>
  <c r="V198" i="50"/>
  <c r="AB197" i="50"/>
  <c r="D197" i="50"/>
  <c r="AI196" i="50"/>
  <c r="I196" i="50"/>
  <c r="AN195" i="50"/>
  <c r="M230" i="84" s="1"/>
  <c r="P195" i="50"/>
  <c r="P224" i="50"/>
  <c r="AV224" i="50" s="1"/>
  <c r="AO230" i="50"/>
  <c r="AB221" i="50"/>
  <c r="Q220" i="50"/>
  <c r="I219" i="50"/>
  <c r="E218" i="50"/>
  <c r="G210" i="50"/>
  <c r="P209" i="50"/>
  <c r="AV209" i="50" s="1"/>
  <c r="Z208" i="50"/>
  <c r="BA208" i="50" s="1"/>
  <c r="AM207" i="50"/>
  <c r="D206" i="50"/>
  <c r="M205" i="50"/>
  <c r="Y204" i="50"/>
  <c r="AJ203" i="50"/>
  <c r="K201" i="50"/>
  <c r="AJ200" i="50"/>
  <c r="H200" i="50"/>
  <c r="AG199" i="50"/>
  <c r="H199" i="50"/>
  <c r="AI198" i="50"/>
  <c r="J198" i="50"/>
  <c r="AS198" i="50" s="1"/>
  <c r="Q197" i="50"/>
  <c r="X196" i="50"/>
  <c r="AZ196" i="50" s="1"/>
  <c r="AC195" i="50"/>
  <c r="F195" i="50"/>
  <c r="AM194" i="50"/>
  <c r="S194" i="50"/>
  <c r="AL193" i="50"/>
  <c r="T193" i="50"/>
  <c r="Z234" i="50"/>
  <c r="M234" i="50"/>
  <c r="AK233" i="50"/>
  <c r="W233" i="50"/>
  <c r="G233" i="50"/>
  <c r="AH232" i="50"/>
  <c r="S232" i="50"/>
  <c r="E232" i="50"/>
  <c r="AF192" i="50"/>
  <c r="Q192" i="50"/>
  <c r="D192" i="50"/>
  <c r="AG191" i="50"/>
  <c r="V191" i="50"/>
  <c r="H191" i="50"/>
  <c r="AL190" i="50"/>
  <c r="X190" i="50"/>
  <c r="M190" i="50"/>
  <c r="AO189" i="50"/>
  <c r="AC189" i="50"/>
  <c r="O189" i="50"/>
  <c r="D189" i="50"/>
  <c r="AF188" i="50"/>
  <c r="T188" i="50"/>
  <c r="F188" i="50"/>
  <c r="AQ188" i="50" s="1"/>
  <c r="AJ187" i="50"/>
  <c r="W187" i="50"/>
  <c r="K187" i="50"/>
  <c r="AO186" i="50"/>
  <c r="AA186" i="50"/>
  <c r="N186" i="50"/>
  <c r="AF236" i="50"/>
  <c r="T236" i="50"/>
  <c r="J236" i="50"/>
  <c r="AO235" i="50"/>
  <c r="AG235" i="50"/>
  <c r="Y235" i="50"/>
  <c r="Q235" i="50"/>
  <c r="I235" i="50"/>
  <c r="AN185" i="50"/>
  <c r="M270" i="84" s="1"/>
  <c r="AF185" i="50"/>
  <c r="X185" i="50"/>
  <c r="P185" i="50"/>
  <c r="H185" i="50"/>
  <c r="AM184" i="50"/>
  <c r="AE184" i="50"/>
  <c r="W184" i="50"/>
  <c r="O184" i="50"/>
  <c r="G184" i="50"/>
  <c r="AL183" i="50"/>
  <c r="AD183" i="50"/>
  <c r="V183" i="50"/>
  <c r="N183" i="50"/>
  <c r="F183" i="50"/>
  <c r="AK237" i="50"/>
  <c r="AC237" i="50"/>
  <c r="U237" i="50"/>
  <c r="M237" i="50"/>
  <c r="E237" i="50"/>
  <c r="AJ182" i="50"/>
  <c r="AB182" i="50"/>
  <c r="T182" i="50"/>
  <c r="L182" i="50"/>
  <c r="D182" i="50"/>
  <c r="AI181" i="50"/>
  <c r="AA181" i="50"/>
  <c r="S181" i="50"/>
  <c r="K181" i="50"/>
  <c r="AH180" i="50"/>
  <c r="Z180" i="50"/>
  <c r="R180" i="50"/>
  <c r="J180" i="50"/>
  <c r="AO179" i="50"/>
  <c r="AG179" i="50"/>
  <c r="Y179" i="50"/>
  <c r="Q179" i="50"/>
  <c r="I179" i="50"/>
  <c r="AN178" i="50"/>
  <c r="M217" i="84" s="1"/>
  <c r="AF178" i="50"/>
  <c r="X178" i="50"/>
  <c r="P178" i="50"/>
  <c r="H178" i="50"/>
  <c r="AM177" i="50"/>
  <c r="AE177" i="50"/>
  <c r="W177" i="50"/>
  <c r="O177" i="50"/>
  <c r="G177" i="50"/>
  <c r="AL176" i="50"/>
  <c r="I224" i="50"/>
  <c r="AK230" i="50"/>
  <c r="AA221" i="50"/>
  <c r="J220" i="50"/>
  <c r="E219" i="50"/>
  <c r="AM214" i="50"/>
  <c r="N209" i="50"/>
  <c r="Y208" i="50"/>
  <c r="AL207" i="50"/>
  <c r="L205" i="50"/>
  <c r="X204" i="50"/>
  <c r="AI203" i="50"/>
  <c r="I201" i="50"/>
  <c r="AG200" i="50"/>
  <c r="E200" i="50"/>
  <c r="AF199" i="50"/>
  <c r="D199" i="50"/>
  <c r="AP199" i="50" s="1"/>
  <c r="AH198" i="50"/>
  <c r="I198" i="50"/>
  <c r="AN197" i="50"/>
  <c r="M234" i="84" s="1"/>
  <c r="P197" i="50"/>
  <c r="V196" i="50"/>
  <c r="AB195" i="50"/>
  <c r="D195" i="50"/>
  <c r="AL194" i="50"/>
  <c r="R194" i="50"/>
  <c r="AI193" i="50"/>
  <c r="S193" i="50"/>
  <c r="AO234" i="50"/>
  <c r="X234" i="50"/>
  <c r="J234" i="50"/>
  <c r="AI233" i="50"/>
  <c r="V233" i="50"/>
  <c r="F233" i="50"/>
  <c r="AG232" i="50"/>
  <c r="Q232" i="50"/>
  <c r="D232" i="50"/>
  <c r="AB192" i="50"/>
  <c r="P192" i="50"/>
  <c r="AF191" i="50"/>
  <c r="S191" i="50"/>
  <c r="G191" i="50"/>
  <c r="AK190" i="50"/>
  <c r="W190" i="50"/>
  <c r="J190" i="50"/>
  <c r="AM189" i="50"/>
  <c r="AB189" i="50"/>
  <c r="N189" i="50"/>
  <c r="AD188" i="50"/>
  <c r="BC188" i="50" s="1"/>
  <c r="S188" i="50"/>
  <c r="E188" i="50"/>
  <c r="AI187" i="50"/>
  <c r="U187" i="50"/>
  <c r="J187" i="50"/>
  <c r="AL186" i="50"/>
  <c r="Z186" i="50"/>
  <c r="L186" i="50"/>
  <c r="AC236" i="50"/>
  <c r="S236" i="50"/>
  <c r="I236" i="50"/>
  <c r="AN235" i="50"/>
  <c r="M211" i="84" s="1"/>
  <c r="AF235" i="50"/>
  <c r="X235" i="50"/>
  <c r="P235" i="50"/>
  <c r="H235" i="50"/>
  <c r="AM185" i="50"/>
  <c r="AE185" i="50"/>
  <c r="W185" i="50"/>
  <c r="O185" i="50"/>
  <c r="G185" i="50"/>
  <c r="AL184" i="50"/>
  <c r="AD184" i="50"/>
  <c r="V184" i="50"/>
  <c r="N184" i="50"/>
  <c r="F184" i="50"/>
  <c r="AK183" i="50"/>
  <c r="AC183" i="50"/>
  <c r="U183" i="50"/>
  <c r="M183" i="50"/>
  <c r="E183" i="50"/>
  <c r="AJ237" i="50"/>
  <c r="AB237" i="50"/>
  <c r="T237" i="50"/>
  <c r="L237" i="50"/>
  <c r="D237" i="50"/>
  <c r="AI182" i="50"/>
  <c r="AA182" i="50"/>
  <c r="S182" i="50"/>
  <c r="K182" i="50"/>
  <c r="AH181" i="50"/>
  <c r="Z181" i="50"/>
  <c r="R181" i="50"/>
  <c r="J181" i="50"/>
  <c r="AO180" i="50"/>
  <c r="AG180" i="50"/>
  <c r="Y180" i="50"/>
  <c r="Q180" i="50"/>
  <c r="I180" i="50"/>
  <c r="AN179" i="50"/>
  <c r="M215" i="84" s="1"/>
  <c r="AF179" i="50"/>
  <c r="X179" i="50"/>
  <c r="P179" i="50"/>
  <c r="H179" i="50"/>
  <c r="AM178" i="50"/>
  <c r="AE178" i="50"/>
  <c r="W178" i="50"/>
  <c r="O178" i="50"/>
  <c r="G178" i="50"/>
  <c r="AL177" i="50"/>
  <c r="AD177" i="50"/>
  <c r="V177" i="50"/>
  <c r="N177" i="50"/>
  <c r="F177" i="50"/>
  <c r="AK176" i="50"/>
  <c r="M222" i="50"/>
  <c r="AO220" i="50"/>
  <c r="AB218" i="50"/>
  <c r="BB218" i="50" s="1"/>
  <c r="R216" i="50"/>
  <c r="L231" i="50"/>
  <c r="L213" i="50"/>
  <c r="U211" i="50"/>
  <c r="AG209" i="50"/>
  <c r="V206" i="50"/>
  <c r="AO204" i="50"/>
  <c r="H203" i="50"/>
  <c r="AA201" i="50"/>
  <c r="R200" i="50"/>
  <c r="R199" i="50"/>
  <c r="S198" i="50"/>
  <c r="Z197" i="50"/>
  <c r="AG196" i="50"/>
  <c r="AL195" i="50"/>
  <c r="Q194" i="50"/>
  <c r="AO193" i="50"/>
  <c r="M193" i="50"/>
  <c r="P234" i="50"/>
  <c r="Z233" i="50"/>
  <c r="BA233" i="50" s="1"/>
  <c r="D233" i="50"/>
  <c r="AI232" i="50"/>
  <c r="J232" i="50"/>
  <c r="T192" i="50"/>
  <c r="AI191" i="50"/>
  <c r="N191" i="50"/>
  <c r="AU191" i="50" s="1"/>
  <c r="AC190" i="50"/>
  <c r="G190" i="50"/>
  <c r="U189" i="50"/>
  <c r="AJ188" i="50"/>
  <c r="N188" i="50"/>
  <c r="AB187" i="50"/>
  <c r="G187" i="50"/>
  <c r="V186" i="50"/>
  <c r="AI236" i="50"/>
  <c r="R236" i="50"/>
  <c r="D236" i="50"/>
  <c r="AH235" i="50"/>
  <c r="T235" i="50"/>
  <c r="G235" i="50"/>
  <c r="AK185" i="50"/>
  <c r="Y185" i="50"/>
  <c r="K185" i="50"/>
  <c r="AO184" i="50"/>
  <c r="AB184" i="50"/>
  <c r="P184" i="50"/>
  <c r="D184" i="50"/>
  <c r="AM183" i="50"/>
  <c r="AA183" i="50"/>
  <c r="Q183" i="50"/>
  <c r="G183" i="50"/>
  <c r="AN237" i="50"/>
  <c r="M225" i="84" s="1"/>
  <c r="AD237" i="50"/>
  <c r="R237" i="50"/>
  <c r="AA224" i="50"/>
  <c r="T220" i="50"/>
  <c r="P218" i="50"/>
  <c r="G211" i="50"/>
  <c r="X209" i="50"/>
  <c r="K206" i="50"/>
  <c r="AD204" i="50"/>
  <c r="U201" i="50"/>
  <c r="J200" i="50"/>
  <c r="AS200" i="50" s="1"/>
  <c r="J199" i="50"/>
  <c r="O198" i="50"/>
  <c r="T197" i="50"/>
  <c r="AA196" i="50"/>
  <c r="AH195" i="50"/>
  <c r="K194" i="50"/>
  <c r="AN193" i="50"/>
  <c r="M213" i="84" s="1"/>
  <c r="J193" i="50"/>
  <c r="AK234" i="50"/>
  <c r="O234" i="50"/>
  <c r="Y233" i="50"/>
  <c r="AF232" i="50"/>
  <c r="H232" i="50"/>
  <c r="AO192" i="50"/>
  <c r="R192" i="50"/>
  <c r="AE191" i="50"/>
  <c r="K191" i="50"/>
  <c r="Z190" i="50"/>
  <c r="E190" i="50"/>
  <c r="AL189" i="50"/>
  <c r="T189" i="50"/>
  <c r="AI188" i="50"/>
  <c r="L188" i="50"/>
  <c r="AA187" i="50"/>
  <c r="E187" i="50"/>
  <c r="S186" i="50"/>
  <c r="AH236" i="50"/>
  <c r="Q236" i="50"/>
  <c r="AE235" i="50"/>
  <c r="S235" i="50"/>
  <c r="F235" i="50"/>
  <c r="AI185" i="50"/>
  <c r="V185" i="50"/>
  <c r="J185" i="50"/>
  <c r="AN184" i="50"/>
  <c r="M220" i="84" s="1"/>
  <c r="Z184" i="50"/>
  <c r="M184" i="50"/>
  <c r="AJ183" i="50"/>
  <c r="Z183" i="50"/>
  <c r="P183" i="50"/>
  <c r="D183" i="50"/>
  <c r="AM237" i="50"/>
  <c r="AA237" i="50"/>
  <c r="Q237" i="50"/>
  <c r="G237" i="50"/>
  <c r="AN182" i="50"/>
  <c r="M229" i="84" s="1"/>
  <c r="AD182" i="50"/>
  <c r="R182" i="50"/>
  <c r="H182" i="50"/>
  <c r="AO181" i="50"/>
  <c r="AE181" i="50"/>
  <c r="U181" i="50"/>
  <c r="Z223" i="50"/>
  <c r="BA223" i="50" s="1"/>
  <c r="AH219" i="50"/>
  <c r="U217" i="50"/>
  <c r="O215" i="50"/>
  <c r="J214" i="50"/>
  <c r="AS214" i="50" s="1"/>
  <c r="P212" i="50"/>
  <c r="Z210" i="50"/>
  <c r="L207" i="50"/>
  <c r="AT207" i="50" s="1"/>
  <c r="AE205" i="50"/>
  <c r="T202" i="50"/>
  <c r="H196" i="50"/>
  <c r="O195" i="50"/>
  <c r="AE194" i="50"/>
  <c r="AB193" i="50"/>
  <c r="AE234" i="50"/>
  <c r="F234" i="50"/>
  <c r="AO233" i="50"/>
  <c r="N233" i="50"/>
  <c r="X232" i="50"/>
  <c r="AG192" i="50"/>
  <c r="I192" i="50"/>
  <c r="X191" i="50"/>
  <c r="AM190" i="50"/>
  <c r="P190" i="50"/>
  <c r="AE189" i="50"/>
  <c r="L189" i="50"/>
  <c r="X188" i="50"/>
  <c r="D188" i="50"/>
  <c r="AM187" i="50"/>
  <c r="K223" i="50"/>
  <c r="AI221" i="50"/>
  <c r="Q219" i="50"/>
  <c r="H217" i="50"/>
  <c r="AR217" i="50" s="1"/>
  <c r="N210" i="50"/>
  <c r="AG208" i="50"/>
  <c r="V205" i="50"/>
  <c r="AN203" i="50"/>
  <c r="M246" i="84" s="1"/>
  <c r="H202" i="50"/>
  <c r="AL200" i="50"/>
  <c r="AM199" i="50"/>
  <c r="AL198" i="50"/>
  <c r="H195" i="50"/>
  <c r="AB194" i="50"/>
  <c r="Y193" i="50"/>
  <c r="AB234" i="50"/>
  <c r="D234" i="50"/>
  <c r="AH233" i="50"/>
  <c r="M233" i="50"/>
  <c r="V232" i="50"/>
  <c r="AY232" i="50" s="1"/>
  <c r="Z192" i="50"/>
  <c r="H192" i="50"/>
  <c r="AO191" i="50"/>
  <c r="W191" i="50"/>
  <c r="AH190" i="50"/>
  <c r="O190" i="50"/>
  <c r="AD189" i="50"/>
  <c r="G189" i="50"/>
  <c r="V188" i="50"/>
  <c r="AK187" i="50"/>
  <c r="O187" i="50"/>
  <c r="AD186" i="50"/>
  <c r="J186" i="50"/>
  <c r="Y236" i="50"/>
  <c r="H236" i="50"/>
  <c r="AL235" i="50"/>
  <c r="Z235" i="50"/>
  <c r="L235" i="50"/>
  <c r="AC185" i="50"/>
  <c r="Q185" i="50"/>
  <c r="AG184" i="50"/>
  <c r="T184" i="50"/>
  <c r="I184" i="50"/>
  <c r="AF183" i="50"/>
  <c r="T183" i="50"/>
  <c r="J183" i="50"/>
  <c r="AG237" i="50"/>
  <c r="W237" i="50"/>
  <c r="K237" i="50"/>
  <c r="F224" i="50"/>
  <c r="D220" i="50"/>
  <c r="AP220" i="50" s="1"/>
  <c r="M209" i="50"/>
  <c r="AN202" i="50"/>
  <c r="M239" i="84" s="1"/>
  <c r="D200" i="50"/>
  <c r="H198" i="50"/>
  <c r="T196" i="50"/>
  <c r="AF193" i="50"/>
  <c r="AI234" i="50"/>
  <c r="F232" i="50"/>
  <c r="O192" i="50"/>
  <c r="AD191" i="50"/>
  <c r="Q189" i="50"/>
  <c r="AC188" i="50"/>
  <c r="L187" i="50"/>
  <c r="AG186" i="50"/>
  <c r="X236" i="50"/>
  <c r="AZ236" i="50" s="1"/>
  <c r="AI235" i="50"/>
  <c r="N235" i="50"/>
  <c r="AA185" i="50"/>
  <c r="F185" i="50"/>
  <c r="U184" i="50"/>
  <c r="AO183" i="50"/>
  <c r="X183" i="50"/>
  <c r="H183" i="50"/>
  <c r="Z237" i="50"/>
  <c r="J237" i="50"/>
  <c r="AM182" i="50"/>
  <c r="Z182" i="50"/>
  <c r="O182" i="50"/>
  <c r="AG181" i="50"/>
  <c r="V181" i="50"/>
  <c r="I181" i="50"/>
  <c r="AF180" i="50"/>
  <c r="V180" i="50"/>
  <c r="L180" i="50"/>
  <c r="AI179" i="50"/>
  <c r="W179" i="50"/>
  <c r="M179" i="50"/>
  <c r="AJ178" i="50"/>
  <c r="Z178" i="50"/>
  <c r="N178" i="50"/>
  <c r="D178" i="50"/>
  <c r="AK177" i="50"/>
  <c r="AA177" i="50"/>
  <c r="Q177" i="50"/>
  <c r="E177" i="50"/>
  <c r="AN176" i="50"/>
  <c r="M221" i="84" s="1"/>
  <c r="AD176" i="50"/>
  <c r="V176" i="50"/>
  <c r="N176" i="50"/>
  <c r="F176" i="50"/>
  <c r="AK175" i="50"/>
  <c r="AC175" i="50"/>
  <c r="U175" i="50"/>
  <c r="M175" i="50"/>
  <c r="E175" i="50"/>
  <c r="AJ174" i="50"/>
  <c r="AB174" i="50"/>
  <c r="T174" i="50"/>
  <c r="L174" i="50"/>
  <c r="D174" i="50"/>
  <c r="AI173" i="50"/>
  <c r="AA173" i="50"/>
  <c r="S173" i="50"/>
  <c r="K173" i="50"/>
  <c r="AH172" i="50"/>
  <c r="Z172" i="50"/>
  <c r="R172" i="50"/>
  <c r="J172" i="50"/>
  <c r="AO171" i="50"/>
  <c r="AG171" i="50"/>
  <c r="Y171" i="50"/>
  <c r="Q171" i="50"/>
  <c r="I171" i="50"/>
  <c r="AN170" i="50"/>
  <c r="M210" i="84" s="1"/>
  <c r="AF170" i="50"/>
  <c r="X170" i="50"/>
  <c r="P170" i="50"/>
  <c r="H170" i="50"/>
  <c r="AM169" i="50"/>
  <c r="AE169" i="50"/>
  <c r="W169" i="50"/>
  <c r="AD215" i="50"/>
  <c r="AD212" i="50"/>
  <c r="AD202" i="50"/>
  <c r="O196" i="50"/>
  <c r="AK194" i="50"/>
  <c r="AD193" i="50"/>
  <c r="AF234" i="50"/>
  <c r="BD234" i="50" s="1"/>
  <c r="L192" i="50"/>
  <c r="Y191" i="50"/>
  <c r="AN190" i="50"/>
  <c r="M140" i="84" s="1"/>
  <c r="M189" i="50"/>
  <c r="AB188" i="50"/>
  <c r="AB186" i="50"/>
  <c r="U236" i="50"/>
  <c r="AD235" i="50"/>
  <c r="K235" i="50"/>
  <c r="Z185" i="50"/>
  <c r="BA185" i="50" s="1"/>
  <c r="E185" i="50"/>
  <c r="AK184" i="50"/>
  <c r="R184" i="50"/>
  <c r="AN183" i="50"/>
  <c r="M216" i="84" s="1"/>
  <c r="W183" i="50"/>
  <c r="Y237" i="50"/>
  <c r="I237" i="50"/>
  <c r="AL182" i="50"/>
  <c r="Y182" i="50"/>
  <c r="N182" i="50"/>
  <c r="AU182" i="50" s="1"/>
  <c r="AF181" i="50"/>
  <c r="BD181" i="50" s="1"/>
  <c r="T181" i="50"/>
  <c r="H181" i="50"/>
  <c r="AR181" i="50" s="1"/>
  <c r="AE180" i="50"/>
  <c r="U180" i="50"/>
  <c r="K180" i="50"/>
  <c r="AH179" i="50"/>
  <c r="BE179" i="50" s="1"/>
  <c r="V179" i="50"/>
  <c r="AY179" i="50" s="1"/>
  <c r="L179" i="50"/>
  <c r="AT179" i="50" s="1"/>
  <c r="AI178" i="50"/>
  <c r="Y178" i="50"/>
  <c r="M178" i="50"/>
  <c r="AJ177" i="50"/>
  <c r="Z177" i="50"/>
  <c r="P177" i="50"/>
  <c r="D177" i="50"/>
  <c r="AM176" i="50"/>
  <c r="AC176" i="50"/>
  <c r="U176" i="50"/>
  <c r="M176" i="50"/>
  <c r="E176" i="50"/>
  <c r="AJ175" i="50"/>
  <c r="AB175" i="50"/>
  <c r="T175" i="50"/>
  <c r="L175" i="50"/>
  <c r="D175" i="50"/>
  <c r="AI174" i="50"/>
  <c r="AA174" i="50"/>
  <c r="S174" i="50"/>
  <c r="K174" i="50"/>
  <c r="AH173" i="50"/>
  <c r="Z173" i="50"/>
  <c r="R173" i="50"/>
  <c r="J173" i="50"/>
  <c r="AO172" i="50"/>
  <c r="AG172" i="50"/>
  <c r="Y172" i="50"/>
  <c r="Q172" i="50"/>
  <c r="I172" i="50"/>
  <c r="AN171" i="50"/>
  <c r="M267" i="84" s="1"/>
  <c r="AF171" i="50"/>
  <c r="X171" i="50"/>
  <c r="P171" i="50"/>
  <c r="H171" i="50"/>
  <c r="AM170" i="50"/>
  <c r="AE170" i="50"/>
  <c r="W170" i="50"/>
  <c r="O170" i="50"/>
  <c r="G170" i="50"/>
  <c r="AL169" i="50"/>
  <c r="AD169" i="50"/>
  <c r="V169" i="50"/>
  <c r="N169" i="50"/>
  <c r="F169" i="50"/>
  <c r="AK168" i="50"/>
  <c r="AC168" i="50"/>
  <c r="U168" i="50"/>
  <c r="M168" i="50"/>
  <c r="E168" i="50"/>
  <c r="AJ167" i="50"/>
  <c r="AC222" i="50"/>
  <c r="AJ230" i="50"/>
  <c r="BF230" i="50" s="1"/>
  <c r="AK214" i="50"/>
  <c r="AF207" i="50"/>
  <c r="V204" i="50"/>
  <c r="AY204" i="50" s="1"/>
  <c r="G201" i="50"/>
  <c r="O197" i="50"/>
  <c r="AA195" i="50"/>
  <c r="G194" i="50"/>
  <c r="I193" i="50"/>
  <c r="N234" i="50"/>
  <c r="S233" i="50"/>
  <c r="AB232" i="50"/>
  <c r="AI192" i="50"/>
  <c r="I191" i="50"/>
  <c r="V190" i="50"/>
  <c r="AK189" i="50"/>
  <c r="K188" i="50"/>
  <c r="Z187" i="50"/>
  <c r="Q186" i="50"/>
  <c r="AN236" i="50"/>
  <c r="M247" i="84" s="1"/>
  <c r="K236" i="50"/>
  <c r="W235" i="50"/>
  <c r="AL185" i="50"/>
  <c r="R185" i="50"/>
  <c r="AF184" i="50"/>
  <c r="K184" i="50"/>
  <c r="AG183" i="50"/>
  <c r="O183" i="50"/>
  <c r="AI237" i="50"/>
  <c r="S237" i="50"/>
  <c r="AG182" i="50"/>
  <c r="V182" i="50"/>
  <c r="I182" i="50"/>
  <c r="AM181" i="50"/>
  <c r="AB181" i="50"/>
  <c r="O181" i="50"/>
  <c r="E181" i="50"/>
  <c r="AL180" i="50"/>
  <c r="AB180" i="50"/>
  <c r="P180" i="50"/>
  <c r="AV180" i="50" s="1"/>
  <c r="F180" i="50"/>
  <c r="AM179" i="50"/>
  <c r="AC179" i="50"/>
  <c r="S179" i="50"/>
  <c r="G179" i="50"/>
  <c r="AD178" i="50"/>
  <c r="T178" i="50"/>
  <c r="J178" i="50"/>
  <c r="AG177" i="50"/>
  <c r="U177" i="50"/>
  <c r="K177" i="50"/>
  <c r="AH176" i="50"/>
  <c r="Z176" i="50"/>
  <c r="R176" i="50"/>
  <c r="J176" i="50"/>
  <c r="AO175" i="50"/>
  <c r="AG175" i="50"/>
  <c r="Y175" i="50"/>
  <c r="Q175" i="50"/>
  <c r="I175" i="50"/>
  <c r="AN174" i="50"/>
  <c r="M212" i="84" s="1"/>
  <c r="AF174" i="50"/>
  <c r="X174" i="50"/>
  <c r="P174" i="50"/>
  <c r="H174" i="50"/>
  <c r="AM173" i="50"/>
  <c r="AE173" i="50"/>
  <c r="W173" i="50"/>
  <c r="O173" i="50"/>
  <c r="G173" i="50"/>
  <c r="AL172" i="50"/>
  <c r="AD172" i="50"/>
  <c r="V172" i="50"/>
  <c r="N172" i="50"/>
  <c r="F172" i="50"/>
  <c r="AK171" i="50"/>
  <c r="AC171" i="50"/>
  <c r="U171" i="50"/>
  <c r="M171" i="50"/>
  <c r="E171" i="50"/>
  <c r="AJ170" i="50"/>
  <c r="AB170" i="50"/>
  <c r="T170" i="50"/>
  <c r="L170" i="50"/>
  <c r="D170" i="50"/>
  <c r="AI169" i="50"/>
  <c r="AA169" i="50"/>
  <c r="S169" i="50"/>
  <c r="K169" i="50"/>
  <c r="AH168" i="50"/>
  <c r="Z168" i="50"/>
  <c r="R168" i="50"/>
  <c r="J168" i="50"/>
  <c r="AO167" i="50"/>
  <c r="AG167" i="50"/>
  <c r="Y167" i="50"/>
  <c r="Q167" i="50"/>
  <c r="I167" i="50"/>
  <c r="AN166" i="50"/>
  <c r="M199" i="84" s="1"/>
  <c r="AF166" i="50"/>
  <c r="X166" i="50"/>
  <c r="P166" i="50"/>
  <c r="H166" i="50"/>
  <c r="AM239" i="50"/>
  <c r="AE239" i="50"/>
  <c r="W239" i="50"/>
  <c r="O239" i="50"/>
  <c r="G239" i="50"/>
  <c r="AL238" i="50"/>
  <c r="AD238" i="50"/>
  <c r="V238" i="50"/>
  <c r="N238" i="50"/>
  <c r="F238" i="50"/>
  <c r="AK165" i="50"/>
  <c r="AC165" i="50"/>
  <c r="U165" i="50"/>
  <c r="M165" i="50"/>
  <c r="E165" i="50"/>
  <c r="AJ164" i="50"/>
  <c r="AB164" i="50"/>
  <c r="T164" i="50"/>
  <c r="L164" i="50"/>
  <c r="D164" i="50"/>
  <c r="S230" i="50"/>
  <c r="AM217" i="50"/>
  <c r="V214" i="50"/>
  <c r="AH210" i="50"/>
  <c r="X207" i="50"/>
  <c r="I204" i="50"/>
  <c r="H197" i="50"/>
  <c r="T195" i="50"/>
  <c r="F194" i="50"/>
  <c r="H193" i="50"/>
  <c r="G234" i="50"/>
  <c r="Q233" i="50"/>
  <c r="Y232" i="50"/>
  <c r="AH192" i="50"/>
  <c r="F191" i="50"/>
  <c r="U190" i="50"/>
  <c r="AG189" i="50"/>
  <c r="H188" i="50"/>
  <c r="T187" i="50"/>
  <c r="K186" i="50"/>
  <c r="AG236" i="50"/>
  <c r="G236" i="50"/>
  <c r="V235" i="50"/>
  <c r="AH185" i="50"/>
  <c r="BE185" i="50" s="1"/>
  <c r="N185" i="50"/>
  <c r="AU185" i="50" s="1"/>
  <c r="AC184" i="50"/>
  <c r="J184" i="50"/>
  <c r="AE183" i="50"/>
  <c r="L183" i="50"/>
  <c r="AH237" i="50"/>
  <c r="P237" i="50"/>
  <c r="AF182" i="50"/>
  <c r="U182" i="50"/>
  <c r="G182" i="50"/>
  <c r="AL181" i="50"/>
  <c r="Y181" i="50"/>
  <c r="N181" i="50"/>
  <c r="D181" i="50"/>
  <c r="AK180" i="50"/>
  <c r="AA180" i="50"/>
  <c r="O180" i="50"/>
  <c r="E180" i="50"/>
  <c r="AL179" i="50"/>
  <c r="AB179" i="50"/>
  <c r="R179" i="50"/>
  <c r="F179" i="50"/>
  <c r="AO178" i="50"/>
  <c r="AC178" i="50"/>
  <c r="S178" i="50"/>
  <c r="I178" i="50"/>
  <c r="AF177" i="50"/>
  <c r="T177" i="50"/>
  <c r="J177" i="50"/>
  <c r="AG176" i="50"/>
  <c r="Y176" i="50"/>
  <c r="Q176" i="50"/>
  <c r="I176" i="50"/>
  <c r="AN175" i="50"/>
  <c r="M214" i="84" s="1"/>
  <c r="AF175" i="50"/>
  <c r="X175" i="50"/>
  <c r="P175" i="50"/>
  <c r="H175" i="50"/>
  <c r="AM174" i="50"/>
  <c r="AE174" i="50"/>
  <c r="W174" i="50"/>
  <c r="O174" i="50"/>
  <c r="G174" i="50"/>
  <c r="AL173" i="50"/>
  <c r="AD173" i="50"/>
  <c r="V173" i="50"/>
  <c r="N173" i="50"/>
  <c r="F173" i="50"/>
  <c r="AK172" i="50"/>
  <c r="AC172" i="50"/>
  <c r="U172" i="50"/>
  <c r="M172" i="50"/>
  <c r="E172" i="50"/>
  <c r="AJ171" i="50"/>
  <c r="AB171" i="50"/>
  <c r="T171" i="50"/>
  <c r="L171" i="50"/>
  <c r="D171" i="50"/>
  <c r="AI170" i="50"/>
  <c r="AA170" i="50"/>
  <c r="S170" i="50"/>
  <c r="K170" i="50"/>
  <c r="AH169" i="50"/>
  <c r="Z169" i="50"/>
  <c r="R169" i="50"/>
  <c r="J169" i="50"/>
  <c r="AO168" i="50"/>
  <c r="AG168" i="50"/>
  <c r="Y168" i="50"/>
  <c r="Q168" i="50"/>
  <c r="I168" i="50"/>
  <c r="AN167" i="50"/>
  <c r="M207" i="84" s="1"/>
  <c r="AF167" i="50"/>
  <c r="X167" i="50"/>
  <c r="P167" i="50"/>
  <c r="H167" i="50"/>
  <c r="AM166" i="50"/>
  <c r="AE166" i="50"/>
  <c r="W166" i="50"/>
  <c r="O166" i="50"/>
  <c r="G166" i="50"/>
  <c r="AL239" i="50"/>
  <c r="AD239" i="50"/>
  <c r="V239" i="50"/>
  <c r="N239" i="50"/>
  <c r="F239" i="50"/>
  <c r="AK238" i="50"/>
  <c r="AC238" i="50"/>
  <c r="U238" i="50"/>
  <c r="M238" i="50"/>
  <c r="E238" i="50"/>
  <c r="AJ165" i="50"/>
  <c r="AB165" i="50"/>
  <c r="T165" i="50"/>
  <c r="L165" i="50"/>
  <c r="D165" i="50"/>
  <c r="AI164" i="50"/>
  <c r="R221" i="50"/>
  <c r="AO213" i="50"/>
  <c r="AC203" i="50"/>
  <c r="AD200" i="50"/>
  <c r="BC200" i="50" s="1"/>
  <c r="AG198" i="50"/>
  <c r="J233" i="50"/>
  <c r="P232" i="50"/>
  <c r="AV232" i="50" s="1"/>
  <c r="Y192" i="50"/>
  <c r="AM191" i="50"/>
  <c r="N190" i="50"/>
  <c r="AU190" i="50" s="1"/>
  <c r="Y189" i="50"/>
  <c r="AN188" i="50"/>
  <c r="M145" i="84" s="1"/>
  <c r="S187" i="50"/>
  <c r="AJ186" i="50"/>
  <c r="F186" i="50"/>
  <c r="AB236" i="50"/>
  <c r="T203" i="50"/>
  <c r="AG197" i="50"/>
  <c r="U193" i="50"/>
  <c r="E233" i="50"/>
  <c r="R186" i="50"/>
  <c r="AW186" i="50" s="1"/>
  <c r="O235" i="50"/>
  <c r="AD185" i="50"/>
  <c r="E184" i="50"/>
  <c r="Y183" i="50"/>
  <c r="N237" i="50"/>
  <c r="AO182" i="50"/>
  <c r="P182" i="50"/>
  <c r="W181" i="50"/>
  <c r="AI180" i="50"/>
  <c r="M180" i="50"/>
  <c r="Z179" i="50"/>
  <c r="D179" i="50"/>
  <c r="AK178" i="50"/>
  <c r="Q178" i="50"/>
  <c r="AB177" i="50"/>
  <c r="H177" i="50"/>
  <c r="AO176" i="50"/>
  <c r="W176" i="50"/>
  <c r="G176" i="50"/>
  <c r="AD175" i="50"/>
  <c r="N175" i="50"/>
  <c r="AK174" i="50"/>
  <c r="U174" i="50"/>
  <c r="E174" i="50"/>
  <c r="AB173" i="50"/>
  <c r="L173" i="50"/>
  <c r="AI172" i="50"/>
  <c r="S172" i="50"/>
  <c r="Z171" i="50"/>
  <c r="J171" i="50"/>
  <c r="AG170" i="50"/>
  <c r="Q170" i="50"/>
  <c r="AN169" i="50"/>
  <c r="M209" i="84" s="1"/>
  <c r="X169" i="50"/>
  <c r="I169" i="50"/>
  <c r="AM168" i="50"/>
  <c r="AA168" i="50"/>
  <c r="N168" i="50"/>
  <c r="AD167" i="50"/>
  <c r="T167" i="50"/>
  <c r="J167" i="50"/>
  <c r="AG166" i="50"/>
  <c r="U166" i="50"/>
  <c r="K166" i="50"/>
  <c r="AH239" i="50"/>
  <c r="X239" i="50"/>
  <c r="L239" i="50"/>
  <c r="AI238" i="50"/>
  <c r="Y238" i="50"/>
  <c r="O238" i="50"/>
  <c r="AL165" i="50"/>
  <c r="Z165" i="50"/>
  <c r="P165" i="50"/>
  <c r="F165" i="50"/>
  <c r="AM164" i="50"/>
  <c r="AC164" i="50"/>
  <c r="S164" i="50"/>
  <c r="J164" i="50"/>
  <c r="AN163" i="50"/>
  <c r="M194" i="84" s="1"/>
  <c r="AF163" i="50"/>
  <c r="G221" i="50"/>
  <c r="AH211" i="50"/>
  <c r="AL196" i="50"/>
  <c r="R193" i="50"/>
  <c r="AO232" i="50"/>
  <c r="AL191" i="50"/>
  <c r="AH187" i="50"/>
  <c r="D186" i="50"/>
  <c r="J235" i="50"/>
  <c r="U185" i="50"/>
  <c r="AJ184" i="50"/>
  <c r="S183" i="50"/>
  <c r="AO237" i="50"/>
  <c r="H237" i="50"/>
  <c r="AK182" i="50"/>
  <c r="M182" i="50"/>
  <c r="Q181" i="50"/>
  <c r="AD180" i="50"/>
  <c r="BC180" i="50" s="1"/>
  <c r="H180" i="50"/>
  <c r="U179" i="50"/>
  <c r="AH178" i="50"/>
  <c r="L178" i="50"/>
  <c r="Y177" i="50"/>
  <c r="AJ176" i="50"/>
  <c r="T176" i="50"/>
  <c r="AX176" i="50" s="1"/>
  <c r="D176" i="50"/>
  <c r="AA175" i="50"/>
  <c r="K175" i="50"/>
  <c r="AH174" i="50"/>
  <c r="R174" i="50"/>
  <c r="AO173" i="50"/>
  <c r="Y173" i="50"/>
  <c r="I173" i="50"/>
  <c r="AF172" i="50"/>
  <c r="BD172" i="50" s="1"/>
  <c r="P172" i="50"/>
  <c r="AM171" i="50"/>
  <c r="W171" i="50"/>
  <c r="G171" i="50"/>
  <c r="AD170" i="50"/>
  <c r="N170" i="50"/>
  <c r="AK169" i="50"/>
  <c r="U169" i="50"/>
  <c r="H169" i="50"/>
  <c r="AL168" i="50"/>
  <c r="X168" i="50"/>
  <c r="L168" i="50"/>
  <c r="AC167" i="50"/>
  <c r="S167" i="50"/>
  <c r="G167" i="50"/>
  <c r="AD166" i="50"/>
  <c r="T166" i="50"/>
  <c r="J166" i="50"/>
  <c r="AG239" i="50"/>
  <c r="U239" i="50"/>
  <c r="K239" i="50"/>
  <c r="AH238" i="50"/>
  <c r="X238" i="50"/>
  <c r="AO218" i="50"/>
  <c r="X208" i="50"/>
  <c r="Z200" i="50"/>
  <c r="W234" i="50"/>
  <c r="N232" i="50"/>
  <c r="AU232" i="50" s="1"/>
  <c r="P191" i="50"/>
  <c r="F189" i="50"/>
  <c r="M187" i="50"/>
  <c r="AO236" i="50"/>
  <c r="AM235" i="50"/>
  <c r="M185" i="50"/>
  <c r="Y184" i="50"/>
  <c r="K183" i="50"/>
  <c r="AF237" i="50"/>
  <c r="AE182" i="50"/>
  <c r="F182" i="50"/>
  <c r="AK181" i="50"/>
  <c r="M181" i="50"/>
  <c r="X180" i="50"/>
  <c r="D180" i="50"/>
  <c r="AK179" i="50"/>
  <c r="O179" i="50"/>
  <c r="AB178" i="50"/>
  <c r="F178" i="50"/>
  <c r="AO177" i="50"/>
  <c r="S177" i="50"/>
  <c r="AF176" i="50"/>
  <c r="BD176" i="50" s="1"/>
  <c r="P176" i="50"/>
  <c r="AM175" i="50"/>
  <c r="W175" i="50"/>
  <c r="G175" i="50"/>
  <c r="AD174" i="50"/>
  <c r="N174" i="50"/>
  <c r="AK173" i="50"/>
  <c r="U173" i="50"/>
  <c r="E173" i="50"/>
  <c r="AB172" i="50"/>
  <c r="L172" i="50"/>
  <c r="AI171" i="50"/>
  <c r="S171" i="50"/>
  <c r="Z170" i="50"/>
  <c r="BA170" i="50" s="1"/>
  <c r="J170" i="50"/>
  <c r="AG169" i="50"/>
  <c r="Q169" i="50"/>
  <c r="E169" i="50"/>
  <c r="AI168" i="50"/>
  <c r="V168" i="50"/>
  <c r="H168" i="50"/>
  <c r="AL167" i="50"/>
  <c r="AA167" i="50"/>
  <c r="O167" i="50"/>
  <c r="E167" i="50"/>
  <c r="AL166" i="50"/>
  <c r="AB166" i="50"/>
  <c r="R166" i="50"/>
  <c r="F166" i="50"/>
  <c r="AO239" i="50"/>
  <c r="AC239" i="50"/>
  <c r="S239" i="50"/>
  <c r="I239" i="50"/>
  <c r="AF238" i="50"/>
  <c r="T238" i="50"/>
  <c r="AX238" i="50" s="1"/>
  <c r="J238" i="50"/>
  <c r="AI216" i="50"/>
  <c r="M208" i="50"/>
  <c r="AE199" i="50"/>
  <c r="V234" i="50"/>
  <c r="E189" i="50"/>
  <c r="AA236" i="50"/>
  <c r="AJ235" i="50"/>
  <c r="BF235" i="50" s="1"/>
  <c r="I185" i="50"/>
  <c r="X184" i="50"/>
  <c r="I183" i="50"/>
  <c r="AE237" i="50"/>
  <c r="AC182" i="50"/>
  <c r="E182" i="50"/>
  <c r="AJ181" i="50"/>
  <c r="L181" i="50"/>
  <c r="W180" i="50"/>
  <c r="AJ179" i="50"/>
  <c r="N179" i="50"/>
  <c r="AA178" i="50"/>
  <c r="E178" i="50"/>
  <c r="AN177" i="50"/>
  <c r="M233" i="84" s="1"/>
  <c r="R177" i="50"/>
  <c r="AE176" i="50"/>
  <c r="O176" i="50"/>
  <c r="AL175" i="50"/>
  <c r="V175" i="50"/>
  <c r="F175" i="50"/>
  <c r="AC174" i="50"/>
  <c r="M174" i="50"/>
  <c r="AJ173" i="50"/>
  <c r="T173" i="50"/>
  <c r="D173" i="50"/>
  <c r="AA172" i="50"/>
  <c r="K172" i="50"/>
  <c r="AH171" i="50"/>
  <c r="R171" i="50"/>
  <c r="AO170" i="50"/>
  <c r="Y170" i="50"/>
  <c r="I170" i="50"/>
  <c r="AF169" i="50"/>
  <c r="P169" i="50"/>
  <c r="D169" i="50"/>
  <c r="AF168" i="50"/>
  <c r="T168" i="50"/>
  <c r="G168" i="50"/>
  <c r="AK167" i="50"/>
  <c r="Z167" i="50"/>
  <c r="N167" i="50"/>
  <c r="D167" i="50"/>
  <c r="AK166" i="50"/>
  <c r="AA166" i="50"/>
  <c r="Q166" i="50"/>
  <c r="E166" i="50"/>
  <c r="AN239" i="50"/>
  <c r="M198" i="84" s="1"/>
  <c r="AB239" i="50"/>
  <c r="R239" i="50"/>
  <c r="H239" i="50"/>
  <c r="AO238" i="50"/>
  <c r="AE238" i="50"/>
  <c r="S238" i="50"/>
  <c r="I238" i="50"/>
  <c r="AF165" i="50"/>
  <c r="V165" i="50"/>
  <c r="J165" i="50"/>
  <c r="AG164" i="50"/>
  <c r="X164" i="50"/>
  <c r="O164" i="50"/>
  <c r="F164" i="50"/>
  <c r="AL231" i="50"/>
  <c r="AE206" i="50"/>
  <c r="W199" i="50"/>
  <c r="AA194" i="50"/>
  <c r="AF190" i="50"/>
  <c r="BD190" i="50" s="1"/>
  <c r="AK188" i="50"/>
  <c r="M236" i="50"/>
  <c r="AB235" i="50"/>
  <c r="Q184" i="50"/>
  <c r="AI183" i="50"/>
  <c r="X237" i="50"/>
  <c r="X182" i="50"/>
  <c r="AD181" i="50"/>
  <c r="BC181" i="50" s="1"/>
  <c r="G181" i="50"/>
  <c r="T180" i="50"/>
  <c r="AE179" i="50"/>
  <c r="K179" i="50"/>
  <c r="V178" i="50"/>
  <c r="AI177" i="50"/>
  <c r="M177" i="50"/>
  <c r="AB176" i="50"/>
  <c r="L176" i="50"/>
  <c r="AT176" i="50" s="1"/>
  <c r="AI175" i="50"/>
  <c r="S175" i="50"/>
  <c r="Z174" i="50"/>
  <c r="J174" i="50"/>
  <c r="AG173" i="50"/>
  <c r="Q173" i="50"/>
  <c r="AN172" i="50"/>
  <c r="M219" i="84" s="1"/>
  <c r="X172" i="50"/>
  <c r="H172" i="50"/>
  <c r="AE171" i="50"/>
  <c r="O171" i="50"/>
  <c r="AL170" i="50"/>
  <c r="V170" i="50"/>
  <c r="F170" i="50"/>
  <c r="AC169" i="50"/>
  <c r="O169" i="50"/>
  <c r="AE168" i="50"/>
  <c r="S168" i="50"/>
  <c r="F168" i="50"/>
  <c r="AI167" i="50"/>
  <c r="W167" i="50"/>
  <c r="Z231" i="50"/>
  <c r="K205" i="50"/>
  <c r="Z198" i="50"/>
  <c r="BA198" i="50" s="1"/>
  <c r="U194" i="50"/>
  <c r="AG233" i="50"/>
  <c r="W192" i="50"/>
  <c r="AD190" i="50"/>
  <c r="U188" i="50"/>
  <c r="AI186" i="50"/>
  <c r="L236" i="50"/>
  <c r="AA235" i="50"/>
  <c r="AO185" i="50"/>
  <c r="L184" i="50"/>
  <c r="AH183" i="50"/>
  <c r="V237" i="50"/>
  <c r="W182" i="50"/>
  <c r="AC181" i="50"/>
  <c r="F181" i="50"/>
  <c r="AM180" i="50"/>
  <c r="S180" i="50"/>
  <c r="AD179" i="50"/>
  <c r="BC179" i="50" s="1"/>
  <c r="J179" i="50"/>
  <c r="AS179" i="50" s="1"/>
  <c r="U178" i="50"/>
  <c r="AH177" i="50"/>
  <c r="BE177" i="50" s="1"/>
  <c r="L177" i="50"/>
  <c r="AT177" i="50" s="1"/>
  <c r="AA176" i="50"/>
  <c r="K176" i="50"/>
  <c r="AH175" i="50"/>
  <c r="BE175" i="50" s="1"/>
  <c r="R175" i="50"/>
  <c r="AW175" i="50" s="1"/>
  <c r="AO174" i="50"/>
  <c r="Y174" i="50"/>
  <c r="I174" i="50"/>
  <c r="AF173" i="50"/>
  <c r="P173" i="50"/>
  <c r="AM172" i="50"/>
  <c r="W172" i="50"/>
  <c r="G172" i="50"/>
  <c r="AD171" i="50"/>
  <c r="N171" i="50"/>
  <c r="AK170" i="50"/>
  <c r="U170" i="50"/>
  <c r="E170" i="50"/>
  <c r="AB169" i="50"/>
  <c r="M169" i="50"/>
  <c r="AD168" i="50"/>
  <c r="P168" i="50"/>
  <c r="D168" i="50"/>
  <c r="AH167" i="50"/>
  <c r="V167" i="50"/>
  <c r="L167" i="50"/>
  <c r="AI166" i="50"/>
  <c r="AE187" i="50"/>
  <c r="S185" i="50"/>
  <c r="AL237" i="50"/>
  <c r="AN181" i="50"/>
  <c r="M228" i="84" s="1"/>
  <c r="G180" i="50"/>
  <c r="AG178" i="50"/>
  <c r="AG174" i="50"/>
  <c r="X173" i="50"/>
  <c r="O172" i="50"/>
  <c r="F171" i="50"/>
  <c r="K167" i="50"/>
  <c r="AJ166" i="50"/>
  <c r="M166" i="50"/>
  <c r="Z239" i="50"/>
  <c r="D239" i="50"/>
  <c r="AM238" i="50"/>
  <c r="Q238" i="50"/>
  <c r="AN165" i="50"/>
  <c r="M201" i="84" s="1"/>
  <c r="Y165" i="50"/>
  <c r="K165" i="50"/>
  <c r="AL164" i="50"/>
  <c r="Y164" i="50"/>
  <c r="M164" i="50"/>
  <c r="AK163" i="50"/>
  <c r="AB163" i="50"/>
  <c r="T163" i="50"/>
  <c r="L163" i="50"/>
  <c r="D163" i="50"/>
  <c r="AI162" i="50"/>
  <c r="AA162" i="50"/>
  <c r="S162" i="50"/>
  <c r="K162" i="50"/>
  <c r="AH161" i="50"/>
  <c r="Z161" i="50"/>
  <c r="R161" i="50"/>
  <c r="J161" i="50"/>
  <c r="AO160" i="50"/>
  <c r="AG160" i="50"/>
  <c r="Y160" i="50"/>
  <c r="Q160" i="50"/>
  <c r="I160" i="50"/>
  <c r="AN159" i="50"/>
  <c r="M192" i="84" s="1"/>
  <c r="AF159" i="50"/>
  <c r="X159" i="50"/>
  <c r="P159" i="50"/>
  <c r="H159" i="50"/>
  <c r="AM158" i="50"/>
  <c r="AE158" i="50"/>
  <c r="W158" i="50"/>
  <c r="O158" i="50"/>
  <c r="G158" i="50"/>
  <c r="AL157" i="50"/>
  <c r="AD157" i="50"/>
  <c r="V157" i="50"/>
  <c r="N157" i="50"/>
  <c r="F157" i="50"/>
  <c r="AK241" i="50"/>
  <c r="AC241" i="50"/>
  <c r="U241" i="50"/>
  <c r="M241" i="50"/>
  <c r="E241" i="50"/>
  <c r="AJ240" i="50"/>
  <c r="AB240" i="50"/>
  <c r="T240" i="50"/>
  <c r="L240" i="50"/>
  <c r="D240" i="50"/>
  <c r="AI156" i="50"/>
  <c r="AA156" i="50"/>
  <c r="S156" i="50"/>
  <c r="K156" i="50"/>
  <c r="AH243" i="50"/>
  <c r="Z243" i="50"/>
  <c r="R243" i="50"/>
  <c r="J243" i="50"/>
  <c r="AO242" i="50"/>
  <c r="AG242" i="50"/>
  <c r="Y242" i="50"/>
  <c r="Q242" i="50"/>
  <c r="I242" i="50"/>
  <c r="AN155" i="50"/>
  <c r="M184" i="84" s="1"/>
  <c r="AF155" i="50"/>
  <c r="X155" i="50"/>
  <c r="P155" i="50"/>
  <c r="H155" i="50"/>
  <c r="AM154" i="50"/>
  <c r="AE154" i="50"/>
  <c r="W154" i="50"/>
  <c r="O154" i="50"/>
  <c r="G154" i="50"/>
  <c r="AL153" i="50"/>
  <c r="AD153" i="50"/>
  <c r="V153" i="50"/>
  <c r="N153" i="50"/>
  <c r="F153" i="50"/>
  <c r="AK244" i="50"/>
  <c r="AC244" i="50"/>
  <c r="U244" i="50"/>
  <c r="M244" i="50"/>
  <c r="E244" i="50"/>
  <c r="AJ152" i="50"/>
  <c r="AB152" i="50"/>
  <c r="T152" i="50"/>
  <c r="L152" i="50"/>
  <c r="D152" i="50"/>
  <c r="AI151" i="50"/>
  <c r="AA151" i="50"/>
  <c r="S151" i="50"/>
  <c r="K151" i="50"/>
  <c r="AH150" i="50"/>
  <c r="Z150" i="50"/>
  <c r="R150" i="50"/>
  <c r="J150" i="50"/>
  <c r="AO149" i="50"/>
  <c r="AG149" i="50"/>
  <c r="Y149" i="50"/>
  <c r="Q149" i="50"/>
  <c r="I149" i="50"/>
  <c r="AN148" i="50"/>
  <c r="M179" i="84" s="1"/>
  <c r="AF148" i="50"/>
  <c r="X148" i="50"/>
  <c r="P148" i="50"/>
  <c r="H148" i="50"/>
  <c r="Y213" i="50"/>
  <c r="AB233" i="50"/>
  <c r="BB233" i="50" s="1"/>
  <c r="Y186" i="50"/>
  <c r="O237" i="50"/>
  <c r="X181" i="50"/>
  <c r="R178" i="50"/>
  <c r="AE175" i="50"/>
  <c r="V174" i="50"/>
  <c r="M173" i="50"/>
  <c r="D172" i="50"/>
  <c r="AO169" i="50"/>
  <c r="AN168" i="50"/>
  <c r="M208" i="84" s="1"/>
  <c r="F167" i="50"/>
  <c r="AH166" i="50"/>
  <c r="BE166" i="50" s="1"/>
  <c r="L166" i="50"/>
  <c r="Y239" i="50"/>
  <c r="AJ238" i="50"/>
  <c r="P238" i="50"/>
  <c r="AM165" i="50"/>
  <c r="X165" i="50"/>
  <c r="I165" i="50"/>
  <c r="AK164" i="50"/>
  <c r="W164" i="50"/>
  <c r="K164" i="50"/>
  <c r="AJ163" i="50"/>
  <c r="AA163" i="50"/>
  <c r="S163" i="50"/>
  <c r="K163" i="50"/>
  <c r="AH162" i="50"/>
  <c r="Z162" i="50"/>
  <c r="R162" i="50"/>
  <c r="J162" i="50"/>
  <c r="AO161" i="50"/>
  <c r="AG161" i="50"/>
  <c r="Y161" i="50"/>
  <c r="Q161" i="50"/>
  <c r="I161" i="50"/>
  <c r="AN160" i="50"/>
  <c r="M196" i="84" s="1"/>
  <c r="AF160" i="50"/>
  <c r="X160" i="50"/>
  <c r="P160" i="50"/>
  <c r="H160" i="50"/>
  <c r="AM159" i="50"/>
  <c r="AE159" i="50"/>
  <c r="W159" i="50"/>
  <c r="O159" i="50"/>
  <c r="G159" i="50"/>
  <c r="AL158" i="50"/>
  <c r="AD158" i="50"/>
  <c r="V158" i="50"/>
  <c r="N158" i="50"/>
  <c r="F158" i="50"/>
  <c r="AK157" i="50"/>
  <c r="AC157" i="50"/>
  <c r="U157" i="50"/>
  <c r="M157" i="50"/>
  <c r="E157" i="50"/>
  <c r="AJ241" i="50"/>
  <c r="AB241" i="50"/>
  <c r="T241" i="50"/>
  <c r="L241" i="50"/>
  <c r="D241" i="50"/>
  <c r="AI240" i="50"/>
  <c r="AA240" i="50"/>
  <c r="S240" i="50"/>
  <c r="K240" i="50"/>
  <c r="AH156" i="50"/>
  <c r="Z156" i="50"/>
  <c r="R156" i="50"/>
  <c r="J156" i="50"/>
  <c r="AO243" i="50"/>
  <c r="AG243" i="50"/>
  <c r="Y243" i="50"/>
  <c r="Q243" i="50"/>
  <c r="I243" i="50"/>
  <c r="AN242" i="50"/>
  <c r="M117" i="84" s="1"/>
  <c r="AF242" i="50"/>
  <c r="X242" i="50"/>
  <c r="P242" i="50"/>
  <c r="H242" i="50"/>
  <c r="AM155" i="50"/>
  <c r="AE155" i="50"/>
  <c r="W155" i="50"/>
  <c r="O155" i="50"/>
  <c r="G155" i="50"/>
  <c r="AL154" i="50"/>
  <c r="AD154" i="50"/>
  <c r="V154" i="50"/>
  <c r="N154" i="50"/>
  <c r="F154" i="50"/>
  <c r="AK153" i="50"/>
  <c r="AC153" i="50"/>
  <c r="U153" i="50"/>
  <c r="M153" i="50"/>
  <c r="E153" i="50"/>
  <c r="AJ244" i="50"/>
  <c r="AB244" i="50"/>
  <c r="T244" i="50"/>
  <c r="L244" i="50"/>
  <c r="D244" i="50"/>
  <c r="AI152" i="50"/>
  <c r="AA152" i="50"/>
  <c r="S152" i="50"/>
  <c r="K152" i="50"/>
  <c r="AH151" i="50"/>
  <c r="Z151" i="50"/>
  <c r="R151" i="50"/>
  <c r="J151" i="50"/>
  <c r="AO150" i="50"/>
  <c r="AG150" i="50"/>
  <c r="Y150" i="50"/>
  <c r="Q150" i="50"/>
  <c r="I150" i="50"/>
  <c r="AN149" i="50"/>
  <c r="M187" i="84" s="1"/>
  <c r="AF149" i="50"/>
  <c r="X149" i="50"/>
  <c r="P149" i="50"/>
  <c r="H149" i="50"/>
  <c r="G192" i="50"/>
  <c r="E236" i="50"/>
  <c r="H184" i="50"/>
  <c r="AA179" i="50"/>
  <c r="X176" i="50"/>
  <c r="O175" i="50"/>
  <c r="F174" i="50"/>
  <c r="AH170" i="50"/>
  <c r="Y169" i="50"/>
  <c r="AB168" i="50"/>
  <c r="AE167" i="50"/>
  <c r="Z166" i="50"/>
  <c r="D166" i="50"/>
  <c r="AK239" i="50"/>
  <c r="Q239" i="50"/>
  <c r="AB238" i="50"/>
  <c r="BB238" i="50" s="1"/>
  <c r="K238" i="50"/>
  <c r="AH165" i="50"/>
  <c r="S165" i="50"/>
  <c r="G165" i="50"/>
  <c r="AF164" i="50"/>
  <c r="U164" i="50"/>
  <c r="H164" i="50"/>
  <c r="AH163" i="50"/>
  <c r="Y163" i="50"/>
  <c r="Q163" i="50"/>
  <c r="I163" i="50"/>
  <c r="AN162" i="50"/>
  <c r="M193" i="84" s="1"/>
  <c r="AF162" i="50"/>
  <c r="X162" i="50"/>
  <c r="P162" i="50"/>
  <c r="H162" i="50"/>
  <c r="AM161" i="50"/>
  <c r="AE161" i="50"/>
  <c r="W161" i="50"/>
  <c r="O161" i="50"/>
  <c r="G161" i="50"/>
  <c r="AL160" i="50"/>
  <c r="AD160" i="50"/>
  <c r="V160" i="50"/>
  <c r="N160" i="50"/>
  <c r="F160" i="50"/>
  <c r="AK159" i="50"/>
  <c r="AC159" i="50"/>
  <c r="U159" i="50"/>
  <c r="M159" i="50"/>
  <c r="E159" i="50"/>
  <c r="AJ158" i="50"/>
  <c r="AB158" i="50"/>
  <c r="T158" i="50"/>
  <c r="L158" i="50"/>
  <c r="D158" i="50"/>
  <c r="AI157" i="50"/>
  <c r="AA157" i="50"/>
  <c r="S157" i="50"/>
  <c r="K157" i="50"/>
  <c r="AH241" i="50"/>
  <c r="Z241" i="50"/>
  <c r="R241" i="50"/>
  <c r="J241" i="50"/>
  <c r="AO240" i="50"/>
  <c r="AG240" i="50"/>
  <c r="Y240" i="50"/>
  <c r="Q240" i="50"/>
  <c r="I240" i="50"/>
  <c r="AN156" i="50"/>
  <c r="M189" i="84" s="1"/>
  <c r="AF156" i="50"/>
  <c r="X156" i="50"/>
  <c r="P156" i="50"/>
  <c r="H156" i="50"/>
  <c r="AM243" i="50"/>
  <c r="AE243" i="50"/>
  <c r="W243" i="50"/>
  <c r="O243" i="50"/>
  <c r="G243" i="50"/>
  <c r="AL242" i="50"/>
  <c r="AD242" i="50"/>
  <c r="V242" i="50"/>
  <c r="N242" i="50"/>
  <c r="F242" i="50"/>
  <c r="AK155" i="50"/>
  <c r="AC155" i="50"/>
  <c r="U155" i="50"/>
  <c r="M155" i="50"/>
  <c r="E155" i="50"/>
  <c r="AJ154" i="50"/>
  <c r="AB154" i="50"/>
  <c r="T154" i="50"/>
  <c r="L154" i="50"/>
  <c r="D154" i="50"/>
  <c r="AI153" i="50"/>
  <c r="AA153" i="50"/>
  <c r="S153" i="50"/>
  <c r="AM201" i="50"/>
  <c r="Q191" i="50"/>
  <c r="AH182" i="50"/>
  <c r="BE182" i="50" s="1"/>
  <c r="T179" i="50"/>
  <c r="S176" i="50"/>
  <c r="J175" i="50"/>
  <c r="AL171" i="50"/>
  <c r="AC170" i="50"/>
  <c r="T169" i="50"/>
  <c r="W168" i="50"/>
  <c r="AB167" i="50"/>
  <c r="Y166" i="50"/>
  <c r="AJ239" i="50"/>
  <c r="P239" i="50"/>
  <c r="AA238" i="50"/>
  <c r="H238" i="50"/>
  <c r="AG165" i="50"/>
  <c r="R165" i="50"/>
  <c r="AE164" i="50"/>
  <c r="R164" i="50"/>
  <c r="G164" i="50"/>
  <c r="AG163" i="50"/>
  <c r="X163" i="50"/>
  <c r="P163" i="50"/>
  <c r="H163" i="50"/>
  <c r="AM162" i="50"/>
  <c r="AE162" i="50"/>
  <c r="W162" i="50"/>
  <c r="O162" i="50"/>
  <c r="G162" i="50"/>
  <c r="AL161" i="50"/>
  <c r="AD161" i="50"/>
  <c r="V161" i="50"/>
  <c r="N161" i="50"/>
  <c r="F161" i="50"/>
  <c r="AK160" i="50"/>
  <c r="AC160" i="50"/>
  <c r="U160" i="50"/>
  <c r="M160" i="50"/>
  <c r="E160" i="50"/>
  <c r="AJ159" i="50"/>
  <c r="AB159" i="50"/>
  <c r="T159" i="50"/>
  <c r="L159" i="50"/>
  <c r="D159" i="50"/>
  <c r="AI158" i="50"/>
  <c r="AA158" i="50"/>
  <c r="S158" i="50"/>
  <c r="K158" i="50"/>
  <c r="AH157" i="50"/>
  <c r="Z157" i="50"/>
  <c r="R157" i="50"/>
  <c r="J157" i="50"/>
  <c r="AO241" i="50"/>
  <c r="AG241" i="50"/>
  <c r="Y241" i="50"/>
  <c r="Q241" i="50"/>
  <c r="I241" i="50"/>
  <c r="AN240" i="50"/>
  <c r="M190" i="84" s="1"/>
  <c r="AF240" i="50"/>
  <c r="X240" i="50"/>
  <c r="P240" i="50"/>
  <c r="H240" i="50"/>
  <c r="AM156" i="50"/>
  <c r="AE156" i="50"/>
  <c r="W156" i="50"/>
  <c r="O156" i="50"/>
  <c r="G156" i="50"/>
  <c r="AL243" i="50"/>
  <c r="AD243" i="50"/>
  <c r="V243" i="50"/>
  <c r="N243" i="50"/>
  <c r="F243" i="50"/>
  <c r="AK242" i="50"/>
  <c r="AC242" i="50"/>
  <c r="U242" i="50"/>
  <c r="M242" i="50"/>
  <c r="E242" i="50"/>
  <c r="AJ155" i="50"/>
  <c r="AB155" i="50"/>
  <c r="T155" i="50"/>
  <c r="L155" i="50"/>
  <c r="D155" i="50"/>
  <c r="AI154" i="50"/>
  <c r="AA154" i="50"/>
  <c r="S154" i="50"/>
  <c r="K154" i="50"/>
  <c r="AH153" i="50"/>
  <c r="Z153" i="50"/>
  <c r="R153" i="50"/>
  <c r="J153" i="50"/>
  <c r="AO244" i="50"/>
  <c r="AG244" i="50"/>
  <c r="Y244" i="50"/>
  <c r="Q244" i="50"/>
  <c r="I244" i="50"/>
  <c r="AN152" i="50"/>
  <c r="M181" i="84" s="1"/>
  <c r="AF152" i="50"/>
  <c r="X152" i="50"/>
  <c r="P152" i="50"/>
  <c r="H152" i="50"/>
  <c r="AM151" i="50"/>
  <c r="AE151" i="50"/>
  <c r="W151" i="50"/>
  <c r="O151" i="50"/>
  <c r="G151" i="50"/>
  <c r="AL150" i="50"/>
  <c r="AD150" i="50"/>
  <c r="V150" i="50"/>
  <c r="N150" i="50"/>
  <c r="F150" i="50"/>
  <c r="AK149" i="50"/>
  <c r="AC149" i="50"/>
  <c r="U149" i="50"/>
  <c r="M149" i="50"/>
  <c r="E149" i="50"/>
  <c r="AJ148" i="50"/>
  <c r="AB148" i="50"/>
  <c r="T148" i="50"/>
  <c r="L148" i="50"/>
  <c r="D148" i="50"/>
  <c r="AL197" i="50"/>
  <c r="H190" i="50"/>
  <c r="R235" i="50"/>
  <c r="AW235" i="50" s="1"/>
  <c r="AB183" i="50"/>
  <c r="Q182" i="50"/>
  <c r="AJ180" i="50"/>
  <c r="E179" i="50"/>
  <c r="AC177" i="50"/>
  <c r="H176" i="50"/>
  <c r="AJ172" i="50"/>
  <c r="AA171" i="50"/>
  <c r="R170" i="50"/>
  <c r="L169" i="50"/>
  <c r="O168" i="50"/>
  <c r="U167" i="50"/>
  <c r="V166" i="50"/>
  <c r="AI239" i="50"/>
  <c r="M239" i="50"/>
  <c r="Z238" i="50"/>
  <c r="G238" i="50"/>
  <c r="AE165" i="50"/>
  <c r="Q165" i="50"/>
  <c r="AD164" i="50"/>
  <c r="Q164" i="50"/>
  <c r="E164" i="50"/>
  <c r="AO163" i="50"/>
  <c r="AE163" i="50"/>
  <c r="W163" i="50"/>
  <c r="O163" i="50"/>
  <c r="G163" i="50"/>
  <c r="AL162" i="50"/>
  <c r="AD162" i="50"/>
  <c r="V162" i="50"/>
  <c r="N162" i="50"/>
  <c r="F162" i="50"/>
  <c r="AK161" i="50"/>
  <c r="AC161" i="50"/>
  <c r="U161" i="50"/>
  <c r="M161" i="50"/>
  <c r="E161" i="50"/>
  <c r="AJ160" i="50"/>
  <c r="AB160" i="50"/>
  <c r="T160" i="50"/>
  <c r="L160" i="50"/>
  <c r="D160" i="50"/>
  <c r="AI159" i="50"/>
  <c r="AA159" i="50"/>
  <c r="S159" i="50"/>
  <c r="K159" i="50"/>
  <c r="AH158" i="50"/>
  <c r="Z158" i="50"/>
  <c r="R158" i="50"/>
  <c r="J158" i="50"/>
  <c r="AO157" i="50"/>
  <c r="AG157" i="50"/>
  <c r="Y157" i="50"/>
  <c r="Q157" i="50"/>
  <c r="I157" i="50"/>
  <c r="AN241" i="50"/>
  <c r="M204" i="84" s="1"/>
  <c r="AF241" i="50"/>
  <c r="X241" i="50"/>
  <c r="P241" i="50"/>
  <c r="H241" i="50"/>
  <c r="AM240" i="50"/>
  <c r="AE240" i="50"/>
  <c r="W240" i="50"/>
  <c r="O240" i="50"/>
  <c r="G240" i="50"/>
  <c r="AL156" i="50"/>
  <c r="AD156" i="50"/>
  <c r="V156" i="50"/>
  <c r="N156" i="50"/>
  <c r="F156" i="50"/>
  <c r="AK243" i="50"/>
  <c r="AC243" i="50"/>
  <c r="U243" i="50"/>
  <c r="M243" i="50"/>
  <c r="E243" i="50"/>
  <c r="AJ242" i="50"/>
  <c r="AB242" i="50"/>
  <c r="T242" i="50"/>
  <c r="L242" i="50"/>
  <c r="D242" i="50"/>
  <c r="AI155" i="50"/>
  <c r="AA155" i="50"/>
  <c r="S155" i="50"/>
  <c r="K155" i="50"/>
  <c r="AH154" i="50"/>
  <c r="Z154" i="50"/>
  <c r="R154" i="50"/>
  <c r="J154" i="50"/>
  <c r="AO153" i="50"/>
  <c r="AG153" i="50"/>
  <c r="Y153" i="50"/>
  <c r="Q153" i="50"/>
  <c r="I153" i="50"/>
  <c r="AN244" i="50"/>
  <c r="M177" i="84" s="1"/>
  <c r="AF244" i="50"/>
  <c r="X244" i="50"/>
  <c r="P244" i="50"/>
  <c r="H244" i="50"/>
  <c r="AM152" i="50"/>
  <c r="AE152" i="50"/>
  <c r="W152" i="50"/>
  <c r="O152" i="50"/>
  <c r="G152" i="50"/>
  <c r="AL151" i="50"/>
  <c r="AD151" i="50"/>
  <c r="V151" i="50"/>
  <c r="N151" i="50"/>
  <c r="F151" i="50"/>
  <c r="AK150" i="50"/>
  <c r="AC150" i="50"/>
  <c r="U150" i="50"/>
  <c r="M150" i="50"/>
  <c r="E150" i="50"/>
  <c r="AJ149" i="50"/>
  <c r="AB149" i="50"/>
  <c r="T149" i="50"/>
  <c r="L149" i="50"/>
  <c r="D149" i="50"/>
  <c r="W189" i="50"/>
  <c r="D235" i="50"/>
  <c r="R183" i="50"/>
  <c r="AW183" i="50" s="1"/>
  <c r="J182" i="50"/>
  <c r="AC180" i="50"/>
  <c r="X177" i="50"/>
  <c r="AN173" i="50"/>
  <c r="M226" i="84" s="1"/>
  <c r="AE172" i="50"/>
  <c r="V171" i="50"/>
  <c r="AY171" i="50" s="1"/>
  <c r="M170" i="50"/>
  <c r="G169" i="50"/>
  <c r="K168" i="50"/>
  <c r="R167" i="50"/>
  <c r="AW167" i="50" s="1"/>
  <c r="S166" i="50"/>
  <c r="AF239" i="50"/>
  <c r="J239" i="50"/>
  <c r="W238" i="50"/>
  <c r="D238" i="50"/>
  <c r="AD165" i="50"/>
  <c r="O165" i="50"/>
  <c r="AO164" i="50"/>
  <c r="AA164" i="50"/>
  <c r="P164" i="50"/>
  <c r="AV164" i="50" s="1"/>
  <c r="AM163" i="50"/>
  <c r="AD163" i="50"/>
  <c r="V163" i="50"/>
  <c r="N163" i="50"/>
  <c r="F163" i="50"/>
  <c r="AK162" i="50"/>
  <c r="AC162" i="50"/>
  <c r="U162" i="50"/>
  <c r="M162" i="50"/>
  <c r="E162" i="50"/>
  <c r="AJ161" i="50"/>
  <c r="AB161" i="50"/>
  <c r="T161" i="50"/>
  <c r="L161" i="50"/>
  <c r="D161" i="50"/>
  <c r="AI160" i="50"/>
  <c r="AA160" i="50"/>
  <c r="S160" i="50"/>
  <c r="K160" i="50"/>
  <c r="AH159" i="50"/>
  <c r="Z159" i="50"/>
  <c r="R159" i="50"/>
  <c r="J159" i="50"/>
  <c r="AO158" i="50"/>
  <c r="AG158" i="50"/>
  <c r="Y158" i="50"/>
  <c r="Q158" i="50"/>
  <c r="I158" i="50"/>
  <c r="AN157" i="50"/>
  <c r="M191" i="84" s="1"/>
  <c r="AF157" i="50"/>
  <c r="X157" i="50"/>
  <c r="P157" i="50"/>
  <c r="H157" i="50"/>
  <c r="AM241" i="50"/>
  <c r="AE241" i="50"/>
  <c r="W241" i="50"/>
  <c r="O241" i="50"/>
  <c r="G241" i="50"/>
  <c r="AL240" i="50"/>
  <c r="AD240" i="50"/>
  <c r="V240" i="50"/>
  <c r="N240" i="50"/>
  <c r="F240" i="50"/>
  <c r="AK156" i="50"/>
  <c r="AC156" i="50"/>
  <c r="U156" i="50"/>
  <c r="M156" i="50"/>
  <c r="E156" i="50"/>
  <c r="AJ243" i="50"/>
  <c r="AB243" i="50"/>
  <c r="T243" i="50"/>
  <c r="L243" i="50"/>
  <c r="D243" i="50"/>
  <c r="AI242" i="50"/>
  <c r="AA242" i="50"/>
  <c r="S242" i="50"/>
  <c r="K242" i="50"/>
  <c r="AH155" i="50"/>
  <c r="Z155" i="50"/>
  <c r="R155" i="50"/>
  <c r="J155" i="50"/>
  <c r="AO154" i="50"/>
  <c r="AG154" i="50"/>
  <c r="Y154" i="50"/>
  <c r="Q154" i="50"/>
  <c r="I154" i="50"/>
  <c r="AN153" i="50"/>
  <c r="M164" i="84" s="1"/>
  <c r="AF153" i="50"/>
  <c r="X153" i="50"/>
  <c r="P153" i="50"/>
  <c r="H153" i="50"/>
  <c r="AM244" i="50"/>
  <c r="AE244" i="50"/>
  <c r="W244" i="50"/>
  <c r="O244" i="50"/>
  <c r="G244" i="50"/>
  <c r="AL152" i="50"/>
  <c r="AD152" i="50"/>
  <c r="V152" i="50"/>
  <c r="N152" i="50"/>
  <c r="F152" i="50"/>
  <c r="AK151" i="50"/>
  <c r="AC151" i="50"/>
  <c r="U151" i="50"/>
  <c r="M151" i="50"/>
  <c r="E151" i="50"/>
  <c r="AJ150" i="50"/>
  <c r="AB150" i="50"/>
  <c r="T150" i="50"/>
  <c r="L150" i="50"/>
  <c r="D150" i="50"/>
  <c r="AI149" i="50"/>
  <c r="AA149" i="50"/>
  <c r="S149" i="50"/>
  <c r="K149" i="50"/>
  <c r="AH148" i="50"/>
  <c r="Z148" i="50"/>
  <c r="R148" i="50"/>
  <c r="J148" i="50"/>
  <c r="F237" i="50"/>
  <c r="AI176" i="50"/>
  <c r="AM167" i="50"/>
  <c r="L238" i="50"/>
  <c r="AT238" i="50" s="1"/>
  <c r="H165" i="50"/>
  <c r="I164" i="50"/>
  <c r="Z163" i="50"/>
  <c r="Q162" i="50"/>
  <c r="AN161" i="50"/>
  <c r="M202" i="84" s="1"/>
  <c r="H161" i="50"/>
  <c r="AE160" i="50"/>
  <c r="V159" i="50"/>
  <c r="M158" i="50"/>
  <c r="AJ157" i="50"/>
  <c r="BF157" i="50" s="1"/>
  <c r="D157" i="50"/>
  <c r="AA241" i="50"/>
  <c r="R240" i="50"/>
  <c r="AO156" i="50"/>
  <c r="I156" i="50"/>
  <c r="AF243" i="50"/>
  <c r="W242" i="50"/>
  <c r="N155" i="50"/>
  <c r="AK154" i="50"/>
  <c r="E154" i="50"/>
  <c r="AB153" i="50"/>
  <c r="AI244" i="50"/>
  <c r="N244" i="50"/>
  <c r="Z152" i="50"/>
  <c r="E152" i="50"/>
  <c r="AN151" i="50"/>
  <c r="M180" i="84" s="1"/>
  <c r="Q151" i="50"/>
  <c r="AE150" i="50"/>
  <c r="H150" i="50"/>
  <c r="V149" i="50"/>
  <c r="AD148" i="50"/>
  <c r="Q148" i="50"/>
  <c r="E148" i="50"/>
  <c r="AH147" i="50"/>
  <c r="K171" i="50"/>
  <c r="M167" i="50"/>
  <c r="AA239" i="50"/>
  <c r="U163" i="50"/>
  <c r="L162" i="50"/>
  <c r="AI161" i="50"/>
  <c r="Z160" i="50"/>
  <c r="Q159" i="50"/>
  <c r="AN158" i="50"/>
  <c r="M195" i="84" s="1"/>
  <c r="H158" i="50"/>
  <c r="AE157" i="50"/>
  <c r="V241" i="50"/>
  <c r="M240" i="50"/>
  <c r="AJ156" i="50"/>
  <c r="D156" i="50"/>
  <c r="AP156" i="50" s="1"/>
  <c r="AA243" i="50"/>
  <c r="R242" i="50"/>
  <c r="AO155" i="50"/>
  <c r="I155" i="50"/>
  <c r="AF154" i="50"/>
  <c r="W153" i="50"/>
  <c r="AH244" i="50"/>
  <c r="K244" i="50"/>
  <c r="Y152" i="50"/>
  <c r="AJ151" i="50"/>
  <c r="BF151" i="50" s="1"/>
  <c r="P151" i="50"/>
  <c r="AA150" i="50"/>
  <c r="G150" i="50"/>
  <c r="AM149" i="50"/>
  <c r="R149" i="50"/>
  <c r="AO148" i="50"/>
  <c r="AC148" i="50"/>
  <c r="O148" i="50"/>
  <c r="AO147" i="50"/>
  <c r="AG147" i="50"/>
  <c r="Y147" i="50"/>
  <c r="Q147" i="50"/>
  <c r="I147" i="50"/>
  <c r="AN146" i="50"/>
  <c r="M185" i="84" s="1"/>
  <c r="AF146" i="50"/>
  <c r="X146" i="50"/>
  <c r="P146" i="50"/>
  <c r="H146" i="50"/>
  <c r="AM145" i="50"/>
  <c r="AE145" i="50"/>
  <c r="W145" i="50"/>
  <c r="O145" i="50"/>
  <c r="G145" i="50"/>
  <c r="AL144" i="50"/>
  <c r="AD144" i="50"/>
  <c r="V144" i="50"/>
  <c r="N144" i="50"/>
  <c r="F144" i="50"/>
  <c r="AK143" i="50"/>
  <c r="AC143" i="50"/>
  <c r="U143" i="50"/>
  <c r="M143" i="50"/>
  <c r="E143" i="50"/>
  <c r="AJ142" i="50"/>
  <c r="AB142" i="50"/>
  <c r="T142" i="50"/>
  <c r="L142" i="50"/>
  <c r="D142" i="50"/>
  <c r="AI141" i="50"/>
  <c r="AA141" i="50"/>
  <c r="S141" i="50"/>
  <c r="K141" i="50"/>
  <c r="AH140" i="50"/>
  <c r="Z140" i="50"/>
  <c r="R140" i="50"/>
  <c r="J140" i="50"/>
  <c r="AO139" i="50"/>
  <c r="AG139" i="50"/>
  <c r="Y139" i="50"/>
  <c r="Q139" i="50"/>
  <c r="I139" i="50"/>
  <c r="AN138" i="50"/>
  <c r="M156" i="84" s="1"/>
  <c r="AF138" i="50"/>
  <c r="X138" i="50"/>
  <c r="P138" i="50"/>
  <c r="H138" i="50"/>
  <c r="AM137" i="50"/>
  <c r="AE137" i="50"/>
  <c r="W137" i="50"/>
  <c r="O137" i="50"/>
  <c r="G137" i="50"/>
  <c r="AL248" i="50"/>
  <c r="AD248" i="50"/>
  <c r="V248" i="50"/>
  <c r="N248" i="50"/>
  <c r="F248" i="50"/>
  <c r="AK247" i="50"/>
  <c r="AC247" i="50"/>
  <c r="U247" i="50"/>
  <c r="M247" i="50"/>
  <c r="E247" i="50"/>
  <c r="P188" i="50"/>
  <c r="AV188" i="50" s="1"/>
  <c r="N180" i="50"/>
  <c r="AL174" i="50"/>
  <c r="AO166" i="50"/>
  <c r="E239" i="50"/>
  <c r="AO165" i="50"/>
  <c r="AN164" i="50"/>
  <c r="M197" i="84" s="1"/>
  <c r="M163" i="50"/>
  <c r="AJ162" i="50"/>
  <c r="D162" i="50"/>
  <c r="AA161" i="50"/>
  <c r="R160" i="50"/>
  <c r="AO159" i="50"/>
  <c r="I159" i="50"/>
  <c r="AF158" i="50"/>
  <c r="W157" i="50"/>
  <c r="N241" i="50"/>
  <c r="AK240" i="50"/>
  <c r="E240" i="50"/>
  <c r="AB156" i="50"/>
  <c r="BB156" i="50" s="1"/>
  <c r="S243" i="50"/>
  <c r="J242" i="50"/>
  <c r="AG155" i="50"/>
  <c r="X154" i="50"/>
  <c r="O153" i="50"/>
  <c r="AA244" i="50"/>
  <c r="F244" i="50"/>
  <c r="AQ244" i="50" s="1"/>
  <c r="AO152" i="50"/>
  <c r="R152" i="50"/>
  <c r="AF151" i="50"/>
  <c r="I151" i="50"/>
  <c r="W150" i="50"/>
  <c r="AH149" i="50"/>
  <c r="N149" i="50"/>
  <c r="AL148" i="50"/>
  <c r="Y148" i="50"/>
  <c r="M148" i="50"/>
  <c r="AM147" i="50"/>
  <c r="AE147" i="50"/>
  <c r="W147" i="50"/>
  <c r="O147" i="50"/>
  <c r="G147" i="50"/>
  <c r="AL146" i="50"/>
  <c r="AD146" i="50"/>
  <c r="V146" i="50"/>
  <c r="N146" i="50"/>
  <c r="F146" i="50"/>
  <c r="AK145" i="50"/>
  <c r="AC145" i="50"/>
  <c r="U145" i="50"/>
  <c r="M145" i="50"/>
  <c r="E145" i="50"/>
  <c r="AJ144" i="50"/>
  <c r="AB144" i="50"/>
  <c r="T144" i="50"/>
  <c r="L144" i="50"/>
  <c r="D144" i="50"/>
  <c r="AI143" i="50"/>
  <c r="AA143" i="50"/>
  <c r="S143" i="50"/>
  <c r="K143" i="50"/>
  <c r="AH142" i="50"/>
  <c r="Z142" i="50"/>
  <c r="R142" i="50"/>
  <c r="J142" i="50"/>
  <c r="AO141" i="50"/>
  <c r="AG141" i="50"/>
  <c r="Y141" i="50"/>
  <c r="Q141" i="50"/>
  <c r="I141" i="50"/>
  <c r="AN140" i="50"/>
  <c r="M169" i="84" s="1"/>
  <c r="AF140" i="50"/>
  <c r="X140" i="50"/>
  <c r="P140" i="50"/>
  <c r="H140" i="50"/>
  <c r="AM139" i="50"/>
  <c r="AE139" i="50"/>
  <c r="W139" i="50"/>
  <c r="O139" i="50"/>
  <c r="G139" i="50"/>
  <c r="AL138" i="50"/>
  <c r="AD138" i="50"/>
  <c r="V138" i="50"/>
  <c r="N138" i="50"/>
  <c r="F138" i="50"/>
  <c r="AK137" i="50"/>
  <c r="AC137" i="50"/>
  <c r="U137" i="50"/>
  <c r="M137" i="50"/>
  <c r="E137" i="50"/>
  <c r="AJ248" i="50"/>
  <c r="AB248" i="50"/>
  <c r="T248" i="50"/>
  <c r="L248" i="50"/>
  <c r="D248" i="50"/>
  <c r="AI247" i="50"/>
  <c r="AA247" i="50"/>
  <c r="S247" i="50"/>
  <c r="K247" i="50"/>
  <c r="AH246" i="50"/>
  <c r="Z246" i="50"/>
  <c r="R246" i="50"/>
  <c r="J246" i="50"/>
  <c r="AO245" i="50"/>
  <c r="AG245" i="50"/>
  <c r="Y245" i="50"/>
  <c r="Q245" i="50"/>
  <c r="I245" i="50"/>
  <c r="AN136" i="50"/>
  <c r="M86" i="84" s="1"/>
  <c r="AF136" i="50"/>
  <c r="X136" i="50"/>
  <c r="P136" i="50"/>
  <c r="H136" i="50"/>
  <c r="AM135" i="50"/>
  <c r="AE135" i="50"/>
  <c r="W135" i="50"/>
  <c r="O135" i="50"/>
  <c r="G135" i="50"/>
  <c r="Q174" i="50"/>
  <c r="AJ169" i="50"/>
  <c r="AC166" i="50"/>
  <c r="AI165" i="50"/>
  <c r="AH164" i="50"/>
  <c r="J163" i="50"/>
  <c r="AG162" i="50"/>
  <c r="X161" i="50"/>
  <c r="AZ161" i="50" s="1"/>
  <c r="O160" i="50"/>
  <c r="AL159" i="50"/>
  <c r="F159" i="50"/>
  <c r="AC158" i="50"/>
  <c r="T157" i="50"/>
  <c r="K241" i="50"/>
  <c r="AH240" i="50"/>
  <c r="Y156" i="50"/>
  <c r="P243" i="50"/>
  <c r="AM242" i="50"/>
  <c r="G242" i="50"/>
  <c r="AD155" i="50"/>
  <c r="U154" i="50"/>
  <c r="L153" i="50"/>
  <c r="Z244" i="50"/>
  <c r="AK152" i="50"/>
  <c r="Q152" i="50"/>
  <c r="AB151" i="50"/>
  <c r="H151" i="50"/>
  <c r="AN150" i="50"/>
  <c r="M182" i="84" s="1"/>
  <c r="S150" i="50"/>
  <c r="AE149" i="50"/>
  <c r="J149" i="50"/>
  <c r="AK148" i="50"/>
  <c r="W148" i="50"/>
  <c r="K148" i="50"/>
  <c r="AL147" i="50"/>
  <c r="AD147" i="50"/>
  <c r="V147" i="50"/>
  <c r="N147" i="50"/>
  <c r="F147" i="50"/>
  <c r="AK146" i="50"/>
  <c r="AC146" i="50"/>
  <c r="U146" i="50"/>
  <c r="M146" i="50"/>
  <c r="E146" i="50"/>
  <c r="AJ145" i="50"/>
  <c r="AB145" i="50"/>
  <c r="T145" i="50"/>
  <c r="L145" i="50"/>
  <c r="D145" i="50"/>
  <c r="AI144" i="50"/>
  <c r="AA144" i="50"/>
  <c r="S144" i="50"/>
  <c r="K144" i="50"/>
  <c r="AH143" i="50"/>
  <c r="Z143" i="50"/>
  <c r="R143" i="50"/>
  <c r="J143" i="50"/>
  <c r="AO142" i="50"/>
  <c r="AG142" i="50"/>
  <c r="Y142" i="50"/>
  <c r="Q142" i="50"/>
  <c r="I142" i="50"/>
  <c r="AN141" i="50"/>
  <c r="M155" i="84" s="1"/>
  <c r="AF141" i="50"/>
  <c r="X141" i="50"/>
  <c r="P141" i="50"/>
  <c r="H141" i="50"/>
  <c r="AM140" i="50"/>
  <c r="AE140" i="50"/>
  <c r="W140" i="50"/>
  <c r="O140" i="50"/>
  <c r="G140" i="50"/>
  <c r="AL139" i="50"/>
  <c r="AD139" i="50"/>
  <c r="V139" i="50"/>
  <c r="N139" i="50"/>
  <c r="F139" i="50"/>
  <c r="AK138" i="50"/>
  <c r="AC138" i="50"/>
  <c r="U138" i="50"/>
  <c r="M138" i="50"/>
  <c r="E138" i="50"/>
  <c r="AJ137" i="50"/>
  <c r="AB137" i="50"/>
  <c r="T137" i="50"/>
  <c r="L137" i="50"/>
  <c r="D137" i="50"/>
  <c r="AI248" i="50"/>
  <c r="AA248" i="50"/>
  <c r="S248" i="50"/>
  <c r="K248" i="50"/>
  <c r="AH247" i="50"/>
  <c r="Z247" i="50"/>
  <c r="R247" i="50"/>
  <c r="J247" i="50"/>
  <c r="AO246" i="50"/>
  <c r="AG246" i="50"/>
  <c r="Y246" i="50"/>
  <c r="Q246" i="50"/>
  <c r="I246" i="50"/>
  <c r="AN245" i="50"/>
  <c r="M160" i="84" s="1"/>
  <c r="AF245" i="50"/>
  <c r="X245" i="50"/>
  <c r="P245" i="50"/>
  <c r="H245" i="50"/>
  <c r="AM136" i="50"/>
  <c r="AE136" i="50"/>
  <c r="W136" i="50"/>
  <c r="O136" i="50"/>
  <c r="G136" i="50"/>
  <c r="AL135" i="50"/>
  <c r="AD135" i="50"/>
  <c r="V135" i="50"/>
  <c r="AH184" i="50"/>
  <c r="K178" i="50"/>
  <c r="H173" i="50"/>
  <c r="AJ168" i="50"/>
  <c r="I166" i="50"/>
  <c r="AG238" i="50"/>
  <c r="W165" i="50"/>
  <c r="V164" i="50"/>
  <c r="AI163" i="50"/>
  <c r="Y162" i="50"/>
  <c r="P161" i="50"/>
  <c r="AM160" i="50"/>
  <c r="G160" i="50"/>
  <c r="AD159" i="50"/>
  <c r="BC159" i="50" s="1"/>
  <c r="U158" i="50"/>
  <c r="L157" i="50"/>
  <c r="AI241" i="50"/>
  <c r="Z240" i="50"/>
  <c r="BA240" i="50" s="1"/>
  <c r="Q156" i="50"/>
  <c r="AN243" i="50"/>
  <c r="M188" i="84" s="1"/>
  <c r="H243" i="50"/>
  <c r="AE242" i="50"/>
  <c r="V155" i="50"/>
  <c r="AY155" i="50" s="1"/>
  <c r="M154" i="50"/>
  <c r="AJ153" i="50"/>
  <c r="G153" i="50"/>
  <c r="S244" i="50"/>
  <c r="AG152" i="50"/>
  <c r="J152" i="50"/>
  <c r="X151" i="50"/>
  <c r="AI150" i="50"/>
  <c r="O150" i="50"/>
  <c r="Z149" i="50"/>
  <c r="F149" i="50"/>
  <c r="AG148" i="50"/>
  <c r="U148" i="50"/>
  <c r="G148" i="50"/>
  <c r="AJ147" i="50"/>
  <c r="AB147" i="50"/>
  <c r="T147" i="50"/>
  <c r="L147" i="50"/>
  <c r="D147" i="50"/>
  <c r="AI146" i="50"/>
  <c r="AA146" i="50"/>
  <c r="S146" i="50"/>
  <c r="K146" i="50"/>
  <c r="AH145" i="50"/>
  <c r="Z145" i="50"/>
  <c r="R145" i="50"/>
  <c r="J145" i="50"/>
  <c r="AO144" i="50"/>
  <c r="AG144" i="50"/>
  <c r="Y144" i="50"/>
  <c r="Q144" i="50"/>
  <c r="I144" i="50"/>
  <c r="AN143" i="50"/>
  <c r="M167" i="84" s="1"/>
  <c r="AF143" i="50"/>
  <c r="X143" i="50"/>
  <c r="P143" i="50"/>
  <c r="H143" i="50"/>
  <c r="AM142" i="50"/>
  <c r="AE142" i="50"/>
  <c r="W142" i="50"/>
  <c r="O142" i="50"/>
  <c r="G142" i="50"/>
  <c r="AL141" i="50"/>
  <c r="AD141" i="50"/>
  <c r="V141" i="50"/>
  <c r="N141" i="50"/>
  <c r="F141" i="50"/>
  <c r="AK140" i="50"/>
  <c r="AC140" i="50"/>
  <c r="U140" i="50"/>
  <c r="M140" i="50"/>
  <c r="E140" i="50"/>
  <c r="AJ139" i="50"/>
  <c r="AB139" i="50"/>
  <c r="T139" i="50"/>
  <c r="L139" i="50"/>
  <c r="D139" i="50"/>
  <c r="AI138" i="50"/>
  <c r="AA138" i="50"/>
  <c r="S138" i="50"/>
  <c r="K138" i="50"/>
  <c r="AH137" i="50"/>
  <c r="Z137" i="50"/>
  <c r="R137" i="50"/>
  <c r="J137" i="50"/>
  <c r="AO248" i="50"/>
  <c r="AG248" i="50"/>
  <c r="Y248" i="50"/>
  <c r="Q248" i="50"/>
  <c r="I248" i="50"/>
  <c r="AN247" i="50"/>
  <c r="M245" i="84" s="1"/>
  <c r="AF247" i="50"/>
  <c r="X247" i="50"/>
  <c r="P247" i="50"/>
  <c r="H247" i="50"/>
  <c r="AM246" i="50"/>
  <c r="AE246" i="50"/>
  <c r="AK232" i="50"/>
  <c r="T172" i="50"/>
  <c r="AN238" i="50"/>
  <c r="M205" i="84" s="1"/>
  <c r="T162" i="50"/>
  <c r="AX162" i="50" s="1"/>
  <c r="N159" i="50"/>
  <c r="AM157" i="50"/>
  <c r="F241" i="50"/>
  <c r="AG156" i="50"/>
  <c r="Y155" i="50"/>
  <c r="AL244" i="50"/>
  <c r="AH152" i="50"/>
  <c r="AG151" i="50"/>
  <c r="AF150" i="50"/>
  <c r="AD149" i="50"/>
  <c r="AM148" i="50"/>
  <c r="F148" i="50"/>
  <c r="AK147" i="50"/>
  <c r="S147" i="50"/>
  <c r="Z146" i="50"/>
  <c r="J146" i="50"/>
  <c r="AG145" i="50"/>
  <c r="Q145" i="50"/>
  <c r="AN144" i="50"/>
  <c r="M178" i="84" s="1"/>
  <c r="X144" i="50"/>
  <c r="H144" i="50"/>
  <c r="AE143" i="50"/>
  <c r="O143" i="50"/>
  <c r="AL142" i="50"/>
  <c r="V142" i="50"/>
  <c r="F142" i="50"/>
  <c r="AC141" i="50"/>
  <c r="M141" i="50"/>
  <c r="AJ140" i="50"/>
  <c r="T140" i="50"/>
  <c r="D140" i="50"/>
  <c r="AA139" i="50"/>
  <c r="K139" i="50"/>
  <c r="AH138" i="50"/>
  <c r="R138" i="50"/>
  <c r="AW138" i="50" s="1"/>
  <c r="AO137" i="50"/>
  <c r="Y137" i="50"/>
  <c r="I137" i="50"/>
  <c r="AF248" i="50"/>
  <c r="P248" i="50"/>
  <c r="AM247" i="50"/>
  <c r="W247" i="50"/>
  <c r="G247" i="50"/>
  <c r="AF246" i="50"/>
  <c r="U246" i="50"/>
  <c r="K246" i="50"/>
  <c r="AH245" i="50"/>
  <c r="V245" i="50"/>
  <c r="L245" i="50"/>
  <c r="AI136" i="50"/>
  <c r="Y136" i="50"/>
  <c r="M136" i="50"/>
  <c r="AJ135" i="50"/>
  <c r="Z135" i="50"/>
  <c r="P135" i="50"/>
  <c r="F135" i="50"/>
  <c r="AI134" i="50"/>
  <c r="AA134" i="50"/>
  <c r="S134" i="50"/>
  <c r="K134" i="50"/>
  <c r="AH133" i="50"/>
  <c r="Z133" i="50"/>
  <c r="R133" i="50"/>
  <c r="J133" i="50"/>
  <c r="AO132" i="50"/>
  <c r="AG132" i="50"/>
  <c r="Y132" i="50"/>
  <c r="Q132" i="50"/>
  <c r="I132" i="50"/>
  <c r="AN131" i="50"/>
  <c r="M166" i="84" s="1"/>
  <c r="AF131" i="50"/>
  <c r="X131" i="50"/>
  <c r="P131" i="50"/>
  <c r="H131" i="50"/>
  <c r="AM130" i="50"/>
  <c r="AE130" i="50"/>
  <c r="W130" i="50"/>
  <c r="O130" i="50"/>
  <c r="G130" i="50"/>
  <c r="AL129" i="50"/>
  <c r="AD129" i="50"/>
  <c r="V129" i="50"/>
  <c r="N129" i="50"/>
  <c r="F129" i="50"/>
  <c r="AK128" i="50"/>
  <c r="AC128" i="50"/>
  <c r="U128" i="50"/>
  <c r="M128" i="50"/>
  <c r="E128" i="50"/>
  <c r="AJ127" i="50"/>
  <c r="AB127" i="50"/>
  <c r="T127" i="50"/>
  <c r="L127" i="50"/>
  <c r="D127" i="50"/>
  <c r="AI126" i="50"/>
  <c r="AA126" i="50"/>
  <c r="S126" i="50"/>
  <c r="K126" i="50"/>
  <c r="AH125" i="50"/>
  <c r="Z125" i="50"/>
  <c r="R125" i="50"/>
  <c r="J125" i="50"/>
  <c r="AO124" i="50"/>
  <c r="AG124" i="50"/>
  <c r="Y124" i="50"/>
  <c r="Q124" i="50"/>
  <c r="I124" i="50"/>
  <c r="AN266" i="50"/>
  <c r="M146" i="84" s="1"/>
  <c r="AF266" i="50"/>
  <c r="X266" i="50"/>
  <c r="P266" i="50"/>
  <c r="H266" i="50"/>
  <c r="AM265" i="50"/>
  <c r="AE265" i="50"/>
  <c r="W265" i="50"/>
  <c r="O265" i="50"/>
  <c r="G265" i="50"/>
  <c r="AL264" i="50"/>
  <c r="AD264" i="50"/>
  <c r="V264" i="50"/>
  <c r="N264" i="50"/>
  <c r="F264" i="50"/>
  <c r="AK123" i="50"/>
  <c r="AC123" i="50"/>
  <c r="U123" i="50"/>
  <c r="M123" i="50"/>
  <c r="E123" i="50"/>
  <c r="AJ122" i="50"/>
  <c r="AB122" i="50"/>
  <c r="T122" i="50"/>
  <c r="L122" i="50"/>
  <c r="D122" i="50"/>
  <c r="AI121" i="50"/>
  <c r="AA121" i="50"/>
  <c r="S121" i="50"/>
  <c r="K121" i="50"/>
  <c r="AH120" i="50"/>
  <c r="Z120" i="50"/>
  <c r="R120" i="50"/>
  <c r="J120" i="50"/>
  <c r="AO119" i="50"/>
  <c r="AG119" i="50"/>
  <c r="Y119" i="50"/>
  <c r="Q119" i="50"/>
  <c r="I119" i="50"/>
  <c r="AN118" i="50"/>
  <c r="M137" i="84" s="1"/>
  <c r="AF118" i="50"/>
  <c r="X118" i="50"/>
  <c r="P118" i="50"/>
  <c r="H118" i="50"/>
  <c r="AM271" i="50"/>
  <c r="AE271" i="50"/>
  <c r="W271" i="50"/>
  <c r="O271" i="50"/>
  <c r="G271" i="50"/>
  <c r="AL117" i="50"/>
  <c r="AD117" i="50"/>
  <c r="V117" i="50"/>
  <c r="N117" i="50"/>
  <c r="F117" i="50"/>
  <c r="AK270" i="50"/>
  <c r="AC270" i="50"/>
  <c r="U270" i="50"/>
  <c r="M270" i="50"/>
  <c r="E270" i="50"/>
  <c r="AJ269" i="50"/>
  <c r="AB269" i="50"/>
  <c r="T269" i="50"/>
  <c r="L269" i="50"/>
  <c r="D269" i="50"/>
  <c r="AI268" i="50"/>
  <c r="AA268" i="50"/>
  <c r="S268" i="50"/>
  <c r="K268" i="50"/>
  <c r="AH267" i="50"/>
  <c r="Z267" i="50"/>
  <c r="R267" i="50"/>
  <c r="J267" i="50"/>
  <c r="AO116" i="50"/>
  <c r="AG116" i="50"/>
  <c r="Y116" i="50"/>
  <c r="Q116" i="50"/>
  <c r="I116" i="50"/>
  <c r="AN115" i="50"/>
  <c r="M129" i="84" s="1"/>
  <c r="AF115" i="50"/>
  <c r="X115" i="50"/>
  <c r="P115" i="50"/>
  <c r="AG185" i="50"/>
  <c r="R238" i="50"/>
  <c r="AL163" i="50"/>
  <c r="I162" i="50"/>
  <c r="AH160" i="50"/>
  <c r="BE160" i="50" s="1"/>
  <c r="AB157" i="50"/>
  <c r="T156" i="50"/>
  <c r="Q155" i="50"/>
  <c r="AM153" i="50"/>
  <c r="AD244" i="50"/>
  <c r="AC152" i="50"/>
  <c r="Y151" i="50"/>
  <c r="X150" i="50"/>
  <c r="W149" i="50"/>
  <c r="AI148" i="50"/>
  <c r="AI147" i="50"/>
  <c r="R147" i="50"/>
  <c r="AO146" i="50"/>
  <c r="Y146" i="50"/>
  <c r="I146" i="50"/>
  <c r="AF145" i="50"/>
  <c r="P145" i="50"/>
  <c r="AM144" i="50"/>
  <c r="W144" i="50"/>
  <c r="G144" i="50"/>
  <c r="AD143" i="50"/>
  <c r="N143" i="50"/>
  <c r="AK142" i="50"/>
  <c r="U142" i="50"/>
  <c r="E142" i="50"/>
  <c r="AB141" i="50"/>
  <c r="L141" i="50"/>
  <c r="AI140" i="50"/>
  <c r="S140" i="50"/>
  <c r="Z139" i="50"/>
  <c r="J139" i="50"/>
  <c r="AG138" i="50"/>
  <c r="Q138" i="50"/>
  <c r="AN137" i="50"/>
  <c r="M157" i="84" s="1"/>
  <c r="X137" i="50"/>
  <c r="H137" i="50"/>
  <c r="AE248" i="50"/>
  <c r="O248" i="50"/>
  <c r="AL247" i="50"/>
  <c r="V247" i="50"/>
  <c r="F247" i="50"/>
  <c r="AD246" i="50"/>
  <c r="T246" i="50"/>
  <c r="H246" i="50"/>
  <c r="AE245" i="50"/>
  <c r="U245" i="50"/>
  <c r="K245" i="50"/>
  <c r="AH136" i="50"/>
  <c r="V136" i="50"/>
  <c r="L136" i="50"/>
  <c r="AI135" i="50"/>
  <c r="Y135" i="50"/>
  <c r="N135" i="50"/>
  <c r="E135" i="50"/>
  <c r="AH134" i="50"/>
  <c r="Z134" i="50"/>
  <c r="R134" i="50"/>
  <c r="J134" i="50"/>
  <c r="AO133" i="50"/>
  <c r="AG133" i="50"/>
  <c r="Y133" i="50"/>
  <c r="Q133" i="50"/>
  <c r="I133" i="50"/>
  <c r="AN132" i="50"/>
  <c r="M162" i="84" s="1"/>
  <c r="AF132" i="50"/>
  <c r="X132" i="50"/>
  <c r="P132" i="50"/>
  <c r="H132" i="50"/>
  <c r="AM131" i="50"/>
  <c r="AE131" i="50"/>
  <c r="W131" i="50"/>
  <c r="O131" i="50"/>
  <c r="G131" i="50"/>
  <c r="AL130" i="50"/>
  <c r="AD130" i="50"/>
  <c r="V130" i="50"/>
  <c r="N130" i="50"/>
  <c r="F130" i="50"/>
  <c r="AK129" i="50"/>
  <c r="AC129" i="50"/>
  <c r="U129" i="50"/>
  <c r="M129" i="50"/>
  <c r="E129" i="50"/>
  <c r="AJ128" i="50"/>
  <c r="AB128" i="50"/>
  <c r="T128" i="50"/>
  <c r="L128" i="50"/>
  <c r="D128" i="50"/>
  <c r="AI127" i="50"/>
  <c r="AA127" i="50"/>
  <c r="S127" i="50"/>
  <c r="K127" i="50"/>
  <c r="AH126" i="50"/>
  <c r="Z126" i="50"/>
  <c r="R126" i="50"/>
  <c r="J126" i="50"/>
  <c r="AO125" i="50"/>
  <c r="AG125" i="50"/>
  <c r="Y125" i="50"/>
  <c r="Q125" i="50"/>
  <c r="I125" i="50"/>
  <c r="AN124" i="50"/>
  <c r="M151" i="84" s="1"/>
  <c r="AF124" i="50"/>
  <c r="X124" i="50"/>
  <c r="P124" i="50"/>
  <c r="H124" i="50"/>
  <c r="AM266" i="50"/>
  <c r="AE266" i="50"/>
  <c r="W266" i="50"/>
  <c r="O266" i="50"/>
  <c r="G266" i="50"/>
  <c r="AL265" i="50"/>
  <c r="AD265" i="50"/>
  <c r="V265" i="50"/>
  <c r="N265" i="50"/>
  <c r="F265" i="50"/>
  <c r="AK264" i="50"/>
  <c r="AC264" i="50"/>
  <c r="U264" i="50"/>
  <c r="M264" i="50"/>
  <c r="E264" i="50"/>
  <c r="AJ123" i="50"/>
  <c r="AB123" i="50"/>
  <c r="T123" i="50"/>
  <c r="L123" i="50"/>
  <c r="D123" i="50"/>
  <c r="AI122" i="50"/>
  <c r="AA122" i="50"/>
  <c r="S122" i="50"/>
  <c r="K122" i="50"/>
  <c r="AH121" i="50"/>
  <c r="Z121" i="50"/>
  <c r="R121" i="50"/>
  <c r="J121" i="50"/>
  <c r="AO120" i="50"/>
  <c r="AG120" i="50"/>
  <c r="Y120" i="50"/>
  <c r="Q120" i="50"/>
  <c r="I120" i="50"/>
  <c r="AN119" i="50"/>
  <c r="M148" i="84" s="1"/>
  <c r="AF119" i="50"/>
  <c r="X119" i="50"/>
  <c r="P119" i="50"/>
  <c r="H119" i="50"/>
  <c r="AM118" i="50"/>
  <c r="AE118" i="50"/>
  <c r="W118" i="50"/>
  <c r="O118" i="50"/>
  <c r="G118" i="50"/>
  <c r="AL271" i="50"/>
  <c r="AD271" i="50"/>
  <c r="V271" i="50"/>
  <c r="N271" i="50"/>
  <c r="F271" i="50"/>
  <c r="AK117" i="50"/>
  <c r="AC117" i="50"/>
  <c r="U117" i="50"/>
  <c r="M117" i="50"/>
  <c r="E117" i="50"/>
  <c r="AJ270" i="50"/>
  <c r="AB270" i="50"/>
  <c r="T270" i="50"/>
  <c r="L270" i="50"/>
  <c r="D270" i="50"/>
  <c r="AI269" i="50"/>
  <c r="AA269" i="50"/>
  <c r="S269" i="50"/>
  <c r="K269" i="50"/>
  <c r="AH268" i="50"/>
  <c r="Z268" i="50"/>
  <c r="R268" i="50"/>
  <c r="J268" i="50"/>
  <c r="AO267" i="50"/>
  <c r="AG267" i="50"/>
  <c r="Y267" i="50"/>
  <c r="Q267" i="50"/>
  <c r="I267" i="50"/>
  <c r="AN116" i="50"/>
  <c r="M136" i="84" s="1"/>
  <c r="AF116" i="50"/>
  <c r="X116" i="50"/>
  <c r="P116" i="50"/>
  <c r="H116" i="50"/>
  <c r="AM115" i="50"/>
  <c r="AE115" i="50"/>
  <c r="W115" i="50"/>
  <c r="O115" i="50"/>
  <c r="G115" i="50"/>
  <c r="AL114" i="50"/>
  <c r="AD114" i="50"/>
  <c r="V114" i="50"/>
  <c r="N114" i="50"/>
  <c r="F114" i="50"/>
  <c r="AK113" i="50"/>
  <c r="AC113" i="50"/>
  <c r="U113" i="50"/>
  <c r="M113" i="50"/>
  <c r="E113" i="50"/>
  <c r="AJ112" i="50"/>
  <c r="AB112" i="50"/>
  <c r="T112" i="50"/>
  <c r="L112" i="50"/>
  <c r="D112" i="50"/>
  <c r="AI111" i="50"/>
  <c r="AA111" i="50"/>
  <c r="S111" i="50"/>
  <c r="K111" i="50"/>
  <c r="AH110" i="50"/>
  <c r="Z110" i="50"/>
  <c r="R110" i="50"/>
  <c r="J110" i="50"/>
  <c r="AO109" i="50"/>
  <c r="AG109" i="50"/>
  <c r="Y109" i="50"/>
  <c r="Q109" i="50"/>
  <c r="I109" i="50"/>
  <c r="AN108" i="50"/>
  <c r="M127" i="84" s="1"/>
  <c r="AF108" i="50"/>
  <c r="X108" i="50"/>
  <c r="P108" i="50"/>
  <c r="H108" i="50"/>
  <c r="AM107" i="50"/>
  <c r="AE107" i="50"/>
  <c r="W107" i="50"/>
  <c r="O107" i="50"/>
  <c r="G107" i="50"/>
  <c r="AL106" i="50"/>
  <c r="AD106" i="50"/>
  <c r="V106" i="50"/>
  <c r="N106" i="50"/>
  <c r="F106" i="50"/>
  <c r="AK105" i="50"/>
  <c r="P181" i="50"/>
  <c r="AA165" i="50"/>
  <c r="R163" i="50"/>
  <c r="J160" i="50"/>
  <c r="AS160" i="50" s="1"/>
  <c r="AK158" i="50"/>
  <c r="G157" i="50"/>
  <c r="AC240" i="50"/>
  <c r="Z242" i="50"/>
  <c r="BA242" i="50" s="1"/>
  <c r="T153" i="50"/>
  <c r="R244" i="50"/>
  <c r="M152" i="50"/>
  <c r="L151" i="50"/>
  <c r="K150" i="50"/>
  <c r="G149" i="50"/>
  <c r="AA148" i="50"/>
  <c r="AC147" i="50"/>
  <c r="M147" i="50"/>
  <c r="AJ146" i="50"/>
  <c r="T146" i="50"/>
  <c r="D146" i="50"/>
  <c r="AP146" i="50" s="1"/>
  <c r="AA145" i="50"/>
  <c r="K145" i="50"/>
  <c r="AH144" i="50"/>
  <c r="R144" i="50"/>
  <c r="AO143" i="50"/>
  <c r="Y143" i="50"/>
  <c r="I143" i="50"/>
  <c r="AF142" i="50"/>
  <c r="P142" i="50"/>
  <c r="AV142" i="50" s="1"/>
  <c r="AM141" i="50"/>
  <c r="W141" i="50"/>
  <c r="G141" i="50"/>
  <c r="AD140" i="50"/>
  <c r="N140" i="50"/>
  <c r="AK139" i="50"/>
  <c r="U139" i="50"/>
  <c r="E139" i="50"/>
  <c r="AB138" i="50"/>
  <c r="L138" i="50"/>
  <c r="AI137" i="50"/>
  <c r="S137" i="50"/>
  <c r="Z248" i="50"/>
  <c r="J248" i="50"/>
  <c r="AS248" i="50" s="1"/>
  <c r="AG247" i="50"/>
  <c r="Q247" i="50"/>
  <c r="AN246" i="50"/>
  <c r="M168" i="84" s="1"/>
  <c r="AB246" i="50"/>
  <c r="P246" i="50"/>
  <c r="F246" i="50"/>
  <c r="AM245" i="50"/>
  <c r="AC245" i="50"/>
  <c r="S245" i="50"/>
  <c r="G245" i="50"/>
  <c r="AD136" i="50"/>
  <c r="T136" i="50"/>
  <c r="J136" i="50"/>
  <c r="AG135" i="50"/>
  <c r="U135" i="50"/>
  <c r="L135" i="50"/>
  <c r="AN134" i="50"/>
  <c r="M174" i="84" s="1"/>
  <c r="AF134" i="50"/>
  <c r="X134" i="50"/>
  <c r="P134" i="50"/>
  <c r="H134" i="50"/>
  <c r="AM133" i="50"/>
  <c r="AE133" i="50"/>
  <c r="W133" i="50"/>
  <c r="O133" i="50"/>
  <c r="G133" i="50"/>
  <c r="AL132" i="50"/>
  <c r="AD132" i="50"/>
  <c r="V132" i="50"/>
  <c r="N132" i="50"/>
  <c r="F132" i="50"/>
  <c r="AK131" i="50"/>
  <c r="AC131" i="50"/>
  <c r="U131" i="50"/>
  <c r="M131" i="50"/>
  <c r="E131" i="50"/>
  <c r="AJ130" i="50"/>
  <c r="AB130" i="50"/>
  <c r="T130" i="50"/>
  <c r="L130" i="50"/>
  <c r="D130" i="50"/>
  <c r="AI129" i="50"/>
  <c r="AA129" i="50"/>
  <c r="S129" i="50"/>
  <c r="K129" i="50"/>
  <c r="AH128" i="50"/>
  <c r="Z128" i="50"/>
  <c r="R128" i="50"/>
  <c r="J128" i="50"/>
  <c r="AO127" i="50"/>
  <c r="AG127" i="50"/>
  <c r="Y127" i="50"/>
  <c r="Q127" i="50"/>
  <c r="I127" i="50"/>
  <c r="AN126" i="50"/>
  <c r="M158" i="84" s="1"/>
  <c r="AF126" i="50"/>
  <c r="X126" i="50"/>
  <c r="P126" i="50"/>
  <c r="H126" i="50"/>
  <c r="AM125" i="50"/>
  <c r="AE125" i="50"/>
  <c r="W125" i="50"/>
  <c r="O125" i="50"/>
  <c r="G125" i="50"/>
  <c r="AL124" i="50"/>
  <c r="AD124" i="50"/>
  <c r="V124" i="50"/>
  <c r="N124" i="50"/>
  <c r="F124" i="50"/>
  <c r="AK266" i="50"/>
  <c r="AC266" i="50"/>
  <c r="U266" i="50"/>
  <c r="M266" i="50"/>
  <c r="E266" i="50"/>
  <c r="AJ265" i="50"/>
  <c r="AB265" i="50"/>
  <c r="T265" i="50"/>
  <c r="L265" i="50"/>
  <c r="D265" i="50"/>
  <c r="AI264" i="50"/>
  <c r="AA264" i="50"/>
  <c r="S264" i="50"/>
  <c r="K264" i="50"/>
  <c r="AH123" i="50"/>
  <c r="Z123" i="50"/>
  <c r="R123" i="50"/>
  <c r="J123" i="50"/>
  <c r="AO122" i="50"/>
  <c r="AG122" i="50"/>
  <c r="Y122" i="50"/>
  <c r="Q122" i="50"/>
  <c r="I122" i="50"/>
  <c r="AN121" i="50"/>
  <c r="M139" i="84" s="1"/>
  <c r="AF121" i="50"/>
  <c r="X121" i="50"/>
  <c r="P121" i="50"/>
  <c r="H121" i="50"/>
  <c r="AM120" i="50"/>
  <c r="AE120" i="50"/>
  <c r="W120" i="50"/>
  <c r="O120" i="50"/>
  <c r="G120" i="50"/>
  <c r="AL119" i="50"/>
  <c r="AD119" i="50"/>
  <c r="V119" i="50"/>
  <c r="N119" i="50"/>
  <c r="F119" i="50"/>
  <c r="AK118" i="50"/>
  <c r="AC118" i="50"/>
  <c r="U118" i="50"/>
  <c r="M118" i="50"/>
  <c r="E118" i="50"/>
  <c r="AJ271" i="50"/>
  <c r="AB271" i="50"/>
  <c r="T271" i="50"/>
  <c r="L271" i="50"/>
  <c r="D271" i="50"/>
  <c r="AI117" i="50"/>
  <c r="AA117" i="50"/>
  <c r="S117" i="50"/>
  <c r="K117" i="50"/>
  <c r="AH270" i="50"/>
  <c r="Z270" i="50"/>
  <c r="R270" i="50"/>
  <c r="J270" i="50"/>
  <c r="AO269" i="50"/>
  <c r="AG269" i="50"/>
  <c r="Y269" i="50"/>
  <c r="Q269" i="50"/>
  <c r="I269" i="50"/>
  <c r="AN268" i="50"/>
  <c r="M141" i="84" s="1"/>
  <c r="AF268" i="50"/>
  <c r="X268" i="50"/>
  <c r="P268" i="50"/>
  <c r="H268" i="50"/>
  <c r="AM267" i="50"/>
  <c r="AE267" i="50"/>
  <c r="W267" i="50"/>
  <c r="O267" i="50"/>
  <c r="G267" i="50"/>
  <c r="AL116" i="50"/>
  <c r="AD116" i="50"/>
  <c r="V116" i="50"/>
  <c r="N116" i="50"/>
  <c r="F116" i="50"/>
  <c r="AK115" i="50"/>
  <c r="AC115" i="50"/>
  <c r="U115" i="50"/>
  <c r="M115" i="50"/>
  <c r="E115" i="50"/>
  <c r="AJ114" i="50"/>
  <c r="AB114" i="50"/>
  <c r="T114" i="50"/>
  <c r="L114" i="50"/>
  <c r="D114" i="50"/>
  <c r="AI113" i="50"/>
  <c r="AA113" i="50"/>
  <c r="S113" i="50"/>
  <c r="K113" i="50"/>
  <c r="AH112" i="50"/>
  <c r="Z112" i="50"/>
  <c r="R112" i="50"/>
  <c r="J112" i="50"/>
  <c r="AO111" i="50"/>
  <c r="AG111" i="50"/>
  <c r="Y111" i="50"/>
  <c r="Q111" i="50"/>
  <c r="I111" i="50"/>
  <c r="AN110" i="50"/>
  <c r="M131" i="84" s="1"/>
  <c r="AF110" i="50"/>
  <c r="X110" i="50"/>
  <c r="P110" i="50"/>
  <c r="AL178" i="50"/>
  <c r="N165" i="50"/>
  <c r="E163" i="50"/>
  <c r="AF161" i="50"/>
  <c r="BD161" i="50" s="1"/>
  <c r="X158" i="50"/>
  <c r="U240" i="50"/>
  <c r="O242" i="50"/>
  <c r="AN154" i="50"/>
  <c r="M171" i="84" s="1"/>
  <c r="K153" i="50"/>
  <c r="J244" i="50"/>
  <c r="AS244" i="50" s="1"/>
  <c r="I152" i="50"/>
  <c r="D151" i="50"/>
  <c r="AP151" i="50" s="1"/>
  <c r="V148" i="50"/>
  <c r="AA147" i="50"/>
  <c r="K147" i="50"/>
  <c r="AH146" i="50"/>
  <c r="R146" i="50"/>
  <c r="AO145" i="50"/>
  <c r="Y145" i="50"/>
  <c r="I145" i="50"/>
  <c r="AF144" i="50"/>
  <c r="P144" i="50"/>
  <c r="AM143" i="50"/>
  <c r="W143" i="50"/>
  <c r="G143" i="50"/>
  <c r="AD142" i="50"/>
  <c r="N142" i="50"/>
  <c r="AK141" i="50"/>
  <c r="U141" i="50"/>
  <c r="E141" i="50"/>
  <c r="AB140" i="50"/>
  <c r="L140" i="50"/>
  <c r="AI139" i="50"/>
  <c r="S139" i="50"/>
  <c r="Z138" i="50"/>
  <c r="J138" i="50"/>
  <c r="AS138" i="50" s="1"/>
  <c r="AG137" i="50"/>
  <c r="Q137" i="50"/>
  <c r="AN248" i="50"/>
  <c r="M163" i="84" s="1"/>
  <c r="X248" i="50"/>
  <c r="H248" i="50"/>
  <c r="AE247" i="50"/>
  <c r="O247" i="50"/>
  <c r="AL246" i="50"/>
  <c r="AA246" i="50"/>
  <c r="O246" i="50"/>
  <c r="E246" i="50"/>
  <c r="AL245" i="50"/>
  <c r="AB245" i="50"/>
  <c r="R245" i="50"/>
  <c r="F245" i="50"/>
  <c r="AO136" i="50"/>
  <c r="AC136" i="50"/>
  <c r="S136" i="50"/>
  <c r="I136" i="50"/>
  <c r="AF135" i="50"/>
  <c r="T135" i="50"/>
  <c r="K135" i="50"/>
  <c r="AM134" i="50"/>
  <c r="AE134" i="50"/>
  <c r="W134" i="50"/>
  <c r="O134" i="50"/>
  <c r="G134" i="50"/>
  <c r="AL133" i="50"/>
  <c r="AD133" i="50"/>
  <c r="V133" i="50"/>
  <c r="N133" i="50"/>
  <c r="F133" i="50"/>
  <c r="AK132" i="50"/>
  <c r="AC132" i="50"/>
  <c r="U132" i="50"/>
  <c r="M132" i="50"/>
  <c r="E132" i="50"/>
  <c r="AJ131" i="50"/>
  <c r="AB131" i="50"/>
  <c r="T131" i="50"/>
  <c r="L131" i="50"/>
  <c r="D131" i="50"/>
  <c r="AI130" i="50"/>
  <c r="AA130" i="50"/>
  <c r="S130" i="50"/>
  <c r="K130" i="50"/>
  <c r="AH129" i="50"/>
  <c r="Z129" i="50"/>
  <c r="R129" i="50"/>
  <c r="J129" i="50"/>
  <c r="AO128" i="50"/>
  <c r="AG128" i="50"/>
  <c r="Y128" i="50"/>
  <c r="Q128" i="50"/>
  <c r="I128" i="50"/>
  <c r="AN127" i="50"/>
  <c r="M175" i="84" s="1"/>
  <c r="AF127" i="50"/>
  <c r="X127" i="50"/>
  <c r="P127" i="50"/>
  <c r="H127" i="50"/>
  <c r="AM126" i="50"/>
  <c r="AE126" i="50"/>
  <c r="W126" i="50"/>
  <c r="O126" i="50"/>
  <c r="G126" i="50"/>
  <c r="AL125" i="50"/>
  <c r="AD125" i="50"/>
  <c r="V125" i="50"/>
  <c r="N125" i="50"/>
  <c r="F125" i="50"/>
  <c r="AK124" i="50"/>
  <c r="AC124" i="50"/>
  <c r="U124" i="50"/>
  <c r="M124" i="50"/>
  <c r="E124" i="50"/>
  <c r="AJ266" i="50"/>
  <c r="AB266" i="50"/>
  <c r="T266" i="50"/>
  <c r="L266" i="50"/>
  <c r="D266" i="50"/>
  <c r="AI265" i="50"/>
  <c r="AA265" i="50"/>
  <c r="S265" i="50"/>
  <c r="K265" i="50"/>
  <c r="AH264" i="50"/>
  <c r="Z264" i="50"/>
  <c r="R264" i="50"/>
  <c r="J264" i="50"/>
  <c r="AO123" i="50"/>
  <c r="AG123" i="50"/>
  <c r="Y123" i="50"/>
  <c r="Q123" i="50"/>
  <c r="I123" i="50"/>
  <c r="AN122" i="50"/>
  <c r="M144" i="84" s="1"/>
  <c r="I177" i="50"/>
  <c r="N166" i="50"/>
  <c r="AU166" i="50" s="1"/>
  <c r="S161" i="50"/>
  <c r="P158" i="50"/>
  <c r="AL241" i="50"/>
  <c r="J240" i="50"/>
  <c r="AS240" i="50" s="1"/>
  <c r="AI243" i="50"/>
  <c r="AC154" i="50"/>
  <c r="D153" i="50"/>
  <c r="S148" i="50"/>
  <c r="Z147" i="50"/>
  <c r="J147" i="50"/>
  <c r="AG146" i="50"/>
  <c r="Q146" i="50"/>
  <c r="AN145" i="50"/>
  <c r="M186" i="84" s="1"/>
  <c r="X145" i="50"/>
  <c r="H145" i="50"/>
  <c r="AE144" i="50"/>
  <c r="O144" i="50"/>
  <c r="AL143" i="50"/>
  <c r="V143" i="50"/>
  <c r="F143" i="50"/>
  <c r="AC142" i="50"/>
  <c r="M142" i="50"/>
  <c r="AJ141" i="50"/>
  <c r="T141" i="50"/>
  <c r="D141" i="50"/>
  <c r="AA140" i="50"/>
  <c r="K140" i="50"/>
  <c r="AH139" i="50"/>
  <c r="R139" i="50"/>
  <c r="AO138" i="50"/>
  <c r="Y138" i="50"/>
  <c r="I138" i="50"/>
  <c r="AF137" i="50"/>
  <c r="BD137" i="50" s="1"/>
  <c r="P137" i="50"/>
  <c r="AV137" i="50" s="1"/>
  <c r="AM248" i="50"/>
  <c r="W248" i="50"/>
  <c r="G248" i="50"/>
  <c r="AD247" i="50"/>
  <c r="BC247" i="50" s="1"/>
  <c r="N247" i="50"/>
  <c r="AU247" i="50" s="1"/>
  <c r="AK246" i="50"/>
  <c r="X246" i="50"/>
  <c r="N246" i="50"/>
  <c r="AU246" i="50" s="1"/>
  <c r="D246" i="50"/>
  <c r="AP246" i="50" s="1"/>
  <c r="AK245" i="50"/>
  <c r="AA245" i="50"/>
  <c r="O245" i="50"/>
  <c r="E245" i="50"/>
  <c r="AL136" i="50"/>
  <c r="AB136" i="50"/>
  <c r="BB136" i="50" s="1"/>
  <c r="R136" i="50"/>
  <c r="AW136" i="50" s="1"/>
  <c r="F136" i="50"/>
  <c r="AQ136" i="50" s="1"/>
  <c r="AO135" i="50"/>
  <c r="AC135" i="50"/>
  <c r="S135" i="50"/>
  <c r="J135" i="50"/>
  <c r="AL134" i="50"/>
  <c r="AD134" i="50"/>
  <c r="V134" i="50"/>
  <c r="N134" i="50"/>
  <c r="F134" i="50"/>
  <c r="AK133" i="50"/>
  <c r="AC133" i="50"/>
  <c r="U133" i="50"/>
  <c r="M133" i="50"/>
  <c r="E133" i="50"/>
  <c r="AJ132" i="50"/>
  <c r="AB132" i="50"/>
  <c r="T132" i="50"/>
  <c r="L132" i="50"/>
  <c r="D132" i="50"/>
  <c r="AI131" i="50"/>
  <c r="AA131" i="50"/>
  <c r="S131" i="50"/>
  <c r="K131" i="50"/>
  <c r="AH130" i="50"/>
  <c r="BE130" i="50" s="1"/>
  <c r="Z130" i="50"/>
  <c r="BA130" i="50" s="1"/>
  <c r="R130" i="50"/>
  <c r="AW130" i="50" s="1"/>
  <c r="J130" i="50"/>
  <c r="AS130" i="50" s="1"/>
  <c r="AO129" i="50"/>
  <c r="AG129" i="50"/>
  <c r="Y129" i="50"/>
  <c r="Q129" i="50"/>
  <c r="I129" i="50"/>
  <c r="AN128" i="50"/>
  <c r="M176" i="84" s="1"/>
  <c r="AF128" i="50"/>
  <c r="X128" i="50"/>
  <c r="P128" i="50"/>
  <c r="H128" i="50"/>
  <c r="AM127" i="50"/>
  <c r="AE127" i="50"/>
  <c r="W127" i="50"/>
  <c r="O127" i="50"/>
  <c r="G127" i="50"/>
  <c r="AL126" i="50"/>
  <c r="AD126" i="50"/>
  <c r="V126" i="50"/>
  <c r="N126" i="50"/>
  <c r="F126" i="50"/>
  <c r="AK125" i="50"/>
  <c r="AC125" i="50"/>
  <c r="U125" i="50"/>
  <c r="M125" i="50"/>
  <c r="E125" i="50"/>
  <c r="AJ124" i="50"/>
  <c r="AB124" i="50"/>
  <c r="T124" i="50"/>
  <c r="L124" i="50"/>
  <c r="D124" i="50"/>
  <c r="AI266" i="50"/>
  <c r="AA266" i="50"/>
  <c r="S266" i="50"/>
  <c r="K266" i="50"/>
  <c r="AH265" i="50"/>
  <c r="BE265" i="50" s="1"/>
  <c r="Z265" i="50"/>
  <c r="BA265" i="50" s="1"/>
  <c r="R265" i="50"/>
  <c r="AW265" i="50" s="1"/>
  <c r="J265" i="50"/>
  <c r="AS265" i="50" s="1"/>
  <c r="AO264" i="50"/>
  <c r="AG264" i="50"/>
  <c r="Y264" i="50"/>
  <c r="Q264" i="50"/>
  <c r="I264" i="50"/>
  <c r="AN123" i="50"/>
  <c r="M150" i="84" s="1"/>
  <c r="AF123" i="50"/>
  <c r="X123" i="50"/>
  <c r="P123" i="50"/>
  <c r="H123" i="50"/>
  <c r="AM122" i="50"/>
  <c r="AE122" i="50"/>
  <c r="W122" i="50"/>
  <c r="O122" i="50"/>
  <c r="G122" i="50"/>
  <c r="AL121" i="50"/>
  <c r="AD121" i="50"/>
  <c r="V121" i="50"/>
  <c r="N121" i="50"/>
  <c r="F121" i="50"/>
  <c r="AK120" i="50"/>
  <c r="AC120" i="50"/>
  <c r="U120" i="50"/>
  <c r="M120" i="50"/>
  <c r="E120" i="50"/>
  <c r="AJ119" i="50"/>
  <c r="AB119" i="50"/>
  <c r="T119" i="50"/>
  <c r="L119" i="50"/>
  <c r="D119" i="50"/>
  <c r="Z175" i="50"/>
  <c r="Z164" i="50"/>
  <c r="AO162" i="50"/>
  <c r="K161" i="50"/>
  <c r="AG159" i="50"/>
  <c r="E158" i="50"/>
  <c r="AD241" i="50"/>
  <c r="BC241" i="50" s="1"/>
  <c r="X243" i="50"/>
  <c r="H154" i="50"/>
  <c r="O149" i="50"/>
  <c r="AN147" i="50"/>
  <c r="M183" i="84" s="1"/>
  <c r="G146" i="50"/>
  <c r="S145" i="50"/>
  <c r="AC144" i="50"/>
  <c r="K142" i="50"/>
  <c r="Z141" i="50"/>
  <c r="AL140" i="50"/>
  <c r="H139" i="50"/>
  <c r="T138" i="50"/>
  <c r="AX138" i="50" s="1"/>
  <c r="AD137" i="50"/>
  <c r="L247" i="50"/>
  <c r="AC246" i="50"/>
  <c r="Z245" i="50"/>
  <c r="Z136" i="50"/>
  <c r="X135" i="50"/>
  <c r="AC134" i="50"/>
  <c r="I134" i="50"/>
  <c r="T133" i="50"/>
  <c r="AH132" i="50"/>
  <c r="K132" i="50"/>
  <c r="Y131" i="50"/>
  <c r="AK130" i="50"/>
  <c r="P130" i="50"/>
  <c r="AB129" i="50"/>
  <c r="G129" i="50"/>
  <c r="AM128" i="50"/>
  <c r="S128" i="50"/>
  <c r="AD127" i="50"/>
  <c r="J127" i="50"/>
  <c r="U126" i="50"/>
  <c r="AI125" i="50"/>
  <c r="L125" i="50"/>
  <c r="Z124" i="50"/>
  <c r="AL266" i="50"/>
  <c r="Q266" i="50"/>
  <c r="AC265" i="50"/>
  <c r="H265" i="50"/>
  <c r="AN264" i="50"/>
  <c r="M147" i="84" s="1"/>
  <c r="T264" i="50"/>
  <c r="AE123" i="50"/>
  <c r="K123" i="50"/>
  <c r="Z122" i="50"/>
  <c r="BA122" i="50" s="1"/>
  <c r="J122" i="50"/>
  <c r="AG121" i="50"/>
  <c r="Q121" i="50"/>
  <c r="AN120" i="50"/>
  <c r="M138" i="84" s="1"/>
  <c r="X120" i="50"/>
  <c r="H120" i="50"/>
  <c r="AE119" i="50"/>
  <c r="O119" i="50"/>
  <c r="AB118" i="50"/>
  <c r="Q118" i="50"/>
  <c r="AG271" i="50"/>
  <c r="S271" i="50"/>
  <c r="H271" i="50"/>
  <c r="AJ117" i="50"/>
  <c r="X117" i="50"/>
  <c r="J117" i="50"/>
  <c r="AN270" i="50"/>
  <c r="M243" i="84" s="1"/>
  <c r="AA270" i="50"/>
  <c r="O270" i="50"/>
  <c r="AE269" i="50"/>
  <c r="R269" i="50"/>
  <c r="F269" i="50"/>
  <c r="AJ268" i="50"/>
  <c r="V268" i="50"/>
  <c r="I268" i="50"/>
  <c r="AL267" i="50"/>
  <c r="AA267" i="50"/>
  <c r="M267" i="50"/>
  <c r="AC116" i="50"/>
  <c r="R116" i="50"/>
  <c r="D116" i="50"/>
  <c r="AH115" i="50"/>
  <c r="T115" i="50"/>
  <c r="I115" i="50"/>
  <c r="AF114" i="50"/>
  <c r="U114" i="50"/>
  <c r="J114" i="50"/>
  <c r="AG113" i="50"/>
  <c r="W113" i="50"/>
  <c r="L113" i="50"/>
  <c r="AI112" i="50"/>
  <c r="X112" i="50"/>
  <c r="N112" i="50"/>
  <c r="AK111" i="50"/>
  <c r="Z111" i="50"/>
  <c r="O111" i="50"/>
  <c r="E111" i="50"/>
  <c r="AL110" i="50"/>
  <c r="AB110" i="50"/>
  <c r="Q110" i="50"/>
  <c r="G110" i="50"/>
  <c r="AI109" i="50"/>
  <c r="Z109" i="50"/>
  <c r="P109" i="50"/>
  <c r="AV109" i="50" s="1"/>
  <c r="G109" i="50"/>
  <c r="AI108" i="50"/>
  <c r="Z108" i="50"/>
  <c r="Q108" i="50"/>
  <c r="G108" i="50"/>
  <c r="AI107" i="50"/>
  <c r="Z107" i="50"/>
  <c r="Q107" i="50"/>
  <c r="H107" i="50"/>
  <c r="AI106" i="50"/>
  <c r="Z106" i="50"/>
  <c r="Q106" i="50"/>
  <c r="H106" i="50"/>
  <c r="AI105" i="50"/>
  <c r="AA105" i="50"/>
  <c r="S105" i="50"/>
  <c r="K105" i="50"/>
  <c r="AH104" i="50"/>
  <c r="Z104" i="50"/>
  <c r="R104" i="50"/>
  <c r="J104" i="50"/>
  <c r="AO103" i="50"/>
  <c r="AG103" i="50"/>
  <c r="Y103" i="50"/>
  <c r="Q103" i="50"/>
  <c r="I103" i="50"/>
  <c r="AN102" i="50"/>
  <c r="M115" i="84" s="1"/>
  <c r="AF102" i="50"/>
  <c r="X102" i="50"/>
  <c r="P102" i="50"/>
  <c r="H102" i="50"/>
  <c r="AM101" i="50"/>
  <c r="AE101" i="50"/>
  <c r="W101" i="50"/>
  <c r="O101" i="50"/>
  <c r="G101" i="50"/>
  <c r="AL100" i="50"/>
  <c r="AD100" i="50"/>
  <c r="V100" i="50"/>
  <c r="N100" i="50"/>
  <c r="F100" i="50"/>
  <c r="AK99" i="50"/>
  <c r="AC99" i="50"/>
  <c r="U99" i="50"/>
  <c r="M99" i="50"/>
  <c r="E99" i="50"/>
  <c r="AJ98" i="50"/>
  <c r="AB98" i="50"/>
  <c r="T98" i="50"/>
  <c r="L98" i="50"/>
  <c r="D98" i="50"/>
  <c r="AI97" i="50"/>
  <c r="AA97" i="50"/>
  <c r="S97" i="50"/>
  <c r="K97" i="50"/>
  <c r="AH96" i="50"/>
  <c r="Z96" i="50"/>
  <c r="R96" i="50"/>
  <c r="J96" i="50"/>
  <c r="AO95" i="50"/>
  <c r="AG95" i="50"/>
  <c r="Y95" i="50"/>
  <c r="Q95" i="50"/>
  <c r="I95" i="50"/>
  <c r="AN94" i="50"/>
  <c r="M103" i="84" s="1"/>
  <c r="AF94" i="50"/>
  <c r="X94" i="50"/>
  <c r="P94" i="50"/>
  <c r="H94" i="50"/>
  <c r="AM93" i="50"/>
  <c r="AE93" i="50"/>
  <c r="W93" i="50"/>
  <c r="O93" i="50"/>
  <c r="G93" i="50"/>
  <c r="AL263" i="50"/>
  <c r="AD263" i="50"/>
  <c r="V263" i="50"/>
  <c r="N263" i="50"/>
  <c r="F263" i="50"/>
  <c r="AK262" i="50"/>
  <c r="AC262" i="50"/>
  <c r="U262" i="50"/>
  <c r="M262" i="50"/>
  <c r="E262" i="50"/>
  <c r="AJ92" i="50"/>
  <c r="AB92" i="50"/>
  <c r="T92" i="50"/>
  <c r="L92" i="50"/>
  <c r="D92" i="50"/>
  <c r="AI91" i="50"/>
  <c r="AA91" i="50"/>
  <c r="S91" i="50"/>
  <c r="K91" i="50"/>
  <c r="AH90" i="50"/>
  <c r="Z90" i="50"/>
  <c r="R90" i="50"/>
  <c r="J90" i="50"/>
  <c r="AO89" i="50"/>
  <c r="AG89" i="50"/>
  <c r="Y89" i="50"/>
  <c r="Q89" i="50"/>
  <c r="I89" i="50"/>
  <c r="AN88" i="50"/>
  <c r="M99" i="84" s="1"/>
  <c r="AF88" i="50"/>
  <c r="X88" i="50"/>
  <c r="P88" i="50"/>
  <c r="H88" i="50"/>
  <c r="AM87" i="50"/>
  <c r="AE87" i="50"/>
  <c r="W87" i="50"/>
  <c r="O87" i="50"/>
  <c r="G87" i="50"/>
  <c r="AL86" i="50"/>
  <c r="AD86" i="50"/>
  <c r="V86" i="50"/>
  <c r="N86" i="50"/>
  <c r="F86" i="50"/>
  <c r="AK85" i="50"/>
  <c r="AC85" i="50"/>
  <c r="U85" i="50"/>
  <c r="M85" i="50"/>
  <c r="E85" i="50"/>
  <c r="AJ84" i="50"/>
  <c r="AB84" i="50"/>
  <c r="T84" i="50"/>
  <c r="L84" i="50"/>
  <c r="D84" i="50"/>
  <c r="AC173" i="50"/>
  <c r="AE153" i="50"/>
  <c r="AO151" i="50"/>
  <c r="AF147" i="50"/>
  <c r="N145" i="50"/>
  <c r="AU145" i="50" s="1"/>
  <c r="Z144" i="50"/>
  <c r="AJ143" i="50"/>
  <c r="H142" i="50"/>
  <c r="AR142" i="50" s="1"/>
  <c r="R141" i="50"/>
  <c r="AG140" i="50"/>
  <c r="O138" i="50"/>
  <c r="AA137" i="50"/>
  <c r="AK248" i="50"/>
  <c r="I247" i="50"/>
  <c r="W246" i="50"/>
  <c r="W245" i="50"/>
  <c r="U136" i="50"/>
  <c r="R135" i="50"/>
  <c r="AB134" i="50"/>
  <c r="E134" i="50"/>
  <c r="AN133" i="50"/>
  <c r="M173" i="84" s="1"/>
  <c r="S133" i="50"/>
  <c r="AE132" i="50"/>
  <c r="J132" i="50"/>
  <c r="V131" i="50"/>
  <c r="AG130" i="50"/>
  <c r="M130" i="50"/>
  <c r="X129" i="50"/>
  <c r="D129" i="50"/>
  <c r="AL128" i="50"/>
  <c r="O128" i="50"/>
  <c r="AC127" i="50"/>
  <c r="F127" i="50"/>
  <c r="AO126" i="50"/>
  <c r="T126" i="50"/>
  <c r="AF125" i="50"/>
  <c r="K125" i="50"/>
  <c r="W124" i="50"/>
  <c r="AH266" i="50"/>
  <c r="N266" i="50"/>
  <c r="Y265" i="50"/>
  <c r="E265" i="50"/>
  <c r="AM264" i="50"/>
  <c r="P264" i="50"/>
  <c r="AD123" i="50"/>
  <c r="G123" i="50"/>
  <c r="X122" i="50"/>
  <c r="AZ122" i="50" s="1"/>
  <c r="H122" i="50"/>
  <c r="AE121" i="50"/>
  <c r="O121" i="50"/>
  <c r="AL120" i="50"/>
  <c r="V120" i="50"/>
  <c r="F120" i="50"/>
  <c r="AC119" i="50"/>
  <c r="M119" i="50"/>
  <c r="AO118" i="50"/>
  <c r="AA118" i="50"/>
  <c r="N118" i="50"/>
  <c r="AF271" i="50"/>
  <c r="R271" i="50"/>
  <c r="E271" i="50"/>
  <c r="AH117" i="50"/>
  <c r="W117" i="50"/>
  <c r="I117" i="50"/>
  <c r="AM270" i="50"/>
  <c r="Y270" i="50"/>
  <c r="N270" i="50"/>
  <c r="AD269" i="50"/>
  <c r="P269" i="50"/>
  <c r="E269" i="50"/>
  <c r="AG268" i="50"/>
  <c r="U268" i="50"/>
  <c r="G268" i="50"/>
  <c r="AK267" i="50"/>
  <c r="X267" i="50"/>
  <c r="L267" i="50"/>
  <c r="AB116" i="50"/>
  <c r="O116" i="50"/>
  <c r="AG115" i="50"/>
  <c r="S115" i="50"/>
  <c r="H115" i="50"/>
  <c r="AO114" i="50"/>
  <c r="AE114" i="50"/>
  <c r="S114" i="50"/>
  <c r="I114" i="50"/>
  <c r="AF113" i="50"/>
  <c r="V113" i="50"/>
  <c r="J113" i="50"/>
  <c r="AG112" i="50"/>
  <c r="W112" i="50"/>
  <c r="M112" i="50"/>
  <c r="AJ111" i="50"/>
  <c r="X111" i="50"/>
  <c r="N111" i="50"/>
  <c r="D111" i="50"/>
  <c r="AK110" i="50"/>
  <c r="AA110" i="50"/>
  <c r="O110" i="50"/>
  <c r="F110" i="50"/>
  <c r="AH109" i="50"/>
  <c r="X109" i="50"/>
  <c r="O109" i="50"/>
  <c r="F109" i="50"/>
  <c r="AH108" i="50"/>
  <c r="Y108" i="50"/>
  <c r="O108" i="50"/>
  <c r="F108" i="50"/>
  <c r="AH107" i="50"/>
  <c r="Y107" i="50"/>
  <c r="P107" i="50"/>
  <c r="F107" i="50"/>
  <c r="AH106" i="50"/>
  <c r="Y106" i="50"/>
  <c r="P106" i="50"/>
  <c r="G106" i="50"/>
  <c r="AH105" i="50"/>
  <c r="Z105" i="50"/>
  <c r="R105" i="50"/>
  <c r="J105" i="50"/>
  <c r="AO104" i="50"/>
  <c r="AG104" i="50"/>
  <c r="Y104" i="50"/>
  <c r="Q104" i="50"/>
  <c r="I104" i="50"/>
  <c r="AN103" i="50"/>
  <c r="M122" i="84" s="1"/>
  <c r="AF103" i="50"/>
  <c r="X103" i="50"/>
  <c r="P103" i="50"/>
  <c r="H103" i="50"/>
  <c r="AM102" i="50"/>
  <c r="AE102" i="50"/>
  <c r="W102" i="50"/>
  <c r="O102" i="50"/>
  <c r="G102" i="50"/>
  <c r="AL101" i="50"/>
  <c r="AD101" i="50"/>
  <c r="V101" i="50"/>
  <c r="N101" i="50"/>
  <c r="F101" i="50"/>
  <c r="AK100" i="50"/>
  <c r="AC100" i="50"/>
  <c r="U100" i="50"/>
  <c r="M100" i="50"/>
  <c r="E100" i="50"/>
  <c r="AJ99" i="50"/>
  <c r="AB99" i="50"/>
  <c r="T99" i="50"/>
  <c r="L99" i="50"/>
  <c r="D99" i="50"/>
  <c r="AI98" i="50"/>
  <c r="AA98" i="50"/>
  <c r="S98" i="50"/>
  <c r="K98" i="50"/>
  <c r="AH97" i="50"/>
  <c r="Z97" i="50"/>
  <c r="R97" i="50"/>
  <c r="J97" i="50"/>
  <c r="AO96" i="50"/>
  <c r="AG96" i="50"/>
  <c r="Y96" i="50"/>
  <c r="Q96" i="50"/>
  <c r="I96" i="50"/>
  <c r="AN95" i="50"/>
  <c r="M108" i="84" s="1"/>
  <c r="AF95" i="50"/>
  <c r="X95" i="50"/>
  <c r="P95" i="50"/>
  <c r="H95" i="50"/>
  <c r="AM94" i="50"/>
  <c r="AE94" i="50"/>
  <c r="W94" i="50"/>
  <c r="O94" i="50"/>
  <c r="G94" i="50"/>
  <c r="AL93" i="50"/>
  <c r="AD93" i="50"/>
  <c r="V93" i="50"/>
  <c r="N93" i="50"/>
  <c r="F93" i="50"/>
  <c r="AK263" i="50"/>
  <c r="AC263" i="50"/>
  <c r="U263" i="50"/>
  <c r="M263" i="50"/>
  <c r="E263" i="50"/>
  <c r="AJ262" i="50"/>
  <c r="AB262" i="50"/>
  <c r="T262" i="50"/>
  <c r="L262" i="50"/>
  <c r="D262" i="50"/>
  <c r="AI92" i="50"/>
  <c r="AA92" i="50"/>
  <c r="S92" i="50"/>
  <c r="K92" i="50"/>
  <c r="AH91" i="50"/>
  <c r="Z91" i="50"/>
  <c r="R91" i="50"/>
  <c r="J91" i="50"/>
  <c r="AO90" i="50"/>
  <c r="AG90" i="50"/>
  <c r="Y90" i="50"/>
  <c r="Q90" i="50"/>
  <c r="I90" i="50"/>
  <c r="AN89" i="50"/>
  <c r="M92" i="84" s="1"/>
  <c r="AF89" i="50"/>
  <c r="X89" i="50"/>
  <c r="P89" i="50"/>
  <c r="H89" i="50"/>
  <c r="AM88" i="50"/>
  <c r="AE88" i="50"/>
  <c r="W88" i="50"/>
  <c r="O88" i="50"/>
  <c r="G88" i="50"/>
  <c r="AL87" i="50"/>
  <c r="AD87" i="50"/>
  <c r="V87" i="50"/>
  <c r="N87" i="50"/>
  <c r="F87" i="50"/>
  <c r="AK86" i="50"/>
  <c r="AC86" i="50"/>
  <c r="T239" i="50"/>
  <c r="AX239" i="50" s="1"/>
  <c r="Y159" i="50"/>
  <c r="K243" i="50"/>
  <c r="AE148" i="50"/>
  <c r="U147" i="50"/>
  <c r="AE146" i="50"/>
  <c r="M144" i="50"/>
  <c r="AB143" i="50"/>
  <c r="BB143" i="50" s="1"/>
  <c r="AN142" i="50"/>
  <c r="M172" i="84" s="1"/>
  <c r="J141" i="50"/>
  <c r="V140" i="50"/>
  <c r="AF139" i="50"/>
  <c r="BD139" i="50" s="1"/>
  <c r="D138" i="50"/>
  <c r="N137" i="50"/>
  <c r="AC248" i="50"/>
  <c r="AO247" i="50"/>
  <c r="S246" i="50"/>
  <c r="N245" i="50"/>
  <c r="AU245" i="50" s="1"/>
  <c r="N136" i="50"/>
  <c r="AN135" i="50"/>
  <c r="M161" i="84" s="1"/>
  <c r="M135" i="50"/>
  <c r="U134" i="50"/>
  <c r="AI133" i="50"/>
  <c r="L133" i="50"/>
  <c r="Z132" i="50"/>
  <c r="AL131" i="50"/>
  <c r="Q131" i="50"/>
  <c r="AC130" i="50"/>
  <c r="H130" i="50"/>
  <c r="AN129" i="50"/>
  <c r="M159" i="84" s="1"/>
  <c r="T129" i="50"/>
  <c r="AE128" i="50"/>
  <c r="K128" i="50"/>
  <c r="V127" i="50"/>
  <c r="AJ126" i="50"/>
  <c r="M126" i="50"/>
  <c r="AA125" i="50"/>
  <c r="D125" i="50"/>
  <c r="AM124" i="50"/>
  <c r="R124" i="50"/>
  <c r="AD266" i="50"/>
  <c r="I266" i="50"/>
  <c r="AO265" i="50"/>
  <c r="U265" i="50"/>
  <c r="AF264" i="50"/>
  <c r="L264" i="50"/>
  <c r="AT264" i="50" s="1"/>
  <c r="W123" i="50"/>
  <c r="AK122" i="50"/>
  <c r="U122" i="50"/>
  <c r="E122" i="50"/>
  <c r="AB121" i="50"/>
  <c r="L121" i="50"/>
  <c r="AI120" i="50"/>
  <c r="S120" i="50"/>
  <c r="Z119" i="50"/>
  <c r="J119" i="50"/>
  <c r="AJ118" i="50"/>
  <c r="Y118" i="50"/>
  <c r="K118" i="50"/>
  <c r="AO271" i="50"/>
  <c r="AA271" i="50"/>
  <c r="P271" i="50"/>
  <c r="AF117" i="50"/>
  <c r="R117" i="50"/>
  <c r="G117" i="50"/>
  <c r="AI270" i="50"/>
  <c r="W270" i="50"/>
  <c r="I270" i="50"/>
  <c r="AM269" i="50"/>
  <c r="Z269" i="50"/>
  <c r="N269" i="50"/>
  <c r="AD268" i="50"/>
  <c r="Q268" i="50"/>
  <c r="E268" i="50"/>
  <c r="AI267" i="50"/>
  <c r="U267" i="50"/>
  <c r="H267" i="50"/>
  <c r="AK116" i="50"/>
  <c r="Z116" i="50"/>
  <c r="L116" i="50"/>
  <c r="AB115" i="50"/>
  <c r="Q115" i="50"/>
  <c r="D115" i="50"/>
  <c r="AM114" i="50"/>
  <c r="AA114" i="50"/>
  <c r="Q114" i="50"/>
  <c r="G114" i="50"/>
  <c r="AN113" i="50"/>
  <c r="M268" i="84" s="1"/>
  <c r="AD113" i="50"/>
  <c r="R113" i="50"/>
  <c r="AW113" i="50" s="1"/>
  <c r="H113" i="50"/>
  <c r="AO112" i="50"/>
  <c r="AE112" i="50"/>
  <c r="U112" i="50"/>
  <c r="I112" i="50"/>
  <c r="AF111" i="50"/>
  <c r="V111" i="50"/>
  <c r="L111" i="50"/>
  <c r="AI110" i="50"/>
  <c r="W110" i="50"/>
  <c r="M110" i="50"/>
  <c r="D110" i="50"/>
  <c r="AN109" i="50"/>
  <c r="M128" i="84" s="1"/>
  <c r="AE109" i="50"/>
  <c r="V109" i="50"/>
  <c r="M109" i="50"/>
  <c r="D109" i="50"/>
  <c r="AO108" i="50"/>
  <c r="AE108" i="50"/>
  <c r="V108" i="50"/>
  <c r="M108" i="50"/>
  <c r="D108" i="50"/>
  <c r="AO107" i="50"/>
  <c r="AF107" i="50"/>
  <c r="V107" i="50"/>
  <c r="M107" i="50"/>
  <c r="D107" i="50"/>
  <c r="AO106" i="50"/>
  <c r="AF106" i="50"/>
  <c r="W106" i="50"/>
  <c r="M106" i="50"/>
  <c r="D106" i="50"/>
  <c r="AO105" i="50"/>
  <c r="AF105" i="50"/>
  <c r="X105" i="50"/>
  <c r="P105" i="50"/>
  <c r="H105" i="50"/>
  <c r="AM104" i="50"/>
  <c r="AE104" i="50"/>
  <c r="W104" i="50"/>
  <c r="O104" i="50"/>
  <c r="G104" i="50"/>
  <c r="AL103" i="50"/>
  <c r="AD103" i="50"/>
  <c r="V103" i="50"/>
  <c r="N103" i="50"/>
  <c r="F103" i="50"/>
  <c r="AK102" i="50"/>
  <c r="AC102" i="50"/>
  <c r="U102" i="50"/>
  <c r="M102" i="50"/>
  <c r="E102" i="50"/>
  <c r="AJ101" i="50"/>
  <c r="AB101" i="50"/>
  <c r="T101" i="50"/>
  <c r="L101" i="50"/>
  <c r="D101" i="50"/>
  <c r="AI100" i="50"/>
  <c r="AA100" i="50"/>
  <c r="S100" i="50"/>
  <c r="K100" i="50"/>
  <c r="AH99" i="50"/>
  <c r="Z99" i="50"/>
  <c r="R99" i="50"/>
  <c r="J99" i="50"/>
  <c r="AO98" i="50"/>
  <c r="AG98" i="50"/>
  <c r="Y98" i="50"/>
  <c r="Q98" i="50"/>
  <c r="I98" i="50"/>
  <c r="AN97" i="50"/>
  <c r="M116" i="84" s="1"/>
  <c r="AF97" i="50"/>
  <c r="X97" i="50"/>
  <c r="P97" i="50"/>
  <c r="H97" i="50"/>
  <c r="AM96" i="50"/>
  <c r="AE96" i="50"/>
  <c r="W96" i="50"/>
  <c r="O96" i="50"/>
  <c r="G96" i="50"/>
  <c r="AL95" i="50"/>
  <c r="AD95" i="50"/>
  <c r="V95" i="50"/>
  <c r="N95" i="50"/>
  <c r="F95" i="50"/>
  <c r="AK94" i="50"/>
  <c r="AC94" i="50"/>
  <c r="U94" i="50"/>
  <c r="M94" i="50"/>
  <c r="E94" i="50"/>
  <c r="AJ93" i="50"/>
  <c r="AB93" i="50"/>
  <c r="T93" i="50"/>
  <c r="L93" i="50"/>
  <c r="D93" i="50"/>
  <c r="AI263" i="50"/>
  <c r="AA263" i="50"/>
  <c r="S263" i="50"/>
  <c r="K263" i="50"/>
  <c r="AH262" i="50"/>
  <c r="Z262" i="50"/>
  <c r="R262" i="50"/>
  <c r="J262" i="50"/>
  <c r="AO92" i="50"/>
  <c r="AG92" i="50"/>
  <c r="Y92" i="50"/>
  <c r="Q92" i="50"/>
  <c r="I92" i="50"/>
  <c r="AN91" i="50"/>
  <c r="M101" i="84" s="1"/>
  <c r="AF91" i="50"/>
  <c r="X91" i="50"/>
  <c r="P91" i="50"/>
  <c r="H91" i="50"/>
  <c r="AM90" i="50"/>
  <c r="AE90" i="50"/>
  <c r="W90" i="50"/>
  <c r="O90" i="50"/>
  <c r="G90" i="50"/>
  <c r="AL89" i="50"/>
  <c r="AD89" i="50"/>
  <c r="V89" i="50"/>
  <c r="N89" i="50"/>
  <c r="F89" i="50"/>
  <c r="AK88" i="50"/>
  <c r="AC88" i="50"/>
  <c r="U88" i="50"/>
  <c r="M88" i="50"/>
  <c r="E88" i="50"/>
  <c r="AJ87" i="50"/>
  <c r="AB87" i="50"/>
  <c r="T87" i="50"/>
  <c r="L87" i="50"/>
  <c r="D87" i="50"/>
  <c r="AI86" i="50"/>
  <c r="AA86" i="50"/>
  <c r="S86" i="50"/>
  <c r="K86" i="50"/>
  <c r="AH85" i="50"/>
  <c r="Z85" i="50"/>
  <c r="R85" i="50"/>
  <c r="J85" i="50"/>
  <c r="AO84" i="50"/>
  <c r="AG84" i="50"/>
  <c r="Y84" i="50"/>
  <c r="Q84" i="50"/>
  <c r="I84" i="50"/>
  <c r="AN83" i="50"/>
  <c r="M91" i="84" s="1"/>
  <c r="AF83" i="50"/>
  <c r="X83" i="50"/>
  <c r="P83" i="50"/>
  <c r="AH242" i="50"/>
  <c r="V244" i="50"/>
  <c r="AM150" i="50"/>
  <c r="N148" i="50"/>
  <c r="AU148" i="50" s="1"/>
  <c r="P147" i="50"/>
  <c r="AB146" i="50"/>
  <c r="BB146" i="50" s="1"/>
  <c r="AL145" i="50"/>
  <c r="J144" i="50"/>
  <c r="T143" i="50"/>
  <c r="AX143" i="50" s="1"/>
  <c r="AI142" i="50"/>
  <c r="Q140" i="50"/>
  <c r="AC139" i="50"/>
  <c r="AM138" i="50"/>
  <c r="K137" i="50"/>
  <c r="U248" i="50"/>
  <c r="AJ247" i="50"/>
  <c r="M246" i="50"/>
  <c r="M245" i="50"/>
  <c r="AK136" i="50"/>
  <c r="K136" i="50"/>
  <c r="AK135" i="50"/>
  <c r="I135" i="50"/>
  <c r="AO134" i="50"/>
  <c r="T134" i="50"/>
  <c r="AF133" i="50"/>
  <c r="K133" i="50"/>
  <c r="W132" i="50"/>
  <c r="AH131" i="50"/>
  <c r="N131" i="50"/>
  <c r="Y130" i="50"/>
  <c r="E130" i="50"/>
  <c r="AM129" i="50"/>
  <c r="P129" i="50"/>
  <c r="AD128" i="50"/>
  <c r="G128" i="50"/>
  <c r="U127" i="50"/>
  <c r="AG126" i="50"/>
  <c r="L126" i="50"/>
  <c r="X125" i="50"/>
  <c r="AI124" i="50"/>
  <c r="O124" i="50"/>
  <c r="Z266" i="50"/>
  <c r="BA266" i="50" s="1"/>
  <c r="F266" i="50"/>
  <c r="AN265" i="50"/>
  <c r="M143" i="84" s="1"/>
  <c r="Q265" i="50"/>
  <c r="AE264" i="50"/>
  <c r="H264" i="50"/>
  <c r="V123" i="50"/>
  <c r="AH122" i="50"/>
  <c r="BE122" i="50" s="1"/>
  <c r="R122" i="50"/>
  <c r="AO121" i="50"/>
  <c r="Y121" i="50"/>
  <c r="I121" i="50"/>
  <c r="AF120" i="50"/>
  <c r="BD120" i="50" s="1"/>
  <c r="P120" i="50"/>
  <c r="AM119" i="50"/>
  <c r="W119" i="50"/>
  <c r="G119" i="50"/>
  <c r="AI118" i="50"/>
  <c r="V118" i="50"/>
  <c r="J118" i="50"/>
  <c r="AN271" i="50"/>
  <c r="M142" i="84" s="1"/>
  <c r="Z271" i="50"/>
  <c r="M271" i="50"/>
  <c r="AE117" i="50"/>
  <c r="Q117" i="50"/>
  <c r="D117" i="50"/>
  <c r="AG270" i="50"/>
  <c r="V270" i="50"/>
  <c r="H270" i="50"/>
  <c r="AL269" i="50"/>
  <c r="X269" i="50"/>
  <c r="M269" i="50"/>
  <c r="AO268" i="50"/>
  <c r="AC268" i="50"/>
  <c r="O268" i="50"/>
  <c r="D268" i="50"/>
  <c r="AF267" i="50"/>
  <c r="T267" i="50"/>
  <c r="F267" i="50"/>
  <c r="AQ267" i="50" s="1"/>
  <c r="AJ116" i="50"/>
  <c r="W116" i="50"/>
  <c r="K116" i="50"/>
  <c r="AO115" i="50"/>
  <c r="AA115" i="50"/>
  <c r="N115" i="50"/>
  <c r="AK114" i="50"/>
  <c r="Z114" i="50"/>
  <c r="P114" i="50"/>
  <c r="E114" i="50"/>
  <c r="AM113" i="50"/>
  <c r="AB113" i="50"/>
  <c r="BB113" i="50" s="1"/>
  <c r="Q113" i="50"/>
  <c r="G113" i="50"/>
  <c r="AN112" i="50"/>
  <c r="M133" i="84" s="1"/>
  <c r="AD112" i="50"/>
  <c r="S112" i="50"/>
  <c r="H112" i="50"/>
  <c r="AE111" i="50"/>
  <c r="U111" i="50"/>
  <c r="J111" i="50"/>
  <c r="AG110" i="50"/>
  <c r="V110" i="50"/>
  <c r="L110" i="50"/>
  <c r="AM109" i="50"/>
  <c r="AD109" i="50"/>
  <c r="U109" i="50"/>
  <c r="L109" i="50"/>
  <c r="AM108" i="50"/>
  <c r="AD108" i="50"/>
  <c r="U108" i="50"/>
  <c r="L108" i="50"/>
  <c r="AN107" i="50"/>
  <c r="M125" i="84" s="1"/>
  <c r="AD107" i="50"/>
  <c r="U107" i="50"/>
  <c r="L107" i="50"/>
  <c r="AT107" i="50" s="1"/>
  <c r="AN106" i="50"/>
  <c r="M126" i="84" s="1"/>
  <c r="AE106" i="50"/>
  <c r="U106" i="50"/>
  <c r="L106" i="50"/>
  <c r="AN105" i="50"/>
  <c r="M124" i="84" s="1"/>
  <c r="AE105" i="50"/>
  <c r="W105" i="50"/>
  <c r="O105" i="50"/>
  <c r="G105" i="50"/>
  <c r="AL104" i="50"/>
  <c r="AD104" i="50"/>
  <c r="V104" i="50"/>
  <c r="N104" i="50"/>
  <c r="F104" i="50"/>
  <c r="AK103" i="50"/>
  <c r="AC103" i="50"/>
  <c r="U103" i="50"/>
  <c r="M103" i="50"/>
  <c r="E103" i="50"/>
  <c r="AJ102" i="50"/>
  <c r="AB102" i="50"/>
  <c r="T102" i="50"/>
  <c r="L102" i="50"/>
  <c r="D102" i="50"/>
  <c r="AI101" i="50"/>
  <c r="AA101" i="50"/>
  <c r="S101" i="50"/>
  <c r="K101" i="50"/>
  <c r="AH100" i="50"/>
  <c r="Z100" i="50"/>
  <c r="R100" i="50"/>
  <c r="J100" i="50"/>
  <c r="AO99" i="50"/>
  <c r="AG99" i="50"/>
  <c r="Y99" i="50"/>
  <c r="Q99" i="50"/>
  <c r="I99" i="50"/>
  <c r="AN98" i="50"/>
  <c r="M113" i="84" s="1"/>
  <c r="AF98" i="50"/>
  <c r="X98" i="50"/>
  <c r="P98" i="50"/>
  <c r="H98" i="50"/>
  <c r="AM97" i="50"/>
  <c r="AE97" i="50"/>
  <c r="W97" i="50"/>
  <c r="O97" i="50"/>
  <c r="G97" i="50"/>
  <c r="AL96" i="50"/>
  <c r="AD96" i="50"/>
  <c r="V96" i="50"/>
  <c r="N96" i="50"/>
  <c r="F96" i="50"/>
  <c r="AK95" i="50"/>
  <c r="AC95" i="50"/>
  <c r="U95" i="50"/>
  <c r="M95" i="50"/>
  <c r="E95" i="50"/>
  <c r="AJ94" i="50"/>
  <c r="AB94" i="50"/>
  <c r="T94" i="50"/>
  <c r="L94" i="50"/>
  <c r="D94" i="50"/>
  <c r="AI93" i="50"/>
  <c r="AA93" i="50"/>
  <c r="S93" i="50"/>
  <c r="K93" i="50"/>
  <c r="AH263" i="50"/>
  <c r="Z263" i="50"/>
  <c r="R263" i="50"/>
  <c r="J263" i="50"/>
  <c r="AO262" i="50"/>
  <c r="AG262" i="50"/>
  <c r="Y262" i="50"/>
  <c r="Q262" i="50"/>
  <c r="I262" i="50"/>
  <c r="AN92" i="50"/>
  <c r="M107" i="84" s="1"/>
  <c r="AF92" i="50"/>
  <c r="X92" i="50"/>
  <c r="AC163" i="50"/>
  <c r="O157" i="50"/>
  <c r="F155" i="50"/>
  <c r="E147" i="50"/>
  <c r="O146" i="50"/>
  <c r="AD145" i="50"/>
  <c r="BC145" i="50" s="1"/>
  <c r="L143" i="50"/>
  <c r="X142" i="50"/>
  <c r="AH141" i="50"/>
  <c r="BE141" i="50" s="1"/>
  <c r="F140" i="50"/>
  <c r="P139" i="50"/>
  <c r="AE138" i="50"/>
  <c r="M248" i="50"/>
  <c r="Y247" i="50"/>
  <c r="AJ246" i="50"/>
  <c r="G246" i="50"/>
  <c r="AI245" i="50"/>
  <c r="D245" i="50"/>
  <c r="AG136" i="50"/>
  <c r="D136" i="50"/>
  <c r="AB135" i="50"/>
  <c r="D135" i="50"/>
  <c r="AP135" i="50" s="1"/>
  <c r="AJ134" i="50"/>
  <c r="M134" i="50"/>
  <c r="AA133" i="50"/>
  <c r="D133" i="50"/>
  <c r="AM132" i="50"/>
  <c r="R132" i="50"/>
  <c r="AD131" i="50"/>
  <c r="I131" i="50"/>
  <c r="AO130" i="50"/>
  <c r="U130" i="50"/>
  <c r="AF129" i="50"/>
  <c r="L129" i="50"/>
  <c r="AT129" i="50" s="1"/>
  <c r="W128" i="50"/>
  <c r="AK127" i="50"/>
  <c r="N127" i="50"/>
  <c r="AB126" i="50"/>
  <c r="E126" i="50"/>
  <c r="AN125" i="50"/>
  <c r="M153" i="84" s="1"/>
  <c r="S125" i="50"/>
  <c r="AE124" i="50"/>
  <c r="J124" i="50"/>
  <c r="V266" i="50"/>
  <c r="AG265" i="50"/>
  <c r="M265" i="50"/>
  <c r="X264" i="50"/>
  <c r="D264" i="50"/>
  <c r="AL123" i="50"/>
  <c r="O123" i="50"/>
  <c r="AD122" i="50"/>
  <c r="N122" i="50"/>
  <c r="AU122" i="50" s="1"/>
  <c r="AK121" i="50"/>
  <c r="U121" i="50"/>
  <c r="E121" i="50"/>
  <c r="AB120" i="50"/>
  <c r="L120" i="50"/>
  <c r="AI119" i="50"/>
  <c r="S119" i="50"/>
  <c r="AG118" i="50"/>
  <c r="S118" i="50"/>
  <c r="F118" i="50"/>
  <c r="AI271" i="50"/>
  <c r="X271" i="50"/>
  <c r="J271" i="50"/>
  <c r="AN117" i="50"/>
  <c r="M152" i="84" s="1"/>
  <c r="Z117" i="50"/>
  <c r="O117" i="50"/>
  <c r="AE270" i="50"/>
  <c r="Q270" i="50"/>
  <c r="F270" i="50"/>
  <c r="AH269" i="50"/>
  <c r="V269" i="50"/>
  <c r="H269" i="50"/>
  <c r="AL268" i="50"/>
  <c r="Y268" i="50"/>
  <c r="M268" i="50"/>
  <c r="AC267" i="50"/>
  <c r="P267" i="50"/>
  <c r="D267" i="50"/>
  <c r="AH116" i="50"/>
  <c r="T116" i="50"/>
  <c r="G116" i="50"/>
  <c r="AJ115" i="50"/>
  <c r="BF115" i="50" s="1"/>
  <c r="Y115" i="50"/>
  <c r="K115" i="50"/>
  <c r="AH114" i="50"/>
  <c r="X114" i="50"/>
  <c r="M114" i="50"/>
  <c r="AJ113" i="50"/>
  <c r="Y113" i="50"/>
  <c r="O113" i="50"/>
  <c r="D113" i="50"/>
  <c r="AP113" i="50" s="1"/>
  <c r="AL112" i="50"/>
  <c r="AA112" i="50"/>
  <c r="P112" i="50"/>
  <c r="F112" i="50"/>
  <c r="AM111" i="50"/>
  <c r="AC111" i="50"/>
  <c r="R111" i="50"/>
  <c r="G111" i="50"/>
  <c r="AO110" i="50"/>
  <c r="AD110" i="50"/>
  <c r="T110" i="50"/>
  <c r="I110" i="50"/>
  <c r="AK109" i="50"/>
  <c r="AB109" i="50"/>
  <c r="S109" i="50"/>
  <c r="J109" i="50"/>
  <c r="AK108" i="50"/>
  <c r="AB108" i="50"/>
  <c r="S108" i="50"/>
  <c r="J108" i="50"/>
  <c r="AK107" i="50"/>
  <c r="AB107" i="50"/>
  <c r="S107" i="50"/>
  <c r="J107" i="50"/>
  <c r="AK106" i="50"/>
  <c r="AB106" i="50"/>
  <c r="S106" i="50"/>
  <c r="J106" i="50"/>
  <c r="AL105" i="50"/>
  <c r="AC105" i="50"/>
  <c r="U105" i="50"/>
  <c r="M105" i="50"/>
  <c r="E105" i="50"/>
  <c r="AJ104" i="50"/>
  <c r="AB104" i="50"/>
  <c r="T104" i="50"/>
  <c r="L104" i="50"/>
  <c r="D104" i="50"/>
  <c r="AI103" i="50"/>
  <c r="AA103" i="50"/>
  <c r="S103" i="50"/>
  <c r="K103" i="50"/>
  <c r="AH102" i="50"/>
  <c r="Z102" i="50"/>
  <c r="R102" i="50"/>
  <c r="J102" i="50"/>
  <c r="AO101" i="50"/>
  <c r="AG101" i="50"/>
  <c r="Y101" i="50"/>
  <c r="Q101" i="50"/>
  <c r="I101" i="50"/>
  <c r="AN100" i="50"/>
  <c r="M120" i="84" s="1"/>
  <c r="AF100" i="50"/>
  <c r="X100" i="50"/>
  <c r="P100" i="50"/>
  <c r="H100" i="50"/>
  <c r="AM99" i="50"/>
  <c r="AE99" i="50"/>
  <c r="W99" i="50"/>
  <c r="O99" i="50"/>
  <c r="G99" i="50"/>
  <c r="AL98" i="50"/>
  <c r="AD98" i="50"/>
  <c r="V98" i="50"/>
  <c r="N98" i="50"/>
  <c r="F98" i="50"/>
  <c r="AK97" i="50"/>
  <c r="AC97" i="50"/>
  <c r="U97" i="50"/>
  <c r="M97" i="50"/>
  <c r="E97" i="50"/>
  <c r="AJ96" i="50"/>
  <c r="AB96" i="50"/>
  <c r="T96" i="50"/>
  <c r="L96" i="50"/>
  <c r="D96" i="50"/>
  <c r="AI95" i="50"/>
  <c r="AA95" i="50"/>
  <c r="S95" i="50"/>
  <c r="K95" i="50"/>
  <c r="AH94" i="50"/>
  <c r="Z94" i="50"/>
  <c r="R94" i="50"/>
  <c r="J94" i="50"/>
  <c r="AO93" i="50"/>
  <c r="AG93" i="50"/>
  <c r="Y93" i="50"/>
  <c r="Q93" i="50"/>
  <c r="I93" i="50"/>
  <c r="AN263" i="50"/>
  <c r="M102" i="84" s="1"/>
  <c r="AF263" i="50"/>
  <c r="X263" i="50"/>
  <c r="P263" i="50"/>
  <c r="H263" i="50"/>
  <c r="AM262" i="50"/>
  <c r="AE262" i="50"/>
  <c r="W262" i="50"/>
  <c r="O262" i="50"/>
  <c r="G262" i="50"/>
  <c r="AL92" i="50"/>
  <c r="AD92" i="50"/>
  <c r="V92" i="50"/>
  <c r="N92" i="50"/>
  <c r="F92" i="50"/>
  <c r="AK91" i="50"/>
  <c r="AC91" i="50"/>
  <c r="U91" i="50"/>
  <c r="M91" i="50"/>
  <c r="E91" i="50"/>
  <c r="AJ90" i="50"/>
  <c r="AB90" i="50"/>
  <c r="T90" i="50"/>
  <c r="L90" i="50"/>
  <c r="D90" i="50"/>
  <c r="AI89" i="50"/>
  <c r="AA89" i="50"/>
  <c r="S89" i="50"/>
  <c r="K89" i="50"/>
  <c r="AH88" i="50"/>
  <c r="Z88" i="50"/>
  <c r="R88" i="50"/>
  <c r="J88" i="50"/>
  <c r="AO87" i="50"/>
  <c r="AG87" i="50"/>
  <c r="Y87" i="50"/>
  <c r="Q87" i="50"/>
  <c r="I87" i="50"/>
  <c r="AN86" i="50"/>
  <c r="M97" i="84" s="1"/>
  <c r="AF86" i="50"/>
  <c r="X86" i="50"/>
  <c r="P86" i="50"/>
  <c r="H86" i="50"/>
  <c r="AM85" i="50"/>
  <c r="AE85" i="50"/>
  <c r="W85" i="50"/>
  <c r="O85" i="50"/>
  <c r="G85" i="50"/>
  <c r="AL84" i="50"/>
  <c r="AD84" i="50"/>
  <c r="V84" i="50"/>
  <c r="N84" i="50"/>
  <c r="P154" i="50"/>
  <c r="I148" i="50"/>
  <c r="AN139" i="50"/>
  <c r="M170" i="84" s="1"/>
  <c r="AL137" i="50"/>
  <c r="AB247" i="50"/>
  <c r="AA136" i="50"/>
  <c r="H135" i="50"/>
  <c r="D134" i="50"/>
  <c r="AO266" i="50"/>
  <c r="AK265" i="50"/>
  <c r="AJ264" i="50"/>
  <c r="BF264" i="50" s="1"/>
  <c r="AI123" i="50"/>
  <c r="AF122" i="50"/>
  <c r="D121" i="50"/>
  <c r="N120" i="50"/>
  <c r="AA119" i="50"/>
  <c r="I118" i="50"/>
  <c r="AC271" i="50"/>
  <c r="P117" i="50"/>
  <c r="AL270" i="50"/>
  <c r="W269" i="50"/>
  <c r="L268" i="50"/>
  <c r="AD267" i="50"/>
  <c r="S116" i="50"/>
  <c r="AL115" i="50"/>
  <c r="F115" i="50"/>
  <c r="AG114" i="50"/>
  <c r="AE113" i="50"/>
  <c r="AC112" i="50"/>
  <c r="AB111" i="50"/>
  <c r="Y110" i="50"/>
  <c r="AC109" i="50"/>
  <c r="E109" i="50"/>
  <c r="AJ108" i="50"/>
  <c r="K108" i="50"/>
  <c r="R107" i="50"/>
  <c r="X106" i="50"/>
  <c r="AD105" i="50"/>
  <c r="BC105" i="50" s="1"/>
  <c r="I105" i="50"/>
  <c r="U104" i="50"/>
  <c r="AH103" i="50"/>
  <c r="L103" i="50"/>
  <c r="AT103" i="50" s="1"/>
  <c r="Y102" i="50"/>
  <c r="AK101" i="50"/>
  <c r="P101" i="50"/>
  <c r="AV101" i="50" s="1"/>
  <c r="AB100" i="50"/>
  <c r="G100" i="50"/>
  <c r="AN99" i="50"/>
  <c r="M119" i="84" s="1"/>
  <c r="S99" i="50"/>
  <c r="AE98" i="50"/>
  <c r="J98" i="50"/>
  <c r="V97" i="50"/>
  <c r="AI96" i="50"/>
  <c r="M96" i="50"/>
  <c r="Z95" i="50"/>
  <c r="D95" i="50"/>
  <c r="AL94" i="50"/>
  <c r="Q94" i="50"/>
  <c r="AC93" i="50"/>
  <c r="H93" i="50"/>
  <c r="AR93" i="50" s="1"/>
  <c r="AO263" i="50"/>
  <c r="T263" i="50"/>
  <c r="AF262" i="50"/>
  <c r="K262" i="50"/>
  <c r="W92" i="50"/>
  <c r="G92" i="50"/>
  <c r="AD91" i="50"/>
  <c r="N91" i="50"/>
  <c r="AK90" i="50"/>
  <c r="U90" i="50"/>
  <c r="E90" i="50"/>
  <c r="AB89" i="50"/>
  <c r="L89" i="50"/>
  <c r="AI88" i="50"/>
  <c r="S88" i="50"/>
  <c r="Z87" i="50"/>
  <c r="J87" i="50"/>
  <c r="AG86" i="50"/>
  <c r="R86" i="50"/>
  <c r="E86" i="50"/>
  <c r="AI85" i="50"/>
  <c r="V85" i="50"/>
  <c r="AY85" i="50" s="1"/>
  <c r="I85" i="50"/>
  <c r="AM84" i="50"/>
  <c r="Z84" i="50"/>
  <c r="M84" i="50"/>
  <c r="AK83" i="50"/>
  <c r="AB83" i="50"/>
  <c r="S83" i="50"/>
  <c r="J83" i="50"/>
  <c r="AO82" i="50"/>
  <c r="AG82" i="50"/>
  <c r="Y82" i="50"/>
  <c r="Q82" i="50"/>
  <c r="I82" i="50"/>
  <c r="AN81" i="50"/>
  <c r="M62" i="84" s="1"/>
  <c r="AF81" i="50"/>
  <c r="X81" i="50"/>
  <c r="P81" i="50"/>
  <c r="H81" i="50"/>
  <c r="AM80" i="50"/>
  <c r="AE80" i="50"/>
  <c r="W80" i="50"/>
  <c r="O80" i="50"/>
  <c r="G80" i="50"/>
  <c r="AL79" i="50"/>
  <c r="AD79" i="50"/>
  <c r="V79" i="50"/>
  <c r="N79" i="50"/>
  <c r="F79" i="50"/>
  <c r="AK78" i="50"/>
  <c r="N164" i="50"/>
  <c r="AI145" i="50"/>
  <c r="AG143" i="50"/>
  <c r="AE141" i="50"/>
  <c r="X139" i="50"/>
  <c r="V137" i="50"/>
  <c r="AY137" i="50" s="1"/>
  <c r="T247" i="50"/>
  <c r="AJ245" i="50"/>
  <c r="Q136" i="50"/>
  <c r="AL127" i="50"/>
  <c r="AK126" i="50"/>
  <c r="AJ125" i="50"/>
  <c r="BF125" i="50" s="1"/>
  <c r="AH124" i="50"/>
  <c r="BE124" i="50" s="1"/>
  <c r="AG266" i="50"/>
  <c r="AF265" i="50"/>
  <c r="AB264" i="50"/>
  <c r="AA123" i="50"/>
  <c r="AC122" i="50"/>
  <c r="AM121" i="50"/>
  <c r="K120" i="50"/>
  <c r="U119" i="50"/>
  <c r="AL118" i="50"/>
  <c r="D118" i="50"/>
  <c r="Y271" i="50"/>
  <c r="L117" i="50"/>
  <c r="AT117" i="50" s="1"/>
  <c r="AF270" i="50"/>
  <c r="U269" i="50"/>
  <c r="AM268" i="50"/>
  <c r="F268" i="50"/>
  <c r="AQ268" i="50" s="1"/>
  <c r="AB267" i="50"/>
  <c r="M116" i="50"/>
  <c r="AI115" i="50"/>
  <c r="AC114" i="50"/>
  <c r="Z113" i="50"/>
  <c r="Y112" i="50"/>
  <c r="W111" i="50"/>
  <c r="U110" i="50"/>
  <c r="AA109" i="50"/>
  <c r="AG108" i="50"/>
  <c r="I108" i="50"/>
  <c r="AL107" i="50"/>
  <c r="N107" i="50"/>
  <c r="T106" i="50"/>
  <c r="AB105" i="50"/>
  <c r="F105" i="50"/>
  <c r="AN104" i="50"/>
  <c r="M123" i="84" s="1"/>
  <c r="S104" i="50"/>
  <c r="AE103" i="50"/>
  <c r="J103" i="50"/>
  <c r="V102" i="50"/>
  <c r="AH101" i="50"/>
  <c r="M101" i="50"/>
  <c r="Y100" i="50"/>
  <c r="D100" i="50"/>
  <c r="AL99" i="50"/>
  <c r="P99" i="50"/>
  <c r="AC98" i="50"/>
  <c r="G98" i="50"/>
  <c r="AO97" i="50"/>
  <c r="T97" i="50"/>
  <c r="AF96" i="50"/>
  <c r="K96" i="50"/>
  <c r="W95" i="50"/>
  <c r="AI94" i="50"/>
  <c r="N94" i="50"/>
  <c r="Z93" i="50"/>
  <c r="E93" i="50"/>
  <c r="AM263" i="50"/>
  <c r="Q263" i="50"/>
  <c r="AD262" i="50"/>
  <c r="H262" i="50"/>
  <c r="U92" i="50"/>
  <c r="E92" i="50"/>
  <c r="AB91" i="50"/>
  <c r="L91" i="50"/>
  <c r="AI90" i="50"/>
  <c r="S90" i="50"/>
  <c r="Z89" i="50"/>
  <c r="J89" i="50"/>
  <c r="AG88" i="50"/>
  <c r="Q88" i="50"/>
  <c r="AN87" i="50"/>
  <c r="M100" i="84" s="1"/>
  <c r="X87" i="50"/>
  <c r="H87" i="50"/>
  <c r="AE86" i="50"/>
  <c r="Q86" i="50"/>
  <c r="D86" i="50"/>
  <c r="AG85" i="50"/>
  <c r="T85" i="50"/>
  <c r="H85" i="50"/>
  <c r="AK84" i="50"/>
  <c r="X84" i="50"/>
  <c r="K84" i="50"/>
  <c r="AJ83" i="50"/>
  <c r="AA83" i="50"/>
  <c r="R83" i="50"/>
  <c r="I83" i="50"/>
  <c r="AN82" i="50"/>
  <c r="M90" i="84" s="1"/>
  <c r="AF82" i="50"/>
  <c r="X82" i="50"/>
  <c r="P82" i="50"/>
  <c r="H82" i="50"/>
  <c r="AM81" i="50"/>
  <c r="AE81" i="50"/>
  <c r="W81" i="50"/>
  <c r="O81" i="50"/>
  <c r="G81" i="50"/>
  <c r="AL80" i="50"/>
  <c r="AD80" i="50"/>
  <c r="V80" i="50"/>
  <c r="N80" i="50"/>
  <c r="F80" i="50"/>
  <c r="AK79" i="50"/>
  <c r="AC79" i="50"/>
  <c r="U79" i="50"/>
  <c r="M79" i="50"/>
  <c r="E79" i="50"/>
  <c r="AJ78" i="50"/>
  <c r="AB78" i="50"/>
  <c r="T78" i="50"/>
  <c r="L78" i="50"/>
  <c r="D78" i="50"/>
  <c r="AI77" i="50"/>
  <c r="AA77" i="50"/>
  <c r="S77" i="50"/>
  <c r="K77" i="50"/>
  <c r="AH76" i="50"/>
  <c r="Z76" i="50"/>
  <c r="R76" i="50"/>
  <c r="J76" i="50"/>
  <c r="AO261" i="50"/>
  <c r="AG261" i="50"/>
  <c r="Y261" i="50"/>
  <c r="Q261" i="50"/>
  <c r="I261" i="50"/>
  <c r="AN75" i="50"/>
  <c r="M82" i="84" s="1"/>
  <c r="AF75" i="50"/>
  <c r="X75" i="50"/>
  <c r="P75" i="50"/>
  <c r="H75" i="50"/>
  <c r="AM74" i="50"/>
  <c r="AE74" i="50"/>
  <c r="W74" i="50"/>
  <c r="O74" i="50"/>
  <c r="G74" i="50"/>
  <c r="AL73" i="50"/>
  <c r="AD73" i="50"/>
  <c r="V73" i="50"/>
  <c r="N73" i="50"/>
  <c r="F73" i="50"/>
  <c r="AK260" i="50"/>
  <c r="AC260" i="50"/>
  <c r="U260" i="50"/>
  <c r="M260" i="50"/>
  <c r="E260" i="50"/>
  <c r="AJ259" i="50"/>
  <c r="AB259" i="50"/>
  <c r="T259" i="50"/>
  <c r="L259" i="50"/>
  <c r="D259" i="50"/>
  <c r="AI258" i="50"/>
  <c r="AA258" i="50"/>
  <c r="S258" i="50"/>
  <c r="K258" i="50"/>
  <c r="AH257" i="50"/>
  <c r="Z257" i="50"/>
  <c r="R257" i="50"/>
  <c r="J257" i="50"/>
  <c r="AO256" i="50"/>
  <c r="AG256" i="50"/>
  <c r="Y256" i="50"/>
  <c r="Q256" i="50"/>
  <c r="I256" i="50"/>
  <c r="AN72" i="50"/>
  <c r="M79" i="84" s="1"/>
  <c r="AF72" i="50"/>
  <c r="X72" i="50"/>
  <c r="P72" i="50"/>
  <c r="H72" i="50"/>
  <c r="AM71" i="50"/>
  <c r="AE71" i="50"/>
  <c r="W71" i="50"/>
  <c r="O71" i="50"/>
  <c r="G71" i="50"/>
  <c r="AL70" i="50"/>
  <c r="AD70" i="50"/>
  <c r="V70" i="50"/>
  <c r="N70" i="50"/>
  <c r="F70" i="50"/>
  <c r="AK69" i="50"/>
  <c r="AC69" i="50"/>
  <c r="U69" i="50"/>
  <c r="M69" i="50"/>
  <c r="E69" i="50"/>
  <c r="AJ68" i="50"/>
  <c r="AB68" i="50"/>
  <c r="T68" i="50"/>
  <c r="L68" i="50"/>
  <c r="D68" i="50"/>
  <c r="AI67" i="50"/>
  <c r="AA67" i="50"/>
  <c r="S67" i="50"/>
  <c r="K67" i="50"/>
  <c r="AH66" i="50"/>
  <c r="Z66" i="50"/>
  <c r="R66" i="50"/>
  <c r="J66" i="50"/>
  <c r="AO65" i="50"/>
  <c r="AG65" i="50"/>
  <c r="Y65" i="50"/>
  <c r="Q65" i="50"/>
  <c r="I65" i="50"/>
  <c r="AN255" i="50"/>
  <c r="M237" i="84" s="1"/>
  <c r="AF255" i="50"/>
  <c r="X255" i="50"/>
  <c r="P255" i="50"/>
  <c r="H255" i="50"/>
  <c r="AM254" i="50"/>
  <c r="AE254" i="50"/>
  <c r="W254" i="50"/>
  <c r="O254" i="50"/>
  <c r="G254" i="50"/>
  <c r="AL253" i="50"/>
  <c r="AD253" i="50"/>
  <c r="V253" i="50"/>
  <c r="N253" i="50"/>
  <c r="AB162" i="50"/>
  <c r="X147" i="50"/>
  <c r="V145" i="50"/>
  <c r="Q143" i="50"/>
  <c r="O141" i="50"/>
  <c r="M139" i="50"/>
  <c r="F137" i="50"/>
  <c r="D247" i="50"/>
  <c r="AP247" i="50" s="1"/>
  <c r="AD245" i="50"/>
  <c r="BC245" i="50" s="1"/>
  <c r="E136" i="50"/>
  <c r="AO131" i="50"/>
  <c r="AN130" i="50"/>
  <c r="M165" i="84" s="1"/>
  <c r="AJ129" i="50"/>
  <c r="BF129" i="50" s="1"/>
  <c r="AI128" i="50"/>
  <c r="AH127" i="50"/>
  <c r="BE127" i="50" s="1"/>
  <c r="AC126" i="50"/>
  <c r="AB125" i="50"/>
  <c r="AA124" i="50"/>
  <c r="Y266" i="50"/>
  <c r="X265" i="50"/>
  <c r="AZ265" i="50" s="1"/>
  <c r="W264" i="50"/>
  <c r="S123" i="50"/>
  <c r="V122" i="50"/>
  <c r="AJ121" i="50"/>
  <c r="D120" i="50"/>
  <c r="R119" i="50"/>
  <c r="AH118" i="50"/>
  <c r="U271" i="50"/>
  <c r="AO117" i="50"/>
  <c r="H117" i="50"/>
  <c r="AD270" i="50"/>
  <c r="O269" i="50"/>
  <c r="AK268" i="50"/>
  <c r="V267" i="50"/>
  <c r="AY267" i="50" s="1"/>
  <c r="J116" i="50"/>
  <c r="AD115" i="50"/>
  <c r="BC115" i="50" s="1"/>
  <c r="Y114" i="50"/>
  <c r="X113" i="50"/>
  <c r="V112" i="50"/>
  <c r="T111" i="50"/>
  <c r="AX111" i="50" s="1"/>
  <c r="S110" i="50"/>
  <c r="W109" i="50"/>
  <c r="AC108" i="50"/>
  <c r="E108" i="50"/>
  <c r="AJ107" i="50"/>
  <c r="K107" i="50"/>
  <c r="R106" i="50"/>
  <c r="Y105" i="50"/>
  <c r="D105" i="50"/>
  <c r="AK104" i="50"/>
  <c r="P104" i="50"/>
  <c r="AB103" i="50"/>
  <c r="G103" i="50"/>
  <c r="AO102" i="50"/>
  <c r="S102" i="50"/>
  <c r="AF101" i="50"/>
  <c r="J101" i="50"/>
  <c r="W100" i="50"/>
  <c r="AI99" i="50"/>
  <c r="N99" i="50"/>
  <c r="Z98" i="50"/>
  <c r="E98" i="50"/>
  <c r="W160" i="50"/>
  <c r="U152" i="50"/>
  <c r="H147" i="50"/>
  <c r="F145" i="50"/>
  <c r="AQ145" i="50" s="1"/>
  <c r="D143" i="50"/>
  <c r="T245" i="50"/>
  <c r="AX245" i="50" s="1"/>
  <c r="AK134" i="50"/>
  <c r="AJ133" i="50"/>
  <c r="AI132" i="50"/>
  <c r="AG131" i="50"/>
  <c r="AF130" i="50"/>
  <c r="AE129" i="50"/>
  <c r="AA128" i="50"/>
  <c r="Z127" i="50"/>
  <c r="Y126" i="50"/>
  <c r="T125" i="50"/>
  <c r="S124" i="50"/>
  <c r="R266" i="50"/>
  <c r="P265" i="50"/>
  <c r="AV265" i="50" s="1"/>
  <c r="O264" i="50"/>
  <c r="N123" i="50"/>
  <c r="P122" i="50"/>
  <c r="AC121" i="50"/>
  <c r="K119" i="50"/>
  <c r="AD118" i="50"/>
  <c r="Q271" i="50"/>
  <c r="AM117" i="50"/>
  <c r="X270" i="50"/>
  <c r="J269" i="50"/>
  <c r="AE268" i="50"/>
  <c r="S267" i="50"/>
  <c r="AM116" i="50"/>
  <c r="E116" i="50"/>
  <c r="Z115" i="50"/>
  <c r="W114" i="50"/>
  <c r="T113" i="50"/>
  <c r="Q112" i="50"/>
  <c r="P111" i="50"/>
  <c r="N110" i="50"/>
  <c r="AU110" i="50" s="1"/>
  <c r="T109" i="50"/>
  <c r="AA108" i="50"/>
  <c r="AG107" i="50"/>
  <c r="I107" i="50"/>
  <c r="AM106" i="50"/>
  <c r="O106" i="50"/>
  <c r="V105" i="50"/>
  <c r="AI104" i="50"/>
  <c r="M104" i="50"/>
  <c r="Z103" i="50"/>
  <c r="D103" i="50"/>
  <c r="AL102" i="50"/>
  <c r="Q102" i="50"/>
  <c r="AC101" i="50"/>
  <c r="H101" i="50"/>
  <c r="AO100" i="50"/>
  <c r="T100" i="50"/>
  <c r="AF99" i="50"/>
  <c r="K99" i="50"/>
  <c r="W98" i="50"/>
  <c r="AJ97" i="50"/>
  <c r="N97" i="50"/>
  <c r="AA96" i="50"/>
  <c r="E96" i="50"/>
  <c r="AM95" i="50"/>
  <c r="R95" i="50"/>
  <c r="AD94" i="50"/>
  <c r="I94" i="50"/>
  <c r="U93" i="50"/>
  <c r="AG263" i="50"/>
  <c r="L263" i="50"/>
  <c r="X262" i="50"/>
  <c r="AK92" i="50"/>
  <c r="P92" i="50"/>
  <c r="AM91" i="50"/>
  <c r="W91" i="50"/>
  <c r="G91" i="50"/>
  <c r="AD90" i="50"/>
  <c r="N90" i="50"/>
  <c r="AK89" i="50"/>
  <c r="U89" i="50"/>
  <c r="E89" i="50"/>
  <c r="AB88" i="50"/>
  <c r="L88" i="50"/>
  <c r="AI87" i="50"/>
  <c r="S87" i="50"/>
  <c r="Z86" i="50"/>
  <c r="M86" i="50"/>
  <c r="AD85" i="50"/>
  <c r="Q85" i="50"/>
  <c r="D85" i="50"/>
  <c r="AP85" i="50" s="1"/>
  <c r="AH84" i="50"/>
  <c r="U84" i="50"/>
  <c r="H84" i="50"/>
  <c r="AH83" i="50"/>
  <c r="Y83" i="50"/>
  <c r="O83" i="50"/>
  <c r="G83" i="50"/>
  <c r="AL82" i="50"/>
  <c r="AD82" i="50"/>
  <c r="V82" i="50"/>
  <c r="N82" i="50"/>
  <c r="F82" i="50"/>
  <c r="AK81" i="50"/>
  <c r="AC81" i="50"/>
  <c r="U81" i="50"/>
  <c r="M81" i="50"/>
  <c r="E81" i="50"/>
  <c r="AJ80" i="50"/>
  <c r="AB80" i="50"/>
  <c r="T80" i="50"/>
  <c r="L80" i="50"/>
  <c r="D80" i="50"/>
  <c r="AI79" i="50"/>
  <c r="AA79" i="50"/>
  <c r="S79" i="50"/>
  <c r="K79" i="50"/>
  <c r="AH78" i="50"/>
  <c r="Z78" i="50"/>
  <c r="R78" i="50"/>
  <c r="J78" i="50"/>
  <c r="AO77" i="50"/>
  <c r="AG77" i="50"/>
  <c r="Y77" i="50"/>
  <c r="Q77" i="50"/>
  <c r="I77" i="50"/>
  <c r="AN76" i="50"/>
  <c r="M84" i="84" s="1"/>
  <c r="AF76" i="50"/>
  <c r="X76" i="50"/>
  <c r="P76" i="50"/>
  <c r="H76" i="50"/>
  <c r="AM261" i="50"/>
  <c r="AE261" i="50"/>
  <c r="W261" i="50"/>
  <c r="O261" i="50"/>
  <c r="G261" i="50"/>
  <c r="AL75" i="50"/>
  <c r="AD75" i="50"/>
  <c r="V75" i="50"/>
  <c r="N75" i="50"/>
  <c r="F75" i="50"/>
  <c r="AK74" i="50"/>
  <c r="AC74" i="50"/>
  <c r="U74" i="50"/>
  <c r="M74" i="50"/>
  <c r="E74" i="50"/>
  <c r="AJ73" i="50"/>
  <c r="AB73" i="50"/>
  <c r="T73" i="50"/>
  <c r="L73" i="50"/>
  <c r="D73" i="50"/>
  <c r="AI260" i="50"/>
  <c r="AA260" i="50"/>
  <c r="S260" i="50"/>
  <c r="K260" i="50"/>
  <c r="AH259" i="50"/>
  <c r="Z259" i="50"/>
  <c r="R259" i="50"/>
  <c r="J259" i="50"/>
  <c r="AO258" i="50"/>
  <c r="AG258" i="50"/>
  <c r="Y258" i="50"/>
  <c r="Q258" i="50"/>
  <c r="I258" i="50"/>
  <c r="AN257" i="50"/>
  <c r="M72" i="84" s="1"/>
  <c r="AF257" i="50"/>
  <c r="X257" i="50"/>
  <c r="P257" i="50"/>
  <c r="H257" i="50"/>
  <c r="AM256" i="50"/>
  <c r="AE256" i="50"/>
  <c r="W256" i="50"/>
  <c r="O256" i="50"/>
  <c r="G256" i="50"/>
  <c r="AL72" i="50"/>
  <c r="AD72" i="50"/>
  <c r="V72" i="50"/>
  <c r="N72" i="50"/>
  <c r="F72" i="50"/>
  <c r="AK71" i="50"/>
  <c r="AC71" i="50"/>
  <c r="U71" i="50"/>
  <c r="M71" i="50"/>
  <c r="E71" i="50"/>
  <c r="AJ70" i="50"/>
  <c r="AB70" i="50"/>
  <c r="T70" i="50"/>
  <c r="L70" i="50"/>
  <c r="D70" i="50"/>
  <c r="AI69" i="50"/>
  <c r="AA69" i="50"/>
  <c r="S69" i="50"/>
  <c r="K69" i="50"/>
  <c r="AH68" i="50"/>
  <c r="Z68" i="50"/>
  <c r="R68" i="50"/>
  <c r="J68" i="50"/>
  <c r="AO67" i="50"/>
  <c r="AG67" i="50"/>
  <c r="Y67" i="50"/>
  <c r="Q67" i="50"/>
  <c r="I67" i="50"/>
  <c r="AN66" i="50"/>
  <c r="M74" i="84" s="1"/>
  <c r="AF66" i="50"/>
  <c r="X66" i="50"/>
  <c r="P66" i="50"/>
  <c r="H66" i="50"/>
  <c r="AM65" i="50"/>
  <c r="AE65" i="50"/>
  <c r="W65" i="50"/>
  <c r="O65" i="50"/>
  <c r="G65" i="50"/>
  <c r="AL255" i="50"/>
  <c r="AD255" i="50"/>
  <c r="V255" i="50"/>
  <c r="N255" i="50"/>
  <c r="F255" i="50"/>
  <c r="AK254" i="50"/>
  <c r="AC254" i="50"/>
  <c r="U254" i="50"/>
  <c r="M254" i="50"/>
  <c r="E254" i="50"/>
  <c r="AJ253" i="50"/>
  <c r="AB253" i="50"/>
  <c r="T253" i="50"/>
  <c r="L253" i="50"/>
  <c r="D253" i="50"/>
  <c r="AI252" i="50"/>
  <c r="AA252" i="50"/>
  <c r="S252" i="50"/>
  <c r="K252" i="50"/>
  <c r="AH64" i="50"/>
  <c r="Z64" i="50"/>
  <c r="R64" i="50"/>
  <c r="J64" i="50"/>
  <c r="AO63" i="50"/>
  <c r="AG63" i="50"/>
  <c r="Y63" i="50"/>
  <c r="Q63" i="50"/>
  <c r="I63" i="50"/>
  <c r="AN62" i="50"/>
  <c r="M63" i="84" s="1"/>
  <c r="AF62" i="50"/>
  <c r="X62" i="50"/>
  <c r="P62" i="50"/>
  <c r="H62" i="50"/>
  <c r="AM61" i="50"/>
  <c r="AE61" i="50"/>
  <c r="W61" i="50"/>
  <c r="O61" i="50"/>
  <c r="G61" i="50"/>
  <c r="AL60" i="50"/>
  <c r="AD60" i="50"/>
  <c r="V60" i="50"/>
  <c r="N60" i="50"/>
  <c r="F60" i="50"/>
  <c r="AK59" i="50"/>
  <c r="BF59" i="50" s="1"/>
  <c r="AC59" i="50"/>
  <c r="U59" i="50"/>
  <c r="M59" i="50"/>
  <c r="AT59" i="50" s="1"/>
  <c r="E59" i="50"/>
  <c r="AJ58" i="50"/>
  <c r="AB58" i="50"/>
  <c r="T58" i="50"/>
  <c r="L58" i="50"/>
  <c r="D58" i="50"/>
  <c r="AI57" i="50"/>
  <c r="AA57" i="50"/>
  <c r="BA57" i="50" s="1"/>
  <c r="S57" i="50"/>
  <c r="T151" i="50"/>
  <c r="AX151" i="50" s="1"/>
  <c r="AO140" i="50"/>
  <c r="AJ138" i="50"/>
  <c r="AH248" i="50"/>
  <c r="BE248" i="50" s="1"/>
  <c r="AI246" i="50"/>
  <c r="J245" i="50"/>
  <c r="AG134" i="50"/>
  <c r="AB133" i="50"/>
  <c r="AA132" i="50"/>
  <c r="Z131" i="50"/>
  <c r="X130" i="50"/>
  <c r="W129" i="50"/>
  <c r="V128" i="50"/>
  <c r="R127" i="50"/>
  <c r="Q126" i="50"/>
  <c r="P125" i="50"/>
  <c r="K124" i="50"/>
  <c r="J266" i="50"/>
  <c r="I265" i="50"/>
  <c r="G264" i="50"/>
  <c r="F123" i="50"/>
  <c r="M122" i="50"/>
  <c r="W121" i="50"/>
  <c r="AJ120" i="50"/>
  <c r="BF120" i="50" s="1"/>
  <c r="E119" i="50"/>
  <c r="Z118" i="50"/>
  <c r="K271" i="50"/>
  <c r="AG117" i="50"/>
  <c r="S270" i="50"/>
  <c r="AN269" i="50"/>
  <c r="M135" i="84" s="1"/>
  <c r="G269" i="50"/>
  <c r="AB268" i="50"/>
  <c r="N267" i="50"/>
  <c r="AI116" i="50"/>
  <c r="V115" i="50"/>
  <c r="R114" i="50"/>
  <c r="P113" i="50"/>
  <c r="O112" i="50"/>
  <c r="AN111" i="50"/>
  <c r="M200" i="84" s="1"/>
  <c r="M111" i="50"/>
  <c r="AM110" i="50"/>
  <c r="K110" i="50"/>
  <c r="R109" i="50"/>
  <c r="W108" i="50"/>
  <c r="AC107" i="50"/>
  <c r="E107" i="50"/>
  <c r="AJ106" i="50"/>
  <c r="K106" i="50"/>
  <c r="T105" i="50"/>
  <c r="AX105" i="50" s="1"/>
  <c r="AF104" i="50"/>
  <c r="K104" i="50"/>
  <c r="W103" i="50"/>
  <c r="AI102" i="50"/>
  <c r="N102" i="50"/>
  <c r="Z101" i="50"/>
  <c r="BA101" i="50" s="1"/>
  <c r="E101" i="50"/>
  <c r="AM100" i="50"/>
  <c r="Q100" i="50"/>
  <c r="AD99" i="50"/>
  <c r="H99" i="50"/>
  <c r="AR99" i="50" s="1"/>
  <c r="U98" i="50"/>
  <c r="AG97" i="50"/>
  <c r="L97" i="50"/>
  <c r="X96" i="50"/>
  <c r="AJ95" i="50"/>
  <c r="O95" i="50"/>
  <c r="AA94" i="50"/>
  <c r="F94" i="50"/>
  <c r="AN93" i="50"/>
  <c r="M104" i="84" s="1"/>
  <c r="R93" i="50"/>
  <c r="AE263" i="50"/>
  <c r="I263" i="50"/>
  <c r="V262" i="50"/>
  <c r="AH92" i="50"/>
  <c r="O92" i="50"/>
  <c r="AL91" i="50"/>
  <c r="V91" i="50"/>
  <c r="F91" i="50"/>
  <c r="AC90" i="50"/>
  <c r="M90" i="50"/>
  <c r="AJ89" i="50"/>
  <c r="T89" i="50"/>
  <c r="D89" i="50"/>
  <c r="AA88" i="50"/>
  <c r="K88" i="50"/>
  <c r="AH87" i="50"/>
  <c r="R87" i="50"/>
  <c r="AO86" i="50"/>
  <c r="Y86" i="50"/>
  <c r="L86" i="50"/>
  <c r="AO85" i="50"/>
  <c r="AB85" i="50"/>
  <c r="BB85" i="50" s="1"/>
  <c r="P85" i="50"/>
  <c r="AF84" i="50"/>
  <c r="S84" i="50"/>
  <c r="G84" i="50"/>
  <c r="AG83" i="50"/>
  <c r="W83" i="50"/>
  <c r="N83" i="50"/>
  <c r="F83" i="50"/>
  <c r="AK82" i="50"/>
  <c r="AC82" i="50"/>
  <c r="U82" i="50"/>
  <c r="M82" i="50"/>
  <c r="E82" i="50"/>
  <c r="AJ81" i="50"/>
  <c r="AB81" i="50"/>
  <c r="T81" i="50"/>
  <c r="L81" i="50"/>
  <c r="D81" i="50"/>
  <c r="AI80" i="50"/>
  <c r="AA80" i="50"/>
  <c r="S80" i="50"/>
  <c r="K80" i="50"/>
  <c r="AH79" i="50"/>
  <c r="Z79" i="50"/>
  <c r="R79" i="50"/>
  <c r="J79" i="50"/>
  <c r="AO78" i="50"/>
  <c r="AG78" i="50"/>
  <c r="Y78" i="50"/>
  <c r="Q78" i="50"/>
  <c r="I78" i="50"/>
  <c r="AN77" i="50"/>
  <c r="M206" i="84" s="1"/>
  <c r="AF77" i="50"/>
  <c r="X77" i="50"/>
  <c r="P77" i="50"/>
  <c r="H77" i="50"/>
  <c r="AM76" i="50"/>
  <c r="AE76" i="50"/>
  <c r="W76" i="50"/>
  <c r="O76" i="50"/>
  <c r="G76" i="50"/>
  <c r="AL261" i="50"/>
  <c r="AD261" i="50"/>
  <c r="V261" i="50"/>
  <c r="N261" i="50"/>
  <c r="F261" i="50"/>
  <c r="AK75" i="50"/>
  <c r="AC75" i="50"/>
  <c r="U75" i="50"/>
  <c r="M75" i="50"/>
  <c r="E75" i="50"/>
  <c r="AJ74" i="50"/>
  <c r="AB74" i="50"/>
  <c r="T74" i="50"/>
  <c r="L74" i="50"/>
  <c r="D74" i="50"/>
  <c r="AI73" i="50"/>
  <c r="AA73" i="50"/>
  <c r="S73" i="50"/>
  <c r="K73" i="50"/>
  <c r="AH260" i="50"/>
  <c r="Z260" i="50"/>
  <c r="R260" i="50"/>
  <c r="J260" i="50"/>
  <c r="AO259" i="50"/>
  <c r="AG259" i="50"/>
  <c r="Y259" i="50"/>
  <c r="Q259" i="50"/>
  <c r="I259" i="50"/>
  <c r="AN258" i="50"/>
  <c r="M71" i="84" s="1"/>
  <c r="AF258" i="50"/>
  <c r="X258" i="50"/>
  <c r="P258" i="50"/>
  <c r="H258" i="50"/>
  <c r="AM257" i="50"/>
  <c r="AE257" i="50"/>
  <c r="W257" i="50"/>
  <c r="O257" i="50"/>
  <c r="G257" i="50"/>
  <c r="AL256" i="50"/>
  <c r="AD256" i="50"/>
  <c r="V256" i="50"/>
  <c r="N256" i="50"/>
  <c r="F256" i="50"/>
  <c r="AK72" i="50"/>
  <c r="AC72" i="50"/>
  <c r="U72" i="50"/>
  <c r="M72" i="50"/>
  <c r="E72" i="50"/>
  <c r="AJ71" i="50"/>
  <c r="AB71" i="50"/>
  <c r="T71" i="50"/>
  <c r="L71" i="50"/>
  <c r="D71" i="50"/>
  <c r="AI70" i="50"/>
  <c r="AA70" i="50"/>
  <c r="S70" i="50"/>
  <c r="K70" i="50"/>
  <c r="AH69" i="50"/>
  <c r="Z69" i="50"/>
  <c r="R69" i="50"/>
  <c r="J69" i="50"/>
  <c r="AO68" i="50"/>
  <c r="AG68" i="50"/>
  <c r="Y68" i="50"/>
  <c r="Q68" i="50"/>
  <c r="I68" i="50"/>
  <c r="AN67" i="50"/>
  <c r="M218" i="84" s="1"/>
  <c r="AF67" i="50"/>
  <c r="X67" i="50"/>
  <c r="S241" i="50"/>
  <c r="P150" i="50"/>
  <c r="AV150" i="50" s="1"/>
  <c r="AM146" i="50"/>
  <c r="AK144" i="50"/>
  <c r="AA142" i="50"/>
  <c r="Y140" i="50"/>
  <c r="W138" i="50"/>
  <c r="R248" i="50"/>
  <c r="V246" i="50"/>
  <c r="AH135" i="50"/>
  <c r="Y134" i="50"/>
  <c r="X133" i="50"/>
  <c r="S132" i="50"/>
  <c r="R131" i="50"/>
  <c r="AW131" i="50" s="1"/>
  <c r="Q130" i="50"/>
  <c r="O129" i="50"/>
  <c r="N128" i="50"/>
  <c r="M127" i="50"/>
  <c r="I126" i="50"/>
  <c r="H125" i="50"/>
  <c r="G124" i="50"/>
  <c r="F122" i="50"/>
  <c r="AQ122" i="50" s="1"/>
  <c r="T121" i="50"/>
  <c r="AD120" i="50"/>
  <c r="BC120" i="50" s="1"/>
  <c r="T118" i="50"/>
  <c r="AX118" i="50" s="1"/>
  <c r="I271" i="50"/>
  <c r="AB117" i="50"/>
  <c r="P270" i="50"/>
  <c r="AK269" i="50"/>
  <c r="W268" i="50"/>
  <c r="K267" i="50"/>
  <c r="AE116" i="50"/>
  <c r="R115" i="50"/>
  <c r="L156" i="50"/>
  <c r="AT156" i="50" s="1"/>
  <c r="AL149" i="50"/>
  <c r="W146" i="50"/>
  <c r="U144" i="50"/>
  <c r="S142" i="50"/>
  <c r="I140" i="50"/>
  <c r="G138" i="50"/>
  <c r="E248" i="50"/>
  <c r="L246" i="50"/>
  <c r="AT246" i="50" s="1"/>
  <c r="AA135" i="50"/>
  <c r="Q134" i="50"/>
  <c r="P133" i="50"/>
  <c r="AV133" i="50" s="1"/>
  <c r="O132" i="50"/>
  <c r="AL155" i="50"/>
  <c r="I130" i="50"/>
  <c r="D126" i="50"/>
  <c r="M121" i="50"/>
  <c r="R118" i="50"/>
  <c r="T268" i="50"/>
  <c r="K114" i="50"/>
  <c r="AM112" i="50"/>
  <c r="AD111" i="50"/>
  <c r="E110" i="50"/>
  <c r="AC106" i="50"/>
  <c r="Q105" i="50"/>
  <c r="X104" i="50"/>
  <c r="R103" i="50"/>
  <c r="K102" i="50"/>
  <c r="R101" i="50"/>
  <c r="L100" i="50"/>
  <c r="AT100" i="50" s="1"/>
  <c r="F99" i="50"/>
  <c r="M98" i="50"/>
  <c r="Q97" i="50"/>
  <c r="AC96" i="50"/>
  <c r="K94" i="50"/>
  <c r="X93" i="50"/>
  <c r="AZ93" i="50" s="1"/>
  <c r="AJ263" i="50"/>
  <c r="F262" i="50"/>
  <c r="R92" i="50"/>
  <c r="AO91" i="50"/>
  <c r="I91" i="50"/>
  <c r="AF90" i="50"/>
  <c r="W89" i="50"/>
  <c r="N88" i="50"/>
  <c r="AU88" i="50" s="1"/>
  <c r="AK87" i="50"/>
  <c r="E87" i="50"/>
  <c r="AB86" i="50"/>
  <c r="AF85" i="50"/>
  <c r="F85" i="50"/>
  <c r="AI84" i="50"/>
  <c r="J84" i="50"/>
  <c r="Z83" i="50"/>
  <c r="H83" i="50"/>
  <c r="AE82" i="50"/>
  <c r="O82" i="50"/>
  <c r="AL81" i="50"/>
  <c r="V81" i="50"/>
  <c r="F81" i="50"/>
  <c r="AC80" i="50"/>
  <c r="M80" i="50"/>
  <c r="AJ79" i="50"/>
  <c r="T79" i="50"/>
  <c r="AX79" i="50" s="1"/>
  <c r="D79" i="50"/>
  <c r="AC78" i="50"/>
  <c r="O78" i="50"/>
  <c r="AE77" i="50"/>
  <c r="T77" i="50"/>
  <c r="F77" i="50"/>
  <c r="AJ76" i="50"/>
  <c r="V76" i="50"/>
  <c r="K76" i="50"/>
  <c r="AN261" i="50"/>
  <c r="M81" i="84" s="1"/>
  <c r="AA261" i="50"/>
  <c r="M261" i="50"/>
  <c r="AE75" i="50"/>
  <c r="R75" i="50"/>
  <c r="D75" i="50"/>
  <c r="AH74" i="50"/>
  <c r="V74" i="50"/>
  <c r="I74" i="50"/>
  <c r="AM73" i="50"/>
  <c r="Y73" i="50"/>
  <c r="M73" i="50"/>
  <c r="AO260" i="50"/>
  <c r="AD260" i="50"/>
  <c r="P260" i="50"/>
  <c r="D260" i="50"/>
  <c r="AF259" i="50"/>
  <c r="U259" i="50"/>
  <c r="G259" i="50"/>
  <c r="AK258" i="50"/>
  <c r="W258" i="50"/>
  <c r="L258" i="50"/>
  <c r="AO257" i="50"/>
  <c r="AB257" i="50"/>
  <c r="N257" i="50"/>
  <c r="AF256" i="50"/>
  <c r="S256" i="50"/>
  <c r="E256" i="50"/>
  <c r="AI72" i="50"/>
  <c r="W72" i="50"/>
  <c r="J72" i="50"/>
  <c r="AN71" i="50"/>
  <c r="M231" i="84" s="1"/>
  <c r="Z71" i="50"/>
  <c r="N71" i="50"/>
  <c r="AU71" i="50" s="1"/>
  <c r="AE70" i="50"/>
  <c r="Q70" i="50"/>
  <c r="E70" i="50"/>
  <c r="AG69" i="50"/>
  <c r="V69" i="50"/>
  <c r="H69" i="50"/>
  <c r="AL68" i="50"/>
  <c r="X68" i="50"/>
  <c r="M68" i="50"/>
  <c r="AC67" i="50"/>
  <c r="P67" i="50"/>
  <c r="F67" i="50"/>
  <c r="AM66" i="50"/>
  <c r="AC66" i="50"/>
  <c r="S66" i="50"/>
  <c r="G66" i="50"/>
  <c r="AD65" i="50"/>
  <c r="BC65" i="50" s="1"/>
  <c r="T65" i="50"/>
  <c r="J65" i="50"/>
  <c r="AG255" i="50"/>
  <c r="U255" i="50"/>
  <c r="K255" i="50"/>
  <c r="AH254" i="50"/>
  <c r="X254" i="50"/>
  <c r="L254" i="50"/>
  <c r="AI253" i="50"/>
  <c r="Y253" i="50"/>
  <c r="O253" i="50"/>
  <c r="E253" i="50"/>
  <c r="AO252" i="50"/>
  <c r="AF252" i="50"/>
  <c r="AJ136" i="50"/>
  <c r="G121" i="50"/>
  <c r="L118" i="50"/>
  <c r="AT118" i="50" s="1"/>
  <c r="AO270" i="50"/>
  <c r="N268" i="50"/>
  <c r="H114" i="50"/>
  <c r="AK112" i="50"/>
  <c r="H111" i="50"/>
  <c r="AA107" i="50"/>
  <c r="AA106" i="50"/>
  <c r="N105" i="50"/>
  <c r="H104" i="50"/>
  <c r="AR104" i="50" s="1"/>
  <c r="O103" i="50"/>
  <c r="I102" i="50"/>
  <c r="I100" i="50"/>
  <c r="I97" i="50"/>
  <c r="U96" i="50"/>
  <c r="AH95" i="50"/>
  <c r="P93" i="50"/>
  <c r="AB263" i="50"/>
  <c r="BB263" i="50" s="1"/>
  <c r="AN262" i="50"/>
  <c r="M105" i="84" s="1"/>
  <c r="M92" i="50"/>
  <c r="AJ91" i="50"/>
  <c r="D91" i="50"/>
  <c r="AA90" i="50"/>
  <c r="R89" i="50"/>
  <c r="AO88" i="50"/>
  <c r="I88" i="50"/>
  <c r="AF87" i="50"/>
  <c r="W86" i="50"/>
  <c r="AA85" i="50"/>
  <c r="AE84" i="50"/>
  <c r="F84" i="50"/>
  <c r="AO83" i="50"/>
  <c r="V83" i="50"/>
  <c r="E83" i="50"/>
  <c r="AB82" i="50"/>
  <c r="L82" i="50"/>
  <c r="AI81" i="50"/>
  <c r="S81" i="50"/>
  <c r="Z80" i="50"/>
  <c r="J80" i="50"/>
  <c r="AG79" i="50"/>
  <c r="Q79" i="50"/>
  <c r="AN78" i="50"/>
  <c r="M87" i="84" s="1"/>
  <c r="AA78" i="50"/>
  <c r="N78" i="50"/>
  <c r="AD77" i="50"/>
  <c r="R77" i="50"/>
  <c r="E77" i="50"/>
  <c r="AI76" i="50"/>
  <c r="U76" i="50"/>
  <c r="I76" i="50"/>
  <c r="AK261" i="50"/>
  <c r="Z261" i="50"/>
  <c r="L261" i="50"/>
  <c r="AB75" i="50"/>
  <c r="BB75" i="50" s="1"/>
  <c r="Q75" i="50"/>
  <c r="AG74" i="50"/>
  <c r="S74" i="50"/>
  <c r="H74" i="50"/>
  <c r="AK73" i="50"/>
  <c r="X73" i="50"/>
  <c r="J73" i="50"/>
  <c r="AN260" i="50"/>
  <c r="M80" i="84" s="1"/>
  <c r="AB260" i="50"/>
  <c r="O260" i="50"/>
  <c r="AE259" i="50"/>
  <c r="S259" i="50"/>
  <c r="F259" i="50"/>
  <c r="AJ258" i="50"/>
  <c r="V258" i="50"/>
  <c r="J258" i="50"/>
  <c r="AL257" i="50"/>
  <c r="AA257" i="50"/>
  <c r="M257" i="50"/>
  <c r="AC256" i="50"/>
  <c r="R256" i="50"/>
  <c r="D256" i="50"/>
  <c r="AH72" i="50"/>
  <c r="T72" i="50"/>
  <c r="I72" i="50"/>
  <c r="AL71" i="50"/>
  <c r="Y71" i="50"/>
  <c r="K71" i="50"/>
  <c r="AO70" i="50"/>
  <c r="AC70" i="50"/>
  <c r="P70" i="50"/>
  <c r="AF69" i="50"/>
  <c r="T69" i="50"/>
  <c r="AX69" i="50" s="1"/>
  <c r="G69" i="50"/>
  <c r="AK68" i="50"/>
  <c r="W68" i="50"/>
  <c r="K68" i="50"/>
  <c r="AM67" i="50"/>
  <c r="AB67" i="50"/>
  <c r="O67" i="50"/>
  <c r="E67" i="50"/>
  <c r="AL66" i="50"/>
  <c r="AB66" i="50"/>
  <c r="Q66" i="50"/>
  <c r="F66" i="50"/>
  <c r="AN65" i="50"/>
  <c r="M73" i="84" s="1"/>
  <c r="AC65" i="50"/>
  <c r="S65" i="50"/>
  <c r="H65" i="50"/>
  <c r="AE255" i="50"/>
  <c r="T255" i="50"/>
  <c r="J255" i="50"/>
  <c r="AG254" i="50"/>
  <c r="L146" i="50"/>
  <c r="Q135" i="50"/>
  <c r="H129" i="50"/>
  <c r="AR129" i="50" s="1"/>
  <c r="AA120" i="50"/>
  <c r="AK271" i="50"/>
  <c r="K270" i="50"/>
  <c r="AN267" i="50"/>
  <c r="M149" i="84" s="1"/>
  <c r="L115" i="50"/>
  <c r="AO113" i="50"/>
  <c r="AF112" i="50"/>
  <c r="BD112" i="50" s="1"/>
  <c r="F111" i="50"/>
  <c r="AL109" i="50"/>
  <c r="AL108" i="50"/>
  <c r="X107" i="50"/>
  <c r="AZ107" i="50" s="1"/>
  <c r="I106" i="50"/>
  <c r="L105" i="50"/>
  <c r="E104" i="50"/>
  <c r="F102" i="50"/>
  <c r="F97" i="50"/>
  <c r="S96" i="50"/>
  <c r="AE95" i="50"/>
  <c r="M93" i="50"/>
  <c r="Y263" i="50"/>
  <c r="AL262" i="50"/>
  <c r="J92" i="50"/>
  <c r="AG91" i="50"/>
  <c r="X90" i="50"/>
  <c r="O89" i="50"/>
  <c r="AL88" i="50"/>
  <c r="F88" i="50"/>
  <c r="AC87" i="50"/>
  <c r="U86" i="50"/>
  <c r="Y85" i="50"/>
  <c r="AC84" i="50"/>
  <c r="E84" i="50"/>
  <c r="AM83" i="50"/>
  <c r="U83" i="50"/>
  <c r="D83" i="50"/>
  <c r="AP83" i="50" s="1"/>
  <c r="AA82" i="50"/>
  <c r="K82" i="50"/>
  <c r="AH81" i="50"/>
  <c r="BE81" i="50" s="1"/>
  <c r="R81" i="50"/>
  <c r="AW81" i="50" s="1"/>
  <c r="AO80" i="50"/>
  <c r="Y80" i="50"/>
  <c r="I80" i="50"/>
  <c r="AF79" i="50"/>
  <c r="P79" i="50"/>
  <c r="AM78" i="50"/>
  <c r="X78" i="50"/>
  <c r="M78" i="50"/>
  <c r="AC77" i="50"/>
  <c r="O77" i="50"/>
  <c r="D77" i="50"/>
  <c r="AG76" i="50"/>
  <c r="T76" i="50"/>
  <c r="F76" i="50"/>
  <c r="AJ261" i="50"/>
  <c r="X261" i="50"/>
  <c r="AZ261" i="50" s="1"/>
  <c r="K261" i="50"/>
  <c r="AO75" i="50"/>
  <c r="AA75" i="50"/>
  <c r="O75" i="50"/>
  <c r="AF74" i="50"/>
  <c r="R74" i="50"/>
  <c r="F74" i="50"/>
  <c r="AH73" i="50"/>
  <c r="W73" i="50"/>
  <c r="I73" i="50"/>
  <c r="AM260" i="50"/>
  <c r="Y260" i="50"/>
  <c r="N260" i="50"/>
  <c r="AD259" i="50"/>
  <c r="P259" i="50"/>
  <c r="E259" i="50"/>
  <c r="AH258" i="50"/>
  <c r="U258" i="50"/>
  <c r="G258" i="50"/>
  <c r="AK257" i="50"/>
  <c r="Y257" i="50"/>
  <c r="L257" i="50"/>
  <c r="AB256" i="50"/>
  <c r="P256" i="50"/>
  <c r="AG72" i="50"/>
  <c r="S72" i="50"/>
  <c r="G72" i="50"/>
  <c r="AI71" i="50"/>
  <c r="X71" i="50"/>
  <c r="J71" i="50"/>
  <c r="AN70" i="50"/>
  <c r="M78" i="84" s="1"/>
  <c r="Z70" i="50"/>
  <c r="O70" i="50"/>
  <c r="AE69" i="50"/>
  <c r="Q69" i="50"/>
  <c r="F69" i="50"/>
  <c r="AI68" i="50"/>
  <c r="V68" i="50"/>
  <c r="H68" i="50"/>
  <c r="AL67" i="50"/>
  <c r="Z67" i="50"/>
  <c r="N67" i="50"/>
  <c r="D67" i="50"/>
  <c r="AK66" i="50"/>
  <c r="AA66" i="50"/>
  <c r="O66" i="50"/>
  <c r="E66" i="50"/>
  <c r="AL65" i="50"/>
  <c r="AB65" i="50"/>
  <c r="R65" i="50"/>
  <c r="F65" i="50"/>
  <c r="AO255" i="50"/>
  <c r="AC255" i="50"/>
  <c r="S255" i="50"/>
  <c r="I255" i="50"/>
  <c r="AF254" i="50"/>
  <c r="T254" i="50"/>
  <c r="J254" i="50"/>
  <c r="AG253" i="50"/>
  <c r="W253" i="50"/>
  <c r="K253" i="50"/>
  <c r="E144" i="50"/>
  <c r="L134" i="50"/>
  <c r="AM123" i="50"/>
  <c r="T120" i="50"/>
  <c r="AX120" i="50" s="1"/>
  <c r="AH271" i="50"/>
  <c r="G270" i="50"/>
  <c r="AJ267" i="50"/>
  <c r="J115" i="50"/>
  <c r="AL113" i="50"/>
  <c r="K112" i="50"/>
  <c r="AJ109" i="50"/>
  <c r="T108" i="50"/>
  <c r="T107" i="50"/>
  <c r="E106" i="50"/>
  <c r="AM98" i="50"/>
  <c r="D97" i="50"/>
  <c r="P96" i="50"/>
  <c r="AB95" i="50"/>
  <c r="AO94" i="50"/>
  <c r="J93" i="50"/>
  <c r="W263" i="50"/>
  <c r="AI262" i="50"/>
  <c r="H92" i="50"/>
  <c r="AR92" i="50" s="1"/>
  <c r="AE91" i="50"/>
  <c r="V90" i="50"/>
  <c r="AY90" i="50" s="1"/>
  <c r="M89" i="50"/>
  <c r="AJ88" i="50"/>
  <c r="D88" i="50"/>
  <c r="AA87" i="50"/>
  <c r="T86" i="50"/>
  <c r="X85" i="50"/>
  <c r="AA84" i="50"/>
  <c r="AL83" i="50"/>
  <c r="T83" i="50"/>
  <c r="Z82" i="50"/>
  <c r="J82" i="50"/>
  <c r="AG81" i="50"/>
  <c r="Q81" i="50"/>
  <c r="AN80" i="50"/>
  <c r="M89" i="84" s="1"/>
  <c r="X80" i="50"/>
  <c r="H80" i="50"/>
  <c r="AE79" i="50"/>
  <c r="O79" i="50"/>
  <c r="AL78" i="50"/>
  <c r="W78" i="50"/>
  <c r="K78" i="50"/>
  <c r="AM77" i="50"/>
  <c r="AB77" i="50"/>
  <c r="N77" i="50"/>
  <c r="AD76" i="50"/>
  <c r="BC76" i="50" s="1"/>
  <c r="S76" i="50"/>
  <c r="E76" i="50"/>
  <c r="AI261" i="50"/>
  <c r="U261" i="50"/>
  <c r="J261" i="50"/>
  <c r="AM75" i="50"/>
  <c r="Z75" i="50"/>
  <c r="L75" i="50"/>
  <c r="AD74" i="50"/>
  <c r="Q74" i="50"/>
  <c r="AG73" i="50"/>
  <c r="U73" i="50"/>
  <c r="H73" i="50"/>
  <c r="AL260" i="50"/>
  <c r="X260" i="50"/>
  <c r="L260" i="50"/>
  <c r="AN259" i="50"/>
  <c r="M238" i="84" s="1"/>
  <c r="AC259" i="50"/>
  <c r="O259" i="50"/>
  <c r="AE258" i="50"/>
  <c r="T258" i="50"/>
  <c r="F258" i="50"/>
  <c r="AJ257" i="50"/>
  <c r="V257" i="50"/>
  <c r="K257" i="50"/>
  <c r="AN256" i="50"/>
  <c r="M75" i="84" s="1"/>
  <c r="AA256" i="50"/>
  <c r="M256" i="50"/>
  <c r="AE72" i="50"/>
  <c r="R72" i="50"/>
  <c r="D72" i="50"/>
  <c r="AH71" i="50"/>
  <c r="V71" i="50"/>
  <c r="AY71" i="50" s="1"/>
  <c r="I71" i="50"/>
  <c r="AM70" i="50"/>
  <c r="Y70" i="50"/>
  <c r="M70" i="50"/>
  <c r="AO69" i="50"/>
  <c r="AD69" i="50"/>
  <c r="P69" i="50"/>
  <c r="D69" i="50"/>
  <c r="AF68" i="50"/>
  <c r="BD68" i="50" s="1"/>
  <c r="U68" i="50"/>
  <c r="G68" i="50"/>
  <c r="AK67" i="50"/>
  <c r="W67" i="50"/>
  <c r="M67" i="50"/>
  <c r="H133" i="50"/>
  <c r="F128" i="50"/>
  <c r="AK119" i="50"/>
  <c r="AF269" i="50"/>
  <c r="E267" i="50"/>
  <c r="AH113" i="50"/>
  <c r="BE113" i="50" s="1"/>
  <c r="G112" i="50"/>
  <c r="AJ110" i="50"/>
  <c r="AF109" i="50"/>
  <c r="BD109" i="50" s="1"/>
  <c r="R108" i="50"/>
  <c r="AW108" i="50" s="1"/>
  <c r="AJ100" i="50"/>
  <c r="AK98" i="50"/>
  <c r="AL97" i="50"/>
  <c r="H96" i="50"/>
  <c r="T95" i="50"/>
  <c r="AG94" i="50"/>
  <c r="O263" i="50"/>
  <c r="AA262" i="50"/>
  <c r="AM92" i="50"/>
  <c r="Y91" i="50"/>
  <c r="P90" i="50"/>
  <c r="AM89" i="50"/>
  <c r="G89" i="50"/>
  <c r="AD88" i="50"/>
  <c r="BC88" i="50" s="1"/>
  <c r="U87" i="50"/>
  <c r="O86" i="50"/>
  <c r="S85" i="50"/>
  <c r="W84" i="50"/>
  <c r="AI83" i="50"/>
  <c r="Q83" i="50"/>
  <c r="AM82" i="50"/>
  <c r="W82" i="50"/>
  <c r="G82" i="50"/>
  <c r="AD81" i="50"/>
  <c r="N81" i="50"/>
  <c r="AK80" i="50"/>
  <c r="U80" i="50"/>
  <c r="E80" i="50"/>
  <c r="AB79" i="50"/>
  <c r="BB79" i="50" s="1"/>
  <c r="L79" i="50"/>
  <c r="AI78" i="50"/>
  <c r="V78" i="50"/>
  <c r="H78" i="50"/>
  <c r="AL77" i="50"/>
  <c r="Z77" i="50"/>
  <c r="M77" i="50"/>
  <c r="AC76" i="50"/>
  <c r="Q76" i="50"/>
  <c r="D76" i="50"/>
  <c r="AH261" i="50"/>
  <c r="T261" i="50"/>
  <c r="H261" i="50"/>
  <c r="AR261" i="50" s="1"/>
  <c r="AJ75" i="50"/>
  <c r="Y75" i="50"/>
  <c r="K75" i="50"/>
  <c r="AO74" i="50"/>
  <c r="AA74" i="50"/>
  <c r="P74" i="50"/>
  <c r="AF73" i="50"/>
  <c r="R73" i="50"/>
  <c r="G73" i="50"/>
  <c r="AJ260" i="50"/>
  <c r="W260" i="50"/>
  <c r="I260" i="50"/>
  <c r="AM259" i="50"/>
  <c r="AA259" i="50"/>
  <c r="N259" i="50"/>
  <c r="AD258" i="50"/>
  <c r="R258" i="50"/>
  <c r="E258" i="50"/>
  <c r="AI257" i="50"/>
  <c r="U257" i="50"/>
  <c r="I257" i="50"/>
  <c r="AK256" i="50"/>
  <c r="Z256" i="50"/>
  <c r="L256" i="50"/>
  <c r="AB72" i="50"/>
  <c r="Q72" i="50"/>
  <c r="AG71" i="50"/>
  <c r="S71" i="50"/>
  <c r="H71" i="50"/>
  <c r="AK70" i="50"/>
  <c r="X70" i="50"/>
  <c r="J70" i="50"/>
  <c r="AB69" i="50"/>
  <c r="O69" i="50"/>
  <c r="AE68" i="50"/>
  <c r="S68" i="50"/>
  <c r="F68" i="50"/>
  <c r="AJ67" i="50"/>
  <c r="V67" i="50"/>
  <c r="L67" i="50"/>
  <c r="AI66" i="50"/>
  <c r="W66" i="50"/>
  <c r="M66" i="50"/>
  <c r="AJ65" i="50"/>
  <c r="Z65" i="50"/>
  <c r="N65" i="50"/>
  <c r="D65" i="50"/>
  <c r="AK255" i="50"/>
  <c r="AA255" i="50"/>
  <c r="Q255" i="50"/>
  <c r="E255" i="50"/>
  <c r="AN254" i="50"/>
  <c r="M68" i="84" s="1"/>
  <c r="AB254" i="50"/>
  <c r="R254" i="50"/>
  <c r="H254" i="50"/>
  <c r="AO253" i="50"/>
  <c r="AE253" i="50"/>
  <c r="S253" i="50"/>
  <c r="I253" i="50"/>
  <c r="AK252" i="50"/>
  <c r="G132" i="50"/>
  <c r="AL122" i="50"/>
  <c r="AH119" i="50"/>
  <c r="AC269" i="50"/>
  <c r="AN114" i="50"/>
  <c r="M134" i="84" s="1"/>
  <c r="N113" i="50"/>
  <c r="E112" i="50"/>
  <c r="AE110" i="50"/>
  <c r="N109" i="50"/>
  <c r="N108" i="50"/>
  <c r="AM105" i="50"/>
  <c r="AM103" i="50"/>
  <c r="AG102" i="50"/>
  <c r="AN101" i="50"/>
  <c r="M118" i="84" s="1"/>
  <c r="AG100" i="50"/>
  <c r="AA99" i="50"/>
  <c r="AH98" i="50"/>
  <c r="AD97" i="50"/>
  <c r="L95" i="50"/>
  <c r="Y94" i="50"/>
  <c r="AK93" i="50"/>
  <c r="G263" i="50"/>
  <c r="S262" i="50"/>
  <c r="AE92" i="50"/>
  <c r="T91" i="50"/>
  <c r="K90" i="50"/>
  <c r="AH89" i="50"/>
  <c r="BE89" i="50" s="1"/>
  <c r="Y88" i="50"/>
  <c r="P87" i="50"/>
  <c r="AM86" i="50"/>
  <c r="J86" i="50"/>
  <c r="N85" i="50"/>
  <c r="R84" i="50"/>
  <c r="AE83" i="50"/>
  <c r="M83" i="50"/>
  <c r="AJ82" i="50"/>
  <c r="BF82" i="50" s="1"/>
  <c r="T82" i="50"/>
  <c r="D82" i="50"/>
  <c r="AA81" i="50"/>
  <c r="K81" i="50"/>
  <c r="AH80" i="50"/>
  <c r="R80" i="50"/>
  <c r="AO79" i="50"/>
  <c r="Y79" i="50"/>
  <c r="I79" i="50"/>
  <c r="AF78" i="50"/>
  <c r="U78" i="50"/>
  <c r="G78" i="50"/>
  <c r="AK77" i="50"/>
  <c r="W77" i="50"/>
  <c r="L77" i="50"/>
  <c r="AO76" i="50"/>
  <c r="AB76" i="50"/>
  <c r="N76" i="50"/>
  <c r="AF261" i="50"/>
  <c r="S261" i="50"/>
  <c r="E261" i="50"/>
  <c r="AI75" i="50"/>
  <c r="W75" i="50"/>
  <c r="J75" i="50"/>
  <c r="AN74" i="50"/>
  <c r="M83" i="84" s="1"/>
  <c r="Z74" i="50"/>
  <c r="N74" i="50"/>
  <c r="AE73" i="50"/>
  <c r="Q73" i="50"/>
  <c r="E73" i="50"/>
  <c r="AG260" i="50"/>
  <c r="V260" i="50"/>
  <c r="H260" i="50"/>
  <c r="AL259" i="50"/>
  <c r="X259" i="50"/>
  <c r="M259" i="50"/>
  <c r="AC258" i="50"/>
  <c r="O258" i="50"/>
  <c r="D258" i="50"/>
  <c r="AG257" i="50"/>
  <c r="T257" i="50"/>
  <c r="F257" i="50"/>
  <c r="AJ256" i="50"/>
  <c r="X256" i="50"/>
  <c r="AZ256" i="50" s="1"/>
  <c r="K256" i="50"/>
  <c r="AO72" i="50"/>
  <c r="AA72" i="50"/>
  <c r="O72" i="50"/>
  <c r="AF71" i="50"/>
  <c r="R71" i="50"/>
  <c r="F71" i="50"/>
  <c r="AH70" i="50"/>
  <c r="W70" i="50"/>
  <c r="I70" i="50"/>
  <c r="AM69" i="50"/>
  <c r="Y69" i="50"/>
  <c r="N69" i="50"/>
  <c r="AD68" i="50"/>
  <c r="P68" i="50"/>
  <c r="E68" i="50"/>
  <c r="AH67" i="50"/>
  <c r="U67" i="50"/>
  <c r="J67" i="50"/>
  <c r="AG66" i="50"/>
  <c r="V66" i="50"/>
  <c r="L66" i="50"/>
  <c r="AI65" i="50"/>
  <c r="X65" i="50"/>
  <c r="M65" i="50"/>
  <c r="AJ255" i="50"/>
  <c r="Z255" i="50"/>
  <c r="O255" i="50"/>
  <c r="D255" i="50"/>
  <c r="AL254" i="50"/>
  <c r="AA254" i="50"/>
  <c r="Q254" i="50"/>
  <c r="J131" i="50"/>
  <c r="E127" i="50"/>
  <c r="Y117" i="50"/>
  <c r="AA116" i="50"/>
  <c r="AI114" i="50"/>
  <c r="I113" i="50"/>
  <c r="AL111" i="50"/>
  <c r="AC110" i="50"/>
  <c r="K109" i="50"/>
  <c r="AJ105" i="50"/>
  <c r="AC104" i="50"/>
  <c r="AJ103" i="50"/>
  <c r="AD102" i="50"/>
  <c r="X101" i="50"/>
  <c r="AE100" i="50"/>
  <c r="X99" i="50"/>
  <c r="R98" i="50"/>
  <c r="AW98" i="50" s="1"/>
  <c r="AB97" i="50"/>
  <c r="AN96" i="50"/>
  <c r="M121" i="84" s="1"/>
  <c r="J95" i="50"/>
  <c r="V94" i="50"/>
  <c r="AH93" i="50"/>
  <c r="BE93" i="50" s="1"/>
  <c r="D263" i="50"/>
  <c r="AP263" i="50" s="1"/>
  <c r="P262" i="50"/>
  <c r="AV262" i="50" s="1"/>
  <c r="AC92" i="50"/>
  <c r="Q91" i="50"/>
  <c r="AN90" i="50"/>
  <c r="M94" i="84" s="1"/>
  <c r="H90" i="50"/>
  <c r="AE89" i="50"/>
  <c r="V88" i="50"/>
  <c r="AY88" i="50" s="1"/>
  <c r="M87" i="50"/>
  <c r="AJ86" i="50"/>
  <c r="I86" i="50"/>
  <c r="AL85" i="50"/>
  <c r="L85" i="50"/>
  <c r="AT85" i="50" s="1"/>
  <c r="P84" i="50"/>
  <c r="AD83" i="50"/>
  <c r="L83" i="50"/>
  <c r="AI82" i="50"/>
  <c r="S82" i="50"/>
  <c r="Z81" i="50"/>
  <c r="J81" i="50"/>
  <c r="AG80" i="50"/>
  <c r="Q80" i="50"/>
  <c r="AN79" i="50"/>
  <c r="M93" i="84" s="1"/>
  <c r="X79" i="50"/>
  <c r="H79" i="50"/>
  <c r="AE78" i="50"/>
  <c r="S78" i="50"/>
  <c r="F78" i="50"/>
  <c r="AJ77" i="50"/>
  <c r="V77" i="50"/>
  <c r="J77" i="50"/>
  <c r="AL76" i="50"/>
  <c r="AA76" i="50"/>
  <c r="M76" i="50"/>
  <c r="AC261" i="50"/>
  <c r="R261" i="50"/>
  <c r="D261" i="50"/>
  <c r="AH75" i="50"/>
  <c r="T75" i="50"/>
  <c r="I75" i="50"/>
  <c r="AL74" i="50"/>
  <c r="Y74" i="50"/>
  <c r="K74" i="50"/>
  <c r="AO73" i="50"/>
  <c r="AC73" i="50"/>
  <c r="P73" i="50"/>
  <c r="AF260" i="50"/>
  <c r="T260" i="50"/>
  <c r="G260" i="50"/>
  <c r="AK259" i="50"/>
  <c r="W259" i="50"/>
  <c r="K259" i="50"/>
  <c r="AM258" i="50"/>
  <c r="AB258" i="50"/>
  <c r="N258" i="50"/>
  <c r="AD257" i="50"/>
  <c r="S257" i="50"/>
  <c r="E257" i="50"/>
  <c r="AI256" i="50"/>
  <c r="U256" i="50"/>
  <c r="J256" i="50"/>
  <c r="AM72" i="50"/>
  <c r="Z72" i="50"/>
  <c r="L72" i="50"/>
  <c r="AD71" i="50"/>
  <c r="Q71" i="50"/>
  <c r="AG70" i="50"/>
  <c r="U70" i="50"/>
  <c r="H70" i="50"/>
  <c r="AL69" i="50"/>
  <c r="X69" i="50"/>
  <c r="L69" i="50"/>
  <c r="AT69" i="50" s="1"/>
  <c r="AN68" i="50"/>
  <c r="M95" i="84" s="1"/>
  <c r="AC68" i="50"/>
  <c r="O68" i="50"/>
  <c r="AE67" i="50"/>
  <c r="T67" i="50"/>
  <c r="H67" i="50"/>
  <c r="U116" i="50"/>
  <c r="AG105" i="50"/>
  <c r="Y97" i="50"/>
  <c r="N262" i="50"/>
  <c r="T88" i="50"/>
  <c r="O84" i="50"/>
  <c r="AO81" i="50"/>
  <c r="W79" i="50"/>
  <c r="U77" i="50"/>
  <c r="AB261" i="50"/>
  <c r="AI74" i="50"/>
  <c r="D257" i="50"/>
  <c r="AP257" i="50" s="1"/>
  <c r="K72" i="50"/>
  <c r="R70" i="50"/>
  <c r="AA68" i="50"/>
  <c r="U66" i="50"/>
  <c r="U65" i="50"/>
  <c r="R255" i="50"/>
  <c r="S254" i="50"/>
  <c r="AM253" i="50"/>
  <c r="U253" i="50"/>
  <c r="F253" i="50"/>
  <c r="AH252" i="50"/>
  <c r="X252" i="50"/>
  <c r="O252" i="50"/>
  <c r="F252" i="50"/>
  <c r="AG64" i="50"/>
  <c r="X64" i="50"/>
  <c r="O64" i="50"/>
  <c r="F64" i="50"/>
  <c r="AH63" i="50"/>
  <c r="X63" i="50"/>
  <c r="O63" i="50"/>
  <c r="F63" i="50"/>
  <c r="AH62" i="50"/>
  <c r="Y62" i="50"/>
  <c r="O62" i="50"/>
  <c r="F62" i="50"/>
  <c r="AH61" i="50"/>
  <c r="Y61" i="50"/>
  <c r="P61" i="50"/>
  <c r="F61" i="50"/>
  <c r="AH60" i="50"/>
  <c r="Y60" i="50"/>
  <c r="P60" i="50"/>
  <c r="G60" i="50"/>
  <c r="AH59" i="50"/>
  <c r="Y59" i="50"/>
  <c r="P59" i="50"/>
  <c r="G59" i="50"/>
  <c r="AH58" i="50"/>
  <c r="Y58" i="50"/>
  <c r="P58" i="50"/>
  <c r="G58" i="50"/>
  <c r="AH57" i="50"/>
  <c r="Y57" i="50"/>
  <c r="P57" i="50"/>
  <c r="H57" i="50"/>
  <c r="AM56" i="50"/>
  <c r="AE56" i="50"/>
  <c r="W56" i="50"/>
  <c r="O56" i="50"/>
  <c r="G56" i="50"/>
  <c r="AL55" i="50"/>
  <c r="AD55" i="50"/>
  <c r="V55" i="50"/>
  <c r="N55" i="50"/>
  <c r="F55" i="50"/>
  <c r="AK54" i="50"/>
  <c r="AC54" i="50"/>
  <c r="U54" i="50"/>
  <c r="M54" i="50"/>
  <c r="E54" i="50"/>
  <c r="AJ53" i="50"/>
  <c r="AB53" i="50"/>
  <c r="T53" i="50"/>
  <c r="L53" i="50"/>
  <c r="D53" i="50"/>
  <c r="AI52" i="50"/>
  <c r="AA52" i="50"/>
  <c r="S52" i="50"/>
  <c r="K52" i="50"/>
  <c r="AH51" i="50"/>
  <c r="BE51" i="50" s="1"/>
  <c r="Z51" i="50"/>
  <c r="R51" i="50"/>
  <c r="J51" i="50"/>
  <c r="AO50" i="50"/>
  <c r="AG50" i="50"/>
  <c r="Y50" i="50"/>
  <c r="Q50" i="50"/>
  <c r="I50" i="50"/>
  <c r="AN49" i="50"/>
  <c r="M47" i="84" s="1"/>
  <c r="AF49" i="50"/>
  <c r="X49" i="50"/>
  <c r="P49" i="50"/>
  <c r="AV49" i="50" s="1"/>
  <c r="H49" i="50"/>
  <c r="AM48" i="50"/>
  <c r="AE48" i="50"/>
  <c r="W48" i="50"/>
  <c r="O48" i="50"/>
  <c r="G48" i="50"/>
  <c r="AL47" i="50"/>
  <c r="AD47" i="50"/>
  <c r="V47" i="50"/>
  <c r="N47" i="50"/>
  <c r="F47" i="50"/>
  <c r="AK46" i="50"/>
  <c r="AC46" i="50"/>
  <c r="U46" i="50"/>
  <c r="M46" i="50"/>
  <c r="E46" i="50"/>
  <c r="AJ251" i="50"/>
  <c r="AB251" i="50"/>
  <c r="T251" i="50"/>
  <c r="L251" i="50"/>
  <c r="D251" i="50"/>
  <c r="AI45" i="50"/>
  <c r="AA45" i="50"/>
  <c r="S45" i="50"/>
  <c r="K45" i="50"/>
  <c r="AH44" i="50"/>
  <c r="Z44" i="50"/>
  <c r="BA44" i="50" s="1"/>
  <c r="R44" i="50"/>
  <c r="J44" i="50"/>
  <c r="AO250" i="50"/>
  <c r="AG250" i="50"/>
  <c r="Y250" i="50"/>
  <c r="Q250" i="50"/>
  <c r="I250" i="50"/>
  <c r="AN43" i="50"/>
  <c r="M42" i="84" s="1"/>
  <c r="AF43" i="50"/>
  <c r="X43" i="50"/>
  <c r="P43" i="50"/>
  <c r="H43" i="50"/>
  <c r="AR43" i="50" s="1"/>
  <c r="AM42" i="50"/>
  <c r="AE42" i="50"/>
  <c r="W42" i="50"/>
  <c r="O42" i="50"/>
  <c r="G42" i="50"/>
  <c r="AL41" i="50"/>
  <c r="AD41" i="50"/>
  <c r="V41" i="50"/>
  <c r="N41" i="50"/>
  <c r="F41" i="50"/>
  <c r="AK40" i="50"/>
  <c r="AC40" i="50"/>
  <c r="U40" i="50"/>
  <c r="M40" i="50"/>
  <c r="E40" i="50"/>
  <c r="AJ39" i="50"/>
  <c r="BF39" i="50" s="1"/>
  <c r="AB39" i="50"/>
  <c r="T39" i="50"/>
  <c r="L39" i="50"/>
  <c r="D39" i="50"/>
  <c r="AI38" i="50"/>
  <c r="AA38" i="50"/>
  <c r="S38" i="50"/>
  <c r="K38" i="50"/>
  <c r="AH37" i="50"/>
  <c r="Z37" i="50"/>
  <c r="R37" i="50"/>
  <c r="AW37" i="50" s="1"/>
  <c r="J37" i="50"/>
  <c r="AO36" i="50"/>
  <c r="AG36" i="50"/>
  <c r="Y36" i="50"/>
  <c r="Q36" i="50"/>
  <c r="I36" i="50"/>
  <c r="AN35" i="50"/>
  <c r="M262" i="84" s="1"/>
  <c r="AF35" i="50"/>
  <c r="X35" i="50"/>
  <c r="AZ35" i="50" s="1"/>
  <c r="P35" i="50"/>
  <c r="H35" i="50"/>
  <c r="AR35" i="50" s="1"/>
  <c r="AM34" i="50"/>
  <c r="AE34" i="50"/>
  <c r="W34" i="50"/>
  <c r="O34" i="50"/>
  <c r="G34" i="50"/>
  <c r="AL33" i="50"/>
  <c r="AD33" i="50"/>
  <c r="V33" i="50"/>
  <c r="N33" i="50"/>
  <c r="F33" i="50"/>
  <c r="AQ33" i="50" s="1"/>
  <c r="AK32" i="50"/>
  <c r="AC32" i="50"/>
  <c r="U32" i="50"/>
  <c r="M32" i="50"/>
  <c r="E32" i="50"/>
  <c r="AJ31" i="50"/>
  <c r="BF31" i="50" s="1"/>
  <c r="AB31" i="50"/>
  <c r="T31" i="50"/>
  <c r="L31" i="50"/>
  <c r="D31" i="50"/>
  <c r="AI30" i="50"/>
  <c r="AA30" i="50"/>
  <c r="S30" i="50"/>
  <c r="K30" i="50"/>
  <c r="AH29" i="50"/>
  <c r="BE29" i="50" s="1"/>
  <c r="Z29" i="50"/>
  <c r="R29" i="50"/>
  <c r="AW29" i="50" s="1"/>
  <c r="J29" i="50"/>
  <c r="AO28" i="50"/>
  <c r="AG28" i="50"/>
  <c r="Y28" i="50"/>
  <c r="Q28" i="50"/>
  <c r="I28" i="50"/>
  <c r="AN27" i="50"/>
  <c r="M33" i="84" s="1"/>
  <c r="AF27" i="50"/>
  <c r="X27" i="50"/>
  <c r="P27" i="50"/>
  <c r="H27" i="50"/>
  <c r="AM26" i="50"/>
  <c r="AE26" i="50"/>
  <c r="W26" i="50"/>
  <c r="O26" i="50"/>
  <c r="G26" i="50"/>
  <c r="AL25" i="50"/>
  <c r="AD25" i="50"/>
  <c r="V25" i="50"/>
  <c r="N25" i="50"/>
  <c r="F25" i="50"/>
  <c r="AK24" i="50"/>
  <c r="AC24" i="50"/>
  <c r="U24" i="50"/>
  <c r="M24" i="50"/>
  <c r="E24" i="50"/>
  <c r="AJ23" i="50"/>
  <c r="BF23" i="50" s="1"/>
  <c r="AB23" i="50"/>
  <c r="T23" i="50"/>
  <c r="L23" i="50"/>
  <c r="D23" i="50"/>
  <c r="AI22" i="50"/>
  <c r="AA22" i="50"/>
  <c r="F131" i="50"/>
  <c r="AQ131" i="50" s="1"/>
  <c r="O114" i="50"/>
  <c r="AA104" i="50"/>
  <c r="AK96" i="50"/>
  <c r="Z92" i="50"/>
  <c r="Y81" i="50"/>
  <c r="G79" i="50"/>
  <c r="G77" i="50"/>
  <c r="P261" i="50"/>
  <c r="X74" i="50"/>
  <c r="AE260" i="50"/>
  <c r="AL258" i="50"/>
  <c r="G70" i="50"/>
  <c r="N68" i="50"/>
  <c r="T66" i="50"/>
  <c r="P65" i="50"/>
  <c r="M255" i="50"/>
  <c r="AO254" i="50"/>
  <c r="P254" i="50"/>
  <c r="AK253" i="50"/>
  <c r="R253" i="50"/>
  <c r="AG252" i="50"/>
  <c r="W252" i="50"/>
  <c r="N252" i="50"/>
  <c r="E252" i="50"/>
  <c r="AO64" i="50"/>
  <c r="AF64" i="50"/>
  <c r="BD64" i="50" s="1"/>
  <c r="W64" i="50"/>
  <c r="N64" i="50"/>
  <c r="AU64" i="50" s="1"/>
  <c r="E64" i="50"/>
  <c r="AF63" i="50"/>
  <c r="W63" i="50"/>
  <c r="N63" i="50"/>
  <c r="AU63" i="50" s="1"/>
  <c r="E63" i="50"/>
  <c r="AG62" i="50"/>
  <c r="W62" i="50"/>
  <c r="N62" i="50"/>
  <c r="AU62" i="50" s="1"/>
  <c r="E62" i="50"/>
  <c r="AG61" i="50"/>
  <c r="X61" i="50"/>
  <c r="AZ61" i="50" s="1"/>
  <c r="N61" i="50"/>
  <c r="E61" i="50"/>
  <c r="AG60" i="50"/>
  <c r="X60" i="50"/>
  <c r="AZ60" i="50" s="1"/>
  <c r="O60" i="50"/>
  <c r="E60" i="50"/>
  <c r="AG59" i="50"/>
  <c r="X59" i="50"/>
  <c r="AZ59" i="50" s="1"/>
  <c r="O59" i="50"/>
  <c r="F59" i="50"/>
  <c r="AQ59" i="50" s="1"/>
  <c r="AG58" i="50"/>
  <c r="X58" i="50"/>
  <c r="AZ58" i="50" s="1"/>
  <c r="O58" i="50"/>
  <c r="F58" i="50"/>
  <c r="AQ58" i="50" s="1"/>
  <c r="AG57" i="50"/>
  <c r="X57" i="50"/>
  <c r="AZ57" i="50" s="1"/>
  <c r="O57" i="50"/>
  <c r="G57" i="50"/>
  <c r="AL56" i="50"/>
  <c r="AD56" i="50"/>
  <c r="BC56" i="50" s="1"/>
  <c r="V56" i="50"/>
  <c r="AY56" i="50" s="1"/>
  <c r="N56" i="50"/>
  <c r="AU56" i="50" s="1"/>
  <c r="F56" i="50"/>
  <c r="AQ56" i="50" s="1"/>
  <c r="AK55" i="50"/>
  <c r="AC55" i="50"/>
  <c r="U55" i="50"/>
  <c r="M55" i="50"/>
  <c r="E55" i="50"/>
  <c r="AJ54" i="50"/>
  <c r="BF54" i="50" s="1"/>
  <c r="AB54" i="50"/>
  <c r="BB54" i="50" s="1"/>
  <c r="T54" i="50"/>
  <c r="AX54" i="50" s="1"/>
  <c r="L54" i="50"/>
  <c r="AT54" i="50" s="1"/>
  <c r="D54" i="50"/>
  <c r="AP54" i="50" s="1"/>
  <c r="AI53" i="50"/>
  <c r="AA53" i="50"/>
  <c r="S53" i="50"/>
  <c r="K53" i="50"/>
  <c r="AH52" i="50"/>
  <c r="Z52" i="50"/>
  <c r="R52" i="50"/>
  <c r="J52" i="50"/>
  <c r="AO51" i="50"/>
  <c r="AG51" i="50"/>
  <c r="Y51" i="50"/>
  <c r="Q51" i="50"/>
  <c r="I51" i="50"/>
  <c r="AN50" i="50"/>
  <c r="M52" i="84" s="1"/>
  <c r="AF50" i="50"/>
  <c r="BD50" i="50" s="1"/>
  <c r="X50" i="50"/>
  <c r="AZ50" i="50" s="1"/>
  <c r="P50" i="50"/>
  <c r="AV50" i="50" s="1"/>
  <c r="H50" i="50"/>
  <c r="AR50" i="50" s="1"/>
  <c r="AM49" i="50"/>
  <c r="AE49" i="50"/>
  <c r="W49" i="50"/>
  <c r="O49" i="50"/>
  <c r="G49" i="50"/>
  <c r="AL48" i="50"/>
  <c r="AD48" i="50"/>
  <c r="BC48" i="50" s="1"/>
  <c r="V48" i="50"/>
  <c r="AY48" i="50" s="1"/>
  <c r="N48" i="50"/>
  <c r="AU48" i="50" s="1"/>
  <c r="F48" i="50"/>
  <c r="AQ48" i="50" s="1"/>
  <c r="AK47" i="50"/>
  <c r="AC47" i="50"/>
  <c r="U47" i="50"/>
  <c r="M47" i="50"/>
  <c r="E47" i="50"/>
  <c r="AJ46" i="50"/>
  <c r="BF46" i="50" s="1"/>
  <c r="AB46" i="50"/>
  <c r="BB46" i="50" s="1"/>
  <c r="T46" i="50"/>
  <c r="AX46" i="50" s="1"/>
  <c r="L46" i="50"/>
  <c r="AT46" i="50" s="1"/>
  <c r="D46" i="50"/>
  <c r="AP46" i="50" s="1"/>
  <c r="AI251" i="50"/>
  <c r="AA251" i="50"/>
  <c r="S251" i="50"/>
  <c r="K251" i="50"/>
  <c r="AH45" i="50"/>
  <c r="Z45" i="50"/>
  <c r="R45" i="50"/>
  <c r="J45" i="50"/>
  <c r="AO44" i="50"/>
  <c r="AG44" i="50"/>
  <c r="Y44" i="50"/>
  <c r="Q44" i="50"/>
  <c r="I44" i="50"/>
  <c r="AN250" i="50"/>
  <c r="M56" i="84" s="1"/>
  <c r="AF250" i="50"/>
  <c r="BD250" i="50" s="1"/>
  <c r="X250" i="50"/>
  <c r="AZ250" i="50" s="1"/>
  <c r="P250" i="50"/>
  <c r="AV250" i="50" s="1"/>
  <c r="H250" i="50"/>
  <c r="AR250" i="50" s="1"/>
  <c r="AM43" i="50"/>
  <c r="AE43" i="50"/>
  <c r="W43" i="50"/>
  <c r="O43" i="50"/>
  <c r="G43" i="50"/>
  <c r="AL42" i="50"/>
  <c r="AD42" i="50"/>
  <c r="BC42" i="50" s="1"/>
  <c r="V42" i="50"/>
  <c r="AY42" i="50" s="1"/>
  <c r="N42" i="50"/>
  <c r="AU42" i="50" s="1"/>
  <c r="F42" i="50"/>
  <c r="AQ42" i="50" s="1"/>
  <c r="AK41" i="50"/>
  <c r="AC41" i="50"/>
  <c r="U41" i="50"/>
  <c r="M41" i="50"/>
  <c r="E41" i="50"/>
  <c r="AJ40" i="50"/>
  <c r="BF40" i="50" s="1"/>
  <c r="AB40" i="50"/>
  <c r="BB40" i="50" s="1"/>
  <c r="T40" i="50"/>
  <c r="AX40" i="50" s="1"/>
  <c r="L40" i="50"/>
  <c r="AT40" i="50" s="1"/>
  <c r="D40" i="50"/>
  <c r="AP40" i="50" s="1"/>
  <c r="AI39" i="50"/>
  <c r="AA39" i="50"/>
  <c r="S39" i="50"/>
  <c r="K39" i="50"/>
  <c r="AH38" i="50"/>
  <c r="Z38" i="50"/>
  <c r="R38" i="50"/>
  <c r="J38" i="50"/>
  <c r="AO37" i="50"/>
  <c r="AG37" i="50"/>
  <c r="Y37" i="50"/>
  <c r="Q37" i="50"/>
  <c r="I37" i="50"/>
  <c r="AN36" i="50"/>
  <c r="M38" i="84" s="1"/>
  <c r="AF36" i="50"/>
  <c r="BD36" i="50" s="1"/>
  <c r="X36" i="50"/>
  <c r="AZ36" i="50" s="1"/>
  <c r="P36" i="50"/>
  <c r="AV36" i="50" s="1"/>
  <c r="H36" i="50"/>
  <c r="AR36" i="50" s="1"/>
  <c r="AM35" i="50"/>
  <c r="AE35" i="50"/>
  <c r="W35" i="50"/>
  <c r="O35" i="50"/>
  <c r="G35" i="50"/>
  <c r="AL34" i="50"/>
  <c r="AD34" i="50"/>
  <c r="BC34" i="50" s="1"/>
  <c r="V34" i="50"/>
  <c r="AY34" i="50" s="1"/>
  <c r="N34" i="50"/>
  <c r="AU34" i="50" s="1"/>
  <c r="F34" i="50"/>
  <c r="AQ34" i="50" s="1"/>
  <c r="AK33" i="50"/>
  <c r="AC33" i="50"/>
  <c r="U33" i="50"/>
  <c r="M33" i="50"/>
  <c r="E33" i="50"/>
  <c r="AJ32" i="50"/>
  <c r="BF32" i="50" s="1"/>
  <c r="AB32" i="50"/>
  <c r="BB32" i="50" s="1"/>
  <c r="T32" i="50"/>
  <c r="AX32" i="50" s="1"/>
  <c r="L32" i="50"/>
  <c r="AT32" i="50" s="1"/>
  <c r="D32" i="50"/>
  <c r="AP32" i="50" s="1"/>
  <c r="AI31" i="50"/>
  <c r="AA31" i="50"/>
  <c r="S31" i="50"/>
  <c r="K31" i="50"/>
  <c r="AH30" i="50"/>
  <c r="Z30" i="50"/>
  <c r="R30" i="50"/>
  <c r="J30" i="50"/>
  <c r="AO29" i="50"/>
  <c r="AG29" i="50"/>
  <c r="Y29" i="50"/>
  <c r="Q29" i="50"/>
  <c r="I29" i="50"/>
  <c r="AN28" i="50"/>
  <c r="M25" i="84" s="1"/>
  <c r="AF28" i="50"/>
  <c r="BD28" i="50" s="1"/>
  <c r="X28" i="50"/>
  <c r="AZ28" i="50" s="1"/>
  <c r="P28" i="50"/>
  <c r="AV28" i="50" s="1"/>
  <c r="H28" i="50"/>
  <c r="AR28" i="50" s="1"/>
  <c r="AM27" i="50"/>
  <c r="AE27" i="50"/>
  <c r="W27" i="50"/>
  <c r="O27" i="50"/>
  <c r="G27" i="50"/>
  <c r="AL26" i="50"/>
  <c r="AD26" i="50"/>
  <c r="BC26" i="50" s="1"/>
  <c r="V26" i="50"/>
  <c r="AY26" i="50" s="1"/>
  <c r="N26" i="50"/>
  <c r="AU26" i="50" s="1"/>
  <c r="F26" i="50"/>
  <c r="AQ26" i="50" s="1"/>
  <c r="AK25" i="50"/>
  <c r="AC25" i="50"/>
  <c r="U25" i="50"/>
  <c r="M25" i="50"/>
  <c r="E25" i="50"/>
  <c r="AJ24" i="50"/>
  <c r="BF24" i="50" s="1"/>
  <c r="AB24" i="50"/>
  <c r="BB24" i="50" s="1"/>
  <c r="T24" i="50"/>
  <c r="AX24" i="50" s="1"/>
  <c r="L24" i="50"/>
  <c r="AT24" i="50" s="1"/>
  <c r="D24" i="50"/>
  <c r="AP24" i="50" s="1"/>
  <c r="AI23" i="50"/>
  <c r="AA23" i="50"/>
  <c r="S23" i="50"/>
  <c r="K23" i="50"/>
  <c r="AH22" i="50"/>
  <c r="Z22" i="50"/>
  <c r="R22" i="50"/>
  <c r="J22" i="50"/>
  <c r="AO21" i="50"/>
  <c r="AG21" i="50"/>
  <c r="F113" i="50"/>
  <c r="AQ113" i="50" s="1"/>
  <c r="T103" i="50"/>
  <c r="K87" i="50"/>
  <c r="AC83" i="50"/>
  <c r="I81" i="50"/>
  <c r="J74" i="50"/>
  <c r="Q260" i="50"/>
  <c r="Z258" i="50"/>
  <c r="BA258" i="50" s="1"/>
  <c r="AH256" i="50"/>
  <c r="AO71" i="50"/>
  <c r="N66" i="50"/>
  <c r="L65" i="50"/>
  <c r="AM255" i="50"/>
  <c r="L255" i="50"/>
  <c r="AT255" i="50" s="1"/>
  <c r="AJ254" i="50"/>
  <c r="BF254" i="50" s="1"/>
  <c r="N254" i="50"/>
  <c r="AH253" i="50"/>
  <c r="Q253" i="50"/>
  <c r="AE252" i="50"/>
  <c r="V252" i="50"/>
  <c r="AY252" i="50" s="1"/>
  <c r="M252" i="50"/>
  <c r="D252" i="50"/>
  <c r="AP252" i="50" s="1"/>
  <c r="AN64" i="50"/>
  <c r="M66" i="84" s="1"/>
  <c r="AE64" i="50"/>
  <c r="V64" i="50"/>
  <c r="AY64" i="50" s="1"/>
  <c r="M64" i="50"/>
  <c r="D64" i="50"/>
  <c r="AP64" i="50" s="1"/>
  <c r="AN63" i="50"/>
  <c r="M64" i="84" s="1"/>
  <c r="AE63" i="50"/>
  <c r="V63" i="50"/>
  <c r="M63" i="50"/>
  <c r="AT63" i="50" s="1"/>
  <c r="D63" i="50"/>
  <c r="AO62" i="50"/>
  <c r="AE62" i="50"/>
  <c r="V62" i="50"/>
  <c r="M62" i="50"/>
  <c r="D62" i="50"/>
  <c r="AO61" i="50"/>
  <c r="AF61" i="50"/>
  <c r="V61" i="50"/>
  <c r="M61" i="50"/>
  <c r="D61" i="50"/>
  <c r="AO60" i="50"/>
  <c r="AF60" i="50"/>
  <c r="W60" i="50"/>
  <c r="M60" i="50"/>
  <c r="D60" i="50"/>
  <c r="AO59" i="50"/>
  <c r="AF59" i="50"/>
  <c r="W59" i="50"/>
  <c r="N59" i="50"/>
  <c r="D59" i="50"/>
  <c r="AO58" i="50"/>
  <c r="AF58" i="50"/>
  <c r="W58" i="50"/>
  <c r="N58" i="50"/>
  <c r="E58" i="50"/>
  <c r="AO57" i="50"/>
  <c r="AF57" i="50"/>
  <c r="W57" i="50"/>
  <c r="N57" i="50"/>
  <c r="F57" i="50"/>
  <c r="AK56" i="50"/>
  <c r="BF56" i="50" s="1"/>
  <c r="AC56" i="50"/>
  <c r="U56" i="50"/>
  <c r="M56" i="50"/>
  <c r="E56" i="50"/>
  <c r="AJ55" i="50"/>
  <c r="AB55" i="50"/>
  <c r="T55" i="50"/>
  <c r="L55" i="50"/>
  <c r="D55" i="50"/>
  <c r="AI54" i="50"/>
  <c r="AA54" i="50"/>
  <c r="S54" i="50"/>
  <c r="K54" i="50"/>
  <c r="AH53" i="50"/>
  <c r="Z53" i="50"/>
  <c r="R53" i="50"/>
  <c r="J53" i="50"/>
  <c r="AO52" i="50"/>
  <c r="AG52" i="50"/>
  <c r="Y52" i="50"/>
  <c r="Q52" i="50"/>
  <c r="I52" i="50"/>
  <c r="AN51" i="50"/>
  <c r="M53" i="84" s="1"/>
  <c r="AF51" i="50"/>
  <c r="X51" i="50"/>
  <c r="P51" i="50"/>
  <c r="H51" i="50"/>
  <c r="AM50" i="50"/>
  <c r="AE50" i="50"/>
  <c r="W50" i="50"/>
  <c r="O50" i="50"/>
  <c r="G50" i="50"/>
  <c r="AL49" i="50"/>
  <c r="AD49" i="50"/>
  <c r="V49" i="50"/>
  <c r="N49" i="50"/>
  <c r="F49" i="50"/>
  <c r="AK48" i="50"/>
  <c r="AC48" i="50"/>
  <c r="BB48" i="50" s="1"/>
  <c r="U48" i="50"/>
  <c r="M48" i="50"/>
  <c r="E48" i="50"/>
  <c r="AJ47" i="50"/>
  <c r="AB47" i="50"/>
  <c r="T47" i="50"/>
  <c r="L47" i="50"/>
  <c r="D47" i="50"/>
  <c r="AI46" i="50"/>
  <c r="AA46" i="50"/>
  <c r="S46" i="50"/>
  <c r="K46" i="50"/>
  <c r="AS46" i="50" s="1"/>
  <c r="AH251" i="50"/>
  <c r="Z251" i="50"/>
  <c r="R251" i="50"/>
  <c r="J251" i="50"/>
  <c r="AO45" i="50"/>
  <c r="AG45" i="50"/>
  <c r="Y45" i="50"/>
  <c r="Q45" i="50"/>
  <c r="I45" i="50"/>
  <c r="AN44" i="50"/>
  <c r="M59" i="84" s="1"/>
  <c r="AF44" i="50"/>
  <c r="X44" i="50"/>
  <c r="P44" i="50"/>
  <c r="H44" i="50"/>
  <c r="AM250" i="50"/>
  <c r="AE250" i="50"/>
  <c r="W250" i="50"/>
  <c r="O250" i="50"/>
  <c r="G250" i="50"/>
  <c r="AL43" i="50"/>
  <c r="AD43" i="50"/>
  <c r="V43" i="50"/>
  <c r="N43" i="50"/>
  <c r="F43" i="50"/>
  <c r="AK42" i="50"/>
  <c r="AC42" i="50"/>
  <c r="U42" i="50"/>
  <c r="M42" i="50"/>
  <c r="E42" i="50"/>
  <c r="AJ41" i="50"/>
  <c r="AB41" i="50"/>
  <c r="T41" i="50"/>
  <c r="L41" i="50"/>
  <c r="D41" i="50"/>
  <c r="AI40" i="50"/>
  <c r="AA40" i="50"/>
  <c r="S40" i="50"/>
  <c r="K40" i="50"/>
  <c r="AH39" i="50"/>
  <c r="Z39" i="50"/>
  <c r="R39" i="50"/>
  <c r="J39" i="50"/>
  <c r="AO38" i="50"/>
  <c r="AG38" i="50"/>
  <c r="Y38" i="50"/>
  <c r="Q38" i="50"/>
  <c r="I38" i="50"/>
  <c r="AN37" i="50"/>
  <c r="M28" i="84" s="1"/>
  <c r="AF37" i="50"/>
  <c r="X37" i="50"/>
  <c r="P37" i="50"/>
  <c r="H37" i="50"/>
  <c r="AM36" i="50"/>
  <c r="AE36" i="50"/>
  <c r="BC36" i="50" s="1"/>
  <c r="W36" i="50"/>
  <c r="O36" i="50"/>
  <c r="G36" i="50"/>
  <c r="AL35" i="50"/>
  <c r="AD35" i="50"/>
  <c r="V35" i="50"/>
  <c r="N35" i="50"/>
  <c r="F35" i="50"/>
  <c r="AK34" i="50"/>
  <c r="AC34" i="50"/>
  <c r="U34" i="50"/>
  <c r="M34" i="50"/>
  <c r="E34" i="50"/>
  <c r="AJ33" i="50"/>
  <c r="AB33" i="50"/>
  <c r="T33" i="50"/>
  <c r="L33" i="50"/>
  <c r="D33" i="50"/>
  <c r="AI32" i="50"/>
  <c r="AA32" i="50"/>
  <c r="S32" i="50"/>
  <c r="K32" i="50"/>
  <c r="AH31" i="50"/>
  <c r="Z31" i="50"/>
  <c r="R31" i="50"/>
  <c r="J31" i="50"/>
  <c r="AO30" i="50"/>
  <c r="AG30" i="50"/>
  <c r="Y30" i="50"/>
  <c r="Q30" i="50"/>
  <c r="I30" i="50"/>
  <c r="AF29" i="50"/>
  <c r="X29" i="50"/>
  <c r="P29" i="50"/>
  <c r="H29" i="50"/>
  <c r="AM28" i="50"/>
  <c r="AE28" i="50"/>
  <c r="W28" i="50"/>
  <c r="O28" i="50"/>
  <c r="G28" i="50"/>
  <c r="AL27" i="50"/>
  <c r="AD27" i="50"/>
  <c r="V27" i="50"/>
  <c r="N27" i="50"/>
  <c r="F27" i="50"/>
  <c r="AK26" i="50"/>
  <c r="BF26" i="50" s="1"/>
  <c r="AC26" i="50"/>
  <c r="U26" i="50"/>
  <c r="M26" i="50"/>
  <c r="E26" i="50"/>
  <c r="AJ25" i="50"/>
  <c r="AB25" i="50"/>
  <c r="T25" i="50"/>
  <c r="L25" i="50"/>
  <c r="D25" i="50"/>
  <c r="AI24" i="50"/>
  <c r="AA24" i="50"/>
  <c r="S24" i="50"/>
  <c r="AW24" i="50" s="1"/>
  <c r="K24" i="50"/>
  <c r="AH23" i="50"/>
  <c r="Z23" i="50"/>
  <c r="R23" i="50"/>
  <c r="J23" i="50"/>
  <c r="AO22" i="50"/>
  <c r="AG22" i="50"/>
  <c r="Y22" i="50"/>
  <c r="Q22" i="50"/>
  <c r="I22" i="50"/>
  <c r="AN21" i="50"/>
  <c r="M30" i="84" s="1"/>
  <c r="AF21" i="50"/>
  <c r="H110" i="50"/>
  <c r="AR110" i="50" s="1"/>
  <c r="U101" i="50"/>
  <c r="S94" i="50"/>
  <c r="AL90" i="50"/>
  <c r="G86" i="50"/>
  <c r="AF80" i="50"/>
  <c r="BD80" i="50" s="1"/>
  <c r="P78" i="50"/>
  <c r="Y76" i="50"/>
  <c r="AG75" i="50"/>
  <c r="AN73" i="50"/>
  <c r="M85" i="84" s="1"/>
  <c r="H256" i="50"/>
  <c r="P71" i="50"/>
  <c r="W69" i="50"/>
  <c r="AD67" i="50"/>
  <c r="AJ66" i="50"/>
  <c r="I66" i="50"/>
  <c r="AH65" i="50"/>
  <c r="E65" i="50"/>
  <c r="AH255" i="50"/>
  <c r="AD254" i="50"/>
  <c r="I254" i="50"/>
  <c r="AC253" i="50"/>
  <c r="M253" i="50"/>
  <c r="AN252" i="50"/>
  <c r="M69" i="84" s="1"/>
  <c r="AC252" i="50"/>
  <c r="T252" i="50"/>
  <c r="J252" i="50"/>
  <c r="AL64" i="50"/>
  <c r="AC64" i="50"/>
  <c r="T64" i="50"/>
  <c r="K64" i="50"/>
  <c r="AL63" i="50"/>
  <c r="AC63" i="50"/>
  <c r="T63" i="50"/>
  <c r="K63" i="50"/>
  <c r="AL62" i="50"/>
  <c r="AC62" i="50"/>
  <c r="T62" i="50"/>
  <c r="K62" i="50"/>
  <c r="AL61" i="50"/>
  <c r="AC61" i="50"/>
  <c r="T61" i="50"/>
  <c r="K61" i="50"/>
  <c r="AM60" i="50"/>
  <c r="AC60" i="50"/>
  <c r="T60" i="50"/>
  <c r="K60" i="50"/>
  <c r="AM59" i="50"/>
  <c r="AD59" i="50"/>
  <c r="T59" i="50"/>
  <c r="K59" i="50"/>
  <c r="AM58" i="50"/>
  <c r="AD58" i="50"/>
  <c r="U58" i="50"/>
  <c r="K58" i="50"/>
  <c r="AM57" i="50"/>
  <c r="AD57" i="50"/>
  <c r="U57" i="50"/>
  <c r="L57" i="50"/>
  <c r="D57" i="50"/>
  <c r="AI56" i="50"/>
  <c r="AA56" i="50"/>
  <c r="S56" i="50"/>
  <c r="K56" i="50"/>
  <c r="AH55" i="50"/>
  <c r="Z55" i="50"/>
  <c r="BA55" i="50" s="1"/>
  <c r="R55" i="50"/>
  <c r="J55" i="50"/>
  <c r="AO54" i="50"/>
  <c r="AG54" i="50"/>
  <c r="Y54" i="50"/>
  <c r="Q54" i="50"/>
  <c r="I54" i="50"/>
  <c r="AN53" i="50"/>
  <c r="M51" i="84" s="1"/>
  <c r="AF53" i="50"/>
  <c r="X53" i="50"/>
  <c r="P53" i="50"/>
  <c r="H53" i="50"/>
  <c r="AR53" i="50" s="1"/>
  <c r="AM52" i="50"/>
  <c r="AE52" i="50"/>
  <c r="W52" i="50"/>
  <c r="O52" i="50"/>
  <c r="G52" i="50"/>
  <c r="AL51" i="50"/>
  <c r="AD51" i="50"/>
  <c r="V51" i="50"/>
  <c r="N51" i="50"/>
  <c r="F51" i="50"/>
  <c r="AK50" i="50"/>
  <c r="AC50" i="50"/>
  <c r="U50" i="50"/>
  <c r="M50" i="50"/>
  <c r="E50" i="50"/>
  <c r="AJ49" i="50"/>
  <c r="BF49" i="50" s="1"/>
  <c r="AB49" i="50"/>
  <c r="T49" i="50"/>
  <c r="L49" i="50"/>
  <c r="D49" i="50"/>
  <c r="AI48" i="50"/>
  <c r="AA48" i="50"/>
  <c r="S48" i="50"/>
  <c r="K48" i="50"/>
  <c r="AH47" i="50"/>
  <c r="Z47" i="50"/>
  <c r="R47" i="50"/>
  <c r="AW47" i="50" s="1"/>
  <c r="J47" i="50"/>
  <c r="AO46" i="50"/>
  <c r="AG46" i="50"/>
  <c r="Y46" i="50"/>
  <c r="Q46" i="50"/>
  <c r="I46" i="50"/>
  <c r="AN251" i="50"/>
  <c r="M43" i="84" s="1"/>
  <c r="AF251" i="50"/>
  <c r="X251" i="50"/>
  <c r="P251" i="50"/>
  <c r="H251" i="50"/>
  <c r="AM45" i="50"/>
  <c r="AE45" i="50"/>
  <c r="W45" i="50"/>
  <c r="O45" i="50"/>
  <c r="G45" i="50"/>
  <c r="AL44" i="50"/>
  <c r="AD44" i="50"/>
  <c r="V44" i="50"/>
  <c r="N44" i="50"/>
  <c r="F44" i="50"/>
  <c r="AK250" i="50"/>
  <c r="AC250" i="50"/>
  <c r="U250" i="50"/>
  <c r="M250" i="50"/>
  <c r="E250" i="50"/>
  <c r="AJ43" i="50"/>
  <c r="AB43" i="50"/>
  <c r="BB43" i="50" s="1"/>
  <c r="T43" i="50"/>
  <c r="L43" i="50"/>
  <c r="D43" i="50"/>
  <c r="AI42" i="50"/>
  <c r="AA42" i="50"/>
  <c r="S42" i="50"/>
  <c r="K42" i="50"/>
  <c r="AH41" i="50"/>
  <c r="Z41" i="50"/>
  <c r="R41" i="50"/>
  <c r="J41" i="50"/>
  <c r="AS41" i="50" s="1"/>
  <c r="AO40" i="50"/>
  <c r="AG40" i="50"/>
  <c r="Y40" i="50"/>
  <c r="Q40" i="50"/>
  <c r="I40" i="50"/>
  <c r="AN39" i="50"/>
  <c r="M23" i="84" s="1"/>
  <c r="AF39" i="50"/>
  <c r="X39" i="50"/>
  <c r="P39" i="50"/>
  <c r="H39" i="50"/>
  <c r="AM38" i="50"/>
  <c r="AE38" i="50"/>
  <c r="W38" i="50"/>
  <c r="O38" i="50"/>
  <c r="G38" i="50"/>
  <c r="AL37" i="50"/>
  <c r="AD37" i="50"/>
  <c r="V37" i="50"/>
  <c r="N37" i="50"/>
  <c r="F37" i="50"/>
  <c r="AK36" i="50"/>
  <c r="AC36" i="50"/>
  <c r="U36" i="50"/>
  <c r="M36" i="50"/>
  <c r="E36" i="50"/>
  <c r="AJ35" i="50"/>
  <c r="AB35" i="50"/>
  <c r="T35" i="50"/>
  <c r="L35" i="50"/>
  <c r="D35" i="50"/>
  <c r="AI34" i="50"/>
  <c r="AA34" i="50"/>
  <c r="S34" i="50"/>
  <c r="K34" i="50"/>
  <c r="AH33" i="50"/>
  <c r="Z33" i="50"/>
  <c r="R33" i="50"/>
  <c r="J33" i="50"/>
  <c r="AO32" i="50"/>
  <c r="AG32" i="50"/>
  <c r="Y32" i="50"/>
  <c r="Q32" i="50"/>
  <c r="I32" i="50"/>
  <c r="AN31" i="50"/>
  <c r="M35" i="84" s="1"/>
  <c r="AF31" i="50"/>
  <c r="X31" i="50"/>
  <c r="P31" i="50"/>
  <c r="H31" i="50"/>
  <c r="AM30" i="50"/>
  <c r="AE30" i="50"/>
  <c r="W30" i="50"/>
  <c r="O30" i="50"/>
  <c r="G30" i="50"/>
  <c r="AL29" i="50"/>
  <c r="AD29" i="50"/>
  <c r="V29" i="50"/>
  <c r="N29" i="50"/>
  <c r="F29" i="50"/>
  <c r="AK28" i="50"/>
  <c r="AC28" i="50"/>
  <c r="U28" i="50"/>
  <c r="M28" i="50"/>
  <c r="E28" i="50"/>
  <c r="H109" i="50"/>
  <c r="O100" i="50"/>
  <c r="AF93" i="50"/>
  <c r="BD93" i="50" s="1"/>
  <c r="F90" i="50"/>
  <c r="AJ85" i="50"/>
  <c r="AH82" i="50"/>
  <c r="P80" i="50"/>
  <c r="E78" i="50"/>
  <c r="L76" i="50"/>
  <c r="S75" i="50"/>
  <c r="Z73" i="50"/>
  <c r="AI259" i="50"/>
  <c r="I69" i="50"/>
  <c r="R67" i="50"/>
  <c r="AE66" i="50"/>
  <c r="D66" i="50"/>
  <c r="AF65" i="50"/>
  <c r="BD65" i="50" s="1"/>
  <c r="AB255" i="50"/>
  <c r="Z254" i="50"/>
  <c r="BA254" i="50" s="1"/>
  <c r="F254" i="50"/>
  <c r="AA253" i="50"/>
  <c r="J253" i="50"/>
  <c r="AM252" i="50"/>
  <c r="AB252" i="50"/>
  <c r="R252" i="50"/>
  <c r="I252" i="50"/>
  <c r="AK64" i="50"/>
  <c r="AB64" i="50"/>
  <c r="S64" i="50"/>
  <c r="I64" i="50"/>
  <c r="AK63" i="50"/>
  <c r="AB63" i="50"/>
  <c r="S63" i="50"/>
  <c r="J63" i="50"/>
  <c r="AK62" i="50"/>
  <c r="AB62" i="50"/>
  <c r="S62" i="50"/>
  <c r="J62" i="50"/>
  <c r="AK61" i="50"/>
  <c r="AB61" i="50"/>
  <c r="S61" i="50"/>
  <c r="J61" i="50"/>
  <c r="AK60" i="50"/>
  <c r="AB60" i="50"/>
  <c r="S60" i="50"/>
  <c r="J60" i="50"/>
  <c r="AL59" i="50"/>
  <c r="AB59" i="50"/>
  <c r="S59" i="50"/>
  <c r="J59" i="50"/>
  <c r="AL58" i="50"/>
  <c r="AC58" i="50"/>
  <c r="S58" i="50"/>
  <c r="AW58" i="50" s="1"/>
  <c r="J58" i="50"/>
  <c r="AL57" i="50"/>
  <c r="AC57" i="50"/>
  <c r="T57" i="50"/>
  <c r="K57" i="50"/>
  <c r="AH56" i="50"/>
  <c r="Z56" i="50"/>
  <c r="R56" i="50"/>
  <c r="J56" i="50"/>
  <c r="AO55" i="50"/>
  <c r="AG55" i="50"/>
  <c r="Y55" i="50"/>
  <c r="Q55" i="50"/>
  <c r="I55" i="50"/>
  <c r="AN54" i="50"/>
  <c r="M55" i="84" s="1"/>
  <c r="AF54" i="50"/>
  <c r="X54" i="50"/>
  <c r="P54" i="50"/>
  <c r="H54" i="50"/>
  <c r="AM53" i="50"/>
  <c r="AE53" i="50"/>
  <c r="BC53" i="50" s="1"/>
  <c r="W53" i="50"/>
  <c r="O53" i="50"/>
  <c r="G53" i="50"/>
  <c r="AL52" i="50"/>
  <c r="AD52" i="50"/>
  <c r="V52" i="50"/>
  <c r="N52" i="50"/>
  <c r="F52" i="50"/>
  <c r="AK51" i="50"/>
  <c r="AC51" i="50"/>
  <c r="U51" i="50"/>
  <c r="M51" i="50"/>
  <c r="AT51" i="50" s="1"/>
  <c r="E51" i="50"/>
  <c r="AJ50" i="50"/>
  <c r="AB50" i="50"/>
  <c r="T50" i="50"/>
  <c r="L50" i="50"/>
  <c r="D50" i="50"/>
  <c r="AI49" i="50"/>
  <c r="AA49" i="50"/>
  <c r="S49" i="50"/>
  <c r="K49" i="50"/>
  <c r="AH48" i="50"/>
  <c r="Z48" i="50"/>
  <c r="R48" i="50"/>
  <c r="J48" i="50"/>
  <c r="AO47" i="50"/>
  <c r="AG47" i="50"/>
  <c r="Y47" i="50"/>
  <c r="Q47" i="50"/>
  <c r="I47" i="50"/>
  <c r="AN46" i="50"/>
  <c r="M236" i="84" s="1"/>
  <c r="AF46" i="50"/>
  <c r="X46" i="50"/>
  <c r="P46" i="50"/>
  <c r="H46" i="50"/>
  <c r="AM251" i="50"/>
  <c r="AE251" i="50"/>
  <c r="W251" i="50"/>
  <c r="O251" i="50"/>
  <c r="G251" i="50"/>
  <c r="AL45" i="50"/>
  <c r="AD45" i="50"/>
  <c r="V45" i="50"/>
  <c r="N45" i="50"/>
  <c r="F45" i="50"/>
  <c r="AK44" i="50"/>
  <c r="AC44" i="50"/>
  <c r="U44" i="50"/>
  <c r="M44" i="50"/>
  <c r="E44" i="50"/>
  <c r="AP44" i="50" s="1"/>
  <c r="AJ250" i="50"/>
  <c r="AB250" i="50"/>
  <c r="T250" i="50"/>
  <c r="L250" i="50"/>
  <c r="D250" i="50"/>
  <c r="AI43" i="50"/>
  <c r="AA43" i="50"/>
  <c r="S43" i="50"/>
  <c r="K43" i="50"/>
  <c r="AH42" i="50"/>
  <c r="Z42" i="50"/>
  <c r="R42" i="50"/>
  <c r="J42" i="50"/>
  <c r="AO41" i="50"/>
  <c r="AG41" i="50"/>
  <c r="BD41" i="50" s="1"/>
  <c r="Y41" i="50"/>
  <c r="Q41" i="50"/>
  <c r="I41" i="50"/>
  <c r="AN40" i="50"/>
  <c r="M54" i="84" s="1"/>
  <c r="AF40" i="50"/>
  <c r="X40" i="50"/>
  <c r="P40" i="50"/>
  <c r="H40" i="50"/>
  <c r="AM39" i="50"/>
  <c r="AE39" i="50"/>
  <c r="W39" i="50"/>
  <c r="O39" i="50"/>
  <c r="AU39" i="50" s="1"/>
  <c r="G39" i="50"/>
  <c r="AL38" i="50"/>
  <c r="AD38" i="50"/>
  <c r="V38" i="50"/>
  <c r="N38" i="50"/>
  <c r="F38" i="50"/>
  <c r="AK37" i="50"/>
  <c r="AC37" i="50"/>
  <c r="U37" i="50"/>
  <c r="M37" i="50"/>
  <c r="E37" i="50"/>
  <c r="AJ36" i="50"/>
  <c r="AB36" i="50"/>
  <c r="T36" i="50"/>
  <c r="L36" i="50"/>
  <c r="D36" i="50"/>
  <c r="AI35" i="50"/>
  <c r="O8" i="50"/>
  <c r="Q10" i="50"/>
  <c r="AV10" i="50" s="1"/>
  <c r="AH11" i="50"/>
  <c r="L13" i="50"/>
  <c r="AC14" i="50"/>
  <c r="O15" i="50"/>
  <c r="AU15" i="50" s="1"/>
  <c r="AO17" i="50"/>
  <c r="K19" i="50"/>
  <c r="AS19" i="50" s="1"/>
  <c r="AJ20" i="50"/>
  <c r="AM21" i="50"/>
  <c r="X23" i="50"/>
  <c r="U27" i="50"/>
  <c r="AX27" i="50" s="1"/>
  <c r="H33" i="50"/>
  <c r="AH36" i="50"/>
  <c r="AL39" i="50"/>
  <c r="J43" i="50"/>
  <c r="P45" i="50"/>
  <c r="AO49" i="50"/>
  <c r="D52" i="50"/>
  <c r="AB57" i="50"/>
  <c r="AA61" i="50"/>
  <c r="H64" i="50"/>
  <c r="Z252" i="50"/>
  <c r="G253" i="50"/>
  <c r="H259" i="50"/>
  <c r="AA102" i="50"/>
  <c r="AJ63" i="50"/>
  <c r="M258" i="50"/>
  <c r="G8" i="50"/>
  <c r="P9" i="50"/>
  <c r="J11" i="50"/>
  <c r="AI12" i="50"/>
  <c r="BE12" i="50" s="1"/>
  <c r="AJ13" i="50"/>
  <c r="N249" i="50"/>
  <c r="AE15" i="50"/>
  <c r="BC15" i="50" s="1"/>
  <c r="AF16" i="50"/>
  <c r="J18" i="50"/>
  <c r="D20" i="50"/>
  <c r="U21" i="50"/>
  <c r="AX21" i="50" s="1"/>
  <c r="M23" i="50"/>
  <c r="Q25" i="50"/>
  <c r="AV25" i="50" s="1"/>
  <c r="AI27" i="50"/>
  <c r="BE27" i="50" s="1"/>
  <c r="M30" i="50"/>
  <c r="AT30" i="50" s="1"/>
  <c r="AE32" i="50"/>
  <c r="BC32" i="50" s="1"/>
  <c r="Z35" i="50"/>
  <c r="Q39" i="50"/>
  <c r="X42" i="50"/>
  <c r="AB44" i="50"/>
  <c r="N46" i="50"/>
  <c r="R49" i="50"/>
  <c r="M53" i="50"/>
  <c r="Q56" i="50"/>
  <c r="AV56" i="50" s="1"/>
  <c r="Q59" i="50"/>
  <c r="U62" i="50"/>
  <c r="AI64" i="50"/>
  <c r="X8" i="50"/>
  <c r="AG9" i="50"/>
  <c r="AH10" i="50"/>
  <c r="AI11" i="50"/>
  <c r="AJ12" i="50"/>
  <c r="F14" i="50"/>
  <c r="O249" i="50"/>
  <c r="P15" i="50"/>
  <c r="R17" i="50"/>
  <c r="AI18" i="50"/>
  <c r="AB19" i="50"/>
  <c r="F21" i="50"/>
  <c r="N23" i="50"/>
  <c r="AF25" i="50"/>
  <c r="AO26" i="50"/>
  <c r="L28" i="50"/>
  <c r="AD30" i="50"/>
  <c r="W31" i="50"/>
  <c r="Y33" i="50"/>
  <c r="K35" i="50"/>
  <c r="U39" i="50"/>
  <c r="P41" i="50"/>
  <c r="AV41" i="50" s="1"/>
  <c r="M43" i="50"/>
  <c r="AE44" i="50"/>
  <c r="F251" i="50"/>
  <c r="U49" i="50"/>
  <c r="S51" i="50"/>
  <c r="AK53" i="50"/>
  <c r="AF55" i="50"/>
  <c r="I57" i="50"/>
  <c r="L60" i="50"/>
  <c r="H61" i="50"/>
  <c r="Z62" i="50"/>
  <c r="L64" i="50"/>
  <c r="G252" i="50"/>
  <c r="H253" i="50"/>
  <c r="AA65" i="50"/>
  <c r="V259" i="50"/>
  <c r="AC89" i="50"/>
  <c r="AG106" i="50"/>
  <c r="R62" i="50"/>
  <c r="Y252" i="50"/>
  <c r="AD66" i="50"/>
  <c r="AE8" i="50"/>
  <c r="BC8" i="50" s="1"/>
  <c r="AN9" i="50"/>
  <c r="M12" i="84" s="1"/>
  <c r="AO10" i="50"/>
  <c r="K12" i="50"/>
  <c r="AS12" i="50" s="1"/>
  <c r="E14" i="50"/>
  <c r="AP14" i="50" s="1"/>
  <c r="V249" i="50"/>
  <c r="W15" i="50"/>
  <c r="AY15" i="50" s="1"/>
  <c r="I17" i="50"/>
  <c r="AR17" i="50" s="1"/>
  <c r="AH18" i="50"/>
  <c r="AI19" i="50"/>
  <c r="BE19" i="50" s="1"/>
  <c r="E21" i="50"/>
  <c r="AP21" i="50" s="1"/>
  <c r="P22" i="50"/>
  <c r="AE25" i="50"/>
  <c r="J27" i="50"/>
  <c r="T29" i="50"/>
  <c r="V31" i="50"/>
  <c r="J35" i="50"/>
  <c r="AS35" i="50" s="1"/>
  <c r="AC38" i="50"/>
  <c r="BB38" i="50" s="1"/>
  <c r="AI41" i="50"/>
  <c r="G44" i="50"/>
  <c r="AH46" i="50"/>
  <c r="AA50" i="50"/>
  <c r="X52" i="50"/>
  <c r="H55" i="50"/>
  <c r="AR55" i="50" s="1"/>
  <c r="V58" i="50"/>
  <c r="AI60" i="50"/>
  <c r="V65" i="50"/>
  <c r="AF8" i="50"/>
  <c r="AO9" i="50"/>
  <c r="L12" i="50"/>
  <c r="M13" i="50"/>
  <c r="N14" i="50"/>
  <c r="G249" i="50"/>
  <c r="AF15" i="50"/>
  <c r="Y16" i="50"/>
  <c r="K18" i="50"/>
  <c r="T19" i="50"/>
  <c r="AC20" i="50"/>
  <c r="S22" i="50"/>
  <c r="AM23" i="50"/>
  <c r="G25" i="50"/>
  <c r="P26" i="50"/>
  <c r="AJ27" i="50"/>
  <c r="E29" i="50"/>
  <c r="G31" i="50"/>
  <c r="AF32" i="50"/>
  <c r="BD32" i="50" s="1"/>
  <c r="AH34" i="50"/>
  <c r="N36" i="50"/>
  <c r="L38" i="50"/>
  <c r="AO39" i="50"/>
  <c r="AM41" i="50"/>
  <c r="AH43" i="50"/>
  <c r="T45" i="50"/>
  <c r="O46" i="50"/>
  <c r="L48" i="50"/>
  <c r="AM51" i="50"/>
  <c r="N53" i="50"/>
  <c r="AU53" i="50" s="1"/>
  <c r="T56" i="50"/>
  <c r="AE57" i="50"/>
  <c r="R59" i="50"/>
  <c r="AJ60" i="50"/>
  <c r="AD61" i="50"/>
  <c r="R63" i="50"/>
  <c r="AJ64" i="50"/>
  <c r="BF64" i="50" s="1"/>
  <c r="AD252" i="50"/>
  <c r="I8" i="50"/>
  <c r="Q8" i="50"/>
  <c r="Y8" i="50"/>
  <c r="AG8" i="50"/>
  <c r="AO8" i="50"/>
  <c r="J9" i="50"/>
  <c r="R9" i="50"/>
  <c r="Z9" i="50"/>
  <c r="AH9" i="50"/>
  <c r="K10" i="50"/>
  <c r="S10" i="50"/>
  <c r="AA10" i="50"/>
  <c r="AI10" i="50"/>
  <c r="D11" i="50"/>
  <c r="L11" i="50"/>
  <c r="T11" i="50"/>
  <c r="AB11" i="50"/>
  <c r="AJ11" i="50"/>
  <c r="E12" i="50"/>
  <c r="M12" i="50"/>
  <c r="U12" i="50"/>
  <c r="AC12" i="50"/>
  <c r="AK12" i="50"/>
  <c r="F13" i="50"/>
  <c r="N13" i="50"/>
  <c r="V13" i="50"/>
  <c r="AD13" i="50"/>
  <c r="AL13" i="50"/>
  <c r="G14" i="50"/>
  <c r="O14" i="50"/>
  <c r="W14" i="50"/>
  <c r="AE14" i="50"/>
  <c r="AM14" i="50"/>
  <c r="H249" i="50"/>
  <c r="P249" i="50"/>
  <c r="X249" i="50"/>
  <c r="AF249" i="50"/>
  <c r="AN249" i="50"/>
  <c r="M14" i="84" s="1"/>
  <c r="I15" i="50"/>
  <c r="Q15" i="50"/>
  <c r="Y15" i="50"/>
  <c r="AG15" i="50"/>
  <c r="AO15" i="50"/>
  <c r="J16" i="50"/>
  <c r="R16" i="50"/>
  <c r="Z16" i="50"/>
  <c r="AH16" i="50"/>
  <c r="K17" i="50"/>
  <c r="S17" i="50"/>
  <c r="AA17" i="50"/>
  <c r="AI17" i="50"/>
  <c r="D18" i="50"/>
  <c r="L18" i="50"/>
  <c r="T18" i="50"/>
  <c r="AB18" i="50"/>
  <c r="AJ18" i="50"/>
  <c r="E19" i="50"/>
  <c r="M19" i="50"/>
  <c r="U19" i="50"/>
  <c r="AC19" i="50"/>
  <c r="AK19" i="50"/>
  <c r="F20" i="50"/>
  <c r="N20" i="50"/>
  <c r="V20" i="50"/>
  <c r="AD20" i="50"/>
  <c r="AL20" i="50"/>
  <c r="G21" i="50"/>
  <c r="O21" i="50"/>
  <c r="W21" i="50"/>
  <c r="AE21" i="50"/>
  <c r="H22" i="50"/>
  <c r="T22" i="50"/>
  <c r="AE22" i="50"/>
  <c r="O23" i="50"/>
  <c r="AC23" i="50"/>
  <c r="AN23" i="50"/>
  <c r="M27" i="84" s="1"/>
  <c r="J24" i="50"/>
  <c r="X24" i="50"/>
  <c r="AL24" i="50"/>
  <c r="H25" i="50"/>
  <c r="S25" i="50"/>
  <c r="AG25" i="50"/>
  <c r="Q26" i="50"/>
  <c r="AB26" i="50"/>
  <c r="L27" i="50"/>
  <c r="Z27" i="50"/>
  <c r="AK27" i="50"/>
  <c r="N28" i="50"/>
  <c r="AD28" i="50"/>
  <c r="G29" i="50"/>
  <c r="W29" i="50"/>
  <c r="AM29" i="50"/>
  <c r="P30" i="50"/>
  <c r="AV30" i="50" s="1"/>
  <c r="AF30" i="50"/>
  <c r="I31" i="50"/>
  <c r="Y31" i="50"/>
  <c r="AO31" i="50"/>
  <c r="R32" i="50"/>
  <c r="AH32" i="50"/>
  <c r="K33" i="50"/>
  <c r="AA33" i="50"/>
  <c r="D34" i="50"/>
  <c r="T34" i="50"/>
  <c r="AJ34" i="50"/>
  <c r="M35" i="50"/>
  <c r="AC35" i="50"/>
  <c r="R36" i="50"/>
  <c r="AL36" i="50"/>
  <c r="D37" i="50"/>
  <c r="AA37" i="50"/>
  <c r="M38" i="50"/>
  <c r="AJ38" i="50"/>
  <c r="V39" i="50"/>
  <c r="J40" i="50"/>
  <c r="AE40" i="50"/>
  <c r="S41" i="50"/>
  <c r="AN41" i="50"/>
  <c r="M130" i="84" s="1"/>
  <c r="H42" i="50"/>
  <c r="AB42" i="50"/>
  <c r="Q43" i="50"/>
  <c r="AK43" i="50"/>
  <c r="Z250" i="50"/>
  <c r="L44" i="50"/>
  <c r="AI44" i="50"/>
  <c r="U45" i="50"/>
  <c r="I251" i="50"/>
  <c r="AD251" i="50"/>
  <c r="R46" i="50"/>
  <c r="AM46" i="50"/>
  <c r="G47" i="50"/>
  <c r="AA47" i="50"/>
  <c r="P48" i="50"/>
  <c r="AJ48" i="50"/>
  <c r="Y49" i="50"/>
  <c r="K50" i="50"/>
  <c r="AH50" i="50"/>
  <c r="T51" i="50"/>
  <c r="H52" i="50"/>
  <c r="AC52" i="50"/>
  <c r="Q53" i="50"/>
  <c r="AL53" i="50"/>
  <c r="F54" i="50"/>
  <c r="Z54" i="50"/>
  <c r="O55" i="50"/>
  <c r="AI55" i="50"/>
  <c r="X56" i="50"/>
  <c r="J57" i="50"/>
  <c r="AJ57" i="50"/>
  <c r="AA58" i="50"/>
  <c r="V59" i="50"/>
  <c r="Q60" i="50"/>
  <c r="AN60" i="50"/>
  <c r="M61" i="84" s="1"/>
  <c r="I61" i="50"/>
  <c r="AI61" i="50"/>
  <c r="AA62" i="50"/>
  <c r="U63" i="50"/>
  <c r="P64" i="50"/>
  <c r="AM64" i="50"/>
  <c r="H252" i="50"/>
  <c r="AJ252" i="50"/>
  <c r="P253" i="50"/>
  <c r="AV253" i="50" s="1"/>
  <c r="D254" i="50"/>
  <c r="W255" i="50"/>
  <c r="AK65" i="50"/>
  <c r="G67" i="50"/>
  <c r="Y72" i="50"/>
  <c r="F260" i="50"/>
  <c r="AQ260" i="50" s="1"/>
  <c r="O91" i="50"/>
  <c r="Z61" i="50"/>
  <c r="G64" i="50"/>
  <c r="W8" i="50"/>
  <c r="AY8" i="50" s="1"/>
  <c r="I10" i="50"/>
  <c r="Z11" i="50"/>
  <c r="AB13" i="50"/>
  <c r="AK14" i="50"/>
  <c r="BF14" i="50" s="1"/>
  <c r="AD249" i="50"/>
  <c r="P16" i="50"/>
  <c r="Y17" i="50"/>
  <c r="AZ17" i="50" s="1"/>
  <c r="AA19" i="50"/>
  <c r="BA19" i="50" s="1"/>
  <c r="T20" i="50"/>
  <c r="AC22" i="50"/>
  <c r="BB22" i="50" s="1"/>
  <c r="H24" i="50"/>
  <c r="L26" i="50"/>
  <c r="AJ29" i="50"/>
  <c r="O32" i="50"/>
  <c r="AU32" i="50" s="1"/>
  <c r="AG34" i="50"/>
  <c r="BD34" i="50" s="1"/>
  <c r="T37" i="50"/>
  <c r="Z40" i="50"/>
  <c r="S250" i="50"/>
  <c r="AW250" i="50" s="1"/>
  <c r="Y251" i="50"/>
  <c r="AF48" i="50"/>
  <c r="AJ51" i="50"/>
  <c r="V54" i="50"/>
  <c r="AN56" i="50"/>
  <c r="M106" i="84" s="1"/>
  <c r="I60" i="50"/>
  <c r="AR60" i="50" s="1"/>
  <c r="P63" i="50"/>
  <c r="AO66" i="50"/>
  <c r="H8" i="50"/>
  <c r="Q9" i="50"/>
  <c r="J10" i="50"/>
  <c r="K11" i="50"/>
  <c r="AB12" i="50"/>
  <c r="AK13" i="50"/>
  <c r="W249" i="50"/>
  <c r="AN15" i="50"/>
  <c r="M16" i="84" s="1"/>
  <c r="AO16" i="50"/>
  <c r="AH17" i="50"/>
  <c r="L19" i="50"/>
  <c r="U20" i="50"/>
  <c r="N21" i="50"/>
  <c r="AD22" i="50"/>
  <c r="AH24" i="50"/>
  <c r="AA26" i="50"/>
  <c r="Y27" i="50"/>
  <c r="N30" i="50"/>
  <c r="AM31" i="50"/>
  <c r="I33" i="50"/>
  <c r="R34" i="50"/>
  <c r="AI36" i="50"/>
  <c r="AF38" i="50"/>
  <c r="G40" i="50"/>
  <c r="Y42" i="50"/>
  <c r="V250" i="50"/>
  <c r="AN45" i="50"/>
  <c r="M41" i="84" s="1"/>
  <c r="AL46" i="50"/>
  <c r="AG48" i="50"/>
  <c r="J50" i="50"/>
  <c r="AB52" i="50"/>
  <c r="K55" i="50"/>
  <c r="Z58" i="50"/>
  <c r="AA71" i="50"/>
  <c r="J8" i="50"/>
  <c r="R8" i="50"/>
  <c r="Z8" i="50"/>
  <c r="AH8" i="50"/>
  <c r="K9" i="50"/>
  <c r="S9" i="50"/>
  <c r="AA9" i="50"/>
  <c r="AI9" i="50"/>
  <c r="D10" i="50"/>
  <c r="L10" i="50"/>
  <c r="T10" i="50"/>
  <c r="AB10" i="50"/>
  <c r="AJ10" i="50"/>
  <c r="E11" i="50"/>
  <c r="M11" i="50"/>
  <c r="U11" i="50"/>
  <c r="AC11" i="50"/>
  <c r="AK11" i="50"/>
  <c r="F12" i="50"/>
  <c r="N12" i="50"/>
  <c r="V12" i="50"/>
  <c r="AD12" i="50"/>
  <c r="AL12" i="50"/>
  <c r="G13" i="50"/>
  <c r="O13" i="50"/>
  <c r="W13" i="50"/>
  <c r="AE13" i="50"/>
  <c r="AM13" i="50"/>
  <c r="H14" i="50"/>
  <c r="P14" i="50"/>
  <c r="X14" i="50"/>
  <c r="AF14" i="50"/>
  <c r="AN14" i="50"/>
  <c r="M19" i="84" s="1"/>
  <c r="I249" i="50"/>
  <c r="Q249" i="50"/>
  <c r="Y249" i="50"/>
  <c r="AG249" i="50"/>
  <c r="AO249" i="50"/>
  <c r="J15" i="50"/>
  <c r="R15" i="50"/>
  <c r="Z15" i="50"/>
  <c r="AH15" i="50"/>
  <c r="K16" i="50"/>
  <c r="S16" i="50"/>
  <c r="AA16" i="50"/>
  <c r="AI16" i="50"/>
  <c r="D17" i="50"/>
  <c r="L17" i="50"/>
  <c r="T17" i="50"/>
  <c r="AB17" i="50"/>
  <c r="AJ17" i="50"/>
  <c r="E18" i="50"/>
  <c r="M18" i="50"/>
  <c r="U18" i="50"/>
  <c r="AC18" i="50"/>
  <c r="AK18" i="50"/>
  <c r="F19" i="50"/>
  <c r="N19" i="50"/>
  <c r="V19" i="50"/>
  <c r="AD19" i="50"/>
  <c r="AL19" i="50"/>
  <c r="G20" i="50"/>
  <c r="O20" i="50"/>
  <c r="W20" i="50"/>
  <c r="AE20" i="50"/>
  <c r="AM20" i="50"/>
  <c r="H21" i="50"/>
  <c r="P21" i="50"/>
  <c r="X21" i="50"/>
  <c r="AH21" i="50"/>
  <c r="K22" i="50"/>
  <c r="U22" i="50"/>
  <c r="AF22" i="50"/>
  <c r="BD22" i="50" s="1"/>
  <c r="E23" i="50"/>
  <c r="P23" i="50"/>
  <c r="AD23" i="50"/>
  <c r="AO23" i="50"/>
  <c r="N24" i="50"/>
  <c r="Y24" i="50"/>
  <c r="AM24" i="50"/>
  <c r="I25" i="50"/>
  <c r="W25" i="50"/>
  <c r="AH25" i="50"/>
  <c r="D26" i="50"/>
  <c r="R26" i="50"/>
  <c r="AF26" i="50"/>
  <c r="M27" i="50"/>
  <c r="AA27" i="50"/>
  <c r="AO27" i="50"/>
  <c r="R28" i="50"/>
  <c r="AH28" i="50"/>
  <c r="K29" i="50"/>
  <c r="AA29" i="50"/>
  <c r="D30" i="50"/>
  <c r="T30" i="50"/>
  <c r="AJ30" i="50"/>
  <c r="M31" i="50"/>
  <c r="AC31" i="50"/>
  <c r="F32" i="50"/>
  <c r="V32" i="50"/>
  <c r="AL32" i="50"/>
  <c r="O33" i="50"/>
  <c r="AE33" i="50"/>
  <c r="H34" i="50"/>
  <c r="X34" i="50"/>
  <c r="AN34" i="50"/>
  <c r="M36" i="84" s="1"/>
  <c r="Q35" i="50"/>
  <c r="AG35" i="50"/>
  <c r="S36" i="50"/>
  <c r="G37" i="50"/>
  <c r="AB37" i="50"/>
  <c r="P38" i="50"/>
  <c r="AV38" i="50" s="1"/>
  <c r="AK38" i="50"/>
  <c r="E39" i="50"/>
  <c r="Y39" i="50"/>
  <c r="N40" i="50"/>
  <c r="AH40" i="50"/>
  <c r="W41" i="50"/>
  <c r="I42" i="50"/>
  <c r="AF42" i="50"/>
  <c r="R43" i="50"/>
  <c r="AO43" i="50"/>
  <c r="F250" i="50"/>
  <c r="AA250" i="50"/>
  <c r="O44" i="50"/>
  <c r="AJ44" i="50"/>
  <c r="BF44" i="50" s="1"/>
  <c r="D45" i="50"/>
  <c r="X45" i="50"/>
  <c r="M251" i="50"/>
  <c r="AG251" i="50"/>
  <c r="V46" i="50"/>
  <c r="H47" i="50"/>
  <c r="AE47" i="50"/>
  <c r="Q48" i="50"/>
  <c r="AN48" i="50"/>
  <c r="M46" i="84" s="1"/>
  <c r="E49" i="50"/>
  <c r="Z49" i="50"/>
  <c r="N50" i="50"/>
  <c r="AI50" i="50"/>
  <c r="W51" i="50"/>
  <c r="L52" i="50"/>
  <c r="AF52" i="50"/>
  <c r="U53" i="50"/>
  <c r="AO53" i="50"/>
  <c r="G54" i="50"/>
  <c r="AD54" i="50"/>
  <c r="P55" i="50"/>
  <c r="AM55" i="50"/>
  <c r="D56" i="50"/>
  <c r="Y56" i="50"/>
  <c r="M57" i="50"/>
  <c r="AK57" i="50"/>
  <c r="H58" i="50"/>
  <c r="AE58" i="50"/>
  <c r="Z59" i="50"/>
  <c r="R60" i="50"/>
  <c r="L61" i="50"/>
  <c r="AJ61" i="50"/>
  <c r="G62" i="50"/>
  <c r="AD62" i="50"/>
  <c r="Z63" i="50"/>
  <c r="Q64" i="50"/>
  <c r="L252" i="50"/>
  <c r="AL252" i="50"/>
  <c r="X253" i="50"/>
  <c r="K254" i="50"/>
  <c r="Y255" i="50"/>
  <c r="AJ72" i="50"/>
  <c r="AK76" i="50"/>
  <c r="R82" i="50"/>
  <c r="AH111" i="50"/>
  <c r="AE60" i="50"/>
  <c r="AD64" i="50"/>
  <c r="AF70" i="50"/>
  <c r="AM79" i="50"/>
  <c r="AH86" i="50"/>
  <c r="BE86" i="50" s="1"/>
  <c r="AM8" i="50"/>
  <c r="AF9" i="50"/>
  <c r="R11" i="50"/>
  <c r="AA12" i="50"/>
  <c r="BA12" i="50" s="1"/>
  <c r="M14" i="50"/>
  <c r="AT14" i="50" s="1"/>
  <c r="G15" i="50"/>
  <c r="AQ15" i="50" s="1"/>
  <c r="X16" i="50"/>
  <c r="AG17" i="50"/>
  <c r="BD17" i="50" s="1"/>
  <c r="S19" i="50"/>
  <c r="AW19" i="50" s="1"/>
  <c r="AB20" i="50"/>
  <c r="AC21" i="50"/>
  <c r="BB21" i="50" s="1"/>
  <c r="AL23" i="50"/>
  <c r="AN26" i="50"/>
  <c r="M24" i="84" s="1"/>
  <c r="D29" i="50"/>
  <c r="AL31" i="50"/>
  <c r="AN33" i="50"/>
  <c r="M40" i="84" s="1"/>
  <c r="K36" i="50"/>
  <c r="AS36" i="50" s="1"/>
  <c r="O41" i="50"/>
  <c r="E251" i="50"/>
  <c r="I48" i="50"/>
  <c r="AR48" i="50" s="1"/>
  <c r="O51" i="50"/>
  <c r="AG53" i="50"/>
  <c r="E57" i="50"/>
  <c r="AN59" i="50"/>
  <c r="M60" i="84" s="1"/>
  <c r="AM63" i="50"/>
  <c r="P8" i="50"/>
  <c r="Y9" i="50"/>
  <c r="Z10" i="50"/>
  <c r="D12" i="50"/>
  <c r="E13" i="50"/>
  <c r="AD14" i="50"/>
  <c r="AE249" i="50"/>
  <c r="X15" i="50"/>
  <c r="AG16" i="50"/>
  <c r="S18" i="50"/>
  <c r="AJ19" i="50"/>
  <c r="AK20" i="50"/>
  <c r="AD21" i="50"/>
  <c r="I24" i="50"/>
  <c r="R25" i="50"/>
  <c r="K27" i="50"/>
  <c r="AB28" i="50"/>
  <c r="BB28" i="50" s="1"/>
  <c r="P32" i="50"/>
  <c r="AO33" i="50"/>
  <c r="AA35" i="50"/>
  <c r="W37" i="50"/>
  <c r="AD40" i="50"/>
  <c r="D42" i="50"/>
  <c r="K44" i="50"/>
  <c r="AC251" i="50"/>
  <c r="X47" i="50"/>
  <c r="AD50" i="50"/>
  <c r="BC50" i="50" s="1"/>
  <c r="E52" i="50"/>
  <c r="W54" i="50"/>
  <c r="AO56" i="50"/>
  <c r="G255" i="50"/>
  <c r="K8" i="50"/>
  <c r="S8" i="50"/>
  <c r="AA8" i="50"/>
  <c r="AI8" i="50"/>
  <c r="D9" i="50"/>
  <c r="L9" i="50"/>
  <c r="T9" i="50"/>
  <c r="AB9" i="50"/>
  <c r="AJ9" i="50"/>
  <c r="E10" i="50"/>
  <c r="M10" i="50"/>
  <c r="U10" i="50"/>
  <c r="AC10" i="50"/>
  <c r="AK10" i="50"/>
  <c r="F11" i="50"/>
  <c r="N11" i="50"/>
  <c r="V11" i="50"/>
  <c r="AD11" i="50"/>
  <c r="AL11" i="50"/>
  <c r="G12" i="50"/>
  <c r="O12" i="50"/>
  <c r="W12" i="50"/>
  <c r="AE12" i="50"/>
  <c r="AM12" i="50"/>
  <c r="H13" i="50"/>
  <c r="P13" i="50"/>
  <c r="X13" i="50"/>
  <c r="AF13" i="50"/>
  <c r="AN13" i="50"/>
  <c r="M11" i="84" s="1"/>
  <c r="I14" i="50"/>
  <c r="Q14" i="50"/>
  <c r="Y14" i="50"/>
  <c r="AG14" i="50"/>
  <c r="AO14" i="50"/>
  <c r="J249" i="50"/>
  <c r="R249" i="50"/>
  <c r="Z249" i="50"/>
  <c r="AH249" i="50"/>
  <c r="K15" i="50"/>
  <c r="S15" i="50"/>
  <c r="AA15" i="50"/>
  <c r="AI15" i="50"/>
  <c r="D16" i="50"/>
  <c r="L16" i="50"/>
  <c r="T16" i="50"/>
  <c r="AB16" i="50"/>
  <c r="AJ16" i="50"/>
  <c r="E17" i="50"/>
  <c r="M17" i="50"/>
  <c r="U17" i="50"/>
  <c r="AC17" i="50"/>
  <c r="AK17" i="50"/>
  <c r="F18" i="50"/>
  <c r="N18" i="50"/>
  <c r="V18" i="50"/>
  <c r="AD18" i="50"/>
  <c r="AL18" i="50"/>
  <c r="G19" i="50"/>
  <c r="O19" i="50"/>
  <c r="W19" i="50"/>
  <c r="AE19" i="50"/>
  <c r="AM19" i="50"/>
  <c r="H20" i="50"/>
  <c r="P20" i="50"/>
  <c r="X20" i="50"/>
  <c r="AF20" i="50"/>
  <c r="AN20" i="50"/>
  <c r="M22" i="84" s="1"/>
  <c r="I21" i="50"/>
  <c r="Q21" i="50"/>
  <c r="Y21" i="50"/>
  <c r="AI21" i="50"/>
  <c r="L22" i="50"/>
  <c r="V22" i="50"/>
  <c r="AJ22" i="50"/>
  <c r="F23" i="50"/>
  <c r="Q23" i="50"/>
  <c r="AE23" i="50"/>
  <c r="O24" i="50"/>
  <c r="Z24" i="50"/>
  <c r="AN24" i="50"/>
  <c r="M37" i="84" s="1"/>
  <c r="J25" i="50"/>
  <c r="X25" i="50"/>
  <c r="AI25" i="50"/>
  <c r="H26" i="50"/>
  <c r="S26" i="50"/>
  <c r="AG26" i="50"/>
  <c r="Q27" i="50"/>
  <c r="AB27" i="50"/>
  <c r="S28" i="50"/>
  <c r="AI28" i="50"/>
  <c r="L29" i="50"/>
  <c r="AB29" i="50"/>
  <c r="E30" i="50"/>
  <c r="U30" i="50"/>
  <c r="AK30" i="50"/>
  <c r="N31" i="50"/>
  <c r="AD31" i="50"/>
  <c r="G32" i="50"/>
  <c r="W32" i="50"/>
  <c r="AM32" i="50"/>
  <c r="P33" i="50"/>
  <c r="AF33" i="50"/>
  <c r="I34" i="50"/>
  <c r="Y34" i="50"/>
  <c r="AO34" i="50"/>
  <c r="R35" i="50"/>
  <c r="AH35" i="50"/>
  <c r="V36" i="50"/>
  <c r="K37" i="50"/>
  <c r="AE37" i="50"/>
  <c r="T38" i="50"/>
  <c r="AN38" i="50"/>
  <c r="M26" i="84" s="1"/>
  <c r="F39" i="50"/>
  <c r="AC39" i="50"/>
  <c r="O40" i="50"/>
  <c r="AL40" i="50"/>
  <c r="X41" i="50"/>
  <c r="L42" i="50"/>
  <c r="AT42" i="50" s="1"/>
  <c r="AG42" i="50"/>
  <c r="U43" i="50"/>
  <c r="J250" i="50"/>
  <c r="AD250" i="50"/>
  <c r="BC250" i="50" s="1"/>
  <c r="S44" i="50"/>
  <c r="AM44" i="50"/>
  <c r="E45" i="50"/>
  <c r="AB45" i="50"/>
  <c r="N251" i="50"/>
  <c r="AU251" i="50" s="1"/>
  <c r="AK251" i="50"/>
  <c r="W46" i="50"/>
  <c r="K47" i="50"/>
  <c r="AF47" i="50"/>
  <c r="BD47" i="50" s="1"/>
  <c r="T48" i="50"/>
  <c r="AO48" i="50"/>
  <c r="I49" i="50"/>
  <c r="AC49" i="50"/>
  <c r="R50" i="50"/>
  <c r="AL50" i="50"/>
  <c r="D51" i="50"/>
  <c r="AA51" i="50"/>
  <c r="M52" i="50"/>
  <c r="AJ52" i="50"/>
  <c r="V53" i="50"/>
  <c r="J54" i="50"/>
  <c r="AE54" i="50"/>
  <c r="S55" i="50"/>
  <c r="AN55" i="50"/>
  <c r="M48" i="84" s="1"/>
  <c r="H56" i="50"/>
  <c r="AB56" i="50"/>
  <c r="Q57" i="50"/>
  <c r="AN57" i="50"/>
  <c r="M57" i="84" s="1"/>
  <c r="I58" i="50"/>
  <c r="AI58" i="50"/>
  <c r="AA59" i="50"/>
  <c r="U60" i="50"/>
  <c r="Q61" i="50"/>
  <c r="AN61" i="50"/>
  <c r="M65" i="84" s="1"/>
  <c r="I62" i="50"/>
  <c r="AI62" i="50"/>
  <c r="AA63" i="50"/>
  <c r="U64" i="50"/>
  <c r="P252" i="50"/>
  <c r="Z253" i="50"/>
  <c r="BA253" i="50" s="1"/>
  <c r="V254" i="50"/>
  <c r="AI255" i="50"/>
  <c r="AM68" i="50"/>
  <c r="T256" i="50"/>
  <c r="O73" i="50"/>
  <c r="AH77" i="50"/>
  <c r="K83" i="50"/>
  <c r="H9" i="50"/>
  <c r="Y10" i="50"/>
  <c r="AZ10" i="50" s="1"/>
  <c r="S12" i="50"/>
  <c r="AW12" i="50" s="1"/>
  <c r="T13" i="50"/>
  <c r="F249" i="50"/>
  <c r="H16" i="50"/>
  <c r="Q17" i="50"/>
  <c r="AV17" i="50" s="1"/>
  <c r="R18" i="50"/>
  <c r="L20" i="50"/>
  <c r="F22" i="50"/>
  <c r="V24" i="50"/>
  <c r="Z26" i="50"/>
  <c r="K28" i="50"/>
  <c r="AS28" i="50" s="1"/>
  <c r="AC30" i="50"/>
  <c r="BB30" i="50" s="1"/>
  <c r="X33" i="50"/>
  <c r="AZ33" i="50" s="1"/>
  <c r="F40" i="50"/>
  <c r="AK45" i="50"/>
  <c r="BF45" i="50" s="1"/>
  <c r="F50" i="50"/>
  <c r="AE55" i="50"/>
  <c r="I9" i="50"/>
  <c r="S11" i="50"/>
  <c r="AC13" i="50"/>
  <c r="V14" i="50"/>
  <c r="AY14" i="50" s="1"/>
  <c r="AM249" i="50"/>
  <c r="Q16" i="50"/>
  <c r="J17" i="50"/>
  <c r="D19" i="50"/>
  <c r="M20" i="50"/>
  <c r="V21" i="50"/>
  <c r="AY21" i="50" s="1"/>
  <c r="Y23" i="50"/>
  <c r="U29" i="50"/>
  <c r="L8" i="50"/>
  <c r="AB8" i="50"/>
  <c r="E9" i="50"/>
  <c r="U9" i="50"/>
  <c r="AK9" i="50"/>
  <c r="N10" i="50"/>
  <c r="AD10" i="50"/>
  <c r="G11" i="50"/>
  <c r="W11" i="50"/>
  <c r="AM11" i="50"/>
  <c r="P12" i="50"/>
  <c r="AN12" i="50"/>
  <c r="M13" i="84" s="1"/>
  <c r="I13" i="50"/>
  <c r="AG13" i="50"/>
  <c r="Z14" i="50"/>
  <c r="K249" i="50"/>
  <c r="AI249" i="50"/>
  <c r="D15" i="50"/>
  <c r="T15" i="50"/>
  <c r="AB15" i="50"/>
  <c r="AJ15" i="50"/>
  <c r="E16" i="50"/>
  <c r="M16" i="50"/>
  <c r="U16" i="50"/>
  <c r="AC16" i="50"/>
  <c r="AK16" i="50"/>
  <c r="F17" i="50"/>
  <c r="N17" i="50"/>
  <c r="V17" i="50"/>
  <c r="AD17" i="50"/>
  <c r="AL17" i="50"/>
  <c r="G18" i="50"/>
  <c r="O18" i="50"/>
  <c r="W18" i="50"/>
  <c r="AE18" i="50"/>
  <c r="AM18" i="50"/>
  <c r="H19" i="50"/>
  <c r="P19" i="50"/>
  <c r="X19" i="50"/>
  <c r="AF19" i="50"/>
  <c r="AN19" i="50"/>
  <c r="M21" i="84" s="1"/>
  <c r="I20" i="50"/>
  <c r="Q20" i="50"/>
  <c r="Y20" i="50"/>
  <c r="AG20" i="50"/>
  <c r="AO20" i="50"/>
  <c r="J21" i="50"/>
  <c r="R21" i="50"/>
  <c r="Z21" i="50"/>
  <c r="AJ21" i="50"/>
  <c r="M22" i="50"/>
  <c r="W22" i="50"/>
  <c r="AK22" i="50"/>
  <c r="G23" i="50"/>
  <c r="U23" i="50"/>
  <c r="AF23" i="50"/>
  <c r="P24" i="50"/>
  <c r="AD24" i="50"/>
  <c r="AO24" i="50"/>
  <c r="K25" i="50"/>
  <c r="Y25" i="50"/>
  <c r="AM25" i="50"/>
  <c r="I26" i="50"/>
  <c r="T26" i="50"/>
  <c r="AX26" i="50" s="1"/>
  <c r="AH26" i="50"/>
  <c r="D27" i="50"/>
  <c r="R27" i="50"/>
  <c r="AC27" i="50"/>
  <c r="D28" i="50"/>
  <c r="AP28" i="50" s="1"/>
  <c r="T28" i="50"/>
  <c r="AJ28" i="50"/>
  <c r="M29" i="50"/>
  <c r="AC29" i="50"/>
  <c r="F30" i="50"/>
  <c r="V30" i="50"/>
  <c r="AL30" i="50"/>
  <c r="O31" i="50"/>
  <c r="AE31" i="50"/>
  <c r="H32" i="50"/>
  <c r="X32" i="50"/>
  <c r="AN32" i="50"/>
  <c r="M31" i="84" s="1"/>
  <c r="Q33" i="50"/>
  <c r="AG33" i="50"/>
  <c r="J34" i="50"/>
  <c r="Z34" i="50"/>
  <c r="S35" i="50"/>
  <c r="AK35" i="50"/>
  <c r="Z36" i="50"/>
  <c r="L37" i="50"/>
  <c r="AI37" i="50"/>
  <c r="U38" i="50"/>
  <c r="I39" i="50"/>
  <c r="AD39" i="50"/>
  <c r="R40" i="50"/>
  <c r="AM40" i="50"/>
  <c r="G41" i="50"/>
  <c r="AA41" i="50"/>
  <c r="P42" i="50"/>
  <c r="AJ42" i="50"/>
  <c r="Y43" i="50"/>
  <c r="K250" i="50"/>
  <c r="AH250" i="50"/>
  <c r="T44" i="50"/>
  <c r="H45" i="50"/>
  <c r="AC45" i="50"/>
  <c r="Q251" i="50"/>
  <c r="AL251" i="50"/>
  <c r="F46" i="50"/>
  <c r="Z46" i="50"/>
  <c r="O47" i="50"/>
  <c r="AI47" i="50"/>
  <c r="X48" i="50"/>
  <c r="J49" i="50"/>
  <c r="AG49" i="50"/>
  <c r="S50" i="50"/>
  <c r="G51" i="50"/>
  <c r="AB51" i="50"/>
  <c r="P52" i="50"/>
  <c r="AK52" i="50"/>
  <c r="E53" i="50"/>
  <c r="Y53" i="50"/>
  <c r="N54" i="50"/>
  <c r="AH54" i="50"/>
  <c r="W55" i="50"/>
  <c r="I56" i="50"/>
  <c r="AF56" i="50"/>
  <c r="R57" i="50"/>
  <c r="M58" i="50"/>
  <c r="AK58" i="50"/>
  <c r="H59" i="50"/>
  <c r="AE59" i="50"/>
  <c r="Z60" i="50"/>
  <c r="R61" i="50"/>
  <c r="L62" i="50"/>
  <c r="AJ62" i="50"/>
  <c r="G63" i="50"/>
  <c r="AD63" i="50"/>
  <c r="Y64" i="50"/>
  <c r="Q252" i="50"/>
  <c r="AF253" i="50"/>
  <c r="Y254" i="50"/>
  <c r="K66" i="50"/>
  <c r="Q257" i="50"/>
  <c r="AN84" i="50"/>
  <c r="M96" i="84" s="1"/>
  <c r="G95" i="50"/>
  <c r="T117" i="50"/>
  <c r="AX117" i="50" s="1"/>
  <c r="K65" i="50"/>
  <c r="G75" i="50"/>
  <c r="V99" i="50"/>
  <c r="AY99" i="50" s="1"/>
  <c r="X9" i="50"/>
  <c r="AG10" i="50"/>
  <c r="BD10" i="50" s="1"/>
  <c r="D13" i="50"/>
  <c r="U14" i="50"/>
  <c r="AX14" i="50" s="1"/>
  <c r="AL249" i="50"/>
  <c r="AM15" i="50"/>
  <c r="AN16" i="50"/>
  <c r="M17" i="84" s="1"/>
  <c r="Z18" i="50"/>
  <c r="M21" i="50"/>
  <c r="AN22" i="50"/>
  <c r="M29" i="84" s="1"/>
  <c r="AG24" i="50"/>
  <c r="BD24" i="50" s="1"/>
  <c r="AA28" i="50"/>
  <c r="BA28" i="50" s="1"/>
  <c r="F31" i="50"/>
  <c r="Q34" i="50"/>
  <c r="AV34" i="50" s="1"/>
  <c r="H38" i="50"/>
  <c r="AG43" i="50"/>
  <c r="W47" i="50"/>
  <c r="AN8" i="50"/>
  <c r="M10" i="84" s="1"/>
  <c r="R10" i="50"/>
  <c r="AA11" i="50"/>
  <c r="T12" i="50"/>
  <c r="U13" i="50"/>
  <c r="AL14" i="50"/>
  <c r="H15" i="50"/>
  <c r="I16" i="50"/>
  <c r="Z17" i="50"/>
  <c r="AA18" i="50"/>
  <c r="E20" i="50"/>
  <c r="G22" i="50"/>
  <c r="W24" i="50"/>
  <c r="AK29" i="50"/>
  <c r="D8" i="50"/>
  <c r="T8" i="50"/>
  <c r="AJ8" i="50"/>
  <c r="M9" i="50"/>
  <c r="AC9" i="50"/>
  <c r="F10" i="50"/>
  <c r="V10" i="50"/>
  <c r="AL10" i="50"/>
  <c r="O11" i="50"/>
  <c r="AE11" i="50"/>
  <c r="H12" i="50"/>
  <c r="X12" i="50"/>
  <c r="AF12" i="50"/>
  <c r="Q13" i="50"/>
  <c r="Y13" i="50"/>
  <c r="AO13" i="50"/>
  <c r="J14" i="50"/>
  <c r="R14" i="50"/>
  <c r="AH14" i="50"/>
  <c r="S249" i="50"/>
  <c r="AA249" i="50"/>
  <c r="L15" i="50"/>
  <c r="E8" i="50"/>
  <c r="M8" i="50"/>
  <c r="U8" i="50"/>
  <c r="AC8" i="50"/>
  <c r="AK8" i="50"/>
  <c r="F9" i="50"/>
  <c r="AQ9" i="50" s="1"/>
  <c r="N9" i="50"/>
  <c r="AU9" i="50" s="1"/>
  <c r="V9" i="50"/>
  <c r="AY9" i="50" s="1"/>
  <c r="AD9" i="50"/>
  <c r="BC9" i="50" s="1"/>
  <c r="AL9" i="50"/>
  <c r="G10" i="50"/>
  <c r="O10" i="50"/>
  <c r="W10" i="50"/>
  <c r="AE10" i="50"/>
  <c r="AM10" i="50"/>
  <c r="H11" i="50"/>
  <c r="AR11" i="50" s="1"/>
  <c r="P11" i="50"/>
  <c r="X11" i="50"/>
  <c r="AZ11" i="50" s="1"/>
  <c r="AF11" i="50"/>
  <c r="BD11" i="50" s="1"/>
  <c r="AN11" i="50"/>
  <c r="M18" i="84" s="1"/>
  <c r="I12" i="50"/>
  <c r="Q12" i="50"/>
  <c r="Y12" i="50"/>
  <c r="AG12" i="50"/>
  <c r="AO12" i="50"/>
  <c r="J13" i="50"/>
  <c r="AS13" i="50" s="1"/>
  <c r="R13" i="50"/>
  <c r="AW13" i="50" s="1"/>
  <c r="Z13" i="50"/>
  <c r="BA13" i="50" s="1"/>
  <c r="AH13" i="50"/>
  <c r="K14" i="50"/>
  <c r="S14" i="50"/>
  <c r="AA14" i="50"/>
  <c r="AI14" i="50"/>
  <c r="D249" i="50"/>
  <c r="L249" i="50"/>
  <c r="T249" i="50"/>
  <c r="AX249" i="50" s="1"/>
  <c r="AB249" i="50"/>
  <c r="BB249" i="50" s="1"/>
  <c r="AJ249" i="50"/>
  <c r="BF249" i="50" s="1"/>
  <c r="E15" i="50"/>
  <c r="M15" i="50"/>
  <c r="U15" i="50"/>
  <c r="AC15" i="50"/>
  <c r="AK15" i="50"/>
  <c r="F16" i="50"/>
  <c r="AQ16" i="50" s="1"/>
  <c r="N16" i="50"/>
  <c r="AU16" i="50" s="1"/>
  <c r="V16" i="50"/>
  <c r="AY16" i="50" s="1"/>
  <c r="AD16" i="50"/>
  <c r="BC16" i="50" s="1"/>
  <c r="AL16" i="50"/>
  <c r="G17" i="50"/>
  <c r="O17" i="50"/>
  <c r="W17" i="50"/>
  <c r="AE17" i="50"/>
  <c r="AM17" i="50"/>
  <c r="H18" i="50"/>
  <c r="AR18" i="50" s="1"/>
  <c r="P18" i="50"/>
  <c r="AV18" i="50" s="1"/>
  <c r="X18" i="50"/>
  <c r="AZ18" i="50" s="1"/>
  <c r="AF18" i="50"/>
  <c r="BD18" i="50" s="1"/>
  <c r="AN18" i="50"/>
  <c r="M20" i="84" s="1"/>
  <c r="I19" i="50"/>
  <c r="Q19" i="50"/>
  <c r="Y19" i="50"/>
  <c r="AG19" i="50"/>
  <c r="AO19" i="50"/>
  <c r="J20" i="50"/>
  <c r="R20" i="50"/>
  <c r="AW20" i="50" s="1"/>
  <c r="Z20" i="50"/>
  <c r="BA20" i="50" s="1"/>
  <c r="AH20" i="50"/>
  <c r="K21" i="50"/>
  <c r="S21" i="50"/>
  <c r="AA21" i="50"/>
  <c r="AK21" i="50"/>
  <c r="D22" i="50"/>
  <c r="AP22" i="50" s="1"/>
  <c r="N22" i="50"/>
  <c r="AU22" i="50" s="1"/>
  <c r="X22" i="50"/>
  <c r="AL22" i="50"/>
  <c r="H23" i="50"/>
  <c r="AR23" i="50" s="1"/>
  <c r="V23" i="50"/>
  <c r="AY23" i="50" s="1"/>
  <c r="AG23" i="50"/>
  <c r="F24" i="50"/>
  <c r="AQ24" i="50" s="1"/>
  <c r="Q24" i="50"/>
  <c r="AE24" i="50"/>
  <c r="O25" i="50"/>
  <c r="Z25" i="50"/>
  <c r="AN25" i="50"/>
  <c r="M32" i="84" s="1"/>
  <c r="J26" i="50"/>
  <c r="AS26" i="50" s="1"/>
  <c r="X26" i="50"/>
  <c r="AZ26" i="50" s="1"/>
  <c r="AI26" i="50"/>
  <c r="E27" i="50"/>
  <c r="S27" i="50"/>
  <c r="AG27" i="50"/>
  <c r="F28" i="50"/>
  <c r="V28" i="50"/>
  <c r="AY28" i="50" s="1"/>
  <c r="AL28" i="50"/>
  <c r="O29" i="50"/>
  <c r="AE29" i="50"/>
  <c r="H30" i="50"/>
  <c r="X30" i="50"/>
  <c r="AN30" i="50"/>
  <c r="M39" i="84" s="1"/>
  <c r="Q31" i="50"/>
  <c r="AG31" i="50"/>
  <c r="J32" i="50"/>
  <c r="Z32" i="50"/>
  <c r="S33" i="50"/>
  <c r="AI33" i="50"/>
  <c r="L34" i="50"/>
  <c r="AB34" i="50"/>
  <c r="E35" i="50"/>
  <c r="U35" i="50"/>
  <c r="AO35" i="50"/>
  <c r="F36" i="50"/>
  <c r="AA36" i="50"/>
  <c r="O37" i="50"/>
  <c r="AJ37" i="50"/>
  <c r="D38" i="50"/>
  <c r="X38" i="50"/>
  <c r="M39" i="50"/>
  <c r="AG39" i="50"/>
  <c r="V40" i="50"/>
  <c r="AY40" i="50" s="1"/>
  <c r="H41" i="50"/>
  <c r="AE41" i="50"/>
  <c r="Q42" i="50"/>
  <c r="AN42" i="50"/>
  <c r="M49" i="84" s="1"/>
  <c r="E43" i="50"/>
  <c r="Z43" i="50"/>
  <c r="N250" i="50"/>
  <c r="AI250" i="50"/>
  <c r="W44" i="50"/>
  <c r="L45" i="50"/>
  <c r="AT45" i="50" s="1"/>
  <c r="AF45" i="50"/>
  <c r="U251" i="50"/>
  <c r="AO251" i="50"/>
  <c r="G46" i="50"/>
  <c r="AD46" i="50"/>
  <c r="BC46" i="50" s="1"/>
  <c r="P47" i="50"/>
  <c r="AM47" i="50"/>
  <c r="D48" i="50"/>
  <c r="Y48" i="50"/>
  <c r="M49" i="50"/>
  <c r="AH49" i="50"/>
  <c r="V50" i="50"/>
  <c r="K51" i="50"/>
  <c r="AE51" i="50"/>
  <c r="T52" i="50"/>
  <c r="AX52" i="50" s="1"/>
  <c r="AN52" i="50"/>
  <c r="M50" i="84" s="1"/>
  <c r="F53" i="50"/>
  <c r="AC53" i="50"/>
  <c r="O54" i="50"/>
  <c r="AL54" i="50"/>
  <c r="X55" i="50"/>
  <c r="L56" i="50"/>
  <c r="AG56" i="50"/>
  <c r="V57" i="50"/>
  <c r="Q58" i="50"/>
  <c r="AN58" i="50"/>
  <c r="M58" i="84" s="1"/>
  <c r="I59" i="50"/>
  <c r="AI59" i="50"/>
  <c r="AA60" i="50"/>
  <c r="U61" i="50"/>
  <c r="Q62" i="50"/>
  <c r="AM62" i="50"/>
  <c r="H63" i="50"/>
  <c r="AI63" i="50"/>
  <c r="AA64" i="50"/>
  <c r="U252" i="50"/>
  <c r="AN253" i="50"/>
  <c r="M70" i="84" s="1"/>
  <c r="AI254" i="50"/>
  <c r="Y66" i="50"/>
  <c r="AJ69" i="50"/>
  <c r="AC257" i="50"/>
  <c r="AD78" i="50"/>
  <c r="K85" i="50"/>
  <c r="O98" i="50"/>
  <c r="AQ262" i="50" l="1"/>
  <c r="BC94" i="50"/>
  <c r="AX85" i="50"/>
  <c r="AP157" i="50"/>
  <c r="BF260" i="50"/>
  <c r="BA184" i="50"/>
  <c r="AX91" i="50"/>
  <c r="BE178" i="50"/>
  <c r="AU234" i="50"/>
  <c r="AQ185" i="50"/>
  <c r="AT235" i="50"/>
  <c r="BB153" i="50"/>
  <c r="AX51" i="50"/>
  <c r="AU254" i="50"/>
  <c r="BC71" i="50"/>
  <c r="BD261" i="50"/>
  <c r="AZ96" i="50"/>
  <c r="BA83" i="50"/>
  <c r="BB88" i="50"/>
  <c r="AP103" i="50"/>
  <c r="AU94" i="50"/>
  <c r="AZ109" i="50"/>
  <c r="BC149" i="50"/>
  <c r="AU241" i="50"/>
  <c r="AX108" i="50"/>
  <c r="AQ111" i="50"/>
  <c r="BB129" i="50"/>
  <c r="AT138" i="50"/>
  <c r="AP194" i="50"/>
  <c r="BC62" i="50"/>
  <c r="AU30" i="50"/>
  <c r="BA54" i="50"/>
  <c r="AU36" i="50"/>
  <c r="AW236" i="50"/>
  <c r="AT56" i="50"/>
  <c r="AW154" i="50"/>
  <c r="BE158" i="50"/>
  <c r="AZ173" i="50"/>
  <c r="AU174" i="50"/>
  <c r="BF184" i="50"/>
  <c r="BB165" i="50"/>
  <c r="AU239" i="50"/>
  <c r="BC173" i="50"/>
  <c r="AV175" i="50"/>
  <c r="AS177" i="50"/>
  <c r="AS218" i="50"/>
  <c r="AX156" i="50"/>
  <c r="BA163" i="50"/>
  <c r="AY190" i="50"/>
  <c r="AQ214" i="50"/>
  <c r="BF205" i="50"/>
  <c r="AT210" i="50"/>
  <c r="AS215" i="50"/>
  <c r="AQ200" i="50"/>
  <c r="BD223" i="50"/>
  <c r="BD237" i="50"/>
  <c r="BE187" i="50"/>
  <c r="AS199" i="50"/>
  <c r="BB168" i="50"/>
  <c r="AS32" i="50"/>
  <c r="AS156" i="50"/>
  <c r="BA162" i="50"/>
  <c r="AR236" i="50"/>
  <c r="AV176" i="50"/>
  <c r="AP180" i="50"/>
  <c r="BA187" i="50"/>
  <c r="AY59" i="50"/>
  <c r="BD101" i="50"/>
  <c r="BF121" i="50"/>
  <c r="AT64" i="50"/>
  <c r="AV45" i="50"/>
  <c r="AY185" i="50"/>
  <c r="BE70" i="50"/>
  <c r="AQ171" i="50"/>
  <c r="AP60" i="50"/>
  <c r="BC246" i="50"/>
  <c r="BB175" i="50"/>
  <c r="AV177" i="50"/>
  <c r="AV47" i="50"/>
  <c r="AW25" i="50"/>
  <c r="BC38" i="50"/>
  <c r="AV40" i="50"/>
  <c r="BD46" i="50"/>
  <c r="AT50" i="50"/>
  <c r="BD29" i="50"/>
  <c r="BB261" i="50"/>
  <c r="BA74" i="50"/>
  <c r="AX258" i="50"/>
  <c r="AR73" i="50"/>
  <c r="AZ85" i="50"/>
  <c r="BB66" i="50"/>
  <c r="AV67" i="50"/>
  <c r="BE69" i="50"/>
  <c r="AW87" i="50"/>
  <c r="AS100" i="50"/>
  <c r="AT109" i="50"/>
  <c r="AS97" i="50"/>
  <c r="BA105" i="50"/>
  <c r="AZ111" i="50"/>
  <c r="BB116" i="50"/>
  <c r="AQ120" i="50"/>
  <c r="AS264" i="50"/>
  <c r="BA129" i="50"/>
  <c r="AR151" i="50"/>
  <c r="AW242" i="50"/>
  <c r="BA157" i="50"/>
  <c r="AU177" i="50"/>
  <c r="BC184" i="50"/>
  <c r="AV235" i="50"/>
  <c r="BA186" i="50"/>
  <c r="BD199" i="50"/>
  <c r="BB37" i="50"/>
  <c r="BE34" i="50"/>
  <c r="BB34" i="50"/>
  <c r="AZ22" i="50"/>
  <c r="AP19" i="50"/>
  <c r="AW70" i="50"/>
  <c r="AR101" i="50"/>
  <c r="BE183" i="50"/>
  <c r="BF97" i="50"/>
  <c r="AQ36" i="50"/>
  <c r="BE171" i="50"/>
  <c r="AQ175" i="50"/>
  <c r="AS237" i="50"/>
  <c r="BD253" i="50"/>
  <c r="BE32" i="50"/>
  <c r="AT60" i="50"/>
  <c r="BC67" i="50"/>
  <c r="BE57" i="50"/>
  <c r="BF100" i="50"/>
  <c r="BA67" i="50"/>
  <c r="AQ97" i="50"/>
  <c r="BF136" i="50"/>
  <c r="AQ94" i="50"/>
  <c r="AW114" i="50"/>
  <c r="AW184" i="50"/>
  <c r="BB188" i="50"/>
  <c r="AS181" i="50"/>
  <c r="BE253" i="50"/>
  <c r="BA10" i="50"/>
  <c r="AW60" i="50"/>
  <c r="AP26" i="50"/>
  <c r="BC23" i="50"/>
  <c r="AV21" i="50"/>
  <c r="BC19" i="50"/>
  <c r="AU12" i="50"/>
  <c r="BB10" i="50"/>
  <c r="BC22" i="50"/>
  <c r="AW36" i="50"/>
  <c r="BD8" i="50"/>
  <c r="AV80" i="50"/>
  <c r="AS33" i="50"/>
  <c r="AT175" i="50"/>
  <c r="AS49" i="50"/>
  <c r="AW31" i="50"/>
  <c r="BE39" i="50"/>
  <c r="BC69" i="50"/>
  <c r="AP72" i="50"/>
  <c r="AU77" i="50"/>
  <c r="AQ76" i="50"/>
  <c r="AW256" i="50"/>
  <c r="AQ259" i="50"/>
  <c r="BD246" i="50"/>
  <c r="BD184" i="50"/>
  <c r="AX183" i="50"/>
  <c r="AQ233" i="50"/>
  <c r="AR45" i="50"/>
  <c r="BE77" i="50"/>
  <c r="AU31" i="50"/>
  <c r="AU11" i="50"/>
  <c r="BF72" i="50"/>
  <c r="AY250" i="50"/>
  <c r="BC251" i="50"/>
  <c r="AX34" i="50"/>
  <c r="BB19" i="50"/>
  <c r="AX63" i="50"/>
  <c r="AR32" i="50"/>
  <c r="BB71" i="50"/>
  <c r="BC261" i="50"/>
  <c r="AV77" i="50"/>
  <c r="BF28" i="50"/>
  <c r="BA24" i="50"/>
  <c r="AW255" i="50"/>
  <c r="AP82" i="50"/>
  <c r="AU256" i="50"/>
  <c r="AR269" i="50"/>
  <c r="AX256" i="50"/>
  <c r="AP62" i="50"/>
  <c r="BE75" i="50"/>
  <c r="AY77" i="50"/>
  <c r="AX173" i="50"/>
  <c r="BC170" i="50"/>
  <c r="BB236" i="50"/>
  <c r="BB232" i="50"/>
  <c r="AX196" i="50"/>
  <c r="BC186" i="50"/>
  <c r="BB234" i="50"/>
  <c r="AS190" i="50"/>
  <c r="AV197" i="50"/>
  <c r="AT44" i="50"/>
  <c r="AP35" i="50"/>
  <c r="BB29" i="50"/>
  <c r="AQ10" i="50"/>
  <c r="AQ31" i="50"/>
  <c r="AR59" i="50"/>
  <c r="AU54" i="50"/>
  <c r="AT20" i="50"/>
  <c r="AR9" i="50"/>
  <c r="AZ25" i="50"/>
  <c r="BF22" i="50"/>
  <c r="BD20" i="50"/>
  <c r="BC28" i="50"/>
  <c r="BD55" i="50"/>
  <c r="BB57" i="50"/>
  <c r="AW56" i="50"/>
  <c r="BF85" i="50"/>
  <c r="AS131" i="50"/>
  <c r="O26" i="84"/>
  <c r="P26" i="84"/>
  <c r="Q26" i="84"/>
  <c r="N26" i="84"/>
  <c r="N51" i="84"/>
  <c r="O51" i="84"/>
  <c r="P51" i="84"/>
  <c r="Q51" i="84"/>
  <c r="O100" i="84"/>
  <c r="N100" i="84"/>
  <c r="P100" i="84"/>
  <c r="Q100" i="84"/>
  <c r="P178" i="84"/>
  <c r="N178" i="84"/>
  <c r="Q178" i="84"/>
  <c r="O178" i="84"/>
  <c r="O145" i="84"/>
  <c r="P145" i="84"/>
  <c r="N145" i="84"/>
  <c r="Q145" i="84"/>
  <c r="N70" i="84"/>
  <c r="P70" i="84"/>
  <c r="O70" i="84"/>
  <c r="Q70" i="84"/>
  <c r="N14" i="84"/>
  <c r="O14" i="84"/>
  <c r="P14" i="84"/>
  <c r="Q14" i="84"/>
  <c r="AT48" i="50"/>
  <c r="AU8" i="50"/>
  <c r="P236" i="84"/>
  <c r="O236" i="84"/>
  <c r="Q236" i="84"/>
  <c r="N236" i="84"/>
  <c r="BB255" i="50"/>
  <c r="BE65" i="50"/>
  <c r="AR27" i="50"/>
  <c r="O42" i="84"/>
  <c r="N42" i="84"/>
  <c r="P42" i="84"/>
  <c r="Q42" i="84"/>
  <c r="BC257" i="50"/>
  <c r="P118" i="84"/>
  <c r="N118" i="84"/>
  <c r="O118" i="84"/>
  <c r="Q118" i="84"/>
  <c r="N152" i="84"/>
  <c r="O152" i="84"/>
  <c r="P152" i="84"/>
  <c r="Q152" i="84"/>
  <c r="AY118" i="50"/>
  <c r="AV269" i="50"/>
  <c r="AX141" i="50"/>
  <c r="N136" i="84"/>
  <c r="O136" i="84"/>
  <c r="P136" i="84"/>
  <c r="Q136" i="84"/>
  <c r="AQ271" i="50"/>
  <c r="BF123" i="50"/>
  <c r="N157" i="84"/>
  <c r="O157" i="84"/>
  <c r="P157" i="84"/>
  <c r="Q157" i="84"/>
  <c r="N195" i="84"/>
  <c r="P195" i="84"/>
  <c r="O195" i="84"/>
  <c r="Q195" i="84"/>
  <c r="AT150" i="50"/>
  <c r="AU240" i="50"/>
  <c r="BC163" i="50"/>
  <c r="AZ172" i="50"/>
  <c r="N270" i="84"/>
  <c r="P270" i="84"/>
  <c r="O270" i="84"/>
  <c r="Q270" i="84"/>
  <c r="O132" i="84"/>
  <c r="P132" i="84"/>
  <c r="N132" i="84"/>
  <c r="Q132" i="84"/>
  <c r="N95" i="84"/>
  <c r="P95" i="84"/>
  <c r="O95" i="84"/>
  <c r="Q95" i="84"/>
  <c r="N131" i="84"/>
  <c r="P131" i="84"/>
  <c r="O131" i="84"/>
  <c r="Q131" i="84"/>
  <c r="P182" i="84"/>
  <c r="N182" i="84"/>
  <c r="O182" i="84"/>
  <c r="Q182" i="84"/>
  <c r="O225" i="84"/>
  <c r="P225" i="84"/>
  <c r="N225" i="84"/>
  <c r="Q225" i="84"/>
  <c r="P265" i="84"/>
  <c r="O265" i="84"/>
  <c r="N265" i="84"/>
  <c r="Q265" i="84"/>
  <c r="AT66" i="50"/>
  <c r="N89" i="84"/>
  <c r="P89" i="84"/>
  <c r="O89" i="84"/>
  <c r="Q89" i="84"/>
  <c r="AT97" i="50"/>
  <c r="O62" i="84"/>
  <c r="N62" i="84"/>
  <c r="P62" i="84"/>
  <c r="Q62" i="84"/>
  <c r="AP95" i="50"/>
  <c r="AP133" i="50"/>
  <c r="P143" i="84"/>
  <c r="N143" i="84"/>
  <c r="O143" i="84"/>
  <c r="Q143" i="84"/>
  <c r="O122" i="84"/>
  <c r="P122" i="84"/>
  <c r="N122" i="84"/>
  <c r="Q122" i="84"/>
  <c r="AP129" i="50"/>
  <c r="P175" i="84"/>
  <c r="N175" i="84"/>
  <c r="O175" i="84"/>
  <c r="Q175" i="84"/>
  <c r="AR124" i="50"/>
  <c r="AZ132" i="50"/>
  <c r="BB141" i="50"/>
  <c r="N137" i="84"/>
  <c r="P137" i="84"/>
  <c r="O137" i="84"/>
  <c r="Q137" i="84"/>
  <c r="N190" i="84"/>
  <c r="O190" i="84"/>
  <c r="P190" i="84"/>
  <c r="Q190" i="84"/>
  <c r="N196" i="84"/>
  <c r="O196" i="84"/>
  <c r="P196" i="84"/>
  <c r="Q196" i="84"/>
  <c r="P184" i="84"/>
  <c r="N184" i="84"/>
  <c r="O184" i="84"/>
  <c r="Q184" i="84"/>
  <c r="P15" i="84"/>
  <c r="N15" i="84"/>
  <c r="O15" i="84"/>
  <c r="Q15" i="84"/>
  <c r="O242" i="84"/>
  <c r="P242" i="84"/>
  <c r="N242" i="84"/>
  <c r="Q242" i="84"/>
  <c r="P250" i="84"/>
  <c r="O250" i="84"/>
  <c r="N250" i="84"/>
  <c r="Q250" i="84"/>
  <c r="O264" i="84"/>
  <c r="N264" i="84"/>
  <c r="P264" i="84"/>
  <c r="Q264" i="84"/>
  <c r="N203" i="84"/>
  <c r="O203" i="84"/>
  <c r="P203" i="84"/>
  <c r="Q203" i="84"/>
  <c r="N269" i="84"/>
  <c r="P269" i="84"/>
  <c r="O269" i="84"/>
  <c r="Q269" i="84"/>
  <c r="N32" i="84"/>
  <c r="O32" i="84"/>
  <c r="P32" i="84"/>
  <c r="Q32" i="84"/>
  <c r="O18" i="84"/>
  <c r="P18" i="84"/>
  <c r="N18" i="84"/>
  <c r="Q18" i="84"/>
  <c r="AX8" i="50"/>
  <c r="AT21" i="50"/>
  <c r="N57" i="84"/>
  <c r="P57" i="84"/>
  <c r="O57" i="84"/>
  <c r="Q57" i="84"/>
  <c r="BD70" i="50"/>
  <c r="BD52" i="50"/>
  <c r="AP30" i="50"/>
  <c r="N16" i="84"/>
  <c r="O16" i="84"/>
  <c r="P16" i="84"/>
  <c r="Q16" i="84"/>
  <c r="N130" i="84"/>
  <c r="P130" i="84"/>
  <c r="O130" i="84"/>
  <c r="Q130" i="84"/>
  <c r="AT18" i="50"/>
  <c r="BD249" i="50"/>
  <c r="AT12" i="50"/>
  <c r="BA50" i="50"/>
  <c r="AY249" i="50"/>
  <c r="AY251" i="50"/>
  <c r="AW252" i="50"/>
  <c r="N43" i="84"/>
  <c r="P43" i="84"/>
  <c r="O43" i="84"/>
  <c r="Q43" i="84"/>
  <c r="P69" i="84"/>
  <c r="N69" i="84"/>
  <c r="O69" i="84"/>
  <c r="Q69" i="84"/>
  <c r="N53" i="84"/>
  <c r="P53" i="84"/>
  <c r="Q53" i="84"/>
  <c r="O53" i="84"/>
  <c r="O25" i="84"/>
  <c r="N25" i="84"/>
  <c r="P25" i="84"/>
  <c r="Q25" i="84"/>
  <c r="P93" i="84"/>
  <c r="O93" i="84"/>
  <c r="N93" i="84"/>
  <c r="Q93" i="84"/>
  <c r="P83" i="84"/>
  <c r="O83" i="84"/>
  <c r="Q83" i="84"/>
  <c r="N83" i="84"/>
  <c r="P134" i="84"/>
  <c r="N134" i="84"/>
  <c r="O134" i="84"/>
  <c r="Q134" i="84"/>
  <c r="BA77" i="50"/>
  <c r="AV93" i="50"/>
  <c r="AX268" i="50"/>
  <c r="AR125" i="50"/>
  <c r="AZ133" i="50"/>
  <c r="O135" i="84"/>
  <c r="P135" i="84"/>
  <c r="N135" i="84"/>
  <c r="Q135" i="84"/>
  <c r="O82" i="84"/>
  <c r="N82" i="84"/>
  <c r="P82" i="84"/>
  <c r="Q82" i="84"/>
  <c r="P120" i="84"/>
  <c r="N120" i="84"/>
  <c r="O120" i="84"/>
  <c r="Q120" i="84"/>
  <c r="AY140" i="50"/>
  <c r="N115" i="84"/>
  <c r="P115" i="84"/>
  <c r="O115" i="84"/>
  <c r="Q115" i="84"/>
  <c r="N243" i="84"/>
  <c r="O243" i="84"/>
  <c r="P243" i="84"/>
  <c r="Q243" i="84"/>
  <c r="P158" i="84"/>
  <c r="N158" i="84"/>
  <c r="O158" i="84"/>
  <c r="Q158" i="84"/>
  <c r="BA149" i="50"/>
  <c r="O180" i="84"/>
  <c r="N180" i="84"/>
  <c r="P180" i="84"/>
  <c r="Q180" i="84"/>
  <c r="N177" i="84"/>
  <c r="O177" i="84"/>
  <c r="P177" i="84"/>
  <c r="Q177" i="84"/>
  <c r="O219" i="84"/>
  <c r="P219" i="84"/>
  <c r="N219" i="84"/>
  <c r="Q219" i="84"/>
  <c r="BB176" i="50"/>
  <c r="AQ178" i="50"/>
  <c r="AQ182" i="50"/>
  <c r="BC239" i="50"/>
  <c r="AV167" i="50"/>
  <c r="BD175" i="50"/>
  <c r="BD177" i="50"/>
  <c r="AY214" i="50"/>
  <c r="BC169" i="50"/>
  <c r="BC193" i="50"/>
  <c r="AQ224" i="50"/>
  <c r="BE233" i="50"/>
  <c r="P220" i="84"/>
  <c r="O220" i="84"/>
  <c r="Q220" i="84"/>
  <c r="N220" i="84"/>
  <c r="AT231" i="50"/>
  <c r="AS234" i="50"/>
  <c r="AU209" i="50"/>
  <c r="BD188" i="50"/>
  <c r="AR199" i="50"/>
  <c r="AP206" i="50"/>
  <c r="BC210" i="50"/>
  <c r="P240" i="84"/>
  <c r="N240" i="84"/>
  <c r="Q240" i="84"/>
  <c r="O240" i="84"/>
  <c r="AQ212" i="50"/>
  <c r="P244" i="84"/>
  <c r="O244" i="84"/>
  <c r="Q244" i="84"/>
  <c r="N244" i="84"/>
  <c r="N174" i="84"/>
  <c r="P174" i="84"/>
  <c r="O174" i="84"/>
  <c r="Q174" i="84"/>
  <c r="P223" i="84"/>
  <c r="N223" i="84"/>
  <c r="O223" i="84"/>
  <c r="Q223" i="84"/>
  <c r="O271" i="84"/>
  <c r="N271" i="84"/>
  <c r="P271" i="84"/>
  <c r="Q271" i="84"/>
  <c r="N29" i="84"/>
  <c r="P29" i="84"/>
  <c r="O29" i="84"/>
  <c r="Q29" i="84"/>
  <c r="N66" i="84"/>
  <c r="P66" i="84"/>
  <c r="O66" i="84"/>
  <c r="Q66" i="84"/>
  <c r="BC68" i="50"/>
  <c r="BD78" i="50"/>
  <c r="N200" i="84"/>
  <c r="P200" i="84"/>
  <c r="O200" i="84"/>
  <c r="Q200" i="84"/>
  <c r="N74" i="84"/>
  <c r="O74" i="84"/>
  <c r="P74" i="84"/>
  <c r="Q74" i="84"/>
  <c r="BA115" i="50"/>
  <c r="AU164" i="50"/>
  <c r="P119" i="84"/>
  <c r="N119" i="84"/>
  <c r="Q119" i="84"/>
  <c r="O119" i="84"/>
  <c r="O161" i="84"/>
  <c r="P161" i="84"/>
  <c r="N161" i="84"/>
  <c r="Q161" i="84"/>
  <c r="N173" i="84"/>
  <c r="P173" i="84"/>
  <c r="Q173" i="84"/>
  <c r="O173" i="84"/>
  <c r="AX270" i="50"/>
  <c r="AY265" i="50"/>
  <c r="AQ159" i="50"/>
  <c r="BB243" i="50"/>
  <c r="BA25" i="50"/>
  <c r="BE20" i="50"/>
  <c r="P11" i="84"/>
  <c r="O11" i="84"/>
  <c r="N11" i="84"/>
  <c r="Q11" i="84"/>
  <c r="O24" i="84"/>
  <c r="N24" i="84"/>
  <c r="P24" i="84"/>
  <c r="Q24" i="84"/>
  <c r="N27" i="84"/>
  <c r="P27" i="84"/>
  <c r="Q27" i="84"/>
  <c r="O27" i="84"/>
  <c r="N54" i="84"/>
  <c r="P54" i="84"/>
  <c r="O54" i="84"/>
  <c r="Q54" i="84"/>
  <c r="N30" i="84"/>
  <c r="P30" i="84"/>
  <c r="O30" i="84"/>
  <c r="Q30" i="84"/>
  <c r="N262" i="84"/>
  <c r="P262" i="84"/>
  <c r="O262" i="84"/>
  <c r="Q262" i="84"/>
  <c r="O104" i="84"/>
  <c r="N104" i="84"/>
  <c r="P104" i="84"/>
  <c r="Q104" i="84"/>
  <c r="N63" i="84"/>
  <c r="P63" i="84"/>
  <c r="O63" i="84"/>
  <c r="Q63" i="84"/>
  <c r="P153" i="84"/>
  <c r="N153" i="84"/>
  <c r="O153" i="84"/>
  <c r="Q153" i="84"/>
  <c r="O113" i="84"/>
  <c r="N113" i="84"/>
  <c r="P113" i="84"/>
  <c r="Q113" i="84"/>
  <c r="N108" i="84"/>
  <c r="O108" i="84"/>
  <c r="P108" i="84"/>
  <c r="Q108" i="84"/>
  <c r="N144" i="84"/>
  <c r="O144" i="84"/>
  <c r="P144" i="84"/>
  <c r="Q144" i="84"/>
  <c r="N127" i="84"/>
  <c r="P127" i="84"/>
  <c r="O127" i="84"/>
  <c r="Q127" i="84"/>
  <c r="N162" i="84"/>
  <c r="P162" i="84"/>
  <c r="O162" i="84"/>
  <c r="Q162" i="84"/>
  <c r="P129" i="84"/>
  <c r="N129" i="84"/>
  <c r="O129" i="84"/>
  <c r="Q129" i="84"/>
  <c r="P167" i="84"/>
  <c r="O167" i="84"/>
  <c r="N167" i="84"/>
  <c r="Q167" i="84"/>
  <c r="P169" i="84"/>
  <c r="N169" i="84"/>
  <c r="O169" i="84"/>
  <c r="Q169" i="84"/>
  <c r="P197" i="84"/>
  <c r="N197" i="84"/>
  <c r="O197" i="84"/>
  <c r="Q197" i="84"/>
  <c r="P185" i="84"/>
  <c r="N185" i="84"/>
  <c r="O185" i="84"/>
  <c r="Q185" i="84"/>
  <c r="P226" i="84"/>
  <c r="N226" i="84"/>
  <c r="O226" i="84"/>
  <c r="Q226" i="84"/>
  <c r="N181" i="84"/>
  <c r="O181" i="84"/>
  <c r="P181" i="84"/>
  <c r="Q181" i="84"/>
  <c r="N117" i="84"/>
  <c r="P117" i="84"/>
  <c r="O117" i="84"/>
  <c r="Q117" i="84"/>
  <c r="N208" i="84"/>
  <c r="P208" i="84"/>
  <c r="Q208" i="84"/>
  <c r="O208" i="84"/>
  <c r="P179" i="84"/>
  <c r="N179" i="84"/>
  <c r="O179" i="84"/>
  <c r="Q179" i="84"/>
  <c r="P214" i="84"/>
  <c r="N214" i="84"/>
  <c r="O214" i="84"/>
  <c r="Q214" i="84"/>
  <c r="P212" i="84"/>
  <c r="N212" i="84"/>
  <c r="O212" i="84"/>
  <c r="Q212" i="84"/>
  <c r="P216" i="84"/>
  <c r="N216" i="84"/>
  <c r="O216" i="84"/>
  <c r="Q216" i="84"/>
  <c r="N221" i="84"/>
  <c r="P221" i="84"/>
  <c r="O221" i="84"/>
  <c r="Q221" i="84"/>
  <c r="O217" i="84"/>
  <c r="N217" i="84"/>
  <c r="P217" i="84"/>
  <c r="Q217" i="84"/>
  <c r="P254" i="84"/>
  <c r="N254" i="84"/>
  <c r="Q254" i="84"/>
  <c r="O254" i="84"/>
  <c r="N258" i="84"/>
  <c r="P258" i="84"/>
  <c r="O258" i="84"/>
  <c r="Q258" i="84"/>
  <c r="N259" i="84"/>
  <c r="P259" i="84"/>
  <c r="O259" i="84"/>
  <c r="Q259" i="84"/>
  <c r="O257" i="84"/>
  <c r="P257" i="84"/>
  <c r="N257" i="84"/>
  <c r="Q257" i="84"/>
  <c r="N105" i="84"/>
  <c r="P105" i="84"/>
  <c r="O105" i="84"/>
  <c r="Q105" i="84"/>
  <c r="N90" i="84"/>
  <c r="P90" i="84"/>
  <c r="O90" i="84"/>
  <c r="Q90" i="84"/>
  <c r="N126" i="84"/>
  <c r="P126" i="84"/>
  <c r="O126" i="84"/>
  <c r="Q126" i="84"/>
  <c r="N164" i="84"/>
  <c r="O164" i="84"/>
  <c r="P164" i="84"/>
  <c r="Q164" i="84"/>
  <c r="P248" i="84"/>
  <c r="N248" i="84"/>
  <c r="O248" i="84"/>
  <c r="Q248" i="84"/>
  <c r="N272" i="84"/>
  <c r="P272" i="84"/>
  <c r="O272" i="84"/>
  <c r="Q272" i="84"/>
  <c r="BE13" i="50"/>
  <c r="P10" i="84"/>
  <c r="N10" i="84"/>
  <c r="O10" i="84"/>
  <c r="Q10" i="84"/>
  <c r="N58" i="84"/>
  <c r="O58" i="84"/>
  <c r="P58" i="84"/>
  <c r="Q58" i="84"/>
  <c r="O49" i="84"/>
  <c r="P49" i="84"/>
  <c r="N49" i="84"/>
  <c r="Q49" i="84"/>
  <c r="AP249" i="50"/>
  <c r="P59" i="84"/>
  <c r="N59" i="84"/>
  <c r="O59" i="84"/>
  <c r="Q59" i="84"/>
  <c r="N121" i="84"/>
  <c r="Q121" i="84"/>
  <c r="P121" i="84"/>
  <c r="O121" i="84"/>
  <c r="O206" i="84"/>
  <c r="P206" i="84"/>
  <c r="N206" i="84"/>
  <c r="Q206" i="84"/>
  <c r="P102" i="84"/>
  <c r="N102" i="84"/>
  <c r="O102" i="84"/>
  <c r="Q102" i="84"/>
  <c r="P125" i="84"/>
  <c r="N125" i="84"/>
  <c r="O125" i="84"/>
  <c r="Q125" i="84"/>
  <c r="P172" i="84"/>
  <c r="N172" i="84"/>
  <c r="O172" i="84"/>
  <c r="Q172" i="84"/>
  <c r="O186" i="84"/>
  <c r="P186" i="84"/>
  <c r="N186" i="84"/>
  <c r="Q186" i="84"/>
  <c r="N139" i="84"/>
  <c r="P139" i="84"/>
  <c r="O139" i="84"/>
  <c r="Q139" i="84"/>
  <c r="O205" i="84"/>
  <c r="N205" i="84"/>
  <c r="P205" i="84"/>
  <c r="Q205" i="84"/>
  <c r="AZ237" i="50"/>
  <c r="P194" i="84"/>
  <c r="O194" i="84"/>
  <c r="N194" i="84"/>
  <c r="Q194" i="84"/>
  <c r="P247" i="84"/>
  <c r="O247" i="84"/>
  <c r="N247" i="84"/>
  <c r="Q247" i="84"/>
  <c r="O246" i="84"/>
  <c r="P246" i="84"/>
  <c r="N246" i="84"/>
  <c r="Q246" i="84"/>
  <c r="P211" i="84"/>
  <c r="O211" i="84"/>
  <c r="N211" i="84"/>
  <c r="Q211" i="84"/>
  <c r="P252" i="84"/>
  <c r="O252" i="84"/>
  <c r="N252" i="84"/>
  <c r="Q252" i="84"/>
  <c r="C18" i="48"/>
  <c r="P260" i="84"/>
  <c r="O260" i="84"/>
  <c r="Q260" i="84"/>
  <c r="N260" i="84"/>
  <c r="O227" i="84"/>
  <c r="N227" i="84"/>
  <c r="P227" i="84"/>
  <c r="Q227" i="84"/>
  <c r="N38" i="84"/>
  <c r="P38" i="84"/>
  <c r="Q38" i="84"/>
  <c r="O38" i="84"/>
  <c r="P87" i="84"/>
  <c r="N87" i="84"/>
  <c r="Q87" i="84"/>
  <c r="O87" i="84"/>
  <c r="P224" i="84"/>
  <c r="N224" i="84"/>
  <c r="O224" i="84"/>
  <c r="Q224" i="84"/>
  <c r="N46" i="84"/>
  <c r="O46" i="84"/>
  <c r="P46" i="84"/>
  <c r="Q46" i="84"/>
  <c r="AP38" i="50"/>
  <c r="N39" i="84"/>
  <c r="P39" i="84"/>
  <c r="O39" i="84"/>
  <c r="Q39" i="84"/>
  <c r="P20" i="84"/>
  <c r="O20" i="84"/>
  <c r="N20" i="84"/>
  <c r="Q20" i="84"/>
  <c r="O17" i="84"/>
  <c r="N17" i="84"/>
  <c r="P17" i="84"/>
  <c r="Q17" i="84"/>
  <c r="P13" i="84"/>
  <c r="N13" i="84"/>
  <c r="O13" i="84"/>
  <c r="Q13" i="84"/>
  <c r="P65" i="84"/>
  <c r="O65" i="84"/>
  <c r="N65" i="84"/>
  <c r="Q65" i="84"/>
  <c r="N23" i="84"/>
  <c r="P23" i="84"/>
  <c r="Q23" i="84"/>
  <c r="O23" i="84"/>
  <c r="N64" i="84"/>
  <c r="P64" i="84"/>
  <c r="O64" i="84"/>
  <c r="Q64" i="84"/>
  <c r="N52" i="84"/>
  <c r="P52" i="84"/>
  <c r="O52" i="84"/>
  <c r="Q52" i="84"/>
  <c r="O94" i="84"/>
  <c r="P94" i="84"/>
  <c r="N94" i="84"/>
  <c r="Q94" i="84"/>
  <c r="P75" i="84"/>
  <c r="N75" i="84"/>
  <c r="O75" i="84"/>
  <c r="Q75" i="84"/>
  <c r="N80" i="84"/>
  <c r="P80" i="84"/>
  <c r="O80" i="84"/>
  <c r="Q80" i="84"/>
  <c r="N79" i="84"/>
  <c r="P79" i="84"/>
  <c r="O79" i="84"/>
  <c r="Q79" i="84"/>
  <c r="N123" i="84"/>
  <c r="P123" i="84"/>
  <c r="O123" i="84"/>
  <c r="Q123" i="84"/>
  <c r="N124" i="84"/>
  <c r="P124" i="84"/>
  <c r="O124" i="84"/>
  <c r="Q124" i="84"/>
  <c r="O116" i="84"/>
  <c r="P116" i="84"/>
  <c r="N116" i="84"/>
  <c r="Q116" i="84"/>
  <c r="N103" i="84"/>
  <c r="P103" i="84"/>
  <c r="O103" i="84"/>
  <c r="Q103" i="84"/>
  <c r="P183" i="84"/>
  <c r="N183" i="84"/>
  <c r="O183" i="84"/>
  <c r="Q183" i="84"/>
  <c r="AV11" i="50"/>
  <c r="N22" i="84"/>
  <c r="P22" i="84"/>
  <c r="O22" i="84"/>
  <c r="Q22" i="84"/>
  <c r="BE111" i="50"/>
  <c r="N106" i="84"/>
  <c r="P106" i="84"/>
  <c r="O106" i="84"/>
  <c r="Q106" i="84"/>
  <c r="AP254" i="50"/>
  <c r="AW54" i="50"/>
  <c r="P33" i="84"/>
  <c r="O33" i="84"/>
  <c r="N33" i="84"/>
  <c r="Q33" i="84"/>
  <c r="AX31" i="50"/>
  <c r="N238" i="84"/>
  <c r="P238" i="84"/>
  <c r="O238" i="84"/>
  <c r="Q238" i="84"/>
  <c r="BE73" i="50"/>
  <c r="O81" i="84"/>
  <c r="P81" i="84"/>
  <c r="N81" i="84"/>
  <c r="Q81" i="84"/>
  <c r="P84" i="84"/>
  <c r="N84" i="84"/>
  <c r="O84" i="84"/>
  <c r="Q84" i="84"/>
  <c r="P165" i="84"/>
  <c r="N165" i="84"/>
  <c r="O165" i="84"/>
  <c r="Q165" i="84"/>
  <c r="N107" i="84"/>
  <c r="O107" i="84"/>
  <c r="P107" i="84"/>
  <c r="Q107" i="84"/>
  <c r="O268" i="84"/>
  <c r="P268" i="84"/>
  <c r="N268" i="84"/>
  <c r="Q268" i="84"/>
  <c r="P92" i="84"/>
  <c r="N92" i="84"/>
  <c r="O92" i="84"/>
  <c r="Q92" i="84"/>
  <c r="P176" i="84"/>
  <c r="N176" i="84"/>
  <c r="Q176" i="84"/>
  <c r="O176" i="84"/>
  <c r="P171" i="84"/>
  <c r="O171" i="84"/>
  <c r="N171" i="84"/>
  <c r="Q171" i="84"/>
  <c r="N151" i="84"/>
  <c r="P151" i="84"/>
  <c r="O151" i="84"/>
  <c r="Q151" i="84"/>
  <c r="N166" i="84"/>
  <c r="O166" i="84"/>
  <c r="P166" i="84"/>
  <c r="Q166" i="84"/>
  <c r="O245" i="84"/>
  <c r="P245" i="84"/>
  <c r="N245" i="84"/>
  <c r="Q245" i="84"/>
  <c r="N155" i="84"/>
  <c r="P155" i="84"/>
  <c r="O155" i="84"/>
  <c r="Q155" i="84"/>
  <c r="P86" i="84"/>
  <c r="N86" i="84"/>
  <c r="O86" i="84"/>
  <c r="Q86" i="84"/>
  <c r="O156" i="84"/>
  <c r="N156" i="84"/>
  <c r="P156" i="84"/>
  <c r="Q156" i="84"/>
  <c r="O193" i="84"/>
  <c r="N193" i="84"/>
  <c r="P193" i="84"/>
  <c r="Q193" i="84"/>
  <c r="P187" i="84"/>
  <c r="N187" i="84"/>
  <c r="O187" i="84"/>
  <c r="Q187" i="84"/>
  <c r="O228" i="84"/>
  <c r="Q228" i="84"/>
  <c r="P228" i="84"/>
  <c r="N228" i="84"/>
  <c r="O198" i="84"/>
  <c r="N198" i="84"/>
  <c r="P198" i="84"/>
  <c r="Q198" i="84"/>
  <c r="P207" i="84"/>
  <c r="N207" i="84"/>
  <c r="Q207" i="84"/>
  <c r="O207" i="84"/>
  <c r="P199" i="84"/>
  <c r="N199" i="84"/>
  <c r="O199" i="84"/>
  <c r="Q199" i="84"/>
  <c r="N267" i="84"/>
  <c r="P267" i="84"/>
  <c r="O267" i="84"/>
  <c r="Q267" i="84"/>
  <c r="O234" i="84"/>
  <c r="N234" i="84"/>
  <c r="P234" i="84"/>
  <c r="Q234" i="84"/>
  <c r="N77" i="84"/>
  <c r="P77" i="84"/>
  <c r="O77" i="84"/>
  <c r="Q77" i="84"/>
  <c r="N222" i="84"/>
  <c r="O222" i="84"/>
  <c r="P222" i="84"/>
  <c r="Q222" i="84"/>
  <c r="N256" i="84"/>
  <c r="P256" i="84"/>
  <c r="O256" i="84"/>
  <c r="Q256" i="84"/>
  <c r="P249" i="84"/>
  <c r="O249" i="84"/>
  <c r="N249" i="84"/>
  <c r="Q249" i="84"/>
  <c r="P261" i="84"/>
  <c r="N261" i="84"/>
  <c r="O261" i="84"/>
  <c r="Q261" i="84"/>
  <c r="P263" i="84"/>
  <c r="O263" i="84"/>
  <c r="N263" i="84"/>
  <c r="Q263" i="84"/>
  <c r="P266" i="84"/>
  <c r="N266" i="84"/>
  <c r="O266" i="84"/>
  <c r="Q266" i="84"/>
  <c r="O60" i="84"/>
  <c r="N60" i="84"/>
  <c r="P60" i="84"/>
  <c r="Q60" i="84"/>
  <c r="P85" i="84"/>
  <c r="O85" i="84"/>
  <c r="N85" i="84"/>
  <c r="Q85" i="84"/>
  <c r="N204" i="84"/>
  <c r="P204" i="84"/>
  <c r="O204" i="84"/>
  <c r="Q204" i="84"/>
  <c r="AW57" i="50"/>
  <c r="N48" i="84"/>
  <c r="O48" i="84"/>
  <c r="P48" i="84"/>
  <c r="Q48" i="84"/>
  <c r="N12" i="84"/>
  <c r="P12" i="84"/>
  <c r="O12" i="84"/>
  <c r="Q12" i="84"/>
  <c r="N28" i="84"/>
  <c r="O28" i="84"/>
  <c r="P28" i="84"/>
  <c r="Q28" i="84"/>
  <c r="AX103" i="50"/>
  <c r="P56" i="84"/>
  <c r="N56" i="84"/>
  <c r="O56" i="84"/>
  <c r="Q56" i="84"/>
  <c r="AU109" i="50"/>
  <c r="N73" i="84"/>
  <c r="O73" i="84"/>
  <c r="P73" i="84"/>
  <c r="Q73" i="84"/>
  <c r="N231" i="84"/>
  <c r="P231" i="84"/>
  <c r="O231" i="84"/>
  <c r="Q231" i="84"/>
  <c r="N71" i="84"/>
  <c r="P71" i="84"/>
  <c r="O71" i="84"/>
  <c r="Q71" i="84"/>
  <c r="AP143" i="50"/>
  <c r="O170" i="84"/>
  <c r="N170" i="84"/>
  <c r="P170" i="84"/>
  <c r="Q170" i="84"/>
  <c r="P101" i="84"/>
  <c r="O101" i="84"/>
  <c r="N101" i="84"/>
  <c r="Q101" i="84"/>
  <c r="P128" i="84"/>
  <c r="N128" i="84"/>
  <c r="O128" i="84"/>
  <c r="Q128" i="84"/>
  <c r="N99" i="84"/>
  <c r="O99" i="84"/>
  <c r="P99" i="84"/>
  <c r="Q99" i="84"/>
  <c r="P163" i="84"/>
  <c r="N163" i="84"/>
  <c r="O163" i="84"/>
  <c r="Q163" i="84"/>
  <c r="N141" i="84"/>
  <c r="P141" i="84"/>
  <c r="O141" i="84"/>
  <c r="Q141" i="84"/>
  <c r="N168" i="84"/>
  <c r="O168" i="84"/>
  <c r="P168" i="84"/>
  <c r="Q168" i="84"/>
  <c r="P191" i="84"/>
  <c r="N191" i="84"/>
  <c r="Q191" i="84"/>
  <c r="O191" i="84"/>
  <c r="O233" i="84"/>
  <c r="P233" i="84"/>
  <c r="N233" i="84"/>
  <c r="Q233" i="84"/>
  <c r="P209" i="84"/>
  <c r="O209" i="84"/>
  <c r="N209" i="84"/>
  <c r="Q209" i="84"/>
  <c r="O140" i="84"/>
  <c r="N140" i="84"/>
  <c r="P140" i="84"/>
  <c r="Q140" i="84"/>
  <c r="N213" i="84"/>
  <c r="O213" i="84"/>
  <c r="P213" i="84"/>
  <c r="Q213" i="84"/>
  <c r="P215" i="84"/>
  <c r="N215" i="84"/>
  <c r="O215" i="84"/>
  <c r="Q215" i="84"/>
  <c r="O230" i="84"/>
  <c r="N230" i="84"/>
  <c r="P230" i="84"/>
  <c r="Q230" i="84"/>
  <c r="O44" i="84"/>
  <c r="P44" i="84"/>
  <c r="N44" i="84"/>
  <c r="Q44" i="84"/>
  <c r="N235" i="84"/>
  <c r="O235" i="84"/>
  <c r="P235" i="84"/>
  <c r="Q235" i="84"/>
  <c r="P255" i="84"/>
  <c r="N255" i="84"/>
  <c r="O255" i="84"/>
  <c r="Q255" i="84"/>
  <c r="Q67" i="84"/>
  <c r="P67" i="84"/>
  <c r="O67" i="84"/>
  <c r="N67" i="84"/>
  <c r="P96" i="84"/>
  <c r="O96" i="84"/>
  <c r="N96" i="84"/>
  <c r="Q96" i="84"/>
  <c r="N37" i="84"/>
  <c r="P37" i="84"/>
  <c r="O37" i="84"/>
  <c r="Q37" i="84"/>
  <c r="N40" i="84"/>
  <c r="O40" i="84"/>
  <c r="P40" i="84"/>
  <c r="Q40" i="84"/>
  <c r="P149" i="84"/>
  <c r="N149" i="84"/>
  <c r="O149" i="84"/>
  <c r="Q149" i="84"/>
  <c r="O218" i="84"/>
  <c r="P218" i="84"/>
  <c r="N218" i="84"/>
  <c r="Q218" i="84"/>
  <c r="N91" i="84"/>
  <c r="P91" i="84"/>
  <c r="O91" i="84"/>
  <c r="Q91" i="84"/>
  <c r="N50" i="84"/>
  <c r="O50" i="84"/>
  <c r="P50" i="84"/>
  <c r="Q50" i="84"/>
  <c r="AS20" i="50"/>
  <c r="N36" i="84"/>
  <c r="O36" i="84"/>
  <c r="P36" i="84"/>
  <c r="Q36" i="84"/>
  <c r="Q35" i="84"/>
  <c r="P35" i="84"/>
  <c r="N35" i="84"/>
  <c r="O35" i="84"/>
  <c r="BE98" i="50"/>
  <c r="O78" i="84"/>
  <c r="P78" i="84"/>
  <c r="N78" i="84"/>
  <c r="Q78" i="84"/>
  <c r="N237" i="84"/>
  <c r="P237" i="84"/>
  <c r="O237" i="84"/>
  <c r="Q237" i="84"/>
  <c r="P97" i="84"/>
  <c r="N97" i="84"/>
  <c r="O97" i="84"/>
  <c r="Q97" i="84"/>
  <c r="O133" i="84"/>
  <c r="P133" i="84"/>
  <c r="N133" i="84"/>
  <c r="Q133" i="84"/>
  <c r="P31" i="84"/>
  <c r="N31" i="84"/>
  <c r="O31" i="84"/>
  <c r="Q31" i="84"/>
  <c r="N21" i="84"/>
  <c r="P21" i="84"/>
  <c r="O21" i="84"/>
  <c r="Q21" i="84"/>
  <c r="O19" i="84"/>
  <c r="N19" i="84"/>
  <c r="Q19" i="84"/>
  <c r="P19" i="84"/>
  <c r="N41" i="84"/>
  <c r="O41" i="84"/>
  <c r="P41" i="84"/>
  <c r="Q41" i="84"/>
  <c r="N61" i="84"/>
  <c r="P61" i="84"/>
  <c r="O61" i="84"/>
  <c r="Q61" i="84"/>
  <c r="N55" i="84"/>
  <c r="P55" i="84"/>
  <c r="Q55" i="84"/>
  <c r="O55" i="84"/>
  <c r="AT33" i="50"/>
  <c r="BB41" i="50"/>
  <c r="AU43" i="50"/>
  <c r="BC49" i="50"/>
  <c r="AV51" i="50"/>
  <c r="BE256" i="50"/>
  <c r="AW38" i="50"/>
  <c r="BE45" i="50"/>
  <c r="AY33" i="50"/>
  <c r="P47" i="84"/>
  <c r="N47" i="84"/>
  <c r="Q47" i="84"/>
  <c r="O47" i="84"/>
  <c r="AQ55" i="50"/>
  <c r="BF86" i="50"/>
  <c r="AZ99" i="50"/>
  <c r="AU85" i="50"/>
  <c r="O68" i="84"/>
  <c r="N68" i="84"/>
  <c r="P68" i="84"/>
  <c r="Q68" i="84"/>
  <c r="AT79" i="50"/>
  <c r="BF110" i="50"/>
  <c r="AT105" i="50"/>
  <c r="AU267" i="50"/>
  <c r="P72" i="84"/>
  <c r="O72" i="84"/>
  <c r="N72" i="84"/>
  <c r="Q72" i="84"/>
  <c r="AX113" i="50"/>
  <c r="AZ147" i="50"/>
  <c r="AX106" i="50"/>
  <c r="AW111" i="50"/>
  <c r="AY266" i="50"/>
  <c r="O142" i="84"/>
  <c r="N142" i="84"/>
  <c r="P142" i="84"/>
  <c r="Q142" i="84"/>
  <c r="N159" i="84"/>
  <c r="O159" i="84"/>
  <c r="P159" i="84"/>
  <c r="Q159" i="84"/>
  <c r="O138" i="84"/>
  <c r="P138" i="84"/>
  <c r="N138" i="84"/>
  <c r="Q138" i="84"/>
  <c r="N147" i="84"/>
  <c r="P147" i="84"/>
  <c r="O147" i="84"/>
  <c r="Q147" i="84"/>
  <c r="AZ243" i="50"/>
  <c r="N150" i="84"/>
  <c r="P150" i="84"/>
  <c r="O150" i="84"/>
  <c r="Q150" i="84"/>
  <c r="AS147" i="50"/>
  <c r="AZ116" i="50"/>
  <c r="AP270" i="50"/>
  <c r="P148" i="84"/>
  <c r="O148" i="84"/>
  <c r="N148" i="84"/>
  <c r="Q148" i="84"/>
  <c r="AX123" i="50"/>
  <c r="AQ265" i="50"/>
  <c r="BF128" i="50"/>
  <c r="AY130" i="50"/>
  <c r="AR132" i="50"/>
  <c r="N146" i="84"/>
  <c r="P146" i="84"/>
  <c r="O146" i="84"/>
  <c r="Q146" i="84"/>
  <c r="AZ144" i="50"/>
  <c r="AQ148" i="50"/>
  <c r="N188" i="84"/>
  <c r="O188" i="84"/>
  <c r="P188" i="84"/>
  <c r="Q188" i="84"/>
  <c r="BF168" i="50"/>
  <c r="O160" i="84"/>
  <c r="P160" i="84"/>
  <c r="N160" i="84"/>
  <c r="Q160" i="84"/>
  <c r="AR150" i="50"/>
  <c r="AW240" i="50"/>
  <c r="O202" i="84"/>
  <c r="P202" i="84"/>
  <c r="N202" i="84"/>
  <c r="Q202" i="84"/>
  <c r="BD153" i="50"/>
  <c r="AT243" i="50"/>
  <c r="BB161" i="50"/>
  <c r="AU163" i="50"/>
  <c r="BC165" i="50"/>
  <c r="N189" i="84"/>
  <c r="O189" i="84"/>
  <c r="P189" i="84"/>
  <c r="Q189" i="84"/>
  <c r="N192" i="84"/>
  <c r="P192" i="84"/>
  <c r="O192" i="84"/>
  <c r="Q192" i="84"/>
  <c r="N201" i="84"/>
  <c r="O201" i="84"/>
  <c r="P201" i="84"/>
  <c r="Q201" i="84"/>
  <c r="Q210" i="84"/>
  <c r="O210" i="84"/>
  <c r="P210" i="84"/>
  <c r="N210" i="84"/>
  <c r="O239" i="84"/>
  <c r="Q239" i="84"/>
  <c r="P239" i="84"/>
  <c r="N239" i="84"/>
  <c r="P229" i="84"/>
  <c r="N229" i="84"/>
  <c r="O229" i="84"/>
  <c r="Q229" i="84"/>
  <c r="N253" i="84"/>
  <c r="P253" i="84"/>
  <c r="O253" i="84"/>
  <c r="Q253" i="84"/>
  <c r="BF204" i="50"/>
  <c r="P251" i="84"/>
  <c r="O251" i="84"/>
  <c r="N251" i="84"/>
  <c r="Q251" i="84"/>
  <c r="N88" i="84"/>
  <c r="P88" i="84"/>
  <c r="O88" i="84"/>
  <c r="Q88" i="84"/>
  <c r="N45" i="84"/>
  <c r="P45" i="84"/>
  <c r="O45" i="84"/>
  <c r="Q45" i="84"/>
  <c r="P9" i="84"/>
  <c r="O9" i="84"/>
  <c r="Q9" i="84"/>
  <c r="N9" i="84"/>
  <c r="K68" i="48"/>
  <c r="AR63" i="50"/>
  <c r="AT34" i="50"/>
  <c r="AY30" i="50"/>
  <c r="AS17" i="50"/>
  <c r="AY254" i="50"/>
  <c r="AU21" i="50"/>
  <c r="AY65" i="50"/>
  <c r="AQ8" i="50"/>
  <c r="BB14" i="50"/>
  <c r="AX36" i="50"/>
  <c r="AQ38" i="50"/>
  <c r="BF250" i="50"/>
  <c r="AY45" i="50"/>
  <c r="AR46" i="50"/>
  <c r="AZ54" i="50"/>
  <c r="AS58" i="50"/>
  <c r="AS60" i="50"/>
  <c r="AS62" i="50"/>
  <c r="BF105" i="50"/>
  <c r="AU108" i="50"/>
  <c r="BE261" i="50"/>
  <c r="AY78" i="50"/>
  <c r="AT261" i="50"/>
  <c r="BC77" i="50"/>
  <c r="BD258" i="50"/>
  <c r="AT74" i="50"/>
  <c r="BB81" i="50"/>
  <c r="AU83" i="50"/>
  <c r="BC80" i="50"/>
  <c r="AV82" i="50"/>
  <c r="AX94" i="50"/>
  <c r="AQ96" i="50"/>
  <c r="BF102" i="50"/>
  <c r="AY104" i="50"/>
  <c r="AX262" i="50"/>
  <c r="AQ93" i="50"/>
  <c r="BF99" i="50"/>
  <c r="AY101" i="50"/>
  <c r="AR103" i="50"/>
  <c r="AT125" i="50"/>
  <c r="BF266" i="50"/>
  <c r="AY125" i="50"/>
  <c r="AR127" i="50"/>
  <c r="BD135" i="50"/>
  <c r="AS121" i="50"/>
  <c r="BA126" i="50"/>
  <c r="BA139" i="50"/>
  <c r="AW159" i="50"/>
  <c r="BB149" i="50"/>
  <c r="AU151" i="50"/>
  <c r="BC156" i="50"/>
  <c r="AV241" i="50"/>
  <c r="BB172" i="50"/>
  <c r="AT168" i="50"/>
  <c r="AU50" i="50"/>
  <c r="AR133" i="50"/>
  <c r="AW248" i="50"/>
  <c r="AZ67" i="50"/>
  <c r="AP71" i="50"/>
  <c r="AX74" i="50"/>
  <c r="AQ261" i="50"/>
  <c r="BF81" i="50"/>
  <c r="AT86" i="50"/>
  <c r="BE92" i="50"/>
  <c r="AS116" i="50"/>
  <c r="BE118" i="50"/>
  <c r="AY145" i="50"/>
  <c r="AZ82" i="50"/>
  <c r="BB135" i="50"/>
  <c r="BB94" i="50"/>
  <c r="AU96" i="50"/>
  <c r="BC104" i="50"/>
  <c r="AX129" i="50"/>
  <c r="BB262" i="50"/>
  <c r="AU93" i="50"/>
  <c r="BC101" i="50"/>
  <c r="AV103" i="50"/>
  <c r="AS113" i="50"/>
  <c r="AW269" i="50"/>
  <c r="AZ120" i="50"/>
  <c r="AX264" i="50"/>
  <c r="BC125" i="50"/>
  <c r="AV127" i="50"/>
  <c r="AW121" i="50"/>
  <c r="BE126" i="50"/>
  <c r="BC244" i="50"/>
  <c r="AW238" i="50"/>
  <c r="AR243" i="50"/>
  <c r="AR161" i="50"/>
  <c r="AS155" i="50"/>
  <c r="BA159" i="50"/>
  <c r="BF149" i="50"/>
  <c r="AY151" i="50"/>
  <c r="AR244" i="50"/>
  <c r="AZ241" i="50"/>
  <c r="AP160" i="50"/>
  <c r="AV239" i="50"/>
  <c r="AS175" i="50"/>
  <c r="AR184" i="50"/>
  <c r="AV168" i="50"/>
  <c r="BA174" i="50"/>
  <c r="BE174" i="50"/>
  <c r="BF186" i="50"/>
  <c r="AS233" i="50"/>
  <c r="BE169" i="50"/>
  <c r="AV237" i="50"/>
  <c r="AY235" i="50"/>
  <c r="AQ191" i="50"/>
  <c r="BC212" i="50"/>
  <c r="BA182" i="50"/>
  <c r="AP200" i="50"/>
  <c r="BB194" i="50"/>
  <c r="AR196" i="50"/>
  <c r="AT188" i="50"/>
  <c r="AW192" i="50"/>
  <c r="BA181" i="50"/>
  <c r="AQ231" i="50"/>
  <c r="BF220" i="50"/>
  <c r="AR206" i="50"/>
  <c r="AY210" i="50"/>
  <c r="BE213" i="50"/>
  <c r="BB216" i="50"/>
  <c r="BE220" i="50"/>
  <c r="BF202" i="50"/>
  <c r="AU262" i="50"/>
  <c r="AT115" i="50"/>
  <c r="AQ66" i="50"/>
  <c r="BC111" i="50"/>
  <c r="AW69" i="50"/>
  <c r="BE260" i="50"/>
  <c r="BF89" i="50"/>
  <c r="BF95" i="50"/>
  <c r="AZ270" i="50"/>
  <c r="AP125" i="50"/>
  <c r="AS105" i="50"/>
  <c r="AQ107" i="50"/>
  <c r="AQ109" i="50"/>
  <c r="AP111" i="50"/>
  <c r="AY113" i="50"/>
  <c r="BE266" i="50"/>
  <c r="BF143" i="50"/>
  <c r="AS129" i="50"/>
  <c r="AX137" i="50"/>
  <c r="AQ139" i="50"/>
  <c r="BF145" i="50"/>
  <c r="AY147" i="50"/>
  <c r="AY188" i="50"/>
  <c r="AZ198" i="50"/>
  <c r="BA209" i="50"/>
  <c r="BB213" i="50"/>
  <c r="AQ209" i="50"/>
  <c r="AP211" i="50"/>
  <c r="AZ223" i="50"/>
  <c r="AW10" i="50"/>
  <c r="AP13" i="50"/>
  <c r="AZ32" i="50"/>
  <c r="AW21" i="50"/>
  <c r="AP42" i="50"/>
  <c r="AZ45" i="50"/>
  <c r="AT26" i="50"/>
  <c r="AR252" i="50"/>
  <c r="AR22" i="50"/>
  <c r="AU20" i="50"/>
  <c r="BB18" i="50"/>
  <c r="AT11" i="50"/>
  <c r="AU14" i="50"/>
  <c r="AY31" i="50"/>
  <c r="BA73" i="50"/>
  <c r="AX59" i="50"/>
  <c r="AY61" i="50"/>
  <c r="AR79" i="50"/>
  <c r="AV68" i="50"/>
  <c r="AU74" i="50"/>
  <c r="AS86" i="50"/>
  <c r="AX95" i="50"/>
  <c r="BD87" i="50"/>
  <c r="BF263" i="50"/>
  <c r="BB268" i="50"/>
  <c r="AT88" i="50"/>
  <c r="BD130" i="50"/>
  <c r="AR147" i="50"/>
  <c r="AP120" i="50"/>
  <c r="BB162" i="50"/>
  <c r="AY102" i="50"/>
  <c r="BA113" i="50"/>
  <c r="AV154" i="50"/>
  <c r="BA117" i="50"/>
  <c r="AQ155" i="50"/>
  <c r="AP138" i="50"/>
  <c r="AX179" i="50"/>
  <c r="AS170" i="50"/>
  <c r="AZ208" i="50"/>
  <c r="AV172" i="50"/>
  <c r="AR180" i="50"/>
  <c r="AW179" i="50"/>
  <c r="AU181" i="50"/>
  <c r="AT183" i="50"/>
  <c r="AZ207" i="50"/>
  <c r="BB164" i="50"/>
  <c r="BF177" i="50"/>
  <c r="AT192" i="50"/>
  <c r="AX189" i="50"/>
  <c r="AR232" i="50"/>
  <c r="BE195" i="50"/>
  <c r="AQ177" i="50"/>
  <c r="BF237" i="50"/>
  <c r="AY184" i="50"/>
  <c r="AR235" i="50"/>
  <c r="AT186" i="50"/>
  <c r="AY233" i="50"/>
  <c r="AZ190" i="50"/>
  <c r="AR207" i="50"/>
  <c r="BB211" i="50"/>
  <c r="AR218" i="50"/>
  <c r="AP213" i="50"/>
  <c r="AP210" i="50"/>
  <c r="BF216" i="50"/>
  <c r="AR216" i="50"/>
  <c r="BC220" i="50"/>
  <c r="AQ61" i="50"/>
  <c r="AT72" i="50"/>
  <c r="AW71" i="50"/>
  <c r="AU76" i="50"/>
  <c r="AR96" i="50"/>
  <c r="AS261" i="50"/>
  <c r="BF267" i="50"/>
  <c r="AQ88" i="50"/>
  <c r="AW266" i="50"/>
  <c r="AS103" i="50"/>
  <c r="AP134" i="50"/>
  <c r="BF113" i="50"/>
  <c r="AP245" i="50"/>
  <c r="AQ140" i="50"/>
  <c r="AZ98" i="50"/>
  <c r="AP102" i="50"/>
  <c r="BE131" i="50"/>
  <c r="AY87" i="50"/>
  <c r="AR89" i="50"/>
  <c r="AZ95" i="50"/>
  <c r="AP99" i="50"/>
  <c r="BC127" i="50"/>
  <c r="BF124" i="50"/>
  <c r="AY126" i="50"/>
  <c r="AR128" i="50"/>
  <c r="AP266" i="50"/>
  <c r="AX131" i="50"/>
  <c r="AQ133" i="50"/>
  <c r="AX146" i="50"/>
  <c r="AW163" i="50"/>
  <c r="BA268" i="50"/>
  <c r="AS134" i="50"/>
  <c r="AT136" i="50"/>
  <c r="BE138" i="50"/>
  <c r="AQ142" i="50"/>
  <c r="BF137" i="50"/>
  <c r="AY139" i="50"/>
  <c r="AR141" i="50"/>
  <c r="BE149" i="50"/>
  <c r="BE155" i="50"/>
  <c r="BD244" i="50"/>
  <c r="AT242" i="50"/>
  <c r="BB160" i="50"/>
  <c r="AU162" i="50"/>
  <c r="BF172" i="50"/>
  <c r="AR190" i="50"/>
  <c r="AP155" i="50"/>
  <c r="AX159" i="50"/>
  <c r="AQ161" i="50"/>
  <c r="BB167" i="50"/>
  <c r="BE170" i="50"/>
  <c r="AR149" i="50"/>
  <c r="AZ242" i="50"/>
  <c r="AP241" i="50"/>
  <c r="AW178" i="50"/>
  <c r="BB169" i="50"/>
  <c r="BC166" i="50"/>
  <c r="AQ232" i="50"/>
  <c r="AP195" i="50"/>
  <c r="AP193" i="50"/>
  <c r="AY195" i="50"/>
  <c r="AU206" i="50"/>
  <c r="AT218" i="50"/>
  <c r="AR109" i="50"/>
  <c r="AV261" i="50"/>
  <c r="AS77" i="50"/>
  <c r="AY94" i="50"/>
  <c r="BB69" i="50"/>
  <c r="BD84" i="50"/>
  <c r="AS245" i="50"/>
  <c r="AU120" i="50"/>
  <c r="AP117" i="50"/>
  <c r="BB118" i="50"/>
  <c r="BF146" i="50"/>
  <c r="AY142" i="50"/>
  <c r="BF153" i="50"/>
  <c r="AW153" i="50"/>
  <c r="BE157" i="50"/>
  <c r="AW156" i="50"/>
  <c r="BE162" i="50"/>
  <c r="BB221" i="50"/>
  <c r="AZ206" i="50"/>
  <c r="AY112" i="50"/>
  <c r="AQ137" i="50"/>
  <c r="AY269" i="50"/>
  <c r="AQ266" i="50"/>
  <c r="AY107" i="50"/>
  <c r="AT249" i="50"/>
  <c r="AR10" i="50"/>
  <c r="AX42" i="50"/>
  <c r="AP31" i="50"/>
  <c r="BD269" i="50"/>
  <c r="AX247" i="50"/>
  <c r="AZ65" i="50"/>
  <c r="AY68" i="50"/>
  <c r="AS71" i="50"/>
  <c r="AT82" i="50"/>
  <c r="AW119" i="50"/>
  <c r="BE101" i="50"/>
  <c r="AQ115" i="50"/>
  <c r="BC108" i="50"/>
  <c r="AX124" i="50"/>
  <c r="AQ126" i="50"/>
  <c r="BF132" i="50"/>
  <c r="AY134" i="50"/>
  <c r="AV158" i="50"/>
  <c r="AR246" i="50"/>
  <c r="AX157" i="50"/>
  <c r="BD168" i="50"/>
  <c r="BA43" i="50"/>
  <c r="AQ249" i="50"/>
  <c r="AW62" i="50"/>
  <c r="AY66" i="50"/>
  <c r="BD71" i="50"/>
  <c r="AV87" i="50"/>
  <c r="AQ65" i="50"/>
  <c r="BF71" i="50"/>
  <c r="AY256" i="50"/>
  <c r="AR258" i="50"/>
  <c r="AZ77" i="50"/>
  <c r="AP81" i="50"/>
  <c r="AW93" i="50"/>
  <c r="AW127" i="50"/>
  <c r="AV92" i="50"/>
  <c r="AY122" i="50"/>
  <c r="AQ80" i="50"/>
  <c r="AW83" i="50"/>
  <c r="BA95" i="50"/>
  <c r="BC267" i="50"/>
  <c r="BD98" i="50"/>
  <c r="AT102" i="50"/>
  <c r="BC87" i="50"/>
  <c r="AV89" i="50"/>
  <c r="BD95" i="50"/>
  <c r="AT99" i="50"/>
  <c r="AZ129" i="50"/>
  <c r="AP153" i="50"/>
  <c r="AT266" i="50"/>
  <c r="BB131" i="50"/>
  <c r="AU133" i="50"/>
  <c r="AW244" i="50"/>
  <c r="BE268" i="50"/>
  <c r="AW134" i="50"/>
  <c r="AY136" i="50"/>
  <c r="AQ247" i="50"/>
  <c r="BB151" i="50"/>
  <c r="AP149" i="50"/>
  <c r="AX242" i="50"/>
  <c r="AQ156" i="50"/>
  <c r="BF160" i="50"/>
  <c r="AY162" i="50"/>
  <c r="AZ181" i="50"/>
  <c r="AQ181" i="50"/>
  <c r="AW40" i="50"/>
  <c r="AW42" i="50"/>
  <c r="BE48" i="50"/>
  <c r="AU69" i="50"/>
  <c r="BB76" i="50"/>
  <c r="BD38" i="50"/>
  <c r="BA40" i="50"/>
  <c r="BC35" i="50"/>
  <c r="AV37" i="50"/>
  <c r="BD44" i="50"/>
  <c r="AT47" i="50"/>
  <c r="BB55" i="50"/>
  <c r="AU57" i="50"/>
  <c r="BE30" i="50"/>
  <c r="AW52" i="50"/>
  <c r="AU252" i="50"/>
  <c r="AV65" i="50"/>
  <c r="AZ63" i="50"/>
  <c r="AR67" i="50"/>
  <c r="BB258" i="50"/>
  <c r="AV73" i="50"/>
  <c r="AV84" i="50"/>
  <c r="AR90" i="50"/>
  <c r="AS95" i="50"/>
  <c r="BF103" i="50"/>
  <c r="AY260" i="50"/>
  <c r="AS75" i="50"/>
  <c r="AX107" i="50"/>
  <c r="BE271" i="50"/>
  <c r="AR65" i="50"/>
  <c r="BB260" i="50"/>
  <c r="AQ81" i="50"/>
  <c r="AZ104" i="50"/>
  <c r="BB117" i="50"/>
  <c r="AW79" i="50"/>
  <c r="AY91" i="50"/>
  <c r="AV113" i="50"/>
  <c r="AQ123" i="50"/>
  <c r="AY128" i="50"/>
  <c r="BC85" i="50"/>
  <c r="AX100" i="50"/>
  <c r="AX109" i="50"/>
  <c r="AX125" i="50"/>
  <c r="BF133" i="50"/>
  <c r="AZ113" i="50"/>
  <c r="AR117" i="50"/>
  <c r="AS89" i="50"/>
  <c r="AX263" i="50"/>
  <c r="BB111" i="50"/>
  <c r="AP121" i="50"/>
  <c r="BE269" i="50"/>
  <c r="BB120" i="50"/>
  <c r="AP264" i="50"/>
  <c r="AZ142" i="50"/>
  <c r="AS263" i="50"/>
  <c r="BA100" i="50"/>
  <c r="AW122" i="50"/>
  <c r="AY127" i="50"/>
  <c r="AS141" i="50"/>
  <c r="AS91" i="50"/>
  <c r="BA97" i="50"/>
  <c r="AQ108" i="50"/>
  <c r="AQ110" i="50"/>
  <c r="AZ267" i="50"/>
  <c r="AU270" i="50"/>
  <c r="BD271" i="50"/>
  <c r="AY24" i="50"/>
  <c r="BB25" i="50"/>
  <c r="AU27" i="50"/>
  <c r="AS39" i="50"/>
  <c r="BA251" i="50"/>
  <c r="AP59" i="50"/>
  <c r="AT65" i="50"/>
  <c r="BE252" i="50"/>
  <c r="AS256" i="50"/>
  <c r="AP261" i="50"/>
  <c r="BF77" i="50"/>
  <c r="AS67" i="50"/>
  <c r="AY67" i="50"/>
  <c r="AU81" i="50"/>
  <c r="AX254" i="50"/>
  <c r="AZ90" i="50"/>
  <c r="BD69" i="50"/>
  <c r="BA80" i="50"/>
  <c r="AQ84" i="50"/>
  <c r="BD256" i="50"/>
  <c r="BE135" i="50"/>
  <c r="AZ262" i="50"/>
  <c r="BD122" i="50"/>
  <c r="AW144" i="50"/>
  <c r="AP140" i="50"/>
  <c r="AY259" i="50"/>
  <c r="AS253" i="50"/>
  <c r="AU59" i="50"/>
  <c r="BB97" i="50"/>
  <c r="AV74" i="50"/>
  <c r="BC81" i="50"/>
  <c r="AQ128" i="50"/>
  <c r="AP69" i="50"/>
  <c r="BC74" i="50"/>
  <c r="BA82" i="50"/>
  <c r="BF88" i="50"/>
  <c r="BF109" i="50"/>
  <c r="BA70" i="50"/>
  <c r="AV256" i="50"/>
  <c r="AQ102" i="50"/>
  <c r="AS73" i="50"/>
  <c r="AP91" i="50"/>
  <c r="AR111" i="50"/>
  <c r="AU257" i="50"/>
  <c r="BD85" i="50"/>
  <c r="AP126" i="50"/>
  <c r="AW115" i="50"/>
  <c r="AU128" i="50"/>
  <c r="AY246" i="50"/>
  <c r="BC99" i="50"/>
  <c r="AW109" i="50"/>
  <c r="AY115" i="50"/>
  <c r="AZ130" i="50"/>
  <c r="BF138" i="50"/>
  <c r="BA86" i="50"/>
  <c r="AU90" i="50"/>
  <c r="AT263" i="50"/>
  <c r="AY105" i="50"/>
  <c r="AV111" i="50"/>
  <c r="AV122" i="50"/>
  <c r="BA127" i="50"/>
  <c r="BB103" i="50"/>
  <c r="BD96" i="50"/>
  <c r="AQ105" i="50"/>
  <c r="AZ139" i="50"/>
  <c r="AY97" i="50"/>
  <c r="AW107" i="50"/>
  <c r="AQ118" i="50"/>
  <c r="AT106" i="50"/>
  <c r="AT108" i="50"/>
  <c r="AT110" i="50"/>
  <c r="BC112" i="50"/>
  <c r="BA114" i="50"/>
  <c r="AZ269" i="50"/>
  <c r="AY123" i="50"/>
  <c r="AX134" i="50"/>
  <c r="BF247" i="50"/>
  <c r="AS144" i="50"/>
  <c r="BD111" i="50"/>
  <c r="AW117" i="50"/>
  <c r="AT133" i="50"/>
  <c r="AQ127" i="50"/>
  <c r="AY131" i="50"/>
  <c r="BC254" i="50"/>
  <c r="AW253" i="50"/>
  <c r="BB254" i="50"/>
  <c r="AT260" i="50"/>
  <c r="BB256" i="50"/>
  <c r="AV259" i="50"/>
  <c r="AW92" i="50"/>
  <c r="BC90" i="50"/>
  <c r="BB105" i="50"/>
  <c r="BA271" i="50"/>
  <c r="AR264" i="50"/>
  <c r="AZ125" i="50"/>
  <c r="AW247" i="50"/>
  <c r="BE143" i="50"/>
  <c r="AT169" i="50"/>
  <c r="BE151" i="50"/>
  <c r="BC168" i="50"/>
  <c r="AT204" i="50"/>
  <c r="AU200" i="50"/>
  <c r="AW218" i="50"/>
  <c r="AR234" i="50"/>
  <c r="AQ208" i="50"/>
  <c r="BA212" i="50"/>
  <c r="AZ216" i="50"/>
  <c r="BB220" i="50"/>
  <c r="AR212" i="50"/>
  <c r="BB212" i="50"/>
  <c r="AY207" i="50"/>
  <c r="AT216" i="50"/>
  <c r="BF210" i="50"/>
  <c r="BA210" i="50"/>
  <c r="AY186" i="50"/>
  <c r="BB197" i="50"/>
  <c r="BF195" i="50"/>
  <c r="AX206" i="50"/>
  <c r="AT113" i="50"/>
  <c r="AS117" i="50"/>
  <c r="AX133" i="50"/>
  <c r="BC137" i="50"/>
  <c r="AZ145" i="50"/>
  <c r="BA264" i="50"/>
  <c r="AW245" i="50"/>
  <c r="AU165" i="50"/>
  <c r="BC140" i="50"/>
  <c r="AX153" i="50"/>
  <c r="AV181" i="50"/>
  <c r="BF270" i="50"/>
  <c r="AY271" i="50"/>
  <c r="AR119" i="50"/>
  <c r="AZ124" i="50"/>
  <c r="AP128" i="50"/>
  <c r="BD145" i="50"/>
  <c r="AZ150" i="50"/>
  <c r="AQ135" i="50"/>
  <c r="AT157" i="50"/>
  <c r="AY164" i="50"/>
  <c r="BD158" i="50"/>
  <c r="BA160" i="50"/>
  <c r="AR165" i="50"/>
  <c r="BB150" i="50"/>
  <c r="AU152" i="50"/>
  <c r="BC240" i="50"/>
  <c r="AV157" i="50"/>
  <c r="BD239" i="50"/>
  <c r="BE154" i="50"/>
  <c r="AY166" i="50"/>
  <c r="AX169" i="50"/>
  <c r="BA231" i="50"/>
  <c r="AW239" i="50"/>
  <c r="AU167" i="50"/>
  <c r="BD169" i="50"/>
  <c r="BE238" i="50"/>
  <c r="BF176" i="50"/>
  <c r="AP186" i="50"/>
  <c r="AS169" i="50"/>
  <c r="AR188" i="50"/>
  <c r="AR193" i="50"/>
  <c r="BE190" i="50"/>
  <c r="AV212" i="50"/>
  <c r="AY198" i="50"/>
  <c r="AS189" i="50"/>
  <c r="AP196" i="50"/>
  <c r="AY201" i="50"/>
  <c r="AQ196" i="50"/>
  <c r="AY230" i="50"/>
  <c r="AP224" i="50"/>
  <c r="BA204" i="50"/>
  <c r="BC208" i="50"/>
  <c r="AU193" i="50"/>
  <c r="AP204" i="50"/>
  <c r="AY209" i="50"/>
  <c r="AU219" i="50"/>
  <c r="AR223" i="50"/>
  <c r="AR208" i="50"/>
  <c r="AZ199" i="50"/>
  <c r="AT202" i="50"/>
  <c r="AU205" i="50"/>
  <c r="AV208" i="50"/>
  <c r="BA218" i="50"/>
  <c r="BA220" i="50"/>
  <c r="AW204" i="50"/>
  <c r="BA213" i="50"/>
  <c r="AT172" i="50"/>
  <c r="BD167" i="50"/>
  <c r="AT171" i="50"/>
  <c r="AW173" i="50"/>
  <c r="AP183" i="50"/>
  <c r="AX220" i="50"/>
  <c r="BB187" i="50"/>
  <c r="AX192" i="50"/>
  <c r="AR203" i="50"/>
  <c r="AZ179" i="50"/>
  <c r="AP237" i="50"/>
  <c r="AP232" i="50"/>
  <c r="AQ195" i="50"/>
  <c r="AR200" i="50"/>
  <c r="AX186" i="50"/>
  <c r="AY212" i="50"/>
  <c r="AT199" i="50"/>
  <c r="AQ222" i="50"/>
  <c r="AQ207" i="50"/>
  <c r="BE209" i="50"/>
  <c r="BC219" i="50"/>
  <c r="BF206" i="50"/>
  <c r="AW215" i="50"/>
  <c r="AQ230" i="50"/>
  <c r="AW141" i="50"/>
  <c r="BF117" i="50"/>
  <c r="AR120" i="50"/>
  <c r="AR139" i="50"/>
  <c r="BA164" i="50"/>
  <c r="AZ123" i="50"/>
  <c r="AP124" i="50"/>
  <c r="AX132" i="50"/>
  <c r="AQ134" i="50"/>
  <c r="AZ248" i="50"/>
  <c r="AT140" i="50"/>
  <c r="BE146" i="50"/>
  <c r="BE144" i="50"/>
  <c r="AR116" i="50"/>
  <c r="AZ119" i="50"/>
  <c r="AP123" i="50"/>
  <c r="AX128" i="50"/>
  <c r="AQ130" i="50"/>
  <c r="AU143" i="50"/>
  <c r="AX172" i="50"/>
  <c r="AZ245" i="50"/>
  <c r="AS247" i="50"/>
  <c r="AP137" i="50"/>
  <c r="BA143" i="50"/>
  <c r="AX145" i="50"/>
  <c r="AQ147" i="50"/>
  <c r="AS149" i="50"/>
  <c r="BA244" i="50"/>
  <c r="BE240" i="50"/>
  <c r="AW152" i="50"/>
  <c r="AT162" i="50"/>
  <c r="AU244" i="50"/>
  <c r="BF180" i="50"/>
  <c r="BF155" i="50"/>
  <c r="AY243" i="50"/>
  <c r="AR240" i="50"/>
  <c r="AZ163" i="50"/>
  <c r="BA166" i="50"/>
  <c r="BA151" i="50"/>
  <c r="AX244" i="50"/>
  <c r="AQ154" i="50"/>
  <c r="BF241" i="50"/>
  <c r="AY158" i="50"/>
  <c r="AR160" i="50"/>
  <c r="AV238" i="50"/>
  <c r="AP172" i="50"/>
  <c r="BF166" i="50"/>
  <c r="AP168" i="50"/>
  <c r="AY237" i="50"/>
  <c r="BC190" i="50"/>
  <c r="AS174" i="50"/>
  <c r="AY178" i="50"/>
  <c r="BF181" i="50"/>
  <c r="AT178" i="50"/>
  <c r="AQ186" i="50"/>
  <c r="BA169" i="50"/>
  <c r="BD182" i="50"/>
  <c r="AW182" i="50"/>
  <c r="AS193" i="50"/>
  <c r="AU188" i="50"/>
  <c r="BD179" i="50"/>
  <c r="AT237" i="50"/>
  <c r="AS220" i="50"/>
  <c r="AP192" i="50"/>
  <c r="AV195" i="50"/>
  <c r="BB217" i="50"/>
  <c r="AQ197" i="50"/>
  <c r="AY213" i="50"/>
  <c r="AR230" i="50"/>
  <c r="BA189" i="50"/>
  <c r="BD212" i="50"/>
  <c r="BB199" i="50"/>
  <c r="BE212" i="50"/>
  <c r="AZ201" i="50"/>
  <c r="AX210" i="50"/>
  <c r="BA215" i="50"/>
  <c r="BD195" i="50"/>
  <c r="AX207" i="50"/>
  <c r="AR210" i="50"/>
  <c r="AU220" i="50"/>
  <c r="BF208" i="50"/>
  <c r="AS231" i="50"/>
  <c r="AX218" i="50"/>
  <c r="AZ188" i="50"/>
  <c r="AZ55" i="50"/>
  <c r="AQ53" i="50"/>
  <c r="BF42" i="50"/>
  <c r="AQ22" i="50"/>
  <c r="AR56" i="50"/>
  <c r="BA59" i="50"/>
  <c r="AY46" i="50"/>
  <c r="AP45" i="50"/>
  <c r="AQ32" i="50"/>
  <c r="BE28" i="50"/>
  <c r="AR8" i="50"/>
  <c r="BA16" i="50"/>
  <c r="AR249" i="50"/>
  <c r="AY13" i="50"/>
  <c r="BF11" i="50"/>
  <c r="AS9" i="50"/>
  <c r="AZ52" i="50"/>
  <c r="BA35" i="50"/>
  <c r="AR259" i="50"/>
  <c r="AR33" i="50"/>
  <c r="BF20" i="50"/>
  <c r="AS42" i="50"/>
  <c r="BA48" i="50"/>
  <c r="AW67" i="50"/>
  <c r="AT35" i="50"/>
  <c r="AU44" i="50"/>
  <c r="AV53" i="50"/>
  <c r="BD63" i="50"/>
  <c r="AX67" i="50"/>
  <c r="AR70" i="50"/>
  <c r="AQ71" i="50"/>
  <c r="AZ259" i="50"/>
  <c r="AW258" i="50"/>
  <c r="AV90" i="50"/>
  <c r="AY257" i="50"/>
  <c r="BB95" i="50"/>
  <c r="AT134" i="50"/>
  <c r="AP67" i="50"/>
  <c r="AR68" i="50"/>
  <c r="AQ74" i="50"/>
  <c r="AP77" i="50"/>
  <c r="AZ78" i="50"/>
  <c r="AS92" i="50"/>
  <c r="AT146" i="50"/>
  <c r="AZ73" i="50"/>
  <c r="AU105" i="50"/>
  <c r="AP260" i="50"/>
  <c r="AY74" i="50"/>
  <c r="BB86" i="50"/>
  <c r="AQ99" i="50"/>
  <c r="AS69" i="50"/>
  <c r="BA260" i="50"/>
  <c r="AX89" i="50"/>
  <c r="AU102" i="50"/>
  <c r="BD104" i="50"/>
  <c r="BA118" i="50"/>
  <c r="AS266" i="50"/>
  <c r="BA131" i="50"/>
  <c r="AR84" i="50"/>
  <c r="AW95" i="50"/>
  <c r="AU97" i="50"/>
  <c r="BD99" i="50"/>
  <c r="AS269" i="50"/>
  <c r="BC118" i="50"/>
  <c r="AU123" i="50"/>
  <c r="AV104" i="50"/>
  <c r="AW106" i="50"/>
  <c r="AZ84" i="50"/>
  <c r="AR87" i="50"/>
  <c r="AX97" i="50"/>
  <c r="BB264" i="50"/>
  <c r="BF245" i="50"/>
  <c r="AW86" i="50"/>
  <c r="AS98" i="50"/>
  <c r="AV117" i="50"/>
  <c r="AR135" i="50"/>
  <c r="AT120" i="50"/>
  <c r="AU127" i="50"/>
  <c r="BD129" i="50"/>
  <c r="BC131" i="50"/>
  <c r="BE263" i="50"/>
  <c r="AY110" i="50"/>
  <c r="AX267" i="50"/>
  <c r="AV120" i="50"/>
  <c r="AP115" i="50"/>
  <c r="AU136" i="50"/>
  <c r="BE91" i="50"/>
  <c r="BE106" i="50"/>
  <c r="BE108" i="50"/>
  <c r="AR122" i="50"/>
  <c r="AU266" i="50"/>
  <c r="BD125" i="50"/>
  <c r="AS132" i="50"/>
  <c r="BD147" i="50"/>
  <c r="BA111" i="50"/>
  <c r="AS122" i="50"/>
  <c r="AZ135" i="50"/>
  <c r="AT247" i="50"/>
  <c r="AR154" i="50"/>
  <c r="BA175" i="50"/>
  <c r="BD123" i="50"/>
  <c r="AT124" i="50"/>
  <c r="BC126" i="50"/>
  <c r="AV128" i="50"/>
  <c r="BB132" i="50"/>
  <c r="AU134" i="50"/>
  <c r="BF61" i="50"/>
  <c r="AV64" i="50"/>
  <c r="BF48" i="50"/>
  <c r="AT95" i="50"/>
  <c r="BF257" i="50"/>
  <c r="AZ260" i="50"/>
  <c r="AV96" i="50"/>
  <c r="AT257" i="50"/>
  <c r="BC259" i="50"/>
  <c r="AW74" i="50"/>
  <c r="BE95" i="50"/>
  <c r="AR114" i="50"/>
  <c r="BD90" i="50"/>
  <c r="AP118" i="50"/>
  <c r="BB100" i="50"/>
  <c r="BC107" i="50"/>
  <c r="AU115" i="50"/>
  <c r="BD267" i="50"/>
  <c r="AR270" i="50"/>
  <c r="AT126" i="50"/>
  <c r="AY244" i="50"/>
  <c r="BA269" i="50"/>
  <c r="AU137" i="50"/>
  <c r="BA141" i="50"/>
  <c r="AV144" i="50"/>
  <c r="AV243" i="50"/>
  <c r="BE164" i="50"/>
  <c r="AQ237" i="50"/>
  <c r="AW170" i="50"/>
  <c r="BB183" i="50"/>
  <c r="AY50" i="50"/>
  <c r="AW17" i="50"/>
  <c r="AX260" i="50"/>
  <c r="AZ79" i="50"/>
  <c r="AZ101" i="50"/>
  <c r="BE119" i="50"/>
  <c r="BE49" i="50"/>
  <c r="BD12" i="50"/>
  <c r="AS250" i="50"/>
  <c r="AZ41" i="50"/>
  <c r="AR13" i="50"/>
  <c r="BF9" i="50"/>
  <c r="AZ15" i="50"/>
  <c r="AP56" i="50"/>
  <c r="AW43" i="50"/>
  <c r="BC252" i="50"/>
  <c r="BA252" i="50"/>
  <c r="BB59" i="50"/>
  <c r="AQ90" i="50"/>
  <c r="AZ29" i="50"/>
  <c r="AP33" i="50"/>
  <c r="AX41" i="50"/>
  <c r="AQ43" i="50"/>
  <c r="BF47" i="50"/>
  <c r="AY49" i="50"/>
  <c r="AR51" i="50"/>
  <c r="AS38" i="50"/>
  <c r="BA45" i="50"/>
  <c r="AU61" i="50"/>
  <c r="BA92" i="50"/>
  <c r="AX75" i="50"/>
  <c r="BC102" i="50"/>
  <c r="BE67" i="50"/>
  <c r="AU113" i="50"/>
  <c r="BA256" i="50"/>
  <c r="AU259" i="50"/>
  <c r="BD73" i="50"/>
  <c r="AP88" i="50"/>
  <c r="AS93" i="50"/>
  <c r="AP97" i="50"/>
  <c r="AU268" i="50"/>
  <c r="AZ68" i="50"/>
  <c r="AV125" i="50"/>
  <c r="BB133" i="50"/>
  <c r="BA98" i="50"/>
  <c r="BB125" i="50"/>
  <c r="AU107" i="50"/>
  <c r="BB247" i="50"/>
  <c r="AV267" i="50"/>
  <c r="AS135" i="50"/>
  <c r="BA138" i="50"/>
  <c r="BB140" i="50"/>
  <c r="AU142" i="50"/>
  <c r="BC136" i="50"/>
  <c r="BA248" i="50"/>
  <c r="BB138" i="50"/>
  <c r="AU135" i="50"/>
  <c r="BB157" i="50"/>
  <c r="BD150" i="50"/>
  <c r="AU159" i="50"/>
  <c r="AS152" i="50"/>
  <c r="BE184" i="50"/>
  <c r="AT153" i="50"/>
  <c r="AS163" i="50"/>
  <c r="BF169" i="50"/>
  <c r="AZ154" i="50"/>
  <c r="AW160" i="50"/>
  <c r="AY241" i="50"/>
  <c r="AU155" i="50"/>
  <c r="AS239" i="50"/>
  <c r="AS182" i="50"/>
  <c r="AS158" i="50"/>
  <c r="AR176" i="50"/>
  <c r="AQ174" i="50"/>
  <c r="BF238" i="50"/>
  <c r="AQ167" i="50"/>
  <c r="BC171" i="50"/>
  <c r="AV173" i="50"/>
  <c r="AQ168" i="50"/>
  <c r="AW174" i="50"/>
  <c r="AP176" i="50"/>
  <c r="AR237" i="50"/>
  <c r="BE211" i="50"/>
  <c r="BC185" i="50"/>
  <c r="AP165" i="50"/>
  <c r="AX171" i="50"/>
  <c r="AQ173" i="50"/>
  <c r="AX195" i="50"/>
  <c r="BE210" i="50"/>
  <c r="BD207" i="50"/>
  <c r="BC202" i="50"/>
  <c r="AU178" i="50"/>
  <c r="BD180" i="50"/>
  <c r="BA237" i="50"/>
  <c r="AR198" i="50"/>
  <c r="AY205" i="50"/>
  <c r="AP188" i="50"/>
  <c r="AV190" i="50"/>
  <c r="AV183" i="50"/>
  <c r="AZ209" i="50"/>
  <c r="AX235" i="50"/>
  <c r="AS232" i="50"/>
  <c r="AV234" i="50"/>
  <c r="AT213" i="50"/>
  <c r="AW181" i="50"/>
  <c r="BF200" i="50"/>
  <c r="AP197" i="50"/>
  <c r="BB210" i="50"/>
  <c r="AS192" i="50"/>
  <c r="BA232" i="50"/>
  <c r="BF196" i="50"/>
  <c r="AX199" i="50"/>
  <c r="AT203" i="50"/>
  <c r="AY197" i="50"/>
  <c r="AT200" i="50"/>
  <c r="AV210" i="50"/>
  <c r="AX230" i="50"/>
  <c r="AU212" i="50"/>
  <c r="AY193" i="50"/>
  <c r="AV203" i="50"/>
  <c r="AV211" i="50"/>
  <c r="BB215" i="50"/>
  <c r="BC217" i="50"/>
  <c r="BE223" i="50"/>
  <c r="AZ231" i="50"/>
  <c r="AQ219" i="50"/>
  <c r="AV221" i="50"/>
  <c r="AW201" i="50"/>
  <c r="AS208" i="50"/>
  <c r="BD230" i="50"/>
  <c r="BA230" i="50"/>
  <c r="BB202" i="50"/>
  <c r="AX221" i="50"/>
  <c r="AX224" i="50"/>
  <c r="AY174" i="50"/>
  <c r="AT184" i="50"/>
  <c r="AQ170" i="50"/>
  <c r="AS235" i="50"/>
  <c r="AX187" i="50"/>
  <c r="AR197" i="50"/>
  <c r="BC178" i="50"/>
  <c r="AX197" i="50"/>
  <c r="AY206" i="50"/>
  <c r="BA216" i="50"/>
  <c r="AQ193" i="50"/>
  <c r="AZ195" i="50"/>
  <c r="BD220" i="50"/>
  <c r="BA203" i="50"/>
  <c r="BE214" i="50"/>
  <c r="AS222" i="50"/>
  <c r="AW197" i="50"/>
  <c r="AW203" i="50"/>
  <c r="AV206" i="50"/>
  <c r="BC122" i="50"/>
  <c r="AZ264" i="50"/>
  <c r="BF246" i="50"/>
  <c r="AV139" i="50"/>
  <c r="AT143" i="50"/>
  <c r="AS111" i="50"/>
  <c r="AP268" i="50"/>
  <c r="AV129" i="50"/>
  <c r="AU131" i="50"/>
  <c r="BD133" i="50"/>
  <c r="AV147" i="50"/>
  <c r="BE242" i="50"/>
  <c r="BB115" i="50"/>
  <c r="AR267" i="50"/>
  <c r="BD264" i="50"/>
  <c r="BC266" i="50"/>
  <c r="BE117" i="50"/>
  <c r="AU118" i="50"/>
  <c r="AW135" i="50"/>
  <c r="BA144" i="50"/>
  <c r="AS127" i="50"/>
  <c r="AZ246" i="50"/>
  <c r="AW139" i="50"/>
  <c r="BB266" i="50"/>
  <c r="AU125" i="50"/>
  <c r="BC133" i="50"/>
  <c r="AX135" i="50"/>
  <c r="AR248" i="50"/>
  <c r="BD144" i="50"/>
  <c r="AW146" i="50"/>
  <c r="AY148" i="50"/>
  <c r="AZ158" i="50"/>
  <c r="AT151" i="50"/>
  <c r="BC271" i="50"/>
  <c r="AV119" i="50"/>
  <c r="BD124" i="50"/>
  <c r="AW126" i="50"/>
  <c r="AT128" i="50"/>
  <c r="BE134" i="50"/>
  <c r="AS139" i="50"/>
  <c r="BE152" i="50"/>
  <c r="AV161" i="50"/>
  <c r="AR173" i="50"/>
  <c r="BB137" i="50"/>
  <c r="AU139" i="50"/>
  <c r="BC147" i="50"/>
  <c r="AS242" i="50"/>
  <c r="AU180" i="50"/>
  <c r="BD243" i="50"/>
  <c r="AY159" i="50"/>
  <c r="BF150" i="50"/>
  <c r="AY152" i="50"/>
  <c r="AR153" i="50"/>
  <c r="AZ157" i="50"/>
  <c r="AS159" i="50"/>
  <c r="AP161" i="50"/>
  <c r="AP238" i="50"/>
  <c r="AZ177" i="50"/>
  <c r="AP235" i="50"/>
  <c r="AX149" i="50"/>
  <c r="AQ151" i="50"/>
  <c r="BF242" i="50"/>
  <c r="AY156" i="50"/>
  <c r="AR241" i="50"/>
  <c r="BD240" i="50"/>
  <c r="AT159" i="50"/>
  <c r="AW164" i="50"/>
  <c r="AR238" i="50"/>
  <c r="BD164" i="50"/>
  <c r="AP166" i="50"/>
  <c r="AZ176" i="50"/>
  <c r="BC154" i="50"/>
  <c r="AV242" i="50"/>
  <c r="BD160" i="50"/>
  <c r="AY170" i="50"/>
  <c r="AR172" i="50"/>
  <c r="AX180" i="50"/>
  <c r="AZ182" i="50"/>
  <c r="BB235" i="50"/>
  <c r="AX168" i="50"/>
  <c r="AZ180" i="50"/>
  <c r="AQ189" i="50"/>
  <c r="BA200" i="50"/>
  <c r="AU170" i="50"/>
  <c r="AW193" i="50"/>
  <c r="AX203" i="50"/>
  <c r="AW221" i="50"/>
  <c r="AZ171" i="50"/>
  <c r="AS173" i="50"/>
  <c r="AP175" i="50"/>
  <c r="AX181" i="50"/>
  <c r="BB186" i="50"/>
  <c r="BC215" i="50"/>
  <c r="BD193" i="50"/>
  <c r="BA192" i="50"/>
  <c r="AP234" i="50"/>
  <c r="AR195" i="50"/>
  <c r="AR202" i="50"/>
  <c r="AU210" i="50"/>
  <c r="AU233" i="50"/>
  <c r="BB193" i="50"/>
  <c r="AX202" i="50"/>
  <c r="BE219" i="50"/>
  <c r="AS185" i="50"/>
  <c r="BA190" i="50"/>
  <c r="BC204" i="50"/>
  <c r="AV218" i="50"/>
  <c r="BA197" i="50"/>
  <c r="AW216" i="50"/>
  <c r="BB237" i="50"/>
  <c r="AU184" i="50"/>
  <c r="AZ234" i="50"/>
  <c r="AW194" i="50"/>
  <c r="AY196" i="50"/>
  <c r="BE198" i="50"/>
  <c r="AT205" i="50"/>
  <c r="BA234" i="50"/>
  <c r="BF203" i="50"/>
  <c r="BE201" i="50"/>
  <c r="AV214" i="50"/>
  <c r="BD217" i="50"/>
  <c r="AY194" i="50"/>
  <c r="BA199" i="50"/>
  <c r="AR221" i="50"/>
  <c r="AV223" i="50"/>
  <c r="AT211" i="50"/>
  <c r="BE231" i="50"/>
  <c r="AS221" i="50"/>
  <c r="AX223" i="50"/>
  <c r="AW206" i="50"/>
  <c r="AX208" i="50"/>
  <c r="AY200" i="50"/>
  <c r="AQ204" i="50"/>
  <c r="BD216" i="50"/>
  <c r="AZ200" i="50"/>
  <c r="AW202" i="50"/>
  <c r="AQ205" i="50"/>
  <c r="BF207" i="50"/>
  <c r="BC218" i="50"/>
  <c r="AP230" i="50"/>
  <c r="AP223" i="50"/>
  <c r="AW205" i="50"/>
  <c r="BC231" i="50"/>
  <c r="BD221" i="50"/>
  <c r="AU231" i="50"/>
  <c r="BE218" i="50"/>
  <c r="AR214" i="50"/>
  <c r="AV216" i="50"/>
  <c r="AX222" i="50"/>
  <c r="AT220" i="50"/>
  <c r="AX44" i="50"/>
  <c r="BF256" i="50"/>
  <c r="BF91" i="50"/>
  <c r="AP79" i="50"/>
  <c r="AP25" i="50"/>
  <c r="AV14" i="50"/>
  <c r="BC12" i="50"/>
  <c r="BB50" i="50"/>
  <c r="AW23" i="50"/>
  <c r="BB33" i="50"/>
  <c r="AU35" i="50"/>
  <c r="BD51" i="50"/>
  <c r="AT55" i="50"/>
  <c r="AW30" i="50"/>
  <c r="AY76" i="50"/>
  <c r="AP55" i="50"/>
  <c r="BB44" i="50"/>
  <c r="AT250" i="50"/>
  <c r="AT25" i="50"/>
  <c r="BE31" i="50"/>
  <c r="BC43" i="50"/>
  <c r="AV44" i="50"/>
  <c r="AW53" i="50"/>
  <c r="BE38" i="50"/>
  <c r="AZ74" i="50"/>
  <c r="AQ257" i="50"/>
  <c r="AZ38" i="50"/>
  <c r="AQ28" i="50"/>
  <c r="BA46" i="50"/>
  <c r="BC64" i="50"/>
  <c r="AZ253" i="50"/>
  <c r="AT61" i="50"/>
  <c r="BE24" i="50"/>
  <c r="AV63" i="50"/>
  <c r="BB26" i="50"/>
  <c r="AP66" i="50"/>
  <c r="BF66" i="50"/>
  <c r="AV78" i="50"/>
  <c r="AR44" i="50"/>
  <c r="AZ51" i="50"/>
  <c r="BA38" i="50"/>
  <c r="AV254" i="50"/>
  <c r="BC21" i="50"/>
  <c r="AT27" i="50"/>
  <c r="AU52" i="50"/>
  <c r="AT76" i="50"/>
  <c r="AY36" i="50"/>
  <c r="BD13" i="50"/>
  <c r="AR47" i="50"/>
  <c r="AX37" i="50"/>
  <c r="AS57" i="50"/>
  <c r="BB250" i="50"/>
  <c r="AW251" i="50"/>
  <c r="AX255" i="50"/>
  <c r="BF106" i="50"/>
  <c r="BF62" i="50"/>
  <c r="BE21" i="50"/>
  <c r="AQ251" i="50"/>
  <c r="BD40" i="50"/>
  <c r="BD21" i="50"/>
  <c r="AX48" i="50"/>
  <c r="AT16" i="50"/>
  <c r="BE43" i="50"/>
  <c r="AV9" i="50"/>
  <c r="BC52" i="50"/>
  <c r="BE23" i="50"/>
  <c r="BD45" i="50"/>
  <c r="BE54" i="50"/>
  <c r="AV12" i="50"/>
  <c r="AQ23" i="50"/>
  <c r="AS249" i="50"/>
  <c r="AQ250" i="50"/>
  <c r="AW34" i="50"/>
  <c r="BB12" i="50"/>
  <c r="AZ56" i="50"/>
  <c r="AR52" i="50"/>
  <c r="BA250" i="50"/>
  <c r="AS40" i="50"/>
  <c r="AW32" i="50"/>
  <c r="BF27" i="50"/>
  <c r="AQ14" i="50"/>
  <c r="AS18" i="50"/>
  <c r="AS56" i="50"/>
  <c r="BE82" i="50"/>
  <c r="BD31" i="50"/>
  <c r="AW33" i="50"/>
  <c r="BC51" i="50"/>
  <c r="BC58" i="50"/>
  <c r="BF25" i="50"/>
  <c r="AY27" i="50"/>
  <c r="AR29" i="50"/>
  <c r="AZ37" i="50"/>
  <c r="AP41" i="50"/>
  <c r="AX47" i="50"/>
  <c r="AQ49" i="50"/>
  <c r="BF55" i="50"/>
  <c r="BD60" i="50"/>
  <c r="BA22" i="50"/>
  <c r="AS45" i="50"/>
  <c r="BA52" i="50"/>
  <c r="AX66" i="50"/>
  <c r="BB39" i="50"/>
  <c r="AU41" i="50"/>
  <c r="BC47" i="50"/>
  <c r="AQ35" i="50"/>
  <c r="BF41" i="50"/>
  <c r="BC61" i="50"/>
  <c r="AX57" i="50"/>
  <c r="AR38" i="50"/>
  <c r="BA60" i="50"/>
  <c r="BB56" i="50"/>
  <c r="AR26" i="50"/>
  <c r="BF19" i="50"/>
  <c r="AS50" i="50"/>
  <c r="AT36" i="50"/>
  <c r="BE42" i="50"/>
  <c r="AV54" i="50"/>
  <c r="BE53" i="50"/>
  <c r="BF37" i="50"/>
  <c r="AY10" i="50"/>
  <c r="AQ50" i="50"/>
  <c r="BE35" i="50"/>
  <c r="AZ47" i="50"/>
  <c r="AW11" i="50"/>
  <c r="AT252" i="50"/>
  <c r="AV55" i="50"/>
  <c r="BF69" i="50"/>
  <c r="AP48" i="50"/>
  <c r="AR30" i="50"/>
  <c r="AX12" i="50"/>
  <c r="BD9" i="50"/>
  <c r="AW82" i="50"/>
  <c r="AX56" i="50"/>
  <c r="AV71" i="50"/>
  <c r="AY62" i="50"/>
  <c r="AU66" i="50"/>
  <c r="AX33" i="50"/>
  <c r="AY43" i="50"/>
  <c r="AS30" i="50"/>
  <c r="AY53" i="50"/>
  <c r="AP37" i="50"/>
  <c r="BC30" i="50"/>
  <c r="AX49" i="50"/>
  <c r="BC78" i="50"/>
  <c r="AQ46" i="50"/>
  <c r="AS34" i="50"/>
  <c r="AW249" i="50"/>
  <c r="AW59" i="50"/>
  <c r="AU45" i="50"/>
  <c r="AZ30" i="50"/>
  <c r="AT29" i="50"/>
  <c r="AP16" i="50"/>
  <c r="AV32" i="50"/>
  <c r="AR41" i="50"/>
  <c r="BC63" i="50"/>
  <c r="AT37" i="50"/>
  <c r="AV24" i="50"/>
  <c r="BA21" i="50"/>
  <c r="AQ40" i="50"/>
  <c r="AQ39" i="50"/>
  <c r="BC31" i="50"/>
  <c r="BA63" i="50"/>
  <c r="AR58" i="50"/>
  <c r="AQ19" i="50"/>
  <c r="AX17" i="50"/>
  <c r="AP10" i="50"/>
  <c r="BF51" i="50"/>
  <c r="BF252" i="50"/>
  <c r="AW46" i="50"/>
  <c r="BF34" i="50"/>
  <c r="AU28" i="50"/>
  <c r="BA9" i="50"/>
  <c r="AT38" i="50"/>
  <c r="AY58" i="50"/>
  <c r="BE18" i="50"/>
  <c r="AR253" i="50"/>
  <c r="AP52" i="50"/>
  <c r="AQ254" i="50"/>
  <c r="BC44" i="50"/>
  <c r="AS252" i="50"/>
  <c r="AR256" i="50"/>
  <c r="AP61" i="50"/>
  <c r="AY143" i="50"/>
  <c r="AV116" i="50"/>
  <c r="BD119" i="50"/>
  <c r="AT123" i="50"/>
  <c r="BB128" i="50"/>
  <c r="AU130" i="50"/>
  <c r="BC143" i="50"/>
  <c r="AZ153" i="50"/>
  <c r="AP243" i="50"/>
  <c r="AX161" i="50"/>
  <c r="AQ163" i="50"/>
  <c r="AX175" i="50"/>
  <c r="AP177" i="50"/>
  <c r="AW189" i="50"/>
  <c r="BC230" i="50"/>
  <c r="AX121" i="50"/>
  <c r="BD67" i="50"/>
  <c r="AT71" i="50"/>
  <c r="BB74" i="50"/>
  <c r="AU261" i="50"/>
  <c r="AY262" i="50"/>
  <c r="BD82" i="50"/>
  <c r="AZ87" i="50"/>
  <c r="BF108" i="50"/>
  <c r="BF94" i="50"/>
  <c r="AY96" i="50"/>
  <c r="AR98" i="50"/>
  <c r="AQ87" i="50"/>
  <c r="BF262" i="50"/>
  <c r="AY93" i="50"/>
  <c r="AR95" i="50"/>
  <c r="AZ103" i="50"/>
  <c r="AZ127" i="50"/>
  <c r="AP131" i="50"/>
  <c r="AS268" i="50"/>
  <c r="BA121" i="50"/>
  <c r="AR137" i="50"/>
  <c r="AW147" i="50"/>
  <c r="BA247" i="50"/>
  <c r="AW155" i="50"/>
  <c r="BE159" i="50"/>
  <c r="BC151" i="50"/>
  <c r="AV244" i="50"/>
  <c r="BD241" i="50"/>
  <c r="AT160" i="50"/>
  <c r="AQ235" i="50"/>
  <c r="AX237" i="50"/>
  <c r="AQ184" i="50"/>
  <c r="AZ204" i="50"/>
  <c r="BA211" i="50"/>
  <c r="AX82" i="50"/>
  <c r="AS115" i="50"/>
  <c r="BF79" i="50"/>
  <c r="AR83" i="50"/>
  <c r="AW101" i="50"/>
  <c r="AX71" i="50"/>
  <c r="AQ256" i="50"/>
  <c r="BF74" i="50"/>
  <c r="AY261" i="50"/>
  <c r="AR77" i="50"/>
  <c r="AS101" i="50"/>
  <c r="AP105" i="50"/>
  <c r="BA93" i="50"/>
  <c r="BD270" i="50"/>
  <c r="BC96" i="50"/>
  <c r="AV98" i="50"/>
  <c r="AU87" i="50"/>
  <c r="BC93" i="50"/>
  <c r="AV95" i="50"/>
  <c r="BD103" i="50"/>
  <c r="AW105" i="50"/>
  <c r="AV107" i="50"/>
  <c r="AU111" i="50"/>
  <c r="BD113" i="50"/>
  <c r="BD127" i="50"/>
  <c r="AW129" i="50"/>
  <c r="AT131" i="50"/>
  <c r="BD142" i="50"/>
  <c r="BD116" i="50"/>
  <c r="AW268" i="50"/>
  <c r="AT270" i="50"/>
  <c r="BE121" i="50"/>
  <c r="BB123" i="50"/>
  <c r="AU265" i="50"/>
  <c r="BC130" i="50"/>
  <c r="AV132" i="50"/>
  <c r="AX246" i="50"/>
  <c r="AZ137" i="50"/>
  <c r="AT141" i="50"/>
  <c r="AQ241" i="50"/>
  <c r="BC155" i="50"/>
  <c r="BA155" i="50"/>
  <c r="BF161" i="50"/>
  <c r="AY163" i="50"/>
  <c r="AZ244" i="50"/>
  <c r="AS154" i="50"/>
  <c r="AP242" i="50"/>
  <c r="BA158" i="50"/>
  <c r="AX160" i="50"/>
  <c r="AQ162" i="50"/>
  <c r="BA238" i="50"/>
  <c r="AY234" i="50"/>
  <c r="AX165" i="50"/>
  <c r="AQ239" i="50"/>
  <c r="BF171" i="50"/>
  <c r="AY173" i="50"/>
  <c r="AR175" i="50"/>
  <c r="BF175" i="50"/>
  <c r="BA177" i="50"/>
  <c r="BC191" i="50"/>
  <c r="BF183" i="50"/>
  <c r="BE181" i="50"/>
  <c r="AY202" i="50"/>
  <c r="BE189" i="50"/>
  <c r="BC123" i="50"/>
  <c r="BF162" i="50"/>
  <c r="AX166" i="50"/>
  <c r="AR169" i="50"/>
  <c r="AZ197" i="50"/>
  <c r="AX205" i="50"/>
  <c r="AW208" i="50"/>
  <c r="AY231" i="50"/>
  <c r="BA255" i="50"/>
  <c r="AP258" i="50"/>
  <c r="AT77" i="50"/>
  <c r="AT67" i="50"/>
  <c r="BB72" i="50"/>
  <c r="BF75" i="50"/>
  <c r="AX86" i="50"/>
  <c r="AY83" i="50"/>
  <c r="AX65" i="50"/>
  <c r="AX77" i="50"/>
  <c r="AS84" i="50"/>
  <c r="AW103" i="50"/>
  <c r="AV270" i="50"/>
  <c r="AS79" i="50"/>
  <c r="BE87" i="50"/>
  <c r="AQ91" i="50"/>
  <c r="BE68" i="50"/>
  <c r="BB70" i="50"/>
  <c r="BA103" i="50"/>
  <c r="BC270" i="50"/>
  <c r="AV99" i="50"/>
  <c r="BD262" i="50"/>
  <c r="AX104" i="50"/>
  <c r="AS108" i="50"/>
  <c r="AW100" i="50"/>
  <c r="AP109" i="50"/>
  <c r="AW97" i="50"/>
  <c r="BE105" i="50"/>
  <c r="BE107" i="50"/>
  <c r="BE109" i="50"/>
  <c r="BF111" i="50"/>
  <c r="AT267" i="50"/>
  <c r="BC269" i="50"/>
  <c r="AW271" i="50"/>
  <c r="AY120" i="50"/>
  <c r="AV264" i="50"/>
  <c r="AX115" i="50"/>
  <c r="BF141" i="50"/>
  <c r="AR145" i="50"/>
  <c r="AW264" i="50"/>
  <c r="BE129" i="50"/>
  <c r="AQ245" i="50"/>
  <c r="AU140" i="50"/>
  <c r="BB270" i="50"/>
  <c r="AU271" i="50"/>
  <c r="BC265" i="50"/>
  <c r="AV124" i="50"/>
  <c r="BD132" i="50"/>
  <c r="AV145" i="50"/>
  <c r="BC139" i="50"/>
  <c r="AV141" i="50"/>
  <c r="AX150" i="50"/>
  <c r="AQ152" i="50"/>
  <c r="BF243" i="50"/>
  <c r="AY240" i="50"/>
  <c r="AR157" i="50"/>
  <c r="BA154" i="50"/>
  <c r="AT155" i="50"/>
  <c r="BB159" i="50"/>
  <c r="AU161" i="50"/>
  <c r="AW165" i="50"/>
  <c r="AV149" i="50"/>
  <c r="BD242" i="50"/>
  <c r="AT241" i="50"/>
  <c r="AP169" i="50"/>
  <c r="AY175" i="50"/>
  <c r="AU179" i="50"/>
  <c r="BF165" i="50"/>
  <c r="AY239" i="50"/>
  <c r="AR167" i="50"/>
  <c r="AZ175" i="50"/>
  <c r="AX177" i="50"/>
  <c r="BB179" i="50"/>
  <c r="BD232" i="50"/>
  <c r="AW199" i="50"/>
  <c r="AU189" i="50"/>
  <c r="BD191" i="50"/>
  <c r="BF223" i="50"/>
  <c r="BF197" i="50"/>
  <c r="BB200" i="50"/>
  <c r="BC209" i="50"/>
  <c r="AP214" i="50"/>
  <c r="AP203" i="50"/>
  <c r="AY208" i="50"/>
  <c r="AX204" i="50"/>
  <c r="AW261" i="50"/>
  <c r="AQ78" i="50"/>
  <c r="AS81" i="50"/>
  <c r="AW80" i="50"/>
  <c r="AW73" i="50"/>
  <c r="AS80" i="50"/>
  <c r="AW89" i="50"/>
  <c r="AT254" i="50"/>
  <c r="AW118" i="50"/>
  <c r="AR262" i="50"/>
  <c r="BD265" i="50"/>
  <c r="AT268" i="50"/>
  <c r="BC109" i="50"/>
  <c r="AR112" i="50"/>
  <c r="BC128" i="50"/>
  <c r="AX126" i="50"/>
  <c r="BB134" i="50"/>
  <c r="AX266" i="50"/>
  <c r="AQ125" i="50"/>
  <c r="BF131" i="50"/>
  <c r="AY133" i="50"/>
  <c r="BC142" i="50"/>
  <c r="AS146" i="50"/>
  <c r="AY135" i="50"/>
  <c r="AR245" i="50"/>
  <c r="AZ141" i="50"/>
  <c r="AS143" i="50"/>
  <c r="AP145" i="50"/>
  <c r="BA153" i="50"/>
  <c r="AX155" i="50"/>
  <c r="AQ243" i="50"/>
  <c r="BF159" i="50"/>
  <c r="AY161" i="50"/>
  <c r="AR163" i="50"/>
  <c r="AZ149" i="50"/>
  <c r="AS151" i="50"/>
  <c r="AP244" i="50"/>
  <c r="BA156" i="50"/>
  <c r="AX241" i="50"/>
  <c r="AQ158" i="50"/>
  <c r="AZ165" i="50"/>
  <c r="AR239" i="50"/>
  <c r="AP167" i="50"/>
  <c r="AV169" i="50"/>
  <c r="BF179" i="50"/>
  <c r="AZ184" i="50"/>
  <c r="AQ166" i="50"/>
  <c r="AR168" i="50"/>
  <c r="BC174" i="50"/>
  <c r="AZ238" i="50"/>
  <c r="AS184" i="50"/>
  <c r="AV171" i="50"/>
  <c r="BE236" i="50"/>
  <c r="AW200" i="50"/>
  <c r="AY177" i="50"/>
  <c r="AR179" i="50"/>
  <c r="AZ235" i="50"/>
  <c r="BB189" i="50"/>
  <c r="AV192" i="50"/>
  <c r="BB195" i="50"/>
  <c r="AU186" i="50"/>
  <c r="AV231" i="50"/>
  <c r="AQ198" i="50"/>
  <c r="AQ206" i="50"/>
  <c r="BD211" i="50"/>
  <c r="BE230" i="50"/>
  <c r="BC207" i="50"/>
  <c r="BD210" i="50"/>
  <c r="AX231" i="50"/>
  <c r="AP222" i="50"/>
  <c r="AX88" i="50"/>
  <c r="BA81" i="50"/>
  <c r="BE80" i="50"/>
  <c r="AW84" i="50"/>
  <c r="BC97" i="50"/>
  <c r="AU65" i="50"/>
  <c r="AR78" i="50"/>
  <c r="AS82" i="50"/>
  <c r="BB65" i="50"/>
  <c r="BE258" i="50"/>
  <c r="AX72" i="50"/>
  <c r="AS258" i="50"/>
  <c r="AW77" i="50"/>
  <c r="AY81" i="50"/>
  <c r="AQ85" i="50"/>
  <c r="AS260" i="50"/>
  <c r="BA79" i="50"/>
  <c r="BF107" i="50"/>
  <c r="BC262" i="50"/>
  <c r="AP100" i="50"/>
  <c r="BB267" i="50"/>
  <c r="AZ106" i="50"/>
  <c r="AQ98" i="50"/>
  <c r="AW263" i="50"/>
  <c r="BE100" i="50"/>
  <c r="AV114" i="50"/>
  <c r="BF116" i="50"/>
  <c r="BF118" i="50"/>
  <c r="AW91" i="50"/>
  <c r="BE97" i="50"/>
  <c r="AV106" i="50"/>
  <c r="AV123" i="50"/>
  <c r="BD128" i="50"/>
  <c r="AT132" i="50"/>
  <c r="BE264" i="50"/>
  <c r="BB245" i="50"/>
  <c r="AV246" i="50"/>
  <c r="BD248" i="50"/>
  <c r="BA146" i="50"/>
  <c r="BC135" i="50"/>
  <c r="AV245" i="50"/>
  <c r="BD141" i="50"/>
  <c r="AW143" i="50"/>
  <c r="AT145" i="50"/>
  <c r="AW149" i="50"/>
  <c r="BE244" i="50"/>
  <c r="BF156" i="50"/>
  <c r="BA152" i="50"/>
  <c r="BC164" i="50"/>
  <c r="BE153" i="50"/>
  <c r="BB155" i="50"/>
  <c r="AU243" i="50"/>
  <c r="BC161" i="50"/>
  <c r="AV163" i="50"/>
  <c r="BD149" i="50"/>
  <c r="AW151" i="50"/>
  <c r="AT244" i="50"/>
  <c r="BE156" i="50"/>
  <c r="BB241" i="50"/>
  <c r="AU158" i="50"/>
  <c r="BE167" i="50"/>
  <c r="AS165" i="50"/>
  <c r="AP173" i="50"/>
  <c r="BB178" i="50"/>
  <c r="AZ167" i="50"/>
  <c r="AP171" i="50"/>
  <c r="BC177" i="50"/>
  <c r="AV179" i="50"/>
  <c r="BD235" i="50"/>
  <c r="AS187" i="50"/>
  <c r="BB192" i="50"/>
  <c r="AU207" i="50"/>
  <c r="AW195" i="50"/>
  <c r="AV204" i="50"/>
  <c r="AQ218" i="50"/>
  <c r="AY19" i="50"/>
  <c r="AT8" i="50"/>
  <c r="AW18" i="50"/>
  <c r="BA36" i="50"/>
  <c r="BD23" i="50"/>
  <c r="BD19" i="50"/>
  <c r="AW50" i="50"/>
  <c r="BB27" i="50"/>
  <c r="AT22" i="50"/>
  <c r="AV20" i="50"/>
  <c r="BC18" i="50"/>
  <c r="BB9" i="50"/>
  <c r="BD42" i="50"/>
  <c r="AR34" i="50"/>
  <c r="BF30" i="50"/>
  <c r="AT17" i="50"/>
  <c r="AW15" i="50"/>
  <c r="BD14" i="50"/>
  <c r="BE17" i="50"/>
  <c r="BD48" i="50"/>
  <c r="BB42" i="50"/>
  <c r="BE16" i="50"/>
  <c r="AW9" i="50"/>
  <c r="BC66" i="50"/>
  <c r="BE10" i="50"/>
  <c r="AW49" i="50"/>
  <c r="AU249" i="50"/>
  <c r="AW48" i="50"/>
  <c r="BE56" i="50"/>
  <c r="AQ29" i="50"/>
  <c r="BF35" i="50"/>
  <c r="AY37" i="50"/>
  <c r="AR39" i="50"/>
  <c r="AZ251" i="50"/>
  <c r="AS47" i="50"/>
  <c r="AP49" i="50"/>
  <c r="AX61" i="50"/>
  <c r="AX252" i="50"/>
  <c r="BD59" i="50"/>
  <c r="AX23" i="50"/>
  <c r="AQ25" i="50"/>
  <c r="AZ43" i="50"/>
  <c r="AS44" i="50"/>
  <c r="AP251" i="50"/>
  <c r="BA51" i="50"/>
  <c r="AX53" i="50"/>
  <c r="AZ64" i="50"/>
  <c r="BA65" i="50"/>
  <c r="AQ68" i="50"/>
  <c r="BD254" i="50"/>
  <c r="BB67" i="50"/>
  <c r="AV70" i="50"/>
  <c r="BE72" i="50"/>
  <c r="AY258" i="50"/>
  <c r="BD252" i="50"/>
  <c r="BE254" i="50"/>
  <c r="BA71" i="50"/>
  <c r="BD259" i="50"/>
  <c r="AW260" i="50"/>
  <c r="BE79" i="50"/>
  <c r="AP89" i="50"/>
  <c r="AX58" i="50"/>
  <c r="AQ60" i="50"/>
  <c r="BF253" i="50"/>
  <c r="AY255" i="50"/>
  <c r="AR66" i="50"/>
  <c r="AZ257" i="50"/>
  <c r="AS259" i="50"/>
  <c r="AP73" i="50"/>
  <c r="BA78" i="50"/>
  <c r="AX80" i="50"/>
  <c r="AQ82" i="50"/>
  <c r="BE83" i="50"/>
  <c r="AU99" i="50"/>
  <c r="BD255" i="50"/>
  <c r="AW66" i="50"/>
  <c r="AT68" i="50"/>
  <c r="BE257" i="50"/>
  <c r="BB259" i="50"/>
  <c r="AU73" i="50"/>
  <c r="AY79" i="50"/>
  <c r="AR81" i="50"/>
  <c r="BA87" i="50"/>
  <c r="AU91" i="50"/>
  <c r="BD86" i="50"/>
  <c r="AW88" i="50"/>
  <c r="AT90" i="50"/>
  <c r="BE94" i="50"/>
  <c r="BB96" i="50"/>
  <c r="AU98" i="50"/>
  <c r="BB126" i="50"/>
  <c r="BA263" i="50"/>
  <c r="AV83" i="50"/>
  <c r="BD91" i="50"/>
  <c r="AW262" i="50"/>
  <c r="AT93" i="50"/>
  <c r="BE99" i="50"/>
  <c r="BB101" i="50"/>
  <c r="AU103" i="50"/>
  <c r="AP108" i="50"/>
  <c r="AT116" i="50"/>
  <c r="BC268" i="50"/>
  <c r="AS119" i="50"/>
  <c r="AW124" i="50"/>
  <c r="BA91" i="50"/>
  <c r="AR115" i="50"/>
  <c r="BD88" i="50"/>
  <c r="AW90" i="50"/>
  <c r="AT92" i="50"/>
  <c r="BE96" i="50"/>
  <c r="BB98" i="50"/>
  <c r="AU100" i="50"/>
  <c r="AW116" i="50"/>
  <c r="AQ269" i="50"/>
  <c r="BE139" i="50"/>
  <c r="AQ143" i="50"/>
  <c r="AV110" i="50"/>
  <c r="BD268" i="50"/>
  <c r="AW270" i="50"/>
  <c r="AT271" i="50"/>
  <c r="BE123" i="50"/>
  <c r="BB265" i="50"/>
  <c r="AU124" i="50"/>
  <c r="BC132" i="50"/>
  <c r="AV134" i="50"/>
  <c r="AX136" i="50"/>
  <c r="BB246" i="50"/>
  <c r="AQ106" i="50"/>
  <c r="BF112" i="50"/>
  <c r="AY114" i="50"/>
  <c r="BF269" i="50"/>
  <c r="AY117" i="50"/>
  <c r="AR118" i="50"/>
  <c r="AZ266" i="50"/>
  <c r="AS125" i="50"/>
  <c r="AP127" i="50"/>
  <c r="BA133" i="50"/>
  <c r="BA135" i="50"/>
  <c r="AX140" i="50"/>
  <c r="BA137" i="50"/>
  <c r="AX139" i="50"/>
  <c r="AQ141" i="50"/>
  <c r="BF147" i="50"/>
  <c r="AZ151" i="50"/>
  <c r="BA246" i="50"/>
  <c r="AX248" i="50"/>
  <c r="AQ138" i="50"/>
  <c r="BF144" i="50"/>
  <c r="AY146" i="50"/>
  <c r="BA140" i="50"/>
  <c r="AX142" i="50"/>
  <c r="AQ144" i="50"/>
  <c r="BC148" i="50"/>
  <c r="BC152" i="50"/>
  <c r="AV153" i="50"/>
  <c r="BD157" i="50"/>
  <c r="AT161" i="50"/>
  <c r="AX148" i="50"/>
  <c r="AQ150" i="50"/>
  <c r="AR21" i="50"/>
  <c r="AQ12" i="50"/>
  <c r="BD25" i="50"/>
  <c r="AZ12" i="50"/>
  <c r="AU250" i="50"/>
  <c r="BE14" i="50"/>
  <c r="AR12" i="50"/>
  <c r="BF8" i="50"/>
  <c r="BA17" i="50"/>
  <c r="AS21" i="50"/>
  <c r="AZ19" i="50"/>
  <c r="BA14" i="50"/>
  <c r="BC10" i="50"/>
  <c r="AR16" i="50"/>
  <c r="AS54" i="50"/>
  <c r="AX38" i="50"/>
  <c r="AR20" i="50"/>
  <c r="AY18" i="50"/>
  <c r="BF16" i="50"/>
  <c r="AQ11" i="50"/>
  <c r="AX9" i="50"/>
  <c r="BC40" i="50"/>
  <c r="BC14" i="50"/>
  <c r="AZ16" i="50"/>
  <c r="AX30" i="50"/>
  <c r="AP17" i="50"/>
  <c r="AS15" i="50"/>
  <c r="AZ14" i="50"/>
  <c r="BA58" i="50"/>
  <c r="AR24" i="50"/>
  <c r="BB13" i="50"/>
  <c r="AQ54" i="50"/>
  <c r="AR42" i="50"/>
  <c r="AP34" i="50"/>
  <c r="BD30" i="50"/>
  <c r="BA27" i="50"/>
  <c r="AZ24" i="50"/>
  <c r="AQ20" i="50"/>
  <c r="AX18" i="50"/>
  <c r="AP11" i="50"/>
  <c r="AW63" i="50"/>
  <c r="AX29" i="50"/>
  <c r="AU46" i="50"/>
  <c r="BF13" i="50"/>
  <c r="AZ40" i="50"/>
  <c r="AP250" i="50"/>
  <c r="AX50" i="50"/>
  <c r="AQ52" i="50"/>
  <c r="AS59" i="50"/>
  <c r="AS61" i="50"/>
  <c r="AS63" i="50"/>
  <c r="AU29" i="50"/>
  <c r="BC37" i="50"/>
  <c r="AV39" i="50"/>
  <c r="BD251" i="50"/>
  <c r="AT49" i="50"/>
  <c r="BE55" i="50"/>
  <c r="BC57" i="50"/>
  <c r="BC59" i="50"/>
  <c r="AS23" i="50"/>
  <c r="BA31" i="50"/>
  <c r="AS53" i="50"/>
  <c r="AU58" i="50"/>
  <c r="AP63" i="50"/>
  <c r="BB23" i="50"/>
  <c r="AU25" i="50"/>
  <c r="BC33" i="50"/>
  <c r="AV35" i="50"/>
  <c r="BD43" i="50"/>
  <c r="AW44" i="50"/>
  <c r="AT251" i="50"/>
  <c r="BB53" i="50"/>
  <c r="AU55" i="50"/>
  <c r="BE58" i="50"/>
  <c r="BE60" i="50"/>
  <c r="BE62" i="50"/>
  <c r="BF65" i="50"/>
  <c r="AR71" i="50"/>
  <c r="AP76" i="50"/>
  <c r="AV69" i="50"/>
  <c r="BE71" i="50"/>
  <c r="AT75" i="50"/>
  <c r="AX83" i="50"/>
  <c r="BF261" i="50"/>
  <c r="AP256" i="50"/>
  <c r="BF258" i="50"/>
  <c r="BA261" i="50"/>
  <c r="AU78" i="50"/>
  <c r="AR69" i="50"/>
  <c r="BB257" i="50"/>
  <c r="BB58" i="50"/>
  <c r="AU60" i="50"/>
  <c r="BC255" i="50"/>
  <c r="AV66" i="50"/>
  <c r="BD257" i="50"/>
  <c r="AW259" i="50"/>
  <c r="AT73" i="50"/>
  <c r="BE78" i="50"/>
  <c r="BB80" i="50"/>
  <c r="AU82" i="50"/>
  <c r="BA66" i="50"/>
  <c r="AX68" i="50"/>
  <c r="AQ70" i="50"/>
  <c r="BF259" i="50"/>
  <c r="AY73" i="50"/>
  <c r="AR75" i="50"/>
  <c r="BC79" i="50"/>
  <c r="AV81" i="50"/>
  <c r="BC91" i="50"/>
  <c r="BA88" i="50"/>
  <c r="AX90" i="50"/>
  <c r="AQ92" i="50"/>
  <c r="BF96" i="50"/>
  <c r="AY98" i="50"/>
  <c r="AR100" i="50"/>
  <c r="AS107" i="50"/>
  <c r="AS109" i="50"/>
  <c r="AZ83" i="50"/>
  <c r="AS85" i="50"/>
  <c r="AP87" i="50"/>
  <c r="BA262" i="50"/>
  <c r="AX93" i="50"/>
  <c r="AQ95" i="50"/>
  <c r="BF101" i="50"/>
  <c r="AY103" i="50"/>
  <c r="AR105" i="50"/>
  <c r="BD106" i="50"/>
  <c r="BA116" i="50"/>
  <c r="AU269" i="50"/>
  <c r="BD117" i="50"/>
  <c r="BA119" i="50"/>
  <c r="AP84" i="50"/>
  <c r="BA90" i="50"/>
  <c r="AX92" i="50"/>
  <c r="AQ263" i="50"/>
  <c r="BF98" i="50"/>
  <c r="AY100" i="50"/>
  <c r="AR102" i="50"/>
  <c r="BA107" i="50"/>
  <c r="BA109" i="50"/>
  <c r="AS114" i="50"/>
  <c r="AR271" i="50"/>
  <c r="AV130" i="50"/>
  <c r="AZ110" i="50"/>
  <c r="AS112" i="50"/>
  <c r="AP114" i="50"/>
  <c r="BA270" i="50"/>
  <c r="AX271" i="50"/>
  <c r="AQ119" i="50"/>
  <c r="BF265" i="50"/>
  <c r="AY124" i="50"/>
  <c r="AR126" i="50"/>
  <c r="AZ134" i="50"/>
  <c r="AU106" i="50"/>
  <c r="BC114" i="50"/>
  <c r="BC117" i="50"/>
  <c r="AV118" i="50"/>
  <c r="BD266" i="50"/>
  <c r="AW125" i="50"/>
  <c r="AT127" i="50"/>
  <c r="BE133" i="50"/>
  <c r="BF135" i="50"/>
  <c r="BF140" i="50"/>
  <c r="AR144" i="50"/>
  <c r="BE137" i="50"/>
  <c r="BB139" i="50"/>
  <c r="AU141" i="50"/>
  <c r="BD245" i="50"/>
  <c r="AT137" i="50"/>
  <c r="BB145" i="50"/>
  <c r="AU147" i="50"/>
  <c r="BE246" i="50"/>
  <c r="BB248" i="50"/>
  <c r="AU138" i="50"/>
  <c r="BC146" i="50"/>
  <c r="BE140" i="50"/>
  <c r="BB142" i="50"/>
  <c r="AU144" i="50"/>
  <c r="BD154" i="50"/>
  <c r="AY149" i="50"/>
  <c r="BB148" i="50"/>
  <c r="AU150" i="50"/>
  <c r="BC243" i="50"/>
  <c r="AV240" i="50"/>
  <c r="BA32" i="50"/>
  <c r="AZ48" i="50"/>
  <c r="AW14" i="50"/>
  <c r="AZ9" i="50"/>
  <c r="AT62" i="50"/>
  <c r="AV52" i="50"/>
  <c r="BE250" i="50"/>
  <c r="AX28" i="50"/>
  <c r="AV19" i="50"/>
  <c r="AU10" i="50"/>
  <c r="BD33" i="50"/>
  <c r="AU18" i="50"/>
  <c r="BD26" i="50"/>
  <c r="AS27" i="50"/>
  <c r="BA62" i="50"/>
  <c r="AZ8" i="50"/>
  <c r="AY29" i="50"/>
  <c r="AR31" i="50"/>
  <c r="AZ39" i="50"/>
  <c r="AP43" i="50"/>
  <c r="BA47" i="50"/>
  <c r="AQ51" i="50"/>
  <c r="BD61" i="50"/>
  <c r="AY25" i="50"/>
  <c r="AS37" i="50"/>
  <c r="AP39" i="50"/>
  <c r="AX251" i="50"/>
  <c r="AQ47" i="50"/>
  <c r="BF53" i="50"/>
  <c r="AY55" i="50"/>
  <c r="AR57" i="50"/>
  <c r="AQ63" i="50"/>
  <c r="AQ252" i="50"/>
  <c r="AT83" i="50"/>
  <c r="BA75" i="50"/>
  <c r="AR80" i="50"/>
  <c r="AY69" i="50"/>
  <c r="AS72" i="50"/>
  <c r="AV260" i="50"/>
  <c r="BE74" i="50"/>
  <c r="BF58" i="50"/>
  <c r="AY60" i="50"/>
  <c r="AR62" i="50"/>
  <c r="AZ66" i="50"/>
  <c r="AS68" i="50"/>
  <c r="AP70" i="50"/>
  <c r="BA259" i="50"/>
  <c r="AX73" i="50"/>
  <c r="AQ75" i="50"/>
  <c r="BF80" i="50"/>
  <c r="AY82" i="50"/>
  <c r="BE66" i="50"/>
  <c r="BB68" i="50"/>
  <c r="AU70" i="50"/>
  <c r="BC73" i="50"/>
  <c r="AV75" i="50"/>
  <c r="AT91" i="50"/>
  <c r="AZ81" i="50"/>
  <c r="AS83" i="50"/>
  <c r="BE88" i="50"/>
  <c r="BB90" i="50"/>
  <c r="AU92" i="50"/>
  <c r="BC98" i="50"/>
  <c r="AV100" i="50"/>
  <c r="AW132" i="50"/>
  <c r="AP136" i="50"/>
  <c r="BD83" i="50"/>
  <c r="AW85" i="50"/>
  <c r="AT87" i="50"/>
  <c r="BE262" i="50"/>
  <c r="BB93" i="50"/>
  <c r="AU95" i="50"/>
  <c r="BC103" i="50"/>
  <c r="AV105" i="50"/>
  <c r="AY108" i="50"/>
  <c r="AP110" i="50"/>
  <c r="AV271" i="50"/>
  <c r="AT84" i="50"/>
  <c r="BE90" i="50"/>
  <c r="BB92" i="50"/>
  <c r="AU263" i="50"/>
  <c r="BC100" i="50"/>
  <c r="AV102" i="50"/>
  <c r="BA136" i="50"/>
  <c r="AP119" i="50"/>
  <c r="BD110" i="50"/>
  <c r="AW112" i="50"/>
  <c r="AT114" i="50"/>
  <c r="BE270" i="50"/>
  <c r="BB271" i="50"/>
  <c r="AU119" i="50"/>
  <c r="BC124" i="50"/>
  <c r="AV126" i="50"/>
  <c r="BD134" i="50"/>
  <c r="AY106" i="50"/>
  <c r="AR108" i="50"/>
  <c r="AZ118" i="50"/>
  <c r="AS120" i="50"/>
  <c r="AP122" i="50"/>
  <c r="BA125" i="50"/>
  <c r="AX127" i="50"/>
  <c r="AQ129" i="50"/>
  <c r="BF139" i="50"/>
  <c r="AY141" i="50"/>
  <c r="AR143" i="50"/>
  <c r="BF248" i="50"/>
  <c r="AY138" i="50"/>
  <c r="AR140" i="50"/>
  <c r="AQ248" i="50"/>
  <c r="BF142" i="50"/>
  <c r="AY144" i="50"/>
  <c r="AR146" i="50"/>
  <c r="AZ13" i="50"/>
  <c r="BD56" i="50"/>
  <c r="BC17" i="50"/>
  <c r="BB45" i="50"/>
  <c r="BB16" i="50"/>
  <c r="BE249" i="50"/>
  <c r="AT9" i="50"/>
  <c r="AP29" i="50"/>
  <c r="AU24" i="50"/>
  <c r="BA11" i="50"/>
  <c r="AS24" i="50"/>
  <c r="AW16" i="50"/>
  <c r="AS43" i="50"/>
  <c r="AS14" i="50"/>
  <c r="AP8" i="50"/>
  <c r="AR15" i="50"/>
  <c r="BA18" i="50"/>
  <c r="AW61" i="50"/>
  <c r="BB51" i="50"/>
  <c r="BC39" i="50"/>
  <c r="BA34" i="50"/>
  <c r="AR19" i="50"/>
  <c r="AY17" i="50"/>
  <c r="BF15" i="50"/>
  <c r="BA26" i="50"/>
  <c r="AX13" i="50"/>
  <c r="BF52" i="50"/>
  <c r="AV33" i="50"/>
  <c r="AQ18" i="50"/>
  <c r="AX16" i="50"/>
  <c r="BA249" i="50"/>
  <c r="AP9" i="50"/>
  <c r="AP12" i="50"/>
  <c r="AT52" i="50"/>
  <c r="BE40" i="50"/>
  <c r="AW26" i="50"/>
  <c r="AZ21" i="50"/>
  <c r="AR14" i="50"/>
  <c r="AY12" i="50"/>
  <c r="BF10" i="50"/>
  <c r="BB52" i="50"/>
  <c r="AX20" i="50"/>
  <c r="BF57" i="50"/>
  <c r="AV48" i="50"/>
  <c r="AP18" i="50"/>
  <c r="AS16" i="50"/>
  <c r="AZ249" i="50"/>
  <c r="BF60" i="50"/>
  <c r="AX45" i="50"/>
  <c r="AX19" i="50"/>
  <c r="BE46" i="50"/>
  <c r="AR61" i="50"/>
  <c r="AT28" i="50"/>
  <c r="AV15" i="50"/>
  <c r="AZ42" i="50"/>
  <c r="AS11" i="50"/>
  <c r="AP36" i="50"/>
  <c r="BA42" i="50"/>
  <c r="AX250" i="50"/>
  <c r="AQ45" i="50"/>
  <c r="BF50" i="50"/>
  <c r="AY52" i="50"/>
  <c r="AR54" i="50"/>
  <c r="BB61" i="50"/>
  <c r="BB63" i="50"/>
  <c r="BB252" i="50"/>
  <c r="BC29" i="50"/>
  <c r="AV31" i="50"/>
  <c r="BD39" i="50"/>
  <c r="AW41" i="50"/>
  <c r="AT43" i="50"/>
  <c r="BE47" i="50"/>
  <c r="BB49" i="50"/>
  <c r="AU51" i="50"/>
  <c r="BA23" i="50"/>
  <c r="AX25" i="50"/>
  <c r="AQ27" i="50"/>
  <c r="BF33" i="50"/>
  <c r="AY35" i="50"/>
  <c r="AR37" i="50"/>
  <c r="AZ44" i="50"/>
  <c r="AS251" i="50"/>
  <c r="AP47" i="50"/>
  <c r="BA53" i="50"/>
  <c r="AX55" i="50"/>
  <c r="AQ57" i="50"/>
  <c r="BD58" i="50"/>
  <c r="AY63" i="50"/>
  <c r="AS74" i="50"/>
  <c r="AS22" i="50"/>
  <c r="BA30" i="50"/>
  <c r="AS52" i="50"/>
  <c r="BC25" i="50"/>
  <c r="AV27" i="50"/>
  <c r="BD35" i="50"/>
  <c r="AT39" i="50"/>
  <c r="BE44" i="50"/>
  <c r="BB251" i="50"/>
  <c r="AU47" i="50"/>
  <c r="BC55" i="50"/>
  <c r="AV57" i="50"/>
  <c r="AV59" i="50"/>
  <c r="AV61" i="50"/>
  <c r="AZ69" i="50"/>
  <c r="BA72" i="50"/>
  <c r="AU258" i="50"/>
  <c r="BD260" i="50"/>
  <c r="BC83" i="50"/>
  <c r="AP255" i="50"/>
  <c r="AX257" i="50"/>
  <c r="AR260" i="50"/>
  <c r="AW72" i="50"/>
  <c r="AQ258" i="50"/>
  <c r="BB77" i="50"/>
  <c r="AZ80" i="50"/>
  <c r="AZ71" i="50"/>
  <c r="AU260" i="50"/>
  <c r="BD74" i="50"/>
  <c r="AX76" i="50"/>
  <c r="AV79" i="50"/>
  <c r="AS255" i="50"/>
  <c r="AR74" i="50"/>
  <c r="BB82" i="50"/>
  <c r="AQ67" i="50"/>
  <c r="AT258" i="50"/>
  <c r="BC260" i="50"/>
  <c r="AP75" i="50"/>
  <c r="BF76" i="50"/>
  <c r="BA69" i="50"/>
  <c r="BC60" i="50"/>
  <c r="AV62" i="50"/>
  <c r="BD66" i="50"/>
  <c r="AW68" i="50"/>
  <c r="AT70" i="50"/>
  <c r="BE259" i="50"/>
  <c r="BB73" i="50"/>
  <c r="AU75" i="50"/>
  <c r="BC82" i="50"/>
  <c r="BE84" i="50"/>
  <c r="BF68" i="50"/>
  <c r="AY70" i="50"/>
  <c r="AR72" i="50"/>
  <c r="AZ75" i="50"/>
  <c r="AS76" i="50"/>
  <c r="AP78" i="50"/>
  <c r="AR85" i="50"/>
  <c r="BB91" i="50"/>
  <c r="BD81" i="50"/>
  <c r="AT89" i="50"/>
  <c r="BE103" i="50"/>
  <c r="BF90" i="50"/>
  <c r="AY92" i="50"/>
  <c r="AR263" i="50"/>
  <c r="AZ100" i="50"/>
  <c r="AS102" i="50"/>
  <c r="AP104" i="50"/>
  <c r="BB107" i="50"/>
  <c r="BB109" i="50"/>
  <c r="AS124" i="50"/>
  <c r="AY270" i="50"/>
  <c r="AS118" i="50"/>
  <c r="BA85" i="50"/>
  <c r="AX87" i="50"/>
  <c r="AQ89" i="50"/>
  <c r="BF93" i="50"/>
  <c r="AY95" i="50"/>
  <c r="AR97" i="50"/>
  <c r="AZ105" i="50"/>
  <c r="AP107" i="50"/>
  <c r="AR130" i="50"/>
  <c r="AX84" i="50"/>
  <c r="AQ86" i="50"/>
  <c r="BF92" i="50"/>
  <c r="AY263" i="50"/>
  <c r="AR94" i="50"/>
  <c r="AZ102" i="50"/>
  <c r="AS104" i="50"/>
  <c r="AR106" i="50"/>
  <c r="AU112" i="50"/>
  <c r="BD114" i="50"/>
  <c r="AR265" i="50"/>
  <c r="BA245" i="50"/>
  <c r="AT119" i="50"/>
  <c r="BB124" i="50"/>
  <c r="AU126" i="50"/>
  <c r="BC134" i="50"/>
  <c r="AP141" i="50"/>
  <c r="BA147" i="50"/>
  <c r="BA112" i="50"/>
  <c r="AX114" i="50"/>
  <c r="AQ116" i="50"/>
  <c r="BF271" i="50"/>
  <c r="AY119" i="50"/>
  <c r="AR121" i="50"/>
  <c r="AZ126" i="50"/>
  <c r="AS128" i="50"/>
  <c r="AP130" i="50"/>
  <c r="BC106" i="50"/>
  <c r="AV108" i="50"/>
  <c r="AV115" i="50"/>
  <c r="BD118" i="50"/>
  <c r="AW120" i="50"/>
  <c r="AT122" i="50"/>
  <c r="BE125" i="50"/>
  <c r="BB127" i="50"/>
  <c r="AU129" i="50"/>
  <c r="BC141" i="50"/>
  <c r="AV143" i="50"/>
  <c r="BE247" i="50"/>
  <c r="BC138" i="50"/>
  <c r="AV140" i="50"/>
  <c r="AU149" i="50"/>
  <c r="AP162" i="50"/>
  <c r="AU248" i="50"/>
  <c r="BC144" i="50"/>
  <c r="AV146" i="50"/>
  <c r="AV151" i="50"/>
  <c r="AR158" i="50"/>
  <c r="AS148" i="50"/>
  <c r="AP150" i="50"/>
  <c r="AX243" i="50"/>
  <c r="AQ240" i="50"/>
  <c r="AU40" i="50"/>
  <c r="AY32" i="50"/>
  <c r="BE8" i="50"/>
  <c r="AV249" i="50"/>
  <c r="BC13" i="50"/>
  <c r="AV22" i="50"/>
  <c r="AP20" i="50"/>
  <c r="AR64" i="50"/>
  <c r="BE36" i="50"/>
  <c r="AZ31" i="50"/>
  <c r="BA41" i="50"/>
  <c r="AX43" i="50"/>
  <c r="AQ44" i="50"/>
  <c r="AY51" i="50"/>
  <c r="AX60" i="50"/>
  <c r="AX62" i="50"/>
  <c r="AX64" i="50"/>
  <c r="AW22" i="50"/>
  <c r="AZ27" i="50"/>
  <c r="AS29" i="50"/>
  <c r="BA37" i="50"/>
  <c r="AX39" i="50"/>
  <c r="AQ41" i="50"/>
  <c r="BF251" i="50"/>
  <c r="AY47" i="50"/>
  <c r="AR49" i="50"/>
  <c r="AZ252" i="50"/>
  <c r="AQ69" i="50"/>
  <c r="BD79" i="50"/>
  <c r="AS65" i="50"/>
  <c r="AW75" i="50"/>
  <c r="AQ77" i="50"/>
  <c r="AZ62" i="50"/>
  <c r="AS64" i="50"/>
  <c r="AP253" i="50"/>
  <c r="BA68" i="50"/>
  <c r="AX70" i="50"/>
  <c r="AQ72" i="50"/>
  <c r="BF73" i="50"/>
  <c r="AY75" i="50"/>
  <c r="AR76" i="50"/>
  <c r="AU253" i="50"/>
  <c r="BC70" i="50"/>
  <c r="AV72" i="50"/>
  <c r="BD75" i="50"/>
  <c r="AW76" i="50"/>
  <c r="AT78" i="50"/>
  <c r="BB83" i="50"/>
  <c r="BB89" i="50"/>
  <c r="AU84" i="50"/>
  <c r="BC92" i="50"/>
  <c r="AV263" i="50"/>
  <c r="BD100" i="50"/>
  <c r="AW102" i="50"/>
  <c r="AT104" i="50"/>
  <c r="AX116" i="50"/>
  <c r="BE85" i="50"/>
  <c r="BB87" i="50"/>
  <c r="AU89" i="50"/>
  <c r="BC95" i="50"/>
  <c r="AV97" i="50"/>
  <c r="BD105" i="50"/>
  <c r="AT121" i="50"/>
  <c r="BB84" i="50"/>
  <c r="AU86" i="50"/>
  <c r="BC263" i="50"/>
  <c r="AV94" i="50"/>
  <c r="BD102" i="50"/>
  <c r="AW104" i="50"/>
  <c r="AZ112" i="50"/>
  <c r="AX119" i="50"/>
  <c r="AQ121" i="50"/>
  <c r="BE112" i="50"/>
  <c r="BB114" i="50"/>
  <c r="AU116" i="50"/>
  <c r="BC119" i="50"/>
  <c r="AV121" i="50"/>
  <c r="BD126" i="50"/>
  <c r="AW128" i="50"/>
  <c r="AT130" i="50"/>
  <c r="AT135" i="50"/>
  <c r="AZ108" i="50"/>
  <c r="AS110" i="50"/>
  <c r="AP112" i="50"/>
  <c r="AZ115" i="50"/>
  <c r="AS267" i="50"/>
  <c r="AP269" i="50"/>
  <c r="BA120" i="50"/>
  <c r="AX122" i="50"/>
  <c r="AQ264" i="50"/>
  <c r="BF127" i="50"/>
  <c r="AY129" i="50"/>
  <c r="AR131" i="50"/>
  <c r="AR247" i="50"/>
  <c r="AZ143" i="50"/>
  <c r="AS145" i="50"/>
  <c r="AP147" i="50"/>
  <c r="AQ149" i="50"/>
  <c r="AR136" i="50"/>
  <c r="AZ140" i="50"/>
  <c r="AS142" i="50"/>
  <c r="AP144" i="50"/>
  <c r="AY248" i="50"/>
  <c r="AR138" i="50"/>
  <c r="AZ146" i="50"/>
  <c r="AW148" i="50"/>
  <c r="AZ152" i="50"/>
  <c r="AS153" i="50"/>
  <c r="AX154" i="50"/>
  <c r="AQ242" i="50"/>
  <c r="BF158" i="50"/>
  <c r="AY160" i="50"/>
  <c r="AR162" i="50"/>
  <c r="BE163" i="50"/>
  <c r="AU17" i="50"/>
  <c r="AQ17" i="50"/>
  <c r="AV23" i="50"/>
  <c r="BD27" i="50"/>
  <c r="AT31" i="50"/>
  <c r="BE37" i="50"/>
  <c r="BE59" i="50"/>
  <c r="BE61" i="50"/>
  <c r="BE63" i="50"/>
  <c r="BD62" i="50"/>
  <c r="AW64" i="50"/>
  <c r="AT253" i="50"/>
  <c r="AU72" i="50"/>
  <c r="BC75" i="50"/>
  <c r="AV76" i="50"/>
  <c r="AY253" i="50"/>
  <c r="AR255" i="50"/>
  <c r="AZ72" i="50"/>
  <c r="AS257" i="50"/>
  <c r="AP259" i="50"/>
  <c r="BA76" i="50"/>
  <c r="AX78" i="50"/>
  <c r="AY84" i="50"/>
  <c r="AR86" i="50"/>
  <c r="AZ263" i="50"/>
  <c r="AS94" i="50"/>
  <c r="AP96" i="50"/>
  <c r="BA102" i="50"/>
  <c r="AS106" i="50"/>
  <c r="AQ112" i="50"/>
  <c r="BE116" i="50"/>
  <c r="AS271" i="50"/>
  <c r="BF87" i="50"/>
  <c r="AY89" i="50"/>
  <c r="AR91" i="50"/>
  <c r="AZ97" i="50"/>
  <c r="AS99" i="50"/>
  <c r="AP101" i="50"/>
  <c r="AR113" i="50"/>
  <c r="BB121" i="50"/>
  <c r="BF126" i="50"/>
  <c r="BF84" i="50"/>
  <c r="AY86" i="50"/>
  <c r="AR88" i="50"/>
  <c r="AZ94" i="50"/>
  <c r="AS96" i="50"/>
  <c r="AP98" i="50"/>
  <c r="BA104" i="50"/>
  <c r="BA106" i="50"/>
  <c r="BA108" i="50"/>
  <c r="BB110" i="50"/>
  <c r="BE132" i="50"/>
  <c r="BB119" i="50"/>
  <c r="AU121" i="50"/>
  <c r="BF114" i="50"/>
  <c r="AY116" i="50"/>
  <c r="AR268" i="50"/>
  <c r="AZ121" i="50"/>
  <c r="AS123" i="50"/>
  <c r="AP265" i="50"/>
  <c r="BA128" i="50"/>
  <c r="AX130" i="50"/>
  <c r="AQ132" i="50"/>
  <c r="BD108" i="50"/>
  <c r="AW110" i="50"/>
  <c r="AT112" i="50"/>
  <c r="BD115" i="50"/>
  <c r="AW267" i="50"/>
  <c r="AT269" i="50"/>
  <c r="BE120" i="50"/>
  <c r="BB122" i="50"/>
  <c r="AU264" i="50"/>
  <c r="BC129" i="50"/>
  <c r="AV131" i="50"/>
  <c r="AT245" i="50"/>
  <c r="AV247" i="50"/>
  <c r="BD143" i="50"/>
  <c r="AW145" i="50"/>
  <c r="AT147" i="50"/>
  <c r="AV136" i="50"/>
  <c r="BD140" i="50"/>
  <c r="AW142" i="50"/>
  <c r="AT144" i="50"/>
  <c r="BC248" i="50"/>
  <c r="AV138" i="50"/>
  <c r="BD146" i="50"/>
  <c r="BE147" i="50"/>
  <c r="BA148" i="50"/>
  <c r="BD152" i="50"/>
  <c r="BB15" i="50"/>
  <c r="AX15" i="50"/>
  <c r="BE25" i="50"/>
  <c r="BF17" i="50"/>
  <c r="AX10" i="50"/>
  <c r="BA8" i="50"/>
  <c r="BE41" i="50"/>
  <c r="AY57" i="50"/>
  <c r="AT15" i="50"/>
  <c r="AV42" i="50"/>
  <c r="AQ30" i="50"/>
  <c r="AP27" i="50"/>
  <c r="BC24" i="50"/>
  <c r="BF21" i="50"/>
  <c r="AP15" i="50"/>
  <c r="BB8" i="50"/>
  <c r="AP51" i="50"/>
  <c r="AW35" i="50"/>
  <c r="AV13" i="50"/>
  <c r="BC11" i="50"/>
  <c r="AV8" i="50"/>
  <c r="BB20" i="50"/>
  <c r="BC54" i="50"/>
  <c r="AW28" i="50"/>
  <c r="AU19" i="50"/>
  <c r="BB17" i="50"/>
  <c r="BE15" i="50"/>
  <c r="AT10" i="50"/>
  <c r="AW8" i="50"/>
  <c r="AY54" i="50"/>
  <c r="AV16" i="50"/>
  <c r="BA61" i="50"/>
  <c r="AY39" i="50"/>
  <c r="BC20" i="50"/>
  <c r="AU13" i="50"/>
  <c r="BB11" i="50"/>
  <c r="BE9" i="50"/>
  <c r="AV26" i="50"/>
  <c r="BD15" i="50"/>
  <c r="AU23" i="50"/>
  <c r="BF12" i="50"/>
  <c r="BD16" i="50"/>
  <c r="AT13" i="50"/>
  <c r="BB36" i="50"/>
  <c r="AU38" i="50"/>
  <c r="BC45" i="50"/>
  <c r="AV46" i="50"/>
  <c r="BD54" i="50"/>
  <c r="BA33" i="50"/>
  <c r="AX35" i="50"/>
  <c r="AQ37" i="50"/>
  <c r="BF43" i="50"/>
  <c r="AY44" i="50"/>
  <c r="AR251" i="50"/>
  <c r="AZ53" i="50"/>
  <c r="AS55" i="50"/>
  <c r="AP57" i="50"/>
  <c r="BC27" i="50"/>
  <c r="AV29" i="50"/>
  <c r="BD37" i="50"/>
  <c r="AW39" i="50"/>
  <c r="AT41" i="50"/>
  <c r="BE251" i="50"/>
  <c r="BB47" i="50"/>
  <c r="AU49" i="50"/>
  <c r="BD57" i="50"/>
  <c r="BE22" i="50"/>
  <c r="AW45" i="50"/>
  <c r="BE52" i="50"/>
  <c r="AU68" i="50"/>
  <c r="AP23" i="50"/>
  <c r="BA29" i="50"/>
  <c r="AY41" i="50"/>
  <c r="AZ49" i="50"/>
  <c r="AS51" i="50"/>
  <c r="AP53" i="50"/>
  <c r="AQ62" i="50"/>
  <c r="AQ64" i="50"/>
  <c r="AQ253" i="50"/>
  <c r="BF255" i="50"/>
  <c r="AR254" i="50"/>
  <c r="AP65" i="50"/>
  <c r="AS70" i="50"/>
  <c r="AT256" i="50"/>
  <c r="BC258" i="50"/>
  <c r="AS254" i="50"/>
  <c r="AW65" i="50"/>
  <c r="AU67" i="50"/>
  <c r="BC256" i="50"/>
  <c r="AV258" i="50"/>
  <c r="BD77" i="50"/>
  <c r="AT81" i="50"/>
  <c r="AV85" i="50"/>
  <c r="AP58" i="50"/>
  <c r="BA64" i="50"/>
  <c r="AX253" i="50"/>
  <c r="AQ255" i="50"/>
  <c r="BF70" i="50"/>
  <c r="AY72" i="50"/>
  <c r="AR257" i="50"/>
  <c r="AZ76" i="50"/>
  <c r="AS78" i="50"/>
  <c r="AP80" i="50"/>
  <c r="BC253" i="50"/>
  <c r="AV255" i="50"/>
  <c r="BD72" i="50"/>
  <c r="AW257" i="50"/>
  <c r="AT259" i="50"/>
  <c r="BE76" i="50"/>
  <c r="BB78" i="50"/>
  <c r="AU80" i="50"/>
  <c r="AP86" i="50"/>
  <c r="AQ79" i="50"/>
  <c r="BC84" i="50"/>
  <c r="AV86" i="50"/>
  <c r="BD263" i="50"/>
  <c r="AW94" i="50"/>
  <c r="AT96" i="50"/>
  <c r="BE102" i="50"/>
  <c r="BB104" i="50"/>
  <c r="AX110" i="50"/>
  <c r="AV112" i="50"/>
  <c r="AZ114" i="50"/>
  <c r="AP267" i="50"/>
  <c r="AZ271" i="50"/>
  <c r="AZ92" i="50"/>
  <c r="AP94" i="50"/>
  <c r="AX102" i="50"/>
  <c r="AQ104" i="50"/>
  <c r="BC89" i="50"/>
  <c r="AV91" i="50"/>
  <c r="BD97" i="50"/>
  <c r="AW99" i="50"/>
  <c r="AT101" i="50"/>
  <c r="AP106" i="50"/>
  <c r="BD107" i="50"/>
  <c r="AT111" i="50"/>
  <c r="AZ89" i="50"/>
  <c r="AP262" i="50"/>
  <c r="AX99" i="50"/>
  <c r="AQ101" i="50"/>
  <c r="BC86" i="50"/>
  <c r="AV88" i="50"/>
  <c r="BD94" i="50"/>
  <c r="AW96" i="50"/>
  <c r="AT98" i="50"/>
  <c r="BE104" i="50"/>
  <c r="BE115" i="50"/>
  <c r="AY268" i="50"/>
  <c r="BF119" i="50"/>
  <c r="AY121" i="50"/>
  <c r="AR123" i="50"/>
  <c r="AZ128" i="50"/>
  <c r="AP132" i="50"/>
  <c r="BC116" i="50"/>
  <c r="AV268" i="50"/>
  <c r="BD121" i="50"/>
  <c r="AW123" i="50"/>
  <c r="AT265" i="50"/>
  <c r="BE128" i="50"/>
  <c r="BB130" i="50"/>
  <c r="AU132" i="50"/>
  <c r="AQ246" i="50"/>
  <c r="BA110" i="50"/>
  <c r="AX112" i="50"/>
  <c r="AQ114" i="50"/>
  <c r="AS126" i="50"/>
  <c r="BA134" i="50"/>
  <c r="BE136" i="50"/>
  <c r="AY247" i="50"/>
  <c r="BA267" i="50"/>
  <c r="AX269" i="50"/>
  <c r="AQ117" i="50"/>
  <c r="BF122" i="50"/>
  <c r="AY264" i="50"/>
  <c r="AR266" i="50"/>
  <c r="AZ131" i="50"/>
  <c r="AS133" i="50"/>
  <c r="AY245" i="50"/>
  <c r="AV248" i="50"/>
  <c r="AZ247" i="50"/>
  <c r="AS137" i="50"/>
  <c r="AP139" i="50"/>
  <c r="BA145" i="50"/>
  <c r="AX147" i="50"/>
  <c r="AZ136" i="50"/>
  <c r="AS246" i="50"/>
  <c r="AP248" i="50"/>
  <c r="BA142" i="50"/>
  <c r="AX144" i="50"/>
  <c r="AQ146" i="50"/>
  <c r="AZ138" i="50"/>
  <c r="AS140" i="50"/>
  <c r="AP142" i="50"/>
  <c r="BE148" i="50"/>
  <c r="AT149" i="50"/>
  <c r="BB242" i="50"/>
  <c r="AU156" i="50"/>
  <c r="BC162" i="50"/>
  <c r="AP148" i="50"/>
  <c r="AW27" i="50"/>
  <c r="BE26" i="50"/>
  <c r="AV252" i="50"/>
  <c r="AS25" i="50"/>
  <c r="AY22" i="50"/>
  <c r="AZ20" i="50"/>
  <c r="AY11" i="50"/>
  <c r="BA49" i="50"/>
  <c r="AZ34" i="50"/>
  <c r="BA15" i="50"/>
  <c r="AS8" i="50"/>
  <c r="AT19" i="50"/>
  <c r="AS10" i="50"/>
  <c r="BF29" i="50"/>
  <c r="BC249" i="50"/>
  <c r="BE50" i="50"/>
  <c r="BF38" i="50"/>
  <c r="AR25" i="50"/>
  <c r="AX22" i="50"/>
  <c r="AY20" i="50"/>
  <c r="BF18" i="50"/>
  <c r="AQ13" i="50"/>
  <c r="AX11" i="50"/>
  <c r="AQ21" i="50"/>
  <c r="BF63" i="50"/>
  <c r="AZ23" i="50"/>
  <c r="BE11" i="50"/>
  <c r="BF36" i="50"/>
  <c r="AY38" i="50"/>
  <c r="AR40" i="50"/>
  <c r="AZ46" i="50"/>
  <c r="AS48" i="50"/>
  <c r="AP50" i="50"/>
  <c r="BA56" i="50"/>
  <c r="BB60" i="50"/>
  <c r="BB62" i="50"/>
  <c r="BB64" i="50"/>
  <c r="BE33" i="50"/>
  <c r="BB35" i="50"/>
  <c r="AU37" i="50"/>
  <c r="AV251" i="50"/>
  <c r="BD53" i="50"/>
  <c r="AW55" i="50"/>
  <c r="AT57" i="50"/>
  <c r="BE255" i="50"/>
  <c r="AS31" i="50"/>
  <c r="BA39" i="50"/>
  <c r="AT23" i="50"/>
  <c r="BB31" i="50"/>
  <c r="AU33" i="50"/>
  <c r="BC41" i="50"/>
  <c r="AV43" i="50"/>
  <c r="BD49" i="50"/>
  <c r="AW51" i="50"/>
  <c r="AT53" i="50"/>
  <c r="AV58" i="50"/>
  <c r="AV60" i="50"/>
  <c r="AW254" i="50"/>
  <c r="BF67" i="50"/>
  <c r="AZ70" i="50"/>
  <c r="AX261" i="50"/>
  <c r="AZ254" i="50"/>
  <c r="AZ258" i="50"/>
  <c r="AP74" i="50"/>
  <c r="AX81" i="50"/>
  <c r="AQ83" i="50"/>
  <c r="AT58" i="50"/>
  <c r="BE64" i="50"/>
  <c r="BB253" i="50"/>
  <c r="AU255" i="50"/>
  <c r="BC72" i="50"/>
  <c r="AV257" i="50"/>
  <c r="BD76" i="50"/>
  <c r="AW78" i="50"/>
  <c r="AT80" i="50"/>
  <c r="AZ255" i="50"/>
  <c r="AS66" i="50"/>
  <c r="AP68" i="50"/>
  <c r="BA257" i="50"/>
  <c r="AX259" i="50"/>
  <c r="AQ73" i="50"/>
  <c r="BF78" i="50"/>
  <c r="AY80" i="50"/>
  <c r="AR82" i="50"/>
  <c r="BF83" i="50"/>
  <c r="BA89" i="50"/>
  <c r="AU79" i="50"/>
  <c r="BA84" i="50"/>
  <c r="AS87" i="50"/>
  <c r="AZ86" i="50"/>
  <c r="AS88" i="50"/>
  <c r="AP90" i="50"/>
  <c r="BA94" i="50"/>
  <c r="AX96" i="50"/>
  <c r="BF104" i="50"/>
  <c r="BB106" i="50"/>
  <c r="BB108" i="50"/>
  <c r="BC110" i="50"/>
  <c r="BE114" i="50"/>
  <c r="AQ270" i="50"/>
  <c r="BF134" i="50"/>
  <c r="BD92" i="50"/>
  <c r="AT94" i="50"/>
  <c r="BB102" i="50"/>
  <c r="AU104" i="50"/>
  <c r="AZ91" i="50"/>
  <c r="AS262" i="50"/>
  <c r="AP93" i="50"/>
  <c r="BA99" i="50"/>
  <c r="AX101" i="50"/>
  <c r="AQ103" i="50"/>
  <c r="AY109" i="50"/>
  <c r="AY111" i="50"/>
  <c r="BC113" i="50"/>
  <c r="BA132" i="50"/>
  <c r="BD89" i="50"/>
  <c r="AT262" i="50"/>
  <c r="BB99" i="50"/>
  <c r="AU101" i="50"/>
  <c r="AZ88" i="50"/>
  <c r="AS90" i="50"/>
  <c r="AP92" i="50"/>
  <c r="BA96" i="50"/>
  <c r="AX98" i="50"/>
  <c r="AQ100" i="50"/>
  <c r="AR107" i="50"/>
  <c r="AP116" i="50"/>
  <c r="BF268" i="50"/>
  <c r="AZ117" i="50"/>
  <c r="BA124" i="50"/>
  <c r="BC121" i="50"/>
  <c r="AZ268" i="50"/>
  <c r="AS270" i="50"/>
  <c r="AP271" i="50"/>
  <c r="BA123" i="50"/>
  <c r="AX265" i="50"/>
  <c r="AQ124" i="50"/>
  <c r="BF130" i="50"/>
  <c r="AY132" i="50"/>
  <c r="AR134" i="50"/>
  <c r="AS136" i="50"/>
  <c r="BE110" i="50"/>
  <c r="BB112" i="50"/>
  <c r="AU114" i="50"/>
  <c r="BE267" i="50"/>
  <c r="BB269" i="50"/>
  <c r="AU117" i="50"/>
  <c r="BC264" i="50"/>
  <c r="AV266" i="50"/>
  <c r="BD131" i="50"/>
  <c r="AW133" i="50"/>
  <c r="AV135" i="50"/>
  <c r="BE245" i="50"/>
  <c r="BD247" i="50"/>
  <c r="AW137" i="50"/>
  <c r="AT139" i="50"/>
  <c r="BE145" i="50"/>
  <c r="BB147" i="50"/>
  <c r="BD136" i="50"/>
  <c r="AW246" i="50"/>
  <c r="AT248" i="50"/>
  <c r="BE142" i="50"/>
  <c r="BB144" i="50"/>
  <c r="AU146" i="50"/>
  <c r="BD151" i="50"/>
  <c r="BD138" i="50"/>
  <c r="AW140" i="50"/>
  <c r="AT142" i="50"/>
  <c r="AT148" i="50"/>
  <c r="BC242" i="50"/>
  <c r="AV156" i="50"/>
  <c r="BD162" i="50"/>
  <c r="BB154" i="50"/>
  <c r="AU242" i="50"/>
  <c r="BC160" i="50"/>
  <c r="AV162" i="50"/>
  <c r="AR164" i="50"/>
  <c r="BD148" i="50"/>
  <c r="AW150" i="50"/>
  <c r="AT152" i="50"/>
  <c r="BE243" i="50"/>
  <c r="BB240" i="50"/>
  <c r="AU157" i="50"/>
  <c r="AP239" i="50"/>
  <c r="AT167" i="50"/>
  <c r="AT236" i="50"/>
  <c r="AZ164" i="50"/>
  <c r="AQ165" i="50"/>
  <c r="AZ239" i="50"/>
  <c r="AU168" i="50"/>
  <c r="AS171" i="50"/>
  <c r="BF164" i="50"/>
  <c r="AY238" i="50"/>
  <c r="AR166" i="50"/>
  <c r="AZ174" i="50"/>
  <c r="AS176" i="50"/>
  <c r="AX178" i="50"/>
  <c r="BB180" i="50"/>
  <c r="BF167" i="50"/>
  <c r="AY169" i="50"/>
  <c r="AR171" i="50"/>
  <c r="BC235" i="50"/>
  <c r="BF174" i="50"/>
  <c r="AY176" i="50"/>
  <c r="BC189" i="50"/>
  <c r="AQ234" i="50"/>
  <c r="AZ178" i="50"/>
  <c r="AS180" i="50"/>
  <c r="AP182" i="50"/>
  <c r="BD236" i="50"/>
  <c r="AX188" i="50"/>
  <c r="BF185" i="50"/>
  <c r="BA236" i="50"/>
  <c r="BA188" i="50"/>
  <c r="AX190" i="50"/>
  <c r="AQ192" i="50"/>
  <c r="AU215" i="50"/>
  <c r="BD189" i="50"/>
  <c r="AW191" i="50"/>
  <c r="AW232" i="50"/>
  <c r="AW234" i="50"/>
  <c r="BC194" i="50"/>
  <c r="BD201" i="50"/>
  <c r="BC196" i="50"/>
  <c r="BC198" i="50"/>
  <c r="AV207" i="50"/>
  <c r="AR194" i="50"/>
  <c r="AV199" i="50"/>
  <c r="AZ203" i="50"/>
  <c r="AZ212" i="50"/>
  <c r="AR231" i="50"/>
  <c r="AQ201" i="50"/>
  <c r="BA205" i="50"/>
  <c r="BE216" i="50"/>
  <c r="AU218" i="50"/>
  <c r="AQ199" i="50"/>
  <c r="BB204" i="50"/>
  <c r="BB206" i="50"/>
  <c r="BB208" i="50"/>
  <c r="AV220" i="50"/>
  <c r="BD205" i="50"/>
  <c r="AW207" i="50"/>
  <c r="AT209" i="50"/>
  <c r="BD231" i="50"/>
  <c r="BC222" i="50"/>
  <c r="BC224" i="50"/>
  <c r="AV215" i="50"/>
  <c r="BD222" i="50"/>
  <c r="AW224" i="50"/>
  <c r="BF154" i="50"/>
  <c r="AY242" i="50"/>
  <c r="AR156" i="50"/>
  <c r="AZ162" i="50"/>
  <c r="BA150" i="50"/>
  <c r="AX152" i="50"/>
  <c r="AQ153" i="50"/>
  <c r="BF240" i="50"/>
  <c r="AY157" i="50"/>
  <c r="AR159" i="50"/>
  <c r="BA239" i="50"/>
  <c r="AY167" i="50"/>
  <c r="BD173" i="50"/>
  <c r="AV165" i="50"/>
  <c r="BE239" i="50"/>
  <c r="BA171" i="50"/>
  <c r="AU175" i="50"/>
  <c r="AU237" i="50"/>
  <c r="BC238" i="50"/>
  <c r="AV166" i="50"/>
  <c r="BD174" i="50"/>
  <c r="AW176" i="50"/>
  <c r="BC176" i="50"/>
  <c r="BA178" i="50"/>
  <c r="AR183" i="50"/>
  <c r="AX184" i="50"/>
  <c r="BD178" i="50"/>
  <c r="AW180" i="50"/>
  <c r="AT182" i="50"/>
  <c r="AR191" i="50"/>
  <c r="BE232" i="50"/>
  <c r="BE188" i="50"/>
  <c r="BB190" i="50"/>
  <c r="AU192" i="50"/>
  <c r="AT233" i="50"/>
  <c r="BA191" i="50"/>
  <c r="AR233" i="50"/>
  <c r="BD196" i="50"/>
  <c r="AU198" i="50"/>
  <c r="BE204" i="50"/>
  <c r="AS210" i="50"/>
  <c r="AV194" i="50"/>
  <c r="BC201" i="50"/>
  <c r="BE203" i="50"/>
  <c r="AV201" i="50"/>
  <c r="BD203" i="50"/>
  <c r="AW231" i="50"/>
  <c r="AZ218" i="50"/>
  <c r="BF222" i="50"/>
  <c r="AU199" i="50"/>
  <c r="BF212" i="50"/>
  <c r="BF214" i="50"/>
  <c r="AQ216" i="50"/>
  <c r="AU223" i="50"/>
  <c r="AP201" i="50"/>
  <c r="BA207" i="50"/>
  <c r="AX209" i="50"/>
  <c r="AQ211" i="50"/>
  <c r="AY216" i="50"/>
  <c r="AP218" i="50"/>
  <c r="AZ215" i="50"/>
  <c r="AS217" i="50"/>
  <c r="AP219" i="50"/>
  <c r="BA224" i="50"/>
  <c r="BE150" i="50"/>
  <c r="BB152" i="50"/>
  <c r="AU153" i="50"/>
  <c r="BC157" i="50"/>
  <c r="AV159" i="50"/>
  <c r="AS238" i="50"/>
  <c r="AW166" i="50"/>
  <c r="AY168" i="50"/>
  <c r="BD163" i="50"/>
  <c r="BA165" i="50"/>
  <c r="BC175" i="50"/>
  <c r="AP179" i="50"/>
  <c r="AZ166" i="50"/>
  <c r="AS168" i="50"/>
  <c r="AP170" i="50"/>
  <c r="BA176" i="50"/>
  <c r="AR170" i="50"/>
  <c r="BF178" i="50"/>
  <c r="AY181" i="50"/>
  <c r="AZ183" i="50"/>
  <c r="AS186" i="50"/>
  <c r="AZ191" i="50"/>
  <c r="BA180" i="50"/>
  <c r="AX182" i="50"/>
  <c r="AQ183" i="50"/>
  <c r="AP189" i="50"/>
  <c r="AY191" i="50"/>
  <c r="BF190" i="50"/>
  <c r="AY192" i="50"/>
  <c r="BA194" i="50"/>
  <c r="BE191" i="50"/>
  <c r="BF232" i="50"/>
  <c r="BF234" i="50"/>
  <c r="AT208" i="50"/>
  <c r="AV219" i="50"/>
  <c r="BC192" i="50"/>
  <c r="AV233" i="50"/>
  <c r="AT195" i="50"/>
  <c r="AT197" i="50"/>
  <c r="AP208" i="50"/>
  <c r="AZ194" i="50"/>
  <c r="AS196" i="50"/>
  <c r="AP198" i="50"/>
  <c r="BE199" i="50"/>
  <c r="BF231" i="50"/>
  <c r="BA222" i="50"/>
  <c r="BA201" i="50"/>
  <c r="AR204" i="50"/>
  <c r="AU213" i="50"/>
  <c r="AX217" i="50"/>
  <c r="AQ223" i="50"/>
  <c r="AY199" i="50"/>
  <c r="AS201" i="50"/>
  <c r="AS203" i="50"/>
  <c r="AS205" i="50"/>
  <c r="BD218" i="50"/>
  <c r="AZ220" i="50"/>
  <c r="AZ230" i="50"/>
  <c r="AT201" i="50"/>
  <c r="BE207" i="50"/>
  <c r="BB209" i="50"/>
  <c r="AU211" i="50"/>
  <c r="AP215" i="50"/>
  <c r="AT230" i="50"/>
  <c r="AT223" i="50"/>
  <c r="BD215" i="50"/>
  <c r="AW217" i="50"/>
  <c r="AT219" i="50"/>
  <c r="BE224" i="50"/>
  <c r="AZ156" i="50"/>
  <c r="AS241" i="50"/>
  <c r="AP158" i="50"/>
  <c r="BF152" i="50"/>
  <c r="AY153" i="50"/>
  <c r="AR155" i="50"/>
  <c r="AZ159" i="50"/>
  <c r="AS161" i="50"/>
  <c r="AP163" i="50"/>
  <c r="AU171" i="50"/>
  <c r="AY165" i="50"/>
  <c r="BB239" i="50"/>
  <c r="BA167" i="50"/>
  <c r="AT181" i="50"/>
  <c r="BB166" i="50"/>
  <c r="AV191" i="50"/>
  <c r="BA179" i="50"/>
  <c r="AW169" i="50"/>
  <c r="AQ194" i="50"/>
  <c r="BD166" i="50"/>
  <c r="AW168" i="50"/>
  <c r="AT170" i="50"/>
  <c r="BE176" i="50"/>
  <c r="BD171" i="50"/>
  <c r="AV170" i="50"/>
  <c r="AT187" i="50"/>
  <c r="AR182" i="50"/>
  <c r="BE180" i="50"/>
  <c r="BB182" i="50"/>
  <c r="AU183" i="50"/>
  <c r="BC233" i="50"/>
  <c r="BF194" i="50"/>
  <c r="AQ187" i="50"/>
  <c r="AT193" i="50"/>
  <c r="AZ233" i="50"/>
  <c r="AU195" i="50"/>
  <c r="BD198" i="50"/>
  <c r="BD202" i="50"/>
  <c r="AU214" i="50"/>
  <c r="BA221" i="50"/>
  <c r="BD194" i="50"/>
  <c r="AW196" i="50"/>
  <c r="AT198" i="50"/>
  <c r="AQ202" i="50"/>
  <c r="BA206" i="50"/>
  <c r="AX211" i="50"/>
  <c r="AX213" i="50"/>
  <c r="AS219" i="50"/>
  <c r="BF221" i="50"/>
  <c r="AW223" i="50"/>
  <c r="BC199" i="50"/>
  <c r="AW209" i="50"/>
  <c r="AW211" i="50"/>
  <c r="AW213" i="50"/>
  <c r="AR219" i="50"/>
  <c r="BE222" i="50"/>
  <c r="AX201" i="50"/>
  <c r="AQ203" i="50"/>
  <c r="BF209" i="50"/>
  <c r="AY211" i="50"/>
  <c r="AR213" i="50"/>
  <c r="AY218" i="50"/>
  <c r="AY220" i="50"/>
  <c r="BA217" i="50"/>
  <c r="AX219" i="50"/>
  <c r="AQ221" i="50"/>
  <c r="BD156" i="50"/>
  <c r="AW241" i="50"/>
  <c r="AT158" i="50"/>
  <c r="BB244" i="50"/>
  <c r="AU154" i="50"/>
  <c r="BC158" i="50"/>
  <c r="AV160" i="50"/>
  <c r="BF163" i="50"/>
  <c r="BC153" i="50"/>
  <c r="AV155" i="50"/>
  <c r="BD159" i="50"/>
  <c r="AW161" i="50"/>
  <c r="AT163" i="50"/>
  <c r="BD165" i="50"/>
  <c r="BF173" i="50"/>
  <c r="AW177" i="50"/>
  <c r="BD238" i="50"/>
  <c r="AS164" i="50"/>
  <c r="AZ169" i="50"/>
  <c r="AT173" i="50"/>
  <c r="AP164" i="50"/>
  <c r="BA168" i="50"/>
  <c r="AX170" i="50"/>
  <c r="AQ172" i="50"/>
  <c r="BB181" i="50"/>
  <c r="BA173" i="50"/>
  <c r="AZ170" i="50"/>
  <c r="AS172" i="50"/>
  <c r="AP174" i="50"/>
  <c r="AP184" i="50"/>
  <c r="BF182" i="50"/>
  <c r="AY183" i="50"/>
  <c r="AR185" i="50"/>
  <c r="AP185" i="50"/>
  <c r="BE186" i="50"/>
  <c r="AY189" i="50"/>
  <c r="AR186" i="50"/>
  <c r="AU187" i="50"/>
  <c r="AW233" i="50"/>
  <c r="BD233" i="50"/>
  <c r="AZ193" i="50"/>
  <c r="AU197" i="50"/>
  <c r="BE205" i="50"/>
  <c r="BC214" i="50"/>
  <c r="BC195" i="50"/>
  <c r="BC197" i="50"/>
  <c r="BC205" i="50"/>
  <c r="BD208" i="50"/>
  <c r="AP212" i="50"/>
  <c r="BA196" i="50"/>
  <c r="AX198" i="50"/>
  <c r="AV200" i="50"/>
  <c r="AV202" i="50"/>
  <c r="BD204" i="50"/>
  <c r="BC213" i="50"/>
  <c r="AU202" i="50"/>
  <c r="BE206" i="50"/>
  <c r="AQ217" i="50"/>
  <c r="BB203" i="50"/>
  <c r="BB205" i="50"/>
  <c r="BB207" i="50"/>
  <c r="AW219" i="50"/>
  <c r="BB201" i="50"/>
  <c r="AU203" i="50"/>
  <c r="BC211" i="50"/>
  <c r="AV213" i="50"/>
  <c r="AY215" i="50"/>
  <c r="AP217" i="50"/>
  <c r="BC223" i="50"/>
  <c r="BE217" i="50"/>
  <c r="BB219" i="50"/>
  <c r="AU221" i="50"/>
  <c r="AW158" i="50"/>
  <c r="BF148" i="50"/>
  <c r="AY150" i="50"/>
  <c r="AR152" i="50"/>
  <c r="AZ240" i="50"/>
  <c r="AS157" i="50"/>
  <c r="AP159" i="50"/>
  <c r="BF239" i="50"/>
  <c r="AP154" i="50"/>
  <c r="BA241" i="50"/>
  <c r="AX158" i="50"/>
  <c r="AQ160" i="50"/>
  <c r="BE165" i="50"/>
  <c r="BF244" i="50"/>
  <c r="AY154" i="50"/>
  <c r="AR242" i="50"/>
  <c r="AZ160" i="50"/>
  <c r="AS162" i="50"/>
  <c r="AR148" i="50"/>
  <c r="AZ155" i="50"/>
  <c r="AS243" i="50"/>
  <c r="AP240" i="50"/>
  <c r="BA161" i="50"/>
  <c r="AX163" i="50"/>
  <c r="AZ168" i="50"/>
  <c r="AS167" i="50"/>
  <c r="BB173" i="50"/>
  <c r="AT165" i="50"/>
  <c r="BB171" i="50"/>
  <c r="AU173" i="50"/>
  <c r="AT164" i="50"/>
  <c r="BE168" i="50"/>
  <c r="BB170" i="50"/>
  <c r="AU172" i="50"/>
  <c r="BE173" i="50"/>
  <c r="BD170" i="50"/>
  <c r="AW172" i="50"/>
  <c r="AT174" i="50"/>
  <c r="AS183" i="50"/>
  <c r="AR192" i="50"/>
  <c r="AZ232" i="50"/>
  <c r="BC182" i="50"/>
  <c r="BA183" i="50"/>
  <c r="AW237" i="50"/>
  <c r="AV184" i="50"/>
  <c r="BE235" i="50"/>
  <c r="BF188" i="50"/>
  <c r="BC183" i="50"/>
  <c r="AV185" i="50"/>
  <c r="AT185" i="50"/>
  <c r="AP187" i="50"/>
  <c r="BF189" i="50"/>
  <c r="AZ192" i="50"/>
  <c r="BE234" i="50"/>
  <c r="AV186" i="50"/>
  <c r="AT232" i="50"/>
  <c r="AT234" i="50"/>
  <c r="AU216" i="50"/>
  <c r="BA195" i="50"/>
  <c r="BF236" i="50"/>
  <c r="AY187" i="50"/>
  <c r="AR189" i="50"/>
  <c r="BE193" i="50"/>
  <c r="BA219" i="50"/>
  <c r="BE196" i="50"/>
  <c r="BB198" i="50"/>
  <c r="BA202" i="50"/>
  <c r="AT214" i="50"/>
  <c r="BF215" i="50"/>
  <c r="AZ202" i="50"/>
  <c r="BE215" i="50"/>
  <c r="AV217" i="50"/>
  <c r="BD219" i="50"/>
  <c r="AW230" i="50"/>
  <c r="BF211" i="50"/>
  <c r="BF213" i="50"/>
  <c r="AU217" i="50"/>
  <c r="BE221" i="50"/>
  <c r="AU222" i="50"/>
  <c r="AU224" i="50"/>
  <c r="BF201" i="50"/>
  <c r="AY203" i="50"/>
  <c r="AR205" i="50"/>
  <c r="AZ213" i="50"/>
  <c r="AP231" i="50"/>
  <c r="BF219" i="50"/>
  <c r="AY221" i="50"/>
  <c r="AR222" i="50"/>
  <c r="BC150" i="50"/>
  <c r="AV152" i="50"/>
  <c r="AW157" i="50"/>
  <c r="AT154" i="50"/>
  <c r="BE241" i="50"/>
  <c r="BB158" i="50"/>
  <c r="AU160" i="50"/>
  <c r="AW162" i="50"/>
  <c r="AT166" i="50"/>
  <c r="AV148" i="50"/>
  <c r="BD155" i="50"/>
  <c r="AW243" i="50"/>
  <c r="AT240" i="50"/>
  <c r="BE161" i="50"/>
  <c r="BB163" i="50"/>
  <c r="AQ164" i="50"/>
  <c r="AW171" i="50"/>
  <c r="AS166" i="50"/>
  <c r="AX167" i="50"/>
  <c r="AR177" i="50"/>
  <c r="AQ179" i="50"/>
  <c r="AP181" i="50"/>
  <c r="BE237" i="50"/>
  <c r="BE192" i="50"/>
  <c r="AX164" i="50"/>
  <c r="AQ238" i="50"/>
  <c r="BF170" i="50"/>
  <c r="AY172" i="50"/>
  <c r="AR174" i="50"/>
  <c r="AQ180" i="50"/>
  <c r="AQ169" i="50"/>
  <c r="BA172" i="50"/>
  <c r="AX174" i="50"/>
  <c r="AQ176" i="50"/>
  <c r="AT180" i="50"/>
  <c r="BA235" i="50"/>
  <c r="AT189" i="50"/>
  <c r="BC237" i="50"/>
  <c r="BB184" i="50"/>
  <c r="AP236" i="50"/>
  <c r="AP233" i="50"/>
  <c r="AR178" i="50"/>
  <c r="AZ185" i="50"/>
  <c r="AS236" i="50"/>
  <c r="BF187" i="50"/>
  <c r="BD192" i="50"/>
  <c r="AX185" i="50"/>
  <c r="AQ236" i="50"/>
  <c r="AW187" i="50"/>
  <c r="AQ190" i="50"/>
  <c r="AZ186" i="50"/>
  <c r="AS188" i="50"/>
  <c r="AP190" i="50"/>
  <c r="AW198" i="50"/>
  <c r="BC187" i="50"/>
  <c r="AV189" i="50"/>
  <c r="BF192" i="50"/>
  <c r="BF233" i="50"/>
  <c r="AS194" i="50"/>
  <c r="BB222" i="50"/>
  <c r="BD197" i="50"/>
  <c r="AS209" i="50"/>
  <c r="BB231" i="50"/>
  <c r="AT196" i="50"/>
  <c r="BC206" i="50"/>
  <c r="BD209" i="50"/>
  <c r="BF198" i="50"/>
  <c r="BE200" i="50"/>
  <c r="AS216" i="50"/>
  <c r="BE202" i="50"/>
  <c r="BF218" i="50"/>
  <c r="AR220" i="50"/>
  <c r="AZ224" i="50"/>
  <c r="AS202" i="50"/>
  <c r="AS204" i="50"/>
  <c r="AS206" i="50"/>
  <c r="AZ217" i="50"/>
  <c r="AV230" i="50"/>
  <c r="AZ221" i="50"/>
  <c r="BC203" i="50"/>
  <c r="AV205" i="50"/>
  <c r="BD213" i="50"/>
  <c r="AY217" i="50"/>
  <c r="AT221" i="50"/>
  <c r="AT222" i="50"/>
  <c r="AT224" i="50"/>
  <c r="BC221" i="50"/>
  <c r="AV222" i="50"/>
  <c r="AZ148" i="50"/>
  <c r="AS150" i="50"/>
  <c r="AP152" i="50"/>
  <c r="BA243" i="50"/>
  <c r="AX240" i="50"/>
  <c r="AQ157" i="50"/>
  <c r="AT239" i="50"/>
  <c r="BC167" i="50"/>
  <c r="BB177" i="50"/>
  <c r="AV182" i="50"/>
  <c r="AU238" i="50"/>
  <c r="BC172" i="50"/>
  <c r="AV174" i="50"/>
  <c r="AS178" i="50"/>
  <c r="AY182" i="50"/>
  <c r="AW185" i="50"/>
  <c r="AU169" i="50"/>
  <c r="BE172" i="50"/>
  <c r="BB174" i="50"/>
  <c r="AU176" i="50"/>
  <c r="AP178" i="50"/>
  <c r="AY180" i="50"/>
  <c r="AU235" i="50"/>
  <c r="BD183" i="50"/>
  <c r="AV178" i="50"/>
  <c r="BD185" i="50"/>
  <c r="AX236" i="50"/>
  <c r="AX193" i="50"/>
  <c r="BB185" i="50"/>
  <c r="AV236" i="50"/>
  <c r="BD186" i="50"/>
  <c r="AW188" i="50"/>
  <c r="AT190" i="50"/>
  <c r="BC234" i="50"/>
  <c r="AZ189" i="50"/>
  <c r="AS191" i="50"/>
  <c r="AX194" i="50"/>
  <c r="AU194" i="50"/>
  <c r="AU196" i="50"/>
  <c r="AS223" i="50"/>
  <c r="BD200" i="50"/>
  <c r="AP207" i="50"/>
  <c r="AQ210" i="50"/>
  <c r="AR201" i="50"/>
  <c r="AT212" i="50"/>
  <c r="BB224" i="50"/>
  <c r="AX216" i="50"/>
  <c r="AS230" i="50"/>
  <c r="AX212" i="50"/>
  <c r="AX214" i="50"/>
  <c r="AW220" i="50"/>
  <c r="BF224" i="50"/>
  <c r="AW210" i="50"/>
  <c r="AW212" i="50"/>
  <c r="AW214" i="50"/>
  <c r="AQ220" i="50"/>
  <c r="AR224" i="50"/>
  <c r="BD224" i="50"/>
  <c r="AZ205" i="50"/>
  <c r="AS207" i="50"/>
  <c r="AP209" i="50"/>
  <c r="AP216" i="50"/>
  <c r="AY219" i="50"/>
  <c r="AR215" i="50"/>
  <c r="AZ222" i="50"/>
  <c r="AS224" i="50"/>
  <c r="L68" i="48" l="1"/>
  <c r="D27" i="60"/>
  <c r="D30" i="60"/>
  <c r="D29" i="60"/>
  <c r="C36" i="60"/>
  <c r="D28" i="60"/>
  <c r="N241" i="84"/>
  <c r="P241" i="84"/>
  <c r="O241" i="84"/>
  <c r="Q241" i="84"/>
  <c r="L20" i="63"/>
  <c r="L19" i="63" s="1"/>
  <c r="D154" i="48"/>
  <c r="G154" i="48" s="1"/>
  <c r="D152" i="48"/>
  <c r="G152" i="48" s="1"/>
  <c r="D153" i="48"/>
  <c r="G153" i="48" s="1"/>
  <c r="D151" i="48"/>
  <c r="G151" i="48" s="1"/>
  <c r="D148" i="48"/>
  <c r="G148" i="48" s="1"/>
  <c r="D149" i="48"/>
  <c r="G149" i="48" s="1"/>
  <c r="D150" i="48"/>
  <c r="G150" i="48" s="1"/>
  <c r="D98" i="48"/>
  <c r="G98" i="48" s="1"/>
  <c r="D99" i="48"/>
  <c r="G99" i="48" s="1"/>
  <c r="D100" i="48"/>
  <c r="G100" i="48" s="1"/>
  <c r="D101" i="48"/>
  <c r="G101" i="48" s="1"/>
  <c r="D102" i="48"/>
  <c r="G102" i="48" s="1"/>
  <c r="D103" i="48"/>
  <c r="G103" i="48" s="1"/>
  <c r="D104" i="48"/>
  <c r="G104" i="48" s="1"/>
  <c r="D105" i="48"/>
  <c r="G105" i="48" s="1"/>
  <c r="D106" i="48"/>
  <c r="G106" i="48" s="1"/>
  <c r="D107" i="48"/>
  <c r="G107" i="48" s="1"/>
  <c r="D108" i="48"/>
  <c r="G108" i="48" s="1"/>
  <c r="D113" i="48"/>
  <c r="G113" i="48" s="1"/>
  <c r="D114" i="48"/>
  <c r="G114" i="48" s="1"/>
  <c r="D115" i="48"/>
  <c r="G115" i="48" s="1"/>
  <c r="D116" i="48"/>
  <c r="G116" i="48" s="1"/>
  <c r="D117" i="48"/>
  <c r="G117" i="48" s="1"/>
  <c r="D118" i="48"/>
  <c r="G118" i="48" s="1"/>
  <c r="D119" i="48"/>
  <c r="G119" i="48" s="1"/>
  <c r="D121" i="48"/>
  <c r="G121" i="48" s="1"/>
  <c r="D122" i="48"/>
  <c r="G122" i="48" s="1"/>
  <c r="D125" i="48"/>
  <c r="G125" i="48" s="1"/>
  <c r="D126" i="48"/>
  <c r="G126" i="48" s="1"/>
  <c r="D127" i="48"/>
  <c r="G127" i="48" s="1"/>
  <c r="D130" i="48"/>
  <c r="G130" i="48" s="1"/>
  <c r="D131" i="48"/>
  <c r="G131" i="48" s="1"/>
  <c r="D132" i="48"/>
  <c r="G132" i="48" s="1"/>
  <c r="D133" i="48"/>
  <c r="G133" i="48" s="1"/>
  <c r="D134" i="48"/>
  <c r="G134" i="48" s="1"/>
  <c r="D135" i="48"/>
  <c r="G135" i="48" s="1"/>
  <c r="D136" i="48"/>
  <c r="G136" i="48" s="1"/>
  <c r="D137" i="48"/>
  <c r="G137" i="48" s="1"/>
  <c r="D138" i="48"/>
  <c r="G138" i="48" s="1"/>
  <c r="D139" i="48"/>
  <c r="G139" i="48" s="1"/>
  <c r="D140" i="48"/>
  <c r="G140" i="48" s="1"/>
  <c r="D141" i="48"/>
  <c r="G141" i="48" s="1"/>
  <c r="D142" i="48"/>
  <c r="G142" i="48" s="1"/>
  <c r="D143" i="48"/>
  <c r="G143" i="48" s="1"/>
  <c r="D144" i="48"/>
  <c r="G144" i="48" s="1"/>
  <c r="D145" i="48"/>
  <c r="G145" i="48" s="1"/>
  <c r="D146" i="48"/>
  <c r="G146" i="48" s="1"/>
  <c r="D147" i="48"/>
  <c r="G147" i="48" s="1"/>
  <c r="D97" i="48"/>
  <c r="G97" i="48" s="1"/>
  <c r="C64" i="35"/>
  <c r="C65" i="35"/>
  <c r="C66" i="35"/>
  <c r="C57" i="35"/>
  <c r="C58" i="35"/>
  <c r="C59" i="35"/>
  <c r="C60" i="35"/>
  <c r="C61" i="35"/>
  <c r="C62" i="35"/>
  <c r="C63" i="35"/>
  <c r="D70" i="46"/>
  <c r="D66" i="46"/>
  <c r="D67" i="46"/>
  <c r="B2" i="76" l="1"/>
  <c r="E41" i="60"/>
  <c r="C40" i="60"/>
  <c r="M68" i="48"/>
  <c r="B30" i="48"/>
  <c r="C51" i="63"/>
  <c r="D8" i="62" s="1"/>
  <c r="J21" i="63"/>
  <c r="C50" i="63"/>
  <c r="D7" i="62" s="1"/>
  <c r="C49" i="63"/>
  <c r="C61" i="46"/>
  <c r="D61" i="46"/>
  <c r="C65" i="46"/>
  <c r="D65" i="46"/>
  <c r="C63" i="46"/>
  <c r="D63" i="46"/>
  <c r="C69" i="46"/>
  <c r="D69" i="46"/>
  <c r="C64" i="46"/>
  <c r="D64" i="46"/>
  <c r="C62" i="46"/>
  <c r="D62" i="46"/>
  <c r="C68" i="46"/>
  <c r="D68" i="46"/>
  <c r="C66" i="46"/>
  <c r="C67" i="46"/>
  <c r="C70" i="46"/>
  <c r="D60" i="46"/>
  <c r="D59" i="46"/>
  <c r="D58" i="46"/>
  <c r="D57" i="46"/>
  <c r="D56" i="46"/>
  <c r="D55" i="46"/>
  <c r="D54" i="46"/>
  <c r="D53" i="46"/>
  <c r="D52" i="46"/>
  <c r="D51" i="46"/>
  <c r="C50" i="46"/>
  <c r="D49" i="46"/>
  <c r="D48" i="46"/>
  <c r="D47" i="46"/>
  <c r="D46" i="46"/>
  <c r="D45" i="46"/>
  <c r="D44" i="46"/>
  <c r="D43" i="46"/>
  <c r="D42" i="46"/>
  <c r="D41" i="46"/>
  <c r="B40" i="46"/>
  <c r="D40" i="46" s="1"/>
  <c r="B38" i="46"/>
  <c r="B37" i="46"/>
  <c r="B36" i="46"/>
  <c r="B35" i="46"/>
  <c r="B33" i="46"/>
  <c r="B31" i="46"/>
  <c r="B30" i="46"/>
  <c r="B29" i="46"/>
  <c r="B28" i="46"/>
  <c r="B27" i="46"/>
  <c r="B26" i="46"/>
  <c r="B25" i="46"/>
  <c r="B24" i="46"/>
  <c r="B23" i="46"/>
  <c r="B22" i="46"/>
  <c r="B21" i="46"/>
  <c r="B20" i="46"/>
  <c r="B19" i="46"/>
  <c r="B18" i="46"/>
  <c r="M18" i="46" s="1"/>
  <c r="C56" i="35"/>
  <c r="C37" i="35"/>
  <c r="C38" i="35"/>
  <c r="C39" i="35"/>
  <c r="C41" i="35"/>
  <c r="C42" i="35"/>
  <c r="C43" i="35"/>
  <c r="C44" i="35"/>
  <c r="C45" i="35"/>
  <c r="C46" i="35"/>
  <c r="C47" i="35"/>
  <c r="C48" i="35"/>
  <c r="C49" i="35"/>
  <c r="C50" i="35"/>
  <c r="C51" i="35"/>
  <c r="C52" i="35"/>
  <c r="C53" i="35"/>
  <c r="C54" i="35"/>
  <c r="C55" i="35"/>
  <c r="C36" i="35"/>
  <c r="D2" i="76" l="1"/>
  <c r="C2" i="76"/>
  <c r="F2" i="76"/>
  <c r="Q2" i="76" s="1"/>
  <c r="H2" i="76"/>
  <c r="R2" i="76" s="1"/>
  <c r="S2" i="76"/>
  <c r="A3" i="76"/>
  <c r="I18" i="48"/>
  <c r="D6" i="62"/>
  <c r="D28" i="48"/>
  <c r="N68" i="48"/>
  <c r="J28" i="48"/>
  <c r="D14" i="47"/>
  <c r="B28" i="48"/>
  <c r="H28" i="48"/>
  <c r="D50" i="46"/>
  <c r="D85" i="46"/>
  <c r="M85" i="46"/>
  <c r="D96" i="46"/>
  <c r="M96" i="46"/>
  <c r="D110" i="46"/>
  <c r="M110" i="46"/>
  <c r="D21" i="46"/>
  <c r="M21" i="46"/>
  <c r="D29" i="46"/>
  <c r="M29" i="46"/>
  <c r="D75" i="46"/>
  <c r="M75" i="46"/>
  <c r="D86" i="46"/>
  <c r="M86" i="46"/>
  <c r="D97" i="46"/>
  <c r="M97" i="46"/>
  <c r="D111" i="46"/>
  <c r="M111" i="46"/>
  <c r="D100" i="46"/>
  <c r="M100" i="46"/>
  <c r="D22" i="46"/>
  <c r="M22" i="46"/>
  <c r="D23" i="46"/>
  <c r="M23" i="46"/>
  <c r="D77" i="46"/>
  <c r="M77" i="46"/>
  <c r="D24" i="46"/>
  <c r="M24" i="46"/>
  <c r="D33" i="46"/>
  <c r="M33" i="46"/>
  <c r="D79" i="46"/>
  <c r="M79" i="46"/>
  <c r="D90" i="46"/>
  <c r="M90" i="46"/>
  <c r="D101" i="46"/>
  <c r="M101" i="46"/>
  <c r="D20" i="46"/>
  <c r="M20" i="46"/>
  <c r="D38" i="46"/>
  <c r="M38" i="46"/>
  <c r="D74" i="46"/>
  <c r="M74" i="46"/>
  <c r="D30" i="46"/>
  <c r="M30" i="46"/>
  <c r="D89" i="46"/>
  <c r="M89" i="46"/>
  <c r="D25" i="46"/>
  <c r="M25" i="46"/>
  <c r="D35" i="46"/>
  <c r="M35" i="46"/>
  <c r="D82" i="46"/>
  <c r="M82" i="46"/>
  <c r="D91" i="46"/>
  <c r="M91" i="46"/>
  <c r="D102" i="46"/>
  <c r="M102" i="46"/>
  <c r="D28" i="46"/>
  <c r="M28" i="46"/>
  <c r="D76" i="46"/>
  <c r="M76" i="46"/>
  <c r="D87" i="46"/>
  <c r="M87" i="46"/>
  <c r="D98" i="46"/>
  <c r="M98" i="46"/>
  <c r="D18" i="46"/>
  <c r="D26" i="46"/>
  <c r="M26" i="46"/>
  <c r="D36" i="46"/>
  <c r="M36" i="46"/>
  <c r="D83" i="46"/>
  <c r="M83" i="46"/>
  <c r="D94" i="46"/>
  <c r="M94" i="46"/>
  <c r="D108" i="46"/>
  <c r="M108" i="46"/>
  <c r="D31" i="46"/>
  <c r="M31" i="46"/>
  <c r="D19" i="46"/>
  <c r="M19" i="46"/>
  <c r="D27" i="46"/>
  <c r="M27" i="46"/>
  <c r="D37" i="46"/>
  <c r="M37" i="46"/>
  <c r="D73" i="46"/>
  <c r="M73" i="46"/>
  <c r="D84" i="46"/>
  <c r="M84" i="46"/>
  <c r="D95" i="46"/>
  <c r="M95" i="46"/>
  <c r="D109" i="46"/>
  <c r="M109" i="46"/>
  <c r="C41" i="46"/>
  <c r="C49" i="46"/>
  <c r="C55" i="46"/>
  <c r="C42" i="46"/>
  <c r="C56" i="46"/>
  <c r="C57" i="46"/>
  <c r="C44" i="46"/>
  <c r="C58" i="46"/>
  <c r="C45" i="46"/>
  <c r="C51" i="46"/>
  <c r="C59" i="46"/>
  <c r="C46" i="46"/>
  <c r="C52" i="46"/>
  <c r="C60" i="46"/>
  <c r="C47" i="46"/>
  <c r="C53" i="46"/>
  <c r="C40" i="46"/>
  <c r="C48" i="46"/>
  <c r="C54" i="46"/>
  <c r="C50" i="60" l="1"/>
  <c r="E2" i="77"/>
  <c r="T2" i="76"/>
  <c r="G2" i="76"/>
  <c r="E2" i="76"/>
  <c r="I2" i="76"/>
  <c r="P2" i="76"/>
  <c r="U2" i="76"/>
  <c r="A4" i="76"/>
  <c r="B3" i="76"/>
  <c r="C3" i="76" s="1"/>
  <c r="T3" i="76" s="1"/>
  <c r="D17" i="47"/>
  <c r="D15" i="47"/>
  <c r="C53" i="63" s="1"/>
  <c r="O68" i="48"/>
  <c r="K3" i="76"/>
  <c r="N3" i="76"/>
  <c r="J3" i="76"/>
  <c r="M3" i="76"/>
  <c r="L3" i="76"/>
  <c r="O3" i="76"/>
  <c r="K23" i="35"/>
  <c r="C23" i="35"/>
  <c r="C27" i="46"/>
  <c r="E98" i="35"/>
  <c r="C102" i="35"/>
  <c r="C101" i="35"/>
  <c r="C100" i="35"/>
  <c r="E94" i="35"/>
  <c r="E93" i="35"/>
  <c r="E92" i="35"/>
  <c r="E91" i="35"/>
  <c r="E90" i="35"/>
  <c r="D90" i="35"/>
  <c r="A5" i="76" l="1"/>
  <c r="B4" i="76"/>
  <c r="D4" i="76" s="1"/>
  <c r="V2" i="76"/>
  <c r="D16" i="47"/>
  <c r="P68" i="48"/>
  <c r="D9" i="62"/>
  <c r="K4" i="76"/>
  <c r="O4" i="76"/>
  <c r="N4" i="76"/>
  <c r="J4" i="76"/>
  <c r="E3" i="76"/>
  <c r="S3" i="76"/>
  <c r="F3" i="76"/>
  <c r="Q3" i="76" s="1"/>
  <c r="D3" i="76"/>
  <c r="P3" i="76" s="1"/>
  <c r="I3" i="76"/>
  <c r="H3" i="76"/>
  <c r="R3" i="76" s="1"/>
  <c r="G3" i="76"/>
  <c r="K21" i="35"/>
  <c r="C21" i="35"/>
  <c r="K86" i="35"/>
  <c r="C86" i="35"/>
  <c r="K14" i="35"/>
  <c r="C14" i="35"/>
  <c r="K78" i="35"/>
  <c r="C78" i="35"/>
  <c r="K79" i="35"/>
  <c r="C79" i="35"/>
  <c r="K90" i="35"/>
  <c r="C90" i="35"/>
  <c r="K94" i="35"/>
  <c r="C94" i="35"/>
  <c r="K103" i="35"/>
  <c r="C103" i="35"/>
  <c r="K32" i="35"/>
  <c r="C32" i="35"/>
  <c r="K93" i="35"/>
  <c r="C93" i="35"/>
  <c r="K87" i="35"/>
  <c r="C87" i="35"/>
  <c r="K15" i="35"/>
  <c r="C15" i="35"/>
  <c r="K25" i="35"/>
  <c r="C25" i="35"/>
  <c r="K69" i="35"/>
  <c r="C69" i="35"/>
  <c r="K80" i="35"/>
  <c r="C80" i="35"/>
  <c r="K24" i="35"/>
  <c r="C24" i="35"/>
  <c r="K16" i="35"/>
  <c r="C16" i="35"/>
  <c r="K18" i="35"/>
  <c r="C18" i="35"/>
  <c r="K26" i="35"/>
  <c r="C26" i="35"/>
  <c r="K70" i="35"/>
  <c r="C70" i="35"/>
  <c r="K81" i="35"/>
  <c r="C81" i="35"/>
  <c r="K96" i="35"/>
  <c r="C96" i="35"/>
  <c r="K34" i="35"/>
  <c r="C34" i="35"/>
  <c r="K27" i="35"/>
  <c r="C27" i="35"/>
  <c r="K19" i="35"/>
  <c r="C19" i="35"/>
  <c r="K33" i="35"/>
  <c r="C33" i="35"/>
  <c r="K71" i="35"/>
  <c r="C71" i="35"/>
  <c r="K85" i="35"/>
  <c r="C85" i="35"/>
  <c r="K97" i="35"/>
  <c r="C97" i="35"/>
  <c r="K75" i="35"/>
  <c r="C75" i="35"/>
  <c r="K20" i="35"/>
  <c r="C20" i="35"/>
  <c r="K72" i="35"/>
  <c r="C72" i="35"/>
  <c r="K82" i="35"/>
  <c r="C82" i="35"/>
  <c r="K91" i="35"/>
  <c r="C91" i="35"/>
  <c r="K98" i="35"/>
  <c r="C98" i="35"/>
  <c r="K22" i="35"/>
  <c r="C22" i="35"/>
  <c r="K31" i="35"/>
  <c r="C31" i="35"/>
  <c r="K17" i="35"/>
  <c r="C17" i="35"/>
  <c r="K29" i="35"/>
  <c r="C29" i="35"/>
  <c r="K73" i="35"/>
  <c r="C73" i="35"/>
  <c r="K83" i="35"/>
  <c r="C83" i="35"/>
  <c r="K92" i="35"/>
  <c r="C92" i="35"/>
  <c r="K102" i="35"/>
  <c r="K100" i="35"/>
  <c r="K101" i="35"/>
  <c r="C89" i="46"/>
  <c r="C101" i="46"/>
  <c r="C86" i="46"/>
  <c r="C102" i="46"/>
  <c r="C37" i="46"/>
  <c r="C33" i="46"/>
  <c r="C108" i="46"/>
  <c r="C35" i="46"/>
  <c r="C21" i="46"/>
  <c r="C36" i="46"/>
  <c r="C79" i="46"/>
  <c r="C90" i="46"/>
  <c r="C97" i="46"/>
  <c r="C109" i="46"/>
  <c r="C75" i="46"/>
  <c r="C96" i="46"/>
  <c r="C18" i="46"/>
  <c r="C38" i="46"/>
  <c r="C82" i="46"/>
  <c r="C91" i="46"/>
  <c r="C110" i="46"/>
  <c r="C23" i="46"/>
  <c r="C24" i="46"/>
  <c r="C77" i="46"/>
  <c r="C19" i="46"/>
  <c r="C31" i="46"/>
  <c r="C83" i="46"/>
  <c r="C94" i="46"/>
  <c r="C98" i="46"/>
  <c r="C111" i="46"/>
  <c r="C95" i="46"/>
  <c r="C25" i="46"/>
  <c r="C28" i="46"/>
  <c r="C20" i="46"/>
  <c r="C29" i="46"/>
  <c r="C73" i="46"/>
  <c r="C84" i="46"/>
  <c r="C76" i="46"/>
  <c r="C87" i="46"/>
  <c r="C26" i="46"/>
  <c r="C22" i="46"/>
  <c r="C30" i="46"/>
  <c r="C74" i="46"/>
  <c r="C85" i="46"/>
  <c r="C100" i="46"/>
  <c r="F75" i="35"/>
  <c r="C4" i="76" l="1"/>
  <c r="G4" i="76" s="1"/>
  <c r="M5" i="76" s="1"/>
  <c r="H4" i="76"/>
  <c r="R4" i="76" s="1"/>
  <c r="S4" i="76"/>
  <c r="F4" i="76"/>
  <c r="L5" i="76" s="1"/>
  <c r="A6" i="76"/>
  <c r="B5" i="76"/>
  <c r="F5" i="76" s="1"/>
  <c r="Q68" i="48"/>
  <c r="M4" i="76"/>
  <c r="K5" i="76"/>
  <c r="O5" i="76"/>
  <c r="L4" i="76"/>
  <c r="J5" i="76"/>
  <c r="V3" i="76"/>
  <c r="U3" i="76"/>
  <c r="N5" i="76"/>
  <c r="F30" i="46"/>
  <c r="E29" i="46"/>
  <c r="E31" i="46"/>
  <c r="P4" i="76"/>
  <c r="F100" i="46"/>
  <c r="G30" i="46"/>
  <c r="H29" i="46"/>
  <c r="G29" i="46"/>
  <c r="H25" i="46"/>
  <c r="E18" i="46"/>
  <c r="F101" i="46"/>
  <c r="G18" i="46"/>
  <c r="H31" i="46"/>
  <c r="H18" i="46"/>
  <c r="F94" i="46"/>
  <c r="G25" i="46"/>
  <c r="G31" i="46"/>
  <c r="F102" i="46"/>
  <c r="H26" i="46"/>
  <c r="G26" i="46"/>
  <c r="E77" i="46"/>
  <c r="E27" i="35"/>
  <c r="G34" i="35"/>
  <c r="E34" i="35"/>
  <c r="E102" i="35" s="1"/>
  <c r="G32" i="35"/>
  <c r="E32" i="35"/>
  <c r="E100" i="35" s="1"/>
  <c r="D32" i="35"/>
  <c r="D29" i="35"/>
  <c r="G31" i="35"/>
  <c r="E31" i="35"/>
  <c r="E101" i="35" s="1"/>
  <c r="D31" i="35"/>
  <c r="G33" i="35"/>
  <c r="E33" i="35"/>
  <c r="E103" i="35" s="1"/>
  <c r="D33" i="35"/>
  <c r="G26" i="35"/>
  <c r="D26" i="35"/>
  <c r="E14" i="35"/>
  <c r="E22" i="35"/>
  <c r="E21" i="35"/>
  <c r="D22" i="35"/>
  <c r="D21" i="35"/>
  <c r="E25" i="35"/>
  <c r="U4" i="76" l="1"/>
  <c r="Q4" i="76"/>
  <c r="T4" i="76"/>
  <c r="C5" i="76"/>
  <c r="I5" i="76" s="1"/>
  <c r="E4" i="76"/>
  <c r="I4" i="76"/>
  <c r="O6" i="76" s="1"/>
  <c r="H5" i="76"/>
  <c r="R5" i="76" s="1"/>
  <c r="D5" i="76"/>
  <c r="P5" i="76" s="1"/>
  <c r="S5" i="76"/>
  <c r="A7" i="76"/>
  <c r="B6" i="76"/>
  <c r="C6" i="76" s="1"/>
  <c r="R68" i="48"/>
  <c r="K6" i="76"/>
  <c r="J6" i="76"/>
  <c r="N6" i="76"/>
  <c r="L6" i="76"/>
  <c r="Q5" i="76"/>
  <c r="E5" i="76" l="1"/>
  <c r="K7" i="76" s="1"/>
  <c r="V4" i="76"/>
  <c r="G5" i="76"/>
  <c r="T5" i="76"/>
  <c r="U5" i="76"/>
  <c r="A8" i="76"/>
  <c r="B7" i="76"/>
  <c r="C7" i="76" s="1"/>
  <c r="S68" i="48"/>
  <c r="T68" i="48" s="1"/>
  <c r="D6" i="76"/>
  <c r="P6" i="76" s="1"/>
  <c r="H6" i="76"/>
  <c r="R6" i="76" s="1"/>
  <c r="F6" i="76"/>
  <c r="L7" i="76" s="1"/>
  <c r="E6" i="76"/>
  <c r="I6" i="76"/>
  <c r="T6" i="76"/>
  <c r="G6" i="76"/>
  <c r="M7" i="76" s="1"/>
  <c r="N7" i="76"/>
  <c r="S6" i="76"/>
  <c r="J7" i="76"/>
  <c r="O7" i="76"/>
  <c r="V5" i="76" l="1"/>
  <c r="M6" i="76"/>
  <c r="A9" i="76"/>
  <c r="B8" i="76"/>
  <c r="S8" i="76" s="1"/>
  <c r="Q6" i="76"/>
  <c r="U6" i="76"/>
  <c r="V6" i="76"/>
  <c r="J8" i="76"/>
  <c r="N8" i="76"/>
  <c r="O8" i="76"/>
  <c r="K8" i="76"/>
  <c r="H7" i="76"/>
  <c r="R7" i="76" s="1"/>
  <c r="S7" i="76"/>
  <c r="F7" i="76"/>
  <c r="Q7" i="76" s="1"/>
  <c r="D7" i="76"/>
  <c r="U68" i="48"/>
  <c r="G7" i="76"/>
  <c r="I7" i="76"/>
  <c r="E7" i="76"/>
  <c r="T7" i="76"/>
  <c r="B28" i="70"/>
  <c r="A10" i="76" l="1"/>
  <c r="B9" i="76"/>
  <c r="D9" i="76" s="1"/>
  <c r="M8" i="76"/>
  <c r="O9" i="76"/>
  <c r="L8" i="76"/>
  <c r="H8" i="76"/>
  <c r="R8" i="76" s="1"/>
  <c r="U7" i="76"/>
  <c r="D8" i="76"/>
  <c r="P8" i="76" s="1"/>
  <c r="F8" i="76"/>
  <c r="L9" i="76" s="1"/>
  <c r="C8" i="76"/>
  <c r="I8" i="76" s="1"/>
  <c r="P7" i="76"/>
  <c r="J9" i="76"/>
  <c r="N9" i="76"/>
  <c r="V68" i="48"/>
  <c r="V7" i="76"/>
  <c r="K9" i="76"/>
  <c r="F9" i="76" l="1"/>
  <c r="Q9" i="76" s="1"/>
  <c r="S9" i="76"/>
  <c r="C9" i="76"/>
  <c r="E9" i="76" s="1"/>
  <c r="H9" i="76"/>
  <c r="R9" i="76" s="1"/>
  <c r="A11" i="76"/>
  <c r="B10" i="76"/>
  <c r="C10" i="76" s="1"/>
  <c r="N10" i="76"/>
  <c r="O10" i="76"/>
  <c r="J10" i="76"/>
  <c r="U8" i="76"/>
  <c r="E8" i="76"/>
  <c r="K10" i="76" s="1"/>
  <c r="Q8" i="76"/>
  <c r="T8" i="76"/>
  <c r="G8" i="76"/>
  <c r="M9" i="76" s="1"/>
  <c r="W68" i="48"/>
  <c r="P9" i="76"/>
  <c r="I9" i="76" l="1"/>
  <c r="T9" i="76"/>
  <c r="U9" i="76"/>
  <c r="L10" i="76"/>
  <c r="A12" i="76"/>
  <c r="B11" i="76"/>
  <c r="C11" i="76" s="1"/>
  <c r="G11" i="76" s="1"/>
  <c r="G9" i="76"/>
  <c r="M10" i="76" s="1"/>
  <c r="J11" i="76"/>
  <c r="O11" i="76"/>
  <c r="N11" i="76"/>
  <c r="K11" i="76"/>
  <c r="S10" i="76"/>
  <c r="F10" i="76"/>
  <c r="L11" i="76" s="1"/>
  <c r="D10" i="76"/>
  <c r="P10" i="76" s="1"/>
  <c r="H10" i="76"/>
  <c r="R10" i="76" s="1"/>
  <c r="V8" i="76"/>
  <c r="X68" i="48"/>
  <c r="G10" i="76"/>
  <c r="M11" i="76" s="1"/>
  <c r="T10" i="76"/>
  <c r="I10" i="76"/>
  <c r="E10" i="76"/>
  <c r="V9" i="76" l="1"/>
  <c r="D11" i="76"/>
  <c r="P11" i="76" s="1"/>
  <c r="H11" i="76"/>
  <c r="R11" i="76" s="1"/>
  <c r="S11" i="76"/>
  <c r="F11" i="76"/>
  <c r="L12" i="76" s="1"/>
  <c r="A13" i="76"/>
  <c r="B12" i="76"/>
  <c r="H12" i="76" s="1"/>
  <c r="K12" i="76"/>
  <c r="M12" i="76"/>
  <c r="J12" i="76"/>
  <c r="O12" i="76"/>
  <c r="N12" i="76"/>
  <c r="U10" i="76"/>
  <c r="I11" i="76"/>
  <c r="E11" i="76"/>
  <c r="T11" i="76"/>
  <c r="Q10" i="76"/>
  <c r="Y68" i="48"/>
  <c r="V10" i="76"/>
  <c r="Q11" i="76" l="1"/>
  <c r="U11" i="76"/>
  <c r="F12" i="76"/>
  <c r="Q12" i="76" s="1"/>
  <c r="D12" i="76"/>
  <c r="P12" i="76" s="1"/>
  <c r="A14" i="76"/>
  <c r="B13" i="76"/>
  <c r="C13" i="76" s="1"/>
  <c r="S12" i="76"/>
  <c r="C12" i="76"/>
  <c r="G12" i="76" s="1"/>
  <c r="M13" i="76" s="1"/>
  <c r="J13" i="76"/>
  <c r="K13" i="76"/>
  <c r="N13" i="76"/>
  <c r="O13" i="76"/>
  <c r="R12" i="76"/>
  <c r="V11" i="76"/>
  <c r="Z68" i="48"/>
  <c r="U12" i="76" l="1"/>
  <c r="L13" i="76"/>
  <c r="T12" i="76"/>
  <c r="E12" i="76"/>
  <c r="I12" i="76"/>
  <c r="O14" i="76" s="1"/>
  <c r="S13" i="76"/>
  <c r="H13" i="76"/>
  <c r="R13" i="76" s="1"/>
  <c r="A15" i="76"/>
  <c r="B14" i="76"/>
  <c r="H14" i="76" s="1"/>
  <c r="D13" i="76"/>
  <c r="F13" i="76"/>
  <c r="L14" i="76" s="1"/>
  <c r="K14" i="76"/>
  <c r="J14" i="76"/>
  <c r="N14" i="76"/>
  <c r="AA68" i="48"/>
  <c r="T13" i="76"/>
  <c r="G13" i="76"/>
  <c r="M14" i="76" s="1"/>
  <c r="E13" i="76"/>
  <c r="I13" i="76"/>
  <c r="D33" i="47"/>
  <c r="D31" i="47"/>
  <c r="U13" i="76" l="1"/>
  <c r="V12" i="76"/>
  <c r="S14" i="76"/>
  <c r="F14" i="76"/>
  <c r="L15" i="76" s="1"/>
  <c r="D14" i="76"/>
  <c r="P14" i="76" s="1"/>
  <c r="P13" i="76"/>
  <c r="C14" i="76"/>
  <c r="E14" i="76" s="1"/>
  <c r="A16" i="76"/>
  <c r="B15" i="76"/>
  <c r="S15" i="76" s="1"/>
  <c r="Q13" i="76"/>
  <c r="K15" i="76"/>
  <c r="O15" i="76"/>
  <c r="J15" i="76"/>
  <c r="R14" i="76"/>
  <c r="N15" i="76"/>
  <c r="AB68" i="48"/>
  <c r="Q14" i="76"/>
  <c r="V13" i="76"/>
  <c r="U14" i="76" l="1"/>
  <c r="G14" i="76"/>
  <c r="M15" i="76" s="1"/>
  <c r="T14" i="76"/>
  <c r="I14" i="76"/>
  <c r="A17" i="76"/>
  <c r="B16" i="76"/>
  <c r="H16" i="76" s="1"/>
  <c r="C15" i="76"/>
  <c r="E15" i="76" s="1"/>
  <c r="F15" i="76"/>
  <c r="Q15" i="76" s="1"/>
  <c r="D15" i="76"/>
  <c r="P15" i="76" s="1"/>
  <c r="H15" i="76"/>
  <c r="R15" i="76" s="1"/>
  <c r="K16" i="76"/>
  <c r="N16" i="76"/>
  <c r="J16" i="76"/>
  <c r="AC68" i="48"/>
  <c r="D32" i="47"/>
  <c r="V14" i="76" l="1"/>
  <c r="O16" i="76"/>
  <c r="L16" i="76"/>
  <c r="T15" i="76"/>
  <c r="U15" i="76"/>
  <c r="G15" i="76"/>
  <c r="M16" i="76" s="1"/>
  <c r="I15" i="76"/>
  <c r="O17" i="76" s="1"/>
  <c r="C16" i="76"/>
  <c r="E16" i="76" s="1"/>
  <c r="D16" i="76"/>
  <c r="P16" i="76" s="1"/>
  <c r="F16" i="76"/>
  <c r="S16" i="76"/>
  <c r="A18" i="76"/>
  <c r="B17" i="76"/>
  <c r="F17" i="76" s="1"/>
  <c r="J17" i="76"/>
  <c r="N17" i="76"/>
  <c r="R16" i="76"/>
  <c r="AD68" i="48"/>
  <c r="K17" i="76"/>
  <c r="V15" i="76" l="1"/>
  <c r="I16" i="76"/>
  <c r="O18" i="76" s="1"/>
  <c r="U16" i="76"/>
  <c r="T16" i="76"/>
  <c r="L17" i="76"/>
  <c r="Q17" i="76" s="1"/>
  <c r="Q16" i="76"/>
  <c r="G16" i="76"/>
  <c r="M17" i="76" s="1"/>
  <c r="D17" i="76"/>
  <c r="P17" i="76" s="1"/>
  <c r="A19" i="76"/>
  <c r="B18" i="76"/>
  <c r="H18" i="76" s="1"/>
  <c r="H17" i="76"/>
  <c r="R17" i="76" s="1"/>
  <c r="C17" i="76"/>
  <c r="G17" i="76" s="1"/>
  <c r="M18" i="76" s="1"/>
  <c r="S17" i="76"/>
  <c r="J18" i="76"/>
  <c r="K18" i="76"/>
  <c r="N18" i="76"/>
  <c r="AE68" i="48"/>
  <c r="L18" i="76"/>
  <c r="I17" i="76" l="1"/>
  <c r="V16" i="76"/>
  <c r="D18" i="76"/>
  <c r="P18" i="76" s="1"/>
  <c r="C18" i="76"/>
  <c r="T18" i="76" s="1"/>
  <c r="E17" i="76"/>
  <c r="T17" i="76"/>
  <c r="F18" i="76"/>
  <c r="Q18" i="76" s="1"/>
  <c r="U17" i="76"/>
  <c r="A20" i="76"/>
  <c r="B19" i="76"/>
  <c r="C19" i="76" s="1"/>
  <c r="S18" i="76"/>
  <c r="O19" i="76"/>
  <c r="K19" i="76"/>
  <c r="N19" i="76"/>
  <c r="J19" i="76"/>
  <c r="R18" i="76"/>
  <c r="AF68" i="48"/>
  <c r="E18" i="76" l="1"/>
  <c r="I18" i="76"/>
  <c r="G18" i="76"/>
  <c r="M19" i="76" s="1"/>
  <c r="V17" i="76"/>
  <c r="L19" i="76"/>
  <c r="U18" i="76"/>
  <c r="H19" i="76"/>
  <c r="R19" i="76" s="1"/>
  <c r="D19" i="76"/>
  <c r="P19" i="76" s="1"/>
  <c r="S19" i="76"/>
  <c r="F19" i="76"/>
  <c r="A21" i="76"/>
  <c r="B20" i="76"/>
  <c r="F20" i="76" s="1"/>
  <c r="K20" i="76"/>
  <c r="J20" i="76"/>
  <c r="O20" i="76"/>
  <c r="N20" i="76"/>
  <c r="AG68" i="48"/>
  <c r="L20" i="76"/>
  <c r="G19" i="76"/>
  <c r="M20" i="76" s="1"/>
  <c r="T19" i="76"/>
  <c r="I19" i="76"/>
  <c r="E19" i="76"/>
  <c r="V18" i="76" l="1"/>
  <c r="Q19" i="76"/>
  <c r="H20" i="76"/>
  <c r="R20" i="76" s="1"/>
  <c r="S20" i="76"/>
  <c r="A22" i="76"/>
  <c r="B21" i="76"/>
  <c r="C21" i="76" s="1"/>
  <c r="D20" i="76"/>
  <c r="P20" i="76" s="1"/>
  <c r="C20" i="76"/>
  <c r="G20" i="76" s="1"/>
  <c r="M21" i="76" s="1"/>
  <c r="U19" i="76"/>
  <c r="J21" i="76"/>
  <c r="K21" i="76"/>
  <c r="O21" i="76"/>
  <c r="N21" i="76"/>
  <c r="AG86" i="48"/>
  <c r="AG89" i="48"/>
  <c r="AG91" i="48"/>
  <c r="AG85" i="48"/>
  <c r="AG88" i="48"/>
  <c r="AG79" i="48"/>
  <c r="AG76" i="48"/>
  <c r="AG78" i="48"/>
  <c r="AG75" i="48"/>
  <c r="AG77" i="48"/>
  <c r="AG74" i="48"/>
  <c r="AG80" i="48"/>
  <c r="AH68" i="48"/>
  <c r="Q20" i="76"/>
  <c r="L21" i="76"/>
  <c r="V19" i="76"/>
  <c r="U20" i="76" l="1"/>
  <c r="S21" i="76"/>
  <c r="F21" i="76"/>
  <c r="L22" i="76" s="1"/>
  <c r="D21" i="76"/>
  <c r="P21" i="76" s="1"/>
  <c r="H21" i="76"/>
  <c r="R21" i="76" s="1"/>
  <c r="A23" i="76"/>
  <c r="B22" i="76"/>
  <c r="T20" i="76"/>
  <c r="E20" i="76"/>
  <c r="I20" i="76"/>
  <c r="J22" i="76"/>
  <c r="O22" i="76"/>
  <c r="N22" i="76"/>
  <c r="AG90" i="48"/>
  <c r="AG87" i="48"/>
  <c r="AH88" i="48"/>
  <c r="AH89" i="48"/>
  <c r="AH86" i="48"/>
  <c r="AH85" i="48"/>
  <c r="AH91" i="48"/>
  <c r="AH74" i="48"/>
  <c r="AH79" i="48"/>
  <c r="AH76" i="48"/>
  <c r="AH78" i="48"/>
  <c r="AI68" i="48"/>
  <c r="AH77" i="48"/>
  <c r="AH80" i="48"/>
  <c r="AH75" i="48"/>
  <c r="I21" i="76"/>
  <c r="T21" i="76"/>
  <c r="E21" i="76"/>
  <c r="G21" i="76"/>
  <c r="M22" i="76" s="1"/>
  <c r="Q21" i="76" l="1"/>
  <c r="V20" i="76"/>
  <c r="K22" i="76"/>
  <c r="U21" i="76"/>
  <c r="A24" i="76"/>
  <c r="B23" i="76"/>
  <c r="AH87" i="48"/>
  <c r="AH90" i="48"/>
  <c r="AI85" i="48"/>
  <c r="AI91" i="48"/>
  <c r="AI88" i="48"/>
  <c r="AI89" i="48"/>
  <c r="AI86" i="48"/>
  <c r="AJ68" i="48"/>
  <c r="AI77" i="48"/>
  <c r="AI74" i="48"/>
  <c r="AI79" i="48"/>
  <c r="AI76" i="48"/>
  <c r="AI80" i="48"/>
  <c r="AI75" i="48"/>
  <c r="AI78" i="48"/>
  <c r="V21" i="76"/>
  <c r="A25" i="76" l="1"/>
  <c r="B24" i="76"/>
  <c r="AI90" i="48"/>
  <c r="AI87" i="48"/>
  <c r="AJ86" i="48"/>
  <c r="AJ88" i="48"/>
  <c r="AJ91" i="48"/>
  <c r="AJ85" i="48"/>
  <c r="AJ89" i="48"/>
  <c r="AJ80" i="48"/>
  <c r="AK68" i="48"/>
  <c r="AJ77" i="48"/>
  <c r="AJ76" i="48"/>
  <c r="AJ74" i="48"/>
  <c r="AJ79" i="48"/>
  <c r="AJ75" i="48"/>
  <c r="AJ78" i="48"/>
  <c r="A26" i="76" l="1"/>
  <c r="B25" i="76"/>
  <c r="AJ87" i="48"/>
  <c r="AJ90" i="48"/>
  <c r="AK86" i="48"/>
  <c r="AK88" i="48"/>
  <c r="AK89" i="48"/>
  <c r="AK85" i="48"/>
  <c r="AK91" i="48"/>
  <c r="AK75" i="48"/>
  <c r="AK80" i="48"/>
  <c r="AK79" i="48"/>
  <c r="AL68" i="48"/>
  <c r="AK77" i="48"/>
  <c r="AK74" i="48"/>
  <c r="AK78" i="48"/>
  <c r="AK76" i="48"/>
  <c r="A27" i="76" l="1"/>
  <c r="B26" i="76"/>
  <c r="AK87" i="48"/>
  <c r="AK90" i="48"/>
  <c r="AL85" i="48"/>
  <c r="AL91" i="48"/>
  <c r="AL86" i="48"/>
  <c r="AL89" i="48"/>
  <c r="AL88" i="48"/>
  <c r="AL78" i="48"/>
  <c r="AL75" i="48"/>
  <c r="AL74" i="48"/>
  <c r="AL80" i="48"/>
  <c r="AM68" i="48"/>
  <c r="AL77" i="48"/>
  <c r="AL76" i="48"/>
  <c r="AL79" i="48"/>
  <c r="A28" i="76" l="1"/>
  <c r="B27" i="76"/>
  <c r="AL87" i="48"/>
  <c r="AL90" i="48"/>
  <c r="AM85" i="48"/>
  <c r="AM91" i="48"/>
  <c r="AM88" i="48"/>
  <c r="AM89" i="48"/>
  <c r="AM86" i="48"/>
  <c r="AM78" i="48"/>
  <c r="AM77" i="48"/>
  <c r="AM75" i="48"/>
  <c r="AM80" i="48"/>
  <c r="AN68" i="48"/>
  <c r="AM74" i="48"/>
  <c r="AM76" i="48"/>
  <c r="AM79" i="48"/>
  <c r="A29" i="76" l="1"/>
  <c r="B28" i="76"/>
  <c r="AM90" i="48"/>
  <c r="AM87" i="48"/>
  <c r="AN89" i="48"/>
  <c r="AN85" i="48"/>
  <c r="AN91" i="48"/>
  <c r="AN86" i="48"/>
  <c r="AN88" i="48"/>
  <c r="AN76" i="48"/>
  <c r="AN75" i="48"/>
  <c r="AN80" i="48"/>
  <c r="AN78" i="48"/>
  <c r="AN79" i="48"/>
  <c r="AN77" i="48"/>
  <c r="AO68" i="48"/>
  <c r="AN74" i="48"/>
  <c r="A30" i="76" l="1"/>
  <c r="B29" i="76"/>
  <c r="AN87" i="48"/>
  <c r="AN90" i="48"/>
  <c r="AO89" i="48"/>
  <c r="AO91" i="48"/>
  <c r="AO86" i="48"/>
  <c r="AO88" i="48"/>
  <c r="AO85" i="48"/>
  <c r="AO79" i="48"/>
  <c r="AO76" i="48"/>
  <c r="AO75" i="48"/>
  <c r="AO78" i="48"/>
  <c r="AO80" i="48"/>
  <c r="AO77" i="48"/>
  <c r="AP68" i="48"/>
  <c r="AO74" i="48"/>
  <c r="A31" i="76" l="1"/>
  <c r="B30" i="76"/>
  <c r="AO90" i="48"/>
  <c r="AO87" i="48"/>
  <c r="AP88" i="48"/>
  <c r="AP89" i="48"/>
  <c r="AP85" i="48"/>
  <c r="AP91" i="48"/>
  <c r="AP86" i="48"/>
  <c r="AP74" i="48"/>
  <c r="AP79" i="48"/>
  <c r="AP78" i="48"/>
  <c r="AP76" i="48"/>
  <c r="AQ68" i="48"/>
  <c r="AP75" i="48"/>
  <c r="AP77" i="48"/>
  <c r="AP80" i="48"/>
  <c r="A32" i="76" l="1"/>
  <c r="B31" i="76"/>
  <c r="AP90" i="48"/>
  <c r="AP87" i="48"/>
  <c r="AQ89" i="48"/>
  <c r="AQ85" i="48"/>
  <c r="AQ86" i="48"/>
  <c r="AQ88" i="48"/>
  <c r="AQ91" i="48"/>
  <c r="AR68" i="48"/>
  <c r="AQ77" i="48"/>
  <c r="AQ74" i="48"/>
  <c r="AQ76" i="48"/>
  <c r="AQ79" i="48"/>
  <c r="AQ80" i="48"/>
  <c r="AQ78" i="48"/>
  <c r="AQ75" i="48"/>
  <c r="A33" i="76" l="1"/>
  <c r="B32" i="76"/>
  <c r="AQ87" i="48"/>
  <c r="AQ90" i="48"/>
  <c r="AR86" i="48"/>
  <c r="AR91" i="48"/>
  <c r="AR88" i="48"/>
  <c r="AR89" i="48"/>
  <c r="AR85" i="48"/>
  <c r="AR80" i="48"/>
  <c r="AR79" i="48"/>
  <c r="AS68" i="48"/>
  <c r="AR77" i="48"/>
  <c r="AR74" i="48"/>
  <c r="AR76" i="48"/>
  <c r="AR78" i="48"/>
  <c r="AR75" i="48"/>
  <c r="A34" i="76" l="1"/>
  <c r="B33" i="76"/>
  <c r="AR87" i="48"/>
  <c r="AR90" i="48"/>
  <c r="AS86" i="48"/>
  <c r="AS88" i="48"/>
  <c r="AS89" i="48"/>
  <c r="AS85" i="48"/>
  <c r="AS91" i="48"/>
  <c r="AS75" i="48"/>
  <c r="AS80" i="48"/>
  <c r="AS74" i="48"/>
  <c r="AT68" i="48"/>
  <c r="AS77" i="48"/>
  <c r="AS79" i="48"/>
  <c r="AS78" i="48"/>
  <c r="AS76" i="48"/>
  <c r="A35" i="76" l="1"/>
  <c r="B34" i="76"/>
  <c r="AS87" i="48"/>
  <c r="AS90" i="48"/>
  <c r="AT85" i="48"/>
  <c r="AT91" i="48"/>
  <c r="AT89" i="48"/>
  <c r="AT86" i="48"/>
  <c r="AT88" i="48"/>
  <c r="AT78" i="48"/>
  <c r="AT74" i="48"/>
  <c r="AT75" i="48"/>
  <c r="AT77" i="48"/>
  <c r="AT80" i="48"/>
  <c r="AU68" i="48"/>
  <c r="AT76" i="48"/>
  <c r="AT79" i="48"/>
  <c r="A36" i="76" l="1"/>
  <c r="B35" i="76"/>
  <c r="AT90" i="48"/>
  <c r="AT87" i="48"/>
  <c r="AU85" i="48"/>
  <c r="AU91" i="48"/>
  <c r="AU86" i="48"/>
  <c r="AU88" i="48"/>
  <c r="AU89" i="48"/>
  <c r="AU80" i="48"/>
  <c r="AU77" i="48"/>
  <c r="AU78" i="48"/>
  <c r="AU75" i="48"/>
  <c r="AV68" i="48"/>
  <c r="AU76" i="48"/>
  <c r="AU74" i="48"/>
  <c r="AU79" i="48"/>
  <c r="A37" i="76" l="1"/>
  <c r="B36" i="76"/>
  <c r="AU87" i="48"/>
  <c r="AU90" i="48"/>
  <c r="AV89" i="48"/>
  <c r="AV88" i="48"/>
  <c r="AV85" i="48"/>
  <c r="AV91" i="48"/>
  <c r="AV86" i="48"/>
  <c r="AV76" i="48"/>
  <c r="AV80" i="48"/>
  <c r="AV78" i="48"/>
  <c r="AV75" i="48"/>
  <c r="AV77" i="48"/>
  <c r="AV79" i="48"/>
  <c r="AW68" i="48"/>
  <c r="AV74" i="48"/>
  <c r="A38" i="76" l="1"/>
  <c r="B37" i="76"/>
  <c r="AV90" i="48"/>
  <c r="AV87" i="48"/>
  <c r="AW91" i="48"/>
  <c r="AW88" i="48"/>
  <c r="AW89" i="48"/>
  <c r="AW86" i="48"/>
  <c r="AW85" i="48"/>
  <c r="AW79" i="48"/>
  <c r="AW78" i="48"/>
  <c r="AW75" i="48"/>
  <c r="AW76" i="48"/>
  <c r="AW80" i="48"/>
  <c r="AW77" i="48"/>
  <c r="AX68" i="48"/>
  <c r="AW74" i="48"/>
  <c r="A39" i="76" l="1"/>
  <c r="B38" i="76"/>
  <c r="AW87" i="48"/>
  <c r="AW90" i="48"/>
  <c r="AX88" i="48"/>
  <c r="AX86" i="48"/>
  <c r="AX89" i="48"/>
  <c r="AX85" i="48"/>
  <c r="AX91" i="48"/>
  <c r="AX74" i="48"/>
  <c r="AX78" i="48"/>
  <c r="AX79" i="48"/>
  <c r="AX76" i="48"/>
  <c r="AX75" i="48"/>
  <c r="AY68" i="48"/>
  <c r="AX77" i="48"/>
  <c r="AX80" i="48"/>
  <c r="A40" i="76" l="1"/>
  <c r="B39" i="76"/>
  <c r="AX90" i="48"/>
  <c r="AX87" i="48"/>
  <c r="AY88" i="48"/>
  <c r="AY91" i="48"/>
  <c r="AY89" i="48"/>
  <c r="AY85" i="48"/>
  <c r="AY86" i="48"/>
  <c r="AZ68" i="48"/>
  <c r="AY77" i="48"/>
  <c r="AY76" i="48"/>
  <c r="AY74" i="48"/>
  <c r="AY79" i="48"/>
  <c r="AY75" i="48"/>
  <c r="AY80" i="48"/>
  <c r="AY78" i="48"/>
  <c r="D17" i="62"/>
  <c r="D39" i="47"/>
  <c r="D53" i="47"/>
  <c r="D24" i="47"/>
  <c r="D26" i="47"/>
  <c r="D23" i="47"/>
  <c r="D40" i="47"/>
  <c r="D44" i="47" s="1"/>
  <c r="D17" i="66" s="1"/>
  <c r="D47" i="47"/>
  <c r="D22" i="47"/>
  <c r="D18" i="62"/>
  <c r="D25" i="47"/>
  <c r="D38" i="47"/>
  <c r="D13" i="66" l="1"/>
  <c r="A41" i="76"/>
  <c r="B40" i="76"/>
  <c r="AY87" i="48"/>
  <c r="AY90" i="48"/>
  <c r="AZ86" i="48"/>
  <c r="AZ88" i="48"/>
  <c r="AZ85" i="48"/>
  <c r="AZ91" i="48"/>
  <c r="AZ89" i="48"/>
  <c r="AZ80" i="48"/>
  <c r="AZ76" i="48"/>
  <c r="BA68" i="48"/>
  <c r="AZ77" i="48"/>
  <c r="AZ79" i="48"/>
  <c r="AZ74" i="48"/>
  <c r="AZ78" i="48"/>
  <c r="AZ75" i="48"/>
  <c r="D27" i="47"/>
  <c r="D28" i="47"/>
  <c r="D35" i="47" s="1"/>
  <c r="D52" i="47"/>
  <c r="D43" i="47"/>
  <c r="D22" i="66" s="1"/>
  <c r="D41" i="47"/>
  <c r="D14" i="66"/>
  <c r="D48" i="47"/>
  <c r="D19" i="62"/>
  <c r="D51" i="47"/>
  <c r="D16" i="66" l="1"/>
  <c r="D34" i="47"/>
  <c r="D12" i="66"/>
  <c r="A42" i="76"/>
  <c r="B41" i="76"/>
  <c r="D57" i="47"/>
  <c r="D62" i="47" s="1"/>
  <c r="D63" i="47" s="1"/>
  <c r="AZ87" i="48"/>
  <c r="AZ90" i="48"/>
  <c r="BA88" i="48"/>
  <c r="BA86" i="48"/>
  <c r="BA91" i="48"/>
  <c r="BA89" i="48"/>
  <c r="BA85" i="48"/>
  <c r="BA75" i="48"/>
  <c r="BA74" i="48"/>
  <c r="BA79" i="48"/>
  <c r="BA80" i="48"/>
  <c r="BB68" i="48"/>
  <c r="BA77" i="48"/>
  <c r="BA78" i="48"/>
  <c r="BA76" i="48"/>
  <c r="D25" i="62"/>
  <c r="D22" i="62"/>
  <c r="D21" i="62"/>
  <c r="D23" i="62"/>
  <c r="D24" i="62"/>
  <c r="D56" i="47"/>
  <c r="D61" i="47" s="1"/>
  <c r="D15" i="66" l="1"/>
  <c r="D21" i="66"/>
  <c r="D20" i="66"/>
  <c r="D19" i="66"/>
  <c r="D18" i="66"/>
  <c r="A43" i="76"/>
  <c r="B42" i="76"/>
  <c r="D58" i="47"/>
  <c r="BA87" i="48"/>
  <c r="BA90" i="48"/>
  <c r="BB85" i="48"/>
  <c r="BB91" i="48"/>
  <c r="BB89" i="48"/>
  <c r="BB86" i="48"/>
  <c r="BB88" i="48"/>
  <c r="BB78" i="48"/>
  <c r="BC68" i="48"/>
  <c r="BB77" i="48"/>
  <c r="BB75" i="48"/>
  <c r="BB80" i="48"/>
  <c r="BB74" i="48"/>
  <c r="BB79" i="48"/>
  <c r="BB76" i="48"/>
  <c r="D31" i="62"/>
  <c r="A44" i="76" l="1"/>
  <c r="B43" i="76"/>
  <c r="D60" i="47"/>
  <c r="D25" i="66"/>
  <c r="BB87" i="48"/>
  <c r="BB90" i="48"/>
  <c r="BC86" i="48"/>
  <c r="BC85" i="48"/>
  <c r="BC91" i="48"/>
  <c r="BC88" i="48"/>
  <c r="BC89" i="48"/>
  <c r="BC78" i="48"/>
  <c r="BC80" i="48"/>
  <c r="BC75" i="48"/>
  <c r="BD68" i="48"/>
  <c r="BC77" i="48"/>
  <c r="BC74" i="48"/>
  <c r="BC79" i="48"/>
  <c r="BC76" i="48"/>
  <c r="D27" i="62"/>
  <c r="D28" i="62" s="1"/>
  <c r="D32" i="62"/>
  <c r="D33" i="62"/>
  <c r="C22" i="76"/>
  <c r="S22" i="76"/>
  <c r="D22" i="76"/>
  <c r="F22" i="76"/>
  <c r="Q22" i="76" s="1"/>
  <c r="H22" i="76"/>
  <c r="R22" i="76" s="1"/>
  <c r="D26" i="66" l="1"/>
  <c r="D27" i="66"/>
  <c r="A45" i="76"/>
  <c r="B44" i="76"/>
  <c r="D35" i="62"/>
  <c r="D31" i="66"/>
  <c r="BC87" i="48"/>
  <c r="BC90" i="48"/>
  <c r="BD89" i="48"/>
  <c r="BD85" i="48"/>
  <c r="BD91" i="48"/>
  <c r="BD88" i="48"/>
  <c r="BD86" i="48"/>
  <c r="BD76" i="48"/>
  <c r="BD75" i="48"/>
  <c r="BD78" i="48"/>
  <c r="BD80" i="48"/>
  <c r="BD74" i="48"/>
  <c r="BD79" i="48"/>
  <c r="BD77" i="48"/>
  <c r="O23" i="76"/>
  <c r="K23" i="76"/>
  <c r="J23" i="76"/>
  <c r="N23" i="76"/>
  <c r="L23" i="76"/>
  <c r="I22" i="76"/>
  <c r="T22" i="76"/>
  <c r="E22" i="76"/>
  <c r="G22" i="76"/>
  <c r="M23" i="76" s="1"/>
  <c r="U22" i="76"/>
  <c r="P22" i="76"/>
  <c r="A46" i="76" l="1"/>
  <c r="B45" i="76"/>
  <c r="D36" i="62"/>
  <c r="D37" i="62"/>
  <c r="BD90" i="48"/>
  <c r="BD87" i="48"/>
  <c r="N24" i="76"/>
  <c r="O24" i="76"/>
  <c r="J24" i="76"/>
  <c r="K24" i="76"/>
  <c r="C24" i="76"/>
  <c r="H23" i="76"/>
  <c r="R23" i="76" s="1"/>
  <c r="S23" i="76"/>
  <c r="C23" i="76"/>
  <c r="D23" i="76"/>
  <c r="F23" i="76"/>
  <c r="Q23" i="76" s="1"/>
  <c r="V22" i="76"/>
  <c r="D32" i="66" l="1"/>
  <c r="D33" i="66"/>
  <c r="A47" i="76"/>
  <c r="B46" i="76"/>
  <c r="L24" i="76"/>
  <c r="T23" i="76"/>
  <c r="E23" i="76"/>
  <c r="K25" i="76" s="1"/>
  <c r="I23" i="76"/>
  <c r="O25" i="76" s="1"/>
  <c r="G23" i="76"/>
  <c r="M24" i="76" s="1"/>
  <c r="E24" i="76"/>
  <c r="T24" i="76"/>
  <c r="I24" i="76"/>
  <c r="G24" i="76"/>
  <c r="M25" i="76" s="1"/>
  <c r="C25" i="76"/>
  <c r="N25" i="76"/>
  <c r="J25" i="76"/>
  <c r="P23" i="76"/>
  <c r="U23" i="76"/>
  <c r="D24" i="76"/>
  <c r="H24" i="76"/>
  <c r="R24" i="76" s="1"/>
  <c r="S24" i="76"/>
  <c r="F24" i="76"/>
  <c r="A48" i="76" l="1"/>
  <c r="B47" i="76"/>
  <c r="Q24" i="76"/>
  <c r="L25" i="76"/>
  <c r="V23" i="76"/>
  <c r="T25" i="76"/>
  <c r="I25" i="76"/>
  <c r="E25" i="76"/>
  <c r="G25" i="76"/>
  <c r="M26" i="76" s="1"/>
  <c r="C26" i="76"/>
  <c r="J26" i="76"/>
  <c r="O26" i="76"/>
  <c r="K26" i="76"/>
  <c r="N26" i="76"/>
  <c r="V24" i="76"/>
  <c r="P24" i="76"/>
  <c r="U24" i="76"/>
  <c r="D25" i="76"/>
  <c r="S25" i="76"/>
  <c r="H25" i="76"/>
  <c r="R25" i="76" s="1"/>
  <c r="F25" i="76"/>
  <c r="A49" i="76" l="1"/>
  <c r="B48" i="76"/>
  <c r="Q25" i="76"/>
  <c r="L26" i="76"/>
  <c r="G26" i="76"/>
  <c r="M27" i="76" s="1"/>
  <c r="I26" i="76"/>
  <c r="T26" i="76"/>
  <c r="E26" i="76"/>
  <c r="P25" i="76"/>
  <c r="U25" i="76"/>
  <c r="V25" i="76"/>
  <c r="H26" i="76"/>
  <c r="R26" i="76" s="1"/>
  <c r="D26" i="76"/>
  <c r="S26" i="76"/>
  <c r="F26" i="76"/>
  <c r="L27" i="76" s="1"/>
  <c r="C27" i="76"/>
  <c r="J27" i="76"/>
  <c r="N27" i="76"/>
  <c r="O27" i="76"/>
  <c r="K27" i="76"/>
  <c r="A50" i="76" l="1"/>
  <c r="B49" i="76"/>
  <c r="Q26" i="76"/>
  <c r="V26" i="76"/>
  <c r="G27" i="76"/>
  <c r="M28" i="76" s="1"/>
  <c r="T27" i="76"/>
  <c r="I27" i="76"/>
  <c r="E27" i="76"/>
  <c r="C28" i="76"/>
  <c r="O28" i="76"/>
  <c r="J28" i="76"/>
  <c r="K28" i="76"/>
  <c r="N28" i="76"/>
  <c r="F27" i="76"/>
  <c r="Q27" i="76" s="1"/>
  <c r="D27" i="76"/>
  <c r="S27" i="76"/>
  <c r="H27" i="76"/>
  <c r="R27" i="76" s="1"/>
  <c r="U26" i="76"/>
  <c r="P26" i="76"/>
  <c r="A51" i="76" l="1"/>
  <c r="B50" i="76"/>
  <c r="L28" i="76"/>
  <c r="C29" i="76"/>
  <c r="N29" i="76"/>
  <c r="J29" i="76"/>
  <c r="U27" i="76"/>
  <c r="P27" i="76"/>
  <c r="T28" i="76"/>
  <c r="I28" i="76"/>
  <c r="O30" i="76" s="1"/>
  <c r="G28" i="76"/>
  <c r="M29" i="76" s="1"/>
  <c r="E28" i="76"/>
  <c r="K29" i="76"/>
  <c r="V27" i="76"/>
  <c r="O29" i="76"/>
  <c r="S28" i="76"/>
  <c r="F28" i="76"/>
  <c r="D28" i="76"/>
  <c r="H28" i="76"/>
  <c r="R28" i="76" s="1"/>
  <c r="A52" i="76" l="1"/>
  <c r="B51" i="76"/>
  <c r="Q28" i="76"/>
  <c r="L29" i="76"/>
  <c r="U28" i="76"/>
  <c r="P28" i="76"/>
  <c r="T29" i="76"/>
  <c r="G29" i="76"/>
  <c r="M30" i="76" s="1"/>
  <c r="E29" i="76"/>
  <c r="I29" i="76"/>
  <c r="S29" i="76"/>
  <c r="F29" i="76"/>
  <c r="D29" i="76"/>
  <c r="H29" i="76"/>
  <c r="R29" i="76" s="1"/>
  <c r="N30" i="76"/>
  <c r="K30" i="76"/>
  <c r="J30" i="76"/>
  <c r="V28" i="76"/>
  <c r="A53" i="76" l="1"/>
  <c r="B52" i="76"/>
  <c r="Q29" i="76"/>
  <c r="L30" i="76"/>
  <c r="D30" i="76"/>
  <c r="H30" i="76"/>
  <c r="R30" i="76" s="1"/>
  <c r="S30" i="76"/>
  <c r="F30" i="76"/>
  <c r="J31" i="76"/>
  <c r="N31" i="76"/>
  <c r="O31" i="76"/>
  <c r="C30" i="76"/>
  <c r="P29" i="76"/>
  <c r="U29" i="76"/>
  <c r="K31" i="76"/>
  <c r="V29" i="76"/>
  <c r="A54" i="76" l="1"/>
  <c r="B53" i="76"/>
  <c r="BF24" i="47"/>
  <c r="BF18" i="62"/>
  <c r="Q30" i="76"/>
  <c r="L31" i="76"/>
  <c r="G30" i="76"/>
  <c r="M31" i="76" s="1"/>
  <c r="T30" i="76"/>
  <c r="E30" i="76"/>
  <c r="I30" i="76"/>
  <c r="O32" i="76" s="1"/>
  <c r="F31" i="76"/>
  <c r="L32" i="76" s="1"/>
  <c r="H31" i="76"/>
  <c r="R31" i="76" s="1"/>
  <c r="S31" i="76"/>
  <c r="D31" i="76"/>
  <c r="C31" i="76"/>
  <c r="J32" i="76"/>
  <c r="N32" i="76"/>
  <c r="K32" i="76"/>
  <c r="P30" i="76"/>
  <c r="U30" i="76"/>
  <c r="A55" i="76" l="1"/>
  <c r="A56" i="76" s="1"/>
  <c r="A57" i="76" s="1"/>
  <c r="A58" i="76" s="1"/>
  <c r="A59" i="76" s="1"/>
  <c r="A60" i="76" s="1"/>
  <c r="A61" i="76" s="1"/>
  <c r="A62" i="76" s="1"/>
  <c r="B54" i="76"/>
  <c r="Q31" i="76"/>
  <c r="V30" i="76"/>
  <c r="D32" i="76"/>
  <c r="F32" i="76"/>
  <c r="Q32" i="76" s="1"/>
  <c r="H32" i="76"/>
  <c r="R32" i="76" s="1"/>
  <c r="S32" i="76"/>
  <c r="U31" i="76"/>
  <c r="P31" i="76"/>
  <c r="C32" i="76"/>
  <c r="C33" i="76"/>
  <c r="N33" i="76"/>
  <c r="J33" i="76"/>
  <c r="G31" i="76"/>
  <c r="M32" i="76" s="1"/>
  <c r="T31" i="76"/>
  <c r="I31" i="76"/>
  <c r="O33" i="76" s="1"/>
  <c r="E31" i="76"/>
  <c r="K33" i="76" s="1"/>
  <c r="L33" i="76" l="1"/>
  <c r="T33" i="76"/>
  <c r="E33" i="76"/>
  <c r="G33" i="76"/>
  <c r="M34" i="76" s="1"/>
  <c r="I33" i="76"/>
  <c r="V31" i="76"/>
  <c r="J34" i="76"/>
  <c r="N34" i="76"/>
  <c r="T32" i="76"/>
  <c r="I32" i="76"/>
  <c r="O34" i="76" s="1"/>
  <c r="E32" i="76"/>
  <c r="K34" i="76" s="1"/>
  <c r="G32" i="76"/>
  <c r="M33" i="76" s="1"/>
  <c r="F33" i="76"/>
  <c r="D33" i="76"/>
  <c r="S33" i="76"/>
  <c r="H33" i="76"/>
  <c r="R33" i="76" s="1"/>
  <c r="U32" i="76"/>
  <c r="P32" i="76"/>
  <c r="Q33" i="76" l="1"/>
  <c r="L34" i="76"/>
  <c r="V33" i="76"/>
  <c r="P33" i="76"/>
  <c r="U33" i="76"/>
  <c r="H34" i="76"/>
  <c r="R34" i="76" s="1"/>
  <c r="F34" i="76"/>
  <c r="L35" i="76" s="1"/>
  <c r="S34" i="76"/>
  <c r="D34" i="76"/>
  <c r="N35" i="76"/>
  <c r="J35" i="76"/>
  <c r="K35" i="76"/>
  <c r="O35" i="76"/>
  <c r="V32" i="76"/>
  <c r="C34" i="76"/>
  <c r="Q34" i="76" l="1"/>
  <c r="S35" i="76"/>
  <c r="F35" i="76"/>
  <c r="Q35" i="76" s="1"/>
  <c r="H35" i="76"/>
  <c r="R35" i="76" s="1"/>
  <c r="D35" i="76"/>
  <c r="I34" i="76"/>
  <c r="G34" i="76"/>
  <c r="M35" i="76" s="1"/>
  <c r="E34" i="76"/>
  <c r="K36" i="76" s="1"/>
  <c r="T34" i="76"/>
  <c r="C35" i="76"/>
  <c r="P34" i="76"/>
  <c r="U34" i="76"/>
  <c r="N36" i="76"/>
  <c r="J36" i="76"/>
  <c r="O36" i="76"/>
  <c r="L36" i="76" l="1"/>
  <c r="V34" i="76"/>
  <c r="U35" i="76"/>
  <c r="P35" i="76"/>
  <c r="E35" i="76"/>
  <c r="I35" i="76"/>
  <c r="G35" i="76"/>
  <c r="M36" i="76" s="1"/>
  <c r="T35" i="76"/>
  <c r="V35" i="76" l="1"/>
  <c r="L56" i="76"/>
  <c r="K56" i="76"/>
  <c r="M56" i="76"/>
  <c r="O56" i="76"/>
  <c r="N56" i="76"/>
  <c r="M60" i="76"/>
  <c r="L60" i="76"/>
  <c r="N60" i="76"/>
  <c r="O60" i="76"/>
  <c r="K60" i="76"/>
  <c r="M64" i="76"/>
  <c r="L64" i="76"/>
  <c r="N64" i="76"/>
  <c r="O64" i="76"/>
  <c r="M57" i="76"/>
  <c r="O57" i="76"/>
  <c r="L57" i="76"/>
  <c r="K57" i="76"/>
  <c r="N57" i="76"/>
  <c r="L61" i="76"/>
  <c r="O61" i="76"/>
  <c r="K61" i="76"/>
  <c r="N61" i="76"/>
  <c r="M61" i="76"/>
  <c r="L65" i="76"/>
  <c r="N65" i="76"/>
  <c r="O65" i="76"/>
  <c r="M65" i="76"/>
  <c r="O55" i="76"/>
  <c r="L55" i="76"/>
  <c r="N55" i="76"/>
  <c r="M55" i="76"/>
  <c r="K55" i="76"/>
  <c r="L59" i="76"/>
  <c r="O59" i="76"/>
  <c r="K59" i="76"/>
  <c r="M59" i="76"/>
  <c r="N59" i="76"/>
  <c r="L63" i="76"/>
  <c r="N63" i="76"/>
  <c r="O63" i="76"/>
  <c r="M63" i="76"/>
  <c r="N66" i="76"/>
  <c r="O66" i="76"/>
  <c r="M66" i="76"/>
  <c r="L66" i="76"/>
  <c r="AE47" i="47"/>
  <c r="X18" i="62"/>
  <c r="Y18" i="62"/>
  <c r="AK18" i="62"/>
  <c r="U47" i="47"/>
  <c r="AJ18" i="62"/>
  <c r="AH23" i="47"/>
  <c r="Y23" i="47"/>
  <c r="Z23" i="47"/>
  <c r="U18" i="62"/>
  <c r="U33" i="47"/>
  <c r="AI18" i="62"/>
  <c r="AG33" i="47"/>
  <c r="Z32" i="47"/>
  <c r="AC32" i="47"/>
  <c r="AD18" i="62"/>
  <c r="Y33" i="47"/>
  <c r="W18" i="62"/>
  <c r="Z18" i="62"/>
  <c r="X33" i="47"/>
  <c r="P47" i="47"/>
  <c r="S32" i="47"/>
  <c r="AF33" i="47"/>
  <c r="AF32" i="47"/>
  <c r="AK23" i="47"/>
  <c r="Z31" i="47"/>
  <c r="Q23" i="47"/>
  <c r="U31" i="47"/>
  <c r="Y31" i="47"/>
  <c r="AE32" i="47"/>
  <c r="AF18" i="62"/>
  <c r="X32" i="47"/>
  <c r="AI31" i="47"/>
  <c r="AD33" i="47"/>
  <c r="AK47" i="47"/>
  <c r="AA18" i="62"/>
  <c r="S33" i="47"/>
  <c r="AJ32" i="47"/>
  <c r="K37" i="76"/>
  <c r="AM31" i="47" s="1"/>
  <c r="AJ33" i="47"/>
  <c r="AJ47" i="47"/>
  <c r="AB18" i="62"/>
  <c r="AH31" i="47"/>
  <c r="T47" i="47"/>
  <c r="P18" i="62"/>
  <c r="AH47" i="47"/>
  <c r="Q47" i="47"/>
  <c r="AG47" i="47"/>
  <c r="R32" i="47"/>
  <c r="W32" i="47"/>
  <c r="AD32" i="47"/>
  <c r="AL33" i="47"/>
  <c r="P23" i="47"/>
  <c r="AK32" i="47"/>
  <c r="T32" i="47"/>
  <c r="J37" i="76"/>
  <c r="W23" i="47"/>
  <c r="W47" i="47"/>
  <c r="Y47" i="47"/>
  <c r="V47" i="47"/>
  <c r="AG31" i="47"/>
  <c r="AI47" i="47"/>
  <c r="S23" i="47"/>
  <c r="AL32" i="47"/>
  <c r="AD47" i="47"/>
  <c r="R18" i="62"/>
  <c r="V32" i="47"/>
  <c r="AB32" i="47"/>
  <c r="U32" i="47"/>
  <c r="T31" i="47"/>
  <c r="AK31" i="47"/>
  <c r="AG18" i="62"/>
  <c r="AB33" i="47"/>
  <c r="AB47" i="47"/>
  <c r="S18" i="62"/>
  <c r="AC47" i="47"/>
  <c r="AA47" i="47"/>
  <c r="Q18" i="62"/>
  <c r="AI33" i="47"/>
  <c r="Z33" i="47"/>
  <c r="AF31" i="47"/>
  <c r="AK33" i="47"/>
  <c r="Q32" i="47"/>
  <c r="V31" i="47"/>
  <c r="AB31" i="47"/>
  <c r="AA33" i="47"/>
  <c r="AJ23" i="47"/>
  <c r="AH32" i="47"/>
  <c r="AI23" i="47"/>
  <c r="X31" i="47"/>
  <c r="X23" i="47"/>
  <c r="AL31" i="47"/>
  <c r="V18" i="62"/>
  <c r="AE18" i="62"/>
  <c r="AC33" i="47"/>
  <c r="Y32" i="47"/>
  <c r="AG23" i="47"/>
  <c r="AD31" i="47"/>
  <c r="AB23" i="47"/>
  <c r="AI32" i="47"/>
  <c r="AF47" i="47"/>
  <c r="Q33" i="47"/>
  <c r="AH33" i="47"/>
  <c r="O37" i="76"/>
  <c r="AM33" i="47" s="1"/>
  <c r="R23" i="47"/>
  <c r="AC23" i="47"/>
  <c r="V33" i="47"/>
  <c r="T18" i="62"/>
  <c r="R33" i="47"/>
  <c r="AC31" i="47"/>
  <c r="N37" i="76"/>
  <c r="T33" i="47"/>
  <c r="AC18" i="62"/>
  <c r="AA23" i="47"/>
  <c r="AH18" i="62"/>
  <c r="AJ31" i="47"/>
  <c r="P31" i="47"/>
  <c r="AD23" i="47"/>
  <c r="AE31" i="47"/>
  <c r="S31" i="47"/>
  <c r="W33" i="47"/>
  <c r="Z47" i="47"/>
  <c r="AG32" i="47"/>
  <c r="AA32" i="47"/>
  <c r="V23" i="47"/>
  <c r="Q31" i="47"/>
  <c r="P32" i="47"/>
  <c r="U23" i="47"/>
  <c r="W31" i="47"/>
  <c r="AE23" i="47"/>
  <c r="T23" i="47"/>
  <c r="AA31" i="47"/>
  <c r="R31" i="47"/>
  <c r="X47" i="47"/>
  <c r="AF23" i="47"/>
  <c r="AE33" i="47"/>
  <c r="R47" i="47"/>
  <c r="S47" i="47"/>
  <c r="P33" i="47"/>
  <c r="N58" i="76"/>
  <c r="L58" i="76"/>
  <c r="O58" i="76"/>
  <c r="K58" i="76"/>
  <c r="M58" i="76"/>
  <c r="L62" i="76"/>
  <c r="M62" i="76"/>
  <c r="O62" i="76"/>
  <c r="N62" i="76"/>
  <c r="V22" i="47"/>
  <c r="AE22" i="47"/>
  <c r="AJ22" i="47"/>
  <c r="AE25" i="47"/>
  <c r="AE28" i="47" s="1"/>
  <c r="R22" i="47"/>
  <c r="R25" i="47"/>
  <c r="R28" i="47" s="1"/>
  <c r="Q25" i="47"/>
  <c r="Q28" i="47" s="1"/>
  <c r="X25" i="47"/>
  <c r="X28" i="47" s="1"/>
  <c r="AC22" i="47"/>
  <c r="AJ25" i="47"/>
  <c r="AJ28" i="47" s="1"/>
  <c r="W22" i="47"/>
  <c r="AI22" i="47"/>
  <c r="AK25" i="47"/>
  <c r="AK28" i="47" s="1"/>
  <c r="AG25" i="47"/>
  <c r="AG28" i="47" s="1"/>
  <c r="AH25" i="47"/>
  <c r="AH28" i="47" s="1"/>
  <c r="AD22" i="47"/>
  <c r="V25" i="47"/>
  <c r="V28" i="47" s="1"/>
  <c r="T40" i="47"/>
  <c r="W25" i="47"/>
  <c r="W28" i="47" s="1"/>
  <c r="Z22" i="47"/>
  <c r="AJ40" i="47"/>
  <c r="AJ14" i="66" s="1"/>
  <c r="Y40" i="47"/>
  <c r="Y14" i="66" s="1"/>
  <c r="AA25" i="47"/>
  <c r="AA28" i="47" s="1"/>
  <c r="AK40" i="47"/>
  <c r="AI25" i="47"/>
  <c r="AI28" i="47" s="1"/>
  <c r="S22" i="47"/>
  <c r="T22" i="47"/>
  <c r="AF22" i="47"/>
  <c r="Z25" i="47"/>
  <c r="Z28" i="47" s="1"/>
  <c r="F40" i="76"/>
  <c r="AG40" i="47"/>
  <c r="P22" i="47"/>
  <c r="S40" i="47"/>
  <c r="S44" i="47" s="1"/>
  <c r="S17" i="66" s="1"/>
  <c r="Y22" i="47"/>
  <c r="U22" i="47"/>
  <c r="Z40" i="47"/>
  <c r="Z44" i="47" s="1"/>
  <c r="Z17" i="66" s="1"/>
  <c r="AB89" i="48" s="1"/>
  <c r="P39" i="47"/>
  <c r="AC24" i="47"/>
  <c r="AC27" i="47" s="1"/>
  <c r="T24" i="47"/>
  <c r="T27" i="47" s="1"/>
  <c r="AE39" i="47"/>
  <c r="AE43" i="47" s="1"/>
  <c r="U25" i="47"/>
  <c r="U28" i="47" s="1"/>
  <c r="AC25" i="47"/>
  <c r="AC28" i="47" s="1"/>
  <c r="X40" i="47"/>
  <c r="X14" i="66" s="1"/>
  <c r="AB25" i="47"/>
  <c r="AB28" i="47" s="1"/>
  <c r="AJ24" i="47"/>
  <c r="AJ27" i="47" s="1"/>
  <c r="R40" i="47"/>
  <c r="Q40" i="47"/>
  <c r="P25" i="47"/>
  <c r="P28" i="47" s="1"/>
  <c r="H51" i="76"/>
  <c r="AG24" i="47"/>
  <c r="AG27" i="47" s="1"/>
  <c r="AA22" i="47"/>
  <c r="Y38" i="47"/>
  <c r="Z39" i="47"/>
  <c r="Z43" i="47" s="1"/>
  <c r="X22" i="47"/>
  <c r="AC39" i="47"/>
  <c r="AD25" i="47"/>
  <c r="AD28" i="47" s="1"/>
  <c r="AB40" i="47"/>
  <c r="AD24" i="47"/>
  <c r="AD27" i="47" s="1"/>
  <c r="W39" i="47"/>
  <c r="Q24" i="47"/>
  <c r="Q27" i="47" s="1"/>
  <c r="Q22" i="47"/>
  <c r="Y24" i="47"/>
  <c r="Y27" i="47" s="1"/>
  <c r="P40" i="47"/>
  <c r="P14" i="66" s="1"/>
  <c r="H48" i="76"/>
  <c r="N50" i="76" s="1"/>
  <c r="U24" i="47"/>
  <c r="U27" i="47" s="1"/>
  <c r="AK24" i="47"/>
  <c r="AK27" i="47" s="1"/>
  <c r="AB24" i="47"/>
  <c r="AB27" i="47" s="1"/>
  <c r="AJ39" i="47"/>
  <c r="AF39" i="47"/>
  <c r="AF43" i="47" s="1"/>
  <c r="AC40" i="47"/>
  <c r="AC14" i="66" s="1"/>
  <c r="AE86" i="48" s="1"/>
  <c r="AI39" i="47"/>
  <c r="AI43" i="47" s="1"/>
  <c r="AF38" i="47"/>
  <c r="AG39" i="47"/>
  <c r="AE40" i="47"/>
  <c r="AE44" i="47" s="1"/>
  <c r="AE17" i="66" s="1"/>
  <c r="S39" i="47"/>
  <c r="AA40" i="47"/>
  <c r="AA14" i="66" s="1"/>
  <c r="AC86" i="48" s="1"/>
  <c r="Z24" i="47"/>
  <c r="Z27" i="47" s="1"/>
  <c r="T39" i="47"/>
  <c r="R38" i="47"/>
  <c r="H46" i="76"/>
  <c r="AG38" i="47"/>
  <c r="R24" i="47"/>
  <c r="R27" i="47" s="1"/>
  <c r="U53" i="47"/>
  <c r="S38" i="47"/>
  <c r="T38" i="47"/>
  <c r="AH39" i="47"/>
  <c r="V39" i="47"/>
  <c r="V43" i="47" s="1"/>
  <c r="Q38" i="47"/>
  <c r="AF25" i="47"/>
  <c r="AF28" i="47" s="1"/>
  <c r="V40" i="47"/>
  <c r="V44" i="47" s="1"/>
  <c r="V17" i="66" s="1"/>
  <c r="AC53" i="47"/>
  <c r="S24" i="47"/>
  <c r="S27" i="47" s="1"/>
  <c r="AA24" i="47"/>
  <c r="AA27" i="47" s="1"/>
  <c r="AC38" i="47"/>
  <c r="U38" i="47"/>
  <c r="Q39" i="47"/>
  <c r="Q43" i="47" s="1"/>
  <c r="P38" i="47"/>
  <c r="T17" i="62"/>
  <c r="AH22" i="47"/>
  <c r="U17" i="62"/>
  <c r="AI17" i="62"/>
  <c r="AI19" i="62" s="1"/>
  <c r="AI22" i="62" s="1"/>
  <c r="AG17" i="62"/>
  <c r="AE38" i="47"/>
  <c r="D43" i="76"/>
  <c r="J45" i="76" s="1"/>
  <c r="AK22" i="47"/>
  <c r="T25" i="47"/>
  <c r="T28" i="47" s="1"/>
  <c r="AD39" i="47"/>
  <c r="AD13" i="66" s="1"/>
  <c r="AF85" i="48" s="1"/>
  <c r="AE24" i="47"/>
  <c r="AE27" i="47" s="1"/>
  <c r="AF24" i="47"/>
  <c r="AF27" i="47" s="1"/>
  <c r="W38" i="47"/>
  <c r="AI40" i="47"/>
  <c r="AE17" i="62"/>
  <c r="AH17" i="62"/>
  <c r="AF40" i="47"/>
  <c r="X24" i="47"/>
  <c r="X27" i="47" s="1"/>
  <c r="AI24" i="47"/>
  <c r="AI27" i="47" s="1"/>
  <c r="S25" i="47"/>
  <c r="S28" i="47" s="1"/>
  <c r="AA38" i="47"/>
  <c r="W40" i="47"/>
  <c r="Y17" i="62"/>
  <c r="V24" i="47"/>
  <c r="V27" i="47" s="1"/>
  <c r="AF17" i="62"/>
  <c r="AK39" i="47"/>
  <c r="Y39" i="47"/>
  <c r="Y25" i="47"/>
  <c r="Y28" i="47" s="1"/>
  <c r="Q53" i="47"/>
  <c r="X39" i="47"/>
  <c r="AH38" i="47"/>
  <c r="AD38" i="47"/>
  <c r="H41" i="76"/>
  <c r="AB22" i="47"/>
  <c r="AF53" i="47"/>
  <c r="U40" i="47"/>
  <c r="U14" i="66" s="1"/>
  <c r="AC17" i="62"/>
  <c r="AK17" i="62"/>
  <c r="R17" i="62"/>
  <c r="S26" i="47"/>
  <c r="AD17" i="62"/>
  <c r="X26" i="47"/>
  <c r="AH40" i="47"/>
  <c r="AH14" i="66" s="1"/>
  <c r="H42" i="76"/>
  <c r="V53" i="47"/>
  <c r="AA53" i="47"/>
  <c r="S17" i="62"/>
  <c r="AI53" i="47"/>
  <c r="P24" i="47"/>
  <c r="P27" i="47" s="1"/>
  <c r="AD40" i="47"/>
  <c r="AD14" i="66" s="1"/>
  <c r="AF86" i="48" s="1"/>
  <c r="AD53" i="47"/>
  <c r="AJ26" i="47"/>
  <c r="H54" i="76"/>
  <c r="R53" i="47"/>
  <c r="AA17" i="62"/>
  <c r="F52" i="76"/>
  <c r="Y53" i="47"/>
  <c r="AJ17" i="62"/>
  <c r="AJ38" i="47"/>
  <c r="AH24" i="47"/>
  <c r="AH27" i="47" s="1"/>
  <c r="AH26" i="47"/>
  <c r="R26" i="47"/>
  <c r="R39" i="47"/>
  <c r="R43" i="47" s="1"/>
  <c r="W24" i="47"/>
  <c r="W27" i="47" s="1"/>
  <c r="AF26" i="47"/>
  <c r="X53" i="47"/>
  <c r="AB17" i="62"/>
  <c r="AA39" i="47"/>
  <c r="V38" i="47"/>
  <c r="AK26" i="47"/>
  <c r="Z17" i="62"/>
  <c r="P26" i="47"/>
  <c r="V17" i="62"/>
  <c r="X17" i="62"/>
  <c r="AJ53" i="47"/>
  <c r="AK53" i="47"/>
  <c r="AB53" i="47"/>
  <c r="AA26" i="47"/>
  <c r="V26" i="47"/>
  <c r="AG53" i="47"/>
  <c r="AB38" i="47"/>
  <c r="P53" i="47"/>
  <c r="S53" i="47"/>
  <c r="X38" i="47"/>
  <c r="C44" i="76"/>
  <c r="AT22" i="47" s="1"/>
  <c r="W17" i="62"/>
  <c r="AG22" i="47"/>
  <c r="Z53" i="47"/>
  <c r="Y26" i="47"/>
  <c r="Q26" i="47"/>
  <c r="AE26" i="47"/>
  <c r="AI26" i="47"/>
  <c r="AI38" i="47"/>
  <c r="AG26" i="47"/>
  <c r="U39" i="47"/>
  <c r="T53" i="47"/>
  <c r="Z26" i="47"/>
  <c r="U26" i="47"/>
  <c r="AK38" i="47"/>
  <c r="W26" i="47"/>
  <c r="W53" i="47"/>
  <c r="AE53" i="47"/>
  <c r="AB26" i="47"/>
  <c r="P17" i="62"/>
  <c r="T26" i="47"/>
  <c r="AC26" i="47"/>
  <c r="Q17" i="62"/>
  <c r="AH53" i="47"/>
  <c r="AB39" i="47"/>
  <c r="AD26" i="47"/>
  <c r="Z38" i="47"/>
  <c r="AF16" i="66" l="1"/>
  <c r="Z16" i="66"/>
  <c r="AB88" i="48" s="1"/>
  <c r="AB90" i="48" s="1"/>
  <c r="Z22" i="66"/>
  <c r="R16" i="66"/>
  <c r="Q16" i="66"/>
  <c r="AE16" i="66"/>
  <c r="AE15" i="66" s="1"/>
  <c r="AE22" i="66"/>
  <c r="V16" i="66"/>
  <c r="V15" i="66" s="1"/>
  <c r="V22" i="66"/>
  <c r="AI16" i="66"/>
  <c r="AE19" i="62"/>
  <c r="AE22" i="62" s="1"/>
  <c r="AA19" i="62"/>
  <c r="AA22" i="62" s="1"/>
  <c r="AA19" i="66" s="1"/>
  <c r="AC75" i="48" s="1"/>
  <c r="X19" i="62"/>
  <c r="X25" i="62" s="1"/>
  <c r="AF87" i="48"/>
  <c r="Z86" i="48"/>
  <c r="R48" i="47"/>
  <c r="AI21" i="62"/>
  <c r="AI18" i="66" s="1"/>
  <c r="AI25" i="62"/>
  <c r="E39" i="47"/>
  <c r="E17" i="62"/>
  <c r="E26" i="47"/>
  <c r="I17" i="62"/>
  <c r="H18" i="62"/>
  <c r="G18" i="62"/>
  <c r="E38" i="47"/>
  <c r="E40" i="47"/>
  <c r="G17" i="62"/>
  <c r="H38" i="47"/>
  <c r="F40" i="47"/>
  <c r="H40" i="47"/>
  <c r="G39" i="47"/>
  <c r="H17" i="62"/>
  <c r="F18" i="62"/>
  <c r="H26" i="47"/>
  <c r="F38" i="47"/>
  <c r="I47" i="47"/>
  <c r="I26" i="47"/>
  <c r="F17" i="62"/>
  <c r="I40" i="47"/>
  <c r="G38" i="47"/>
  <c r="F53" i="47"/>
  <c r="F47" i="47"/>
  <c r="E18" i="62"/>
  <c r="F26" i="47"/>
  <c r="E53" i="47"/>
  <c r="G47" i="47"/>
  <c r="H47" i="47"/>
  <c r="I38" i="47"/>
  <c r="I53" i="47"/>
  <c r="H53" i="47"/>
  <c r="H39" i="47"/>
  <c r="G53" i="47"/>
  <c r="I39" i="47"/>
  <c r="E47" i="47"/>
  <c r="I18" i="62"/>
  <c r="G40" i="47"/>
  <c r="F39" i="47"/>
  <c r="G26" i="47"/>
  <c r="J18" i="62"/>
  <c r="J17" i="62"/>
  <c r="J40" i="47"/>
  <c r="J47" i="47"/>
  <c r="J26" i="47"/>
  <c r="J53" i="47"/>
  <c r="BH53" i="47" s="1"/>
  <c r="J38" i="47"/>
  <c r="J39" i="47"/>
  <c r="AD19" i="62"/>
  <c r="AG48" i="47"/>
  <c r="L17" i="62"/>
  <c r="M26" i="47"/>
  <c r="K17" i="62"/>
  <c r="K39" i="47"/>
  <c r="M17" i="62"/>
  <c r="L40" i="47"/>
  <c r="L18" i="62"/>
  <c r="M39" i="47"/>
  <c r="M18" i="62"/>
  <c r="K53" i="47"/>
  <c r="M47" i="47"/>
  <c r="K40" i="47"/>
  <c r="M53" i="47"/>
  <c r="K26" i="47"/>
  <c r="L39" i="47"/>
  <c r="M38" i="47"/>
  <c r="K38" i="47"/>
  <c r="K18" i="62"/>
  <c r="L47" i="47"/>
  <c r="L38" i="47"/>
  <c r="L53" i="47"/>
  <c r="L26" i="47"/>
  <c r="K47" i="47"/>
  <c r="M40" i="47"/>
  <c r="AF51" i="47"/>
  <c r="Q19" i="62"/>
  <c r="O40" i="47"/>
  <c r="N53" i="47"/>
  <c r="O53" i="47"/>
  <c r="O39" i="47"/>
  <c r="N40" i="47"/>
  <c r="N26" i="47"/>
  <c r="O17" i="62"/>
  <c r="N47" i="47"/>
  <c r="N39" i="47"/>
  <c r="N17" i="62"/>
  <c r="O47" i="47"/>
  <c r="O38" i="47"/>
  <c r="N18" i="62"/>
  <c r="O18" i="62"/>
  <c r="N38" i="47"/>
  <c r="O26" i="47"/>
  <c r="S52" i="47"/>
  <c r="AI48" i="47"/>
  <c r="Y48" i="47"/>
  <c r="AA52" i="47"/>
  <c r="R52" i="47"/>
  <c r="Y52" i="47"/>
  <c r="AC52" i="47"/>
  <c r="AD52" i="47"/>
  <c r="V52" i="47"/>
  <c r="U52" i="47"/>
  <c r="J31" i="47"/>
  <c r="N31" i="47"/>
  <c r="M31" i="47"/>
  <c r="I31" i="47"/>
  <c r="H31" i="47"/>
  <c r="G31" i="47"/>
  <c r="E31" i="47"/>
  <c r="F31" i="47"/>
  <c r="K31" i="47"/>
  <c r="L31" i="47"/>
  <c r="O31" i="47"/>
  <c r="F32" i="47"/>
  <c r="L32" i="47"/>
  <c r="H32" i="47"/>
  <c r="N32" i="47"/>
  <c r="J32" i="47"/>
  <c r="M32" i="47"/>
  <c r="I32" i="47"/>
  <c r="E32" i="47"/>
  <c r="G32" i="47"/>
  <c r="K32" i="47"/>
  <c r="O32" i="47"/>
  <c r="F33" i="47"/>
  <c r="E33" i="47"/>
  <c r="K33" i="47"/>
  <c r="J33" i="47"/>
  <c r="O33" i="47"/>
  <c r="M33" i="47"/>
  <c r="N33" i="47"/>
  <c r="H33" i="47"/>
  <c r="G33" i="47"/>
  <c r="I33" i="47"/>
  <c r="L33" i="47"/>
  <c r="T48" i="47"/>
  <c r="S41" i="47"/>
  <c r="AE48" i="47"/>
  <c r="P48" i="47"/>
  <c r="Z52" i="47"/>
  <c r="U48" i="47"/>
  <c r="AA44" i="47"/>
  <c r="AA17" i="66" s="1"/>
  <c r="AC89" i="48" s="1"/>
  <c r="T35" i="47"/>
  <c r="AC41" i="47"/>
  <c r="X41" i="47"/>
  <c r="T52" i="47"/>
  <c r="AH51" i="47"/>
  <c r="S35" i="47"/>
  <c r="Z51" i="47"/>
  <c r="AE13" i="66"/>
  <c r="AI41" i="47"/>
  <c r="AD41" i="47"/>
  <c r="Y35" i="47"/>
  <c r="AK48" i="47"/>
  <c r="P41" i="47"/>
  <c r="AF48" i="47"/>
  <c r="AI52" i="47"/>
  <c r="V19" i="62"/>
  <c r="R19" i="62"/>
  <c r="Y19" i="62"/>
  <c r="Q48" i="47"/>
  <c r="Z15" i="66"/>
  <c r="AJ51" i="47"/>
  <c r="AG52" i="47"/>
  <c r="Q52" i="47"/>
  <c r="Z19" i="62"/>
  <c r="AH52" i="47"/>
  <c r="P51" i="47"/>
  <c r="AC19" i="62"/>
  <c r="AF19" i="62"/>
  <c r="AA48" i="47"/>
  <c r="AJ52" i="47"/>
  <c r="AH19" i="62"/>
  <c r="S46" i="76"/>
  <c r="Z48" i="47"/>
  <c r="V48" i="47"/>
  <c r="P19" i="62"/>
  <c r="AK52" i="47"/>
  <c r="C47" i="76"/>
  <c r="AW22" i="47" s="1"/>
  <c r="AA41" i="47"/>
  <c r="AB52" i="47"/>
  <c r="S19" i="62"/>
  <c r="U41" i="47"/>
  <c r="AE52" i="47"/>
  <c r="C46" i="76"/>
  <c r="E46" i="76" s="1"/>
  <c r="AV23" i="47" s="1"/>
  <c r="X52" i="47"/>
  <c r="AK19" i="62"/>
  <c r="AB48" i="47"/>
  <c r="AE41" i="47"/>
  <c r="AA51" i="47"/>
  <c r="AF35" i="47"/>
  <c r="X48" i="47"/>
  <c r="Z14" i="66"/>
  <c r="Z35" i="47"/>
  <c r="W48" i="47"/>
  <c r="AJ48" i="47"/>
  <c r="AC48" i="47"/>
  <c r="W52" i="47"/>
  <c r="AH41" i="47"/>
  <c r="U19" i="62"/>
  <c r="AB19" i="62"/>
  <c r="AJ41" i="47"/>
  <c r="C43" i="76"/>
  <c r="AS22" i="47" s="1"/>
  <c r="AK41" i="47"/>
  <c r="W19" i="62"/>
  <c r="W23" i="62" s="1"/>
  <c r="P52" i="47"/>
  <c r="AJ19" i="62"/>
  <c r="AD12" i="66"/>
  <c r="AH48" i="47"/>
  <c r="S48" i="47"/>
  <c r="AD48" i="47"/>
  <c r="Z41" i="47"/>
  <c r="U43" i="47"/>
  <c r="V41" i="47"/>
  <c r="AF52" i="47"/>
  <c r="W41" i="47"/>
  <c r="AG19" i="62"/>
  <c r="T19" i="62"/>
  <c r="AC35" i="47"/>
  <c r="AI35" i="47"/>
  <c r="AB41" i="47"/>
  <c r="AE51" i="47"/>
  <c r="V14" i="66"/>
  <c r="R41" i="47"/>
  <c r="AD35" i="47"/>
  <c r="AJ34" i="47"/>
  <c r="S14" i="66"/>
  <c r="U86" i="48" s="1"/>
  <c r="Y44" i="47"/>
  <c r="Y17" i="66" s="1"/>
  <c r="F44" i="76"/>
  <c r="L45" i="76" s="1"/>
  <c r="U44" i="47"/>
  <c r="U17" i="66" s="1"/>
  <c r="AG41" i="47"/>
  <c r="T41" i="47"/>
  <c r="AB51" i="47"/>
  <c r="AH34" i="47"/>
  <c r="AB35" i="47"/>
  <c r="W35" i="47"/>
  <c r="AK35" i="47"/>
  <c r="N43" i="76"/>
  <c r="W51" i="47"/>
  <c r="F43" i="76"/>
  <c r="Q41" i="47"/>
  <c r="AF41" i="47"/>
  <c r="P44" i="47"/>
  <c r="P17" i="66" s="1"/>
  <c r="Q14" i="66"/>
  <c r="Q44" i="47"/>
  <c r="Q17" i="66" s="1"/>
  <c r="AA35" i="47"/>
  <c r="D37" i="76"/>
  <c r="J39" i="76" s="1"/>
  <c r="C45" i="76"/>
  <c r="AU22" i="47" s="1"/>
  <c r="R44" i="47"/>
  <c r="R17" i="66" s="1"/>
  <c r="R14" i="66"/>
  <c r="AH35" i="47"/>
  <c r="L53" i="76"/>
  <c r="AI51" i="47"/>
  <c r="S51" i="47"/>
  <c r="N48" i="76"/>
  <c r="R48" i="76" s="1"/>
  <c r="AE14" i="66"/>
  <c r="AA86" i="48" s="1"/>
  <c r="AC44" i="47"/>
  <c r="AC17" i="66" s="1"/>
  <c r="AE89" i="48" s="1"/>
  <c r="AJ43" i="47"/>
  <c r="AJ13" i="66"/>
  <c r="AJ12" i="66" s="1"/>
  <c r="AK51" i="47"/>
  <c r="Y51" i="47"/>
  <c r="Y41" i="47"/>
  <c r="L41" i="76"/>
  <c r="N44" i="76"/>
  <c r="N53" i="76"/>
  <c r="D47" i="76"/>
  <c r="J49" i="76" s="1"/>
  <c r="H47" i="76"/>
  <c r="F47" i="76"/>
  <c r="AK44" i="47"/>
  <c r="AK17" i="66" s="1"/>
  <c r="AK14" i="66"/>
  <c r="U35" i="47"/>
  <c r="T51" i="47"/>
  <c r="AJ44" i="47"/>
  <c r="AJ17" i="66" s="1"/>
  <c r="X35" i="47"/>
  <c r="T34" i="47"/>
  <c r="AJ35" i="47"/>
  <c r="V35" i="47"/>
  <c r="AE35" i="47"/>
  <c r="AG35" i="47"/>
  <c r="R35" i="47"/>
  <c r="I44" i="76"/>
  <c r="T44" i="76"/>
  <c r="G44" i="76"/>
  <c r="E44" i="76"/>
  <c r="C53" i="76"/>
  <c r="BC22" i="47" s="1"/>
  <c r="D53" i="76"/>
  <c r="S53" i="76"/>
  <c r="AA13" i="66"/>
  <c r="AC85" i="48" s="1"/>
  <c r="AC87" i="48" s="1"/>
  <c r="F53" i="76"/>
  <c r="X13" i="66"/>
  <c r="Y13" i="66"/>
  <c r="AF14" i="66"/>
  <c r="AF44" i="47"/>
  <c r="AF17" i="66" s="1"/>
  <c r="AF15" i="66" s="1"/>
  <c r="F45" i="76"/>
  <c r="F54" i="76"/>
  <c r="AD44" i="47"/>
  <c r="AD17" i="66" s="1"/>
  <c r="AH44" i="47"/>
  <c r="AH17" i="66" s="1"/>
  <c r="D41" i="76"/>
  <c r="J43" i="76" s="1"/>
  <c r="P43" i="76" s="1"/>
  <c r="AS38" i="47" s="1"/>
  <c r="F41" i="76"/>
  <c r="C41" i="76"/>
  <c r="AQ22" i="47" s="1"/>
  <c r="S41" i="76"/>
  <c r="AK13" i="66"/>
  <c r="V51" i="47"/>
  <c r="X34" i="47"/>
  <c r="X51" i="47"/>
  <c r="AE23" i="62"/>
  <c r="AE20" i="66" s="1"/>
  <c r="AE19" i="66"/>
  <c r="AE24" i="62"/>
  <c r="AE21" i="66" s="1"/>
  <c r="AB13" i="66"/>
  <c r="AD85" i="48" s="1"/>
  <c r="S45" i="76"/>
  <c r="D45" i="76"/>
  <c r="J47" i="76" s="1"/>
  <c r="H45" i="76"/>
  <c r="R13" i="66"/>
  <c r="D52" i="76"/>
  <c r="J54" i="76" s="1"/>
  <c r="S52" i="76"/>
  <c r="C52" i="76"/>
  <c r="BB22" i="47" s="1"/>
  <c r="D54" i="76"/>
  <c r="S54" i="76"/>
  <c r="C54" i="76"/>
  <c r="BF22" i="47" s="1"/>
  <c r="F56" i="48" s="1"/>
  <c r="C52" i="48" s="1"/>
  <c r="S42" i="76"/>
  <c r="D42" i="76"/>
  <c r="J44" i="76" s="1"/>
  <c r="C42" i="76"/>
  <c r="AR22" i="47" s="1"/>
  <c r="F42" i="76"/>
  <c r="AK43" i="47"/>
  <c r="W14" i="66"/>
  <c r="W44" i="47"/>
  <c r="W17" i="66" s="1"/>
  <c r="AI14" i="66"/>
  <c r="AI44" i="47"/>
  <c r="AI17" i="66" s="1"/>
  <c r="AI15" i="66" s="1"/>
  <c r="AB43" i="47"/>
  <c r="H53" i="76"/>
  <c r="U13" i="66"/>
  <c r="S44" i="76"/>
  <c r="H44" i="76"/>
  <c r="D44" i="76"/>
  <c r="J46" i="76" s="1"/>
  <c r="AA43" i="47"/>
  <c r="H52" i="76"/>
  <c r="X43" i="47"/>
  <c r="Y43" i="47"/>
  <c r="AH13" i="66"/>
  <c r="AH12" i="66" s="1"/>
  <c r="S43" i="47"/>
  <c r="S49" i="76"/>
  <c r="D49" i="76"/>
  <c r="J51" i="76" s="1"/>
  <c r="F49" i="76"/>
  <c r="H49" i="76"/>
  <c r="Q51" i="47"/>
  <c r="AE34" i="47"/>
  <c r="AD51" i="47"/>
  <c r="AC13" i="66"/>
  <c r="AE85" i="48" s="1"/>
  <c r="AE87" i="48" s="1"/>
  <c r="AC43" i="47"/>
  <c r="AI23" i="62"/>
  <c r="AI20" i="66" s="1"/>
  <c r="AI19" i="66"/>
  <c r="AI24" i="62"/>
  <c r="AI21" i="66" s="1"/>
  <c r="T13" i="66"/>
  <c r="T43" i="47"/>
  <c r="D50" i="76"/>
  <c r="J52" i="76" s="1"/>
  <c r="S50" i="76"/>
  <c r="F50" i="76"/>
  <c r="C50" i="76"/>
  <c r="AZ22" i="47" s="1"/>
  <c r="H50" i="76"/>
  <c r="AF34" i="47"/>
  <c r="V13" i="66"/>
  <c r="AG43" i="47"/>
  <c r="AB14" i="66"/>
  <c r="AB44" i="47"/>
  <c r="AB17" i="66" s="1"/>
  <c r="AD43" i="47"/>
  <c r="H43" i="76"/>
  <c r="S43" i="76"/>
  <c r="AH43" i="47"/>
  <c r="R51" i="47"/>
  <c r="D46" i="76"/>
  <c r="J48" i="76" s="1"/>
  <c r="F46" i="76"/>
  <c r="S13" i="66"/>
  <c r="AG13" i="66"/>
  <c r="C49" i="76"/>
  <c r="AY22" i="47" s="1"/>
  <c r="U51" i="47"/>
  <c r="U34" i="47"/>
  <c r="W13" i="66"/>
  <c r="W43" i="47"/>
  <c r="S37" i="76"/>
  <c r="AI13" i="66"/>
  <c r="AF13" i="66"/>
  <c r="P13" i="66"/>
  <c r="P43" i="47"/>
  <c r="Q13" i="66"/>
  <c r="S48" i="76"/>
  <c r="D48" i="76"/>
  <c r="J50" i="76" s="1"/>
  <c r="F48" i="76"/>
  <c r="C48" i="76"/>
  <c r="AX22" i="47" s="1"/>
  <c r="Z13" i="66"/>
  <c r="AG51" i="47"/>
  <c r="AC51" i="47"/>
  <c r="D51" i="76"/>
  <c r="J53" i="76" s="1"/>
  <c r="S51" i="76"/>
  <c r="F51" i="76"/>
  <c r="X44" i="47"/>
  <c r="X17" i="66" s="1"/>
  <c r="U89" i="48" s="1"/>
  <c r="T44" i="47"/>
  <c r="T17" i="66" s="1"/>
  <c r="T14" i="66"/>
  <c r="V86" i="48" s="1"/>
  <c r="C51" i="76"/>
  <c r="BA22" i="47" s="1"/>
  <c r="AG44" i="47"/>
  <c r="AG17" i="66" s="1"/>
  <c r="AG14" i="66"/>
  <c r="C40" i="76"/>
  <c r="AP22" i="47" s="1"/>
  <c r="H40" i="76"/>
  <c r="S40" i="76"/>
  <c r="D40" i="76"/>
  <c r="J42" i="76" s="1"/>
  <c r="S47" i="76"/>
  <c r="BH18" i="62" l="1"/>
  <c r="BH17" i="62"/>
  <c r="Q15" i="66"/>
  <c r="AA21" i="62"/>
  <c r="AA18" i="66" s="1"/>
  <c r="AC74" i="48" s="1"/>
  <c r="AE25" i="62"/>
  <c r="Q22" i="66"/>
  <c r="S16" i="66"/>
  <c r="S15" i="66" s="1"/>
  <c r="S22" i="66"/>
  <c r="AK16" i="66"/>
  <c r="AK15" i="66" s="1"/>
  <c r="AK22" i="66"/>
  <c r="U16" i="66"/>
  <c r="U15" i="66" s="1"/>
  <c r="U22" i="66"/>
  <c r="W16" i="66"/>
  <c r="W22" i="66"/>
  <c r="T16" i="66"/>
  <c r="T22" i="66"/>
  <c r="Y16" i="66"/>
  <c r="Y15" i="66" s="1"/>
  <c r="Y22" i="66"/>
  <c r="AE21" i="62"/>
  <c r="AE18" i="66" s="1"/>
  <c r="AI22" i="66"/>
  <c r="R22" i="66"/>
  <c r="AG16" i="66"/>
  <c r="AG15" i="66" s="1"/>
  <c r="AG22" i="66"/>
  <c r="X16" i="66"/>
  <c r="X15" i="66" s="1"/>
  <c r="X22" i="66"/>
  <c r="AB16" i="66"/>
  <c r="AD88" i="48" s="1"/>
  <c r="AB22" i="66"/>
  <c r="AJ16" i="66"/>
  <c r="AJ15" i="66" s="1"/>
  <c r="AJ22" i="66"/>
  <c r="AH16" i="66"/>
  <c r="AH15" i="66" s="1"/>
  <c r="AH22" i="66"/>
  <c r="AA16" i="66"/>
  <c r="AC88" i="48" s="1"/>
  <c r="AC90" i="48" s="1"/>
  <c r="AA22" i="66"/>
  <c r="AF22" i="66"/>
  <c r="AD16" i="66"/>
  <c r="AD15" i="66" s="1"/>
  <c r="AD22" i="66"/>
  <c r="AC16" i="66"/>
  <c r="AE88" i="48" s="1"/>
  <c r="AE90" i="48" s="1"/>
  <c r="AC22" i="66"/>
  <c r="P16" i="66"/>
  <c r="P15" i="66" s="1"/>
  <c r="P22" i="66"/>
  <c r="R86" i="48"/>
  <c r="S56" i="47"/>
  <c r="S61" i="47" s="1"/>
  <c r="AC57" i="47"/>
  <c r="AC31" i="62" s="1"/>
  <c r="AC33" i="62" s="1"/>
  <c r="AF56" i="47"/>
  <c r="AF61" i="47" s="1"/>
  <c r="Y57" i="47"/>
  <c r="Y31" i="62" s="1"/>
  <c r="Y33" i="62" s="1"/>
  <c r="R57" i="47"/>
  <c r="R62" i="47" s="1"/>
  <c r="R63" i="47" s="1"/>
  <c r="AA56" i="47"/>
  <c r="AA61" i="47" s="1"/>
  <c r="AA57" i="47"/>
  <c r="AA31" i="62" s="1"/>
  <c r="AA33" i="62" s="1"/>
  <c r="Z56" i="47"/>
  <c r="Z61" i="47" s="1"/>
  <c r="AG57" i="47"/>
  <c r="AG31" i="62" s="1"/>
  <c r="AG33" i="62" s="1"/>
  <c r="T56" i="47"/>
  <c r="T61" i="47" s="1"/>
  <c r="S57" i="47"/>
  <c r="S62" i="47" s="1"/>
  <c r="S63" i="47" s="1"/>
  <c r="AA23" i="62"/>
  <c r="AA20" i="66" s="1"/>
  <c r="AC76" i="48" s="1"/>
  <c r="AA24" i="62"/>
  <c r="AA21" i="66" s="1"/>
  <c r="AC77" i="48" s="1"/>
  <c r="AA25" i="62"/>
  <c r="T86" i="48"/>
  <c r="V88" i="48"/>
  <c r="X23" i="62"/>
  <c r="X20" i="66" s="1"/>
  <c r="X21" i="62"/>
  <c r="X18" i="66" s="1"/>
  <c r="X22" i="62"/>
  <c r="X19" i="66" s="1"/>
  <c r="X24" i="62"/>
  <c r="X21" i="66" s="1"/>
  <c r="V89" i="48"/>
  <c r="AA85" i="48"/>
  <c r="AA87" i="48" s="1"/>
  <c r="Y89" i="48"/>
  <c r="AD89" i="48"/>
  <c r="W85" i="48"/>
  <c r="AB85" i="48"/>
  <c r="AA89" i="48"/>
  <c r="AF89" i="48"/>
  <c r="W86" i="48"/>
  <c r="AB86" i="48"/>
  <c r="Y86" i="48"/>
  <c r="AD86" i="48"/>
  <c r="AD87" i="48" s="1"/>
  <c r="AA88" i="48"/>
  <c r="AF88" i="48"/>
  <c r="R89" i="48"/>
  <c r="T88" i="48"/>
  <c r="T85" i="48"/>
  <c r="Z88" i="48"/>
  <c r="X88" i="48"/>
  <c r="X89" i="48"/>
  <c r="S88" i="48"/>
  <c r="U88" i="48"/>
  <c r="U90" i="48" s="1"/>
  <c r="T89" i="48"/>
  <c r="Y85" i="48"/>
  <c r="Z89" i="48"/>
  <c r="W89" i="48"/>
  <c r="S85" i="48"/>
  <c r="Y88" i="48"/>
  <c r="S89" i="48"/>
  <c r="X86" i="48"/>
  <c r="S86" i="48"/>
  <c r="W88" i="48"/>
  <c r="AC12" i="66"/>
  <c r="Z85" i="48"/>
  <c r="Z87" i="48" s="1"/>
  <c r="Y12" i="66"/>
  <c r="V85" i="48"/>
  <c r="V87" i="48" s="1"/>
  <c r="AA12" i="66"/>
  <c r="X85" i="48"/>
  <c r="X12" i="66"/>
  <c r="U85" i="48"/>
  <c r="U87" i="48" s="1"/>
  <c r="U12" i="66"/>
  <c r="R85" i="48"/>
  <c r="C38" i="48"/>
  <c r="BF53" i="47"/>
  <c r="T25" i="62"/>
  <c r="T22" i="62"/>
  <c r="T19" i="66" s="1"/>
  <c r="AG25" i="62"/>
  <c r="AG22" i="62"/>
  <c r="AG19" i="66" s="1"/>
  <c r="AK25" i="62"/>
  <c r="AK22" i="62"/>
  <c r="AK19" i="66" s="1"/>
  <c r="AB25" i="62"/>
  <c r="AB22" i="62"/>
  <c r="AB19" i="66" s="1"/>
  <c r="AD75" i="48" s="1"/>
  <c r="AF25" i="62"/>
  <c r="AF22" i="62"/>
  <c r="AF19" i="66" s="1"/>
  <c r="U25" i="62"/>
  <c r="U22" i="62"/>
  <c r="U19" i="66" s="1"/>
  <c r="AC25" i="62"/>
  <c r="AC22" i="62"/>
  <c r="AC19" i="66" s="1"/>
  <c r="AE75" i="48" s="1"/>
  <c r="AJ25" i="62"/>
  <c r="AJ22" i="62"/>
  <c r="AJ19" i="66" s="1"/>
  <c r="Y25" i="62"/>
  <c r="Y22" i="62"/>
  <c r="Y19" i="66" s="1"/>
  <c r="AD25" i="62"/>
  <c r="AD22" i="62"/>
  <c r="AD19" i="66" s="1"/>
  <c r="Z25" i="62"/>
  <c r="Z22" i="62"/>
  <c r="Z19" i="66" s="1"/>
  <c r="AB75" i="48" s="1"/>
  <c r="V25" i="62"/>
  <c r="V22" i="62"/>
  <c r="V19" i="66" s="1"/>
  <c r="W25" i="62"/>
  <c r="W22" i="62"/>
  <c r="W19" i="66" s="1"/>
  <c r="AH25" i="62"/>
  <c r="AH22" i="62"/>
  <c r="AH19" i="66" s="1"/>
  <c r="S25" i="62"/>
  <c r="S22" i="62"/>
  <c r="S19" i="66" s="1"/>
  <c r="Q25" i="62"/>
  <c r="Q22" i="62"/>
  <c r="Q19" i="66" s="1"/>
  <c r="P25" i="62"/>
  <c r="P22" i="62"/>
  <c r="R25" i="62"/>
  <c r="R22" i="62"/>
  <c r="P21" i="62"/>
  <c r="P18" i="66" s="1"/>
  <c r="R21" i="62"/>
  <c r="R18" i="66" s="1"/>
  <c r="AB21" i="62"/>
  <c r="AB18" i="66" s="1"/>
  <c r="AD74" i="48" s="1"/>
  <c r="AF21" i="62"/>
  <c r="AF18" i="66" s="1"/>
  <c r="AG21" i="62"/>
  <c r="AG18" i="66" s="1"/>
  <c r="U24" i="62"/>
  <c r="U21" i="66" s="1"/>
  <c r="U21" i="62"/>
  <c r="U18" i="66" s="1"/>
  <c r="AC23" i="62"/>
  <c r="AC20" i="66" s="1"/>
  <c r="AE76" i="48" s="1"/>
  <c r="AC21" i="62"/>
  <c r="AC18" i="66" s="1"/>
  <c r="AD21" i="62"/>
  <c r="AD18" i="66" s="1"/>
  <c r="AK24" i="62"/>
  <c r="AK21" i="66" s="1"/>
  <c r="AK21" i="62"/>
  <c r="AK18" i="66" s="1"/>
  <c r="AJ24" i="62"/>
  <c r="AJ21" i="66" s="1"/>
  <c r="AJ21" i="62"/>
  <c r="AJ18" i="66" s="1"/>
  <c r="W20" i="66"/>
  <c r="W21" i="62"/>
  <c r="W18" i="66" s="1"/>
  <c r="Z24" i="62"/>
  <c r="Z21" i="66" s="1"/>
  <c r="AB77" i="48" s="1"/>
  <c r="Z21" i="62"/>
  <c r="Z18" i="66" s="1"/>
  <c r="AB74" i="48" s="1"/>
  <c r="V23" i="62"/>
  <c r="V20" i="66" s="1"/>
  <c r="V21" i="62"/>
  <c r="V18" i="66" s="1"/>
  <c r="T21" i="62"/>
  <c r="T18" i="66" s="1"/>
  <c r="Y21" i="62"/>
  <c r="Y18" i="66" s="1"/>
  <c r="AH21" i="62"/>
  <c r="AH18" i="66" s="1"/>
  <c r="S24" i="62"/>
  <c r="S21" i="66" s="1"/>
  <c r="S21" i="62"/>
  <c r="S18" i="66" s="1"/>
  <c r="Q23" i="62"/>
  <c r="Q20" i="66" s="1"/>
  <c r="Q21" i="62"/>
  <c r="Q18" i="66" s="1"/>
  <c r="AD24" i="62"/>
  <c r="AD21" i="66" s="1"/>
  <c r="F41" i="47"/>
  <c r="G19" i="62"/>
  <c r="AD23" i="62"/>
  <c r="AD20" i="66" s="1"/>
  <c r="E41" i="47"/>
  <c r="I41" i="47"/>
  <c r="G41" i="47"/>
  <c r="H19" i="62"/>
  <c r="F19" i="62"/>
  <c r="I19" i="62"/>
  <c r="AF12" i="66"/>
  <c r="H41" i="47"/>
  <c r="E19" i="62"/>
  <c r="J22" i="47"/>
  <c r="J48" i="47" s="1"/>
  <c r="H22" i="47"/>
  <c r="H48" i="47" s="1"/>
  <c r="F22" i="47"/>
  <c r="F48" i="47" s="1"/>
  <c r="G22" i="47"/>
  <c r="G48" i="47" s="1"/>
  <c r="E22" i="47"/>
  <c r="E48" i="47" s="1"/>
  <c r="I22" i="47"/>
  <c r="I48" i="47" s="1"/>
  <c r="E44" i="47"/>
  <c r="E17" i="66" s="1"/>
  <c r="E14" i="66"/>
  <c r="F13" i="66"/>
  <c r="F43" i="47"/>
  <c r="G44" i="47"/>
  <c r="G17" i="66" s="1"/>
  <c r="G14" i="66"/>
  <c r="I44" i="47"/>
  <c r="I17" i="66" s="1"/>
  <c r="I14" i="66"/>
  <c r="G13" i="66"/>
  <c r="G43" i="47"/>
  <c r="H44" i="47"/>
  <c r="H17" i="66" s="1"/>
  <c r="H14" i="66"/>
  <c r="I13" i="66"/>
  <c r="I43" i="47"/>
  <c r="F44" i="47"/>
  <c r="F17" i="66" s="1"/>
  <c r="F14" i="66"/>
  <c r="H13" i="66"/>
  <c r="H43" i="47"/>
  <c r="E13" i="66"/>
  <c r="E43" i="47"/>
  <c r="J41" i="47"/>
  <c r="J19" i="62"/>
  <c r="J13" i="66"/>
  <c r="J43" i="47"/>
  <c r="J44" i="47"/>
  <c r="J17" i="66" s="1"/>
  <c r="J14" i="66"/>
  <c r="Q24" i="62"/>
  <c r="Q21" i="66" s="1"/>
  <c r="M19" i="62"/>
  <c r="K41" i="47"/>
  <c r="K48" i="76"/>
  <c r="AX31" i="47" s="1"/>
  <c r="M41" i="47"/>
  <c r="L41" i="47"/>
  <c r="K19" i="62"/>
  <c r="L19" i="62"/>
  <c r="M44" i="47"/>
  <c r="M17" i="66" s="1"/>
  <c r="M14" i="66"/>
  <c r="BH14" i="66" s="1"/>
  <c r="M13" i="66"/>
  <c r="M43" i="47"/>
  <c r="L13" i="66"/>
  <c r="L43" i="47"/>
  <c r="L44" i="47"/>
  <c r="L17" i="66" s="1"/>
  <c r="L14" i="66"/>
  <c r="K44" i="47"/>
  <c r="K17" i="66" s="1"/>
  <c r="K14" i="66"/>
  <c r="K13" i="66"/>
  <c r="K43" i="47"/>
  <c r="M22" i="47"/>
  <c r="M48" i="47" s="1"/>
  <c r="L22" i="47"/>
  <c r="L48" i="47" s="1"/>
  <c r="K22" i="47"/>
  <c r="K48" i="47" s="1"/>
  <c r="S12" i="66"/>
  <c r="O41" i="47"/>
  <c r="N41" i="47"/>
  <c r="O19" i="62"/>
  <c r="N19" i="62"/>
  <c r="BD22" i="47"/>
  <c r="N22" i="47"/>
  <c r="N48" i="47" s="1"/>
  <c r="O22" i="47"/>
  <c r="O48" i="47" s="1"/>
  <c r="N44" i="47"/>
  <c r="N17" i="66" s="1"/>
  <c r="P89" i="48" s="1"/>
  <c r="N14" i="66"/>
  <c r="P86" i="48" s="1"/>
  <c r="O13" i="66"/>
  <c r="Q85" i="48" s="1"/>
  <c r="O43" i="47"/>
  <c r="N13" i="66"/>
  <c r="P85" i="48" s="1"/>
  <c r="N43" i="47"/>
  <c r="O44" i="47"/>
  <c r="O17" i="66" s="1"/>
  <c r="Q89" i="48" s="1"/>
  <c r="O14" i="66"/>
  <c r="Q86" i="48" s="1"/>
  <c r="P12" i="66"/>
  <c r="R15" i="66"/>
  <c r="AD57" i="47"/>
  <c r="AD31" i="62" s="1"/>
  <c r="AD33" i="62" s="1"/>
  <c r="U57" i="47"/>
  <c r="U31" i="62" s="1"/>
  <c r="U33" i="62" s="1"/>
  <c r="I47" i="76"/>
  <c r="AW25" i="47" s="1"/>
  <c r="AW28" i="47" s="1"/>
  <c r="V57" i="47"/>
  <c r="V31" i="62" s="1"/>
  <c r="V33" i="62" s="1"/>
  <c r="E47" i="76"/>
  <c r="AW23" i="47" s="1"/>
  <c r="AV22" i="47"/>
  <c r="AH56" i="47"/>
  <c r="AH61" i="47" s="1"/>
  <c r="R24" i="62"/>
  <c r="T47" i="76"/>
  <c r="AW47" i="47" s="1"/>
  <c r="AW48" i="47" s="1"/>
  <c r="R23" i="62"/>
  <c r="Z57" i="47"/>
  <c r="Z31" i="62" s="1"/>
  <c r="Z33" i="62" s="1"/>
  <c r="G47" i="76"/>
  <c r="AW24" i="47" s="1"/>
  <c r="AW27" i="47" s="1"/>
  <c r="AJ56" i="47"/>
  <c r="AJ61" i="47" s="1"/>
  <c r="AH57" i="47"/>
  <c r="AH31" i="62" s="1"/>
  <c r="AH33" i="62" s="1"/>
  <c r="I46" i="76"/>
  <c r="O48" i="76" s="1"/>
  <c r="AX33" i="47" s="1"/>
  <c r="AB57" i="47"/>
  <c r="AB31" i="62" s="1"/>
  <c r="AB33" i="62" s="1"/>
  <c r="Q57" i="47"/>
  <c r="Q62" i="47" s="1"/>
  <c r="Q63" i="47" s="1"/>
  <c r="E45" i="76"/>
  <c r="AU23" i="47" s="1"/>
  <c r="G45" i="76"/>
  <c r="M46" i="76" s="1"/>
  <c r="AV32" i="47" s="1"/>
  <c r="AI57" i="47"/>
  <c r="AI31" i="62" s="1"/>
  <c r="AI33" i="62" s="1"/>
  <c r="T46" i="76"/>
  <c r="AV47" i="47" s="1"/>
  <c r="AK56" i="47"/>
  <c r="AK61" i="47" s="1"/>
  <c r="G46" i="76"/>
  <c r="AV24" i="47" s="1"/>
  <c r="AV27" i="47" s="1"/>
  <c r="AH24" i="62"/>
  <c r="AH21" i="66" s="1"/>
  <c r="P24" i="62"/>
  <c r="T24" i="62"/>
  <c r="T21" i="66" s="1"/>
  <c r="U23" i="62"/>
  <c r="U20" i="66" s="1"/>
  <c r="AH23" i="62"/>
  <c r="AH20" i="66" s="1"/>
  <c r="AC24" i="62"/>
  <c r="AC21" i="66" s="1"/>
  <c r="T23" i="62"/>
  <c r="T20" i="66" s="1"/>
  <c r="P23" i="62"/>
  <c r="AB56" i="47"/>
  <c r="AB61" i="47" s="1"/>
  <c r="W57" i="47"/>
  <c r="W31" i="62" s="1"/>
  <c r="W33" i="62" s="1"/>
  <c r="AK23" i="62"/>
  <c r="AK20" i="66" s="1"/>
  <c r="AB34" i="47"/>
  <c r="AF23" i="62"/>
  <c r="AF20" i="66" s="1"/>
  <c r="AB23" i="62"/>
  <c r="AB20" i="66" s="1"/>
  <c r="AE12" i="66"/>
  <c r="AK57" i="47"/>
  <c r="AK31" i="62" s="1"/>
  <c r="AK33" i="62" s="1"/>
  <c r="S23" i="62"/>
  <c r="S20" i="66" s="1"/>
  <c r="W24" i="62"/>
  <c r="W21" i="66" s="1"/>
  <c r="T57" i="47"/>
  <c r="T31" i="62" s="1"/>
  <c r="T33" i="62" s="1"/>
  <c r="AG23" i="62"/>
  <c r="AG20" i="66" s="1"/>
  <c r="R53" i="76"/>
  <c r="BC18" i="62" s="1"/>
  <c r="Y24" i="62"/>
  <c r="Y21" i="66" s="1"/>
  <c r="AC34" i="47"/>
  <c r="AK34" i="47"/>
  <c r="V12" i="66"/>
  <c r="W56" i="47"/>
  <c r="W61" i="47" s="1"/>
  <c r="E43" i="76"/>
  <c r="AS23" i="47" s="1"/>
  <c r="AJ23" i="62"/>
  <c r="AJ20" i="66" s="1"/>
  <c r="T43" i="76"/>
  <c r="AS47" i="47" s="1"/>
  <c r="AS48" i="47" s="1"/>
  <c r="P56" i="47"/>
  <c r="P61" i="47" s="1"/>
  <c r="U47" i="76"/>
  <c r="W12" i="66"/>
  <c r="AG24" i="62"/>
  <c r="AG21" i="66" s="1"/>
  <c r="G43" i="76"/>
  <c r="M44" i="76" s="1"/>
  <c r="AT32" i="47" s="1"/>
  <c r="AI56" i="47"/>
  <c r="AI61" i="47" s="1"/>
  <c r="Y23" i="62"/>
  <c r="Y20" i="66" s="1"/>
  <c r="P47" i="76"/>
  <c r="AW38" i="47" s="1"/>
  <c r="I43" i="76"/>
  <c r="O45" i="76" s="1"/>
  <c r="AU33" i="47" s="1"/>
  <c r="AJ57" i="47"/>
  <c r="AJ31" i="62" s="1"/>
  <c r="AJ33" i="62" s="1"/>
  <c r="AE57" i="47"/>
  <c r="AE31" i="62" s="1"/>
  <c r="AE33" i="62" s="1"/>
  <c r="AB24" i="62"/>
  <c r="AB21" i="66" s="1"/>
  <c r="AD77" i="48" s="1"/>
  <c r="AF57" i="47"/>
  <c r="AF31" i="62" s="1"/>
  <c r="AF33" i="62" s="1"/>
  <c r="AF24" i="62"/>
  <c r="AF21" i="66" s="1"/>
  <c r="Z23" i="62"/>
  <c r="Z20" i="66" s="1"/>
  <c r="AB76" i="48" s="1"/>
  <c r="C37" i="76"/>
  <c r="AM22" i="47" s="1"/>
  <c r="R34" i="47"/>
  <c r="V24" i="62"/>
  <c r="V21" i="66" s="1"/>
  <c r="Z12" i="66"/>
  <c r="Q12" i="66"/>
  <c r="H37" i="76"/>
  <c r="R37" i="76" s="1"/>
  <c r="W15" i="66"/>
  <c r="AK12" i="66"/>
  <c r="X57" i="47"/>
  <c r="X31" i="62" s="1"/>
  <c r="X33" i="62" s="1"/>
  <c r="AI34" i="47"/>
  <c r="F37" i="76"/>
  <c r="L38" i="76" s="1"/>
  <c r="AE56" i="47"/>
  <c r="AE61" i="47" s="1"/>
  <c r="Q34" i="47"/>
  <c r="T45" i="76"/>
  <c r="AU26" i="47" s="1"/>
  <c r="AI12" i="66"/>
  <c r="R12" i="66"/>
  <c r="I45" i="76"/>
  <c r="AU25" i="47" s="1"/>
  <c r="AU28" i="47" s="1"/>
  <c r="P57" i="47"/>
  <c r="P62" i="47" s="1"/>
  <c r="P63" i="47" s="1"/>
  <c r="AA34" i="47"/>
  <c r="L47" i="76"/>
  <c r="Q47" i="76" s="1"/>
  <c r="R50" i="76"/>
  <c r="N52" i="76"/>
  <c r="R52" i="76" s="1"/>
  <c r="T12" i="66"/>
  <c r="L50" i="76"/>
  <c r="Q50" i="76" s="1"/>
  <c r="N47" i="76"/>
  <c r="R47" i="76" s="1"/>
  <c r="AB12" i="66"/>
  <c r="V34" i="47"/>
  <c r="Q53" i="76"/>
  <c r="L54" i="76"/>
  <c r="Q54" i="76" s="1"/>
  <c r="BF17" i="62" s="1"/>
  <c r="O46" i="76"/>
  <c r="AV33" i="47" s="1"/>
  <c r="AT25" i="47"/>
  <c r="AT28" i="47" s="1"/>
  <c r="AX18" i="62"/>
  <c r="AX40" i="47"/>
  <c r="N42" i="76"/>
  <c r="R42" i="76" s="1"/>
  <c r="L52" i="76"/>
  <c r="Q52" i="76" s="1"/>
  <c r="L49" i="76"/>
  <c r="Q49" i="76" s="1"/>
  <c r="R43" i="76"/>
  <c r="N45" i="76"/>
  <c r="R45" i="76" s="1"/>
  <c r="N54" i="76"/>
  <c r="R54" i="76" s="1"/>
  <c r="L43" i="76"/>
  <c r="Q43" i="76" s="1"/>
  <c r="Q41" i="76"/>
  <c r="L42" i="76"/>
  <c r="Q42" i="76" s="1"/>
  <c r="AT23" i="47"/>
  <c r="K46" i="76"/>
  <c r="AV31" i="47" s="1"/>
  <c r="L48" i="76"/>
  <c r="Q48" i="76" s="1"/>
  <c r="Y34" i="47"/>
  <c r="Z34" i="47"/>
  <c r="K49" i="76"/>
  <c r="AY31" i="47" s="1"/>
  <c r="L51" i="76"/>
  <c r="Q51" i="76" s="1"/>
  <c r="AD34" i="47"/>
  <c r="R44" i="76"/>
  <c r="N46" i="76"/>
  <c r="R46" i="76" s="1"/>
  <c r="Q45" i="76"/>
  <c r="L46" i="76"/>
  <c r="Q46" i="76" s="1"/>
  <c r="AT24" i="47"/>
  <c r="AT27" i="47" s="1"/>
  <c r="M45" i="76"/>
  <c r="AU32" i="47" s="1"/>
  <c r="AG34" i="47"/>
  <c r="N49" i="76"/>
  <c r="R49" i="76" s="1"/>
  <c r="Y56" i="47"/>
  <c r="Y58" i="47" s="1"/>
  <c r="Y60" i="47" s="1"/>
  <c r="AG12" i="66"/>
  <c r="T15" i="66"/>
  <c r="N51" i="76"/>
  <c r="R51" i="76" s="1"/>
  <c r="AV25" i="47"/>
  <c r="AV28" i="47" s="1"/>
  <c r="AT47" i="47"/>
  <c r="AT48" i="47" s="1"/>
  <c r="AT26" i="47"/>
  <c r="S34" i="47"/>
  <c r="W34" i="47"/>
  <c r="L44" i="76"/>
  <c r="Q44" i="76" s="1"/>
  <c r="U51" i="76"/>
  <c r="P51" i="76"/>
  <c r="BA38" i="47" s="1"/>
  <c r="U56" i="47"/>
  <c r="U61" i="47" s="1"/>
  <c r="P46" i="76"/>
  <c r="AV38" i="47" s="1"/>
  <c r="U46" i="76"/>
  <c r="T50" i="76"/>
  <c r="G50" i="76"/>
  <c r="E50" i="76"/>
  <c r="I50" i="76"/>
  <c r="AD56" i="47"/>
  <c r="AD61" i="47" s="1"/>
  <c r="P49" i="76"/>
  <c r="AY38" i="47" s="1"/>
  <c r="U49" i="76"/>
  <c r="P44" i="76"/>
  <c r="AT38" i="47" s="1"/>
  <c r="U44" i="76"/>
  <c r="U52" i="76"/>
  <c r="P52" i="76"/>
  <c r="BB38" i="47" s="1"/>
  <c r="G41" i="76"/>
  <c r="T41" i="76"/>
  <c r="I41" i="76"/>
  <c r="E41" i="76"/>
  <c r="U40" i="76"/>
  <c r="AG56" i="47"/>
  <c r="AG58" i="47" s="1"/>
  <c r="AG60" i="47" s="1"/>
  <c r="P48" i="76"/>
  <c r="AX38" i="47" s="1"/>
  <c r="U48" i="76"/>
  <c r="P37" i="76"/>
  <c r="AM38" i="47" s="1"/>
  <c r="T49" i="76"/>
  <c r="I49" i="76"/>
  <c r="G49" i="76"/>
  <c r="E49" i="76"/>
  <c r="U54" i="76"/>
  <c r="P54" i="76"/>
  <c r="BD38" i="47" s="1"/>
  <c r="P45" i="76"/>
  <c r="AU38" i="47" s="1"/>
  <c r="U45" i="76"/>
  <c r="P53" i="76"/>
  <c r="BC38" i="47" s="1"/>
  <c r="U53" i="76"/>
  <c r="V44" i="76"/>
  <c r="AT53" i="47" s="1"/>
  <c r="S39" i="76"/>
  <c r="D39" i="76"/>
  <c r="J41" i="76" s="1"/>
  <c r="P41" i="76" s="1"/>
  <c r="AQ38" i="47" s="1"/>
  <c r="C39" i="76"/>
  <c r="AO22" i="47" s="1"/>
  <c r="H39" i="76"/>
  <c r="F39" i="76"/>
  <c r="R56" i="47"/>
  <c r="R58" i="47" s="1"/>
  <c r="R60" i="47" s="1"/>
  <c r="Q56" i="47"/>
  <c r="Q61" i="47" s="1"/>
  <c r="U43" i="76"/>
  <c r="I42" i="76"/>
  <c r="E42" i="76"/>
  <c r="G42" i="76"/>
  <c r="T42" i="76"/>
  <c r="T52" i="76"/>
  <c r="G52" i="76"/>
  <c r="E52" i="76"/>
  <c r="I52" i="76"/>
  <c r="U41" i="76"/>
  <c r="I53" i="76"/>
  <c r="BC25" i="47" s="1"/>
  <c r="BC28" i="47" s="1"/>
  <c r="T53" i="76"/>
  <c r="G53" i="76"/>
  <c r="E53" i="76"/>
  <c r="I40" i="76"/>
  <c r="G40" i="76"/>
  <c r="E40" i="76"/>
  <c r="T40" i="76"/>
  <c r="G51" i="76"/>
  <c r="E51" i="76"/>
  <c r="T51" i="76"/>
  <c r="I51" i="76"/>
  <c r="AC56" i="47"/>
  <c r="AC58" i="47" s="1"/>
  <c r="AC60" i="47" s="1"/>
  <c r="I48" i="76"/>
  <c r="G48" i="76"/>
  <c r="T48" i="76"/>
  <c r="E48" i="76"/>
  <c r="U50" i="76"/>
  <c r="P50" i="76"/>
  <c r="AZ38" i="47" s="1"/>
  <c r="U42" i="76"/>
  <c r="P42" i="76"/>
  <c r="AR38" i="47" s="1"/>
  <c r="G54" i="76"/>
  <c r="T54" i="76"/>
  <c r="I54" i="76"/>
  <c r="BF25" i="47" s="1"/>
  <c r="F59" i="48" s="1"/>
  <c r="C41" i="48" s="1"/>
  <c r="E54" i="76"/>
  <c r="BF23" i="47" s="1"/>
  <c r="F57" i="48" s="1"/>
  <c r="C39" i="48" s="1"/>
  <c r="X56" i="47"/>
  <c r="X61" i="47" s="1"/>
  <c r="V56" i="47"/>
  <c r="V61" i="47" s="1"/>
  <c r="S38" i="76"/>
  <c r="D38" i="76"/>
  <c r="J40" i="76" s="1"/>
  <c r="P40" i="76" s="1"/>
  <c r="AP38" i="47" s="1"/>
  <c r="C38" i="76"/>
  <c r="AN22" i="47" s="1"/>
  <c r="F38" i="76"/>
  <c r="H38" i="76"/>
  <c r="S36" i="76"/>
  <c r="D36" i="76"/>
  <c r="J38" i="76" s="1"/>
  <c r="H36" i="76"/>
  <c r="F36" i="76"/>
  <c r="C36" i="76"/>
  <c r="AL22" i="47" s="1"/>
  <c r="R88" i="48" l="1"/>
  <c r="BH17" i="66"/>
  <c r="BH13" i="66"/>
  <c r="AC15" i="66"/>
  <c r="AA15" i="66"/>
  <c r="AB15" i="66"/>
  <c r="AC32" i="62"/>
  <c r="AC27" i="66" s="1"/>
  <c r="AE78" i="48" s="1"/>
  <c r="AD90" i="48"/>
  <c r="E16" i="66"/>
  <c r="E22" i="66"/>
  <c r="F16" i="66"/>
  <c r="F15" i="66" s="1"/>
  <c r="F22" i="66"/>
  <c r="I16" i="66"/>
  <c r="I15" i="66" s="1"/>
  <c r="I22" i="66"/>
  <c r="L16" i="66"/>
  <c r="L15" i="66" s="1"/>
  <c r="L22" i="66"/>
  <c r="H16" i="66"/>
  <c r="H22" i="66"/>
  <c r="G16" i="66"/>
  <c r="G15" i="66" s="1"/>
  <c r="G22" i="66"/>
  <c r="N16" i="66"/>
  <c r="P88" i="48" s="1"/>
  <c r="P90" i="48" s="1"/>
  <c r="N22" i="66"/>
  <c r="K16" i="66"/>
  <c r="K22" i="66"/>
  <c r="M16" i="66"/>
  <c r="M22" i="66"/>
  <c r="J16" i="66"/>
  <c r="J22" i="66"/>
  <c r="O16" i="66"/>
  <c r="Q88" i="48" s="1"/>
  <c r="Q90" i="48" s="1"/>
  <c r="O22" i="66"/>
  <c r="R87" i="48"/>
  <c r="O85" i="48"/>
  <c r="O89" i="48"/>
  <c r="O88" i="48"/>
  <c r="O86" i="48"/>
  <c r="AG62" i="47"/>
  <c r="AG63" i="47" s="1"/>
  <c r="AA62" i="47"/>
  <c r="AG32" i="62"/>
  <c r="AG27" i="66" s="1"/>
  <c r="AA58" i="47"/>
  <c r="AA60" i="47" s="1"/>
  <c r="AA31" i="66" s="1"/>
  <c r="S58" i="47"/>
  <c r="S60" i="47" s="1"/>
  <c r="S35" i="62" s="1"/>
  <c r="AH62" i="47"/>
  <c r="AH63" i="47" s="1"/>
  <c r="AE62" i="47"/>
  <c r="AE63" i="47" s="1"/>
  <c r="AI62" i="47"/>
  <c r="AI63" i="47" s="1"/>
  <c r="W62" i="47"/>
  <c r="W63" i="47" s="1"/>
  <c r="AD62" i="47"/>
  <c r="AD63" i="47" s="1"/>
  <c r="Y61" i="47"/>
  <c r="T62" i="47"/>
  <c r="T63" i="47" s="1"/>
  <c r="Y62" i="47"/>
  <c r="Y63" i="47" s="1"/>
  <c r="AB62" i="47"/>
  <c r="AB63" i="47" s="1"/>
  <c r="AK62" i="47"/>
  <c r="AK63" i="47" s="1"/>
  <c r="AF62" i="47"/>
  <c r="AF63" i="47" s="1"/>
  <c r="X62" i="47"/>
  <c r="X63" i="47" s="1"/>
  <c r="U62" i="47"/>
  <c r="U63" i="47" s="1"/>
  <c r="AJ62" i="47"/>
  <c r="AJ63" i="47" s="1"/>
  <c r="V62" i="47"/>
  <c r="V63" i="47" s="1"/>
  <c r="AC62" i="47"/>
  <c r="AC63" i="47" s="1"/>
  <c r="AG61" i="47"/>
  <c r="R61" i="47"/>
  <c r="Z62" i="47"/>
  <c r="Z63" i="47" s="1"/>
  <c r="AC61" i="47"/>
  <c r="AA32" i="62"/>
  <c r="AA27" i="66" s="1"/>
  <c r="AC78" i="48" s="1"/>
  <c r="Y32" i="62"/>
  <c r="Y27" i="66" s="1"/>
  <c r="K47" i="76"/>
  <c r="AW31" i="47" s="1"/>
  <c r="T87" i="48"/>
  <c r="Y87" i="48"/>
  <c r="V90" i="48"/>
  <c r="AB87" i="48"/>
  <c r="Y90" i="48"/>
  <c r="Z90" i="48"/>
  <c r="AA90" i="48"/>
  <c r="W87" i="48"/>
  <c r="M85" i="48"/>
  <c r="AF90" i="48"/>
  <c r="AA77" i="48"/>
  <c r="AF77" i="48"/>
  <c r="AA75" i="48"/>
  <c r="AF75" i="48"/>
  <c r="AA74" i="48"/>
  <c r="AF74" i="48"/>
  <c r="V77" i="48"/>
  <c r="Y76" i="48"/>
  <c r="AD76" i="48"/>
  <c r="AA76" i="48"/>
  <c r="AF76" i="48"/>
  <c r="Z77" i="48"/>
  <c r="AE77" i="48"/>
  <c r="Z74" i="48"/>
  <c r="AE74" i="48"/>
  <c r="R90" i="48"/>
  <c r="X90" i="48"/>
  <c r="W90" i="48"/>
  <c r="S87" i="48"/>
  <c r="Q87" i="48"/>
  <c r="P87" i="48"/>
  <c r="T90" i="48"/>
  <c r="S90" i="48"/>
  <c r="X87" i="48"/>
  <c r="Y77" i="48"/>
  <c r="V75" i="48"/>
  <c r="Y75" i="48"/>
  <c r="Z76" i="48"/>
  <c r="X76" i="48"/>
  <c r="Y74" i="48"/>
  <c r="X77" i="48"/>
  <c r="X74" i="48"/>
  <c r="Z75" i="48"/>
  <c r="X75" i="48"/>
  <c r="L86" i="48"/>
  <c r="K86" i="48"/>
  <c r="K85" i="48"/>
  <c r="R74" i="48"/>
  <c r="L89" i="48"/>
  <c r="G89" i="48"/>
  <c r="G86" i="48"/>
  <c r="M86" i="48"/>
  <c r="I86" i="48"/>
  <c r="H85" i="48"/>
  <c r="K89" i="48"/>
  <c r="J85" i="48"/>
  <c r="L85" i="48"/>
  <c r="M89" i="48"/>
  <c r="I85" i="48"/>
  <c r="J89" i="48"/>
  <c r="N85" i="48"/>
  <c r="H86" i="48"/>
  <c r="G85" i="48"/>
  <c r="N86" i="48"/>
  <c r="H89" i="48"/>
  <c r="N89" i="48"/>
  <c r="I89" i="48"/>
  <c r="J86" i="48"/>
  <c r="F89" i="48"/>
  <c r="F86" i="48"/>
  <c r="F85" i="48"/>
  <c r="BF17" i="66"/>
  <c r="BF14" i="66"/>
  <c r="BF13" i="66"/>
  <c r="U74" i="48"/>
  <c r="U77" i="48"/>
  <c r="W75" i="48"/>
  <c r="W77" i="48"/>
  <c r="W74" i="48"/>
  <c r="U76" i="48"/>
  <c r="T74" i="48"/>
  <c r="U75" i="48"/>
  <c r="V74" i="48"/>
  <c r="W76" i="48"/>
  <c r="S74" i="48"/>
  <c r="V76" i="48"/>
  <c r="G25" i="62"/>
  <c r="G22" i="62"/>
  <c r="G19" i="66" s="1"/>
  <c r="N25" i="62"/>
  <c r="N22" i="62"/>
  <c r="N19" i="66" s="1"/>
  <c r="M25" i="62"/>
  <c r="M22" i="62"/>
  <c r="I25" i="62"/>
  <c r="I22" i="62"/>
  <c r="I19" i="66" s="1"/>
  <c r="F25" i="62"/>
  <c r="F22" i="62"/>
  <c r="F19" i="66" s="1"/>
  <c r="L25" i="62"/>
  <c r="L22" i="62"/>
  <c r="L19" i="66" s="1"/>
  <c r="H25" i="62"/>
  <c r="H22" i="62"/>
  <c r="H19" i="66" s="1"/>
  <c r="O25" i="62"/>
  <c r="O22" i="62"/>
  <c r="O19" i="66" s="1"/>
  <c r="K25" i="62"/>
  <c r="K22" i="62"/>
  <c r="K19" i="66" s="1"/>
  <c r="J25" i="62"/>
  <c r="J22" i="62"/>
  <c r="E25" i="62"/>
  <c r="E22" i="62"/>
  <c r="X32" i="62"/>
  <c r="X27" i="66" s="1"/>
  <c r="AE32" i="62"/>
  <c r="AE27" i="66" s="1"/>
  <c r="W32" i="62"/>
  <c r="W27" i="66" s="1"/>
  <c r="AJ32" i="62"/>
  <c r="AJ27" i="66" s="1"/>
  <c r="AK32" i="62"/>
  <c r="AK27" i="66" s="1"/>
  <c r="AB32" i="62"/>
  <c r="AB27" i="66" s="1"/>
  <c r="T32" i="62"/>
  <c r="T27" i="66" s="1"/>
  <c r="Z32" i="62"/>
  <c r="Z27" i="66" s="1"/>
  <c r="AB78" i="48" s="1"/>
  <c r="V32" i="62"/>
  <c r="V27" i="66" s="1"/>
  <c r="AF32" i="62"/>
  <c r="AF27" i="66" s="1"/>
  <c r="AI32" i="62"/>
  <c r="AI27" i="66" s="1"/>
  <c r="AH32" i="62"/>
  <c r="AH27" i="66" s="1"/>
  <c r="U32" i="62"/>
  <c r="U27" i="66" s="1"/>
  <c r="AD32" i="62"/>
  <c r="AD27" i="66" s="1"/>
  <c r="M23" i="62"/>
  <c r="M21" i="62"/>
  <c r="I24" i="62"/>
  <c r="I21" i="66" s="1"/>
  <c r="I21" i="62"/>
  <c r="I18" i="66" s="1"/>
  <c r="N23" i="62"/>
  <c r="N20" i="66" s="1"/>
  <c r="N21" i="62"/>
  <c r="N18" i="66" s="1"/>
  <c r="L21" i="62"/>
  <c r="L18" i="66" s="1"/>
  <c r="F24" i="62"/>
  <c r="F21" i="66" s="1"/>
  <c r="F21" i="62"/>
  <c r="F18" i="66" s="1"/>
  <c r="G21" i="62"/>
  <c r="G18" i="66" s="1"/>
  <c r="O24" i="62"/>
  <c r="O21" i="66" s="1"/>
  <c r="O21" i="62"/>
  <c r="O18" i="66" s="1"/>
  <c r="Q74" i="48" s="1"/>
  <c r="K21" i="62"/>
  <c r="K18" i="66" s="1"/>
  <c r="H23" i="62"/>
  <c r="H20" i="66" s="1"/>
  <c r="H21" i="62"/>
  <c r="H18" i="66" s="1"/>
  <c r="J23" i="62"/>
  <c r="J21" i="62"/>
  <c r="E21" i="62"/>
  <c r="S25" i="66"/>
  <c r="S31" i="62"/>
  <c r="S33" i="62" s="1"/>
  <c r="P25" i="66"/>
  <c r="P31" i="62"/>
  <c r="R25" i="66"/>
  <c r="R31" i="62"/>
  <c r="R33" i="62" s="1"/>
  <c r="F58" i="48"/>
  <c r="C40" i="48" s="1"/>
  <c r="F123" i="48"/>
  <c r="H123" i="48" s="1"/>
  <c r="G24" i="62"/>
  <c r="G21" i="66" s="1"/>
  <c r="E23" i="62"/>
  <c r="G23" i="62"/>
  <c r="G20" i="66" s="1"/>
  <c r="E24" i="62"/>
  <c r="H24" i="62"/>
  <c r="H21" i="66" s="1"/>
  <c r="I23" i="62"/>
  <c r="I20" i="66" s="1"/>
  <c r="F12" i="66"/>
  <c r="F23" i="62"/>
  <c r="F20" i="66" s="1"/>
  <c r="G12" i="66"/>
  <c r="I12" i="66"/>
  <c r="M48" i="76"/>
  <c r="AX32" i="47" s="1"/>
  <c r="J25" i="47"/>
  <c r="J28" i="47" s="1"/>
  <c r="I25" i="47"/>
  <c r="I28" i="47" s="1"/>
  <c r="E25" i="47"/>
  <c r="G25" i="47"/>
  <c r="G28" i="47" s="1"/>
  <c r="H25" i="47"/>
  <c r="H28" i="47" s="1"/>
  <c r="F25" i="47"/>
  <c r="F28" i="47" s="1"/>
  <c r="H12" i="66"/>
  <c r="J24" i="47"/>
  <c r="J27" i="47" s="1"/>
  <c r="I24" i="47"/>
  <c r="I27" i="47" s="1"/>
  <c r="F24" i="47"/>
  <c r="F27" i="47" s="1"/>
  <c r="E24" i="47"/>
  <c r="E27" i="47" s="1"/>
  <c r="G24" i="47"/>
  <c r="G27" i="47" s="1"/>
  <c r="H24" i="47"/>
  <c r="H27" i="47" s="1"/>
  <c r="E12" i="66"/>
  <c r="J23" i="47"/>
  <c r="J52" i="47" s="1"/>
  <c r="E23" i="47"/>
  <c r="E52" i="47" s="1"/>
  <c r="H23" i="47"/>
  <c r="H52" i="47" s="1"/>
  <c r="G23" i="47"/>
  <c r="G52" i="47" s="1"/>
  <c r="F23" i="47"/>
  <c r="F52" i="47" s="1"/>
  <c r="I23" i="47"/>
  <c r="I52" i="47" s="1"/>
  <c r="O49" i="76"/>
  <c r="AY33" i="47" s="1"/>
  <c r="AD58" i="47"/>
  <c r="J24" i="62"/>
  <c r="J12" i="66"/>
  <c r="U58" i="47"/>
  <c r="AS25" i="47"/>
  <c r="K24" i="62"/>
  <c r="K21" i="66" s="1"/>
  <c r="K23" i="62"/>
  <c r="K20" i="66" s="1"/>
  <c r="M24" i="62"/>
  <c r="L24" i="62"/>
  <c r="L21" i="66" s="1"/>
  <c r="L23" i="62"/>
  <c r="L20" i="66" s="1"/>
  <c r="L12" i="66"/>
  <c r="M47" i="76"/>
  <c r="AW32" i="47" s="1"/>
  <c r="AU47" i="47"/>
  <c r="AU48" i="47" s="1"/>
  <c r="V58" i="47"/>
  <c r="K12" i="66"/>
  <c r="M23" i="47"/>
  <c r="M52" i="47" s="1"/>
  <c r="K23" i="47"/>
  <c r="K52" i="47" s="1"/>
  <c r="L23" i="47"/>
  <c r="L52" i="47" s="1"/>
  <c r="L57" i="47" s="1"/>
  <c r="L25" i="47"/>
  <c r="L28" i="47" s="1"/>
  <c r="K25" i="47"/>
  <c r="K28" i="47" s="1"/>
  <c r="M25" i="47"/>
  <c r="M28" i="47" s="1"/>
  <c r="L24" i="47"/>
  <c r="L27" i="47" s="1"/>
  <c r="M24" i="47"/>
  <c r="M27" i="47" s="1"/>
  <c r="K24" i="47"/>
  <c r="K27" i="47" s="1"/>
  <c r="M12" i="66"/>
  <c r="AI58" i="47"/>
  <c r="AB58" i="47"/>
  <c r="X58" i="47"/>
  <c r="W58" i="47"/>
  <c r="AV48" i="47"/>
  <c r="O23" i="62"/>
  <c r="O20" i="66" s="1"/>
  <c r="AG31" i="66"/>
  <c r="AG35" i="62"/>
  <c r="AG36" i="62" s="1"/>
  <c r="Y31" i="66"/>
  <c r="Y35" i="62"/>
  <c r="Y36" i="62" s="1"/>
  <c r="AC35" i="62"/>
  <c r="AC36" i="62" s="1"/>
  <c r="AC31" i="66"/>
  <c r="O12" i="66"/>
  <c r="R35" i="62"/>
  <c r="R36" i="62" s="1"/>
  <c r="R31" i="66"/>
  <c r="N24" i="62"/>
  <c r="N21" i="66" s="1"/>
  <c r="BD23" i="47"/>
  <c r="O23" i="47"/>
  <c r="O52" i="47" s="1"/>
  <c r="N23" i="47"/>
  <c r="N52" i="47" s="1"/>
  <c r="BD25" i="47"/>
  <c r="BD28" i="47" s="1"/>
  <c r="O25" i="47"/>
  <c r="O28" i="47" s="1"/>
  <c r="N25" i="47"/>
  <c r="BD24" i="47"/>
  <c r="BD27" i="47" s="1"/>
  <c r="N24" i="47"/>
  <c r="N27" i="47" s="1"/>
  <c r="O24" i="47"/>
  <c r="O27" i="47" s="1"/>
  <c r="N12" i="66"/>
  <c r="P20" i="66"/>
  <c r="P19" i="66"/>
  <c r="P21" i="66"/>
  <c r="R19" i="66"/>
  <c r="S75" i="48" s="1"/>
  <c r="R21" i="66"/>
  <c r="R20" i="66"/>
  <c r="Q58" i="47"/>
  <c r="Q60" i="47" s="1"/>
  <c r="U37" i="76"/>
  <c r="AU24" i="47"/>
  <c r="AU27" i="47" s="1"/>
  <c r="V47" i="76"/>
  <c r="AW53" i="47" s="1"/>
  <c r="AV26" i="47"/>
  <c r="AV52" i="47" s="1"/>
  <c r="AS26" i="47"/>
  <c r="AS52" i="47" s="1"/>
  <c r="AW26" i="47"/>
  <c r="AW52" i="47" s="1"/>
  <c r="AK58" i="47"/>
  <c r="AK60" i="47" s="1"/>
  <c r="AH58" i="47"/>
  <c r="AH60" i="47" s="1"/>
  <c r="Z58" i="47"/>
  <c r="Z60" i="47" s="1"/>
  <c r="V46" i="76"/>
  <c r="AV53" i="47" s="1"/>
  <c r="T37" i="76"/>
  <c r="AM26" i="47" s="1"/>
  <c r="AT52" i="47"/>
  <c r="BC40" i="47"/>
  <c r="BC44" i="47" s="1"/>
  <c r="BC17" i="66" s="1"/>
  <c r="I37" i="76"/>
  <c r="AM25" i="47" s="1"/>
  <c r="K45" i="76"/>
  <c r="AU31" i="47" s="1"/>
  <c r="AS24" i="47"/>
  <c r="AS27" i="47" s="1"/>
  <c r="E37" i="76"/>
  <c r="AM23" i="47" s="1"/>
  <c r="G37" i="76"/>
  <c r="AM24" i="47" s="1"/>
  <c r="AM27" i="47" s="1"/>
  <c r="AF58" i="47"/>
  <c r="AF60" i="47" s="1"/>
  <c r="AE58" i="47"/>
  <c r="AE60" i="47" s="1"/>
  <c r="T58" i="47"/>
  <c r="T60" i="47" s="1"/>
  <c r="AV35" i="47"/>
  <c r="AJ58" i="47"/>
  <c r="AJ60" i="47" s="1"/>
  <c r="V43" i="76"/>
  <c r="AS53" i="47" s="1"/>
  <c r="O47" i="76"/>
  <c r="AW33" i="47" s="1"/>
  <c r="V45" i="76"/>
  <c r="AU53" i="47" s="1"/>
  <c r="N39" i="76"/>
  <c r="R39" i="76" s="1"/>
  <c r="P58" i="47"/>
  <c r="P60" i="47" s="1"/>
  <c r="AW35" i="47"/>
  <c r="AV17" i="62"/>
  <c r="AV39" i="47"/>
  <c r="BA39" i="47"/>
  <c r="BA17" i="62"/>
  <c r="AU18" i="62"/>
  <c r="AU40" i="47"/>
  <c r="AY18" i="62"/>
  <c r="AY40" i="47"/>
  <c r="AR39" i="47"/>
  <c r="AR17" i="62"/>
  <c r="AX39" i="47"/>
  <c r="AX41" i="47" s="1"/>
  <c r="AX17" i="62"/>
  <c r="AX19" i="62" s="1"/>
  <c r="AX22" i="62" s="1"/>
  <c r="AY17" i="62"/>
  <c r="AY39" i="47"/>
  <c r="AX25" i="47"/>
  <c r="O50" i="76"/>
  <c r="AZ33" i="47" s="1"/>
  <c r="BA47" i="47"/>
  <c r="BA48" i="47" s="1"/>
  <c r="BA26" i="47"/>
  <c r="K42" i="76"/>
  <c r="AR31" i="47" s="1"/>
  <c r="AP23" i="47"/>
  <c r="BB47" i="47"/>
  <c r="BB48" i="47" s="1"/>
  <c r="BB26" i="47"/>
  <c r="M43" i="76"/>
  <c r="AS32" i="47" s="1"/>
  <c r="AR24" i="47"/>
  <c r="AR27" i="47" s="1"/>
  <c r="L40" i="76"/>
  <c r="Q40" i="76" s="1"/>
  <c r="AY47" i="47"/>
  <c r="AY48" i="47" s="1"/>
  <c r="AY26" i="47"/>
  <c r="M42" i="76"/>
  <c r="AR32" i="47" s="1"/>
  <c r="AQ24" i="47"/>
  <c r="AQ27" i="47" s="1"/>
  <c r="AZ47" i="47"/>
  <c r="AZ48" i="47" s="1"/>
  <c r="AZ26" i="47"/>
  <c r="AS39" i="47"/>
  <c r="AS17" i="62"/>
  <c r="AW18" i="62"/>
  <c r="AW40" i="47"/>
  <c r="AU17" i="62"/>
  <c r="AU39" i="47"/>
  <c r="AQ17" i="62"/>
  <c r="AQ39" i="47"/>
  <c r="BB18" i="62"/>
  <c r="BB40" i="47"/>
  <c r="AX14" i="66"/>
  <c r="AX44" i="47"/>
  <c r="AX17" i="66" s="1"/>
  <c r="AU52" i="47"/>
  <c r="AZ18" i="62"/>
  <c r="AZ40" i="47"/>
  <c r="AM40" i="47"/>
  <c r="AM18" i="62"/>
  <c r="R36" i="76"/>
  <c r="N38" i="76"/>
  <c r="R38" i="76" s="1"/>
  <c r="BD47" i="47"/>
  <c r="BD48" i="47" s="1"/>
  <c r="BD26" i="47"/>
  <c r="V48" i="76"/>
  <c r="AX53" i="47" s="1"/>
  <c r="K50" i="76"/>
  <c r="AZ31" i="47" s="1"/>
  <c r="AX23" i="47"/>
  <c r="V51" i="76"/>
  <c r="BA53" i="47" s="1"/>
  <c r="K53" i="76"/>
  <c r="BC31" i="47" s="1"/>
  <c r="BA23" i="47"/>
  <c r="M41" i="76"/>
  <c r="AQ32" i="47" s="1"/>
  <c r="AP24" i="47"/>
  <c r="AP27" i="47" s="1"/>
  <c r="V53" i="76"/>
  <c r="BC53" i="47" s="1"/>
  <c r="BC23" i="47"/>
  <c r="O54" i="76"/>
  <c r="BD33" i="47" s="1"/>
  <c r="BB25" i="47"/>
  <c r="BB28" i="47" s="1"/>
  <c r="V42" i="76"/>
  <c r="AR53" i="47" s="1"/>
  <c r="K44" i="76"/>
  <c r="AT31" i="47" s="1"/>
  <c r="AR23" i="47"/>
  <c r="N41" i="76"/>
  <c r="R41" i="76" s="1"/>
  <c r="V49" i="76"/>
  <c r="AY53" i="47" s="1"/>
  <c r="K51" i="76"/>
  <c r="BA31" i="47" s="1"/>
  <c r="AY23" i="47"/>
  <c r="AQ23" i="47"/>
  <c r="K43" i="76"/>
  <c r="AS31" i="47" s="1"/>
  <c r="AZ25" i="47"/>
  <c r="AZ28" i="47" s="1"/>
  <c r="O52" i="76"/>
  <c r="BB33" i="47" s="1"/>
  <c r="BA18" i="62"/>
  <c r="BA40" i="47"/>
  <c r="AW51" i="47"/>
  <c r="BD39" i="47"/>
  <c r="BD17" i="62"/>
  <c r="AV51" i="47"/>
  <c r="AS18" i="62"/>
  <c r="AS40" i="47"/>
  <c r="AR18" i="62"/>
  <c r="AR40" i="47"/>
  <c r="Q36" i="76"/>
  <c r="L37" i="76"/>
  <c r="Q37" i="76" s="1"/>
  <c r="N40" i="76"/>
  <c r="R40" i="76" s="1"/>
  <c r="AX47" i="47"/>
  <c r="AX48" i="47" s="1"/>
  <c r="AX26" i="47"/>
  <c r="M52" i="76"/>
  <c r="BB32" i="47" s="1"/>
  <c r="BA24" i="47"/>
  <c r="BA27" i="47" s="1"/>
  <c r="O42" i="76"/>
  <c r="AR33" i="47" s="1"/>
  <c r="AP25" i="47"/>
  <c r="AP28" i="47" s="1"/>
  <c r="M54" i="76"/>
  <c r="BD32" i="47" s="1"/>
  <c r="BC24" i="47"/>
  <c r="BC27" i="47" s="1"/>
  <c r="BB23" i="47"/>
  <c r="K54" i="76"/>
  <c r="BD31" i="47" s="1"/>
  <c r="O44" i="76"/>
  <c r="AT33" i="47" s="1"/>
  <c r="AR25" i="47"/>
  <c r="AR28" i="47" s="1"/>
  <c r="AM47" i="47"/>
  <c r="AM48" i="47" s="1"/>
  <c r="M50" i="76"/>
  <c r="AZ32" i="47" s="1"/>
  <c r="AY24" i="47"/>
  <c r="AY27" i="47" s="1"/>
  <c r="O43" i="76"/>
  <c r="AS33" i="47" s="1"/>
  <c r="AQ25" i="47"/>
  <c r="AQ28" i="47" s="1"/>
  <c r="V50" i="76"/>
  <c r="AZ53" i="47" s="1"/>
  <c r="AZ23" i="47"/>
  <c r="K52" i="76"/>
  <c r="BB31" i="47" s="1"/>
  <c r="AV18" i="62"/>
  <c r="AV40" i="47"/>
  <c r="AZ39" i="47"/>
  <c r="AZ17" i="62"/>
  <c r="AW39" i="47"/>
  <c r="AW17" i="62"/>
  <c r="Q38" i="76"/>
  <c r="L39" i="76"/>
  <c r="Q39" i="76" s="1"/>
  <c r="M49" i="76"/>
  <c r="AY32" i="47" s="1"/>
  <c r="AX24" i="47"/>
  <c r="AX27" i="47" s="1"/>
  <c r="O53" i="76"/>
  <c r="BC33" i="47" s="1"/>
  <c r="BA25" i="47"/>
  <c r="AP47" i="47"/>
  <c r="AP48" i="47" s="1"/>
  <c r="AP26" i="47"/>
  <c r="BC47" i="47"/>
  <c r="BC48" i="47" s="1"/>
  <c r="BC26" i="47"/>
  <c r="M53" i="76"/>
  <c r="BC32" i="47" s="1"/>
  <c r="BB24" i="47"/>
  <c r="BB27" i="47" s="1"/>
  <c r="AR47" i="47"/>
  <c r="AR48" i="47" s="1"/>
  <c r="AR26" i="47"/>
  <c r="O51" i="76"/>
  <c r="BA33" i="47" s="1"/>
  <c r="AY25" i="47"/>
  <c r="AQ47" i="47"/>
  <c r="AQ48" i="47" s="1"/>
  <c r="AQ26" i="47"/>
  <c r="M51" i="76"/>
  <c r="BA32" i="47" s="1"/>
  <c r="AZ24" i="47"/>
  <c r="AZ27" i="47" s="1"/>
  <c r="AT39" i="47"/>
  <c r="AT17" i="62"/>
  <c r="AT51" i="47"/>
  <c r="AT18" i="62"/>
  <c r="AT40" i="47"/>
  <c r="BD18" i="62"/>
  <c r="BD40" i="47"/>
  <c r="BB17" i="62"/>
  <c r="BB39" i="47"/>
  <c r="BC17" i="62"/>
  <c r="BC19" i="62" s="1"/>
  <c r="BC22" i="62" s="1"/>
  <c r="BC39" i="47"/>
  <c r="V54" i="76"/>
  <c r="BD53" i="47" s="1"/>
  <c r="P39" i="76"/>
  <c r="AO38" i="47" s="1"/>
  <c r="U39" i="76"/>
  <c r="P36" i="76"/>
  <c r="AL38" i="47" s="1"/>
  <c r="U36" i="76"/>
  <c r="G38" i="76"/>
  <c r="I38" i="76"/>
  <c r="T38" i="76"/>
  <c r="E38" i="76"/>
  <c r="V40" i="76"/>
  <c r="AP53" i="47" s="1"/>
  <c r="U38" i="76"/>
  <c r="P38" i="76"/>
  <c r="AN38" i="47" s="1"/>
  <c r="V41" i="76"/>
  <c r="AQ53" i="47" s="1"/>
  <c r="T36" i="76"/>
  <c r="I36" i="76"/>
  <c r="G36" i="76"/>
  <c r="E36" i="76"/>
  <c r="V52" i="76"/>
  <c r="BB53" i="47" s="1"/>
  <c r="I39" i="76"/>
  <c r="T39" i="76"/>
  <c r="G39" i="76"/>
  <c r="E39" i="76"/>
  <c r="BH16" i="66" l="1"/>
  <c r="N88" i="48"/>
  <c r="N90" i="48" s="1"/>
  <c r="BH12" i="66"/>
  <c r="BH24" i="62"/>
  <c r="BH21" i="62"/>
  <c r="BH22" i="62"/>
  <c r="BH23" i="62"/>
  <c r="BH25" i="62"/>
  <c r="BH22" i="66"/>
  <c r="M20" i="66"/>
  <c r="M21" i="66"/>
  <c r="M19" i="66"/>
  <c r="M18" i="66"/>
  <c r="M15" i="66"/>
  <c r="J88" i="48"/>
  <c r="J90" i="48" s="1"/>
  <c r="F88" i="48"/>
  <c r="F90" i="48" s="1"/>
  <c r="AA35" i="62"/>
  <c r="AA36" i="62" s="1"/>
  <c r="AA32" i="66" s="1"/>
  <c r="H15" i="66"/>
  <c r="J20" i="66"/>
  <c r="J19" i="66"/>
  <c r="H75" i="48" s="1"/>
  <c r="J21" i="66"/>
  <c r="H77" i="48" s="1"/>
  <c r="J18" i="66"/>
  <c r="H74" i="48" s="1"/>
  <c r="J15" i="66"/>
  <c r="K15" i="66"/>
  <c r="E15" i="66"/>
  <c r="L88" i="48"/>
  <c r="L90" i="48" s="1"/>
  <c r="G88" i="48"/>
  <c r="G90" i="48" s="1"/>
  <c r="O15" i="66"/>
  <c r="N15" i="66"/>
  <c r="K88" i="48"/>
  <c r="K90" i="48" s="1"/>
  <c r="H88" i="48"/>
  <c r="H90" i="48" s="1"/>
  <c r="BF22" i="66"/>
  <c r="G62" i="63" s="1"/>
  <c r="G70" i="63" s="1"/>
  <c r="F108" i="48" s="1"/>
  <c r="H108" i="48" s="1"/>
  <c r="I88" i="48"/>
  <c r="I90" i="48" s="1"/>
  <c r="M88" i="48"/>
  <c r="M90" i="48" s="1"/>
  <c r="BF16" i="66"/>
  <c r="BH27" i="47"/>
  <c r="O90" i="48"/>
  <c r="O87" i="48"/>
  <c r="F74" i="48"/>
  <c r="AA63" i="47"/>
  <c r="AA25" i="66" s="1"/>
  <c r="AC91" i="48" s="1"/>
  <c r="M38" i="76"/>
  <c r="AN32" i="47" s="1"/>
  <c r="AU19" i="62"/>
  <c r="AU22" i="62" s="1"/>
  <c r="AU19" i="66" s="1"/>
  <c r="AU51" i="47"/>
  <c r="AU56" i="47" s="1"/>
  <c r="AU61" i="47" s="1"/>
  <c r="AC27" i="62"/>
  <c r="AC28" i="62" s="1"/>
  <c r="AC26" i="66" s="1"/>
  <c r="Y27" i="62"/>
  <c r="Y28" i="62" s="1"/>
  <c r="Y26" i="66" s="1"/>
  <c r="AG25" i="66"/>
  <c r="S31" i="66"/>
  <c r="AC25" i="66"/>
  <c r="AE91" i="48" s="1"/>
  <c r="S36" i="62"/>
  <c r="S32" i="66" s="1"/>
  <c r="S37" i="62"/>
  <c r="S33" i="66" s="1"/>
  <c r="AB60" i="47"/>
  <c r="AB35" i="62" s="1"/>
  <c r="AI60" i="47"/>
  <c r="AI31" i="66" s="1"/>
  <c r="BF52" i="47"/>
  <c r="AD60" i="47"/>
  <c r="AD31" i="66" s="1"/>
  <c r="W60" i="47"/>
  <c r="W35" i="62" s="1"/>
  <c r="V60" i="47"/>
  <c r="V31" i="66" s="1"/>
  <c r="U60" i="47"/>
  <c r="U31" i="66" s="1"/>
  <c r="X60" i="47"/>
  <c r="X31" i="66" s="1"/>
  <c r="F57" i="47"/>
  <c r="F62" i="47" s="1"/>
  <c r="F63" i="47" s="1"/>
  <c r="L62" i="47"/>
  <c r="L63" i="47" s="1"/>
  <c r="K57" i="47"/>
  <c r="K62" i="47" s="1"/>
  <c r="K63" i="47" s="1"/>
  <c r="M57" i="47"/>
  <c r="M62" i="47" s="1"/>
  <c r="M63" i="47" s="1"/>
  <c r="J57" i="47"/>
  <c r="J62" i="47" s="1"/>
  <c r="J63" i="47" s="1"/>
  <c r="M87" i="48"/>
  <c r="Y78" i="48"/>
  <c r="AD78" i="48"/>
  <c r="AA78" i="48"/>
  <c r="AF78" i="48"/>
  <c r="Q75" i="48"/>
  <c r="L87" i="48"/>
  <c r="I87" i="48"/>
  <c r="R76" i="48"/>
  <c r="P77" i="48"/>
  <c r="R77" i="48"/>
  <c r="Z78" i="48"/>
  <c r="X78" i="48"/>
  <c r="K87" i="48"/>
  <c r="J87" i="48"/>
  <c r="G87" i="48"/>
  <c r="H87" i="48"/>
  <c r="N87" i="48"/>
  <c r="F87" i="48"/>
  <c r="BF25" i="62"/>
  <c r="E20" i="66"/>
  <c r="BF23" i="62"/>
  <c r="E18" i="66"/>
  <c r="BF21" i="62"/>
  <c r="E19" i="66"/>
  <c r="BF22" i="62"/>
  <c r="E21" i="66"/>
  <c r="BF24" i="62"/>
  <c r="BF12" i="66"/>
  <c r="I44" i="46" s="1"/>
  <c r="P76" i="48"/>
  <c r="V78" i="48"/>
  <c r="S77" i="48"/>
  <c r="Q77" i="48"/>
  <c r="Q76" i="48"/>
  <c r="P74" i="48"/>
  <c r="S76" i="48"/>
  <c r="W78" i="48"/>
  <c r="R75" i="48"/>
  <c r="N74" i="48"/>
  <c r="N75" i="48"/>
  <c r="T75" i="48"/>
  <c r="P75" i="48"/>
  <c r="T77" i="48"/>
  <c r="T76" i="48"/>
  <c r="O77" i="48"/>
  <c r="N76" i="48"/>
  <c r="N77" i="48"/>
  <c r="M75" i="48"/>
  <c r="M76" i="48"/>
  <c r="O75" i="48"/>
  <c r="M74" i="48"/>
  <c r="O74" i="48"/>
  <c r="M77" i="48"/>
  <c r="O76" i="48"/>
  <c r="R27" i="62"/>
  <c r="R28" i="62" s="1"/>
  <c r="R26" i="66" s="1"/>
  <c r="P27" i="62"/>
  <c r="P28" i="62" s="1"/>
  <c r="P26" i="66" s="1"/>
  <c r="BC21" i="62"/>
  <c r="BC18" i="66" s="1"/>
  <c r="BC25" i="62"/>
  <c r="P32" i="62"/>
  <c r="P33" i="62"/>
  <c r="AX21" i="62"/>
  <c r="AX18" i="66" s="1"/>
  <c r="AX25" i="62"/>
  <c r="R32" i="62"/>
  <c r="R27" i="66" s="1"/>
  <c r="S32" i="62"/>
  <c r="S27" i="66" s="1"/>
  <c r="S27" i="62"/>
  <c r="S28" i="62" s="1"/>
  <c r="S26" i="66" s="1"/>
  <c r="Q25" i="66"/>
  <c r="Q31" i="62"/>
  <c r="Q33" i="62" s="1"/>
  <c r="N28" i="47"/>
  <c r="P35" i="47" s="1"/>
  <c r="AY28" i="47"/>
  <c r="AY35" i="47" s="1"/>
  <c r="AM28" i="47"/>
  <c r="AM35" i="47" s="1"/>
  <c r="AS28" i="47"/>
  <c r="AS35" i="47" s="1"/>
  <c r="E28" i="47"/>
  <c r="G35" i="47" s="1"/>
  <c r="E45" i="82"/>
  <c r="E77" i="82"/>
  <c r="E20" i="82"/>
  <c r="E54" i="82"/>
  <c r="E86" i="82"/>
  <c r="E29" i="82"/>
  <c r="E63" i="82"/>
  <c r="E96" i="82"/>
  <c r="E38" i="82"/>
  <c r="E44" i="82"/>
  <c r="E19" i="82"/>
  <c r="E64" i="82"/>
  <c r="E95" i="82"/>
  <c r="E39" i="82"/>
  <c r="E73" i="82"/>
  <c r="E16" i="82"/>
  <c r="E42" i="82"/>
  <c r="E74" i="82"/>
  <c r="E25" i="82"/>
  <c r="E51" i="82"/>
  <c r="E101" i="82"/>
  <c r="E52" i="82"/>
  <c r="E27" i="82"/>
  <c r="E53" i="82"/>
  <c r="E85" i="82"/>
  <c r="E28" i="82"/>
  <c r="E62" i="82"/>
  <c r="E104" i="82"/>
  <c r="E37" i="82"/>
  <c r="E71" i="82"/>
  <c r="E14" i="82"/>
  <c r="E83" i="82"/>
  <c r="E60" i="82"/>
  <c r="E35" i="82"/>
  <c r="E72" i="82"/>
  <c r="E15" i="82"/>
  <c r="E49" i="82"/>
  <c r="E81" i="82"/>
  <c r="E24" i="82"/>
  <c r="E50" i="82"/>
  <c r="E82" i="82"/>
  <c r="E33" i="82"/>
  <c r="E59" i="82"/>
  <c r="E90" i="82"/>
  <c r="E68" i="82"/>
  <c r="E61" i="82"/>
  <c r="E103" i="82"/>
  <c r="E36" i="82"/>
  <c r="E70" i="82"/>
  <c r="E13" i="82"/>
  <c r="E47" i="82"/>
  <c r="E79" i="82"/>
  <c r="E22" i="82"/>
  <c r="E18" i="82"/>
  <c r="E76" i="82"/>
  <c r="E48" i="82"/>
  <c r="E80" i="82"/>
  <c r="E23" i="82"/>
  <c r="E57" i="82"/>
  <c r="E99" i="82"/>
  <c r="E32" i="82"/>
  <c r="E58" i="82"/>
  <c r="E100" i="82"/>
  <c r="E41" i="82"/>
  <c r="E67" i="82"/>
  <c r="E26" i="82"/>
  <c r="E84" i="82"/>
  <c r="E69" i="82"/>
  <c r="E89" i="82"/>
  <c r="E46" i="82"/>
  <c r="E78" i="82"/>
  <c r="E21" i="82"/>
  <c r="E55" i="82"/>
  <c r="E97" i="82"/>
  <c r="E30" i="82"/>
  <c r="E34" i="82"/>
  <c r="E102" i="82"/>
  <c r="E56" i="82"/>
  <c r="E98" i="82"/>
  <c r="E31" i="82"/>
  <c r="E65" i="82"/>
  <c r="E94" i="82"/>
  <c r="E40" i="82"/>
  <c r="E66" i="82"/>
  <c r="E17" i="82"/>
  <c r="E43" i="82"/>
  <c r="E75" i="82"/>
  <c r="E12" i="82"/>
  <c r="E91" i="82"/>
  <c r="BA28" i="47"/>
  <c r="AX28" i="47"/>
  <c r="AX35" i="47" s="1"/>
  <c r="K77" i="48"/>
  <c r="J74" i="48"/>
  <c r="K75" i="48"/>
  <c r="K76" i="48"/>
  <c r="J76" i="48"/>
  <c r="J75" i="48"/>
  <c r="J77" i="48"/>
  <c r="I76" i="48"/>
  <c r="K35" i="47"/>
  <c r="L35" i="47"/>
  <c r="J35" i="47"/>
  <c r="I35" i="47"/>
  <c r="E57" i="47"/>
  <c r="H35" i="47"/>
  <c r="F35" i="47"/>
  <c r="H51" i="47"/>
  <c r="I57" i="47"/>
  <c r="I62" i="47" s="1"/>
  <c r="I63" i="47" s="1"/>
  <c r="G51" i="47"/>
  <c r="E34" i="47"/>
  <c r="E51" i="47"/>
  <c r="J51" i="47"/>
  <c r="G57" i="47"/>
  <c r="G62" i="47" s="1"/>
  <c r="G63" i="47" s="1"/>
  <c r="F51" i="47"/>
  <c r="F56" i="47" s="1"/>
  <c r="H57" i="47"/>
  <c r="H62" i="47" s="1"/>
  <c r="H63" i="47" s="1"/>
  <c r="I51" i="47"/>
  <c r="M35" i="47"/>
  <c r="M51" i="47"/>
  <c r="L51" i="47"/>
  <c r="K34" i="47"/>
  <c r="K51" i="47"/>
  <c r="O39" i="76"/>
  <c r="AO33" i="47" s="1"/>
  <c r="AT34" i="47"/>
  <c r="BD52" i="47"/>
  <c r="BD51" i="47"/>
  <c r="AG37" i="62"/>
  <c r="AG33" i="66" s="1"/>
  <c r="AG32" i="66"/>
  <c r="Z35" i="62"/>
  <c r="Z36" i="62" s="1"/>
  <c r="Z31" i="66"/>
  <c r="Z25" i="66"/>
  <c r="AB91" i="48" s="1"/>
  <c r="Z27" i="62"/>
  <c r="Z28" i="62" s="1"/>
  <c r="Z26" i="66" s="1"/>
  <c r="V27" i="62"/>
  <c r="V28" i="62" s="1"/>
  <c r="V26" i="66" s="1"/>
  <c r="V25" i="66"/>
  <c r="AJ25" i="66"/>
  <c r="AJ27" i="62"/>
  <c r="AJ28" i="62" s="1"/>
  <c r="AJ26" i="66" s="1"/>
  <c r="AC32" i="66"/>
  <c r="AC37" i="62"/>
  <c r="AC33" i="66" s="1"/>
  <c r="Y37" i="62"/>
  <c r="Y33" i="66" s="1"/>
  <c r="Y32" i="66"/>
  <c r="AJ31" i="66"/>
  <c r="AJ35" i="62"/>
  <c r="AJ36" i="62" s="1"/>
  <c r="AH35" i="62"/>
  <c r="AH36" i="62" s="1"/>
  <c r="AH31" i="66"/>
  <c r="Q31" i="66"/>
  <c r="Q35" i="62"/>
  <c r="Q36" i="62" s="1"/>
  <c r="AD27" i="62"/>
  <c r="AD28" i="62" s="1"/>
  <c r="AD26" i="66" s="1"/>
  <c r="AD25" i="66"/>
  <c r="AE27" i="62"/>
  <c r="AE28" i="62" s="1"/>
  <c r="AE26" i="66" s="1"/>
  <c r="AE25" i="66"/>
  <c r="U25" i="66"/>
  <c r="U27" i="62"/>
  <c r="U28" i="62" s="1"/>
  <c r="U26" i="66" s="1"/>
  <c r="AK31" i="66"/>
  <c r="AK35" i="62"/>
  <c r="AK36" i="62" s="1"/>
  <c r="T25" i="66"/>
  <c r="T27" i="62"/>
  <c r="T28" i="62" s="1"/>
  <c r="T26" i="66" s="1"/>
  <c r="T31" i="66"/>
  <c r="T35" i="62"/>
  <c r="T36" i="62" s="1"/>
  <c r="AK25" i="66"/>
  <c r="AK27" i="62"/>
  <c r="AK28" i="62" s="1"/>
  <c r="AK26" i="66" s="1"/>
  <c r="AF27" i="62"/>
  <c r="AF28" i="62" s="1"/>
  <c r="AF26" i="66" s="1"/>
  <c r="AF25" i="66"/>
  <c r="P35" i="62"/>
  <c r="P36" i="62" s="1"/>
  <c r="P31" i="66"/>
  <c r="AE31" i="66"/>
  <c r="AE35" i="62"/>
  <c r="AE36" i="62" s="1"/>
  <c r="X25" i="66"/>
  <c r="U91" i="48" s="1"/>
  <c r="X27" i="62"/>
  <c r="X28" i="62" s="1"/>
  <c r="X26" i="66" s="1"/>
  <c r="AB25" i="66"/>
  <c r="AB27" i="62"/>
  <c r="AB28" i="62" s="1"/>
  <c r="AB26" i="66" s="1"/>
  <c r="W25" i="66"/>
  <c r="T91" i="48" s="1"/>
  <c r="W27" i="62"/>
  <c r="W28" i="62" s="1"/>
  <c r="W26" i="66" s="1"/>
  <c r="AH27" i="62"/>
  <c r="AH28" i="62" s="1"/>
  <c r="AH26" i="66" s="1"/>
  <c r="AH25" i="66"/>
  <c r="AF35" i="62"/>
  <c r="AF36" i="62" s="1"/>
  <c r="AF31" i="66"/>
  <c r="O35" i="47"/>
  <c r="Q35" i="47"/>
  <c r="R37" i="62"/>
  <c r="R33" i="66" s="1"/>
  <c r="R32" i="66"/>
  <c r="AI25" i="66"/>
  <c r="AI27" i="62"/>
  <c r="AI28" i="62" s="1"/>
  <c r="AI26" i="66" s="1"/>
  <c r="N57" i="47"/>
  <c r="N62" i="47" s="1"/>
  <c r="N63" i="47" s="1"/>
  <c r="O51" i="47"/>
  <c r="O57" i="47"/>
  <c r="O62" i="47" s="1"/>
  <c r="O63" i="47" s="1"/>
  <c r="N51" i="47"/>
  <c r="AR52" i="47"/>
  <c r="BC14" i="66"/>
  <c r="AV57" i="47"/>
  <c r="AV31" i="62" s="1"/>
  <c r="AV33" i="62" s="1"/>
  <c r="AZ41" i="47"/>
  <c r="AR41" i="47"/>
  <c r="BB19" i="62"/>
  <c r="BA41" i="47"/>
  <c r="AU41" i="47"/>
  <c r="AS51" i="47"/>
  <c r="AT57" i="47"/>
  <c r="AT31" i="62" s="1"/>
  <c r="AT33" i="62" s="1"/>
  <c r="V37" i="76"/>
  <c r="AM53" i="47" s="1"/>
  <c r="K39" i="76"/>
  <c r="AO31" i="47" s="1"/>
  <c r="AM52" i="47"/>
  <c r="AU57" i="47"/>
  <c r="AU31" i="62" s="1"/>
  <c r="AU33" i="62" s="1"/>
  <c r="BC52" i="47"/>
  <c r="AW19" i="62"/>
  <c r="AY41" i="47"/>
  <c r="AZ19" i="62"/>
  <c r="AX52" i="47"/>
  <c r="AR35" i="47"/>
  <c r="AY19" i="62"/>
  <c r="AT35" i="47"/>
  <c r="AV34" i="47"/>
  <c r="AQ52" i="47"/>
  <c r="AP52" i="47"/>
  <c r="AO39" i="47"/>
  <c r="AO17" i="62"/>
  <c r="AN47" i="47"/>
  <c r="AN48" i="47" s="1"/>
  <c r="AN26" i="47"/>
  <c r="AT19" i="62"/>
  <c r="AT22" i="62" s="1"/>
  <c r="AV44" i="47"/>
  <c r="AV17" i="66" s="1"/>
  <c r="AV14" i="66"/>
  <c r="AV41" i="47"/>
  <c r="AY51" i="47"/>
  <c r="AL39" i="47"/>
  <c r="AL17" i="62"/>
  <c r="AW34" i="47"/>
  <c r="AQ18" i="62"/>
  <c r="AQ19" i="62" s="1"/>
  <c r="AQ22" i="62" s="1"/>
  <c r="AQ40" i="47"/>
  <c r="AP51" i="47"/>
  <c r="AZ14" i="66"/>
  <c r="AZ44" i="47"/>
  <c r="AZ17" i="66" s="1"/>
  <c r="AP17" i="62"/>
  <c r="AP39" i="47"/>
  <c r="AS34" i="47"/>
  <c r="AR51" i="47"/>
  <c r="AX43" i="47"/>
  <c r="AX13" i="66"/>
  <c r="AX12" i="66" s="1"/>
  <c r="AY14" i="66"/>
  <c r="AY44" i="47"/>
  <c r="AY17" i="66" s="1"/>
  <c r="BA19" i="62"/>
  <c r="BA22" i="62" s="1"/>
  <c r="M39" i="76"/>
  <c r="AO32" i="47" s="1"/>
  <c r="AN24" i="47"/>
  <c r="AN27" i="47" s="1"/>
  <c r="M40" i="76"/>
  <c r="AP32" i="47" s="1"/>
  <c r="AO24" i="47"/>
  <c r="AO27" i="47" s="1"/>
  <c r="AL23" i="47"/>
  <c r="K38" i="76"/>
  <c r="AN31" i="47" s="1"/>
  <c r="AO47" i="47"/>
  <c r="AO48" i="47" s="1"/>
  <c r="AO26" i="47"/>
  <c r="M37" i="76"/>
  <c r="AM32" i="47" s="1"/>
  <c r="AL24" i="47"/>
  <c r="AL27" i="47" s="1"/>
  <c r="O40" i="76"/>
  <c r="AP33" i="47" s="1"/>
  <c r="AN25" i="47"/>
  <c r="BC43" i="47"/>
  <c r="BC13" i="66"/>
  <c r="BD14" i="66"/>
  <c r="BD44" i="47"/>
  <c r="BD17" i="66" s="1"/>
  <c r="AT14" i="66"/>
  <c r="AT44" i="47"/>
  <c r="AT17" i="66" s="1"/>
  <c r="AT43" i="47"/>
  <c r="AT13" i="66"/>
  <c r="BB51" i="47"/>
  <c r="AX34" i="47"/>
  <c r="AX51" i="47"/>
  <c r="AN17" i="62"/>
  <c r="AN39" i="47"/>
  <c r="AW13" i="66"/>
  <c r="AW43" i="47"/>
  <c r="AW41" i="47"/>
  <c r="AP18" i="62"/>
  <c r="AP40" i="47"/>
  <c r="AR44" i="47"/>
  <c r="AR17" i="66" s="1"/>
  <c r="AR14" i="66"/>
  <c r="AV56" i="47"/>
  <c r="AV61" i="47" s="1"/>
  <c r="AW56" i="47"/>
  <c r="AW61" i="47" s="1"/>
  <c r="BC41" i="47"/>
  <c r="AO18" i="62"/>
  <c r="AO40" i="47"/>
  <c r="AL18" i="62"/>
  <c r="AL40" i="47"/>
  <c r="AQ13" i="66"/>
  <c r="AQ43" i="47"/>
  <c r="AU34" i="47"/>
  <c r="AS19" i="62"/>
  <c r="AS22" i="62" s="1"/>
  <c r="AT41" i="47"/>
  <c r="AY52" i="47"/>
  <c r="AY13" i="66"/>
  <c r="AY43" i="47"/>
  <c r="BA13" i="66"/>
  <c r="BA43" i="47"/>
  <c r="O41" i="76"/>
  <c r="AQ33" i="47" s="1"/>
  <c r="AO25" i="47"/>
  <c r="O38" i="76"/>
  <c r="AN33" i="47" s="1"/>
  <c r="AL25" i="47"/>
  <c r="AZ51" i="47"/>
  <c r="AW57" i="47"/>
  <c r="AW31" i="62" s="1"/>
  <c r="AW33" i="62" s="1"/>
  <c r="AN18" i="62"/>
  <c r="AN40" i="47"/>
  <c r="BD19" i="62"/>
  <c r="BD22" i="62" s="1"/>
  <c r="BA14" i="66"/>
  <c r="BA44" i="47"/>
  <c r="BA17" i="66" s="1"/>
  <c r="AM51" i="47"/>
  <c r="AS43" i="47"/>
  <c r="AS13" i="66"/>
  <c r="AS41" i="47"/>
  <c r="AQ51" i="47"/>
  <c r="BB52" i="47"/>
  <c r="AR19" i="62"/>
  <c r="AR22" i="62" s="1"/>
  <c r="AU14" i="66"/>
  <c r="AU44" i="47"/>
  <c r="AU17" i="66" s="1"/>
  <c r="AV13" i="66"/>
  <c r="AV43" i="47"/>
  <c r="BC19" i="66"/>
  <c r="BC23" i="62"/>
  <c r="BC20" i="66" s="1"/>
  <c r="BC24" i="62"/>
  <c r="BC21" i="66" s="1"/>
  <c r="V39" i="76"/>
  <c r="AO53" i="47" s="1"/>
  <c r="AO23" i="47"/>
  <c r="K41" i="76"/>
  <c r="AQ31" i="47" s="1"/>
  <c r="AL47" i="47"/>
  <c r="AL48" i="47" s="1"/>
  <c r="AL26" i="47"/>
  <c r="V38" i="76"/>
  <c r="AN53" i="47" s="1"/>
  <c r="AN23" i="47"/>
  <c r="K40" i="76"/>
  <c r="AP31" i="47" s="1"/>
  <c r="BB43" i="47"/>
  <c r="BB13" i="66"/>
  <c r="AT56" i="47"/>
  <c r="AT61" i="47" s="1"/>
  <c r="AZ43" i="47"/>
  <c r="AZ13" i="66"/>
  <c r="AS57" i="47"/>
  <c r="AS31" i="62" s="1"/>
  <c r="AS33" i="62" s="1"/>
  <c r="BC51" i="47"/>
  <c r="BA51" i="47"/>
  <c r="AM17" i="62"/>
  <c r="AM19" i="62" s="1"/>
  <c r="AM22" i="62" s="1"/>
  <c r="AM39" i="47"/>
  <c r="AS14" i="66"/>
  <c r="AS44" i="47"/>
  <c r="AS17" i="66" s="1"/>
  <c r="BD13" i="66"/>
  <c r="BD43" i="47"/>
  <c r="BB41" i="47"/>
  <c r="BB35" i="47"/>
  <c r="AM14" i="66"/>
  <c r="AM44" i="47"/>
  <c r="AM17" i="66" s="1"/>
  <c r="BB44" i="47"/>
  <c r="BB17" i="66" s="1"/>
  <c r="BB14" i="66"/>
  <c r="AU43" i="47"/>
  <c r="AU13" i="66"/>
  <c r="AW14" i="66"/>
  <c r="AW44" i="47"/>
  <c r="AW17" i="66" s="1"/>
  <c r="AZ52" i="47"/>
  <c r="BD41" i="47"/>
  <c r="BA52" i="47"/>
  <c r="BD35" i="47"/>
  <c r="AX19" i="66"/>
  <c r="AX24" i="62"/>
  <c r="AX21" i="66" s="1"/>
  <c r="AX23" i="62"/>
  <c r="AX20" i="66" s="1"/>
  <c r="AR43" i="47"/>
  <c r="AR13" i="66"/>
  <c r="AV19" i="62"/>
  <c r="AV22" i="62" s="1"/>
  <c r="V36" i="76"/>
  <c r="AL53" i="47" s="1"/>
  <c r="AA37" i="62" l="1"/>
  <c r="AA33" i="66" s="1"/>
  <c r="BH20" i="66"/>
  <c r="BH15" i="66"/>
  <c r="BH18" i="66"/>
  <c r="BH19" i="66"/>
  <c r="L76" i="48"/>
  <c r="BH21" i="66"/>
  <c r="I77" i="48"/>
  <c r="I74" i="48"/>
  <c r="I75" i="48"/>
  <c r="K74" i="48"/>
  <c r="H76" i="48"/>
  <c r="L74" i="48"/>
  <c r="L75" i="48"/>
  <c r="L77" i="48"/>
  <c r="BF15" i="66"/>
  <c r="AZ16" i="66"/>
  <c r="AZ15" i="66" s="1"/>
  <c r="AZ22" i="66"/>
  <c r="AS16" i="66"/>
  <c r="AS22" i="66"/>
  <c r="BD16" i="66"/>
  <c r="BD22" i="66"/>
  <c r="BC16" i="66"/>
  <c r="BC15" i="66" s="1"/>
  <c r="BC22" i="66"/>
  <c r="AX16" i="66"/>
  <c r="AX15" i="66" s="1"/>
  <c r="AX22" i="66"/>
  <c r="BB16" i="66"/>
  <c r="BB22" i="66"/>
  <c r="AW16" i="66"/>
  <c r="AW15" i="66" s="1"/>
  <c r="AW22" i="66"/>
  <c r="AT16" i="66"/>
  <c r="AT15" i="66" s="1"/>
  <c r="AT22" i="66"/>
  <c r="BA16" i="66"/>
  <c r="BA15" i="66" s="1"/>
  <c r="BA22" i="66"/>
  <c r="AQ16" i="66"/>
  <c r="AR16" i="66"/>
  <c r="AR15" i="66" s="1"/>
  <c r="AR22" i="66"/>
  <c r="AU16" i="66"/>
  <c r="AU22" i="66"/>
  <c r="AV16" i="66"/>
  <c r="AV15" i="66" s="1"/>
  <c r="AV22" i="66"/>
  <c r="AY16" i="66"/>
  <c r="AY15" i="66" s="1"/>
  <c r="AY22" i="66"/>
  <c r="G74" i="48"/>
  <c r="F76" i="48"/>
  <c r="BF21" i="66"/>
  <c r="H61" i="46" s="1"/>
  <c r="G75" i="48"/>
  <c r="AU24" i="62"/>
  <c r="AU21" i="66" s="1"/>
  <c r="AU23" i="62"/>
  <c r="AU20" i="66" s="1"/>
  <c r="AA27" i="62"/>
  <c r="AA28" i="62" s="1"/>
  <c r="AA26" i="66" s="1"/>
  <c r="U35" i="62"/>
  <c r="U36" i="62" s="1"/>
  <c r="U32" i="66" s="1"/>
  <c r="AZ35" i="47"/>
  <c r="BA35" i="47"/>
  <c r="BC35" i="47"/>
  <c r="AU25" i="62"/>
  <c r="AU21" i="62"/>
  <c r="AU18" i="66" s="1"/>
  <c r="V35" i="62"/>
  <c r="V37" i="62" s="1"/>
  <c r="V33" i="66" s="1"/>
  <c r="X80" i="48" s="1"/>
  <c r="BF20" i="66"/>
  <c r="G43" i="46" s="1"/>
  <c r="AG27" i="62"/>
  <c r="AG28" i="62" s="1"/>
  <c r="AG26" i="66" s="1"/>
  <c r="Y25" i="66"/>
  <c r="AB31" i="66"/>
  <c r="AI35" i="62"/>
  <c r="AI36" i="62" s="1"/>
  <c r="AI32" i="66" s="1"/>
  <c r="W31" i="66"/>
  <c r="W36" i="62"/>
  <c r="W32" i="66" s="1"/>
  <c r="Y79" i="48" s="1"/>
  <c r="W37" i="62"/>
  <c r="W33" i="66" s="1"/>
  <c r="Y80" i="48" s="1"/>
  <c r="BF57" i="47"/>
  <c r="AD35" i="62"/>
  <c r="X35" i="62"/>
  <c r="AB36" i="62"/>
  <c r="AB32" i="66" s="1"/>
  <c r="AD79" i="48" s="1"/>
  <c r="AB37" i="62"/>
  <c r="AB33" i="66" s="1"/>
  <c r="AD80" i="48" s="1"/>
  <c r="AW62" i="47"/>
  <c r="AW63" i="47" s="1"/>
  <c r="E62" i="47"/>
  <c r="E63" i="47" s="1"/>
  <c r="AU62" i="47"/>
  <c r="AU63" i="47" s="1"/>
  <c r="AV62" i="47"/>
  <c r="AV63" i="47" s="1"/>
  <c r="AS62" i="47"/>
  <c r="AS63" i="47" s="1"/>
  <c r="AT62" i="47"/>
  <c r="AT63" i="47" s="1"/>
  <c r="BD56" i="47"/>
  <c r="BD61" i="47" s="1"/>
  <c r="BD57" i="47"/>
  <c r="BD31" i="62" s="1"/>
  <c r="BD33" i="62" s="1"/>
  <c r="L56" i="47"/>
  <c r="L61" i="47" s="1"/>
  <c r="M56" i="47"/>
  <c r="M58" i="47" s="1"/>
  <c r="M60" i="47" s="1"/>
  <c r="F61" i="47"/>
  <c r="J56" i="47"/>
  <c r="J58" i="47" s="1"/>
  <c r="BH58" i="47" s="1"/>
  <c r="K56" i="47"/>
  <c r="K61" i="47" s="1"/>
  <c r="AU35" i="47"/>
  <c r="AU58" i="47"/>
  <c r="AU60" i="47" s="1"/>
  <c r="AU35" i="62" s="1"/>
  <c r="G76" i="48"/>
  <c r="Y91" i="48"/>
  <c r="AD91" i="48"/>
  <c r="Z91" i="48"/>
  <c r="AF91" i="48"/>
  <c r="AE80" i="48"/>
  <c r="AC79" i="48"/>
  <c r="AE79" i="48"/>
  <c r="AC80" i="48"/>
  <c r="U78" i="48"/>
  <c r="G77" i="48"/>
  <c r="R91" i="48"/>
  <c r="W91" i="48"/>
  <c r="V91" i="48"/>
  <c r="S91" i="48"/>
  <c r="AA91" i="48"/>
  <c r="X91" i="48"/>
  <c r="BF19" i="66"/>
  <c r="F27" i="46" s="1"/>
  <c r="F75" i="48"/>
  <c r="BF18" i="66"/>
  <c r="E19" i="46" s="1"/>
  <c r="E56" i="47"/>
  <c r="E61" i="47" s="1"/>
  <c r="BF51" i="47"/>
  <c r="F31" i="62"/>
  <c r="F33" i="62" s="1"/>
  <c r="E35" i="47"/>
  <c r="BH28" i="47"/>
  <c r="F77" i="48"/>
  <c r="T78" i="48"/>
  <c r="Q27" i="62"/>
  <c r="Q28" i="62" s="1"/>
  <c r="Q26" i="66" s="1"/>
  <c r="AZ25" i="62"/>
  <c r="AZ22" i="62"/>
  <c r="AZ19" i="66" s="1"/>
  <c r="AW25" i="62"/>
  <c r="AW22" i="62"/>
  <c r="AW19" i="66" s="1"/>
  <c r="BB25" i="62"/>
  <c r="BB22" i="62"/>
  <c r="BB19" i="66" s="1"/>
  <c r="AY25" i="62"/>
  <c r="AY22" i="62"/>
  <c r="AY19" i="66" s="1"/>
  <c r="AR21" i="62"/>
  <c r="AR18" i="66" s="1"/>
  <c r="AR25" i="62"/>
  <c r="AV21" i="62"/>
  <c r="AV18" i="66" s="1"/>
  <c r="AV25" i="62"/>
  <c r="BA21" i="62"/>
  <c r="BA18" i="66" s="1"/>
  <c r="BA25" i="62"/>
  <c r="AQ21" i="62"/>
  <c r="AQ18" i="66" s="1"/>
  <c r="AQ25" i="62"/>
  <c r="AT21" i="62"/>
  <c r="AT18" i="66" s="1"/>
  <c r="AT25" i="62"/>
  <c r="BD21" i="62"/>
  <c r="BD18" i="66" s="1"/>
  <c r="BD25" i="62"/>
  <c r="AM21" i="62"/>
  <c r="AM18" i="66" s="1"/>
  <c r="AM25" i="62"/>
  <c r="AS21" i="62"/>
  <c r="AS18" i="66" s="1"/>
  <c r="AS25" i="62"/>
  <c r="Q32" i="62"/>
  <c r="Q27" i="66" s="1"/>
  <c r="S78" i="48" s="1"/>
  <c r="AU32" i="62"/>
  <c r="AU27" i="66" s="1"/>
  <c r="BB21" i="62"/>
  <c r="BB18" i="66" s="1"/>
  <c r="AW24" i="62"/>
  <c r="AW21" i="66" s="1"/>
  <c r="AW21" i="62"/>
  <c r="AW18" i="66" s="1"/>
  <c r="AY21" i="62"/>
  <c r="AY18" i="66" s="1"/>
  <c r="AW32" i="62"/>
  <c r="AW27" i="66" s="1"/>
  <c r="AS32" i="62"/>
  <c r="AS27" i="66" s="1"/>
  <c r="AZ21" i="62"/>
  <c r="AZ18" i="66" s="1"/>
  <c r="AT32" i="62"/>
  <c r="AT27" i="66" s="1"/>
  <c r="AV32" i="62"/>
  <c r="AV27" i="66" s="1"/>
  <c r="N35" i="47"/>
  <c r="J31" i="62"/>
  <c r="BH31" i="62" s="1"/>
  <c r="M25" i="66"/>
  <c r="M31" i="62"/>
  <c r="M33" i="62" s="1"/>
  <c r="N27" i="62"/>
  <c r="N28" i="62" s="1"/>
  <c r="N31" i="62"/>
  <c r="H27" i="62"/>
  <c r="H28" i="62" s="1"/>
  <c r="H26" i="66" s="1"/>
  <c r="H31" i="62"/>
  <c r="K25" i="66"/>
  <c r="K31" i="62"/>
  <c r="K33" i="62" s="1"/>
  <c r="L31" i="62"/>
  <c r="L33" i="62" s="1"/>
  <c r="G25" i="66"/>
  <c r="G31" i="62"/>
  <c r="G33" i="62" s="1"/>
  <c r="I25" i="66"/>
  <c r="I31" i="62"/>
  <c r="I33" i="62" s="1"/>
  <c r="AL28" i="47"/>
  <c r="AL35" i="47" s="1"/>
  <c r="AO28" i="47"/>
  <c r="AO35" i="47" s="1"/>
  <c r="AN28" i="47"/>
  <c r="I34" i="47"/>
  <c r="H34" i="47"/>
  <c r="F34" i="47"/>
  <c r="G34" i="47"/>
  <c r="J34" i="47"/>
  <c r="I56" i="47"/>
  <c r="I58" i="47" s="1"/>
  <c r="I60" i="47" s="1"/>
  <c r="H56" i="47"/>
  <c r="H58" i="47" s="1"/>
  <c r="H60" i="47" s="1"/>
  <c r="F58" i="47"/>
  <c r="F60" i="47" s="1"/>
  <c r="G56" i="47"/>
  <c r="G58" i="47" s="1"/>
  <c r="G60" i="47" s="1"/>
  <c r="M34" i="47"/>
  <c r="I55" i="46"/>
  <c r="I63" i="46"/>
  <c r="I35" i="46"/>
  <c r="I42" i="46"/>
  <c r="I21" i="46"/>
  <c r="I53" i="46"/>
  <c r="BC12" i="66"/>
  <c r="L34" i="47"/>
  <c r="I67" i="46"/>
  <c r="I29" i="46"/>
  <c r="I65" i="46"/>
  <c r="I23" i="46"/>
  <c r="I61" i="46"/>
  <c r="I68" i="46"/>
  <c r="I49" i="46"/>
  <c r="AQ34" i="47"/>
  <c r="I20" i="46"/>
  <c r="I38" i="46"/>
  <c r="I51" i="46"/>
  <c r="I59" i="46"/>
  <c r="I56" i="46"/>
  <c r="I27" i="46"/>
  <c r="I50" i="46"/>
  <c r="I69" i="46"/>
  <c r="I60" i="46"/>
  <c r="I24" i="46"/>
  <c r="I66" i="46"/>
  <c r="I31" i="46"/>
  <c r="I30" i="46"/>
  <c r="I37" i="46"/>
  <c r="I64" i="46"/>
  <c r="I45" i="46"/>
  <c r="I57" i="46"/>
  <c r="I36" i="46"/>
  <c r="I28" i="46"/>
  <c r="I18" i="46"/>
  <c r="I43" i="46"/>
  <c r="I47" i="46"/>
  <c r="I25" i="46"/>
  <c r="I46" i="46"/>
  <c r="I52" i="46"/>
  <c r="I22" i="46"/>
  <c r="I70" i="46"/>
  <c r="I19" i="46"/>
  <c r="I48" i="46"/>
  <c r="I58" i="46"/>
  <c r="I26" i="46"/>
  <c r="I41" i="46"/>
  <c r="I62" i="46"/>
  <c r="I54" i="46"/>
  <c r="I40" i="46"/>
  <c r="BD12" i="66"/>
  <c r="AV12" i="66"/>
  <c r="AY12" i="66"/>
  <c r="AT58" i="47"/>
  <c r="AV58" i="47"/>
  <c r="AF37" i="62"/>
  <c r="AF33" i="66" s="1"/>
  <c r="AF32" i="66"/>
  <c r="O34" i="47"/>
  <c r="P34" i="47"/>
  <c r="AH37" i="62"/>
  <c r="AH33" i="66" s="1"/>
  <c r="AH32" i="66"/>
  <c r="AJ37" i="62"/>
  <c r="AJ33" i="66" s="1"/>
  <c r="AJ32" i="66"/>
  <c r="Z32" i="66"/>
  <c r="AB79" i="48" s="1"/>
  <c r="Z37" i="62"/>
  <c r="Z33" i="66" s="1"/>
  <c r="AB80" i="48" s="1"/>
  <c r="AE37" i="62"/>
  <c r="AE33" i="66" s="1"/>
  <c r="AA80" i="48" s="1"/>
  <c r="AE32" i="66"/>
  <c r="AA79" i="48" s="1"/>
  <c r="AK32" i="66"/>
  <c r="AK37" i="62"/>
  <c r="AK33" i="66" s="1"/>
  <c r="T37" i="62"/>
  <c r="T33" i="66" s="1"/>
  <c r="T80" i="48" s="1"/>
  <c r="T32" i="66"/>
  <c r="T79" i="48" s="1"/>
  <c r="P37" i="62"/>
  <c r="Q37" i="62"/>
  <c r="Q33" i="66" s="1"/>
  <c r="Q32" i="66"/>
  <c r="O56" i="47"/>
  <c r="O58" i="47" s="1"/>
  <c r="O60" i="47" s="1"/>
  <c r="N56" i="47"/>
  <c r="N61" i="47" s="1"/>
  <c r="N34" i="47"/>
  <c r="BB24" i="62"/>
  <c r="BB21" i="66" s="1"/>
  <c r="AR57" i="47"/>
  <c r="AR31" i="62" s="1"/>
  <c r="AR33" i="62" s="1"/>
  <c r="P27" i="66"/>
  <c r="AX57" i="47"/>
  <c r="AX31" i="62" s="1"/>
  <c r="AX33" i="62" s="1"/>
  <c r="AS56" i="47"/>
  <c r="AS58" i="47" s="1"/>
  <c r="AS60" i="47" s="1"/>
  <c r="BB23" i="62"/>
  <c r="BB20" i="66" s="1"/>
  <c r="AM57" i="47"/>
  <c r="AM31" i="62" s="1"/>
  <c r="AM33" i="62" s="1"/>
  <c r="BC57" i="47"/>
  <c r="BC31" i="62" s="1"/>
  <c r="BC33" i="62" s="1"/>
  <c r="AZ24" i="62"/>
  <c r="AZ21" i="66" s="1"/>
  <c r="AY23" i="62"/>
  <c r="AY20" i="66" s="1"/>
  <c r="AL52" i="47"/>
  <c r="AW23" i="62"/>
  <c r="AW20" i="66" s="1"/>
  <c r="BB57" i="47"/>
  <c r="BB31" i="62" s="1"/>
  <c r="BB33" i="62" s="1"/>
  <c r="AY24" i="62"/>
  <c r="AY21" i="66" s="1"/>
  <c r="BC34" i="47"/>
  <c r="AZ23" i="62"/>
  <c r="AZ20" i="66" s="1"/>
  <c r="AZ34" i="47"/>
  <c r="AT12" i="66"/>
  <c r="AU15" i="66"/>
  <c r="BA34" i="47"/>
  <c r="AU12" i="66"/>
  <c r="AQ57" i="47"/>
  <c r="AQ31" i="62" s="1"/>
  <c r="AQ33" i="62" s="1"/>
  <c r="AR12" i="66"/>
  <c r="BD15" i="66"/>
  <c r="AZ12" i="66"/>
  <c r="AP57" i="47"/>
  <c r="AP31" i="62" s="1"/>
  <c r="AP33" i="62" s="1"/>
  <c r="AL41" i="47"/>
  <c r="AV23" i="62"/>
  <c r="AV20" i="66" s="1"/>
  <c r="AV24" i="62"/>
  <c r="AV21" i="66" s="1"/>
  <c r="AV19" i="66"/>
  <c r="AZ57" i="47"/>
  <c r="AZ31" i="62" s="1"/>
  <c r="AZ33" i="62" s="1"/>
  <c r="AS12" i="66"/>
  <c r="AM56" i="47"/>
  <c r="AM61" i="47" s="1"/>
  <c r="BD24" i="62"/>
  <c r="BD21" i="66" s="1"/>
  <c r="BD19" i="66"/>
  <c r="BD23" i="62"/>
  <c r="BD20" i="66" s="1"/>
  <c r="BA12" i="66"/>
  <c r="AL44" i="47"/>
  <c r="AL17" i="66" s="1"/>
  <c r="AL14" i="66"/>
  <c r="AO14" i="66"/>
  <c r="AO44" i="47"/>
  <c r="AO17" i="66" s="1"/>
  <c r="AN19" i="62"/>
  <c r="AN22" i="62" s="1"/>
  <c r="AL51" i="47"/>
  <c r="AL34" i="47"/>
  <c r="AN34" i="47"/>
  <c r="AN51" i="47"/>
  <c r="AR56" i="47"/>
  <c r="AR61" i="47" s="1"/>
  <c r="BA57" i="47"/>
  <c r="BA31" i="62" s="1"/>
  <c r="BA33" i="62" s="1"/>
  <c r="AQ14" i="66"/>
  <c r="AQ12" i="66" s="1"/>
  <c r="AQ44" i="47"/>
  <c r="AQ17" i="66" s="1"/>
  <c r="AQ15" i="66" s="1"/>
  <c r="AQ41" i="47"/>
  <c r="AY56" i="47"/>
  <c r="AY61" i="47" s="1"/>
  <c r="AO41" i="47"/>
  <c r="BC56" i="47"/>
  <c r="BC61" i="47" s="1"/>
  <c r="AQ24" i="62"/>
  <c r="AQ21" i="66" s="1"/>
  <c r="AQ19" i="66"/>
  <c r="AQ23" i="62"/>
  <c r="AQ20" i="66" s="1"/>
  <c r="AZ56" i="47"/>
  <c r="AZ61" i="47" s="1"/>
  <c r="AX56" i="47"/>
  <c r="AX61" i="47" s="1"/>
  <c r="BB56" i="47"/>
  <c r="BB61" i="47" s="1"/>
  <c r="AR34" i="47"/>
  <c r="AL19" i="62"/>
  <c r="AL22" i="62" s="1"/>
  <c r="AY34" i="47"/>
  <c r="AN52" i="47"/>
  <c r="AM13" i="66"/>
  <c r="AM12" i="66" s="1"/>
  <c r="AM43" i="47"/>
  <c r="AM41" i="47"/>
  <c r="BB12" i="66"/>
  <c r="AQ56" i="47"/>
  <c r="AQ61" i="47" s="1"/>
  <c r="AS15" i="66"/>
  <c r="AN14" i="66"/>
  <c r="AN44" i="47"/>
  <c r="AN17" i="66" s="1"/>
  <c r="AQ35" i="47"/>
  <c r="AW12" i="66"/>
  <c r="BB34" i="47"/>
  <c r="AO52" i="47"/>
  <c r="AP34" i="47"/>
  <c r="AO51" i="47"/>
  <c r="BA23" i="62"/>
  <c r="BA20" i="66" s="1"/>
  <c r="BA24" i="62"/>
  <c r="BA21" i="66" s="1"/>
  <c r="BA19" i="66"/>
  <c r="AP43" i="47"/>
  <c r="AP13" i="66"/>
  <c r="AP41" i="47"/>
  <c r="AP56" i="47"/>
  <c r="AP61" i="47" s="1"/>
  <c r="AY57" i="47"/>
  <c r="AY31" i="62" s="1"/>
  <c r="AY33" i="62" s="1"/>
  <c r="AL13" i="66"/>
  <c r="AL43" i="47"/>
  <c r="AO19" i="62"/>
  <c r="AO22" i="62" s="1"/>
  <c r="AM19" i="66"/>
  <c r="AM23" i="62"/>
  <c r="AM20" i="66" s="1"/>
  <c r="AM24" i="62"/>
  <c r="AM21" i="66" s="1"/>
  <c r="BA56" i="47"/>
  <c r="BA61" i="47" s="1"/>
  <c r="BB15" i="66"/>
  <c r="AR24" i="62"/>
  <c r="AR21" i="66" s="1"/>
  <c r="AR19" i="66"/>
  <c r="AR23" i="62"/>
  <c r="AR20" i="66" s="1"/>
  <c r="AS24" i="62"/>
  <c r="AS21" i="66" s="1"/>
  <c r="AS23" i="62"/>
  <c r="AS20" i="66" s="1"/>
  <c r="AS19" i="66"/>
  <c r="AW58" i="47"/>
  <c r="AW60" i="47" s="1"/>
  <c r="AP14" i="66"/>
  <c r="AP44" i="47"/>
  <c r="AP17" i="66" s="1"/>
  <c r="AN43" i="47"/>
  <c r="AN13" i="66"/>
  <c r="AN41" i="47"/>
  <c r="AP19" i="62"/>
  <c r="AP22" i="62" s="1"/>
  <c r="BD34" i="47"/>
  <c r="AT19" i="66"/>
  <c r="AT23" i="62"/>
  <c r="AT20" i="66" s="1"/>
  <c r="AT24" i="62"/>
  <c r="AT21" i="66" s="1"/>
  <c r="AO13" i="66"/>
  <c r="AO43" i="47"/>
  <c r="D12" i="72" l="1"/>
  <c r="D28" i="72" s="1"/>
  <c r="J60" i="47"/>
  <c r="J35" i="62" s="1"/>
  <c r="J36" i="62" s="1"/>
  <c r="BH36" i="62" s="1"/>
  <c r="J33" i="62"/>
  <c r="BH33" i="62" s="1"/>
  <c r="U37" i="62"/>
  <c r="U33" i="66" s="1"/>
  <c r="AP16" i="66"/>
  <c r="AP15" i="66" s="1"/>
  <c r="AP22" i="66"/>
  <c r="AM16" i="66"/>
  <c r="AM15" i="66" s="1"/>
  <c r="AM22" i="66"/>
  <c r="AQ22" i="66"/>
  <c r="AO16" i="66"/>
  <c r="AO15" i="66" s="1"/>
  <c r="AO22" i="66"/>
  <c r="AN16" i="66"/>
  <c r="AN22" i="66"/>
  <c r="AL16" i="66"/>
  <c r="AL22" i="66"/>
  <c r="H51" i="46"/>
  <c r="H27" i="46"/>
  <c r="H50" i="46"/>
  <c r="H40" i="46"/>
  <c r="H45" i="46"/>
  <c r="H37" i="46"/>
  <c r="H55" i="46"/>
  <c r="H35" i="46"/>
  <c r="H47" i="46"/>
  <c r="H41" i="46"/>
  <c r="H23" i="46"/>
  <c r="H21" i="46"/>
  <c r="H63" i="46"/>
  <c r="H59" i="46"/>
  <c r="H70" i="46"/>
  <c r="H60" i="46"/>
  <c r="H38" i="46"/>
  <c r="H65" i="46"/>
  <c r="H19" i="46"/>
  <c r="H42" i="46"/>
  <c r="H69" i="46"/>
  <c r="H24" i="46"/>
  <c r="H53" i="46"/>
  <c r="H48" i="46"/>
  <c r="H46" i="46"/>
  <c r="H58" i="46"/>
  <c r="H22" i="46"/>
  <c r="H28" i="46"/>
  <c r="H36" i="46"/>
  <c r="H62" i="46"/>
  <c r="H44" i="46"/>
  <c r="H57" i="46"/>
  <c r="H66" i="46"/>
  <c r="H20" i="46"/>
  <c r="H68" i="46"/>
  <c r="H56" i="46"/>
  <c r="H49" i="46"/>
  <c r="H67" i="46"/>
  <c r="H52" i="46"/>
  <c r="H43" i="46"/>
  <c r="H54" i="46"/>
  <c r="H64" i="46"/>
  <c r="AI37" i="62"/>
  <c r="AI33" i="66" s="1"/>
  <c r="AU31" i="66"/>
  <c r="V36" i="62"/>
  <c r="V32" i="66" s="1"/>
  <c r="G69" i="46"/>
  <c r="G63" i="46"/>
  <c r="G36" i="46"/>
  <c r="G23" i="46"/>
  <c r="G57" i="46"/>
  <c r="G24" i="46"/>
  <c r="G66" i="46"/>
  <c r="G45" i="46"/>
  <c r="G65" i="46"/>
  <c r="G41" i="46"/>
  <c r="G56" i="46"/>
  <c r="G59" i="46"/>
  <c r="G54" i="46"/>
  <c r="G62" i="46"/>
  <c r="G28" i="46"/>
  <c r="G21" i="46"/>
  <c r="G61" i="46"/>
  <c r="G52" i="46"/>
  <c r="G27" i="46"/>
  <c r="G67" i="46"/>
  <c r="G60" i="46"/>
  <c r="G35" i="46"/>
  <c r="G37" i="46"/>
  <c r="G53" i="46"/>
  <c r="G38" i="46"/>
  <c r="G48" i="46"/>
  <c r="G64" i="46"/>
  <c r="G46" i="46"/>
  <c r="G42" i="46"/>
  <c r="G20" i="46"/>
  <c r="G44" i="46"/>
  <c r="G50" i="46"/>
  <c r="G68" i="46"/>
  <c r="G51" i="46"/>
  <c r="G19" i="46"/>
  <c r="G70" i="46"/>
  <c r="G22" i="46"/>
  <c r="G58" i="46"/>
  <c r="G47" i="46"/>
  <c r="G49" i="46"/>
  <c r="G55" i="46"/>
  <c r="L58" i="47"/>
  <c r="L60" i="47" s="1"/>
  <c r="L35" i="62" s="1"/>
  <c r="L36" i="62" s="1"/>
  <c r="E31" i="62"/>
  <c r="E32" i="62" s="1"/>
  <c r="E25" i="66"/>
  <c r="G40" i="46"/>
  <c r="BF62" i="47"/>
  <c r="H44" i="48" s="1"/>
  <c r="AN35" i="47"/>
  <c r="AP35" i="47"/>
  <c r="J61" i="47"/>
  <c r="K58" i="47"/>
  <c r="K60" i="47" s="1"/>
  <c r="K35" i="62" s="1"/>
  <c r="K36" i="62" s="1"/>
  <c r="J31" i="66"/>
  <c r="BH31" i="66" s="1"/>
  <c r="M61" i="47"/>
  <c r="BD58" i="47"/>
  <c r="BD60" i="47" s="1"/>
  <c r="BD31" i="66" s="1"/>
  <c r="X36" i="62"/>
  <c r="X32" i="66" s="1"/>
  <c r="Z79" i="48" s="1"/>
  <c r="X37" i="62"/>
  <c r="X33" i="66" s="1"/>
  <c r="Z80" i="48" s="1"/>
  <c r="AD36" i="62"/>
  <c r="AD32" i="66" s="1"/>
  <c r="AF79" i="48" s="1"/>
  <c r="AD37" i="62"/>
  <c r="AD33" i="66" s="1"/>
  <c r="AF80" i="48" s="1"/>
  <c r="BD32" i="62"/>
  <c r="BD27" i="66" s="1"/>
  <c r="AY62" i="47"/>
  <c r="AY63" i="47" s="1"/>
  <c r="AV60" i="47"/>
  <c r="AV35" i="62" s="1"/>
  <c r="G61" i="47"/>
  <c r="AT60" i="47"/>
  <c r="AT35" i="62" s="1"/>
  <c r="AS61" i="47"/>
  <c r="H61" i="47"/>
  <c r="BB62" i="47"/>
  <c r="BB63" i="47" s="1"/>
  <c r="E58" i="47"/>
  <c r="BF56" i="47"/>
  <c r="AP62" i="47"/>
  <c r="AP63" i="47" s="1"/>
  <c r="BA62" i="47"/>
  <c r="BA63" i="47" s="1"/>
  <c r="BD62" i="47"/>
  <c r="BD63" i="47" s="1"/>
  <c r="I61" i="47"/>
  <c r="BC62" i="47"/>
  <c r="BC63" i="47" s="1"/>
  <c r="AX62" i="47"/>
  <c r="AX63" i="47" s="1"/>
  <c r="AM62" i="47"/>
  <c r="AM63" i="47" s="1"/>
  <c r="AR62" i="47"/>
  <c r="AR63" i="47" s="1"/>
  <c r="O61" i="47"/>
  <c r="AZ62" i="47"/>
  <c r="AZ63" i="47" s="1"/>
  <c r="AQ62" i="47"/>
  <c r="AQ63" i="47" s="1"/>
  <c r="L25" i="66"/>
  <c r="AM58" i="47"/>
  <c r="AM60" i="47" s="1"/>
  <c r="AM31" i="66" s="1"/>
  <c r="M91" i="48"/>
  <c r="S79" i="48"/>
  <c r="X79" i="48"/>
  <c r="E63" i="46"/>
  <c r="F45" i="46"/>
  <c r="F52" i="46"/>
  <c r="F51" i="46"/>
  <c r="F37" i="46"/>
  <c r="F36" i="46"/>
  <c r="F70" i="46"/>
  <c r="F38" i="46"/>
  <c r="F61" i="46"/>
  <c r="F40" i="46"/>
  <c r="F62" i="46"/>
  <c r="F68" i="46"/>
  <c r="F41" i="46"/>
  <c r="F42" i="46"/>
  <c r="F44" i="46"/>
  <c r="F69" i="46"/>
  <c r="W80" i="48"/>
  <c r="S80" i="48"/>
  <c r="E37" i="46"/>
  <c r="E67" i="46"/>
  <c r="E52" i="46"/>
  <c r="E40" i="46"/>
  <c r="E43" i="46"/>
  <c r="E46" i="46"/>
  <c r="E65" i="46"/>
  <c r="N25" i="66"/>
  <c r="P91" i="48" s="1"/>
  <c r="E50" i="46"/>
  <c r="E66" i="46"/>
  <c r="E61" i="46"/>
  <c r="E38" i="46"/>
  <c r="E64" i="46"/>
  <c r="E42" i="46"/>
  <c r="E44" i="46"/>
  <c r="E57" i="46"/>
  <c r="E69" i="46"/>
  <c r="E54" i="46"/>
  <c r="E68" i="46"/>
  <c r="E41" i="46"/>
  <c r="E60" i="46"/>
  <c r="E36" i="46"/>
  <c r="E53" i="46"/>
  <c r="E56" i="46"/>
  <c r="E45" i="46"/>
  <c r="E49" i="46"/>
  <c r="E48" i="46"/>
  <c r="E62" i="46"/>
  <c r="E70" i="46"/>
  <c r="E35" i="46"/>
  <c r="E58" i="46"/>
  <c r="E55" i="46"/>
  <c r="E51" i="46"/>
  <c r="E47" i="46"/>
  <c r="F67" i="46"/>
  <c r="F47" i="46"/>
  <c r="F59" i="46"/>
  <c r="F56" i="46"/>
  <c r="F64" i="46"/>
  <c r="F66" i="46"/>
  <c r="F53" i="46"/>
  <c r="F63" i="46"/>
  <c r="F55" i="46"/>
  <c r="F57" i="46"/>
  <c r="F60" i="46"/>
  <c r="F46" i="46"/>
  <c r="F54" i="46"/>
  <c r="F43" i="46"/>
  <c r="F49" i="46"/>
  <c r="F58" i="46"/>
  <c r="F48" i="46"/>
  <c r="F65" i="46"/>
  <c r="F50" i="46"/>
  <c r="F35" i="46"/>
  <c r="F22" i="46"/>
  <c r="F21" i="46"/>
  <c r="F24" i="46"/>
  <c r="F23" i="46"/>
  <c r="F28" i="46"/>
  <c r="F19" i="46"/>
  <c r="F20" i="46"/>
  <c r="E59" i="46"/>
  <c r="E22" i="46"/>
  <c r="E21" i="46"/>
  <c r="E28" i="46"/>
  <c r="E24" i="46"/>
  <c r="E20" i="46"/>
  <c r="E27" i="46"/>
  <c r="E23" i="46"/>
  <c r="F35" i="62"/>
  <c r="F36" i="62" s="1"/>
  <c r="H25" i="66"/>
  <c r="L27" i="62"/>
  <c r="L28" i="62" s="1"/>
  <c r="L26" i="66" s="1"/>
  <c r="V79" i="48"/>
  <c r="W79" i="48"/>
  <c r="V80" i="48"/>
  <c r="U80" i="48"/>
  <c r="U79" i="48"/>
  <c r="R78" i="48"/>
  <c r="M27" i="62"/>
  <c r="M28" i="62" s="1"/>
  <c r="M26" i="66" s="1"/>
  <c r="K27" i="62"/>
  <c r="K28" i="62" s="1"/>
  <c r="K26" i="66" s="1"/>
  <c r="F124" i="48"/>
  <c r="H124" i="48" s="1"/>
  <c r="H32" i="62"/>
  <c r="H27" i="66" s="1"/>
  <c r="H33" i="62"/>
  <c r="AL21" i="62"/>
  <c r="AL25" i="62"/>
  <c r="AN21" i="62"/>
  <c r="AN18" i="66" s="1"/>
  <c r="AN25" i="62"/>
  <c r="N32" i="62"/>
  <c r="N33" i="62"/>
  <c r="AO21" i="62"/>
  <c r="AO18" i="66" s="1"/>
  <c r="AO25" i="62"/>
  <c r="AP21" i="62"/>
  <c r="AP18" i="66" s="1"/>
  <c r="AP25" i="62"/>
  <c r="L32" i="62"/>
  <c r="L27" i="66" s="1"/>
  <c r="J32" i="62"/>
  <c r="BH32" i="62" s="1"/>
  <c r="AQ32" i="62"/>
  <c r="AQ27" i="66" s="1"/>
  <c r="K32" i="62"/>
  <c r="K27" i="66" s="1"/>
  <c r="BC32" i="62"/>
  <c r="BC27" i="66" s="1"/>
  <c r="AX32" i="62"/>
  <c r="AX27" i="66" s="1"/>
  <c r="G27" i="62"/>
  <c r="G28" i="62" s="1"/>
  <c r="G26" i="66" s="1"/>
  <c r="AM32" i="62"/>
  <c r="AM27" i="66" s="1"/>
  <c r="AU37" i="62"/>
  <c r="AU33" i="66" s="1"/>
  <c r="AU36" i="62"/>
  <c r="AU32" i="66" s="1"/>
  <c r="AY32" i="62"/>
  <c r="AY27" i="66" s="1"/>
  <c r="AP32" i="62"/>
  <c r="AP27" i="66" s="1"/>
  <c r="BB32" i="62"/>
  <c r="BB27" i="66" s="1"/>
  <c r="I32" i="62"/>
  <c r="I27" i="66" s="1"/>
  <c r="F32" i="62"/>
  <c r="F27" i="66" s="1"/>
  <c r="BA32" i="62"/>
  <c r="BA27" i="66" s="1"/>
  <c r="AZ32" i="62"/>
  <c r="AZ27" i="66" s="1"/>
  <c r="AR32" i="62"/>
  <c r="AR27" i="66" s="1"/>
  <c r="M32" i="62"/>
  <c r="M27" i="66" s="1"/>
  <c r="G32" i="62"/>
  <c r="G27" i="66" s="1"/>
  <c r="O27" i="62"/>
  <c r="O28" i="62" s="1"/>
  <c r="O26" i="66" s="1"/>
  <c r="O31" i="62"/>
  <c r="I27" i="62"/>
  <c r="I28" i="62" s="1"/>
  <c r="I26" i="66" s="1"/>
  <c r="J27" i="62"/>
  <c r="J28" i="62" s="1"/>
  <c r="BH28" i="62" s="1"/>
  <c r="J25" i="66"/>
  <c r="BH25" i="66" s="1"/>
  <c r="H35" i="62"/>
  <c r="H36" i="62" s="1"/>
  <c r="H31" i="66"/>
  <c r="G31" i="66"/>
  <c r="G35" i="62"/>
  <c r="G36" i="62" s="1"/>
  <c r="I31" i="66"/>
  <c r="I35" i="62"/>
  <c r="I36" i="62" s="1"/>
  <c r="AR58" i="47"/>
  <c r="J32" i="66"/>
  <c r="BH32" i="66" s="1"/>
  <c r="J37" i="62"/>
  <c r="BH37" i="62" s="1"/>
  <c r="M31" i="66"/>
  <c r="M35" i="62"/>
  <c r="M36" i="62" s="1"/>
  <c r="AQ58" i="47"/>
  <c r="BB58" i="47"/>
  <c r="AX58" i="47"/>
  <c r="P32" i="66"/>
  <c r="R79" i="48" s="1"/>
  <c r="AV27" i="62"/>
  <c r="AV28" i="62" s="1"/>
  <c r="AV26" i="66" s="1"/>
  <c r="AV25" i="66"/>
  <c r="AS31" i="66"/>
  <c r="AS35" i="62"/>
  <c r="AS36" i="62" s="1"/>
  <c r="AS25" i="66"/>
  <c r="AS27" i="62"/>
  <c r="AS28" i="62" s="1"/>
  <c r="AS26" i="66" s="1"/>
  <c r="AW31" i="66"/>
  <c r="AW35" i="62"/>
  <c r="AW36" i="62" s="1"/>
  <c r="AW27" i="62"/>
  <c r="AW28" i="62" s="1"/>
  <c r="AW26" i="66" s="1"/>
  <c r="AW25" i="66"/>
  <c r="P33" i="66"/>
  <c r="R80" i="48" s="1"/>
  <c r="AT25" i="66"/>
  <c r="AT27" i="62"/>
  <c r="AT28" i="62" s="1"/>
  <c r="AT26" i="66" s="1"/>
  <c r="AU27" i="62"/>
  <c r="AU28" i="62" s="1"/>
  <c r="AU26" i="66" s="1"/>
  <c r="AU25" i="66"/>
  <c r="N58" i="47"/>
  <c r="N26" i="66"/>
  <c r="AL57" i="47"/>
  <c r="AL31" i="62" s="1"/>
  <c r="AL33" i="62" s="1"/>
  <c r="AP58" i="47"/>
  <c r="AP60" i="47" s="1"/>
  <c r="BA58" i="47"/>
  <c r="BA60" i="47" s="1"/>
  <c r="AL12" i="66"/>
  <c r="BC58" i="47"/>
  <c r="BC60" i="47" s="1"/>
  <c r="AO57" i="47"/>
  <c r="AO31" i="62" s="1"/>
  <c r="AO33" i="62" s="1"/>
  <c r="AO12" i="66"/>
  <c r="AN12" i="66"/>
  <c r="AZ58" i="47"/>
  <c r="AZ60" i="47" s="1"/>
  <c r="AO34" i="47"/>
  <c r="AM34" i="47"/>
  <c r="AN57" i="47"/>
  <c r="AN31" i="62" s="1"/>
  <c r="AN33" i="62" s="1"/>
  <c r="AN19" i="66"/>
  <c r="AN23" i="62"/>
  <c r="AN20" i="66" s="1"/>
  <c r="AN24" i="62"/>
  <c r="AN21" i="66" s="1"/>
  <c r="AL24" i="62"/>
  <c r="AL19" i="66"/>
  <c r="AL23" i="62"/>
  <c r="AL56" i="47"/>
  <c r="AL61" i="47" s="1"/>
  <c r="AP23" i="62"/>
  <c r="AP20" i="66" s="1"/>
  <c r="AP24" i="62"/>
  <c r="AP21" i="66" s="1"/>
  <c r="AP19" i="66"/>
  <c r="AO56" i="47"/>
  <c r="AO61" i="47" s="1"/>
  <c r="AY58" i="47"/>
  <c r="AY60" i="47" s="1"/>
  <c r="AN56" i="47"/>
  <c r="AN61" i="47" s="1"/>
  <c r="AO19" i="66"/>
  <c r="AO23" i="62"/>
  <c r="AO20" i="66" s="1"/>
  <c r="AO24" i="62"/>
  <c r="AO21" i="66" s="1"/>
  <c r="AP12" i="66"/>
  <c r="AL15" i="66" l="1"/>
  <c r="F61" i="48"/>
  <c r="F43" i="48" s="1"/>
  <c r="J33" i="66"/>
  <c r="BH33" i="66" s="1"/>
  <c r="J27" i="66"/>
  <c r="BH27" i="66" s="1"/>
  <c r="J26" i="66"/>
  <c r="BH26" i="66" s="1"/>
  <c r="AN15" i="66"/>
  <c r="G60" i="63"/>
  <c r="G68" i="63" s="1"/>
  <c r="F106" i="48" s="1"/>
  <c r="H106" i="48" s="1"/>
  <c r="J58" i="46"/>
  <c r="K58" i="46" s="1"/>
  <c r="F143" i="48" s="1"/>
  <c r="H143" i="48" s="1"/>
  <c r="J43" i="46"/>
  <c r="K43" i="46" s="1"/>
  <c r="F62" i="48"/>
  <c r="F44" i="48" s="1"/>
  <c r="J50" i="46"/>
  <c r="K50" i="46" s="1"/>
  <c r="F135" i="48" s="1"/>
  <c r="H135" i="48" s="1"/>
  <c r="J44" i="46"/>
  <c r="K44" i="46" s="1"/>
  <c r="F129" i="48" s="1"/>
  <c r="H129" i="48" s="1"/>
  <c r="E33" i="62"/>
  <c r="BF31" i="62"/>
  <c r="AL21" i="66"/>
  <c r="AL18" i="66"/>
  <c r="AL20" i="66"/>
  <c r="N91" i="48"/>
  <c r="E27" i="62"/>
  <c r="E28" i="62" s="1"/>
  <c r="K31" i="66"/>
  <c r="L31" i="66"/>
  <c r="BD27" i="62"/>
  <c r="BD28" i="62" s="1"/>
  <c r="BD26" i="66" s="1"/>
  <c r="AZ27" i="62"/>
  <c r="AZ28" i="62" s="1"/>
  <c r="AZ26" i="66" s="1"/>
  <c r="AT31" i="66"/>
  <c r="BF61" i="47"/>
  <c r="H42" i="48" s="1"/>
  <c r="I54" i="48" s="1"/>
  <c r="BF63" i="47"/>
  <c r="BD35" i="62"/>
  <c r="BD37" i="62" s="1"/>
  <c r="BD33" i="66" s="1"/>
  <c r="AV31" i="66"/>
  <c r="AT37" i="62"/>
  <c r="AT33" i="66" s="1"/>
  <c r="AT36" i="62"/>
  <c r="AT32" i="66" s="1"/>
  <c r="AM35" i="62"/>
  <c r="AM37" i="62" s="1"/>
  <c r="AM33" i="66" s="1"/>
  <c r="AV36" i="62"/>
  <c r="AV32" i="66" s="1"/>
  <c r="AV37" i="62"/>
  <c r="AV33" i="66" s="1"/>
  <c r="N60" i="47"/>
  <c r="BB60" i="47"/>
  <c r="BB35" i="62" s="1"/>
  <c r="BF58" i="47"/>
  <c r="E60" i="47"/>
  <c r="AQ60" i="47"/>
  <c r="AQ35" i="62" s="1"/>
  <c r="AL62" i="47"/>
  <c r="AL63" i="47" s="1"/>
  <c r="AO62" i="47"/>
  <c r="AO63" i="47" s="1"/>
  <c r="AN62" i="47"/>
  <c r="AN63" i="47" s="1"/>
  <c r="AX60" i="47"/>
  <c r="AX31" i="66" s="1"/>
  <c r="AR60" i="47"/>
  <c r="AR31" i="66" s="1"/>
  <c r="F27" i="62"/>
  <c r="F28" i="62" s="1"/>
  <c r="F26" i="66" s="1"/>
  <c r="F25" i="66"/>
  <c r="H91" i="48" s="1"/>
  <c r="G91" i="48"/>
  <c r="J91" i="48"/>
  <c r="F31" i="66"/>
  <c r="E27" i="66"/>
  <c r="E19" i="81"/>
  <c r="E21" i="81"/>
  <c r="E16" i="81"/>
  <c r="E12" i="81"/>
  <c r="E38" i="81"/>
  <c r="O25" i="66"/>
  <c r="O91" i="48" s="1"/>
  <c r="E18" i="81"/>
  <c r="E15" i="81"/>
  <c r="E28" i="81"/>
  <c r="E26" i="81"/>
  <c r="E17" i="81"/>
  <c r="E31" i="81"/>
  <c r="E29" i="81"/>
  <c r="E20" i="81"/>
  <c r="E33" i="81"/>
  <c r="E14" i="81"/>
  <c r="E41" i="81"/>
  <c r="E32" i="81"/>
  <c r="E35" i="81"/>
  <c r="E34" i="81"/>
  <c r="E27" i="81"/>
  <c r="E13" i="81"/>
  <c r="E22" i="81"/>
  <c r="E23" i="81"/>
  <c r="E36" i="81"/>
  <c r="E37" i="81"/>
  <c r="E30" i="81"/>
  <c r="E25" i="81"/>
  <c r="E39" i="81"/>
  <c r="E24" i="81"/>
  <c r="E40" i="81"/>
  <c r="O32" i="62"/>
  <c r="BF32" i="62" s="1"/>
  <c r="O33" i="62"/>
  <c r="AL32" i="62"/>
  <c r="AL27" i="66" s="1"/>
  <c r="AO32" i="62"/>
  <c r="AO27" i="66" s="1"/>
  <c r="AN32" i="62"/>
  <c r="AN27" i="66" s="1"/>
  <c r="G32" i="66"/>
  <c r="G37" i="62"/>
  <c r="G33" i="66" s="1"/>
  <c r="F32" i="66"/>
  <c r="F37" i="62"/>
  <c r="F33" i="66" s="1"/>
  <c r="I37" i="62"/>
  <c r="I33" i="66" s="1"/>
  <c r="I32" i="66"/>
  <c r="H32" i="66"/>
  <c r="H37" i="62"/>
  <c r="H33" i="66" s="1"/>
  <c r="K32" i="66"/>
  <c r="K37" i="62"/>
  <c r="K33" i="66" s="1"/>
  <c r="M32" i="66"/>
  <c r="M37" i="62"/>
  <c r="M33" i="66" s="1"/>
  <c r="L37" i="62"/>
  <c r="L33" i="66" s="1"/>
  <c r="L32" i="66"/>
  <c r="AL58" i="47"/>
  <c r="AO58" i="47"/>
  <c r="AZ25" i="66"/>
  <c r="AQ25" i="66"/>
  <c r="AQ27" i="62"/>
  <c r="AQ28" i="62" s="1"/>
  <c r="AQ26" i="66" s="1"/>
  <c r="AZ35" i="62"/>
  <c r="AZ36" i="62" s="1"/>
  <c r="AZ31" i="66"/>
  <c r="AM27" i="62"/>
  <c r="AM28" i="62" s="1"/>
  <c r="AM26" i="66" s="1"/>
  <c r="AM25" i="66"/>
  <c r="BB25" i="66"/>
  <c r="BB27" i="62"/>
  <c r="BB28" i="62" s="1"/>
  <c r="BB26" i="66" s="1"/>
  <c r="BA25" i="66"/>
  <c r="BA27" i="62"/>
  <c r="BA28" i="62" s="1"/>
  <c r="BA26" i="66" s="1"/>
  <c r="BA31" i="66"/>
  <c r="BA35" i="62"/>
  <c r="BA36" i="62" s="1"/>
  <c r="AP31" i="66"/>
  <c r="AP35" i="62"/>
  <c r="AP36" i="62" s="1"/>
  <c r="AP25" i="66"/>
  <c r="AP27" i="62"/>
  <c r="AP28" i="62" s="1"/>
  <c r="AP26" i="66" s="1"/>
  <c r="O31" i="66"/>
  <c r="O35" i="62"/>
  <c r="O36" i="62" s="1"/>
  <c r="AY31" i="66"/>
  <c r="AY35" i="62"/>
  <c r="AY36" i="62" s="1"/>
  <c r="AY27" i="62"/>
  <c r="AY28" i="62" s="1"/>
  <c r="AY26" i="66" s="1"/>
  <c r="AY25" i="66"/>
  <c r="AS32" i="66"/>
  <c r="AS37" i="62"/>
  <c r="AS33" i="66" s="1"/>
  <c r="BC25" i="66"/>
  <c r="BC27" i="62"/>
  <c r="BC28" i="62" s="1"/>
  <c r="BC26" i="66" s="1"/>
  <c r="AX25" i="66"/>
  <c r="AX27" i="62"/>
  <c r="AX28" i="62" s="1"/>
  <c r="AX26" i="66" s="1"/>
  <c r="BC35" i="62"/>
  <c r="BC36" i="62" s="1"/>
  <c r="BC31" i="66"/>
  <c r="AR27" i="62"/>
  <c r="AR28" i="62" s="1"/>
  <c r="AR26" i="66" s="1"/>
  <c r="AR25" i="66"/>
  <c r="AW37" i="62"/>
  <c r="AW33" i="66" s="1"/>
  <c r="AW32" i="66"/>
  <c r="N27" i="66"/>
  <c r="AN58" i="47"/>
  <c r="AN60" i="47" s="1"/>
  <c r="H78" i="48" l="1"/>
  <c r="J40" i="46"/>
  <c r="K40" i="46" s="1"/>
  <c r="F125" i="48" s="1"/>
  <c r="H125" i="48" s="1"/>
  <c r="D11" i="72"/>
  <c r="D27" i="72" s="1"/>
  <c r="D29" i="72" s="1"/>
  <c r="F128" i="48" s="1"/>
  <c r="H128" i="48" s="1"/>
  <c r="I91" i="48"/>
  <c r="BF33" i="62"/>
  <c r="G64" i="63"/>
  <c r="J30" i="46"/>
  <c r="J20" i="46"/>
  <c r="K20" i="46" s="1"/>
  <c r="F116" i="48" s="1"/>
  <c r="H116" i="48" s="1"/>
  <c r="J37" i="46"/>
  <c r="K37" i="46" s="1"/>
  <c r="J29" i="46"/>
  <c r="J36" i="46"/>
  <c r="K36" i="46" s="1"/>
  <c r="J22" i="46"/>
  <c r="K22" i="46" s="1"/>
  <c r="F119" i="48" s="1"/>
  <c r="H119" i="48" s="1"/>
  <c r="J24" i="46"/>
  <c r="K24" i="46" s="1"/>
  <c r="J27" i="46"/>
  <c r="K27" i="46" s="1"/>
  <c r="J35" i="46"/>
  <c r="K35" i="46" s="1"/>
  <c r="J28" i="46"/>
  <c r="K28" i="46" s="1"/>
  <c r="F103" i="48" s="1"/>
  <c r="H103" i="48" s="1"/>
  <c r="J25" i="46"/>
  <c r="J26" i="46"/>
  <c r="J19" i="46"/>
  <c r="K19" i="46" s="1"/>
  <c r="J18" i="46"/>
  <c r="J38" i="46"/>
  <c r="K38" i="46" s="1"/>
  <c r="J21" i="46"/>
  <c r="K21" i="46" s="1"/>
  <c r="J23" i="46"/>
  <c r="K23" i="46" s="1"/>
  <c r="J31" i="46"/>
  <c r="G78" i="48"/>
  <c r="J55" i="46"/>
  <c r="K55" i="46" s="1"/>
  <c r="F140" i="48" s="1"/>
  <c r="H140" i="48" s="1"/>
  <c r="J67" i="46"/>
  <c r="K67" i="46" s="1"/>
  <c r="F152" i="48" s="1"/>
  <c r="H152" i="48" s="1"/>
  <c r="J62" i="46"/>
  <c r="K62" i="46" s="1"/>
  <c r="F147" i="48" s="1"/>
  <c r="H147" i="48" s="1"/>
  <c r="J66" i="46"/>
  <c r="K66" i="46" s="1"/>
  <c r="F151" i="48" s="1"/>
  <c r="H151" i="48" s="1"/>
  <c r="J47" i="46"/>
  <c r="K47" i="46" s="1"/>
  <c r="J42" i="46"/>
  <c r="K42" i="46" s="1"/>
  <c r="F127" i="48" s="1"/>
  <c r="H127" i="48" s="1"/>
  <c r="J63" i="46"/>
  <c r="K63" i="46" s="1"/>
  <c r="F148" i="48" s="1"/>
  <c r="H148" i="48" s="1"/>
  <c r="J51" i="46"/>
  <c r="K51" i="46" s="1"/>
  <c r="F136" i="48" s="1"/>
  <c r="H136" i="48" s="1"/>
  <c r="J70" i="46"/>
  <c r="K70" i="46" s="1"/>
  <c r="F155" i="48" s="1"/>
  <c r="H155" i="48" s="1"/>
  <c r="J46" i="46"/>
  <c r="K46" i="46" s="1"/>
  <c r="F131" i="48" s="1"/>
  <c r="H131" i="48" s="1"/>
  <c r="J48" i="46"/>
  <c r="K48" i="46" s="1"/>
  <c r="F133" i="48" s="1"/>
  <c r="H133" i="48" s="1"/>
  <c r="J52" i="46"/>
  <c r="K52" i="46" s="1"/>
  <c r="F137" i="48" s="1"/>
  <c r="H137" i="48" s="1"/>
  <c r="J41" i="46"/>
  <c r="K41" i="46" s="1"/>
  <c r="F126" i="48" s="1"/>
  <c r="H126" i="48" s="1"/>
  <c r="J53" i="46"/>
  <c r="K53" i="46" s="1"/>
  <c r="F138" i="48" s="1"/>
  <c r="H138" i="48" s="1"/>
  <c r="J56" i="46"/>
  <c r="K56" i="46" s="1"/>
  <c r="F141" i="48" s="1"/>
  <c r="H141" i="48" s="1"/>
  <c r="J59" i="46"/>
  <c r="K59" i="46" s="1"/>
  <c r="F144" i="48" s="1"/>
  <c r="H144" i="48" s="1"/>
  <c r="J57" i="46"/>
  <c r="K57" i="46" s="1"/>
  <c r="J68" i="46"/>
  <c r="K68" i="46" s="1"/>
  <c r="F153" i="48" s="1"/>
  <c r="H153" i="48" s="1"/>
  <c r="J49" i="46"/>
  <c r="K49" i="46" s="1"/>
  <c r="F134" i="48" s="1"/>
  <c r="H134" i="48" s="1"/>
  <c r="J69" i="46"/>
  <c r="K69" i="46" s="1"/>
  <c r="F154" i="48" s="1"/>
  <c r="H154" i="48" s="1"/>
  <c r="J61" i="46"/>
  <c r="K61" i="46" s="1"/>
  <c r="F146" i="48" s="1"/>
  <c r="H146" i="48" s="1"/>
  <c r="J65" i="46"/>
  <c r="K65" i="46" s="1"/>
  <c r="F150" i="48" s="1"/>
  <c r="H150" i="48" s="1"/>
  <c r="J60" i="46"/>
  <c r="K60" i="46" s="1"/>
  <c r="F145" i="48" s="1"/>
  <c r="H145" i="48" s="1"/>
  <c r="F60" i="48"/>
  <c r="J54" i="46"/>
  <c r="K54" i="46" s="1"/>
  <c r="F139" i="48" s="1"/>
  <c r="H139" i="48" s="1"/>
  <c r="J45" i="46"/>
  <c r="K45" i="46" s="1"/>
  <c r="F130" i="48" s="1"/>
  <c r="H130" i="48" s="1"/>
  <c r="J64" i="46"/>
  <c r="K64" i="46" s="1"/>
  <c r="F149" i="48" s="1"/>
  <c r="H149" i="48" s="1"/>
  <c r="E55" i="92"/>
  <c r="E30" i="46"/>
  <c r="E56" i="92"/>
  <c r="E26" i="46"/>
  <c r="E25" i="46"/>
  <c r="E26" i="66"/>
  <c r="BF26" i="66" s="1"/>
  <c r="G77" i="46" s="1"/>
  <c r="F31" i="46"/>
  <c r="F26" i="46"/>
  <c r="F29" i="46"/>
  <c r="E58" i="92"/>
  <c r="F25" i="46"/>
  <c r="F18" i="46"/>
  <c r="E76" i="92"/>
  <c r="H30" i="46"/>
  <c r="E75" i="92"/>
  <c r="AM36" i="62"/>
  <c r="AM32" i="66" s="1"/>
  <c r="F91" i="48"/>
  <c r="BD36" i="62"/>
  <c r="BD32" i="66" s="1"/>
  <c r="AR35" i="62"/>
  <c r="AR37" i="62" s="1"/>
  <c r="AR33" i="66" s="1"/>
  <c r="BD25" i="66"/>
  <c r="I53" i="48"/>
  <c r="AQ31" i="66"/>
  <c r="F64" i="48"/>
  <c r="E35" i="92" s="1"/>
  <c r="H46" i="48"/>
  <c r="F63" i="48" s="1"/>
  <c r="E34" i="92" s="1"/>
  <c r="AX35" i="62"/>
  <c r="AX37" i="62" s="1"/>
  <c r="AX33" i="66" s="1"/>
  <c r="BB31" i="66"/>
  <c r="AQ37" i="62"/>
  <c r="AQ33" i="66" s="1"/>
  <c r="AQ36" i="62"/>
  <c r="AQ32" i="66" s="1"/>
  <c r="BB37" i="62"/>
  <c r="BB33" i="66" s="1"/>
  <c r="BB36" i="62"/>
  <c r="BB32" i="66" s="1"/>
  <c r="E35" i="62"/>
  <c r="E31" i="66"/>
  <c r="AO60" i="47"/>
  <c r="AO35" i="62" s="1"/>
  <c r="AO36" i="62" s="1"/>
  <c r="AL60" i="47"/>
  <c r="AL35" i="62" s="1"/>
  <c r="BF28" i="62"/>
  <c r="Q91" i="48"/>
  <c r="K91" i="48"/>
  <c r="L91" i="48"/>
  <c r="BF25" i="66"/>
  <c r="F78" i="48"/>
  <c r="M78" i="48"/>
  <c r="G71" i="48"/>
  <c r="O27" i="66"/>
  <c r="F79" i="48"/>
  <c r="J78" i="48"/>
  <c r="AO27" i="62"/>
  <c r="AO28" i="62" s="1"/>
  <c r="AO26" i="66" s="1"/>
  <c r="AO25" i="66"/>
  <c r="AN25" i="66"/>
  <c r="AN27" i="62"/>
  <c r="AN28" i="62" s="1"/>
  <c r="AN26" i="66" s="1"/>
  <c r="AP32" i="66"/>
  <c r="AP37" i="62"/>
  <c r="AP33" i="66" s="1"/>
  <c r="BC32" i="66"/>
  <c r="BC37" i="62"/>
  <c r="BC33" i="66" s="1"/>
  <c r="AY32" i="66"/>
  <c r="AY37" i="62"/>
  <c r="AY33" i="66" s="1"/>
  <c r="BA37" i="62"/>
  <c r="BA33" i="66" s="1"/>
  <c r="BA32" i="66"/>
  <c r="AN35" i="62"/>
  <c r="AN36" i="62" s="1"/>
  <c r="AN31" i="66"/>
  <c r="O37" i="62"/>
  <c r="O33" i="66" s="1"/>
  <c r="O32" i="66"/>
  <c r="AL27" i="62"/>
  <c r="AL28" i="62" s="1"/>
  <c r="AL26" i="66" s="1"/>
  <c r="AL25" i="66"/>
  <c r="N31" i="66"/>
  <c r="N35" i="62"/>
  <c r="N36" i="62" s="1"/>
  <c r="AZ37" i="62"/>
  <c r="AZ33" i="66" s="1"/>
  <c r="AZ32" i="66"/>
  <c r="E66" i="92" l="1"/>
  <c r="F142" i="48"/>
  <c r="H142" i="48" s="1"/>
  <c r="E61" i="92"/>
  <c r="I78" i="48"/>
  <c r="F132" i="48"/>
  <c r="H132" i="48" s="1"/>
  <c r="K31" i="46"/>
  <c r="F105" i="48" s="1"/>
  <c r="H105" i="48" s="1"/>
  <c r="K18" i="46"/>
  <c r="F114" i="48" s="1"/>
  <c r="H114" i="48" s="1"/>
  <c r="K29" i="46"/>
  <c r="F104" i="48" s="1"/>
  <c r="H104" i="48" s="1"/>
  <c r="K26" i="46"/>
  <c r="K25" i="46"/>
  <c r="E46" i="92"/>
  <c r="F42" i="48"/>
  <c r="F52" i="48"/>
  <c r="E39" i="92"/>
  <c r="K30" i="46"/>
  <c r="G74" i="46"/>
  <c r="G76" i="46"/>
  <c r="G73" i="46"/>
  <c r="G75" i="46"/>
  <c r="G79" i="46"/>
  <c r="AR36" i="62"/>
  <c r="AR32" i="66" s="1"/>
  <c r="AX36" i="62"/>
  <c r="AX32" i="66" s="1"/>
  <c r="I73" i="46"/>
  <c r="AL31" i="66"/>
  <c r="AL36" i="62"/>
  <c r="AL32" i="66" s="1"/>
  <c r="AL37" i="62"/>
  <c r="AL33" i="66" s="1"/>
  <c r="AO31" i="66"/>
  <c r="E36" i="62"/>
  <c r="E37" i="62"/>
  <c r="I52" i="48"/>
  <c r="I79" i="46"/>
  <c r="E65" i="92"/>
  <c r="E68" i="92"/>
  <c r="E63" i="92"/>
  <c r="L80" i="48"/>
  <c r="Q80" i="48"/>
  <c r="K78" i="48"/>
  <c r="Q78" i="48"/>
  <c r="L79" i="48"/>
  <c r="Q79" i="48"/>
  <c r="N78" i="48"/>
  <c r="L78" i="48"/>
  <c r="BF27" i="66"/>
  <c r="E75" i="46" s="1"/>
  <c r="BF31" i="66"/>
  <c r="G58" i="63" s="1"/>
  <c r="F80" i="48"/>
  <c r="O78" i="48"/>
  <c r="P78" i="48"/>
  <c r="I74" i="46"/>
  <c r="I77" i="46"/>
  <c r="K77" i="46" s="1"/>
  <c r="I76" i="46"/>
  <c r="I75" i="46"/>
  <c r="H71" i="48"/>
  <c r="E86" i="46"/>
  <c r="K86" i="46" s="1"/>
  <c r="E87" i="46"/>
  <c r="K87" i="46" s="1"/>
  <c r="E85" i="46"/>
  <c r="K85" i="46" s="1"/>
  <c r="AO37" i="62"/>
  <c r="AO33" i="66" s="1"/>
  <c r="AO32" i="66"/>
  <c r="N37" i="62"/>
  <c r="AN37" i="62"/>
  <c r="AN33" i="66" s="1"/>
  <c r="AN32" i="66"/>
  <c r="E64" i="92" l="1"/>
  <c r="E67" i="92"/>
  <c r="F102" i="48"/>
  <c r="H102" i="48" s="1"/>
  <c r="F101" i="48"/>
  <c r="H101" i="48" s="1"/>
  <c r="E33" i="66"/>
  <c r="E32" i="66"/>
  <c r="BF36" i="62"/>
  <c r="G71" i="63"/>
  <c r="I103" i="46" s="1"/>
  <c r="K103" i="46" s="1"/>
  <c r="G69" i="63"/>
  <c r="F107" i="48" s="1"/>
  <c r="H107" i="48" s="1"/>
  <c r="G73" i="63"/>
  <c r="F111" i="48" s="1"/>
  <c r="H111" i="48" s="1"/>
  <c r="G72" i="63"/>
  <c r="I104" i="46" s="1"/>
  <c r="K104" i="46" s="1"/>
  <c r="G74" i="63"/>
  <c r="I106" i="46" s="1"/>
  <c r="K106" i="46" s="1"/>
  <c r="BF37" i="62"/>
  <c r="K75" i="46"/>
  <c r="E74" i="46"/>
  <c r="K74" i="46" s="1"/>
  <c r="F122" i="48" s="1"/>
  <c r="H122" i="48" s="1"/>
  <c r="E76" i="46"/>
  <c r="K76" i="46" s="1"/>
  <c r="E82" i="46"/>
  <c r="K82" i="46" s="1"/>
  <c r="E84" i="46"/>
  <c r="K84" i="46" s="1"/>
  <c r="E79" i="46"/>
  <c r="K79" i="46" s="1"/>
  <c r="E90" i="46"/>
  <c r="K90" i="46" s="1"/>
  <c r="E91" i="46"/>
  <c r="K91" i="46" s="1"/>
  <c r="E73" i="46"/>
  <c r="K73" i="46" s="1"/>
  <c r="E89" i="46"/>
  <c r="K89" i="46" s="1"/>
  <c r="E83" i="46"/>
  <c r="K83" i="46" s="1"/>
  <c r="N33" i="66"/>
  <c r="N32" i="66"/>
  <c r="E36" i="92" l="1"/>
  <c r="I79" i="48"/>
  <c r="H79" i="48"/>
  <c r="I80" i="48"/>
  <c r="H80" i="48"/>
  <c r="G79" i="48"/>
  <c r="G80" i="48"/>
  <c r="E31" i="92"/>
  <c r="K79" i="48"/>
  <c r="P79" i="48"/>
  <c r="K80" i="48"/>
  <c r="P80" i="48"/>
  <c r="F112" i="48"/>
  <c r="H112" i="48" s="1"/>
  <c r="I105" i="46"/>
  <c r="K105" i="46" s="1"/>
  <c r="F109" i="48"/>
  <c r="H109" i="48" s="1"/>
  <c r="F110" i="48"/>
  <c r="H110" i="48" s="1"/>
  <c r="M80" i="48"/>
  <c r="BF33" i="66"/>
  <c r="F97" i="46" s="1"/>
  <c r="M79" i="48"/>
  <c r="BF32" i="66"/>
  <c r="E108" i="46" s="1"/>
  <c r="N79" i="48"/>
  <c r="O79" i="48"/>
  <c r="N80" i="48"/>
  <c r="O80" i="48"/>
  <c r="J79" i="48"/>
  <c r="J80" i="48"/>
  <c r="E32" i="92" l="1"/>
  <c r="E30" i="92"/>
  <c r="F95" i="46"/>
  <c r="E96" i="46"/>
  <c r="E110" i="46"/>
  <c r="E109" i="46"/>
  <c r="E98" i="46"/>
  <c r="E97" i="46"/>
  <c r="K97" i="46" s="1"/>
  <c r="F115" i="48" s="1"/>
  <c r="H115" i="48" s="1"/>
  <c r="E95" i="46"/>
  <c r="F108" i="46"/>
  <c r="K108" i="46" s="1"/>
  <c r="F99" i="48" s="1"/>
  <c r="H99" i="48" s="1"/>
  <c r="E111" i="46"/>
  <c r="F111" i="46"/>
  <c r="F110" i="46"/>
  <c r="F98" i="46"/>
  <c r="F96" i="46"/>
  <c r="F109" i="46"/>
  <c r="E102" i="46"/>
  <c r="K102" i="46" s="1"/>
  <c r="E101" i="46"/>
  <c r="K101" i="46" s="1"/>
  <c r="E94" i="46"/>
  <c r="K94" i="46" s="1"/>
  <c r="F117" i="48" s="1"/>
  <c r="H117" i="48" s="1"/>
  <c r="E100" i="46"/>
  <c r="K100" i="46" s="1"/>
  <c r="K95" i="46" l="1"/>
  <c r="F121" i="48" s="1"/>
  <c r="H121" i="48" s="1"/>
  <c r="K96" i="46"/>
  <c r="F118" i="48" s="1"/>
  <c r="H118" i="48" s="1"/>
  <c r="K98" i="46"/>
  <c r="F100" i="48" s="1"/>
  <c r="H100" i="48" s="1"/>
  <c r="K111" i="46"/>
  <c r="F98" i="48" s="1"/>
  <c r="H98" i="48" s="1"/>
  <c r="K109" i="46"/>
  <c r="F113" i="48" s="1"/>
  <c r="H113" i="48" s="1"/>
  <c r="K110" i="46"/>
  <c r="F97" i="48" s="1"/>
  <c r="H97" i="48" s="1"/>
  <c r="E33" i="92" l="1"/>
  <c r="F120" i="48"/>
  <c r="H120" i="48" s="1"/>
  <c r="H157" i="48" s="1"/>
</calcChain>
</file>

<file path=xl/comments1.xml><?xml version="1.0" encoding="utf-8"?>
<comments xmlns="http://schemas.openxmlformats.org/spreadsheetml/2006/main">
  <authors>
    <author>Zack Panos</author>
    <author>Beth Evans</author>
  </authors>
  <commentList>
    <comment ref="E18" authorId="0" shapeId="0">
      <text>
        <r>
          <rPr>
            <b/>
            <sz val="9"/>
            <color indexed="81"/>
            <rFont val="Tahoma"/>
            <family val="2"/>
          </rPr>
          <t>Administrator:</t>
        </r>
        <r>
          <rPr>
            <sz val="9"/>
            <color indexed="81"/>
            <rFont val="Tahoma"/>
            <family val="2"/>
          </rPr>
          <t xml:space="preserve">
The selection of this cell determines the strategy for estimating the number of infections. Most users will choose 'Exponential Growth' and this is what is recommended. If you select 'Manual Entry', the 'Manual Patient Calcs' tab must be filled in.</t>
        </r>
      </text>
    </comment>
    <comment ref="E19" authorId="0" shapeId="0">
      <text>
        <r>
          <rPr>
            <b/>
            <sz val="9"/>
            <color indexed="81"/>
            <rFont val="Tahoma"/>
            <family val="2"/>
          </rPr>
          <t>Administrator:</t>
        </r>
        <r>
          <rPr>
            <sz val="9"/>
            <color indexed="81"/>
            <rFont val="Tahoma"/>
            <family val="2"/>
          </rPr>
          <t xml:space="preserve">
This cell determines the number of days that it takes for the number of infections to double. For example a selection of 'slow' give a doubling rate of '5', meaning that it takes 5 days for the number of infections to be twice the current number. 
These rates are based on the most recent information available from WHO and academic modelling groups.</t>
        </r>
      </text>
    </comment>
    <comment ref="E20" authorId="0" shapeId="0">
      <text>
        <r>
          <rPr>
            <b/>
            <sz val="9"/>
            <color indexed="81"/>
            <rFont val="Tahoma"/>
            <family val="2"/>
          </rPr>
          <t>Administrator:</t>
        </r>
        <r>
          <rPr>
            <sz val="9"/>
            <color indexed="81"/>
            <rFont val="Tahoma"/>
            <family val="2"/>
          </rPr>
          <t xml:space="preserve">
This determines the estimated proportion of your population that will become infected your country. The estimated rates are based on empirical findings and academic modelling groups. Select 'manual' to enter a custom rate.</t>
        </r>
      </text>
    </comment>
    <comment ref="B28" authorId="1" shapeId="0">
      <text>
        <r>
          <rPr>
            <b/>
            <sz val="9"/>
            <color indexed="81"/>
            <rFont val="Tahoma"/>
            <family val="2"/>
          </rPr>
          <t>Administrator:</t>
        </r>
        <r>
          <rPr>
            <sz val="9"/>
            <color indexed="81"/>
            <rFont val="Tahoma"/>
            <family val="2"/>
          </rPr>
          <t xml:space="preserve">
 HCWs refers to all medical practitioners, including physicians, nursing professionals, community health workers and paramedical practitioners (ILO ISCO codes 2240, 2211, 2212, 2221, 3221, 5321, 3256, 3253)</t>
        </r>
      </text>
    </comment>
  </commentList>
</comments>
</file>

<file path=xl/comments2.xml><?xml version="1.0" encoding="utf-8"?>
<comments xmlns="http://schemas.openxmlformats.org/spreadsheetml/2006/main">
  <authors>
    <author>Beth Evans</author>
  </authors>
  <commentList>
    <comment ref="E15" authorId="0" shapeId="0">
      <text>
        <r>
          <rPr>
            <b/>
            <sz val="9"/>
            <color indexed="81"/>
            <rFont val="Tahoma"/>
            <family val="2"/>
          </rPr>
          <t>Administrator:</t>
        </r>
        <r>
          <rPr>
            <sz val="9"/>
            <color indexed="81"/>
            <rFont val="Tahoma"/>
            <family val="2"/>
          </rPr>
          <t xml:space="preserve">
  HCWs refers to all medical practitioners, including physicians, nursing professionals, community health workers and paramedical practitioners (ILO ISCO codes 2240, 2211, 2212, 2221, 3221, 5321, 3256, 3253)</t>
        </r>
      </text>
    </comment>
    <comment ref="F15" authorId="0" shapeId="0">
      <text>
        <r>
          <rPr>
            <b/>
            <sz val="9"/>
            <color indexed="81"/>
            <rFont val="Tahoma"/>
            <family val="2"/>
          </rPr>
          <t xml:space="preserve">Administrator: </t>
        </r>
        <r>
          <rPr>
            <sz val="9"/>
            <color indexed="81"/>
            <rFont val="Tahoma"/>
            <family val="2"/>
          </rPr>
          <t>refers to Cleaners and Helpers (ILO ISCO codes 9112)</t>
        </r>
      </text>
    </comment>
    <comment ref="H15" authorId="0" shapeId="0">
      <text>
        <r>
          <rPr>
            <b/>
            <sz val="9"/>
            <color indexed="81"/>
            <rFont val="Tahoma"/>
            <family val="2"/>
          </rPr>
          <t xml:space="preserve">Administrator: </t>
        </r>
        <r>
          <rPr>
            <sz val="9"/>
            <color indexed="81"/>
            <rFont val="Tahoma"/>
            <family val="2"/>
          </rPr>
          <t xml:space="preserve">Ambulance personnel (ILO ISCO codes 8322, 3258)
</t>
        </r>
      </text>
    </comment>
  </commentList>
</comments>
</file>

<file path=xl/comments3.xml><?xml version="1.0" encoding="utf-8"?>
<comments xmlns="http://schemas.openxmlformats.org/spreadsheetml/2006/main">
  <authors>
    <author>Beth Evans</author>
  </authors>
  <commentList>
    <comment ref="B18" authorId="0" shapeId="0">
      <text>
        <r>
          <rPr>
            <b/>
            <sz val="9"/>
            <color indexed="81"/>
            <rFont val="Tahoma"/>
            <family val="2"/>
          </rPr>
          <t xml:space="preserve">Administrator:
</t>
        </r>
        <r>
          <rPr>
            <sz val="9"/>
            <color indexed="81"/>
            <rFont val="Tahoma"/>
            <family val="2"/>
          </rPr>
          <t xml:space="preserve"> HCWs refers to all medical practitioners, including physicians, nursing professionals, community health workers and paramedical practitioners (ILO ISCO codes 2240, 2211, 2212, 2221, 3221, 5321, 3256, 3253)
</t>
        </r>
      </text>
    </comment>
    <comment ref="B19" authorId="0" shapeId="0">
      <text>
        <r>
          <rPr>
            <b/>
            <sz val="9"/>
            <color indexed="81"/>
            <rFont val="Tahoma"/>
            <family val="2"/>
          </rPr>
          <t xml:space="preserve">Administrator: </t>
        </r>
        <r>
          <rPr>
            <sz val="9"/>
            <color indexed="81"/>
            <rFont val="Tahoma"/>
            <family val="2"/>
          </rPr>
          <t>refers to Cleaners and Helpers (ILO ISCO codes 9112)</t>
        </r>
      </text>
    </comment>
    <comment ref="B21" authorId="0" shapeId="0">
      <text>
        <r>
          <rPr>
            <b/>
            <sz val="9"/>
            <color indexed="81"/>
            <rFont val="Tahoma"/>
            <family val="2"/>
          </rPr>
          <t xml:space="preserve">Administrator: </t>
        </r>
        <r>
          <rPr>
            <sz val="9"/>
            <color indexed="81"/>
            <rFont val="Tahoma"/>
            <family val="2"/>
          </rPr>
          <t xml:space="preserve">Ambulance personnel (ILO ISCO codes 8322, 3258)
</t>
        </r>
      </text>
    </comment>
    <comment ref="B27" authorId="0" shapeId="0">
      <text>
        <r>
          <rPr>
            <b/>
            <sz val="9"/>
            <color indexed="81"/>
            <rFont val="Tahoma"/>
            <family val="2"/>
          </rPr>
          <t xml:space="preserve">Administrator:
</t>
        </r>
        <r>
          <rPr>
            <sz val="9"/>
            <color indexed="81"/>
            <rFont val="Tahoma"/>
            <family val="2"/>
          </rPr>
          <t xml:space="preserve"> HCWs refers to all medical practitioners, including physicians, nursing professionals, community health workers and paramedical practitioners (ILO ISCO codes 2240, 2211, 2212, 2221, 3221, 5321, 3256, 3253)
</t>
        </r>
      </text>
    </comment>
    <comment ref="B33" authorId="0" shapeId="0">
      <text>
        <r>
          <rPr>
            <b/>
            <sz val="9"/>
            <color indexed="81"/>
            <rFont val="Tahoma"/>
            <family val="2"/>
          </rPr>
          <t xml:space="preserve">Administrator: </t>
        </r>
        <r>
          <rPr>
            <sz val="9"/>
            <color indexed="81"/>
            <rFont val="Tahoma"/>
            <family val="2"/>
          </rPr>
          <t>refers to Cleaners and Helpers (ILO ISCO codes 9112)</t>
        </r>
      </text>
    </comment>
  </commentList>
</comments>
</file>

<file path=xl/comments4.xml><?xml version="1.0" encoding="utf-8"?>
<comments xmlns="http://schemas.openxmlformats.org/spreadsheetml/2006/main">
  <authors>
    <author>Beth Evans</author>
  </authors>
  <commentList>
    <comment ref="B21" authorId="0" shapeId="0">
      <text>
        <r>
          <rPr>
            <b/>
            <sz val="9"/>
            <color indexed="81"/>
            <rFont val="Tahoma"/>
            <family val="2"/>
          </rPr>
          <t xml:space="preserve">Administrator:
</t>
        </r>
        <r>
          <rPr>
            <sz val="9"/>
            <color indexed="81"/>
            <rFont val="Tahoma"/>
            <family val="2"/>
          </rPr>
          <t xml:space="preserve"> HCWs refers to all medical practitioners, including physicians, nursing professionals, community health workers and paramedical practitioners (ILO ISCO codes 2240, 2211, 2212, 2221, 3221, 5321, 3256, 3253)</t>
        </r>
      </text>
    </comment>
    <comment ref="B22" authorId="0" shapeId="0">
      <text>
        <r>
          <rPr>
            <b/>
            <sz val="9"/>
            <color indexed="81"/>
            <rFont val="Tahoma"/>
            <family val="2"/>
          </rPr>
          <t>Administrator</t>
        </r>
        <r>
          <rPr>
            <sz val="9"/>
            <color indexed="81"/>
            <rFont val="Tahoma"/>
            <family val="2"/>
          </rPr>
          <t>: refers to Cleaners and Helpers (ILO ISCO codes 9112)</t>
        </r>
      </text>
    </comment>
    <comment ref="B24" authorId="0" shapeId="0">
      <text>
        <r>
          <rPr>
            <b/>
            <sz val="9"/>
            <color indexed="81"/>
            <rFont val="Tahoma"/>
            <family val="2"/>
          </rPr>
          <t xml:space="preserve">Administrator: </t>
        </r>
        <r>
          <rPr>
            <sz val="9"/>
            <color indexed="81"/>
            <rFont val="Tahoma"/>
            <family val="2"/>
          </rPr>
          <t xml:space="preserve">refers to Ambulance personnel (ILO ISCO codes 8322, 3258)
</t>
        </r>
      </text>
    </comment>
    <comment ref="B32" authorId="0" shapeId="0">
      <text>
        <r>
          <rPr>
            <b/>
            <sz val="9"/>
            <color indexed="81"/>
            <rFont val="Tahoma"/>
            <family val="2"/>
          </rPr>
          <t xml:space="preserve">Administrator:
</t>
        </r>
        <r>
          <rPr>
            <sz val="9"/>
            <color indexed="81"/>
            <rFont val="Tahoma"/>
            <family val="2"/>
          </rPr>
          <t xml:space="preserve"> HCWs refers to all medical practitioners, including physicians, nursing professionals, community health workers and paramedical practitioners (ILO ISCO codes 2240, 2211, 2212, 2221, 3221, 5321, 3256, 3253)</t>
        </r>
      </text>
    </comment>
    <comment ref="B37" authorId="0" shapeId="0">
      <text>
        <r>
          <rPr>
            <b/>
            <sz val="9"/>
            <color indexed="81"/>
            <rFont val="Tahoma"/>
            <family val="2"/>
          </rPr>
          <t xml:space="preserve">Administrator: </t>
        </r>
        <r>
          <rPr>
            <sz val="9"/>
            <color indexed="81"/>
            <rFont val="Tahoma"/>
            <family val="2"/>
          </rPr>
          <t>refers to Cleaners and Helpers (ILO ISCO codes 9112)</t>
        </r>
      </text>
    </comment>
  </commentList>
</comments>
</file>

<file path=xl/comments5.xml><?xml version="1.0" encoding="utf-8"?>
<comments xmlns="http://schemas.openxmlformats.org/spreadsheetml/2006/main">
  <authors>
    <author>Beth Evans</author>
  </authors>
  <commentList>
    <comment ref="D11" authorId="0" shapeId="0">
      <text>
        <r>
          <rPr>
            <sz val="9"/>
            <color indexed="81"/>
            <rFont val="Tahoma"/>
            <family val="2"/>
          </rPr>
          <t xml:space="preserve"> HCWs refers to all medical practitioners, including physicians, nursing professionals, community health workers and paramedical practitioners (ILO ISCO codes 2240, 2211, 2212, 2221, 3221, 5321, 3256, 3253)
</t>
        </r>
      </text>
    </comment>
    <comment ref="E11" authorId="0" shapeId="0">
      <text>
        <r>
          <rPr>
            <b/>
            <sz val="9"/>
            <color indexed="81"/>
            <rFont val="Tahoma"/>
            <family val="2"/>
          </rPr>
          <t xml:space="preserve">Cleaners and Helpers (ILO ISCO codes 9112)
</t>
        </r>
      </text>
    </comment>
    <comment ref="G11" authorId="0" shapeId="0">
      <text>
        <r>
          <rPr>
            <b/>
            <sz val="9"/>
            <color indexed="81"/>
            <rFont val="Tahoma"/>
            <family val="2"/>
          </rPr>
          <t>Refers to Ambulance personnel (ILO ISCO codes 8322, 3258)</t>
        </r>
        <r>
          <rPr>
            <sz val="9"/>
            <color indexed="81"/>
            <rFont val="Tahoma"/>
            <family val="2"/>
          </rPr>
          <t xml:space="preserve">
</t>
        </r>
      </text>
    </comment>
  </commentList>
</comments>
</file>

<file path=xl/comments6.xml><?xml version="1.0" encoding="utf-8"?>
<comments xmlns="http://schemas.openxmlformats.org/spreadsheetml/2006/main">
  <authors>
    <author>Beth Evans</author>
  </authors>
  <commentList>
    <comment ref="B11" authorId="0" shapeId="0">
      <text>
        <r>
          <rPr>
            <sz val="9"/>
            <color indexed="81"/>
            <rFont val="Tahoma"/>
            <family val="2"/>
          </rPr>
          <t xml:space="preserve"> HCWs refers to all medical practitioners, including physicians, nursing professionals, community health workers and paramedical practitioners (ILO ISCO codes 2240, 2211, 2212, 2221, 3221, 5321, 3256, 3253)
</t>
        </r>
      </text>
    </comment>
    <comment ref="B12" authorId="0" shapeId="0">
      <text>
        <r>
          <rPr>
            <b/>
            <sz val="9"/>
            <color indexed="81"/>
            <rFont val="Tahoma"/>
            <family val="2"/>
          </rPr>
          <t>Cleaners and Helpers (ILO ISCO codes 9112)</t>
        </r>
      </text>
    </comment>
    <comment ref="B14" authorId="0" shapeId="0">
      <text>
        <r>
          <rPr>
            <b/>
            <sz val="9"/>
            <color indexed="81"/>
            <rFont val="Tahoma"/>
            <family val="2"/>
          </rPr>
          <t>refers to Ambulance personnel (ILO ISCO codes 8322, 3258)</t>
        </r>
      </text>
    </comment>
    <comment ref="B33" authorId="0" shapeId="0">
      <text>
        <r>
          <rPr>
            <b/>
            <sz val="9"/>
            <color indexed="81"/>
            <rFont val="Tahoma"/>
            <family val="2"/>
          </rPr>
          <t>Cleaners and Helpers (ILO ISCO codes 9112)</t>
        </r>
      </text>
    </comment>
    <comment ref="B49" authorId="0" shapeId="0">
      <text>
        <r>
          <rPr>
            <b/>
            <sz val="9"/>
            <color indexed="81"/>
            <rFont val="Tahoma"/>
            <family val="2"/>
          </rPr>
          <t xml:space="preserve"> HCWs refers to all medical practitioners, including physicians, nursing professionals, community health workers and paramedical practitioners (ILO ISCO codes 2240, 2211, 2212, 2221, 3221, 5321, 3256, 3253)</t>
        </r>
      </text>
    </comment>
    <comment ref="B50" authorId="0" shapeId="0">
      <text>
        <r>
          <rPr>
            <b/>
            <sz val="9"/>
            <color indexed="81"/>
            <rFont val="Tahoma"/>
            <family val="2"/>
          </rPr>
          <t xml:space="preserve"> HCWs refers to all medical practitioners, including physicians, nursing professionals, community health workers and paramedical practitioners (ILO ISCO codes 2240, 2211, 2212, 2221, 3221, 5321, 3256, 3253)</t>
        </r>
      </text>
    </comment>
    <comment ref="B51" authorId="0" shapeId="0">
      <text>
        <r>
          <rPr>
            <b/>
            <sz val="9"/>
            <color indexed="81"/>
            <rFont val="Tahoma"/>
            <family val="2"/>
          </rPr>
          <t>Cleaners and Helpers (ILO ISCO codes 9112)</t>
        </r>
        <r>
          <rPr>
            <sz val="9"/>
            <color indexed="81"/>
            <rFont val="Tahoma"/>
            <family val="2"/>
          </rPr>
          <t xml:space="preserve">
</t>
        </r>
      </text>
    </comment>
    <comment ref="B53" authorId="0" shapeId="0">
      <text>
        <r>
          <rPr>
            <b/>
            <sz val="9"/>
            <color indexed="81"/>
            <rFont val="Tahoma"/>
            <family val="2"/>
          </rPr>
          <t xml:space="preserve">Cleaners and Helpers (ILO ISCO codes 9112)
</t>
        </r>
      </text>
    </comment>
  </commentList>
</comments>
</file>

<file path=xl/comments7.xml><?xml version="1.0" encoding="utf-8"?>
<comments xmlns="http://schemas.openxmlformats.org/spreadsheetml/2006/main">
  <authors>
    <author>Zack Panos</author>
  </authors>
  <commentList>
    <comment ref="O8" authorId="0" shapeId="0">
      <text>
        <r>
          <rPr>
            <b/>
            <sz val="9"/>
            <color indexed="81"/>
            <rFont val="Tahoma"/>
            <family val="2"/>
          </rPr>
          <t xml:space="preserve">ADMINISTRATOR:
</t>
        </r>
        <r>
          <rPr>
            <sz val="9"/>
            <color indexed="81"/>
            <rFont val="Tahoma"/>
            <family val="2"/>
          </rPr>
          <t>Community health workers, ILO 3253</t>
        </r>
        <r>
          <rPr>
            <sz val="9"/>
            <color indexed="81"/>
            <rFont val="Tahoma"/>
            <family val="2"/>
          </rPr>
          <t xml:space="preserve">
</t>
        </r>
      </text>
    </comment>
  </commentList>
</comments>
</file>

<file path=xl/comments8.xml><?xml version="1.0" encoding="utf-8"?>
<comments xmlns="http://schemas.openxmlformats.org/spreadsheetml/2006/main">
  <authors>
    <author>Zack Panos</author>
  </authors>
  <commentList>
    <comment ref="B2" authorId="0" shapeId="0">
      <text>
        <r>
          <rPr>
            <b/>
            <sz val="9"/>
            <color indexed="81"/>
            <rFont val="Tahoma"/>
            <family val="2"/>
          </rPr>
          <t xml:space="preserve">ADMINISTRATOR:
</t>
        </r>
        <r>
          <rPr>
            <sz val="9"/>
            <color indexed="81"/>
            <rFont val="Tahoma"/>
            <family val="2"/>
          </rPr>
          <t>Community health workers, ILO 3253</t>
        </r>
      </text>
    </comment>
  </commentList>
</comments>
</file>

<file path=xl/sharedStrings.xml><?xml version="1.0" encoding="utf-8"?>
<sst xmlns="http://schemas.openxmlformats.org/spreadsheetml/2006/main" count="49150" uniqueCount="1594">
  <si>
    <t>AFG</t>
  </si>
  <si>
    <t>AND</t>
  </si>
  <si>
    <t>ARE</t>
  </si>
  <si>
    <t>ARM</t>
  </si>
  <si>
    <t>AUS</t>
  </si>
  <si>
    <t>AUT</t>
  </si>
  <si>
    <t>AZE</t>
  </si>
  <si>
    <t>BDI</t>
  </si>
  <si>
    <t>BEL</t>
  </si>
  <si>
    <t>BEN</t>
  </si>
  <si>
    <t>BFA</t>
  </si>
  <si>
    <t>BGD</t>
  </si>
  <si>
    <t>BGR</t>
  </si>
  <si>
    <t>BHR</t>
  </si>
  <si>
    <t>BHS</t>
  </si>
  <si>
    <t>BIH</t>
  </si>
  <si>
    <t>BLR</t>
  </si>
  <si>
    <t>BLZ</t>
  </si>
  <si>
    <t>BOL</t>
  </si>
  <si>
    <t>BRA</t>
  </si>
  <si>
    <t>BRN</t>
  </si>
  <si>
    <t>BTN</t>
  </si>
  <si>
    <t>BWA</t>
  </si>
  <si>
    <t>CHE</t>
  </si>
  <si>
    <t>CHL</t>
  </si>
  <si>
    <t>CHN</t>
  </si>
  <si>
    <t>CIV</t>
  </si>
  <si>
    <t>CMR</t>
  </si>
  <si>
    <t>COD</t>
  </si>
  <si>
    <t>COG</t>
  </si>
  <si>
    <t>CPV</t>
  </si>
  <si>
    <t>CRI</t>
  </si>
  <si>
    <t>CYP</t>
  </si>
  <si>
    <t>CZE</t>
  </si>
  <si>
    <t>DEU</t>
  </si>
  <si>
    <t>DJI</t>
  </si>
  <si>
    <t>DNK</t>
  </si>
  <si>
    <t>DZA</t>
  </si>
  <si>
    <t>ECU</t>
  </si>
  <si>
    <t>EGY</t>
  </si>
  <si>
    <t>ESP</t>
  </si>
  <si>
    <t>EST</t>
  </si>
  <si>
    <t>ETH</t>
  </si>
  <si>
    <t>FIN</t>
  </si>
  <si>
    <t>FJI</t>
  </si>
  <si>
    <t>FRA</t>
  </si>
  <si>
    <t>GAB</t>
  </si>
  <si>
    <t>GBR</t>
  </si>
  <si>
    <t>GEO</t>
  </si>
  <si>
    <t>GIN</t>
  </si>
  <si>
    <t>GMB</t>
  </si>
  <si>
    <t>GRC</t>
  </si>
  <si>
    <t>GRD</t>
  </si>
  <si>
    <t>GTM</t>
  </si>
  <si>
    <t>GUY</t>
  </si>
  <si>
    <t>HRV</t>
  </si>
  <si>
    <t>HTI</t>
  </si>
  <si>
    <t>HUN</t>
  </si>
  <si>
    <t>IDN</t>
  </si>
  <si>
    <t>IND</t>
  </si>
  <si>
    <t>IRL</t>
  </si>
  <si>
    <t>IRN</t>
  </si>
  <si>
    <t>IRQ</t>
  </si>
  <si>
    <t>ISL</t>
  </si>
  <si>
    <t>ISR</t>
  </si>
  <si>
    <t>ITA</t>
  </si>
  <si>
    <t>JAM</t>
  </si>
  <si>
    <t>JOR</t>
  </si>
  <si>
    <t>JPN</t>
  </si>
  <si>
    <t>KAZ</t>
  </si>
  <si>
    <t>KEN</t>
  </si>
  <si>
    <t>KGZ</t>
  </si>
  <si>
    <t>KHM</t>
  </si>
  <si>
    <t>KIR</t>
  </si>
  <si>
    <t>KOR</t>
  </si>
  <si>
    <t>KWT</t>
  </si>
  <si>
    <t>LAO</t>
  </si>
  <si>
    <t>LBN</t>
  </si>
  <si>
    <t>LBR</t>
  </si>
  <si>
    <t>LBY</t>
  </si>
  <si>
    <t>LCA</t>
  </si>
  <si>
    <t>LKA</t>
  </si>
  <si>
    <t>LTU</t>
  </si>
  <si>
    <t>LUX</t>
  </si>
  <si>
    <t>LVA</t>
  </si>
  <si>
    <t>MAR</t>
  </si>
  <si>
    <t>MCO</t>
  </si>
  <si>
    <t>MDA</t>
  </si>
  <si>
    <t>MDG</t>
  </si>
  <si>
    <t>MDV</t>
  </si>
  <si>
    <t>MEX</t>
  </si>
  <si>
    <t>MHL</t>
  </si>
  <si>
    <t>MLI</t>
  </si>
  <si>
    <t>MLT</t>
  </si>
  <si>
    <t>MMR</t>
  </si>
  <si>
    <t>MNE</t>
  </si>
  <si>
    <t>MNG</t>
  </si>
  <si>
    <t>MOZ</t>
  </si>
  <si>
    <t>MRT</t>
  </si>
  <si>
    <t>MUS</t>
  </si>
  <si>
    <t>MWI</t>
  </si>
  <si>
    <t>MYS</t>
  </si>
  <si>
    <t>NAM</t>
  </si>
  <si>
    <t>NER</t>
  </si>
  <si>
    <t>NGA</t>
  </si>
  <si>
    <t>NIC</t>
  </si>
  <si>
    <t>NLD</t>
  </si>
  <si>
    <t>NOR</t>
  </si>
  <si>
    <t>NPL</t>
  </si>
  <si>
    <t>NRU</t>
  </si>
  <si>
    <t>NZL</t>
  </si>
  <si>
    <t>OMN</t>
  </si>
  <si>
    <t>PAK</t>
  </si>
  <si>
    <t>PAN</t>
  </si>
  <si>
    <t>PER</t>
  </si>
  <si>
    <t>PHL</t>
  </si>
  <si>
    <t>PNG</t>
  </si>
  <si>
    <t>POL</t>
  </si>
  <si>
    <t>PRT</t>
  </si>
  <si>
    <t>PRY</t>
  </si>
  <si>
    <t>QAT</t>
  </si>
  <si>
    <t>ROU</t>
  </si>
  <si>
    <t>RUS</t>
  </si>
  <si>
    <t>RWA</t>
  </si>
  <si>
    <t>SAU</t>
  </si>
  <si>
    <t>SDN</t>
  </si>
  <si>
    <t>SEN</t>
  </si>
  <si>
    <t>SGP</t>
  </si>
  <si>
    <t>SLB</t>
  </si>
  <si>
    <t>SLE</t>
  </si>
  <si>
    <t>SMR</t>
  </si>
  <si>
    <t>SRB</t>
  </si>
  <si>
    <t>SVN</t>
  </si>
  <si>
    <t>SWE</t>
  </si>
  <si>
    <t>SWZ</t>
  </si>
  <si>
    <t>SYC</t>
  </si>
  <si>
    <t>SYR</t>
  </si>
  <si>
    <t>TGO</t>
  </si>
  <si>
    <t>THA</t>
  </si>
  <si>
    <t>TKM</t>
  </si>
  <si>
    <t>TLS</t>
  </si>
  <si>
    <t>TON</t>
  </si>
  <si>
    <t>TTO</t>
  </si>
  <si>
    <t>TUN</t>
  </si>
  <si>
    <t>TUR</t>
  </si>
  <si>
    <t>TUV</t>
  </si>
  <si>
    <t>TZA</t>
  </si>
  <si>
    <t>UGA</t>
  </si>
  <si>
    <t>UKR</t>
  </si>
  <si>
    <t>USA</t>
  </si>
  <si>
    <t>UZB</t>
  </si>
  <si>
    <t>VUT</t>
  </si>
  <si>
    <t>WSM</t>
  </si>
  <si>
    <t>YEM</t>
  </si>
  <si>
    <t>ZAF</t>
  </si>
  <si>
    <t>ZMB</t>
  </si>
  <si>
    <t>ZWE</t>
  </si>
  <si>
    <t>COM</t>
  </si>
  <si>
    <t>PRK</t>
  </si>
  <si>
    <t>CAN</t>
  </si>
  <si>
    <t>VNM</t>
  </si>
  <si>
    <t>CUB</t>
  </si>
  <si>
    <t>GHA</t>
  </si>
  <si>
    <t>TJK</t>
  </si>
  <si>
    <t>SLV</t>
  </si>
  <si>
    <t>AGO</t>
  </si>
  <si>
    <t>HND</t>
  </si>
  <si>
    <t>LSO</t>
  </si>
  <si>
    <t>ERI</t>
  </si>
  <si>
    <t>TCD</t>
  </si>
  <si>
    <t>SUR</t>
  </si>
  <si>
    <t>SOM</t>
  </si>
  <si>
    <t>GNB</t>
  </si>
  <si>
    <t>CAF</t>
  </si>
  <si>
    <t>GNQ</t>
  </si>
  <si>
    <t>STP</t>
  </si>
  <si>
    <t>Pakistan</t>
  </si>
  <si>
    <t>Nigeria</t>
  </si>
  <si>
    <t>South Africa</t>
  </si>
  <si>
    <t>Nepal</t>
  </si>
  <si>
    <t>Country code</t>
  </si>
  <si>
    <t>Population</t>
  </si>
  <si>
    <t>Angola</t>
  </si>
  <si>
    <t>Benin</t>
  </si>
  <si>
    <t>Botswana</t>
  </si>
  <si>
    <t>Burkina Faso</t>
  </si>
  <si>
    <t>Burundi</t>
  </si>
  <si>
    <t>Cameroon</t>
  </si>
  <si>
    <t>Central African Republic</t>
  </si>
  <si>
    <t>Chad</t>
  </si>
  <si>
    <t>Comoros</t>
  </si>
  <si>
    <t>Equatorial Guinea</t>
  </si>
  <si>
    <t>Eritrea</t>
  </si>
  <si>
    <t>ASM</t>
  </si>
  <si>
    <t>Ethiopia</t>
  </si>
  <si>
    <t>Gabon</t>
  </si>
  <si>
    <t>Ghana</t>
  </si>
  <si>
    <t>Guinea</t>
  </si>
  <si>
    <t>Guinea-Bissau</t>
  </si>
  <si>
    <t>Kenya</t>
  </si>
  <si>
    <t>Lesotho</t>
  </si>
  <si>
    <t>Liberia</t>
  </si>
  <si>
    <t>Madagascar</t>
  </si>
  <si>
    <t>Malawi</t>
  </si>
  <si>
    <t>Mali</t>
  </si>
  <si>
    <t>Mauritania</t>
  </si>
  <si>
    <t>Mauritius</t>
  </si>
  <si>
    <t>Mozambique</t>
  </si>
  <si>
    <t>Namibia</t>
  </si>
  <si>
    <t>Niger</t>
  </si>
  <si>
    <t>Rwanda</t>
  </si>
  <si>
    <t>Sao Tome and Principe</t>
  </si>
  <si>
    <t>Senegal</t>
  </si>
  <si>
    <t>Seychelles</t>
  </si>
  <si>
    <t>Sierra Leone</t>
  </si>
  <si>
    <t>Togo</t>
  </si>
  <si>
    <t>Uganda</t>
  </si>
  <si>
    <t>Zambia</t>
  </si>
  <si>
    <t>Zimbabwe</t>
  </si>
  <si>
    <t>Bolivia</t>
  </si>
  <si>
    <t>Chile</t>
  </si>
  <si>
    <t>Cuba</t>
  </si>
  <si>
    <t>El Salvador</t>
  </si>
  <si>
    <t>Guatemala</t>
  </si>
  <si>
    <t>Guyana</t>
  </si>
  <si>
    <t>Haiti</t>
  </si>
  <si>
    <t>Honduras</t>
  </si>
  <si>
    <t>Nicaragua</t>
  </si>
  <si>
    <t>Paraguay</t>
  </si>
  <si>
    <t>Suriname</t>
  </si>
  <si>
    <t>Afghanistan</t>
  </si>
  <si>
    <t>Djibouti</t>
  </si>
  <si>
    <t>Somalia</t>
  </si>
  <si>
    <t>Sudan</t>
  </si>
  <si>
    <t>Armenia</t>
  </si>
  <si>
    <t>Azerbaijan</t>
  </si>
  <si>
    <t>Georgia</t>
  </si>
  <si>
    <t>Kosovo</t>
  </si>
  <si>
    <t>Tajikistan</t>
  </si>
  <si>
    <t>Ukraine</t>
  </si>
  <si>
    <t>Bangladesh</t>
  </si>
  <si>
    <t>Bhutan</t>
  </si>
  <si>
    <t>Indonesia</t>
  </si>
  <si>
    <t>Maldives</t>
  </si>
  <si>
    <t>Myanmar</t>
  </si>
  <si>
    <t>Sri Lanka</t>
  </si>
  <si>
    <t>Timor-Leste</t>
  </si>
  <si>
    <t>Cambodia</t>
  </si>
  <si>
    <t>Fiji</t>
  </si>
  <si>
    <t>Kiribati</t>
  </si>
  <si>
    <t>Mongolia</t>
  </si>
  <si>
    <t>Nauru</t>
  </si>
  <si>
    <t>Papua New Guinea</t>
  </si>
  <si>
    <t>Philippines</t>
  </si>
  <si>
    <t>Samoa</t>
  </si>
  <si>
    <t>Solomon Islands</t>
  </si>
  <si>
    <t>Tonga</t>
  </si>
  <si>
    <t>Tuvalu</t>
  </si>
  <si>
    <t>Vanuatu</t>
  </si>
  <si>
    <t>Total</t>
  </si>
  <si>
    <t>Country</t>
  </si>
  <si>
    <t>Triple packaging boxes</t>
  </si>
  <si>
    <t>Viral Transport Medium</t>
  </si>
  <si>
    <t>Diagnostics</t>
  </si>
  <si>
    <t>PPE</t>
  </si>
  <si>
    <t>Face shield</t>
  </si>
  <si>
    <t>Scrubs, tops</t>
  </si>
  <si>
    <t>Scrubs, pants</t>
  </si>
  <si>
    <t>Alcohol-based hand rub</t>
  </si>
  <si>
    <t>Bio-hazardous bag</t>
  </si>
  <si>
    <t>Gum boots</t>
  </si>
  <si>
    <t>HCW</t>
  </si>
  <si>
    <t>Hygienist</t>
  </si>
  <si>
    <t>Week #</t>
  </si>
  <si>
    <t>Lt</t>
  </si>
  <si>
    <t>Liquid soap</t>
  </si>
  <si>
    <t>Laboratory</t>
  </si>
  <si>
    <t>Kg</t>
  </si>
  <si>
    <t>Gloves, surgical</t>
  </si>
  <si>
    <t>Reusable</t>
  </si>
  <si>
    <t>Labs</t>
  </si>
  <si>
    <t>In-patient care</t>
  </si>
  <si>
    <t>Out-patient care</t>
  </si>
  <si>
    <t>% of severe cases</t>
  </si>
  <si>
    <t>% of mild cases</t>
  </si>
  <si>
    <t>% of critical cases</t>
  </si>
  <si>
    <t>Key</t>
  </si>
  <si>
    <t>Input from other tab</t>
  </si>
  <si>
    <t>Assumption entered in this tab</t>
  </si>
  <si>
    <t>Output variable calculated in this tab</t>
  </si>
  <si>
    <t>Case severity</t>
  </si>
  <si>
    <t>#</t>
  </si>
  <si>
    <t>Outpatients</t>
  </si>
  <si>
    <t>Description</t>
  </si>
  <si>
    <t>In-patient</t>
  </si>
  <si>
    <t>In-patient &amp; ventilator</t>
  </si>
  <si>
    <t># of hygienists per bed</t>
  </si>
  <si>
    <t># of caretakers per bed</t>
  </si>
  <si>
    <t>Based on 1 ambulance per 100 bed hospital with 2 operators (driver + ambulancier)</t>
  </si>
  <si>
    <t># of ambulanciers per bed</t>
  </si>
  <si>
    <t>Based on 4 hygienist per shift for a 10-bed ward, operating 3 shifts</t>
  </si>
  <si>
    <t># per bed</t>
  </si>
  <si>
    <t>Healthcare staff</t>
  </si>
  <si>
    <t>% of cases</t>
  </si>
  <si>
    <t>Patients</t>
  </si>
  <si>
    <t>Based on 1 per patient</t>
  </si>
  <si>
    <t># of HCWs per bed</t>
  </si>
  <si>
    <t>Placeholder for now</t>
  </si>
  <si>
    <t>Not tied to number of cases</t>
  </si>
  <si>
    <t>Length of bed stay for severe cases</t>
  </si>
  <si>
    <t>Length of bed stay for critical cases</t>
  </si>
  <si>
    <t>Patient</t>
  </si>
  <si>
    <t>Consultation</t>
  </si>
  <si>
    <t>Caretaker</t>
  </si>
  <si>
    <t>Ambulancier</t>
  </si>
  <si>
    <t>Commodity</t>
  </si>
  <si>
    <t>Gloves, examination</t>
  </si>
  <si>
    <t>Laboratories</t>
  </si>
  <si>
    <t>Based on current known staffing models</t>
  </si>
  <si>
    <t>Unit</t>
  </si>
  <si>
    <t>Pair</t>
  </si>
  <si>
    <t>Each</t>
  </si>
  <si>
    <t>Mask, medical patient</t>
  </si>
  <si>
    <t>Mask, medical</t>
  </si>
  <si>
    <t>QTY/person/day</t>
  </si>
  <si>
    <t>Goggles, protective</t>
  </si>
  <si>
    <t>Apron, heavy duty, reusable</t>
  </si>
  <si>
    <t>Category</t>
  </si>
  <si>
    <t>Item</t>
  </si>
  <si>
    <t>Grouping</t>
  </si>
  <si>
    <t>IPC</t>
  </si>
  <si>
    <t>Gloves, heavy duty</t>
  </si>
  <si>
    <t>Hygiene</t>
  </si>
  <si>
    <t>Chlorine, HTH 70%</t>
  </si>
  <si>
    <t>Safety box</t>
  </si>
  <si>
    <t>Mask, particulate respirator</t>
  </si>
  <si>
    <t>Apron, disposable</t>
  </si>
  <si>
    <t>Gown, protective</t>
  </si>
  <si>
    <t>Case management</t>
  </si>
  <si>
    <t>QTY/person/day2</t>
  </si>
  <si>
    <t>QTY/person/day3</t>
  </si>
  <si>
    <t>QTY/person/day4</t>
  </si>
  <si>
    <t>QTY/person/day5</t>
  </si>
  <si>
    <t xml:space="preserve">    of which, severe</t>
  </si>
  <si>
    <t xml:space="preserve">    of which, mild</t>
  </si>
  <si>
    <t xml:space="preserve">    of which, critical</t>
  </si>
  <si>
    <t># of weeks</t>
  </si>
  <si>
    <t>Week</t>
  </si>
  <si>
    <t>Length of self-quarantine period</t>
  </si>
  <si>
    <t>Suction bulb, for newborn, reusable, autoclavable</t>
  </si>
  <si>
    <t>Table, resuscitation, neonate</t>
  </si>
  <si>
    <t>Infrastructure</t>
  </si>
  <si>
    <t>Number of beds per centre</t>
  </si>
  <si>
    <t>Bed</t>
  </si>
  <si>
    <t>QTY/person/day6</t>
  </si>
  <si>
    <t>Total number for calculated weeks</t>
  </si>
  <si>
    <t>Based on WHO guidelines to test all suspected cases at first until max capacity reached</t>
  </si>
  <si>
    <t>Population test rate after cut-off</t>
  </si>
  <si>
    <t>Tabular age population data</t>
  </si>
  <si>
    <t>Description: Translates data downloaded in list format to tabular data for onwards analysis</t>
  </si>
  <si>
    <t>Source: Population data by age tab</t>
  </si>
  <si>
    <t>Year</t>
  </si>
  <si>
    <t>Population ages 00-04, female</t>
  </si>
  <si>
    <t>Population ages 00-04, male</t>
  </si>
  <si>
    <t>Population ages 05-09, female</t>
  </si>
  <si>
    <t>Population ages 05-09, male</t>
  </si>
  <si>
    <t>Population ages 10-14, female</t>
  </si>
  <si>
    <t>Population ages 10-14, male</t>
  </si>
  <si>
    <t>Population ages 15-19, female</t>
  </si>
  <si>
    <t>Population ages 15-19, male</t>
  </si>
  <si>
    <t>Population ages 20-24, female</t>
  </si>
  <si>
    <t>Population ages 20-24, male</t>
  </si>
  <si>
    <t>Population ages 25-29, female</t>
  </si>
  <si>
    <t>Population ages 25-29, male</t>
  </si>
  <si>
    <t>Population ages 30-34, female</t>
  </si>
  <si>
    <t>Population ages 30-34, male</t>
  </si>
  <si>
    <t>Population ages 35-39, female</t>
  </si>
  <si>
    <t>Population ages 35-39, male</t>
  </si>
  <si>
    <t>Population ages 40-44, female</t>
  </si>
  <si>
    <t>Population ages 40-44, male</t>
  </si>
  <si>
    <t>Population ages 45-49, female</t>
  </si>
  <si>
    <t>Population ages 45-49, male</t>
  </si>
  <si>
    <t>Population ages 50-54, female</t>
  </si>
  <si>
    <t>Population ages 50-54, male</t>
  </si>
  <si>
    <t>Population ages 55-59, female</t>
  </si>
  <si>
    <t>Population ages 55-59, male</t>
  </si>
  <si>
    <t>Population ages 60-64, female</t>
  </si>
  <si>
    <t>Population ages 60-64, male</t>
  </si>
  <si>
    <t>Population ages 65-69, female</t>
  </si>
  <si>
    <t>Population ages 65-69, male</t>
  </si>
  <si>
    <t>Population ages 70-74, female</t>
  </si>
  <si>
    <t>Population ages 70-74, male</t>
  </si>
  <si>
    <t>Population ages 75-79, female</t>
  </si>
  <si>
    <t>Population ages 75-79, male</t>
  </si>
  <si>
    <t>Population ages 80 and above, female</t>
  </si>
  <si>
    <t>Population ages 80 and above, male</t>
  </si>
  <si>
    <t>Population, female</t>
  </si>
  <si>
    <t>Population, male</t>
  </si>
  <si>
    <t>Population, total</t>
  </si>
  <si>
    <t>Population growth (annual %)</t>
  </si>
  <si>
    <t>Population ages 00-04</t>
  </si>
  <si>
    <t>Population ages 05-09</t>
  </si>
  <si>
    <t>Population ages 10-14</t>
  </si>
  <si>
    <t>Population ages 15-19</t>
  </si>
  <si>
    <t>Population ages 20-24</t>
  </si>
  <si>
    <t>Population ages 25-29</t>
  </si>
  <si>
    <t>Population ages 30-34</t>
  </si>
  <si>
    <t>Population ages 35-39</t>
  </si>
  <si>
    <t>Population ages 40-44</t>
  </si>
  <si>
    <t>Population ages 45-49</t>
  </si>
  <si>
    <t>Population ages 50-54</t>
  </si>
  <si>
    <t>Population ages 55-59</t>
  </si>
  <si>
    <t>Population ages 60-64</t>
  </si>
  <si>
    <t>Population ages 65-69</t>
  </si>
  <si>
    <t>Population ages 70-74</t>
  </si>
  <si>
    <t>Popultion ages 75-79</t>
  </si>
  <si>
    <t>Population aged 80+</t>
  </si>
  <si>
    <t>Target population</t>
  </si>
  <si>
    <t>Albania</t>
  </si>
  <si>
    <t>ALB</t>
  </si>
  <si>
    <t>Algeria</t>
  </si>
  <si>
    <t>American Samoa</t>
  </si>
  <si>
    <t>Andorra</t>
  </si>
  <si>
    <t>Antigua and Barbuda</t>
  </si>
  <si>
    <t>ATG</t>
  </si>
  <si>
    <t>Arab World</t>
  </si>
  <si>
    <t>ARB</t>
  </si>
  <si>
    <t>Argentina</t>
  </si>
  <si>
    <t>ARG</t>
  </si>
  <si>
    <t>Aruba</t>
  </si>
  <si>
    <t>ABW</t>
  </si>
  <si>
    <t>Australia</t>
  </si>
  <si>
    <t>Austria</t>
  </si>
  <si>
    <t>Bahamas, The</t>
  </si>
  <si>
    <t>Bahrain</t>
  </si>
  <si>
    <t>Barbados</t>
  </si>
  <si>
    <t>BRB</t>
  </si>
  <si>
    <t>Belarus</t>
  </si>
  <si>
    <t>Belgium</t>
  </si>
  <si>
    <t>Belize</t>
  </si>
  <si>
    <t>Bermuda</t>
  </si>
  <si>
    <t>BMU</t>
  </si>
  <si>
    <t>Bosnia and Herzegovina</t>
  </si>
  <si>
    <t>Brazil</t>
  </si>
  <si>
    <t>British Virgin Islands</t>
  </si>
  <si>
    <t>VGB</t>
  </si>
  <si>
    <t>Brunei Darussalam</t>
  </si>
  <si>
    <t>Bulgaria</t>
  </si>
  <si>
    <t>Cabo Verde</t>
  </si>
  <si>
    <t>Canada</t>
  </si>
  <si>
    <t>Caribbean small states</t>
  </si>
  <si>
    <t>CSS</t>
  </si>
  <si>
    <t>Cayman Islands</t>
  </si>
  <si>
    <t>CYM</t>
  </si>
  <si>
    <t>Central Europe and the Baltics</t>
  </si>
  <si>
    <t>CEB</t>
  </si>
  <si>
    <t>Channel Islands</t>
  </si>
  <si>
    <t>CHI</t>
  </si>
  <si>
    <t>China</t>
  </si>
  <si>
    <t>Colombia</t>
  </si>
  <si>
    <t>COL</t>
  </si>
  <si>
    <t>Congo, Dem. Rep.</t>
  </si>
  <si>
    <t>Congo, Rep.</t>
  </si>
  <si>
    <t>Costa Rica</t>
  </si>
  <si>
    <t>Cote d'Ivoire</t>
  </si>
  <si>
    <t>Croatia</t>
  </si>
  <si>
    <t>Curacao</t>
  </si>
  <si>
    <t>CUW</t>
  </si>
  <si>
    <t>Cyprus</t>
  </si>
  <si>
    <t>Czech Republic</t>
  </si>
  <si>
    <t>Denmark</t>
  </si>
  <si>
    <t>Dominica</t>
  </si>
  <si>
    <t>DMA</t>
  </si>
  <si>
    <t>Dominican Republic</t>
  </si>
  <si>
    <t>DOM</t>
  </si>
  <si>
    <t>Early-demographic dividend</t>
  </si>
  <si>
    <t>EAR</t>
  </si>
  <si>
    <t>East Asia &amp; Pacific</t>
  </si>
  <si>
    <t>EAS</t>
  </si>
  <si>
    <t>East Asia &amp; Pacific (excluding high income)</t>
  </si>
  <si>
    <t>EAP</t>
  </si>
  <si>
    <t>East Asia &amp; Pacific (IDA &amp; IBRD countries)</t>
  </si>
  <si>
    <t>TEA</t>
  </si>
  <si>
    <t>Ecuador</t>
  </si>
  <si>
    <t>Egypt, Arab Rep.</t>
  </si>
  <si>
    <t>Estonia</t>
  </si>
  <si>
    <t>Eswatini</t>
  </si>
  <si>
    <t>Euro area</t>
  </si>
  <si>
    <t>EMU</t>
  </si>
  <si>
    <t>Europe &amp; Central Asia</t>
  </si>
  <si>
    <t>ECS</t>
  </si>
  <si>
    <t>Europe &amp; Central Asia (excluding high income)</t>
  </si>
  <si>
    <t>ECA</t>
  </si>
  <si>
    <t>Europe &amp; Central Asia (IDA &amp; IBRD countries)</t>
  </si>
  <si>
    <t>TEC</t>
  </si>
  <si>
    <t>European Union</t>
  </si>
  <si>
    <t>EUU</t>
  </si>
  <si>
    <t>Faroe Islands</t>
  </si>
  <si>
    <t>FRO</t>
  </si>
  <si>
    <t>Finland</t>
  </si>
  <si>
    <t>Fragile and conflict affected situations</t>
  </si>
  <si>
    <t>FCS</t>
  </si>
  <si>
    <t>France</t>
  </si>
  <si>
    <t>French Polynesia</t>
  </si>
  <si>
    <t>PYF</t>
  </si>
  <si>
    <t>Gambia, The</t>
  </si>
  <si>
    <t>Germany</t>
  </si>
  <si>
    <t>Gibraltar</t>
  </si>
  <si>
    <t>GIB</t>
  </si>
  <si>
    <t>Greece</t>
  </si>
  <si>
    <t>Greenland</t>
  </si>
  <si>
    <t>GRL</t>
  </si>
  <si>
    <t>Grenada</t>
  </si>
  <si>
    <t>Guam</t>
  </si>
  <si>
    <t>GUM</t>
  </si>
  <si>
    <t>Heavily indebted poor countries (HIPC)</t>
  </si>
  <si>
    <t>HPC</t>
  </si>
  <si>
    <t>High income</t>
  </si>
  <si>
    <t>HIC</t>
  </si>
  <si>
    <t>Hong Kong SAR, China</t>
  </si>
  <si>
    <t>HKG</t>
  </si>
  <si>
    <t>Hungary</t>
  </si>
  <si>
    <t>Iceland</t>
  </si>
  <si>
    <t>India</t>
  </si>
  <si>
    <t>Iran, Islamic Rep.</t>
  </si>
  <si>
    <t>Iraq</t>
  </si>
  <si>
    <t>Ireland</t>
  </si>
  <si>
    <t>Isle of Man</t>
  </si>
  <si>
    <t>IMN</t>
  </si>
  <si>
    <t>Israel</t>
  </si>
  <si>
    <t>Italy</t>
  </si>
  <si>
    <t>Jamaica</t>
  </si>
  <si>
    <t>Japan</t>
  </si>
  <si>
    <t>Jordan</t>
  </si>
  <si>
    <t>Kazakhstan</t>
  </si>
  <si>
    <t>Korea, Dem. People’s Rep.</t>
  </si>
  <si>
    <t>Korea, Rep.</t>
  </si>
  <si>
    <t>XKX</t>
  </si>
  <si>
    <t>Kuwait</t>
  </si>
  <si>
    <t>Kyrgyz Republic</t>
  </si>
  <si>
    <t>Lao PDR</t>
  </si>
  <si>
    <t>Late-demographic dividend</t>
  </si>
  <si>
    <t>LTE</t>
  </si>
  <si>
    <t>Latin America &amp; Caribbean</t>
  </si>
  <si>
    <t>LCN</t>
  </si>
  <si>
    <t>Latin America &amp; Caribbean (excluding high income)</t>
  </si>
  <si>
    <t>LAC</t>
  </si>
  <si>
    <t>Latin America &amp; the Caribbean (IDA &amp; IBRD countries)</t>
  </si>
  <si>
    <t>TLA</t>
  </si>
  <si>
    <t>Latvia</t>
  </si>
  <si>
    <t>Least developed countries: UN classification</t>
  </si>
  <si>
    <t>LDC</t>
  </si>
  <si>
    <t>Lebanon</t>
  </si>
  <si>
    <t>Libya</t>
  </si>
  <si>
    <t>Liechtenstein</t>
  </si>
  <si>
    <t>LIE</t>
  </si>
  <si>
    <t>Lithuania</t>
  </si>
  <si>
    <t>Low &amp; middle income</t>
  </si>
  <si>
    <t>LMY</t>
  </si>
  <si>
    <t>Low income</t>
  </si>
  <si>
    <t>LIC</t>
  </si>
  <si>
    <t>Lower middle income</t>
  </si>
  <si>
    <t>LMC</t>
  </si>
  <si>
    <t>Luxembourg</t>
  </si>
  <si>
    <t>Macao SAR, China</t>
  </si>
  <si>
    <t>MAC</t>
  </si>
  <si>
    <t>Malaysia</t>
  </si>
  <si>
    <t>Malta</t>
  </si>
  <si>
    <t>Marshall Islands</t>
  </si>
  <si>
    <t>Mexico</t>
  </si>
  <si>
    <t>Micronesia, Fed. Sts.</t>
  </si>
  <si>
    <t>FSM</t>
  </si>
  <si>
    <t>Middle East &amp; North Africa</t>
  </si>
  <si>
    <t>MEA</t>
  </si>
  <si>
    <t>Middle East &amp; North Africa (excluding high income)</t>
  </si>
  <si>
    <t>MNA</t>
  </si>
  <si>
    <t>Middle East &amp; North Africa (IDA &amp; IBRD countries)</t>
  </si>
  <si>
    <t>TMN</t>
  </si>
  <si>
    <t>Middle income</t>
  </si>
  <si>
    <t>MIC</t>
  </si>
  <si>
    <t>Moldova</t>
  </si>
  <si>
    <t>Monaco</t>
  </si>
  <si>
    <t>Montenegro</t>
  </si>
  <si>
    <t>Morocco</t>
  </si>
  <si>
    <t>Netherlands</t>
  </si>
  <si>
    <t>New Caledonia</t>
  </si>
  <si>
    <t>NCL</t>
  </si>
  <si>
    <t>New Zealand</t>
  </si>
  <si>
    <t>North America</t>
  </si>
  <si>
    <t>NAC</t>
  </si>
  <si>
    <t>North Macedonia</t>
  </si>
  <si>
    <t>MKD</t>
  </si>
  <si>
    <t>Northern Mariana Islands</t>
  </si>
  <si>
    <t>MNP</t>
  </si>
  <si>
    <t>Norway</t>
  </si>
  <si>
    <t>Not classified</t>
  </si>
  <si>
    <t>INX</t>
  </si>
  <si>
    <t>OECD members</t>
  </si>
  <si>
    <t>OED</t>
  </si>
  <si>
    <t>Oman</t>
  </si>
  <si>
    <t>Other small states</t>
  </si>
  <si>
    <t>OSS</t>
  </si>
  <si>
    <t>Pacific island small states</t>
  </si>
  <si>
    <t>PSS</t>
  </si>
  <si>
    <t>Palau</t>
  </si>
  <si>
    <t>PLW</t>
  </si>
  <si>
    <t>Panama</t>
  </si>
  <si>
    <t>Peru</t>
  </si>
  <si>
    <t>Poland</t>
  </si>
  <si>
    <t>Portugal</t>
  </si>
  <si>
    <t>Post-demographic dividend</t>
  </si>
  <si>
    <t>PST</t>
  </si>
  <si>
    <t>Pre-demographic dividend</t>
  </si>
  <si>
    <t>PRE</t>
  </si>
  <si>
    <t>Puerto Rico</t>
  </si>
  <si>
    <t>PRI</t>
  </si>
  <si>
    <t>Qatar</t>
  </si>
  <si>
    <t>Romania</t>
  </si>
  <si>
    <t>Russian Federation</t>
  </si>
  <si>
    <t>San Marino</t>
  </si>
  <si>
    <t>Saudi Arabia</t>
  </si>
  <si>
    <t>Serbia</t>
  </si>
  <si>
    <t>Singapore</t>
  </si>
  <si>
    <t>Sint Maarten (Dutch part)</t>
  </si>
  <si>
    <t>SXM</t>
  </si>
  <si>
    <t>Slovak Republic</t>
  </si>
  <si>
    <t>SVK</t>
  </si>
  <si>
    <t>Slovenia</t>
  </si>
  <si>
    <t>Small states</t>
  </si>
  <si>
    <t>SST</t>
  </si>
  <si>
    <t>South Asia</t>
  </si>
  <si>
    <t>SAS</t>
  </si>
  <si>
    <t>South Asia (IDA &amp; IBRD)</t>
  </si>
  <si>
    <t>TSA</t>
  </si>
  <si>
    <t>South Sudan</t>
  </si>
  <si>
    <t>SSD</t>
  </si>
  <si>
    <t>Spain</t>
  </si>
  <si>
    <t>St. Kitts and Nevis</t>
  </si>
  <si>
    <t>KNA</t>
  </si>
  <si>
    <t>St. Lucia</t>
  </si>
  <si>
    <t>St. Martin (French part)</t>
  </si>
  <si>
    <t>MAF</t>
  </si>
  <si>
    <t>St. Vincent and the Grenadines</t>
  </si>
  <si>
    <t>VCT</t>
  </si>
  <si>
    <t>Sub-Saharan Africa</t>
  </si>
  <si>
    <t>SSF</t>
  </si>
  <si>
    <t>Sub-Saharan Africa (excluding high income)</t>
  </si>
  <si>
    <t>SSA</t>
  </si>
  <si>
    <t>Sub-Saharan Africa (IDA &amp; IBRD countries)</t>
  </si>
  <si>
    <t>TSS</t>
  </si>
  <si>
    <t>Sweden</t>
  </si>
  <si>
    <t>Switzerland</t>
  </si>
  <si>
    <t>Syrian Arab Republic</t>
  </si>
  <si>
    <t>Tanzania</t>
  </si>
  <si>
    <t>Thailand</t>
  </si>
  <si>
    <t>Trinidad and Tobago</t>
  </si>
  <si>
    <t>Tunisia</t>
  </si>
  <si>
    <t>Turkey</t>
  </si>
  <si>
    <t>Turkmenistan</t>
  </si>
  <si>
    <t>Turks and Caicos Islands</t>
  </si>
  <si>
    <t>TCA</t>
  </si>
  <si>
    <t>United Arab Emirates</t>
  </si>
  <si>
    <t>United Kingdom</t>
  </si>
  <si>
    <t>United States</t>
  </si>
  <si>
    <t>Upper middle income</t>
  </si>
  <si>
    <t>UMC</t>
  </si>
  <si>
    <t>Uruguay</t>
  </si>
  <si>
    <t>URY</t>
  </si>
  <si>
    <t>Uzbekistan</t>
  </si>
  <si>
    <t>Venezuela, RB</t>
  </si>
  <si>
    <t>VEN</t>
  </si>
  <si>
    <t>Vietnam</t>
  </si>
  <si>
    <t>Virgin Islands (U.S.)</t>
  </si>
  <si>
    <t>VIR</t>
  </si>
  <si>
    <t>West Bank and Gaza</t>
  </si>
  <si>
    <t>PSE</t>
  </si>
  <si>
    <t>World</t>
  </si>
  <si>
    <t>WLD</t>
  </si>
  <si>
    <t>Yemen, Rep.</t>
  </si>
  <si>
    <t>Population data by age</t>
  </si>
  <si>
    <t>Description: Downloaded data showing population by age (in 5 year groupings) for 2019 and 2020</t>
  </si>
  <si>
    <t>Source: World Bank population data</t>
  </si>
  <si>
    <t>Search</t>
  </si>
  <si>
    <t>Country Name</t>
  </si>
  <si>
    <t>Country Code</t>
  </si>
  <si>
    <t>Series Name</t>
  </si>
  <si>
    <t>Series Code</t>
  </si>
  <si>
    <t>Population ages 0-14, female</t>
  </si>
  <si>
    <t>SP.POP.0014.FE.IN</t>
  </si>
  <si>
    <t>Population ages 0-14, male</t>
  </si>
  <si>
    <t>SP.POP.0014.MA.IN</t>
  </si>
  <si>
    <t>SP.POP.0004.FE</t>
  </si>
  <si>
    <t>SP.POP.0004.MA</t>
  </si>
  <si>
    <t>SP.POP.0509.FE</t>
  </si>
  <si>
    <t>SP.POP.0509.MA</t>
  </si>
  <si>
    <t>SP.POP.1014.FE</t>
  </si>
  <si>
    <t>SP.POP.1014.MA</t>
  </si>
  <si>
    <t>SP.POP.1519.FE</t>
  </si>
  <si>
    <t>SP.POP.1519.MA</t>
  </si>
  <si>
    <t>SP.POP.2024.FE</t>
  </si>
  <si>
    <t>SP.POP.2024.MA</t>
  </si>
  <si>
    <t>SP.POP.2529.FE</t>
  </si>
  <si>
    <t>SP.POP.2529.MA</t>
  </si>
  <si>
    <t>SP.POP.3034.FE</t>
  </si>
  <si>
    <t>SP.POP.3034.MA</t>
  </si>
  <si>
    <t>SP.POP.3539.FE</t>
  </si>
  <si>
    <t>SP.POP.3539.MA</t>
  </si>
  <si>
    <t>SP.POP.4044.FE</t>
  </si>
  <si>
    <t>SP.POP.4044.MA</t>
  </si>
  <si>
    <t>SP.POP.4549.FE</t>
  </si>
  <si>
    <t>SP.POP.4549.MA</t>
  </si>
  <si>
    <t>SP.POP.5054.FE</t>
  </si>
  <si>
    <t>SP.POP.5054.MA</t>
  </si>
  <si>
    <t>SP.POP.5559.MA</t>
  </si>
  <si>
    <t>SP.POP.5559.FE</t>
  </si>
  <si>
    <t>SP.POP.6569.MA</t>
  </si>
  <si>
    <t>SP.POP.6569.FE</t>
  </si>
  <si>
    <t>SP.POP.6064.FE</t>
  </si>
  <si>
    <t>SP.POP.6064.MA</t>
  </si>
  <si>
    <t>SP.POP.7074.FE</t>
  </si>
  <si>
    <t>SP.POP.7074.MA</t>
  </si>
  <si>
    <t>SP.POP.7579.FE</t>
  </si>
  <si>
    <t>SP.POP.7579.MA</t>
  </si>
  <si>
    <t>SP.POP.80UP.FE</t>
  </si>
  <si>
    <t>SP.POP.80UP.MA</t>
  </si>
  <si>
    <t>SP.POP.TOTL.MA.IN</t>
  </si>
  <si>
    <t>SP.POP.TOTL</t>
  </si>
  <si>
    <t>SP.POP.TOTL.FE.IN</t>
  </si>
  <si>
    <t>SP.POP.GROW</t>
  </si>
  <si>
    <t>Data from database: Population estimates and projections</t>
  </si>
  <si>
    <t>Last Updated: 09/19/2019</t>
  </si>
  <si>
    <t>Lab screening test kit (94 tests)</t>
  </si>
  <si>
    <t>Lab extraction kit (250 extractions)</t>
  </si>
  <si>
    <t>Lab confirmation test kit (94 tests)</t>
  </si>
  <si>
    <t>RT-PCR kit (100 tests)</t>
  </si>
  <si>
    <t># of tests per severe or critical patient</t>
  </si>
  <si>
    <t>Logic for assumptions</t>
  </si>
  <si>
    <t>Based on 1x for diagnosis and 2x for permitted release</t>
  </si>
  <si>
    <t>Based on 1x for diagnosis</t>
  </si>
  <si>
    <t>Cut-off # of cases before stop testing everyone</t>
  </si>
  <si>
    <t>Wastage of kits</t>
  </si>
  <si>
    <t># of hygienists per lab</t>
  </si>
  <si>
    <t>Intrusive action on patient average is 1 per day</t>
  </si>
  <si>
    <t>Reusable, 1 every 30 days</t>
  </si>
  <si>
    <t>Reusable, 1 every 50 days or so</t>
  </si>
  <si>
    <t>One every 20 days assumption</t>
  </si>
  <si>
    <t>1 litre every 30 days</t>
  </si>
  <si>
    <t xml:space="preserve">Faceshield or goggle can use 2 faceshield a day
</t>
  </si>
  <si>
    <t xml:space="preserve"> One every 20 days assumption</t>
  </si>
  <si>
    <t>One bag every two days for disposing all used PPE items</t>
  </si>
  <si>
    <t>one bag every two days for disposing all used PPE items</t>
  </si>
  <si>
    <t>one litre of liquid soap every two months</t>
  </si>
  <si>
    <t>One litre of liquid soap every two months</t>
  </si>
  <si>
    <t>30 grams used per day</t>
  </si>
  <si>
    <t xml:space="preserve"> 1 litre every 30 days</t>
  </si>
  <si>
    <t xml:space="preserve">Faceshield or goggle can use 2 faceshield a day
</t>
  </si>
  <si>
    <t>High</t>
  </si>
  <si>
    <t>Low</t>
  </si>
  <si>
    <t>Medium</t>
  </si>
  <si>
    <t>Covid19 doubling time: 11 March AEM Presentation WHO</t>
  </si>
  <si>
    <t>Worst-case scenario, early Italy</t>
  </si>
  <si>
    <t>Clinical Attack Rate scenario</t>
  </si>
  <si>
    <t>Clinical Attack Rate</t>
  </si>
  <si>
    <t>Country population</t>
  </si>
  <si>
    <t>Calculations</t>
  </si>
  <si>
    <t>Fastest doubling rate of virus - highest case load expected</t>
  </si>
  <si>
    <t>Medium doubling rate of virus - medium case load expected</t>
  </si>
  <si>
    <t>Slowest doubling rate of virus - based on strict containment, lowest case load expected</t>
  </si>
  <si>
    <t>Attack rate to use</t>
  </si>
  <si>
    <t>Notes on usage of this tab</t>
  </si>
  <si>
    <t xml:space="preserve">Items in item list (column D) flow through into the "Equipment per person per day" tab. This is to ensure if items are renamed the changes reflect through the model. </t>
  </si>
  <si>
    <t>To add additional items, insert a row here, and also in all of the corresponding pages where calculations happen.</t>
  </si>
  <si>
    <t>Item list</t>
  </si>
  <si>
    <t>Check</t>
  </si>
  <si>
    <t>Intentionally blank</t>
  </si>
  <si>
    <t>Max # in any of the selected weeks</t>
  </si>
  <si>
    <t>Based on guidance for self-isolation</t>
  </si>
  <si>
    <t xml:space="preserve">    of which, suspected but test negative (or are not tested but presumed to exist)</t>
  </si>
  <si>
    <t>Total diagnosed cases</t>
  </si>
  <si>
    <t>If testing everyone</t>
  </si>
  <si>
    <t>Maximum # of tests per day</t>
  </si>
  <si>
    <t># of beds used by end of each week</t>
  </si>
  <si>
    <t>Out-patients</t>
  </si>
  <si>
    <t>Based on estimated ratio of suspected to diagnosed cases, of those that present</t>
  </si>
  <si>
    <t>Based on rough % of patients with other high-risk characteristics needing diagnosis</t>
  </si>
  <si>
    <t>Number of people required per week</t>
  </si>
  <si>
    <t>Based on latest clinical updates</t>
  </si>
  <si>
    <t>Based on latest clinical updates - note that critical cases may have been mild/severe beforehand</t>
  </si>
  <si>
    <t>Based on best estimate on wastage</t>
  </si>
  <si>
    <t>Estimate based on expansion of ICU beds</t>
  </si>
  <si>
    <t>Total # of HCWs per setting working by end of each week</t>
  </si>
  <si>
    <t>Patient testing</t>
  </si>
  <si>
    <t>Total # of tests completed by end of week</t>
  </si>
  <si>
    <t># of outpatients presenting each week</t>
  </si>
  <si>
    <t>Mild, out-patients</t>
  </si>
  <si>
    <t>New caretakers each week</t>
  </si>
  <si>
    <t># of caretakers per outpatient</t>
  </si>
  <si>
    <t>Total out-patients/suspected screened by end of week</t>
  </si>
  <si>
    <t># of tests run in each lab per day</t>
  </si>
  <si>
    <t>Total by end of each week #</t>
  </si>
  <si>
    <t>Tests conducted</t>
  </si>
  <si>
    <t>Inpatients</t>
  </si>
  <si>
    <t># of consultations per HCW per day on average</t>
  </si>
  <si>
    <t>Total during period</t>
  </si>
  <si>
    <t>Max per week during period</t>
  </si>
  <si>
    <t>Yes</t>
  </si>
  <si>
    <t>No</t>
  </si>
  <si>
    <t>Reusable?</t>
  </si>
  <si>
    <t>Lab operation</t>
  </si>
  <si>
    <t>Lab transport</t>
  </si>
  <si>
    <t>Inputs</t>
  </si>
  <si>
    <t>Based on 2 machines with throughput of 200 tests per day</t>
  </si>
  <si>
    <t>Modelling no limit on tests per day as per WHO guidance</t>
  </si>
  <si>
    <t>Descriptions</t>
  </si>
  <si>
    <t>Patients recovering (or dying) from illness, per week</t>
  </si>
  <si>
    <t>Cumulative patients per week (New patients - recovered patients per week)</t>
  </si>
  <si>
    <t>Consultations for real and suspected cases, per week</t>
  </si>
  <si>
    <t>Tests for severe + critical</t>
  </si>
  <si>
    <t>Tests for mild + suspected</t>
  </si>
  <si>
    <t>Tests for mild + suspected, after cutoff</t>
  </si>
  <si>
    <t>Final # of tests per week</t>
  </si>
  <si>
    <t>Calculations for diagnostic equipment usage</t>
  </si>
  <si>
    <t>Calculations for usage of each item of equipment over time selected</t>
  </si>
  <si>
    <t>Total number of tests conducted</t>
  </si>
  <si>
    <t>Usage</t>
  </si>
  <si>
    <t>1/250 per test - wastage</t>
  </si>
  <si>
    <t>1/94 per test - wastage</t>
  </si>
  <si>
    <t>1/100 per test - wastage</t>
  </si>
  <si>
    <t>Quantity per kit</t>
  </si>
  <si>
    <t xml:space="preserve">    of which - severe + critical</t>
  </si>
  <si>
    <t xml:space="preserve">    of which - mild &amp; suspected</t>
  </si>
  <si>
    <t xml:space="preserve">   of which diagnosed mild outpatient</t>
  </si>
  <si>
    <t>Total needed</t>
  </si>
  <si>
    <t>Total needed2</t>
  </si>
  <si>
    <t>Total needed3</t>
  </si>
  <si>
    <t>Total needed4</t>
  </si>
  <si>
    <t>Total needed5</t>
  </si>
  <si>
    <t>Total needed6</t>
  </si>
  <si>
    <t>Total needed7</t>
  </si>
  <si>
    <t>Not reusable ever</t>
  </si>
  <si>
    <t>Total # of patients for each week</t>
  </si>
  <si>
    <t>Ratio of negative suspected patients to positively diagnosed cases (if all were to be tested) e.g., 3x negative for 1x positive</t>
  </si>
  <si>
    <t># of tests per suspected or mild patient prior to cut-off (and for those tested after cut-off)</t>
  </si>
  <si>
    <t>Total number of cases (based on epi curves)</t>
  </si>
  <si>
    <t xml:space="preserve">     of which ICU beds</t>
  </si>
  <si>
    <t xml:space="preserve">     of which severe beds</t>
  </si>
  <si>
    <t>1 per test</t>
  </si>
  <si>
    <t>Total for selected period</t>
  </si>
  <si>
    <t xml:space="preserve">     of which, total # of mild cases</t>
  </si>
  <si>
    <t xml:space="preserve">     of which, total # of severe hospitalized patients</t>
  </si>
  <si>
    <t xml:space="preserve">    of which, total # of critical hospitalized patients</t>
  </si>
  <si>
    <t>Slow</t>
  </si>
  <si>
    <t>Fast</t>
  </si>
  <si>
    <t>If decreased rate of testing</t>
  </si>
  <si>
    <t>Combined</t>
  </si>
  <si>
    <t>Switches doubling speed from medium to slow after a certain number of weeks to flatten the curve</t>
  </si>
  <si>
    <t>Multipliers</t>
  </si>
  <si>
    <t>Based on reusable items being "typical" items in hospitals, so budgeting to provide only part of these items, e.g., for additional staff</t>
  </si>
  <si>
    <t>Based on patients in any given week arriving throughout the week e.g., 3 per day so 21 in a given week, so upper bound of "average # of patients each day to get full weekly usage</t>
  </si>
  <si>
    <t>Note - critical only</t>
  </si>
  <si>
    <t>Note - severe only</t>
  </si>
  <si>
    <t>Calculated per facility</t>
  </si>
  <si>
    <t>Total number of labs in operation in maximum week</t>
  </si>
  <si>
    <t>Note - only for 50% of critical patients</t>
  </si>
  <si>
    <t>Based on China</t>
  </si>
  <si>
    <t># of safety boxes per hospital per week</t>
  </si>
  <si>
    <t>Based on usage of disposable safety boxes for testing in hospital facilities</t>
  </si>
  <si>
    <t># of triple packaging per hospital</t>
  </si>
  <si>
    <t>Based on reusable so only multiplying at max facility level</t>
  </si>
  <si>
    <t>Hospital facilities in use</t>
  </si>
  <si>
    <t>4 per facility (at max capacity)</t>
  </si>
  <si>
    <t>Max number of facilities with patients at end of period</t>
  </si>
  <si>
    <t>8 per facility per week</t>
  </si>
  <si>
    <t>Biomedical Equipment</t>
  </si>
  <si>
    <t>Based on China, low</t>
  </si>
  <si>
    <t>Based on China, high</t>
  </si>
  <si>
    <t>Very low</t>
  </si>
  <si>
    <t>Doubling rate options</t>
  </si>
  <si>
    <t>Explanation</t>
  </si>
  <si>
    <t>Diagnostic testing options</t>
  </si>
  <si>
    <t>Test everyone suspected, mild, severe + critical for COVID-19</t>
  </si>
  <si>
    <t>Attack rate options</t>
  </si>
  <si>
    <t>Weeks remaining to model</t>
  </si>
  <si>
    <t>Details explanation behind all toggle-able options in "Total forecast by item" tab</t>
  </si>
  <si>
    <t>Calcs</t>
  </si>
  <si>
    <t>Number of minutes per day</t>
  </si>
  <si>
    <t>Litres to m3 conversion</t>
  </si>
  <si>
    <t>Inputs (to be moved to an assumptions tab)</t>
  </si>
  <si>
    <t>LPM needed for severe patients</t>
  </si>
  <si>
    <t>LPM needed for critical patients</t>
  </si>
  <si>
    <t>m3</t>
  </si>
  <si>
    <t>O2 need/ bed LPM for severe</t>
  </si>
  <si>
    <t>O2 need/ bed LPM for 50% of critical</t>
  </si>
  <si>
    <t>User Input</t>
  </si>
  <si>
    <t>Country/Region</t>
  </si>
  <si>
    <t>Testing Strategy</t>
  </si>
  <si>
    <t>Detailed Equipment Quantification</t>
  </si>
  <si>
    <t>Toggles</t>
  </si>
  <si>
    <r>
      <rPr>
        <u/>
        <sz val="11"/>
        <color theme="1"/>
        <rFont val="Calibri"/>
        <family val="2"/>
        <scheme val="minor"/>
      </rPr>
      <t>Patient</t>
    </r>
    <r>
      <rPr>
        <sz val="11"/>
        <color theme="1"/>
        <rFont val="Calibri"/>
        <family val="2"/>
        <scheme val="minor"/>
      </rPr>
      <t>: person diagnosed with COVID-19</t>
    </r>
  </si>
  <si>
    <r>
      <rPr>
        <u/>
        <sz val="11"/>
        <color theme="1"/>
        <rFont val="Calibri"/>
        <family val="2"/>
        <scheme val="minor"/>
      </rPr>
      <t>Caretaker</t>
    </r>
    <r>
      <rPr>
        <sz val="11"/>
        <color theme="1"/>
        <rFont val="Calibri"/>
        <family val="2"/>
        <scheme val="minor"/>
      </rPr>
      <t>: patient carers such as parent, spouse, partner, etc.</t>
    </r>
  </si>
  <si>
    <r>
      <rPr>
        <u/>
        <sz val="11"/>
        <color theme="1"/>
        <rFont val="Calibri"/>
        <family val="2"/>
        <scheme val="minor"/>
      </rPr>
      <t>Bed</t>
    </r>
    <r>
      <rPr>
        <sz val="11"/>
        <color theme="1"/>
        <rFont val="Calibri"/>
        <family val="2"/>
        <scheme val="minor"/>
      </rPr>
      <t>: equipment needed per patient bed</t>
    </r>
  </si>
  <si>
    <t>Data Source</t>
  </si>
  <si>
    <t>World Development Indicators</t>
  </si>
  <si>
    <t>Last Updated Date</t>
  </si>
  <si>
    <t>Indicator Name</t>
  </si>
  <si>
    <t>Indicator Code</t>
  </si>
  <si>
    <t>Most recent</t>
  </si>
  <si>
    <t>Hospital beds (per 1,000 people)</t>
  </si>
  <si>
    <t>SH.MED.BEDS.ZS</t>
  </si>
  <si>
    <t>IBRD only</t>
  </si>
  <si>
    <t>IBD</t>
  </si>
  <si>
    <t>IDA &amp; IBRD total</t>
  </si>
  <si>
    <t>IBT</t>
  </si>
  <si>
    <t>IDA total</t>
  </si>
  <si>
    <t>IDA</t>
  </si>
  <si>
    <t>IDA blend</t>
  </si>
  <si>
    <t>IDB</t>
  </si>
  <si>
    <t>IDA only</t>
  </si>
  <si>
    <t>IDX</t>
  </si>
  <si>
    <t>Use value</t>
  </si>
  <si>
    <t>Average for world</t>
  </si>
  <si>
    <t xml:space="preserve">   of which, critical</t>
  </si>
  <si>
    <t xml:space="preserve">   of which, severe</t>
  </si>
  <si>
    <t>Drugs and consumables</t>
  </si>
  <si>
    <t xml:space="preserve">   of which severe</t>
  </si>
  <si>
    <t xml:space="preserve">   of which critical</t>
  </si>
  <si>
    <t>Patients in beds</t>
  </si>
  <si>
    <t>Max severe beds, capped</t>
  </si>
  <si>
    <t>Max critical beds, capped</t>
  </si>
  <si>
    <t>Note - only critical patients</t>
  </si>
  <si>
    <t>Updated to be 0 since presume not used</t>
  </si>
  <si>
    <t>Note - only for critical patients</t>
  </si>
  <si>
    <t>Note - only for severe patients</t>
  </si>
  <si>
    <t>Total Forecast Cases</t>
  </si>
  <si>
    <t>Max beds provided for</t>
  </si>
  <si>
    <t xml:space="preserve">     of which, total # of severe cases</t>
  </si>
  <si>
    <t xml:space="preserve">    of which, total # of critical cases</t>
  </si>
  <si>
    <t>Drugs modules 40 patients (severe + critical)</t>
  </si>
  <si>
    <t>Medical supply, consumables, 40 patients (severe + critical)</t>
  </si>
  <si>
    <t>With bed capping, severe patients that get admitted</t>
  </si>
  <si>
    <t>With bed capping, critical patients that get admitted</t>
  </si>
  <si>
    <t>With bed capping, severe patients that get discharged</t>
  </si>
  <si>
    <t>With bed capping, critical patients that get discharged</t>
  </si>
  <si>
    <t>With bed capping, severe beds in use</t>
  </si>
  <si>
    <t>With bed capping, critical beds in use</t>
  </si>
  <si>
    <t>New patients presenting per week</t>
  </si>
  <si>
    <t>Average beds per 1000 population</t>
  </si>
  <si>
    <t>Based on WB global average</t>
  </si>
  <si>
    <t>Max number provided for</t>
  </si>
  <si>
    <t>100% of existing beds in country</t>
  </si>
  <si>
    <t>Note that all these calculations for PPE are calculated based on total cases not actual bed usage, unlike biomedical equipment</t>
  </si>
  <si>
    <t>Max per week for selected period</t>
  </si>
  <si>
    <t>Capped total for selected weeks</t>
  </si>
  <si>
    <t>Note - that we model all patients being discharged before new patients that week arrive</t>
  </si>
  <si>
    <t>Cumulative Mild Cases</t>
  </si>
  <si>
    <t>New Mild Cases</t>
  </si>
  <si>
    <t>Cumulative Severe Cases</t>
  </si>
  <si>
    <t>New Severe Cases</t>
  </si>
  <si>
    <t>Cumulative Critical Cases</t>
  </si>
  <si>
    <t>New Critical Cases</t>
  </si>
  <si>
    <t>Cumulative Removed (Recovered or Dead) Mild Cases</t>
  </si>
  <si>
    <t>New Removed Mild Cases</t>
  </si>
  <si>
    <t>Cumulative Removed (Recovered or Dead) Severe Cases</t>
  </si>
  <si>
    <t>New Removed Severe Cases</t>
  </si>
  <si>
    <t>Cumulative Removed (Recovered or Dead) Critical Cases</t>
  </si>
  <si>
    <t>New Removed Critical Cases</t>
  </si>
  <si>
    <t>Quarantined Mild Cases</t>
  </si>
  <si>
    <t>Admitted Severe Cases</t>
  </si>
  <si>
    <t>Admitted Critical Cases</t>
  </si>
  <si>
    <t xml:space="preserve">Cumulative Suspect Cases Tested Negative </t>
  </si>
  <si>
    <t>New Suspect Cases Tested Negative</t>
  </si>
  <si>
    <t>Total Tests (Cumulative)</t>
  </si>
  <si>
    <t>Total Tests (New)</t>
  </si>
  <si>
    <t>General Epi Curve Calculations</t>
  </si>
  <si>
    <t>Current Cases</t>
  </si>
  <si>
    <t>Expected Total Cumulative Cases</t>
  </si>
  <si>
    <t>Current Week of Outbreak</t>
  </si>
  <si>
    <t>Estimated Current Week of Outbreak</t>
  </si>
  <si>
    <t>Estimated Week When Total Cumulative Cases Reached</t>
  </si>
  <si>
    <t>Changes from:</t>
  </si>
  <si>
    <t>to</t>
  </si>
  <si>
    <t xml:space="preserve">at week </t>
  </si>
  <si>
    <t>Not 'Combined' doubling time</t>
  </si>
  <si>
    <t>'Combined' doubling time</t>
  </si>
  <si>
    <t>Total Cases at rate switch point</t>
  </si>
  <si>
    <t>Time to total Cumulative Cases</t>
  </si>
  <si>
    <t>Suspected cases (tested negative)</t>
  </si>
  <si>
    <t>New diagnosed + suspected</t>
  </si>
  <si>
    <t># of admitted severe patients by end of each week</t>
  </si>
  <si>
    <t># of admitted critical patients by end of each week</t>
  </si>
  <si>
    <t>Facility-Weeks in Operation throughout period</t>
  </si>
  <si>
    <t>Week Label</t>
  </si>
  <si>
    <t>Cumulative Cases at end of week</t>
  </si>
  <si>
    <t>Known Cumulative Cases (#)</t>
  </si>
  <si>
    <t>Very fast</t>
  </si>
  <si>
    <t>Week where Doubling Rate changes:</t>
  </si>
  <si>
    <t>Manual</t>
  </si>
  <si>
    <t>Cumulative Case Estimation Method</t>
  </si>
  <si>
    <t>Exponential Growth</t>
  </si>
  <si>
    <t>Manual Entry</t>
  </si>
  <si>
    <t>Cumulative Cases at end of week (DEFAULT Under Exponential Growth Assumptions)</t>
  </si>
  <si>
    <t>Cumulative Cases at end of week (Manual Entry)</t>
  </si>
  <si>
    <t>Instructions: Enter the cumulative cases expected by week in column "C" (Manual Entry). Column is pre-filled with cumulative case estimates based on exponential growth.</t>
  </si>
  <si>
    <t xml:space="preserve">Weeks must be filled through specified end-week: </t>
  </si>
  <si>
    <t>Doubling Rate (days)</t>
  </si>
  <si>
    <t>Initial Doubling Rate (days):</t>
  </si>
  <si>
    <t>Second Doubling Rate (days):</t>
  </si>
  <si>
    <t>New Cases this week</t>
  </si>
  <si>
    <t>User will need to set inputs for all blue cells for forecast</t>
  </si>
  <si>
    <t>User input cell</t>
  </si>
  <si>
    <t>Calculation</t>
  </si>
  <si>
    <t>High-Level Output</t>
  </si>
  <si>
    <t>Must be filled if Doubling Rate of 'Combined' is selected</t>
  </si>
  <si>
    <t>Manually enter Doubling Rate (days):</t>
  </si>
  <si>
    <t>Based on academic modelling groups</t>
  </si>
  <si>
    <t>Estimated population (2020):</t>
  </si>
  <si>
    <t>Cumulative Case 
Estimation Method</t>
  </si>
  <si>
    <t>All output pages are to the left (&lt;------) of this tab, all subsequent tabs are for reference and will not be used by users</t>
  </si>
  <si>
    <t>Introduction: This page is the second Output page that provides details of each of the commodity forecasts that are allocated by human resource cadre, patients, or beds</t>
  </si>
  <si>
    <t>Users select the country/region for quantification based on World Bank classifications. It will also display the estimated population in 2020.</t>
  </si>
  <si>
    <t>Infection Growth Rate</t>
  </si>
  <si>
    <r>
      <rPr>
        <b/>
        <sz val="11"/>
        <color theme="1"/>
        <rFont val="Calibri"/>
        <family val="2"/>
        <scheme val="minor"/>
      </rPr>
      <t>Cumulative Known Cases (#):</t>
    </r>
    <r>
      <rPr>
        <sz val="11"/>
        <color theme="1"/>
        <rFont val="Calibri"/>
        <family val="2"/>
        <scheme val="minor"/>
      </rPr>
      <t xml:space="preserve"> Enter the number of currently known cases (10 is the minimum number to enter here)</t>
    </r>
  </si>
  <si>
    <t>Determine Forecast Period</t>
  </si>
  <si>
    <t>This section allows the user to define the time period for the commodity forecast.</t>
  </si>
  <si>
    <r>
      <t>'Equipment Needed by Setting'</t>
    </r>
    <r>
      <rPr>
        <b/>
        <i/>
        <sz val="12"/>
        <color theme="0"/>
        <rFont val="Calibri"/>
        <family val="2"/>
        <scheme val="minor"/>
      </rPr>
      <t xml:space="preserve"> </t>
    </r>
    <r>
      <rPr>
        <b/>
        <sz val="12"/>
        <color theme="0"/>
        <rFont val="Calibri"/>
        <family val="2"/>
        <scheme val="minor"/>
      </rPr>
      <t>tab</t>
    </r>
  </si>
  <si>
    <t>Brief Descriptions of Other Tabs</t>
  </si>
  <si>
    <t>Assumptions</t>
  </si>
  <si>
    <r>
      <t>Population Data by Age:</t>
    </r>
    <r>
      <rPr>
        <sz val="11"/>
        <color theme="1"/>
        <rFont val="Calibri"/>
        <family val="2"/>
        <scheme val="minor"/>
      </rPr>
      <t xml:space="preserve"> this tab contains World Bank population data for 2019 and 2020</t>
    </r>
  </si>
  <si>
    <t>Beds per 1000 population for selected country</t>
  </si>
  <si>
    <t>Based on WB data in "Bed data" tab</t>
  </si>
  <si>
    <t>Results in total # of beds for country:</t>
  </si>
  <si>
    <t>Results in total # of beds:</t>
  </si>
  <si>
    <t>Manually enter population to model (e.g., for sub-national population)</t>
  </si>
  <si>
    <t>Inpatient</t>
  </si>
  <si>
    <t>Total number of caretakers required</t>
  </si>
  <si>
    <t>Comments</t>
  </si>
  <si>
    <t>ADENOSINE, 3 mg/ml, 2 ml, amp.</t>
  </si>
  <si>
    <t>ALCOHOL-BASED HAND RUB, gel, 100mL, bottle</t>
  </si>
  <si>
    <t>ALCOHOL-BASED HAND RUB, solution, 500mL, bottle</t>
  </si>
  <si>
    <t>AMIODARONE hydrochloride, 50 mg/ml, 3 ml, amp.</t>
  </si>
  <si>
    <t>AMOXICILLIN 125mg/CLAVULANIC ac.31.25mg, eq.156.25mg/5mL, oral susp., 100mL bot.</t>
  </si>
  <si>
    <t>AMOXICILLIN 500 mg / CLAVULANIC acid 125 mg, eq. 625mg/tab, tablet</t>
  </si>
  <si>
    <t>AMOXICILLIN, 250 mg, tab.</t>
  </si>
  <si>
    <t>AMOXICILLIN, 500 mg, tab.</t>
  </si>
  <si>
    <t>AMPICILLIN, 1g, powder, vial</t>
  </si>
  <si>
    <t>AMPICILLIN, 500 mg, powder, vial</t>
  </si>
  <si>
    <t>ASCORBIC acid (vitamin C), 250 mg, tab.</t>
  </si>
  <si>
    <t>ATENOLOL, 50 mg, tab.</t>
  </si>
  <si>
    <t>ATROPINE sulfate, 1 mg/mL, 1 mL, ampoule</t>
  </si>
  <si>
    <t>AZITHROMYCIN, 200mg/5ml, powder oral susp., 15mL, bottle</t>
  </si>
  <si>
    <t>AZITHROMYCIN, 250mg, tab.</t>
  </si>
  <si>
    <t>AZITHROMYCIN, 500mg, tab</t>
  </si>
  <si>
    <t>BENZYLPENICILLIN, 5MIU (3g), powder, vial</t>
  </si>
  <si>
    <t>CALCIUM GLUCONATE, 100 mg/mL, 10mL, ampoule</t>
  </si>
  <si>
    <t>CEFTRIAXONE sodium, 250mg, powder, vial</t>
  </si>
  <si>
    <t>CEFTRIAXONE sodium, eq. 1 g base, powder for inject., vial</t>
  </si>
  <si>
    <t>CHLORAL HYDRATE, 500mg, tab.</t>
  </si>
  <si>
    <t>CHLORHEXIDINE digluconate 1.5% + CETRIMIDE 15%, solution, 1000ml, bottle</t>
  </si>
  <si>
    <t>CHLORPROMAZINE hydrochloride, eq.25mg base, tab.</t>
  </si>
  <si>
    <t>CLOXACILLIN sodium salt, 500mg, powder, vial</t>
  </si>
  <si>
    <t>CLOXACILLIN sodium, eq.250mg base, caps.</t>
  </si>
  <si>
    <t>DEXAMETHASONE phosphate, 4mg/ml, 1ml, ampoule</t>
  </si>
  <si>
    <t>DEXMEDETOMIDINE, 100mcg/mL, IV, 2mL amp.</t>
  </si>
  <si>
    <t>DEXTROSE (GLUCOSE) 5%, 1L, plastic pouch</t>
  </si>
  <si>
    <t>DEXTROSE (GLUCOSE) 5%, 500mL, plastic pouch</t>
  </si>
  <si>
    <t>DOXYCYCLINE salt, 100mg, tab.</t>
  </si>
  <si>
    <t>EPINEPHRINE (adrenaline) tartrate, eq.1mg/mL base, 1mL amp. IV</t>
  </si>
  <si>
    <t>FLUMAZENIL, 0.1mg/mL, IV, 5mL amp.</t>
  </si>
  <si>
    <t>FUROSEMIDE, 10mg/mL, 2mL, ampoule</t>
  </si>
  <si>
    <t>FUROSEMIDE, 40 mg, tab.</t>
  </si>
  <si>
    <t>GLUCOSE hypertonic, 50%, 50mL, vial</t>
  </si>
  <si>
    <t>GLYCERYL TRINITRATE, 0.3mg, sublingual tab.</t>
  </si>
  <si>
    <t>GLYCERYL TRINITRATE, 5mg/mL, for infusion, 10mL amp.</t>
  </si>
  <si>
    <t>HYDRALAZINE hydrochloride, 20mg, powder, ampoule</t>
  </si>
  <si>
    <t>HYDROCHLOROTHIAZIDE, 50 mg, tab.</t>
  </si>
  <si>
    <t>HYDROCORTISONE sodium succinate, eq.100mg base, powder, vial</t>
  </si>
  <si>
    <t>IBUPROFEN, 400 mg, tab.</t>
  </si>
  <si>
    <t>LIDOCAINE hydrochloride, 1%, for inject., 20mL, vial</t>
  </si>
  <si>
    <t>MAGNESIUM sulfate, 500mg/mL, 10mL, ampoule</t>
  </si>
  <si>
    <t>METOCLOPRAMIDE hydrochloride, 5mg/mL, 2mL, amp.</t>
  </si>
  <si>
    <t>METOPROLOL tartrate, 1mg/ml, IV injection, 5ml, amp.</t>
  </si>
  <si>
    <t>METRONIDAZOLE, 5mg/mL, 100 ml, semi-rigid bot.</t>
  </si>
  <si>
    <t>MULTIVITAMINS, tab.</t>
  </si>
  <si>
    <t>NALOXONE hydrochloride, 0.4mg/mL, 1 mL, ampoule</t>
  </si>
  <si>
    <t>NORADRENALINE tartrate, sol.for infu., eq.1mg/mL base, 4mL, amp/vial</t>
  </si>
  <si>
    <t>NYSTATIN, 100.000 IU/ml, oral susp.</t>
  </si>
  <si>
    <t>OMEPRAZOLE, 20 mg, gastro-resistant, caps.</t>
  </si>
  <si>
    <t>OMEPRAZOLE, 40mg, powder, vial</t>
  </si>
  <si>
    <t>ONDANSETRON hydrochloride, 2mg/ml, 2ml, amp.</t>
  </si>
  <si>
    <t>ONDANSETRON hydrochloride, 4mg, tab.</t>
  </si>
  <si>
    <t>ORAL REHYDRATION SALTS (ORS) low osmol., sachet 20.5 g/1l</t>
  </si>
  <si>
    <t>PARACETAMOL (acetaminophen), 100mg, tab.</t>
  </si>
  <si>
    <t>PARACETAMOL (acetaminophen), 10mg/mL, inject, 50mL, bot.</t>
  </si>
  <si>
    <t>PARACETAMOL (acetaminophen), 10mg/ml, inject., 100 ml, plastic pouch</t>
  </si>
  <si>
    <t>PARACETAMOL (acetaminophen), 120 mg/5 ml, syrup, 100 ml, bottle</t>
  </si>
  <si>
    <t>PARACETAMOL (acetaminophen), 500 mg, tab.</t>
  </si>
  <si>
    <t>PHENYTOIN sodium, 100mg, coated tab.</t>
  </si>
  <si>
    <t>PHENYTOIN sodium, 50mg/mL, 5mL, vial</t>
  </si>
  <si>
    <t>POTASSIUM chloride, 100mg/mL, 10 mL, amp.</t>
  </si>
  <si>
    <t>PREDNISOLONE, 5 mg, tab.</t>
  </si>
  <si>
    <t>RANITIDINE, 150mg, tab.</t>
  </si>
  <si>
    <t>RINGER lactate, 1L, plastic pouch</t>
  </si>
  <si>
    <t>RINGER lactate, 500mL, plastic pouch</t>
  </si>
  <si>
    <t>SALBUTAMOL sulfate, eq.0.1mg base/puff, 200 puffs, inhaler</t>
  </si>
  <si>
    <t>SODIUM BICARBONATE, 8.4%, 1 mEq/mL, 20mL amp.</t>
  </si>
  <si>
    <t>SODIUM chloride, 0.9%, 1L, plastic pouch</t>
  </si>
  <si>
    <t>SODIUM chloride, 0.9%, 500 ml, plastic pouch</t>
  </si>
  <si>
    <t>SULFAMETHOXAZOLE 400mg/TRIMETHOPRIM 80mg, tab.</t>
  </si>
  <si>
    <t>THIAMINE hydrochloride (vitamin B1), 50mg, tab.</t>
  </si>
  <si>
    <t>WATER for injection, 10 mL, ampoule</t>
  </si>
  <si>
    <t>ZINC sulfate, eq. to 20 mg zinc mineral, dispersible tab.</t>
  </si>
  <si>
    <t>Drugs (cold)</t>
  </si>
  <si>
    <t>ATRACURIUM BESILATE, 10mg/mL, 5mL, amp.</t>
  </si>
  <si>
    <t>INSULIN RAPID (Actrapid), rDNA insul.,100 IU/mL, 10mL, vial</t>
  </si>
  <si>
    <t>SUXAMETHONIUM CHLORIDE, 50mg/mL, 2mL, amp.</t>
  </si>
  <si>
    <t>item</t>
  </si>
  <si>
    <t>DIAZEPAM, 5mg, tab.</t>
  </si>
  <si>
    <t>DIAZEPAM, 5mg/ml, 2ml, amp.</t>
  </si>
  <si>
    <t>FENTANYL citrate, eq. 0.05mg/mL base, 2 mL, amp.</t>
  </si>
  <si>
    <t>FENTANYL, 0.05mg/mL, 10mL, amp.</t>
  </si>
  <si>
    <t>HALOPERIDOL, 5mg/mL, sol. for inject., 1mL, ampoule</t>
  </si>
  <si>
    <t>KETAMINE hydrochloride, eq. 50 mg/mL base, 10 mL, vial</t>
  </si>
  <si>
    <t>MIDAZOLAM, 5mg/ml, 3ml, amp.</t>
  </si>
  <si>
    <t>MORPHINE sulfate, 10mg/ml, 1ml, amp.</t>
  </si>
  <si>
    <t>PHENOBARBITAL (sodium), 200mg/mL, 1mL, amp.</t>
  </si>
  <si>
    <t>PHENOBARBITAL, 50mg, tab.</t>
  </si>
  <si>
    <t>PROPOFOL, 10mg/mL, 10mL, amp.</t>
  </si>
  <si>
    <t>WHO Description</t>
  </si>
  <si>
    <t>SET, INFUSION 'Y', Luer lock, air inlet, sterile, s.u.</t>
  </si>
  <si>
    <t>Infusion giving set, with air intake, with injection port, with burette, sterile, single use</t>
  </si>
  <si>
    <t>Infusion set for paediatric use.</t>
  </si>
  <si>
    <t>IV CATHETER, retractable, 16G (1.7 x 45mm), wings, grey</t>
  </si>
  <si>
    <t>IV CATHETER, retractable, 18G (1.2 x 45mm), wings, green</t>
  </si>
  <si>
    <t>IV CATHETER, retractable, 20G (1.0 x 32mm), wings, pink</t>
  </si>
  <si>
    <t>IV CATHETER, retractable, 22G (0.8 x  25mm), wings, blue</t>
  </si>
  <si>
    <t>IV CATHETER, retractable, 24G (0.7 x 19mm), wings, yellow</t>
  </si>
  <si>
    <t>SCALP VEIN, butterfly needle, 21G (0.8x19mm), s.u, ster., green</t>
  </si>
  <si>
    <t>SCALP VEIN, butterfly needle, 23 G (0.6x19 mm), s.u., ster., blue</t>
  </si>
  <si>
    <t>SCALP VEIN, butterfly needle, 25G (0.5x19mm), s.u., ster., orange</t>
  </si>
  <si>
    <t>Stopcock, 3-way, for infusion giving set, with connection line, sterile, single use</t>
  </si>
  <si>
    <t>NEEDLE, hypodermic, Luer, 18G, ster., s.u., pink</t>
  </si>
  <si>
    <t>NEEDLE, hypodermic, Luer, 19Gx1.5" (1.1x40mm), ster., s.u., cream</t>
  </si>
  <si>
    <t>NEEDLE, hypodermic, Luer, 21Gx1.5" (0.8x40mm), ster., s.u., green</t>
  </si>
  <si>
    <t>NEEDLE, hypodermic, Luer, 22G, ster., s.u., black</t>
  </si>
  <si>
    <t>NEEDLE, hypodermic, Luer, 23Gx1"(0.6x25mm), ster., s.u., blue</t>
  </si>
  <si>
    <t>SYRINGE, Luer, 20mL, ster., s.u.</t>
  </si>
  <si>
    <t>SYRINGE, Luer, 5mL, ster., s.u.</t>
  </si>
  <si>
    <t>SYRINGE, Luer, 2mL, ster., s.u.</t>
  </si>
  <si>
    <t>SYRINGE, Luer, 10mL, ster., s.u.</t>
  </si>
  <si>
    <t>TOURNIQUET, elastic, rubber, latex free, s.u., 100 x 1.8 cm</t>
  </si>
  <si>
    <t>SAFETY BOX, needles/syringes, 5l, cardboard for incineration</t>
  </si>
  <si>
    <t>Adhesive plasters, washproof, spot shape or 2x1.3 cm</t>
  </si>
  <si>
    <t>IODINE POVIDONE, 10%, solution, 1L, btl.</t>
  </si>
  <si>
    <t>COTTON WOOL, hydrophillic, 500 g, roll</t>
  </si>
  <si>
    <t>COMPRESS, GAUZE, 10 x 10 cm, 8 plys, 17 thr., ster., 2 pcs</t>
  </si>
  <si>
    <t>COMPRESS, GAUZE, 10 x 20 cm, 12 plys, 17 threads, non-ster.</t>
  </si>
  <si>
    <t>FORCEPS, DRESSING, BLANK, 14.5 cm, atraumatic serration</t>
  </si>
  <si>
    <t>BOWL, ROUND, 100 ml, 80 x 35 mm, stainless steel</t>
  </si>
  <si>
    <t>ZINC OXIDE, TAPE, self-adhesive, 2.5 cm x 5 m, white, roll</t>
  </si>
  <si>
    <t>Details: Breakdown of quantity required for modelled scenario</t>
  </si>
  <si>
    <t>Quantity/ package for 40 severe/ critical patients</t>
  </si>
  <si>
    <t>Total quantity for modelled scenario</t>
  </si>
  <si>
    <t>For all severe + critical who present (even if no bed space). Clink link to see breakdown of commodities.</t>
  </si>
  <si>
    <t>Only for patients admitted as inpatients (capped by max beds provided for). Clink link to see breakdown of commodities.</t>
  </si>
  <si>
    <t>Controlled drugs</t>
  </si>
  <si>
    <t>Max # of beds provided for (max # of in-patients at any one time)</t>
  </si>
  <si>
    <r>
      <t xml:space="preserve">Number of hospital beds in country: </t>
    </r>
    <r>
      <rPr>
        <sz val="11"/>
        <color theme="1"/>
        <rFont val="Calibri"/>
        <family val="2"/>
      </rPr>
      <t>The user can enter the number of hospital beds in country. The description will show the estimated number from the World Bank. Please enter this number if it is correct or if the number of beds is unknown. If incorrect, manually enter the correct number of beds.</t>
    </r>
  </si>
  <si>
    <t>Setting</t>
  </si>
  <si>
    <t>Number of Staff Required Each Week</t>
  </si>
  <si>
    <t>High-Level Results</t>
  </si>
  <si>
    <t>Health Care Workers and Staff Required by Setting</t>
  </si>
  <si>
    <t>Commodity Details</t>
  </si>
  <si>
    <t>HCW &amp; Staff Summary</t>
  </si>
  <si>
    <t>Patient &amp; HCW Summary</t>
  </si>
  <si>
    <t>Patient &amp; Case Type Summary</t>
  </si>
  <si>
    <t>Patient &amp; Testing Assumptions</t>
  </si>
  <si>
    <t>Equipment Assumptions</t>
  </si>
  <si>
    <t>Staff &amp; Infrastructure Assumptions</t>
  </si>
  <si>
    <t>Oxygen Use Assumptions</t>
  </si>
  <si>
    <t>Required Drug Package</t>
  </si>
  <si>
    <t>Required Consumables Package</t>
  </si>
  <si>
    <t>Unless users are inputting a manual epi curve, in which case they will alter the 'Manual Epi Curve' tab</t>
  </si>
  <si>
    <t>OUT</t>
  </si>
  <si>
    <t>Nurses &amp; midwives</t>
  </si>
  <si>
    <t>CHWs</t>
  </si>
  <si>
    <t>Doctors</t>
  </si>
  <si>
    <t>#/1000</t>
  </si>
  <si>
    <t>year</t>
  </si>
  <si>
    <t>Income group</t>
  </si>
  <si>
    <t>MID CALCS</t>
  </si>
  <si>
    <t>SH.MED.PHYS.ZS</t>
  </si>
  <si>
    <t>Physicians (per 1,000 people)</t>
  </si>
  <si>
    <t>Latest year</t>
  </si>
  <si>
    <t>Latest Value</t>
  </si>
  <si>
    <t>Nurses and midwives</t>
  </si>
  <si>
    <t/>
  </si>
  <si>
    <t>2014</t>
  </si>
  <si>
    <t>2016</t>
  </si>
  <si>
    <t>2010</t>
  </si>
  <si>
    <t>2012</t>
  </si>
  <si>
    <t>2015</t>
  </si>
  <si>
    <t>2004</t>
  </si>
  <si>
    <t>2013</t>
  </si>
  <si>
    <t>2011</t>
  </si>
  <si>
    <t>2005</t>
  </si>
  <si>
    <t>São Tomé and Principe</t>
  </si>
  <si>
    <t>2006</t>
  </si>
  <si>
    <t>1998</t>
  </si>
  <si>
    <t>2017</t>
  </si>
  <si>
    <t>2008</t>
  </si>
  <si>
    <t>Niue</t>
  </si>
  <si>
    <t>2009</t>
  </si>
  <si>
    <t>2018</t>
  </si>
  <si>
    <t>2003</t>
  </si>
  <si>
    <t>2002</t>
  </si>
  <si>
    <t>Côte d'Ivoire</t>
  </si>
  <si>
    <t>Cook Islands</t>
  </si>
  <si>
    <t>2007</t>
  </si>
  <si>
    <t>Average</t>
  </si>
  <si>
    <t># per 1,000</t>
  </si>
  <si>
    <t>Population in year</t>
  </si>
  <si>
    <t>Medical and Pathology Laboratory Technicians (number)</t>
  </si>
  <si>
    <t>Medical and Pathology Laboratory scientists (number)</t>
  </si>
  <si>
    <t>Description: Number of lab scientists and technicians by country by year, converted to number per 1,000 people per country. Note that most recent year of data varies by country.</t>
  </si>
  <si>
    <t>SH.MED.CMHW.P3</t>
  </si>
  <si>
    <t>Community health workers (per 1,000 people)</t>
  </si>
  <si>
    <t>Value</t>
  </si>
  <si>
    <t>Latest value</t>
  </si>
  <si>
    <t>Source: World Bank - World Development Indicators https://data.worldbank.org/indicator/SH.MED.CMHW.P3</t>
  </si>
  <si>
    <t>Description: Number of CHWs per 1,000 people by country by year. Note that most recent year of data varies by country.</t>
  </si>
  <si>
    <t>Community Health Workers</t>
  </si>
  <si>
    <t>SH.MED.NUMW.P3</t>
  </si>
  <si>
    <t>Nurses and midwives (per 1,000 people)</t>
  </si>
  <si>
    <t>Source: World Bank population data - https://data.worldbank.org/indicator/SH.MED.NUMW.P3</t>
  </si>
  <si>
    <t>Description: Number of nurses and midwives per 1,000 people by country by year. Note that most recent year of data varies by country</t>
  </si>
  <si>
    <t>Country health worker information</t>
  </si>
  <si>
    <t>Number of doctors</t>
  </si>
  <si>
    <t>Number of nurses and midwives</t>
  </si>
  <si>
    <t>Number of community health workers</t>
  </si>
  <si>
    <t>From WB data - see breakdown tabs; note - if unknown take global average of 0.4 per 1000</t>
  </si>
  <si>
    <t>% of total treating inpatients</t>
  </si>
  <si>
    <t>Based on calcs in model of inpatient vs. outpatient staff needs</t>
  </si>
  <si>
    <t>% of total triaging outpatients/suspected cases</t>
  </si>
  <si>
    <t>Capped # of HCWs for inpatients</t>
  </si>
  <si>
    <t>Capped # of HCWs for outpatients</t>
  </si>
  <si>
    <t>Number of laboratory staff</t>
  </si>
  <si>
    <t>Caps</t>
  </si>
  <si>
    <t>Capped # of hygienists for inpatients</t>
  </si>
  <si>
    <t>Unconstrained inpatient HCW</t>
  </si>
  <si>
    <t>Unconstrained outpatient HCW</t>
  </si>
  <si>
    <t>1 Doctor and 1 nurse each see 10 patients on average per day</t>
  </si>
  <si>
    <t>Based on % splits above, and total HCWs in-country</t>
  </si>
  <si>
    <t>Based on total lab staff in-country</t>
  </si>
  <si>
    <r>
      <t>'</t>
    </r>
    <r>
      <rPr>
        <b/>
        <i/>
        <sz val="12"/>
        <color theme="0"/>
        <rFont val="Calibri"/>
        <family val="2"/>
        <scheme val="minor"/>
      </rPr>
      <t>User Dashboard'</t>
    </r>
    <r>
      <rPr>
        <b/>
        <sz val="12"/>
        <color theme="0"/>
        <rFont val="Calibri"/>
        <family val="2"/>
        <scheme val="minor"/>
      </rPr>
      <t xml:space="preserve"> tab</t>
    </r>
  </si>
  <si>
    <t>This is the primary tab for users of the tool to toggle various epidemic scenarios and view the impact on commodity quantification. It also summarizes the key quantification outputs.</t>
  </si>
  <si>
    <t>Select "Manual" to enter your own population into the tool (can be used to calculate at the sub-national level)</t>
  </si>
  <si>
    <r>
      <t xml:space="preserve">Cumulative Case Estimation Method
     </t>
    </r>
    <r>
      <rPr>
        <u/>
        <sz val="11"/>
        <color theme="1"/>
        <rFont val="Calibri"/>
        <family val="2"/>
      </rPr>
      <t>Exponential Growth:</t>
    </r>
    <r>
      <rPr>
        <sz val="11"/>
        <color theme="1"/>
        <rFont val="Calibri"/>
        <family val="2"/>
      </rPr>
      <t xml:space="preserve"> Assumes cases will grow exponentially based on the doubling rate selected. Please note this will be the most common selection</t>
    </r>
    <r>
      <rPr>
        <u/>
        <sz val="11"/>
        <color theme="1"/>
        <rFont val="Calibri"/>
        <family val="2"/>
      </rPr>
      <t xml:space="preserve">
</t>
    </r>
    <r>
      <rPr>
        <sz val="11"/>
        <color theme="1"/>
        <rFont val="Calibri"/>
        <family val="2"/>
      </rPr>
      <t xml:space="preserve">     </t>
    </r>
    <r>
      <rPr>
        <u/>
        <sz val="11"/>
        <color theme="1"/>
        <rFont val="Calibri"/>
        <family val="2"/>
      </rPr>
      <t>Manual Entry:</t>
    </r>
    <r>
      <rPr>
        <sz val="11"/>
        <color theme="1"/>
        <rFont val="Calibri"/>
        <family val="2"/>
      </rPr>
      <t xml:space="preserve"> Allows users to manually input an epi curve on the 'Manual Epi Curve' tab. </t>
    </r>
    <r>
      <rPr>
        <i/>
        <sz val="11"/>
        <color theme="1"/>
        <rFont val="Calibri"/>
        <family val="2"/>
      </rPr>
      <t>The majority of users will not select this option</t>
    </r>
  </si>
  <si>
    <r>
      <t xml:space="preserve">This tab quantifies commodities needed by setting (inpatient or outpatient) and by personnel (e.g., HCW, other staff, or patient). </t>
    </r>
    <r>
      <rPr>
        <b/>
        <sz val="11"/>
        <color theme="1"/>
        <rFont val="Calibri"/>
        <family val="2"/>
        <scheme val="minor"/>
      </rPr>
      <t>There are no user inputs on this tab.</t>
    </r>
  </si>
  <si>
    <t>The commodities quantified for on this tab are based on the number of weeks selected in the "Determine Forecast Period" section of the 'User Dashboard' tab.</t>
  </si>
  <si>
    <t>Summary Tabs</t>
  </si>
  <si>
    <r>
      <rPr>
        <u/>
        <sz val="11"/>
        <color theme="1"/>
        <rFont val="Calibri"/>
        <family val="2"/>
        <scheme val="minor"/>
      </rPr>
      <t>Patient &amp; HCW Summary:</t>
    </r>
    <r>
      <rPr>
        <sz val="11"/>
        <color theme="1"/>
        <rFont val="Calibri"/>
        <family val="2"/>
        <scheme val="minor"/>
      </rPr>
      <t xml:space="preserve"> this tab summarizes the number of patients, clinical staff and other related hospital employees, and lab tests required each week of the forecasted period</t>
    </r>
  </si>
  <si>
    <r>
      <t>HCW &amp; Staff Summary:</t>
    </r>
    <r>
      <rPr>
        <sz val="11"/>
        <color theme="1"/>
        <rFont val="Calibri"/>
        <family val="2"/>
        <scheme val="minor"/>
      </rPr>
      <t xml:space="preserve"> this tab calculates the number of HCWs, hygienists, ambulanciers, and caretakers needed by setting (e.g., inpatient, outpatient, lab)</t>
    </r>
  </si>
  <si>
    <r>
      <rPr>
        <u/>
        <sz val="11"/>
        <color theme="1"/>
        <rFont val="Calibri"/>
        <family val="2"/>
        <scheme val="minor"/>
      </rPr>
      <t>Patient &amp; Case Type Summary:</t>
    </r>
    <r>
      <rPr>
        <sz val="11"/>
        <color theme="1"/>
        <rFont val="Calibri"/>
        <family val="2"/>
        <scheme val="minor"/>
      </rPr>
      <t xml:space="preserve"> this tab calculates the number of patients each week, classified by setting (e.g., inpatient/outpatient) and level of disease severity (e.g., mild, severe, critical)</t>
    </r>
  </si>
  <si>
    <r>
      <rPr>
        <u/>
        <sz val="11"/>
        <color theme="1"/>
        <rFont val="Calibri"/>
        <family val="2"/>
        <scheme val="minor"/>
      </rPr>
      <t>Patient &amp; Testing Assumptions:</t>
    </r>
    <r>
      <rPr>
        <sz val="11"/>
        <color theme="1"/>
        <rFont val="Calibri"/>
        <family val="2"/>
        <scheme val="minor"/>
      </rPr>
      <t xml:space="preserve"> this tab shows the assumptions behind case numbers and testing</t>
    </r>
  </si>
  <si>
    <r>
      <rPr>
        <u/>
        <sz val="11"/>
        <color theme="1"/>
        <rFont val="Calibri"/>
        <family val="2"/>
        <scheme val="minor"/>
      </rPr>
      <t>Equipment Assumptions:</t>
    </r>
    <r>
      <rPr>
        <sz val="11"/>
        <color theme="1"/>
        <rFont val="Calibri"/>
        <family val="2"/>
        <scheme val="minor"/>
      </rPr>
      <t xml:space="preserve"> this tab shows the assumptions used for the amount of equipment used by relevant clinical staff and caretakers</t>
    </r>
  </si>
  <si>
    <r>
      <rPr>
        <u/>
        <sz val="11"/>
        <color theme="1"/>
        <rFont val="Calibri"/>
        <family val="2"/>
        <scheme val="minor"/>
      </rPr>
      <t>Staff &amp; Infra Assumptions:</t>
    </r>
    <r>
      <rPr>
        <sz val="11"/>
        <color theme="1"/>
        <rFont val="Calibri"/>
        <family val="2"/>
        <scheme val="minor"/>
      </rPr>
      <t xml:space="preserve"> this tab shows the assumptions for how many staff members are needed for inpatient care, laboratory work, and other infrastructure assumptions</t>
    </r>
  </si>
  <si>
    <r>
      <t>Oxygen Use Assumptions:</t>
    </r>
    <r>
      <rPr>
        <sz val="11"/>
        <color theme="1"/>
        <rFont val="Calibri"/>
        <family val="2"/>
        <scheme val="minor"/>
      </rPr>
      <t xml:space="preserve"> this tab quantifies the amount of oxygen required for treating patients during the forecasted period</t>
    </r>
  </si>
  <si>
    <t>Patient Calcs</t>
  </si>
  <si>
    <r>
      <t>Required Drug Package:</t>
    </r>
    <r>
      <rPr>
        <i/>
        <sz val="11"/>
        <color theme="1"/>
        <rFont val="Calibri"/>
        <family val="2"/>
        <scheme val="minor"/>
      </rPr>
      <t xml:space="preserve"> </t>
    </r>
    <r>
      <rPr>
        <sz val="11"/>
        <color theme="1"/>
        <rFont val="Calibri"/>
        <family val="2"/>
        <scheme val="minor"/>
      </rPr>
      <t>this tab lists all the drugs needed for patient treatment</t>
    </r>
  </si>
  <si>
    <r>
      <t>Required Consumables Package:</t>
    </r>
    <r>
      <rPr>
        <sz val="11"/>
        <color theme="1"/>
        <rFont val="Calibri"/>
        <family val="2"/>
        <scheme val="minor"/>
      </rPr>
      <t xml:space="preserve"> this tab lists the consumable medical suppliers needed for patient treatment</t>
    </r>
  </si>
  <si>
    <t>Reference Data</t>
  </si>
  <si>
    <r>
      <t>Hospital Beds by Country:</t>
    </r>
    <r>
      <rPr>
        <i/>
        <sz val="11"/>
        <color theme="1"/>
        <rFont val="Calibri"/>
        <family val="2"/>
        <scheme val="minor"/>
      </rPr>
      <t xml:space="preserve"> </t>
    </r>
    <r>
      <rPr>
        <sz val="11"/>
        <color theme="1"/>
        <rFont val="Calibri"/>
        <family val="2"/>
        <scheme val="minor"/>
      </rPr>
      <t>this tab contains data from the World Bank on number of hospital beds per 1,000 people in each country</t>
    </r>
  </si>
  <si>
    <r>
      <t>Tabular Pop Data by Age:</t>
    </r>
    <r>
      <rPr>
        <sz val="11"/>
        <color theme="1"/>
        <rFont val="Calibri"/>
        <family val="2"/>
        <scheme val="minor"/>
      </rPr>
      <t xml:space="preserve"> this tab summaries the World Bank population data from the following tab in a more user-friendly way</t>
    </r>
  </si>
  <si>
    <t>Hospital Beds</t>
  </si>
  <si>
    <t>There are five inputs in this section that allow the user to customize the nature of the epidemic in the selected country/region.</t>
  </si>
  <si>
    <t>For wall oxygen.</t>
  </si>
  <si>
    <t>Supplied with:
1  - 6.0 mm, cuffed cricothyroidotomy tube
1  - cricothyroidotomy, tube holder
1  - dilator
1  - scalpel blade, No. 15, for handle No. 3, sterile, single use
1  - suture, surgical, synthetic, non absorbable, monofilament, DEC 3.5 (0), 45 cm, with needle, 3/8 circle, 29.9 mm, cutting point
1  - syringe, 10 mL, two or three pieces, Luer type, sterile, single use
1  - Thermovent T (HME)</t>
  </si>
  <si>
    <t>Compressible self-refilling ventilation bag, capacity: 1475-2000mL.
Oxygen reservoir bag complete.
Non-rebreathing patient valve with pressure limiting valve, patient connector outside/inside diameter: 22/15 mm.
Inlet valve with nipple for 02 tubing.
Masks, silicon, in 3 sizes (adult small, adult medium and adult large).</t>
  </si>
  <si>
    <t>Compressible self-refilling ventilation bag, child, capacity: 500-700mL.
Oxygen reservoir bag complete.
Non-rebreathing patient valve with pressure limiting valve, patient connector outside/inside diameter: 22/15 mm.
Inlet valve with nipple for 02 tubing.
Masks, silicon, for infants.</t>
  </si>
  <si>
    <t>It includes all accessories for operation, including the CO2 detector.</t>
  </si>
  <si>
    <t>* Supplied with one of:
TRAINING KIT</t>
  </si>
  <si>
    <t>Supplied With?</t>
  </si>
  <si>
    <r>
      <rPr>
        <u/>
        <sz val="11"/>
        <color theme="1"/>
        <rFont val="Calibri"/>
        <family val="2"/>
        <scheme val="minor"/>
      </rPr>
      <t>Patient Calc Assumptions:</t>
    </r>
    <r>
      <rPr>
        <sz val="11"/>
        <color theme="1"/>
        <rFont val="Calibri"/>
        <family val="2"/>
        <scheme val="minor"/>
      </rPr>
      <t xml:space="preserve"> this tab shows the varying doubling rate and attack rate options, as well as other high-level information from the epi calculations</t>
    </r>
  </si>
  <si>
    <r>
      <t>Automated Patient Calcs:</t>
    </r>
    <r>
      <rPr>
        <sz val="11"/>
        <color theme="1"/>
        <rFont val="Calibri"/>
        <family val="2"/>
        <scheme val="minor"/>
      </rPr>
      <t xml:space="preserve"> this tab contains the epi curves for the model, as well as other summaries such as recovered patients, patients by disease severity, and tests per week</t>
    </r>
  </si>
  <si>
    <r>
      <t>Manual Patient Calcs:</t>
    </r>
    <r>
      <rPr>
        <sz val="11"/>
        <color theme="1"/>
        <rFont val="Calibri"/>
        <family val="2"/>
        <scheme val="minor"/>
      </rPr>
      <t xml:space="preserve"> this tab will only be filled out if users select "Manual Entry" for the </t>
    </r>
    <r>
      <rPr>
        <i/>
        <sz val="11"/>
        <color theme="1"/>
        <rFont val="Calibri"/>
        <family val="2"/>
        <scheme val="minor"/>
      </rPr>
      <t>Cumulative Case Estimation Method</t>
    </r>
    <r>
      <rPr>
        <sz val="11"/>
        <color theme="1"/>
        <rFont val="Calibri"/>
        <family val="2"/>
        <scheme val="minor"/>
      </rPr>
      <t xml:space="preserve"> on the 'User Dashboard' tab</t>
    </r>
  </si>
  <si>
    <r>
      <t>WB Nurses &amp; Midwives Data:</t>
    </r>
    <r>
      <rPr>
        <i/>
        <sz val="11"/>
        <color theme="1"/>
        <rFont val="Calibri"/>
        <family val="2"/>
        <scheme val="minor"/>
      </rPr>
      <t xml:space="preserve"> </t>
    </r>
    <r>
      <rPr>
        <sz val="11"/>
        <color theme="1"/>
        <rFont val="Calibri"/>
        <family val="2"/>
        <scheme val="minor"/>
      </rPr>
      <t>this tab contains data from the World Bank on number of nurses and midwives in each country</t>
    </r>
  </si>
  <si>
    <r>
      <t>WB CHWs Data:</t>
    </r>
    <r>
      <rPr>
        <i/>
        <sz val="11"/>
        <color theme="1"/>
        <rFont val="Calibri"/>
        <family val="2"/>
        <scheme val="minor"/>
      </rPr>
      <t xml:space="preserve"> </t>
    </r>
    <r>
      <rPr>
        <sz val="11"/>
        <color theme="1"/>
        <rFont val="Calibri"/>
        <family val="2"/>
        <scheme val="minor"/>
      </rPr>
      <t>this tab contains data from the World Bank on number of community health workers (CHWs) in each country</t>
    </r>
  </si>
  <si>
    <t>Physicians</t>
  </si>
  <si>
    <t>Source: World Bank - World Development Indicators https://data.worldbank.org/indicator/SH.MED.PHYS.ZS</t>
  </si>
  <si>
    <t>Description: Physicians per 1,000 people by country by year. Note that most recent year of data varies by country.</t>
  </si>
  <si>
    <r>
      <t>WB Physician Data:</t>
    </r>
    <r>
      <rPr>
        <i/>
        <sz val="11"/>
        <color theme="1"/>
        <rFont val="Calibri"/>
        <family val="2"/>
        <scheme val="minor"/>
      </rPr>
      <t xml:space="preserve"> </t>
    </r>
    <r>
      <rPr>
        <sz val="11"/>
        <color theme="1"/>
        <rFont val="Calibri"/>
        <family val="2"/>
        <scheme val="minor"/>
      </rPr>
      <t>this tab contains data from the World Bank on number of physicians per 1,000 people in each country</t>
    </r>
  </si>
  <si>
    <r>
      <t>HCW Summary Data:</t>
    </r>
    <r>
      <rPr>
        <i/>
        <sz val="11"/>
        <color theme="1"/>
        <rFont val="Calibri"/>
        <family val="2"/>
        <scheme val="minor"/>
      </rPr>
      <t xml:space="preserve"> </t>
    </r>
    <r>
      <rPr>
        <sz val="11"/>
        <color theme="1"/>
        <rFont val="Calibri"/>
        <family val="2"/>
        <scheme val="minor"/>
      </rPr>
      <t>this tab summarizes data from the World Bank on number of the number of clinical and other staff in each country</t>
    </r>
  </si>
  <si>
    <t>Note that HCWs for inpatient, outpatient, and laboratories are capped at the maximum number in operation in each country - at high-levels of cases this may result in a lower HCW:patient ratio than desired</t>
  </si>
  <si>
    <t>2 goggle per lab technician/month</t>
  </si>
  <si>
    <t>Needed per day</t>
  </si>
  <si>
    <t>Multiplier for reusable equipment</t>
  </si>
  <si>
    <t>Multiplier for non-reusable per-day equipment</t>
  </si>
  <si>
    <t>From WB data - see breakdown tabs; note if "Manual" population entry takes global average # per 1000 population</t>
  </si>
  <si>
    <t>From WB data - see breakdown tabs;  note if "Manual" population entry takes global average # per 1000 population</t>
  </si>
  <si>
    <t>Based on 3 shifts, checked with clinical team</t>
  </si>
  <si>
    <t>Summary HCW Data</t>
  </si>
  <si>
    <t>Description: Consolidates all different HCW data</t>
  </si>
  <si>
    <t>Lab Scientists and Technicians</t>
  </si>
  <si>
    <t>Reference if unknown</t>
  </si>
  <si>
    <t>Based on discussions with Health Workforce Team and WHO global estimates</t>
  </si>
  <si>
    <t>Patient monitor, multiparametric w/o ECG, with accessories</t>
  </si>
  <si>
    <t>Pulse oximeter - fingertip</t>
  </si>
  <si>
    <t>Concentrator O2, 10 L, with accessories</t>
  </si>
  <si>
    <t>O2 need (m3)</t>
  </si>
  <si>
    <t>Flowmeter, Thorpe tube, for pipe oxygen 0-15L/min</t>
  </si>
  <si>
    <t>CPAP, for neonate, with accessories</t>
  </si>
  <si>
    <t>CPAP, for adult, with accessories</t>
  </si>
  <si>
    <t>Electronic drop counter, IV fluids monitor</t>
  </si>
  <si>
    <t>Patient monitor, multiparametric w/ECG, with accessories</t>
  </si>
  <si>
    <t>Suction pump, manual</t>
  </si>
  <si>
    <t>Cricothyrotomy, set, emergency, 6 mm, sterile, single use</t>
  </si>
  <si>
    <t>Laryngoscope, FO, diameter 28 mm, w/blades</t>
  </si>
  <si>
    <t>Laryngoscope, FO, neonate, diameter 19 mm, w/blades</t>
  </si>
  <si>
    <t>Self-inflating bag, adult/child</t>
  </si>
  <si>
    <t>Self-inflating bag, child/neonate</t>
  </si>
  <si>
    <t>Patient ventilator, intensive care, for adult, paediatric and neonate w/breathing circuits</t>
  </si>
  <si>
    <t>High Flow Nasal Cannula, with accessories</t>
  </si>
  <si>
    <t>Suction pump, electrical, w/accessories</t>
  </si>
  <si>
    <t>Infusion pump, w/accessories</t>
  </si>
  <si>
    <t>Drill, for vascular access, w/accessories adult and paediatric, w/transport bag</t>
  </si>
  <si>
    <t>Defibrillator, semiautomatic, w/accessories</t>
  </si>
  <si>
    <t>Electrocardiograph, portable, w/accessories</t>
  </si>
  <si>
    <t xml:space="preserve">Infant scale, electronic, 0-20 kg </t>
  </si>
  <si>
    <t>Scale, electronic, 50g/0-200kg</t>
  </si>
  <si>
    <t>Autoclave, 40-60L, with accessories</t>
  </si>
  <si>
    <t>Autoclave, 90L, with accessories</t>
  </si>
  <si>
    <t>Very slow</t>
  </si>
  <si>
    <t>DISCLAIMER</t>
  </si>
  <si>
    <t>I understand</t>
  </si>
  <si>
    <t>The user has reviewed the disclaimer and understand the model's scope and limitations</t>
  </si>
  <si>
    <t>Check?</t>
  </si>
  <si>
    <r>
      <rPr>
        <b/>
        <sz val="11"/>
        <color theme="1"/>
        <rFont val="Calibri"/>
        <family val="2"/>
      </rPr>
      <t>Clinical Attack Rate:</t>
    </r>
    <r>
      <rPr>
        <sz val="11"/>
        <color theme="1"/>
        <rFont val="Calibri"/>
        <family val="2"/>
      </rPr>
      <t xml:space="preserve"> The rate at which the population is symptomatically infected. The tool has five pre-set options (below):
     </t>
    </r>
    <r>
      <rPr>
        <u/>
        <sz val="11"/>
        <color theme="1"/>
        <rFont val="Calibri"/>
        <family val="2"/>
      </rPr>
      <t>Very Low:</t>
    </r>
    <r>
      <rPr>
        <sz val="11"/>
        <color theme="1"/>
        <rFont val="Calibri"/>
        <family val="2"/>
      </rPr>
      <t xml:space="preserve"> 5%
     </t>
    </r>
    <r>
      <rPr>
        <u/>
        <sz val="11"/>
        <color theme="1"/>
        <rFont val="Calibri"/>
        <family val="2"/>
      </rPr>
      <t>Low:</t>
    </r>
    <r>
      <rPr>
        <sz val="11"/>
        <color theme="1"/>
        <rFont val="Calibri"/>
        <family val="2"/>
      </rPr>
      <t xml:space="preserve"> 10%
     </t>
    </r>
    <r>
      <rPr>
        <u/>
        <sz val="11"/>
        <color theme="1"/>
        <rFont val="Calibri"/>
        <family val="2"/>
      </rPr>
      <t>Medium:</t>
    </r>
    <r>
      <rPr>
        <sz val="11"/>
        <color theme="1"/>
        <rFont val="Calibri"/>
        <family val="2"/>
      </rPr>
      <t xml:space="preserve"> 20%
     </t>
    </r>
    <r>
      <rPr>
        <u/>
        <sz val="11"/>
        <color theme="1"/>
        <rFont val="Calibri"/>
        <family val="2"/>
      </rPr>
      <t>High:</t>
    </r>
    <r>
      <rPr>
        <sz val="11"/>
        <color theme="1"/>
        <rFont val="Calibri"/>
        <family val="2"/>
      </rPr>
      <t xml:space="preserve"> 30%
     </t>
    </r>
    <r>
      <rPr>
        <u/>
        <sz val="11"/>
        <color theme="1"/>
        <rFont val="Calibri"/>
        <family val="2"/>
      </rPr>
      <t>Manual:</t>
    </r>
    <r>
      <rPr>
        <sz val="11"/>
        <color theme="1"/>
        <rFont val="Calibri"/>
        <family val="2"/>
      </rPr>
      <t xml:space="preserve"> User can enter own clinical attack rate not constrained by the above pre-set values</t>
    </r>
  </si>
  <si>
    <r>
      <rPr>
        <b/>
        <sz val="11"/>
        <color theme="1"/>
        <rFont val="Calibri"/>
        <family val="2"/>
      </rPr>
      <t>Doubling Rate (Days):</t>
    </r>
    <r>
      <rPr>
        <sz val="11"/>
        <color theme="1"/>
        <rFont val="Calibri"/>
        <family val="2"/>
      </rPr>
      <t xml:space="preserve"> The rate at which the number of cases doubles in a given country (in days not weeks). The tool has six pre-set options (below):
     </t>
    </r>
    <r>
      <rPr>
        <u/>
        <sz val="11"/>
        <color theme="1"/>
        <rFont val="Calibri"/>
        <family val="2"/>
      </rPr>
      <t>Very Fast:</t>
    </r>
    <r>
      <rPr>
        <sz val="11"/>
        <color theme="1"/>
        <rFont val="Calibri"/>
        <family val="2"/>
      </rPr>
      <t xml:space="preserve"> 2.3 days. Highest case load expected    
     </t>
    </r>
    <r>
      <rPr>
        <u/>
        <sz val="11"/>
        <color theme="1"/>
        <rFont val="Calibri"/>
        <family val="2"/>
      </rPr>
      <t>Fast:</t>
    </r>
    <r>
      <rPr>
        <sz val="11"/>
        <color theme="1"/>
        <rFont val="Calibri"/>
        <family val="2"/>
      </rPr>
      <t xml:space="preserve"> 3.2 days. High case load expected
     </t>
    </r>
    <r>
      <rPr>
        <u/>
        <sz val="11"/>
        <color theme="1"/>
        <rFont val="Calibri"/>
        <family val="2"/>
      </rPr>
      <t>Medium:</t>
    </r>
    <r>
      <rPr>
        <sz val="11"/>
        <color theme="1"/>
        <rFont val="Calibri"/>
        <family val="2"/>
      </rPr>
      <t xml:space="preserve"> 4 days. Medium case load expected
     </t>
    </r>
    <r>
      <rPr>
        <u/>
        <sz val="11"/>
        <color theme="1"/>
        <rFont val="Calibri"/>
        <family val="2"/>
      </rPr>
      <t>Slow:</t>
    </r>
    <r>
      <rPr>
        <sz val="11"/>
        <color theme="1"/>
        <rFont val="Calibri"/>
        <family val="2"/>
      </rPr>
      <t xml:space="preserve"> 5 days. Low case load expected
     </t>
    </r>
    <r>
      <rPr>
        <u/>
        <sz val="11"/>
        <color theme="1"/>
        <rFont val="Calibri"/>
        <family val="2"/>
      </rPr>
      <t>Very slow</t>
    </r>
    <r>
      <rPr>
        <sz val="11"/>
        <color theme="1"/>
        <rFont val="Calibri"/>
        <family val="2"/>
      </rPr>
      <t xml:space="preserve">: 7 days. Lowest case load expected.
     </t>
    </r>
    <r>
      <rPr>
        <u/>
        <sz val="11"/>
        <color theme="1"/>
        <rFont val="Calibri"/>
        <family val="2"/>
      </rPr>
      <t>Combined:</t>
    </r>
    <r>
      <rPr>
        <sz val="11"/>
        <color theme="1"/>
        <rFont val="Calibri"/>
        <family val="2"/>
      </rPr>
      <t xml:space="preserve"> The user can input a rate that changes over time (e.g., doubling rate of 3 days until week 6 where it changes to 7 days) 
     </t>
    </r>
    <r>
      <rPr>
        <u/>
        <sz val="11"/>
        <color theme="1"/>
        <rFont val="Calibri"/>
        <family val="2"/>
      </rPr>
      <t>Manual:</t>
    </r>
    <r>
      <rPr>
        <sz val="11"/>
        <color theme="1"/>
        <rFont val="Calibri"/>
        <family val="2"/>
      </rPr>
      <t xml:space="preserve"> User can enter in their own doubling rate not constrained by the above pre-set values</t>
    </r>
  </si>
  <si>
    <t>WHO COVID-19 Essential Supplies Forecast Tool Overview</t>
  </si>
  <si>
    <t>Source: WHO - https://apps.who.int/gho/data/node.main.HWFGRP?lang=en</t>
  </si>
  <si>
    <r>
      <t>WHO Labs Data:</t>
    </r>
    <r>
      <rPr>
        <i/>
        <sz val="11"/>
        <color theme="1"/>
        <rFont val="Calibri"/>
        <family val="2"/>
        <scheme val="minor"/>
      </rPr>
      <t xml:space="preserve"> </t>
    </r>
    <r>
      <rPr>
        <sz val="11"/>
        <color theme="1"/>
        <rFont val="Calibri"/>
        <family val="2"/>
        <scheme val="minor"/>
      </rPr>
      <t>this tab contains data from the WHO on number of laboratory staff in each country</t>
    </r>
  </si>
  <si>
    <t>Source: All raw data HCW data tabs from WB and WHO</t>
  </si>
  <si>
    <t>Note that in the absence of good data on CHWs in many countries we have taken a proxy of 0.4/1000 in population. This is likely an overestimate and is to be conservative on potential demand/ need.</t>
  </si>
  <si>
    <t>The estimated number of HCWs required to treat inpatients and test outpatients/suspected cases, based on the guidelines for ratio of HCWs:patients is:</t>
  </si>
  <si>
    <t>Output, beds per 1000 population, for selected country (takes reported value if known, or global average if not)</t>
  </si>
  <si>
    <t>Based on ratio of hygienists to beds in-country (as reported in User Dashboard)</t>
  </si>
  <si>
    <t>% of lab staff available for COVID-19 response</t>
  </si>
  <si>
    <t>% of health care workers available for COVID-19 response</t>
  </si>
  <si>
    <t>Manually enter Clinical Attack Rate:</t>
  </si>
  <si>
    <t>Select "Manual" (at bottom of list) to run sub-population</t>
  </si>
  <si>
    <t>Available Staff</t>
  </si>
  <si>
    <t>This section allows the user to input the amount of HCWs and lab staff that are available for the COVID-19 response.</t>
  </si>
  <si>
    <r>
      <t xml:space="preserve">   </t>
    </r>
    <r>
      <rPr>
        <b/>
        <sz val="11"/>
        <color theme="1"/>
        <rFont val="Calibri"/>
        <family val="2"/>
        <scheme val="minor"/>
      </rPr>
      <t>% HCW available for COVID-19 response:</t>
    </r>
    <r>
      <rPr>
        <sz val="11"/>
        <color theme="1"/>
        <rFont val="Calibri"/>
        <family val="2"/>
        <scheme val="minor"/>
      </rPr>
      <t xml:space="preserve"> enter the estimated percent of HCWs that will be allocated to the COVID-19 response in country</t>
    </r>
  </si>
  <si>
    <r>
      <t xml:space="preserve">   </t>
    </r>
    <r>
      <rPr>
        <b/>
        <sz val="11"/>
        <color theme="1"/>
        <rFont val="Calibri"/>
        <family val="2"/>
        <scheme val="minor"/>
      </rPr>
      <t>Total lab staff in country:</t>
    </r>
    <r>
      <rPr>
        <sz val="11"/>
        <color theme="1"/>
        <rFont val="Calibri"/>
        <family val="2"/>
        <scheme val="minor"/>
      </rPr>
      <t xml:space="preserve"> enter the total number of lab staff in country (estimates from the WHO will appear as a reference)</t>
    </r>
  </si>
  <si>
    <r>
      <t xml:space="preserve">   </t>
    </r>
    <r>
      <rPr>
        <b/>
        <sz val="11"/>
        <color theme="1"/>
        <rFont val="Calibri"/>
        <family val="2"/>
        <scheme val="minor"/>
      </rPr>
      <t>% Lab staff available for COVID-19 response:</t>
    </r>
    <r>
      <rPr>
        <sz val="11"/>
        <color theme="1"/>
        <rFont val="Calibri"/>
        <family val="2"/>
        <scheme val="minor"/>
      </rPr>
      <t xml:space="preserve"> enter the estimated percent of lab staff that will be allocated to the COVID-19 response in country</t>
    </r>
  </si>
  <si>
    <t>This section allows the user to allocate hospital beds to COVID-19 patients.</t>
  </si>
  <si>
    <t>Patient Calc Assumptions</t>
  </si>
  <si>
    <t>The below tabs do not have user inputs (aside from the 'Manual Patient Calcs' tab). However, see the descriptions below for a brief overview of each tab and what they display/calculate.</t>
  </si>
  <si>
    <r>
      <rPr>
        <b/>
        <sz val="11"/>
        <color theme="1"/>
        <rFont val="Calibri"/>
        <family val="2"/>
        <scheme val="minor"/>
      </rPr>
      <t>Delivery lead time until shipments received (weeks):</t>
    </r>
    <r>
      <rPr>
        <sz val="11"/>
        <color theme="1"/>
        <rFont val="Calibri"/>
        <family val="2"/>
        <scheme val="minor"/>
      </rPr>
      <t xml:space="preserve"> Enter an estimate of how long it will take commodities to be available in country</t>
    </r>
  </si>
  <si>
    <r>
      <rPr>
        <b/>
        <sz val="11"/>
        <color theme="1"/>
        <rFont val="Calibri"/>
        <family val="2"/>
        <scheme val="minor"/>
      </rPr>
      <t>Week max estimated cases reached:</t>
    </r>
    <r>
      <rPr>
        <sz val="11"/>
        <color theme="1"/>
        <rFont val="Calibri"/>
        <family val="2"/>
        <scheme val="minor"/>
      </rPr>
      <t xml:space="preserve"> NO USER INPUT - displays the week when the max number of estimated cases will be reached based on selections</t>
    </r>
  </si>
  <si>
    <t>* Supplied with one of:
- CUFF ADULT M, 23-33cm
- CUFF ADULT L, 31-40cm
- CUFF CHILD, 12-19cm
- CUFF NEONATE, 8-13cm
- TUBING NIBP adult/child
- SENSOR SPO2, adult
- SENSOR SPO2, child/infant
- SENSOR, ADHESIVE WRAPS, neonate</t>
  </si>
  <si>
    <t>* Supplied with one of:
Outlet Oxygen connector,
Humidifier with connector</t>
  </si>
  <si>
    <t>* Supplied with two of:
Nasal cannula kit w/prongs, Velcro fixing and chin strap; size 0-1; 2-3; 4-5; 6-7.
Humidifier and bubble bottle</t>
  </si>
  <si>
    <t>* Supplied with two of:
Plastic collection bottles</t>
  </si>
  <si>
    <t>* Supplied with one spare:
Rechargeable battery</t>
  </si>
  <si>
    <t>* Supplied with one of:
- CUFF ADULT L, 31-40 cm
- CUFF CHILD, 12-19 cm
- TUBING NIBP, adult/child
- SENSOR SPO2, adult
- SENSOR SPO2, child/infant
- SENSOR, ADHESIVE WRAPS, neonate
- SKIN TEMPERATURE PROBE
- CABLE ECG, 3/5 leads</t>
  </si>
  <si>
    <t>Supplied with:
* Blades, Macintosh type (curved): No. 2, length 90 - 110 mm, for child. No. 3, length 110 - 135 mm, for small adult. No. 4, length 135 - 155 mm, for adult.
* Blades, Miller type (straight): No. 1, length 100 mm.
* Heavy-walled plastic or metal case.
* Six compatible batteries in total.</t>
  </si>
  <si>
    <t>Supplied with:
* Blades, Macintosh type (curved): No. 0, length 55 mm, for newborn. No. 1, length 70 mm, for infant. No. 2, length 90 mm, for child.
* Heavy-walled plastic or metal case.
* Six compatible batteries in total.</t>
  </si>
  <si>
    <t>* Supplied with one of:
Collection bottle, 1 or 2 L, autoclavable
Lid and overflow valve
Filters</t>
  </si>
  <si>
    <t>* Supplied with one of:
PATIENT CABLE 10 leads,
SET SUCTION ELECTRODES, reusable
ELECTRODES CLIP, limb, set 4 pcs/colours</t>
  </si>
  <si>
    <t>* Supplied with one of:
LINEAR TRANSDUCER 5.0-7.5 MHz;
PHASED ARRAY CARDIAC TRANSDUCER 5.0-7.5 MHz</t>
  </si>
  <si>
    <r>
      <t xml:space="preserve">This calculator is a supply forecasting tool: </t>
    </r>
    <r>
      <rPr>
        <sz val="10"/>
        <color theme="1"/>
        <rFont val="Arial"/>
        <family val="2"/>
      </rPr>
      <t>it is meant to help governments, partners, and other stakeholders estimate potential requirements for essential supplies to respond to the current pandemic of COVID-19.  Essential supplies include personal protective equipment, diagnostics, biomedical equipment for case management, drugs for supportive treatment, and consumable medical supplies.  It is designed to proactively support decision making and enable the rapid procurement of essential supplies early in the course of the epidemic.</t>
    </r>
  </si>
  <si>
    <r>
      <t xml:space="preserve">Supplies are forecast based on short-term needs: </t>
    </r>
    <r>
      <rPr>
        <sz val="10"/>
        <color theme="1"/>
        <rFont val="Arial"/>
        <family val="2"/>
      </rPr>
      <t>This calculator helps guide users through the process of making assumptions about the number of cases. Given the uncertainty of the epidemic’s progression, the calculator is designed to estimate supplies for the first 6-12 weeks of an outbreak. However it will allow users to manipulate calculations for a longer time period. Users may prefer to use their own assumption about the expected epidemiological curve in their geography.  In that case, the calculator offers flexibility for users to manually input the case numbers they believe they will observe for a period of up to 52 weeks, and it then assists users to estimate the corresponding supply requirements.</t>
    </r>
  </si>
  <si>
    <r>
      <t xml:space="preserve">Outputs are constrained based on editable parameters for health system infrastructure: </t>
    </r>
    <r>
      <rPr>
        <sz val="10"/>
        <color theme="1"/>
        <rFont val="Arial"/>
        <family val="2"/>
      </rPr>
      <t xml:space="preserve">This calculator includes editable assumptions about limitations of health systems to absorb the projected number of patients (for example, availability of health care workers and patient beds).  Users can manually input staff and infrastructure assumptions on the "User Dashboard" page or select automatically available values from an included dataset. </t>
    </r>
  </si>
  <si>
    <r>
      <t xml:space="preserve">Limitations: </t>
    </r>
    <r>
      <rPr>
        <sz val="10"/>
        <color theme="1"/>
        <rFont val="Arial"/>
        <family val="2"/>
      </rPr>
      <t>This calculator is not an epidemiological model. The inputs, such as projected case numbers, doubling rates, and attack rates, are based on the available information that has been shared by experts and academic groups. These inputs and the corresponding outputs may not reflect the reality of what users will ultimately see in their geography. Users are discouraged from drawing conclusions about cases far into the future on the basis of these preliminary estimates.</t>
    </r>
  </si>
  <si>
    <r>
      <t xml:space="preserve">This version of the calculator is a first draft: </t>
    </r>
    <r>
      <rPr>
        <sz val="10"/>
        <color theme="1"/>
        <rFont val="Arial"/>
        <family val="2"/>
      </rPr>
      <t xml:space="preserve">As more data become available, updated versions will be shared in an effort to regularly develop the tool and improve its functionality and assumptions. </t>
    </r>
  </si>
  <si>
    <t>Ultrasound, portable, w/ transducers and trolley</t>
  </si>
  <si>
    <t xml:space="preserve">Introduction: This page is the main page that will be used. The user will set up the information for their country forecast in the 'user input' section below. This section was designed to be simple and user friendly while also allowing for flexibility in forecasting. Basic definitions are given next to each cell or in a comment within the cell. If further information is required, see the 'Tool Overview' tab. 
Pay close attention to any notices in red to ensure a valid forecast. Very few exercises will use inputs on any additional tabs. </t>
  </si>
  <si>
    <t>Of the input HCWs in your country, enter the % of HCWs in your country that could be used for COVID-19 response</t>
  </si>
  <si>
    <t>SARS-CoV-2, a previously unknown coronavirus that emerged in Wuhan, China in December 2019, causes COVID-19 and was characterized as a pandemic by the World Health Organization on March 11, 2020. The pandemic has required countries around the world to develop containment and mitigation strategies to control the spread of COVID-19.
To assist with the response to the pandemic, the WHO developed the WHO COVID-19 Essential Supplies Forecasting Tool (COVID-ESFT) to allow users to quantify for commodities used in the course of patient and disease management. The current version of the tool covers three categories of essential commodities: personal protective equipment (PPE), diagnostics, and case management. The tool has been designed to be user-friendly, and allow users to quickly estimate commodity needs based on variable assumptions around a specific country's epidemic.
The primary output tabs, "User Dashboard" and "Equipment Needed by Setting" are explained in greater detail below.</t>
  </si>
  <si>
    <t>Total number of Cleaners and Helpers (ILO ISCO codes 9112)</t>
  </si>
  <si>
    <t>Total number of ambulance personnel (ILO ISCO codes 8322, 3258)</t>
  </si>
  <si>
    <t>Total number of lab staff required</t>
  </si>
  <si>
    <t>Lab staff</t>
  </si>
  <si>
    <t>Total number of medical practitioners, including physicians, nursing professionals, community health workers and paramedical practitioners (ILO ISCO codes 2240, 2211, 2212, 2221, 3221, 5321, 3256, 3253)</t>
  </si>
  <si>
    <r>
      <rPr>
        <u/>
        <sz val="11"/>
        <color theme="1"/>
        <rFont val="Calibri"/>
        <family val="2"/>
        <scheme val="minor"/>
      </rPr>
      <t>HCW</t>
    </r>
    <r>
      <rPr>
        <sz val="11"/>
        <color theme="1"/>
        <rFont val="Calibri"/>
        <family val="2"/>
        <scheme val="minor"/>
      </rPr>
      <t>: medical practitioners, including physicians, nursing professionals, community health workers and paramedical practitioners (ILO ISCO codes 2240, 2211, 2212, 2221, 3221, 5321, 3256, 3253)</t>
    </r>
  </si>
  <si>
    <r>
      <rPr>
        <u/>
        <sz val="11"/>
        <color theme="1"/>
        <rFont val="Calibri"/>
        <family val="2"/>
        <scheme val="minor"/>
      </rPr>
      <t>Hygienist</t>
    </r>
    <r>
      <rPr>
        <sz val="11"/>
        <color theme="1"/>
        <rFont val="Calibri"/>
        <family val="2"/>
        <scheme val="minor"/>
      </rPr>
      <t>: refers to Cleaners and Helpers (ILO ISCO codes 9112)</t>
    </r>
  </si>
  <si>
    <r>
      <rPr>
        <u/>
        <sz val="11"/>
        <color theme="1"/>
        <rFont val="Calibri"/>
        <family val="2"/>
        <scheme val="minor"/>
      </rPr>
      <t>Ambulancier</t>
    </r>
    <r>
      <rPr>
        <sz val="11"/>
        <color theme="1"/>
        <rFont val="Calibri"/>
        <family val="2"/>
        <scheme val="minor"/>
      </rPr>
      <t>: refers to Ambulance personnel (ILO ISCO codes 8322, 3258)</t>
    </r>
  </si>
  <si>
    <t># of lab staff per lab</t>
  </si>
  <si>
    <t>Capped # of lab staff for labs</t>
  </si>
  <si>
    <r>
      <t xml:space="preserve">   </t>
    </r>
    <r>
      <rPr>
        <b/>
        <sz val="11"/>
        <color theme="1"/>
        <rFont val="Calibri"/>
        <family val="2"/>
        <scheme val="minor"/>
      </rPr>
      <t>Total HCW in country:</t>
    </r>
    <r>
      <rPr>
        <sz val="11"/>
        <color theme="1"/>
        <rFont val="Calibri"/>
        <family val="2"/>
        <scheme val="minor"/>
      </rPr>
      <t xml:space="preserve"> enter the total number of HCW in country (estimates from the World Bank will appear as a reference). Note that by HCWs we are  referring to total number of medical practitioners, including physicians, nursing professionals, community health workers and paramedical practitioners (ILO ISCO codes 2240, 2211, 2212, 2221, 3221, 5321, 3256, 3253)</t>
    </r>
  </si>
  <si>
    <t>Of the input lab staff in your country, enter the % of lab staff in your country that could be used for COVID-19 response</t>
  </si>
  <si>
    <t>Patient Care Equipment</t>
  </si>
  <si>
    <r>
      <t>Patient Care Equip:</t>
    </r>
    <r>
      <rPr>
        <sz val="11"/>
        <color theme="1"/>
        <rFont val="Calibri"/>
        <family val="2"/>
        <scheme val="minor"/>
      </rPr>
      <t xml:space="preserve"> this is the master list for the care equipment that this tool quantifies for, and whether or not they are reusable</t>
    </r>
  </si>
  <si>
    <r>
      <t xml:space="preserve">Please check to confirm you have read and understand </t>
    </r>
    <r>
      <rPr>
        <b/>
        <sz val="11"/>
        <color theme="0"/>
        <rFont val="Calibri"/>
        <family val="2"/>
      </rPr>
      <t>↓</t>
    </r>
  </si>
  <si>
    <t>Personnel Descriptions (these definitions and ILO ISCO codes are in use in all tabs of the tool):</t>
  </si>
  <si>
    <t>Refers to Cleaners and Helpers (ILO ISCO codes 9112)</t>
  </si>
  <si>
    <t>Refers to all medical practitioners, including physicians, nursing professionals, community health workers and paramedical practitioners (ILO ISCO codes 2240, 2211, 2212, 2221, 3221, 5321, 3256, 3253)</t>
  </si>
  <si>
    <t>Total quantity</t>
  </si>
  <si>
    <t>Unit price</t>
  </si>
  <si>
    <t>Note that prices may be be inaccurate based on the rapidly evolving market</t>
  </si>
  <si>
    <t>Enter 0 or 1 weeks for the estimated delivery time</t>
  </si>
  <si>
    <t>Enter # of weeks to forecast equipment for (#)</t>
  </si>
  <si>
    <t>Outpatient screening</t>
  </si>
  <si>
    <t>Infratructure outputs</t>
  </si>
  <si>
    <t>Outpatient care</t>
  </si>
  <si>
    <t>Diagnosed mild patients</t>
  </si>
  <si>
    <t>Number  of patients</t>
  </si>
  <si>
    <t>Number of hospital facilities in use (40 beds each)</t>
  </si>
  <si>
    <t>100 cases in 3 months</t>
  </si>
  <si>
    <t>1,000 cases in 3 months</t>
  </si>
  <si>
    <t>100,000 cases in 6 months</t>
  </si>
  <si>
    <t>Delivery lead time until shipments received (weeks)</t>
  </si>
  <si>
    <t>For modelling: week # for placement on curve</t>
  </si>
  <si>
    <t>Scenario running</t>
  </si>
  <si>
    <t>For modelling: end Week (Inclusive) To Forecast Through</t>
  </si>
  <si>
    <t>List of additional activities package</t>
  </si>
  <si>
    <t>Cluster 1000 cases</t>
  </si>
  <si>
    <t>Cluster 10 000</t>
  </si>
  <si>
    <t>Cluster 100 000</t>
  </si>
  <si>
    <t>QTY</t>
  </si>
  <si>
    <t>Price</t>
  </si>
  <si>
    <t>It includes</t>
  </si>
  <si>
    <t>Global coordination team, Set up package</t>
  </si>
  <si>
    <t>facilities, IT telcom, transport</t>
  </si>
  <si>
    <t>Global coordination, consumables</t>
  </si>
  <si>
    <t>Statinery, communication consumption</t>
  </si>
  <si>
    <t>Global coordination, Team</t>
  </si>
  <si>
    <t>Sub- coordination capacity,  set up package</t>
  </si>
  <si>
    <t>Sub coordiantion, consumable</t>
  </si>
  <si>
    <t>Sub coordiantion, Team</t>
  </si>
  <si>
    <t xml:space="preserve">team members </t>
  </si>
  <si>
    <t>Warehouse and offices</t>
  </si>
  <si>
    <t>Warehouse and equipement</t>
  </si>
  <si>
    <t>Supply distribution capacity (transport)</t>
  </si>
  <si>
    <t>Trucking and distribution network</t>
  </si>
  <si>
    <t>Supply consumables</t>
  </si>
  <si>
    <t>Packaging, kitting</t>
  </si>
  <si>
    <t>Supply chain management team</t>
  </si>
  <si>
    <t>supply HR team</t>
  </si>
  <si>
    <t>PoE, supervision team</t>
  </si>
  <si>
    <t xml:space="preserve">POE international, equipement </t>
  </si>
  <si>
    <t>POE international, consumable</t>
  </si>
  <si>
    <t>POE international, team</t>
  </si>
  <si>
    <t>POE Domestic, equipement</t>
  </si>
  <si>
    <t>POE Domestic, Consumable</t>
  </si>
  <si>
    <t>POE Domestic, HR team</t>
  </si>
  <si>
    <t>PoE Training</t>
  </si>
  <si>
    <t>Laboratory, supervision team</t>
  </si>
  <si>
    <t>Laboratory, National, equipement</t>
  </si>
  <si>
    <t>PCR, centrifuge, extractor</t>
  </si>
  <si>
    <t>Laboratory, National, HR team</t>
  </si>
  <si>
    <t>4 lab technicien, one supervisor</t>
  </si>
  <si>
    <t>Laboratory, provincial, equipement</t>
  </si>
  <si>
    <t>tents and logistics set up kits</t>
  </si>
  <si>
    <t>Laboratory, Mobile lab, facility</t>
  </si>
  <si>
    <t>Tented facility</t>
  </si>
  <si>
    <t>Laboratory, provincial, HR team</t>
  </si>
  <si>
    <t>2 lab technicien</t>
  </si>
  <si>
    <t>Lab test kit</t>
  </si>
  <si>
    <t>biomedical equipement for labs</t>
  </si>
  <si>
    <t xml:space="preserve">   Lab extraction kit (250 extractions)</t>
  </si>
  <si>
    <t xml:space="preserve">   Lab screening test kit (94 tests)</t>
  </si>
  <si>
    <t xml:space="preserve">   Lab confirmation test kit (94 tests)</t>
  </si>
  <si>
    <t xml:space="preserve">   RT-PCR kit (100 tests)</t>
  </si>
  <si>
    <t>Lab consumable</t>
  </si>
  <si>
    <t>Training, laboratory technicien</t>
  </si>
  <si>
    <t>Prevent, surpress and slow down transmission</t>
  </si>
  <si>
    <t>PPE, protection of essential support personnel</t>
  </si>
  <si>
    <t>Decontamination team</t>
  </si>
  <si>
    <t>Information material</t>
  </si>
  <si>
    <t>Hand hygien station (public facilities)</t>
  </si>
  <si>
    <t>Public facilities, training package</t>
  </si>
  <si>
    <t>Information package</t>
  </si>
  <si>
    <t>Number of hospitals required</t>
  </si>
  <si>
    <t>Hospital, reorganisation pacakge</t>
  </si>
  <si>
    <t>Mobile hospital, 40 beds, facility</t>
  </si>
  <si>
    <t>Hospital, 40 beds, furniture</t>
  </si>
  <si>
    <t>Hospital, 40 beds, runing cost</t>
  </si>
  <si>
    <t>Biomedical equipement, 40 beds</t>
  </si>
  <si>
    <t>Drugs kit, 40 patients</t>
  </si>
  <si>
    <t>Consumable kit 40 patients</t>
  </si>
  <si>
    <t>Hospital, 40 beds, furniture, PPE</t>
  </si>
  <si>
    <t>Nurse</t>
  </si>
  <si>
    <t>Paramedics</t>
  </si>
  <si>
    <t>cleaners</t>
  </si>
  <si>
    <t xml:space="preserve">Support personnel </t>
  </si>
  <si>
    <t>Logistician</t>
  </si>
  <si>
    <t>Oxygen plant</t>
  </si>
  <si>
    <t>Oxygen plant, maintenance</t>
  </si>
  <si>
    <t>Community, isolation centre, 40 beds, set up</t>
  </si>
  <si>
    <t>Community, isolation centre, 40 beds, furniture</t>
  </si>
  <si>
    <t>Community, isolation centre, 40 beds, runing cost</t>
  </si>
  <si>
    <t>Community, isolation centre, 40 beds, consumable</t>
  </si>
  <si>
    <t>Mild case treatment, drug kit, 40 patients</t>
  </si>
  <si>
    <t>Mild case treatment, consumable kit, 40 patients</t>
  </si>
  <si>
    <t>Mild case treatment, PPE</t>
  </si>
  <si>
    <t>doctor</t>
  </si>
  <si>
    <t>Paramedical</t>
  </si>
  <si>
    <t>logistician</t>
  </si>
  <si>
    <t>Ambulances</t>
  </si>
  <si>
    <t>Ambulance driver</t>
  </si>
  <si>
    <t>Paramedic</t>
  </si>
  <si>
    <t>Ambulance network management plateform, set  up</t>
  </si>
  <si>
    <t>Ambulance network management plateform, runing cost</t>
  </si>
  <si>
    <t>Ambulance network, coordinator</t>
  </si>
  <si>
    <t>Item output from model</t>
  </si>
  <si>
    <t>Nurse (taking assumption that 70% of inpatient HCWs are nurses based on global average ratio of drs to nurses)</t>
  </si>
  <si>
    <t>Doctor (taking assumption that 30% of inpatient HCWs are Drs based on global average ratio of drs to nurses)</t>
  </si>
  <si>
    <t>Oxygen plant set up (oxygen need in m3)</t>
  </si>
  <si>
    <t>For items not in model, suggestion on how to estimate</t>
  </si>
  <si>
    <t>Based on number per cluster size</t>
  </si>
  <si>
    <t>Co-ordination</t>
  </si>
  <si>
    <t>Area</t>
  </si>
  <si>
    <t>Activity</t>
  </si>
  <si>
    <t>Surveillance: find, test, isolate</t>
  </si>
  <si>
    <t>Based on cluster size</t>
  </si>
  <si>
    <t>Note - line item added by Beth to help with other quantification</t>
  </si>
  <si>
    <t>Number of lab tests run (testing suspected, mild, severe + critical)</t>
  </si>
  <si>
    <t>Number of lab tests run (testing essential only)</t>
  </si>
  <si>
    <t>Number of lab staff</t>
  </si>
  <si>
    <t>Based on # of lab technicians (row 40)</t>
  </si>
  <si>
    <t>Based on # of tests run (row39)</t>
  </si>
  <si>
    <t>Broken down by items below</t>
  </si>
  <si>
    <t>Number of HCWs for consultations with outpatients</t>
  </si>
  <si>
    <t>Based on # of HCWs for consultations in line 46</t>
  </si>
  <si>
    <t>Based on number of hospitals in row 51</t>
  </si>
  <si>
    <t>Based on ratio to # of nurses</t>
  </si>
  <si>
    <t>Based on total oxygen demand in row 70</t>
  </si>
  <si>
    <t>Based on assumptions for rows 79-82</t>
  </si>
  <si>
    <t>Based on # of mild facilties (e.g., 5 per facility?)</t>
  </si>
  <si>
    <t>Based on # of mild facilties (e.g., 2 per facility?)</t>
  </si>
  <si>
    <t>Based on # of mild facilties (e.g., 4 per facility?)</t>
  </si>
  <si>
    <t>Based on # of mild facilties (e.g., 1 per facility?)</t>
  </si>
  <si>
    <t>Based on number of ambulance drivers</t>
  </si>
  <si>
    <t>Based on number of ambulance drivers/ hospitals</t>
  </si>
  <si>
    <t>Severe and critical case management: provide safe and effective care</t>
  </si>
  <si>
    <t>Mild case management: provide safe and effective care</t>
  </si>
  <si>
    <t>Patient reference: provide safe and effective care</t>
  </si>
  <si>
    <t>Based on number of tests in line 35</t>
  </si>
  <si>
    <t>Based on  number of lab staff in line 36</t>
  </si>
  <si>
    <t>Cluster 100 cases</t>
  </si>
  <si>
    <t xml:space="preserve">Assumption input from Guillaume </t>
  </si>
  <si>
    <t>10,000 cases in 6 months</t>
  </si>
  <si>
    <t>All Suspected Cases</t>
  </si>
  <si>
    <t>Targeted</t>
  </si>
  <si>
    <t>Test all severe + critical, and high-risk suspected + mild only (10%)</t>
  </si>
  <si>
    <t>Testing Strategy: The user can input the testing strategy in-country:
     All Suspected Cases: Tests everyone suspected (suspected but negative, mild, severe, critical for COVID-19)
     Targeted: Tests all critical and severe cases and prioritized other presenting cases based on WHO guidance in link</t>
  </si>
  <si>
    <t>Severe and Critical</t>
  </si>
  <si>
    <t>Mild and Suspected</t>
  </si>
  <si>
    <t xml:space="preserve">     of which severe and critical</t>
  </si>
  <si>
    <t>Select 'Targeted' if testing is expected be limited; select 'All Suspected Cases' if looking to test all suspected to priorized testing as defined in link and severe/critical inpatients</t>
  </si>
  <si>
    <t>Total Tests</t>
  </si>
  <si>
    <t>Tests for diagnosis</t>
  </si>
  <si>
    <t>Tests to confirm negative for release (2 per crit/severe)</t>
  </si>
  <si>
    <t>Total number of tests</t>
  </si>
  <si>
    <t>Country income group</t>
  </si>
  <si>
    <t>Imperial college reported LIC average</t>
  </si>
  <si>
    <t>Imperial college reported HIC average</t>
  </si>
  <si>
    <t>Imperial college reported LMIC average</t>
  </si>
  <si>
    <t>Imperial college reported UMIC average</t>
  </si>
  <si>
    <t>Proxies to use if unknown for # of beds</t>
  </si>
  <si>
    <t>Proxies to use for % of beds that are ICU</t>
  </si>
  <si>
    <t>Imperial College reported % ICU beds</t>
  </si>
  <si>
    <t>% of beds that are ICU</t>
  </si>
  <si>
    <t>Enter '10' if unknown, no reported cases; value must be &gt;= 1</t>
  </si>
  <si>
    <t>Max # of weeks needed to forecast equipment (#)</t>
  </si>
  <si>
    <t>Enter the number of weeks you would like to forecast equipment (must be same or less than cell above)</t>
  </si>
  <si>
    <t>Based on projected patient numbers (automatically calculated) and delivery lead time</t>
  </si>
  <si>
    <t>Note that if selecting "Targeted" testing you may not be identifying all of your mild patients, therefore you will not be forecasting masks for patients that you never diagnose</t>
  </si>
  <si>
    <t>Severe cases</t>
  </si>
  <si>
    <t>Critical cases</t>
  </si>
  <si>
    <t>Number of hospital facilities required to treat cases (40 beds each)</t>
  </si>
  <si>
    <t>Severe patients in beds (capped by bed availability)</t>
  </si>
  <si>
    <t>Critical patients in beds (capped by bed availability)</t>
  </si>
  <si>
    <t>At peak occupancy, number of beds in use</t>
  </si>
  <si>
    <t>Clinical Chemistry Analyser, portable (PoC)</t>
  </si>
  <si>
    <t xml:space="preserve">Of the input hospital beds in your country, enter the % of HCWs in your country that could be used for COVID-19 response. If in doubt, use the % of ICU beds. </t>
  </si>
  <si>
    <t>Based on entered or calculated ICU beds</t>
  </si>
  <si>
    <t>Based on entered or WB estimated total beds</t>
  </si>
  <si>
    <t>Difference between total beds and ICU beds</t>
  </si>
  <si>
    <t>WHO COVID-19 Essential Supplies Forecasting Tool (COVID-ESFT) v1.1</t>
  </si>
  <si>
    <r>
      <rPr>
        <b/>
        <sz val="11"/>
        <color theme="1"/>
        <rFont val="Calibri"/>
        <family val="2"/>
        <scheme val="minor"/>
      </rPr>
      <t>Number of weeks to forecast equipment for (#):</t>
    </r>
    <r>
      <rPr>
        <sz val="11"/>
        <color theme="1"/>
        <rFont val="Calibri"/>
        <family val="2"/>
        <scheme val="minor"/>
      </rPr>
      <t xml:space="preserve"> Enter the number of week's worth of equipment to forecast (e.g., to forecast for three weeks out, enter 3). Note that this cannot be higher than the value in the "max weeks of equipment needed (#)" cell above</t>
    </r>
  </si>
  <si>
    <r>
      <t>Percent of Beds in country available for critical cases</t>
    </r>
    <r>
      <rPr>
        <sz val="11"/>
        <color theme="1"/>
        <rFont val="Calibri"/>
        <family val="2"/>
      </rPr>
      <t>: Here the user can input how many of the total hospital beds in the country will be allocated for critical COVID-19 patients. The % of beds that are ICU is indicated as a prompt.</t>
    </r>
  </si>
  <si>
    <t>Estimated total price</t>
  </si>
  <si>
    <t>Estimated unit price</t>
  </si>
  <si>
    <t>These prices are estimates only. Prices are rapidly evolving based on market fluctuations. Users can change the price/unit in blue cells.</t>
  </si>
  <si>
    <t>Estimated price/unit</t>
  </si>
  <si>
    <t>Note that usage currently set to 0</t>
  </si>
  <si>
    <t>This tab calculates the number of patients (mild, severe, critical, suspected but negative) each week. It is based on the assumptions in the PATIENT CALCS &gt;&gt;&gt; tabs.</t>
  </si>
  <si>
    <t>Note that more weeks may needed to be completed for full functionality - please complete until cumulative cases match (population size * clinical attack rate)</t>
  </si>
  <si>
    <t>WHO COVID-19 Essential Supplies Forecasting Tool (COVID-ESFT) v1.2</t>
  </si>
  <si>
    <t>v1.2 as of: March 30, 2020</t>
  </si>
  <si>
    <t>End week on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</si>
</sst>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quot;$&quot;* #,##0.00_);_(&quot;$&quot;* \(#,##0.00\);_(&quot;$&quot;* &quot;-&quot;??_);_(@_)"/>
    <numFmt numFmtId="43" formatCode="_(* #,##0.00_);_(* \(#,##0.00\);_(* &quot;-&quot;??_);_(@_)"/>
    <numFmt numFmtId="164" formatCode="_(* #,##0_);_(* \(#,##0\);_(* &quot;-&quot;??_);_(@_)"/>
    <numFmt numFmtId="165" formatCode="_-* #,##0.00_-;\-* #,##0.00_-;_-* &quot;-&quot;??_-;_-@_-"/>
    <numFmt numFmtId="166" formatCode="0.0"/>
    <numFmt numFmtId="167" formatCode="_(* #,##0.0_);_(* \(#,##0.0\);_(* &quot;-&quot;??_);_(@_)"/>
    <numFmt numFmtId="168" formatCode="_(\ #,##0_);_(* \(#,##0\);_(* &quot;-&quot;??_);_(@_)"/>
    <numFmt numFmtId="169" formatCode="_(\ #,##0.00_);_(* \(#,##0.00\);_(* &quot;-&quot;??_);_(@_)"/>
    <numFmt numFmtId="170" formatCode="_(&quot;$&quot;* #,##0_);_(&quot;$&quot;* \(#,##0\);_(&quot;$&quot;* &quot;-&quot;??_);_(@_)"/>
    <numFmt numFmtId="171" formatCode="&quot;$&quot;#,##0"/>
    <numFmt numFmtId="172" formatCode="0.0%"/>
    <numFmt numFmtId="173" formatCode="_(* #,##0.000_);_(* \(#,##0.000\);_(* &quot;-&quot;??_);_(@_)"/>
  </numFmts>
  <fonts count="70" x14ac:knownFonts="1">
    <font>
      <sz val="11"/>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10"/>
      <name val="MS Sans Serif"/>
      <family val="2"/>
    </font>
    <font>
      <b/>
      <sz val="11"/>
      <color theme="0"/>
      <name val="Calibri"/>
      <family val="2"/>
      <scheme val="minor"/>
    </font>
    <font>
      <b/>
      <sz val="11"/>
      <color theme="1"/>
      <name val="Calibri"/>
      <family val="2"/>
      <scheme val="minor"/>
    </font>
    <font>
      <sz val="12"/>
      <color theme="1"/>
      <name val="Calibri"/>
      <family val="2"/>
      <scheme val="minor"/>
    </font>
    <font>
      <sz val="11"/>
      <color rgb="FF3F3F76"/>
      <name val="Calibri"/>
      <family val="2"/>
      <scheme val="minor"/>
    </font>
    <font>
      <sz val="10"/>
      <color rgb="FF000000"/>
      <name val="Arial"/>
      <family val="2"/>
    </font>
    <font>
      <b/>
      <sz val="11"/>
      <color rgb="FF3F3F76"/>
      <name val="Calibri"/>
      <family val="2"/>
      <scheme val="minor"/>
    </font>
    <font>
      <sz val="10"/>
      <name val="Arial"/>
      <family val="2"/>
    </font>
    <font>
      <i/>
      <sz val="11"/>
      <color theme="1"/>
      <name val="Calibri"/>
      <family val="2"/>
      <scheme val="minor"/>
    </font>
    <font>
      <sz val="11"/>
      <color theme="0"/>
      <name val="Calibri"/>
      <family val="2"/>
      <scheme val="minor"/>
    </font>
    <font>
      <b/>
      <sz val="12"/>
      <color theme="1"/>
      <name val="Calibri"/>
      <family val="2"/>
      <scheme val="minor"/>
    </font>
    <font>
      <b/>
      <sz val="11"/>
      <name val="Calibri"/>
      <family val="2"/>
      <scheme val="minor"/>
    </font>
    <font>
      <b/>
      <sz val="16"/>
      <color theme="0"/>
      <name val="Calibri"/>
      <family val="2"/>
      <scheme val="minor"/>
    </font>
    <font>
      <sz val="9"/>
      <color indexed="81"/>
      <name val="Tahoma"/>
      <family val="2"/>
    </font>
    <font>
      <b/>
      <sz val="9"/>
      <color indexed="81"/>
      <name val="Tahoma"/>
      <family val="2"/>
    </font>
    <font>
      <b/>
      <u/>
      <sz val="11"/>
      <color theme="1"/>
      <name val="Calibri"/>
      <family val="2"/>
      <scheme val="minor"/>
    </font>
    <font>
      <b/>
      <sz val="11"/>
      <color rgb="FFFF0000"/>
      <name val="Calibri"/>
      <family val="2"/>
      <scheme val="minor"/>
    </font>
    <font>
      <b/>
      <sz val="14"/>
      <color theme="1"/>
      <name val="Calibri"/>
      <family val="2"/>
      <scheme val="minor"/>
    </font>
    <font>
      <sz val="8"/>
      <name val="Calibri"/>
      <family val="2"/>
      <scheme val="minor"/>
    </font>
    <font>
      <b/>
      <i/>
      <sz val="11"/>
      <color theme="1"/>
      <name val="Calibri"/>
      <family val="2"/>
      <scheme val="minor"/>
    </font>
    <font>
      <b/>
      <sz val="14"/>
      <color theme="0"/>
      <name val="Calibri"/>
      <family val="2"/>
      <scheme val="minor"/>
    </font>
    <font>
      <sz val="11"/>
      <color theme="0" tint="-0.34998626667073579"/>
      <name val="Calibri"/>
      <family val="2"/>
      <scheme val="minor"/>
    </font>
    <font>
      <sz val="10"/>
      <name val="Arial"/>
      <family val="2"/>
    </font>
    <font>
      <b/>
      <sz val="10"/>
      <name val="Arial"/>
      <family val="2"/>
    </font>
    <font>
      <b/>
      <u/>
      <sz val="11"/>
      <color theme="0" tint="-0.34998626667073579"/>
      <name val="Calibri"/>
      <family val="2"/>
      <scheme val="minor"/>
    </font>
    <font>
      <b/>
      <sz val="11"/>
      <color theme="0" tint="-0.34998626667073579"/>
      <name val="Calibri"/>
      <family val="2"/>
      <scheme val="minor"/>
    </font>
    <font>
      <b/>
      <sz val="24"/>
      <color theme="0"/>
      <name val="Calibri"/>
      <family val="2"/>
      <scheme val="minor"/>
    </font>
    <font>
      <sz val="11"/>
      <color theme="1"/>
      <name val="Calibri"/>
      <family val="2"/>
    </font>
    <font>
      <b/>
      <sz val="11"/>
      <color theme="1"/>
      <name val="Calibri"/>
      <family val="2"/>
    </font>
    <font>
      <b/>
      <sz val="13"/>
      <color theme="1"/>
      <name val="Calibri"/>
      <family val="2"/>
      <scheme val="minor"/>
    </font>
    <font>
      <b/>
      <i/>
      <sz val="11"/>
      <color theme="1"/>
      <name val="Calibri"/>
      <family val="2"/>
    </font>
    <font>
      <b/>
      <sz val="12"/>
      <color theme="0"/>
      <name val="Calibri"/>
      <family val="2"/>
      <scheme val="minor"/>
    </font>
    <font>
      <b/>
      <u/>
      <sz val="11"/>
      <color theme="1"/>
      <name val="Calibri"/>
      <family val="2"/>
    </font>
    <font>
      <b/>
      <i/>
      <sz val="10"/>
      <color rgb="FFC00000"/>
      <name val="Calibri"/>
      <family val="2"/>
      <scheme val="minor"/>
    </font>
    <font>
      <u/>
      <sz val="11"/>
      <color theme="1"/>
      <name val="Calibri"/>
      <family val="2"/>
    </font>
    <font>
      <u/>
      <sz val="11"/>
      <color theme="1"/>
      <name val="Calibri"/>
      <family val="2"/>
      <scheme val="minor"/>
    </font>
    <font>
      <b/>
      <i/>
      <sz val="12"/>
      <color theme="0"/>
      <name val="Calibri"/>
      <family val="2"/>
      <scheme val="minor"/>
    </font>
    <font>
      <sz val="10"/>
      <color theme="1"/>
      <name val="Calibri"/>
      <family val="2"/>
      <scheme val="minor"/>
    </font>
    <font>
      <u/>
      <sz val="10"/>
      <name val="Arial"/>
      <family val="2"/>
    </font>
    <font>
      <b/>
      <u/>
      <sz val="11"/>
      <name val="Calibri"/>
      <family val="2"/>
      <scheme val="minor"/>
    </font>
    <font>
      <b/>
      <sz val="10"/>
      <color theme="1"/>
      <name val="Calibri"/>
      <family val="2"/>
      <scheme val="minor"/>
    </font>
    <font>
      <sz val="11"/>
      <color theme="2" tint="-0.499984740745262"/>
      <name val="Calibri"/>
      <family val="2"/>
      <scheme val="minor"/>
    </font>
    <font>
      <b/>
      <i/>
      <sz val="14"/>
      <color theme="8" tint="-0.499984740745262"/>
      <name val="Calibri"/>
      <family val="2"/>
      <scheme val="minor"/>
    </font>
    <font>
      <i/>
      <sz val="11"/>
      <color theme="1"/>
      <name val="Calibri"/>
      <family val="2"/>
    </font>
    <font>
      <b/>
      <sz val="6"/>
      <color theme="1"/>
      <name val="Calibri"/>
      <family val="2"/>
      <scheme val="minor"/>
    </font>
    <font>
      <sz val="6"/>
      <color theme="1"/>
      <name val="Calibri"/>
      <family val="2"/>
      <scheme val="minor"/>
    </font>
    <font>
      <sz val="6"/>
      <name val="Arial"/>
      <family val="2"/>
    </font>
    <font>
      <sz val="6"/>
      <color rgb="FFFF0000"/>
      <name val="Calibri"/>
      <family val="2"/>
      <scheme val="minor"/>
    </font>
    <font>
      <b/>
      <sz val="6"/>
      <color rgb="FFFF0000"/>
      <name val="Calibri"/>
      <family val="2"/>
      <scheme val="minor"/>
    </font>
    <font>
      <b/>
      <sz val="10"/>
      <name val="Calibri"/>
      <family val="2"/>
      <scheme val="minor"/>
    </font>
    <font>
      <sz val="10"/>
      <name val="Calibri"/>
      <family val="2"/>
      <scheme val="minor"/>
    </font>
    <font>
      <u/>
      <sz val="11"/>
      <color theme="10"/>
      <name val="Calibri"/>
      <family val="2"/>
      <scheme val="minor"/>
    </font>
    <font>
      <b/>
      <sz val="11"/>
      <name val="Arial"/>
      <family val="2"/>
    </font>
    <font>
      <b/>
      <u/>
      <sz val="11"/>
      <color indexed="12"/>
      <name val="Arial"/>
      <family val="2"/>
    </font>
    <font>
      <b/>
      <u/>
      <sz val="11"/>
      <color indexed="12"/>
      <name val="Calibri"/>
      <family val="2"/>
      <scheme val="minor"/>
    </font>
    <font>
      <i/>
      <sz val="11"/>
      <color theme="0"/>
      <name val="Calibri"/>
      <family val="2"/>
      <scheme val="minor"/>
    </font>
    <font>
      <sz val="11"/>
      <color theme="1" tint="4.9989318521683403E-2"/>
      <name val="Calibri"/>
      <family val="2"/>
      <scheme val="minor"/>
    </font>
    <font>
      <b/>
      <sz val="11"/>
      <color theme="1" tint="4.9989318521683403E-2"/>
      <name val="Calibri"/>
      <family val="2"/>
      <scheme val="minor"/>
    </font>
    <font>
      <sz val="8"/>
      <color theme="1"/>
      <name val="Calibri"/>
      <family val="2"/>
      <scheme val="minor"/>
    </font>
    <font>
      <b/>
      <sz val="10"/>
      <color theme="1"/>
      <name val="Arial"/>
      <family val="2"/>
    </font>
    <font>
      <sz val="10"/>
      <color theme="1"/>
      <name val="Arial"/>
      <family val="2"/>
    </font>
    <font>
      <b/>
      <sz val="11"/>
      <color theme="0"/>
      <name val="Calibri"/>
      <family val="2"/>
    </font>
    <font>
      <i/>
      <sz val="11"/>
      <name val="Calibri"/>
      <family val="2"/>
      <scheme val="minor"/>
    </font>
    <font>
      <b/>
      <i/>
      <sz val="11"/>
      <name val="Calibri"/>
      <family val="2"/>
      <scheme val="minor"/>
    </font>
    <font>
      <b/>
      <sz val="11"/>
      <color rgb="FFC00000"/>
      <name val="Calibri"/>
      <family val="2"/>
      <scheme val="minor"/>
    </font>
  </fonts>
  <fills count="29">
    <fill>
      <patternFill patternType="none"/>
    </fill>
    <fill>
      <patternFill patternType="gray125"/>
    </fill>
    <fill>
      <patternFill patternType="solid">
        <fgColor rgb="FFFFCC99"/>
      </patternFill>
    </fill>
    <fill>
      <patternFill patternType="solid">
        <fgColor rgb="FF1E7FB8"/>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2"/>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4" tint="0.79998168889431442"/>
        <bgColor theme="4" tint="0.79998168889431442"/>
      </patternFill>
    </fill>
    <fill>
      <patternFill patternType="solid">
        <fgColor theme="4"/>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rgb="FF00206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7" tint="0.79998168889431442"/>
        <bgColor indexed="64"/>
      </patternFill>
    </fill>
    <fill>
      <patternFill patternType="solid">
        <fgColor theme="9" tint="0.79998168889431442"/>
        <bgColor indexed="64"/>
      </patternFill>
    </fill>
  </fills>
  <borders count="75">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diagonal/>
    </border>
    <border>
      <left/>
      <right/>
      <top style="thin">
        <color auto="1"/>
      </top>
      <bottom style="thin">
        <color auto="1"/>
      </bottom>
      <diagonal/>
    </border>
    <border>
      <left style="thin">
        <color auto="1"/>
      </left>
      <right style="medium">
        <color indexed="64"/>
      </right>
      <top style="thin">
        <color auto="1"/>
      </top>
      <bottom style="thin">
        <color auto="1"/>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medium">
        <color indexed="64"/>
      </right>
      <top style="thin">
        <color auto="1"/>
      </top>
      <bottom/>
      <diagonal/>
    </border>
    <border>
      <left style="thin">
        <color auto="1"/>
      </left>
      <right/>
      <top style="medium">
        <color indexed="64"/>
      </top>
      <bottom style="thin">
        <color auto="1"/>
      </bottom>
      <diagonal/>
    </border>
    <border>
      <left style="medium">
        <color indexed="64"/>
      </left>
      <right style="thin">
        <color auto="1"/>
      </right>
      <top style="thin">
        <color auto="1"/>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tint="0.499984740745262"/>
      </left>
      <right/>
      <top/>
      <bottom/>
      <diagonal/>
    </border>
    <border>
      <left/>
      <right style="thin">
        <color theme="1" tint="0.499984740745262"/>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style="thin">
        <color indexed="64"/>
      </left>
      <right style="thin">
        <color indexed="64"/>
      </right>
      <top style="thin">
        <color theme="4" tint="0.39997558519241921"/>
      </top>
      <bottom style="thin">
        <color indexed="64"/>
      </bottom>
      <diagonal/>
    </border>
    <border>
      <left style="thin">
        <color indexed="64"/>
      </left>
      <right style="medium">
        <color indexed="64"/>
      </right>
      <top style="thin">
        <color theme="4" tint="0.39997558519241921"/>
      </top>
      <bottom style="thin">
        <color indexed="64"/>
      </bottom>
      <diagonal/>
    </border>
    <border>
      <left/>
      <right/>
      <top/>
      <bottom style="medium">
        <color indexed="64"/>
      </bottom>
      <diagonal/>
    </border>
    <border>
      <left style="thin">
        <color indexed="64"/>
      </left>
      <right style="thin">
        <color indexed="64"/>
      </right>
      <top style="thin">
        <color theme="4" tint="0.39997558519241921"/>
      </top>
      <bottom style="medium">
        <color indexed="64"/>
      </bottom>
      <diagonal/>
    </border>
    <border>
      <left style="thin">
        <color indexed="64"/>
      </left>
      <right/>
      <top style="thin">
        <color theme="4" tint="0.39997558519241921"/>
      </top>
      <bottom style="medium">
        <color indexed="64"/>
      </bottom>
      <diagonal/>
    </border>
    <border>
      <left style="thin">
        <color indexed="64"/>
      </left>
      <right style="medium">
        <color indexed="64"/>
      </right>
      <top style="thin">
        <color theme="4" tint="0.39997558519241921"/>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auto="1"/>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top/>
      <bottom style="medium">
        <color theme="2" tint="-0.249977111117893"/>
      </bottom>
      <diagonal/>
    </border>
    <border>
      <left style="medium">
        <color indexed="64"/>
      </left>
      <right style="thin">
        <color auto="1"/>
      </right>
      <top style="thin">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auto="1"/>
      </right>
      <top/>
      <bottom style="thin">
        <color auto="1"/>
      </bottom>
      <diagonal/>
    </border>
    <border>
      <left/>
      <right/>
      <top style="medium">
        <color indexed="64"/>
      </top>
      <bottom style="thin">
        <color auto="1"/>
      </bottom>
      <diagonal/>
    </border>
  </borders>
  <cellStyleXfs count="22">
    <xf numFmtId="0" fontId="0" fillId="0" borderId="0"/>
    <xf numFmtId="43" fontId="2" fillId="0" borderId="0" applyFont="0" applyFill="0" applyBorder="0" applyAlignment="0" applyProtection="0"/>
    <xf numFmtId="0" fontId="5" fillId="0" borderId="0"/>
    <xf numFmtId="165" fontId="5" fillId="0" borderId="0" applyFont="0" applyFill="0" applyBorder="0" applyAlignment="0" applyProtection="0"/>
    <xf numFmtId="0" fontId="8" fillId="0" borderId="0"/>
    <xf numFmtId="0" fontId="9" fillId="2" borderId="11" applyNumberFormat="0" applyAlignment="0" applyProtection="0"/>
    <xf numFmtId="0" fontId="10" fillId="0" borderId="0"/>
    <xf numFmtId="0" fontId="2" fillId="0" borderId="0"/>
    <xf numFmtId="9" fontId="2" fillId="0" borderId="0" applyFont="0" applyFill="0" applyBorder="0" applyAlignment="0" applyProtection="0"/>
    <xf numFmtId="43" fontId="10" fillId="0" borderId="0" applyFont="0" applyFill="0" applyBorder="0" applyAlignment="0" applyProtection="0"/>
    <xf numFmtId="0" fontId="2" fillId="0" borderId="0"/>
    <xf numFmtId="0" fontId="27" fillId="0" borderId="0"/>
    <xf numFmtId="43" fontId="27" fillId="0" borderId="0" applyFont="0" applyFill="0" applyBorder="0" applyAlignment="0" applyProtection="0"/>
    <xf numFmtId="0" fontId="1" fillId="0" borderId="0"/>
    <xf numFmtId="0" fontId="2" fillId="0" borderId="0"/>
    <xf numFmtId="0" fontId="56" fillId="0" borderId="0" applyNumberFormat="0" applyFill="0" applyBorder="0" applyAlignment="0" applyProtection="0"/>
    <xf numFmtId="0" fontId="12" fillId="0" borderId="0">
      <alignment vertical="top"/>
    </xf>
    <xf numFmtId="0" fontId="12" fillId="0" borderId="1">
      <alignment vertical="top"/>
    </xf>
    <xf numFmtId="0" fontId="57" fillId="0" borderId="68">
      <alignment vertical="top" wrapText="1"/>
    </xf>
    <xf numFmtId="0" fontId="58" fillId="0" borderId="68">
      <alignment vertical="top" wrapText="1"/>
    </xf>
    <xf numFmtId="0" fontId="12" fillId="0" borderId="0"/>
    <xf numFmtId="44" fontId="2" fillId="0" borderId="0" applyFont="0" applyFill="0" applyBorder="0" applyAlignment="0" applyProtection="0"/>
  </cellStyleXfs>
  <cellXfs count="762">
    <xf numFmtId="0" fontId="0" fillId="0" borderId="0" xfId="0"/>
    <xf numFmtId="0" fontId="0" fillId="0" borderId="0" xfId="0" applyAlignment="1">
      <alignment wrapText="1"/>
    </xf>
    <xf numFmtId="1" fontId="0" fillId="0" borderId="0" xfId="0" applyNumberFormat="1"/>
    <xf numFmtId="0" fontId="0" fillId="0" borderId="0" xfId="0" applyFont="1" applyFill="1"/>
    <xf numFmtId="0" fontId="7" fillId="0" borderId="0" xfId="0" applyFont="1"/>
    <xf numFmtId="0" fontId="0" fillId="0" borderId="5" xfId="0" applyBorder="1"/>
    <xf numFmtId="0" fontId="0" fillId="0" borderId="0" xfId="0" applyFont="1"/>
    <xf numFmtId="0" fontId="0" fillId="0" borderId="0" xfId="0" applyBorder="1"/>
    <xf numFmtId="0" fontId="0" fillId="0" borderId="0" xfId="0" applyFill="1"/>
    <xf numFmtId="0" fontId="0" fillId="0" borderId="0" xfId="0" applyFill="1" applyBorder="1"/>
    <xf numFmtId="0" fontId="20" fillId="0" borderId="0" xfId="0" applyFont="1"/>
    <xf numFmtId="0" fontId="14" fillId="0" borderId="0" xfId="0" applyFont="1"/>
    <xf numFmtId="0" fontId="0" fillId="6" borderId="0" xfId="0" applyFill="1"/>
    <xf numFmtId="0" fontId="0" fillId="8" borderId="0" xfId="0" applyFill="1"/>
    <xf numFmtId="0" fontId="0" fillId="10" borderId="0" xfId="0" applyFill="1"/>
    <xf numFmtId="0" fontId="7" fillId="7" borderId="0" xfId="0" applyFont="1" applyFill="1"/>
    <xf numFmtId="0" fontId="0" fillId="7" borderId="0" xfId="0" applyFill="1"/>
    <xf numFmtId="0" fontId="11" fillId="0" borderId="0" xfId="5" applyFont="1" applyFill="1" applyBorder="1" applyAlignment="1" applyProtection="1">
      <alignment horizontal="center" vertical="center" wrapText="1"/>
      <protection locked="0"/>
    </xf>
    <xf numFmtId="0" fontId="3" fillId="0" borderId="0" xfId="0" applyFont="1"/>
    <xf numFmtId="0" fontId="7" fillId="11" borderId="0" xfId="0" applyFont="1" applyFill="1"/>
    <xf numFmtId="0" fontId="7" fillId="11" borderId="0" xfId="5" applyFont="1" applyFill="1" applyBorder="1" applyAlignment="1" applyProtection="1">
      <alignment horizontal="center" vertical="center" wrapText="1"/>
      <protection locked="0"/>
    </xf>
    <xf numFmtId="0" fontId="0" fillId="11" borderId="0" xfId="0" applyFill="1"/>
    <xf numFmtId="0" fontId="11" fillId="11" borderId="0" xfId="5" applyFont="1" applyFill="1" applyBorder="1" applyAlignment="1" applyProtection="1">
      <alignment vertical="center"/>
      <protection locked="0"/>
    </xf>
    <xf numFmtId="0" fontId="11" fillId="11" borderId="0" xfId="5" applyFont="1" applyFill="1" applyBorder="1" applyAlignment="1" applyProtection="1">
      <alignment horizontal="center" vertical="center" wrapText="1"/>
      <protection locked="0"/>
    </xf>
    <xf numFmtId="1" fontId="16" fillId="0" borderId="15" xfId="8" applyNumberFormat="1" applyFont="1" applyFill="1" applyBorder="1" applyAlignment="1">
      <alignment horizontal="center"/>
    </xf>
    <xf numFmtId="0" fontId="11" fillId="0" borderId="0" xfId="5" applyFont="1" applyFill="1" applyBorder="1" applyAlignment="1" applyProtection="1">
      <alignment vertical="center"/>
      <protection locked="0"/>
    </xf>
    <xf numFmtId="0" fontId="7" fillId="0" borderId="15" xfId="5" applyFont="1" applyFill="1" applyBorder="1" applyAlignment="1" applyProtection="1">
      <alignment horizontal="center" vertical="center" wrapText="1"/>
      <protection locked="0"/>
    </xf>
    <xf numFmtId="0" fontId="7" fillId="0" borderId="15" xfId="0" applyFont="1" applyFill="1" applyBorder="1"/>
    <xf numFmtId="0" fontId="7" fillId="0" borderId="15" xfId="0" applyFont="1" applyBorder="1"/>
    <xf numFmtId="0" fontId="22" fillId="9" borderId="0" xfId="0" applyFont="1" applyFill="1"/>
    <xf numFmtId="0" fontId="7" fillId="0" borderId="0" xfId="0" applyFont="1" applyBorder="1"/>
    <xf numFmtId="0" fontId="13" fillId="0" borderId="0" xfId="0" applyFont="1"/>
    <xf numFmtId="0" fontId="7" fillId="0" borderId="15" xfId="0" applyFont="1" applyBorder="1" applyAlignment="1">
      <alignment horizontal="center"/>
    </xf>
    <xf numFmtId="0" fontId="3" fillId="0" borderId="0" xfId="0" applyFont="1" applyFill="1"/>
    <xf numFmtId="0" fontId="0" fillId="0" borderId="0" xfId="0" applyBorder="1" applyAlignment="1">
      <alignment horizontal="left" vertical="center"/>
    </xf>
    <xf numFmtId="0" fontId="21" fillId="0" borderId="0" xfId="0" applyFont="1" applyFill="1"/>
    <xf numFmtId="0" fontId="21" fillId="0" borderId="0" xfId="5" applyFont="1" applyFill="1" applyBorder="1" applyAlignment="1" applyProtection="1">
      <alignment vertical="center"/>
      <protection locked="0"/>
    </xf>
    <xf numFmtId="0" fontId="21" fillId="0" borderId="0" xfId="5" applyFont="1" applyFill="1" applyBorder="1" applyAlignment="1" applyProtection="1">
      <alignment horizontal="center" vertical="center" wrapText="1"/>
      <protection locked="0"/>
    </xf>
    <xf numFmtId="164" fontId="0" fillId="10" borderId="0" xfId="0" applyNumberFormat="1" applyFill="1"/>
    <xf numFmtId="164" fontId="0" fillId="10" borderId="0" xfId="1" applyNumberFormat="1" applyFont="1" applyFill="1"/>
    <xf numFmtId="0" fontId="7" fillId="0" borderId="0" xfId="0" applyFont="1" applyFill="1" applyBorder="1"/>
    <xf numFmtId="0" fontId="0" fillId="0" borderId="0" xfId="0" applyFill="1" applyBorder="1" applyAlignment="1">
      <alignment horizontal="left" vertical="center"/>
    </xf>
    <xf numFmtId="0" fontId="7" fillId="0" borderId="25" xfId="0" applyFont="1" applyBorder="1" applyAlignment="1">
      <alignment horizontal="center"/>
    </xf>
    <xf numFmtId="0" fontId="0" fillId="11" borderId="3" xfId="0" applyFill="1" applyBorder="1"/>
    <xf numFmtId="0" fontId="0" fillId="11" borderId="15" xfId="0" applyFill="1" applyBorder="1"/>
    <xf numFmtId="0" fontId="0" fillId="0" borderId="4" xfId="0" applyBorder="1" applyAlignment="1">
      <alignment horizontal="left" indent="1"/>
    </xf>
    <xf numFmtId="0" fontId="0" fillId="11" borderId="19" xfId="0" applyFill="1" applyBorder="1" applyAlignment="1">
      <alignment horizontal="center"/>
    </xf>
    <xf numFmtId="0" fontId="0" fillId="4" borderId="3" xfId="0" applyFill="1" applyBorder="1"/>
    <xf numFmtId="0" fontId="0" fillId="4" borderId="15" xfId="0" applyFill="1" applyBorder="1"/>
    <xf numFmtId="0" fontId="7" fillId="11" borderId="1" xfId="0" applyFont="1" applyFill="1" applyBorder="1"/>
    <xf numFmtId="0" fontId="24" fillId="4" borderId="1" xfId="0" applyFont="1" applyFill="1" applyBorder="1"/>
    <xf numFmtId="0" fontId="0" fillId="0" borderId="1" xfId="0" applyBorder="1" applyAlignment="1">
      <alignment horizontal="left" vertical="center" wrapText="1" indent="1"/>
    </xf>
    <xf numFmtId="0" fontId="0" fillId="0" borderId="4" xfId="0" applyBorder="1" applyAlignment="1">
      <alignment horizontal="left" vertical="center" wrapText="1" indent="1"/>
    </xf>
    <xf numFmtId="0" fontId="0" fillId="0" borderId="27" xfId="0" applyBorder="1" applyAlignment="1">
      <alignment horizontal="left" vertical="center" wrapText="1" indent="1"/>
    </xf>
    <xf numFmtId="0" fontId="7" fillId="11" borderId="34" xfId="0" applyFont="1" applyFill="1" applyBorder="1"/>
    <xf numFmtId="0" fontId="0" fillId="0" borderId="1" xfId="0" applyBorder="1" applyAlignment="1">
      <alignment horizontal="left" indent="1"/>
    </xf>
    <xf numFmtId="0" fontId="7" fillId="0" borderId="26" xfId="0" applyFont="1" applyBorder="1" applyAlignment="1">
      <alignment horizontal="center"/>
    </xf>
    <xf numFmtId="0" fontId="0" fillId="11" borderId="32" xfId="0" applyFill="1" applyBorder="1" applyAlignment="1">
      <alignment horizontal="center"/>
    </xf>
    <xf numFmtId="0" fontId="7" fillId="0" borderId="3" xfId="0" applyFont="1" applyBorder="1" applyAlignment="1">
      <alignment horizontal="center"/>
    </xf>
    <xf numFmtId="0" fontId="0" fillId="0" borderId="7" xfId="0" applyBorder="1" applyAlignment="1">
      <alignment horizontal="left" indent="1"/>
    </xf>
    <xf numFmtId="0" fontId="7" fillId="0" borderId="24" xfId="0" applyFont="1" applyBorder="1" applyAlignment="1">
      <alignment horizontal="left" vertical="center"/>
    </xf>
    <xf numFmtId="0" fontId="7" fillId="0" borderId="7" xfId="0" applyFont="1" applyBorder="1" applyAlignment="1">
      <alignment horizontal="left" vertical="center"/>
    </xf>
    <xf numFmtId="0" fontId="0" fillId="0" borderId="0" xfId="0" applyFont="1" applyFill="1" applyBorder="1" applyAlignment="1">
      <alignment horizontal="center"/>
    </xf>
    <xf numFmtId="0" fontId="0" fillId="13" borderId="0" xfId="0" applyFill="1"/>
    <xf numFmtId="0" fontId="7" fillId="13" borderId="0" xfId="0" applyFont="1" applyFill="1"/>
    <xf numFmtId="0" fontId="0" fillId="14" borderId="0" xfId="0" applyFill="1"/>
    <xf numFmtId="0" fontId="7" fillId="14" borderId="0" xfId="0" applyFont="1" applyFill="1"/>
    <xf numFmtId="164" fontId="0" fillId="14" borderId="0" xfId="1" applyNumberFormat="1" applyFont="1" applyFill="1"/>
    <xf numFmtId="1" fontId="0" fillId="14" borderId="0" xfId="0" applyNumberFormat="1" applyFill="1"/>
    <xf numFmtId="0" fontId="13" fillId="14" borderId="0" xfId="0" applyFont="1" applyFill="1"/>
    <xf numFmtId="1" fontId="0" fillId="11" borderId="2" xfId="0" applyNumberFormat="1" applyFont="1" applyFill="1" applyBorder="1" applyAlignment="1">
      <alignment horizontal="center" vertical="center"/>
    </xf>
    <xf numFmtId="0" fontId="7" fillId="16" borderId="25" xfId="0" applyFont="1" applyFill="1" applyBorder="1" applyAlignment="1">
      <alignment horizontal="center"/>
    </xf>
    <xf numFmtId="0" fontId="0" fillId="0" borderId="0" xfId="0" applyFont="1" applyAlignment="1">
      <alignment wrapText="1"/>
    </xf>
    <xf numFmtId="0" fontId="25" fillId="17" borderId="0" xfId="0" applyFont="1" applyFill="1"/>
    <xf numFmtId="0" fontId="25" fillId="17" borderId="0" xfId="0" applyFont="1" applyFill="1" applyAlignment="1">
      <alignment wrapText="1"/>
    </xf>
    <xf numFmtId="0" fontId="0" fillId="18" borderId="0" xfId="0" applyFill="1"/>
    <xf numFmtId="0" fontId="0" fillId="18" borderId="0" xfId="0" applyFill="1" applyAlignment="1">
      <alignment wrapText="1"/>
    </xf>
    <xf numFmtId="0" fontId="7" fillId="0" borderId="0" xfId="0" applyFont="1" applyAlignment="1">
      <alignment wrapText="1"/>
    </xf>
    <xf numFmtId="164" fontId="0" fillId="0" borderId="0" xfId="1" applyNumberFormat="1" applyFont="1"/>
    <xf numFmtId="164" fontId="0" fillId="0" borderId="0" xfId="0" applyNumberFormat="1"/>
    <xf numFmtId="164" fontId="0" fillId="0" borderId="0" xfId="1" applyNumberFormat="1" applyFont="1" applyFill="1"/>
    <xf numFmtId="0" fontId="13" fillId="0" borderId="0" xfId="0" applyFont="1" applyFill="1"/>
    <xf numFmtId="1" fontId="0" fillId="0" borderId="0" xfId="0" applyNumberFormat="1" applyFill="1"/>
    <xf numFmtId="0" fontId="0" fillId="9" borderId="0" xfId="0" applyFill="1"/>
    <xf numFmtId="43" fontId="0" fillId="0" borderId="0" xfId="0" applyNumberFormat="1"/>
    <xf numFmtId="164" fontId="0" fillId="6" borderId="0" xfId="1" applyNumberFormat="1" applyFont="1" applyFill="1"/>
    <xf numFmtId="164" fontId="13" fillId="10" borderId="0" xfId="1" applyNumberFormat="1" applyFont="1" applyFill="1"/>
    <xf numFmtId="0" fontId="0" fillId="0" borderId="4" xfId="0" applyBorder="1" applyAlignment="1">
      <alignment horizontal="left" indent="1"/>
    </xf>
    <xf numFmtId="0" fontId="28" fillId="0" borderId="0" xfId="11" applyFont="1"/>
    <xf numFmtId="0" fontId="27" fillId="0" borderId="0" xfId="11"/>
    <xf numFmtId="0" fontId="27" fillId="0" borderId="0" xfId="11" applyAlignment="1">
      <alignment horizontal="center"/>
    </xf>
    <xf numFmtId="0" fontId="12" fillId="0" borderId="0" xfId="11" applyFont="1"/>
    <xf numFmtId="164" fontId="27" fillId="0" borderId="0" xfId="11" applyNumberFormat="1"/>
    <xf numFmtId="43" fontId="27" fillId="0" borderId="0" xfId="11" applyNumberFormat="1"/>
    <xf numFmtId="167" fontId="27" fillId="0" borderId="0" xfId="11" applyNumberFormat="1"/>
    <xf numFmtId="164" fontId="12" fillId="0" borderId="0" xfId="11" applyNumberFormat="1" applyFont="1" applyFill="1"/>
    <xf numFmtId="167" fontId="27" fillId="0" borderId="0" xfId="11" applyNumberFormat="1" applyFill="1"/>
    <xf numFmtId="167" fontId="12" fillId="0" borderId="0" xfId="11" applyNumberFormat="1" applyFont="1" applyFill="1"/>
    <xf numFmtId="0" fontId="27" fillId="0" borderId="0" xfId="11" applyFill="1" applyBorder="1"/>
    <xf numFmtId="43" fontId="27" fillId="0" borderId="0" xfId="11" applyNumberFormat="1" applyFill="1" applyBorder="1"/>
    <xf numFmtId="164" fontId="27" fillId="0" borderId="0" xfId="11" applyNumberFormat="1" applyFill="1"/>
    <xf numFmtId="0" fontId="30" fillId="5" borderId="0" xfId="0" applyFont="1" applyFill="1"/>
    <xf numFmtId="164" fontId="27" fillId="0" borderId="0" xfId="11" applyNumberFormat="1" applyFill="1" applyBorder="1"/>
    <xf numFmtId="167" fontId="27" fillId="0" borderId="0" xfId="11" applyNumberFormat="1" applyFill="1" applyBorder="1"/>
    <xf numFmtId="167" fontId="12" fillId="0" borderId="0" xfId="11" applyNumberFormat="1" applyFont="1" applyFill="1" applyBorder="1"/>
    <xf numFmtId="0" fontId="7" fillId="0" borderId="0" xfId="0" applyFont="1" applyBorder="1" applyAlignment="1">
      <alignment horizontal="left" vertical="center"/>
    </xf>
    <xf numFmtId="0" fontId="7" fillId="11" borderId="15" xfId="0" applyFont="1" applyFill="1" applyBorder="1"/>
    <xf numFmtId="0" fontId="24" fillId="4" borderId="15" xfId="0" applyFont="1" applyFill="1" applyBorder="1"/>
    <xf numFmtId="0" fontId="0" fillId="0" borderId="7" xfId="0" applyBorder="1" applyAlignment="1">
      <alignment horizontal="left" vertical="center" wrapText="1" indent="1"/>
    </xf>
    <xf numFmtId="0" fontId="0" fillId="0" borderId="6" xfId="0" applyBorder="1" applyAlignment="1">
      <alignment horizontal="left" vertical="center" wrapText="1" indent="1"/>
    </xf>
    <xf numFmtId="164" fontId="0" fillId="10" borderId="2" xfId="1" applyNumberFormat="1" applyFont="1" applyFill="1" applyBorder="1" applyAlignment="1">
      <alignment horizontal="center" vertical="center"/>
    </xf>
    <xf numFmtId="1" fontId="0" fillId="10" borderId="2" xfId="0" applyNumberFormat="1" applyFill="1" applyBorder="1" applyAlignment="1">
      <alignment horizontal="center"/>
    </xf>
    <xf numFmtId="0" fontId="28" fillId="0" borderId="0" xfId="11" applyFont="1" applyFill="1" applyBorder="1"/>
    <xf numFmtId="0" fontId="27" fillId="0" borderId="0" xfId="11" applyFill="1" applyBorder="1" applyAlignment="1">
      <alignment horizontal="center"/>
    </xf>
    <xf numFmtId="0" fontId="12" fillId="0" borderId="0" xfId="11" applyFont="1" applyFill="1" applyBorder="1"/>
    <xf numFmtId="164" fontId="0" fillId="6" borderId="0" xfId="12" applyNumberFormat="1" applyFont="1" applyFill="1"/>
    <xf numFmtId="0" fontId="7" fillId="14" borderId="0" xfId="0" applyFont="1" applyFill="1" applyAlignment="1">
      <alignment wrapText="1"/>
    </xf>
    <xf numFmtId="164" fontId="0" fillId="0" borderId="0" xfId="0" applyNumberFormat="1" applyFill="1"/>
    <xf numFmtId="164" fontId="13" fillId="10" borderId="0" xfId="0" applyNumberFormat="1" applyFont="1" applyFill="1"/>
    <xf numFmtId="0" fontId="0" fillId="0" borderId="0" xfId="0" quotePrefix="1" applyAlignment="1">
      <alignment wrapText="1"/>
    </xf>
    <xf numFmtId="0" fontId="7" fillId="0" borderId="0" xfId="0" applyFont="1" applyFill="1"/>
    <xf numFmtId="0" fontId="7" fillId="0" borderId="0" xfId="0" applyFont="1" applyFill="1" applyAlignment="1">
      <alignment wrapText="1"/>
    </xf>
    <xf numFmtId="0" fontId="7" fillId="0" borderId="15" xfId="0" applyFont="1" applyFill="1" applyBorder="1" applyAlignment="1">
      <alignment horizontal="center"/>
    </xf>
    <xf numFmtId="0" fontId="0" fillId="6" borderId="0" xfId="0" applyFill="1" applyBorder="1"/>
    <xf numFmtId="0" fontId="7" fillId="9" borderId="0" xfId="0" applyFont="1" applyFill="1"/>
    <xf numFmtId="0" fontId="7" fillId="9" borderId="0" xfId="0" applyFont="1" applyFill="1" applyBorder="1"/>
    <xf numFmtId="0" fontId="7" fillId="16" borderId="29" xfId="0" applyFont="1" applyFill="1" applyBorder="1" applyAlignment="1">
      <alignment horizontal="center"/>
    </xf>
    <xf numFmtId="164" fontId="13" fillId="0" borderId="0" xfId="1" applyNumberFormat="1" applyFont="1" applyFill="1"/>
    <xf numFmtId="164" fontId="13" fillId="6" borderId="28" xfId="1" applyNumberFormat="1" applyFont="1" applyFill="1" applyBorder="1"/>
    <xf numFmtId="164" fontId="2" fillId="10" borderId="0" xfId="1" applyNumberFormat="1" applyFont="1" applyFill="1"/>
    <xf numFmtId="0" fontId="0" fillId="0" borderId="0" xfId="0" quotePrefix="1" applyFont="1" applyFill="1"/>
    <xf numFmtId="0" fontId="0" fillId="0" borderId="0" xfId="0" applyFont="1" applyFill="1" applyBorder="1" applyAlignment="1">
      <alignment horizontal="left"/>
    </xf>
    <xf numFmtId="164" fontId="0" fillId="10" borderId="15" xfId="1" applyNumberFormat="1" applyFont="1" applyFill="1" applyBorder="1" applyAlignment="1">
      <alignment horizontal="center" vertical="center"/>
    </xf>
    <xf numFmtId="0" fontId="0" fillId="0" borderId="1" xfId="0" applyNumberFormat="1" applyBorder="1" applyAlignment="1">
      <alignment horizontal="left" indent="1"/>
    </xf>
    <xf numFmtId="164" fontId="0" fillId="10" borderId="2" xfId="1" applyNumberFormat="1" applyFont="1" applyFill="1" applyBorder="1" applyAlignment="1">
      <alignment horizontal="center"/>
    </xf>
    <xf numFmtId="0" fontId="13" fillId="4" borderId="15" xfId="0" applyFont="1" applyFill="1" applyBorder="1"/>
    <xf numFmtId="164" fontId="0" fillId="10" borderId="0" xfId="1" applyNumberFormat="1" applyFont="1" applyFill="1" applyAlignment="1"/>
    <xf numFmtId="164" fontId="13" fillId="10" borderId="0" xfId="1" applyNumberFormat="1" applyFont="1" applyFill="1" applyAlignment="1"/>
    <xf numFmtId="0" fontId="0" fillId="0" borderId="0" xfId="0"/>
    <xf numFmtId="0" fontId="0" fillId="0" borderId="0" xfId="0" applyFill="1" applyBorder="1" applyAlignment="1">
      <alignment horizontal="left" vertical="top" wrapText="1"/>
    </xf>
    <xf numFmtId="0" fontId="0" fillId="0" borderId="0" xfId="0" applyFill="1" applyBorder="1" applyAlignment="1">
      <alignment horizontal="left" vertical="center" wrapText="1"/>
    </xf>
    <xf numFmtId="0" fontId="13" fillId="0" borderId="0" xfId="0" applyFont="1" applyBorder="1" applyAlignment="1">
      <alignment horizontal="left" vertical="center"/>
    </xf>
    <xf numFmtId="164" fontId="0" fillId="10" borderId="2" xfId="1" applyNumberFormat="1" applyFont="1" applyFill="1" applyBorder="1" applyAlignment="1">
      <alignment horizontal="left" vertical="center"/>
    </xf>
    <xf numFmtId="0" fontId="0" fillId="0" borderId="0" xfId="0" applyFont="1" applyFill="1" applyBorder="1" applyAlignment="1">
      <alignment horizontal="center" wrapText="1"/>
    </xf>
    <xf numFmtId="9" fontId="27" fillId="10" borderId="0" xfId="11" applyNumberFormat="1" applyFill="1"/>
    <xf numFmtId="0" fontId="7" fillId="8" borderId="0" xfId="0" applyFont="1" applyFill="1"/>
    <xf numFmtId="164" fontId="0" fillId="10" borderId="28" xfId="0" applyNumberFormat="1" applyFill="1" applyBorder="1"/>
    <xf numFmtId="0" fontId="22" fillId="3" borderId="0" xfId="0" applyFont="1" applyFill="1"/>
    <xf numFmtId="0" fontId="31" fillId="3" borderId="0" xfId="0" applyFont="1" applyFill="1" applyAlignment="1">
      <alignment vertical="center"/>
    </xf>
    <xf numFmtId="1" fontId="0" fillId="10" borderId="29" xfId="0" applyNumberFormat="1" applyFill="1" applyBorder="1" applyAlignment="1">
      <alignment horizontal="center" vertical="center"/>
    </xf>
    <xf numFmtId="0" fontId="15" fillId="4" borderId="0" xfId="0" applyFont="1" applyFill="1" applyAlignment="1">
      <alignment horizontal="center" vertical="center"/>
    </xf>
    <xf numFmtId="0" fontId="7" fillId="0" borderId="0" xfId="0" applyFont="1" applyAlignment="1">
      <alignment vertical="center"/>
    </xf>
    <xf numFmtId="0" fontId="15"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17" fillId="3" borderId="0" xfId="0" applyFont="1" applyFill="1"/>
    <xf numFmtId="0" fontId="17" fillId="3" borderId="0" xfId="0" applyFont="1" applyFill="1" applyAlignment="1">
      <alignment horizontal="left" vertical="center" indent="13"/>
    </xf>
    <xf numFmtId="0" fontId="38" fillId="0" borderId="0" xfId="0" applyFont="1"/>
    <xf numFmtId="0" fontId="37" fillId="0" borderId="0" xfId="0" quotePrefix="1" applyFont="1" applyAlignment="1">
      <alignment horizontal="left" vertical="center" wrapText="1" indent="3"/>
    </xf>
    <xf numFmtId="0" fontId="33" fillId="0" borderId="0" xfId="0" quotePrefix="1" applyFont="1" applyAlignment="1">
      <alignment horizontal="left" vertical="top" wrapText="1" indent="3"/>
    </xf>
    <xf numFmtId="43" fontId="0" fillId="0" borderId="0" xfId="1" applyFont="1"/>
    <xf numFmtId="14" fontId="0" fillId="0" borderId="0" xfId="0" applyNumberFormat="1"/>
    <xf numFmtId="43" fontId="0" fillId="0" borderId="0" xfId="0" applyNumberFormat="1" applyFill="1"/>
    <xf numFmtId="0" fontId="13" fillId="0" borderId="0" xfId="0" quotePrefix="1" applyFont="1" applyAlignment="1">
      <alignment wrapText="1"/>
    </xf>
    <xf numFmtId="164" fontId="13" fillId="6" borderId="0" xfId="1" applyNumberFormat="1" applyFont="1" applyFill="1"/>
    <xf numFmtId="0" fontId="27" fillId="10" borderId="0" xfId="11" applyFill="1"/>
    <xf numFmtId="164" fontId="13" fillId="0" borderId="0" xfId="0" applyNumberFormat="1" applyFont="1" applyFill="1"/>
    <xf numFmtId="0" fontId="0" fillId="0" borderId="0" xfId="0" quotePrefix="1" applyFill="1" applyAlignment="1">
      <alignment wrapText="1"/>
    </xf>
    <xf numFmtId="0" fontId="0" fillId="0" borderId="0" xfId="0" quotePrefix="1" applyFill="1"/>
    <xf numFmtId="0" fontId="7" fillId="14" borderId="0" xfId="0" applyFont="1" applyFill="1" applyBorder="1"/>
    <xf numFmtId="164" fontId="0" fillId="0" borderId="0" xfId="1" applyNumberFormat="1" applyFont="1" applyFill="1" applyBorder="1" applyAlignment="1"/>
    <xf numFmtId="164" fontId="0" fillId="0" borderId="0" xfId="1" applyNumberFormat="1" applyFont="1" applyFill="1" applyAlignment="1"/>
    <xf numFmtId="0" fontId="7" fillId="13" borderId="0" xfId="0" applyFont="1" applyFill="1" applyAlignment="1">
      <alignment horizontal="center"/>
    </xf>
    <xf numFmtId="1" fontId="0" fillId="0" borderId="0" xfId="0" applyNumberFormat="1" applyAlignment="1">
      <alignment wrapText="1"/>
    </xf>
    <xf numFmtId="43" fontId="0" fillId="10" borderId="0" xfId="0" applyNumberFormat="1" applyFill="1"/>
    <xf numFmtId="0" fontId="12" fillId="0" borderId="0" xfId="11" applyFont="1" applyAlignment="1">
      <alignment wrapText="1"/>
    </xf>
    <xf numFmtId="0" fontId="27" fillId="6" borderId="0" xfId="11" applyFill="1"/>
    <xf numFmtId="164" fontId="27" fillId="10" borderId="0" xfId="11" applyNumberFormat="1" applyFill="1"/>
    <xf numFmtId="2" fontId="27" fillId="10" borderId="0" xfId="11" applyNumberFormat="1" applyFill="1"/>
    <xf numFmtId="0" fontId="12" fillId="10" borderId="0" xfId="11" applyFont="1" applyFill="1"/>
    <xf numFmtId="167" fontId="27" fillId="10" borderId="0" xfId="11" applyNumberFormat="1" applyFill="1"/>
    <xf numFmtId="0" fontId="43" fillId="0" borderId="0" xfId="11" quotePrefix="1" applyFont="1"/>
    <xf numFmtId="39" fontId="27" fillId="10" borderId="0" xfId="11" applyNumberFormat="1" applyFill="1"/>
    <xf numFmtId="37" fontId="0" fillId="10" borderId="0" xfId="0" applyNumberFormat="1" applyFill="1"/>
    <xf numFmtId="0" fontId="13" fillId="0" borderId="0" xfId="0" applyFont="1" applyFill="1" applyAlignment="1">
      <alignment wrapText="1"/>
    </xf>
    <xf numFmtId="0" fontId="0" fillId="0" borderId="2" xfId="0" applyBorder="1"/>
    <xf numFmtId="0" fontId="7" fillId="0" borderId="25" xfId="0" applyFont="1" applyBorder="1" applyAlignment="1">
      <alignment wrapText="1"/>
    </xf>
    <xf numFmtId="0" fontId="0" fillId="0" borderId="10" xfId="0" applyBorder="1"/>
    <xf numFmtId="0" fontId="0" fillId="0" borderId="9" xfId="0" applyBorder="1"/>
    <xf numFmtId="0" fontId="0" fillId="0" borderId="47" xfId="0" applyBorder="1"/>
    <xf numFmtId="1" fontId="0" fillId="0" borderId="10" xfId="0" applyNumberFormat="1" applyBorder="1"/>
    <xf numFmtId="1" fontId="0" fillId="0" borderId="9" xfId="0" applyNumberFormat="1" applyBorder="1"/>
    <xf numFmtId="1" fontId="0" fillId="0" borderId="0" xfId="0" applyNumberFormat="1" applyBorder="1"/>
    <xf numFmtId="0" fontId="7" fillId="0" borderId="46" xfId="0" applyFont="1" applyBorder="1" applyAlignment="1">
      <alignment wrapText="1"/>
    </xf>
    <xf numFmtId="0" fontId="7" fillId="0" borderId="41" xfId="0" applyFont="1" applyBorder="1" applyAlignment="1">
      <alignment wrapText="1"/>
    </xf>
    <xf numFmtId="0" fontId="7" fillId="0" borderId="43" xfId="0" applyFont="1" applyBorder="1" applyAlignment="1">
      <alignment wrapText="1"/>
    </xf>
    <xf numFmtId="1" fontId="7" fillId="0" borderId="41" xfId="0" applyNumberFormat="1" applyFont="1" applyBorder="1" applyAlignment="1">
      <alignment wrapText="1"/>
    </xf>
    <xf numFmtId="0" fontId="7" fillId="0" borderId="42" xfId="0" applyFont="1" applyBorder="1" applyAlignment="1">
      <alignment wrapText="1"/>
    </xf>
    <xf numFmtId="0" fontId="16" fillId="0" borderId="43" xfId="0" applyFont="1" applyBorder="1" applyAlignment="1">
      <alignment wrapText="1"/>
    </xf>
    <xf numFmtId="0" fontId="27" fillId="8" borderId="23" xfId="11" applyFill="1" applyBorder="1" applyAlignment="1" applyProtection="1">
      <alignment horizontal="center" vertical="center"/>
      <protection locked="0"/>
    </xf>
    <xf numFmtId="169" fontId="0" fillId="8" borderId="5" xfId="1" applyNumberFormat="1" applyFont="1" applyFill="1" applyBorder="1" applyAlignment="1" applyProtection="1">
      <alignment horizontal="center"/>
      <protection locked="0"/>
    </xf>
    <xf numFmtId="9" fontId="0" fillId="8" borderId="5" xfId="8" applyFont="1" applyFill="1" applyBorder="1" applyAlignment="1" applyProtection="1">
      <alignment horizontal="center" vertical="center"/>
      <protection locked="0"/>
    </xf>
    <xf numFmtId="1" fontId="0" fillId="8" borderId="20" xfId="0" applyNumberFormat="1" applyFill="1" applyBorder="1" applyAlignment="1" applyProtection="1">
      <alignment horizontal="center" vertical="center"/>
      <protection locked="0"/>
    </xf>
    <xf numFmtId="0" fontId="0" fillId="8" borderId="23" xfId="0" applyFont="1" applyFill="1" applyBorder="1" applyAlignment="1" applyProtection="1">
      <alignment horizontal="center" vertical="center" wrapText="1"/>
      <protection locked="0"/>
    </xf>
    <xf numFmtId="0" fontId="0" fillId="8" borderId="23" xfId="0" applyFont="1" applyFill="1" applyBorder="1" applyAlignment="1" applyProtection="1">
      <alignment horizontal="center" vertical="center"/>
      <protection locked="0"/>
    </xf>
    <xf numFmtId="0" fontId="0" fillId="8" borderId="29" xfId="0" applyFont="1" applyFill="1" applyBorder="1" applyAlignment="1" applyProtection="1">
      <alignment horizontal="center" vertical="center"/>
      <protection locked="0"/>
    </xf>
    <xf numFmtId="0" fontId="0" fillId="8" borderId="40" xfId="0" applyFont="1" applyFill="1" applyBorder="1" applyAlignment="1" applyProtection="1">
      <alignment horizontal="center" vertical="center" wrapText="1"/>
      <protection locked="0"/>
    </xf>
    <xf numFmtId="9" fontId="0" fillId="8" borderId="29" xfId="8" applyFont="1" applyFill="1" applyBorder="1" applyAlignment="1" applyProtection="1">
      <alignment horizontal="center" vertical="center" wrapText="1"/>
      <protection locked="0"/>
    </xf>
    <xf numFmtId="0" fontId="42" fillId="0" borderId="0" xfId="0" applyFont="1"/>
    <xf numFmtId="0" fontId="47" fillId="0" borderId="0" xfId="0" applyFont="1"/>
    <xf numFmtId="0" fontId="0" fillId="0" borderId="0" xfId="0" applyAlignment="1">
      <alignment vertical="top" wrapText="1"/>
    </xf>
    <xf numFmtId="9" fontId="0" fillId="8" borderId="0" xfId="0" applyNumberFormat="1" applyFill="1" applyProtection="1">
      <protection locked="0"/>
    </xf>
    <xf numFmtId="0" fontId="0" fillId="8" borderId="0" xfId="0" applyFill="1" applyProtection="1">
      <protection locked="0"/>
    </xf>
    <xf numFmtId="0" fontId="0" fillId="0" borderId="0" xfId="0" applyProtection="1">
      <protection locked="0"/>
    </xf>
    <xf numFmtId="0" fontId="0" fillId="11" borderId="0" xfId="0" applyFill="1" applyProtection="1">
      <protection locked="0"/>
    </xf>
    <xf numFmtId="0" fontId="7" fillId="0" borderId="0" xfId="0" applyFont="1" applyFill="1" applyBorder="1" applyProtection="1">
      <protection locked="0"/>
    </xf>
    <xf numFmtId="0" fontId="0" fillId="8" borderId="0" xfId="0" applyFont="1" applyFill="1" applyProtection="1">
      <protection locked="0"/>
    </xf>
    <xf numFmtId="3" fontId="0" fillId="8" borderId="0" xfId="0" applyNumberFormat="1" applyFill="1" applyProtection="1">
      <protection locked="0"/>
    </xf>
    <xf numFmtId="9" fontId="0" fillId="0" borderId="0" xfId="0" applyNumberFormat="1" applyFill="1" applyProtection="1">
      <protection locked="0"/>
    </xf>
    <xf numFmtId="164" fontId="0" fillId="8" borderId="0" xfId="1" applyNumberFormat="1" applyFont="1" applyFill="1" applyProtection="1">
      <protection locked="0"/>
    </xf>
    <xf numFmtId="164" fontId="0" fillId="0" borderId="0" xfId="1" applyNumberFormat="1" applyFont="1" applyFill="1" applyProtection="1">
      <protection locked="0"/>
    </xf>
    <xf numFmtId="9" fontId="0" fillId="8" borderId="0" xfId="8" applyFont="1" applyFill="1" applyProtection="1">
      <protection locked="0"/>
    </xf>
    <xf numFmtId="0" fontId="0" fillId="8" borderId="2" xfId="0" applyFont="1" applyFill="1" applyBorder="1" applyAlignment="1" applyProtection="1">
      <alignment horizontal="center" vertical="center"/>
      <protection locked="0"/>
    </xf>
    <xf numFmtId="0" fontId="0" fillId="8" borderId="2" xfId="0" applyFill="1" applyBorder="1" applyAlignment="1" applyProtection="1">
      <alignment horizontal="center"/>
      <protection locked="0"/>
    </xf>
    <xf numFmtId="0" fontId="0" fillId="8" borderId="3" xfId="0" applyFill="1" applyBorder="1" applyAlignment="1" applyProtection="1">
      <alignment horizontal="center"/>
      <protection locked="0"/>
    </xf>
    <xf numFmtId="0" fontId="0" fillId="8" borderId="5" xfId="0" applyFont="1" applyFill="1" applyBorder="1" applyAlignment="1" applyProtection="1">
      <alignment horizontal="center" vertical="center"/>
      <protection locked="0"/>
    </xf>
    <xf numFmtId="0" fontId="0" fillId="8" borderId="16" xfId="0" applyFont="1" applyFill="1" applyBorder="1" applyAlignment="1" applyProtection="1">
      <alignment horizontal="center" vertical="center"/>
      <protection locked="0"/>
    </xf>
    <xf numFmtId="2" fontId="0" fillId="8" borderId="5" xfId="0" applyNumberFormat="1" applyFont="1" applyFill="1" applyBorder="1" applyAlignment="1" applyProtection="1">
      <alignment horizontal="center" vertical="center"/>
      <protection locked="0"/>
    </xf>
    <xf numFmtId="0" fontId="0" fillId="8" borderId="5" xfId="0" applyFill="1" applyBorder="1" applyAlignment="1" applyProtection="1">
      <alignment horizontal="center"/>
      <protection locked="0"/>
    </xf>
    <xf numFmtId="0" fontId="0" fillId="8" borderId="16" xfId="0" applyFill="1" applyBorder="1" applyAlignment="1" applyProtection="1">
      <alignment horizontal="center"/>
      <protection locked="0"/>
    </xf>
    <xf numFmtId="0" fontId="0" fillId="8" borderId="25" xfId="0" applyFont="1" applyFill="1" applyBorder="1" applyAlignment="1" applyProtection="1">
      <alignment horizontal="center" vertical="center"/>
      <protection locked="0"/>
    </xf>
    <xf numFmtId="0" fontId="0" fillId="8" borderId="25" xfId="0" applyFill="1" applyBorder="1" applyAlignment="1" applyProtection="1">
      <alignment horizontal="center"/>
      <protection locked="0"/>
    </xf>
    <xf numFmtId="0" fontId="0" fillId="8" borderId="26" xfId="0" applyFill="1" applyBorder="1" applyAlignment="1" applyProtection="1">
      <alignment horizontal="center"/>
      <protection locked="0"/>
    </xf>
    <xf numFmtId="0" fontId="0" fillId="4" borderId="3" xfId="0" applyFill="1" applyBorder="1" applyProtection="1">
      <protection locked="0"/>
    </xf>
    <xf numFmtId="0" fontId="0" fillId="4" borderId="15" xfId="0" applyFill="1" applyBorder="1" applyProtection="1">
      <protection locked="0"/>
    </xf>
    <xf numFmtId="166" fontId="0" fillId="8" borderId="5" xfId="0" applyNumberFormat="1" applyFill="1" applyBorder="1" applyAlignment="1" applyProtection="1">
      <alignment horizontal="center"/>
      <protection locked="0"/>
    </xf>
    <xf numFmtId="2" fontId="0" fillId="8" borderId="5" xfId="0" applyNumberFormat="1" applyFill="1" applyBorder="1" applyAlignment="1" applyProtection="1">
      <alignment horizontal="center"/>
      <protection locked="0"/>
    </xf>
    <xf numFmtId="0" fontId="0" fillId="8" borderId="3" xfId="0" applyFont="1" applyFill="1" applyBorder="1" applyAlignment="1" applyProtection="1">
      <alignment horizontal="center" vertical="center"/>
      <protection locked="0"/>
    </xf>
    <xf numFmtId="0" fontId="0" fillId="8" borderId="3" xfId="0" applyFont="1" applyFill="1" applyBorder="1" applyAlignment="1" applyProtection="1">
      <alignment horizontal="center"/>
      <protection locked="0"/>
    </xf>
    <xf numFmtId="0" fontId="0" fillId="11" borderId="19" xfId="0" applyFill="1" applyBorder="1" applyAlignment="1" applyProtection="1">
      <alignment horizontal="center"/>
      <protection locked="0"/>
    </xf>
    <xf numFmtId="0" fontId="0" fillId="11" borderId="32" xfId="0" applyFill="1" applyBorder="1" applyAlignment="1" applyProtection="1">
      <alignment horizontal="center"/>
      <protection locked="0"/>
    </xf>
    <xf numFmtId="0" fontId="0" fillId="8" borderId="5" xfId="0" applyNumberFormat="1" applyFill="1" applyBorder="1" applyAlignment="1" applyProtection="1">
      <alignment horizontal="center"/>
      <protection locked="0"/>
    </xf>
    <xf numFmtId="0" fontId="0" fillId="8" borderId="2" xfId="0" applyNumberFormat="1" applyFill="1" applyBorder="1" applyAlignment="1" applyProtection="1">
      <alignment horizontal="center"/>
      <protection locked="0"/>
    </xf>
    <xf numFmtId="2" fontId="0" fillId="8" borderId="2" xfId="0" applyNumberFormat="1" applyFill="1" applyBorder="1" applyAlignment="1" applyProtection="1">
      <alignment horizontal="center"/>
      <protection locked="0"/>
    </xf>
    <xf numFmtId="0" fontId="0" fillId="8" borderId="8" xfId="0" applyNumberFormat="1" applyFill="1" applyBorder="1" applyAlignment="1" applyProtection="1">
      <alignment horizontal="center"/>
      <protection locked="0"/>
    </xf>
    <xf numFmtId="2" fontId="0" fillId="8" borderId="8" xfId="0" applyNumberFormat="1" applyFill="1" applyBorder="1" applyAlignment="1" applyProtection="1">
      <alignment horizontal="center"/>
      <protection locked="0"/>
    </xf>
    <xf numFmtId="0" fontId="0" fillId="8" borderId="8" xfId="0" applyFill="1" applyBorder="1" applyAlignment="1" applyProtection="1">
      <alignment horizontal="center"/>
      <protection locked="0"/>
    </xf>
    <xf numFmtId="0" fontId="0" fillId="8" borderId="17" xfId="0" applyFill="1" applyBorder="1" applyAlignment="1" applyProtection="1">
      <alignment horizontal="center"/>
      <protection locked="0"/>
    </xf>
    <xf numFmtId="9" fontId="0" fillId="8" borderId="0" xfId="0" applyNumberFormat="1" applyFill="1" applyAlignment="1" applyProtection="1">
      <alignment horizontal="left"/>
      <protection locked="0"/>
    </xf>
    <xf numFmtId="0" fontId="0" fillId="8" borderId="0" xfId="0" applyFill="1" applyAlignment="1" applyProtection="1">
      <alignment horizontal="left"/>
      <protection locked="0"/>
    </xf>
    <xf numFmtId="166" fontId="0" fillId="8" borderId="0" xfId="8" applyNumberFormat="1" applyFont="1" applyFill="1" applyProtection="1">
      <protection locked="0"/>
    </xf>
    <xf numFmtId="166" fontId="0" fillId="8" borderId="0" xfId="0" applyNumberFormat="1" applyFill="1" applyProtection="1">
      <protection locked="0"/>
    </xf>
    <xf numFmtId="0" fontId="0" fillId="0" borderId="15" xfId="0" applyBorder="1" applyProtection="1">
      <protection locked="0"/>
    </xf>
    <xf numFmtId="0" fontId="0" fillId="0" borderId="0" xfId="0" applyFill="1" applyProtection="1">
      <protection locked="0"/>
    </xf>
    <xf numFmtId="0" fontId="7" fillId="11" borderId="0" xfId="0" applyFont="1" applyFill="1" applyProtection="1">
      <protection locked="0"/>
    </xf>
    <xf numFmtId="0" fontId="0" fillId="0" borderId="15" xfId="0" applyBorder="1" applyAlignment="1" applyProtection="1">
      <alignment horizontal="center"/>
      <protection locked="0"/>
    </xf>
    <xf numFmtId="0" fontId="27" fillId="8" borderId="0" xfId="11" applyFill="1" applyProtection="1">
      <protection locked="0"/>
    </xf>
    <xf numFmtId="166" fontId="27" fillId="8" borderId="0" xfId="11" applyNumberFormat="1" applyFill="1" applyProtection="1">
      <protection locked="0"/>
    </xf>
    <xf numFmtId="9" fontId="27" fillId="8" borderId="0" xfId="11" applyNumberFormat="1" applyFill="1" applyProtection="1">
      <protection locked="0"/>
    </xf>
    <xf numFmtId="9" fontId="12" fillId="8" borderId="0" xfId="11" applyNumberFormat="1" applyFont="1" applyFill="1" applyProtection="1">
      <protection locked="0"/>
    </xf>
    <xf numFmtId="0" fontId="0" fillId="0" borderId="0" xfId="0" applyAlignment="1">
      <alignment vertical="center"/>
    </xf>
    <xf numFmtId="0" fontId="7" fillId="0" borderId="0" xfId="0" applyFont="1" applyAlignment="1">
      <alignment horizontal="left" vertical="center" wrapText="1"/>
    </xf>
    <xf numFmtId="0" fontId="0" fillId="0" borderId="0" xfId="0" applyAlignment="1">
      <alignment horizontal="left" vertical="center" wrapText="1" indent="3"/>
    </xf>
    <xf numFmtId="0" fontId="0" fillId="0" borderId="0" xfId="0" applyAlignment="1">
      <alignment vertical="center" wrapText="1"/>
    </xf>
    <xf numFmtId="0" fontId="0" fillId="0" borderId="0" xfId="0" applyAlignment="1">
      <alignment horizontal="left" vertical="center" wrapText="1" indent="4"/>
    </xf>
    <xf numFmtId="0" fontId="0" fillId="0" borderId="0" xfId="0" applyAlignment="1">
      <alignment horizontal="left" vertical="center" wrapText="1"/>
    </xf>
    <xf numFmtId="0" fontId="0" fillId="0" borderId="0" xfId="0" applyAlignment="1">
      <alignment horizontal="left" vertical="center"/>
    </xf>
    <xf numFmtId="0" fontId="40" fillId="0" borderId="0" xfId="0" applyFont="1"/>
    <xf numFmtId="0" fontId="49" fillId="9" borderId="0" xfId="0" applyFont="1" applyFill="1" applyAlignment="1">
      <alignment horizontal="left"/>
    </xf>
    <xf numFmtId="0" fontId="50" fillId="7" borderId="0" xfId="0" applyFont="1" applyFill="1" applyAlignment="1">
      <alignment horizontal="left"/>
    </xf>
    <xf numFmtId="0" fontId="50" fillId="0" borderId="0" xfId="0" applyFont="1" applyAlignment="1">
      <alignment horizontal="left"/>
    </xf>
    <xf numFmtId="0" fontId="51" fillId="0" borderId="0" xfId="11" applyFont="1" applyAlignment="1">
      <alignment horizontal="left"/>
    </xf>
    <xf numFmtId="0" fontId="52" fillId="0" borderId="0" xfId="0" applyFont="1" applyFill="1" applyAlignment="1">
      <alignment horizontal="left"/>
    </xf>
    <xf numFmtId="0" fontId="53" fillId="0" borderId="0" xfId="5" applyFont="1" applyFill="1" applyBorder="1" applyAlignment="1" applyProtection="1">
      <alignment horizontal="left" vertical="center"/>
      <protection locked="0"/>
    </xf>
    <xf numFmtId="0" fontId="50" fillId="11" borderId="49" xfId="0" applyFont="1" applyFill="1" applyBorder="1" applyAlignment="1">
      <alignment horizontal="left"/>
    </xf>
    <xf numFmtId="0" fontId="50" fillId="11" borderId="50" xfId="0" applyFont="1" applyFill="1" applyBorder="1" applyAlignment="1">
      <alignment horizontal="left"/>
    </xf>
    <xf numFmtId="0" fontId="50" fillId="4" borderId="49" xfId="0" applyFont="1" applyFill="1" applyBorder="1" applyAlignment="1">
      <alignment horizontal="left"/>
    </xf>
    <xf numFmtId="0" fontId="50" fillId="4" borderId="50" xfId="0" applyFont="1" applyFill="1" applyBorder="1" applyAlignment="1">
      <alignment horizontal="left"/>
    </xf>
    <xf numFmtId="0" fontId="50" fillId="8" borderId="51" xfId="0" applyFont="1" applyFill="1" applyBorder="1" applyAlignment="1">
      <alignment horizontal="left" vertical="center"/>
    </xf>
    <xf numFmtId="0" fontId="50" fillId="8" borderId="51" xfId="0" applyFont="1" applyFill="1" applyBorder="1" applyAlignment="1">
      <alignment horizontal="left"/>
    </xf>
    <xf numFmtId="0" fontId="50" fillId="8" borderId="48" xfId="0" applyFont="1" applyFill="1" applyBorder="1" applyAlignment="1">
      <alignment horizontal="left"/>
    </xf>
    <xf numFmtId="0" fontId="50" fillId="8" borderId="52" xfId="0" applyFont="1" applyFill="1" applyBorder="1" applyAlignment="1">
      <alignment horizontal="left"/>
    </xf>
    <xf numFmtId="0" fontId="50" fillId="8" borderId="5" xfId="0" applyFont="1" applyFill="1" applyBorder="1" applyAlignment="1">
      <alignment horizontal="left" vertical="center"/>
    </xf>
    <xf numFmtId="0" fontId="50" fillId="8" borderId="16" xfId="0" applyFont="1" applyFill="1" applyBorder="1" applyAlignment="1">
      <alignment horizontal="left" vertical="center"/>
    </xf>
    <xf numFmtId="2" fontId="50" fillId="8" borderId="5" xfId="0" applyNumberFormat="1" applyFont="1" applyFill="1" applyBorder="1" applyAlignment="1">
      <alignment horizontal="left" vertical="center"/>
    </xf>
    <xf numFmtId="0" fontId="50" fillId="8" borderId="5" xfId="0" applyFont="1" applyFill="1" applyBorder="1" applyAlignment="1">
      <alignment horizontal="left"/>
    </xf>
    <xf numFmtId="0" fontId="50" fillId="8" borderId="16" xfId="0" applyFont="1" applyFill="1" applyBorder="1" applyAlignment="1">
      <alignment horizontal="left"/>
    </xf>
    <xf numFmtId="0" fontId="50" fillId="8" borderId="25" xfId="0" applyFont="1" applyFill="1" applyBorder="1" applyAlignment="1">
      <alignment horizontal="left" vertical="center"/>
    </xf>
    <xf numFmtId="0" fontId="50" fillId="8" borderId="25" xfId="0" applyFont="1" applyFill="1" applyBorder="1" applyAlignment="1">
      <alignment horizontal="left"/>
    </xf>
    <xf numFmtId="0" fontId="50" fillId="8" borderId="26" xfId="0" applyFont="1" applyFill="1" applyBorder="1" applyAlignment="1">
      <alignment horizontal="left"/>
    </xf>
    <xf numFmtId="2" fontId="50" fillId="8" borderId="5" xfId="0" applyNumberFormat="1" applyFont="1" applyFill="1" applyBorder="1" applyAlignment="1">
      <alignment horizontal="left"/>
    </xf>
    <xf numFmtId="0" fontId="50" fillId="8" borderId="52" xfId="0" applyFont="1" applyFill="1" applyBorder="1" applyAlignment="1">
      <alignment horizontal="left" vertical="center"/>
    </xf>
    <xf numFmtId="0" fontId="50" fillId="11" borderId="19" xfId="0" applyFont="1" applyFill="1" applyBorder="1" applyAlignment="1">
      <alignment horizontal="left"/>
    </xf>
    <xf numFmtId="0" fontId="50" fillId="11" borderId="32" xfId="0" applyFont="1" applyFill="1" applyBorder="1" applyAlignment="1">
      <alignment horizontal="left"/>
    </xf>
    <xf numFmtId="0" fontId="50" fillId="11" borderId="20" xfId="0" applyFont="1" applyFill="1" applyBorder="1" applyAlignment="1">
      <alignment horizontal="left"/>
    </xf>
    <xf numFmtId="2" fontId="50" fillId="8" borderId="51" xfId="0" applyNumberFormat="1" applyFont="1" applyFill="1" applyBorder="1" applyAlignment="1">
      <alignment horizontal="left"/>
    </xf>
    <xf numFmtId="2" fontId="50" fillId="8" borderId="54" xfId="0" applyNumberFormat="1" applyFont="1" applyFill="1" applyBorder="1" applyAlignment="1">
      <alignment horizontal="left"/>
    </xf>
    <xf numFmtId="0" fontId="50" fillId="8" borderId="54" xfId="0" applyFont="1" applyFill="1" applyBorder="1" applyAlignment="1">
      <alignment horizontal="left"/>
    </xf>
    <xf numFmtId="0" fontId="50" fillId="8" borderId="55" xfId="0" applyFont="1" applyFill="1" applyBorder="1" applyAlignment="1">
      <alignment horizontal="left"/>
    </xf>
    <xf numFmtId="0" fontId="50" fillId="8" borderId="56" xfId="0" applyFont="1" applyFill="1" applyBorder="1" applyAlignment="1">
      <alignment horizontal="left"/>
    </xf>
    <xf numFmtId="2" fontId="50" fillId="8" borderId="5" xfId="0" applyNumberFormat="1" applyFont="1" applyFill="1" applyBorder="1" applyAlignment="1">
      <alignment horizontal="left" vertical="center" wrapText="1"/>
    </xf>
    <xf numFmtId="0" fontId="50" fillId="8" borderId="5" xfId="0" applyFont="1" applyFill="1" applyBorder="1" applyAlignment="1">
      <alignment horizontal="left" vertical="center" wrapText="1"/>
    </xf>
    <xf numFmtId="166" fontId="50" fillId="8" borderId="5" xfId="0" applyNumberFormat="1" applyFont="1" applyFill="1" applyBorder="1" applyAlignment="1">
      <alignment horizontal="left" wrapText="1"/>
    </xf>
    <xf numFmtId="0" fontId="7" fillId="0" borderId="8" xfId="0" applyFont="1" applyFill="1" applyBorder="1"/>
    <xf numFmtId="0" fontId="0" fillId="6" borderId="8" xfId="0" applyFill="1" applyBorder="1"/>
    <xf numFmtId="0" fontId="0" fillId="0" borderId="8" xfId="0" applyBorder="1" applyAlignment="1">
      <alignment horizontal="left" vertical="center"/>
    </xf>
    <xf numFmtId="0" fontId="0" fillId="0" borderId="8" xfId="0" applyFill="1" applyBorder="1"/>
    <xf numFmtId="0" fontId="0" fillId="0" borderId="8" xfId="0" applyBorder="1"/>
    <xf numFmtId="0" fontId="0" fillId="6" borderId="2" xfId="0" applyFill="1" applyBorder="1"/>
    <xf numFmtId="0" fontId="13" fillId="0" borderId="0" xfId="0" applyFont="1" applyBorder="1" applyAlignment="1">
      <alignment horizontal="left" vertical="center" wrapText="1"/>
    </xf>
    <xf numFmtId="0" fontId="45" fillId="16" borderId="25" xfId="0" applyFont="1" applyFill="1" applyBorder="1" applyAlignment="1">
      <alignment horizontal="left"/>
    </xf>
    <xf numFmtId="0" fontId="45" fillId="16" borderId="26" xfId="0" applyFont="1" applyFill="1" applyBorder="1" applyAlignment="1">
      <alignment horizontal="left"/>
    </xf>
    <xf numFmtId="0" fontId="27" fillId="10" borderId="0" xfId="11" applyFill="1" applyAlignment="1">
      <alignment wrapText="1"/>
    </xf>
    <xf numFmtId="0" fontId="42" fillId="0" borderId="0" xfId="0" applyFont="1" applyAlignment="1">
      <alignment vertical="center"/>
    </xf>
    <xf numFmtId="0" fontId="42" fillId="0" borderId="0" xfId="0" applyFont="1" applyAlignment="1">
      <alignment horizontal="center"/>
    </xf>
    <xf numFmtId="0" fontId="54" fillId="8" borderId="65" xfId="0" applyFont="1" applyFill="1" applyBorder="1" applyAlignment="1">
      <alignment horizontal="center" vertical="center" wrapText="1"/>
    </xf>
    <xf numFmtId="0" fontId="54" fillId="8" borderId="36" xfId="0" applyFont="1" applyFill="1" applyBorder="1" applyAlignment="1">
      <alignment horizontal="center" vertical="center" wrapText="1"/>
    </xf>
    <xf numFmtId="0" fontId="55" fillId="18" borderId="5" xfId="0" applyFont="1" applyFill="1" applyBorder="1" applyAlignment="1">
      <alignment horizontal="center" vertical="center"/>
    </xf>
    <xf numFmtId="0" fontId="55" fillId="18" borderId="5" xfId="0" applyFont="1" applyFill="1" applyBorder="1" applyAlignment="1">
      <alignment vertical="center"/>
    </xf>
    <xf numFmtId="0" fontId="55" fillId="18" borderId="23" xfId="14" applyNumberFormat="1" applyFont="1" applyFill="1" applyBorder="1" applyAlignment="1">
      <alignment horizontal="left" vertical="center"/>
    </xf>
    <xf numFmtId="0" fontId="42" fillId="18" borderId="5" xfId="0" applyFont="1" applyFill="1" applyBorder="1" applyAlignment="1" applyProtection="1">
      <alignment vertical="center" wrapText="1"/>
    </xf>
    <xf numFmtId="0" fontId="54" fillId="8" borderId="66" xfId="0" applyFont="1" applyFill="1" applyBorder="1" applyAlignment="1">
      <alignment horizontal="center" vertical="center" wrapText="1"/>
    </xf>
    <xf numFmtId="3" fontId="55" fillId="8" borderId="5" xfId="0" applyNumberFormat="1" applyFont="1" applyFill="1" applyBorder="1" applyAlignment="1">
      <alignment vertical="center"/>
    </xf>
    <xf numFmtId="164" fontId="22" fillId="9" borderId="0" xfId="1" applyNumberFormat="1" applyFont="1" applyFill="1"/>
    <xf numFmtId="164" fontId="0" fillId="7" borderId="0" xfId="1" applyNumberFormat="1" applyFont="1" applyFill="1"/>
    <xf numFmtId="164" fontId="0" fillId="13" borderId="0" xfId="1" applyNumberFormat="1" applyFont="1" applyFill="1"/>
    <xf numFmtId="164" fontId="7" fillId="14" borderId="0" xfId="1" applyNumberFormat="1" applyFont="1" applyFill="1" applyAlignment="1">
      <alignment wrapText="1"/>
    </xf>
    <xf numFmtId="164" fontId="7" fillId="0" borderId="0" xfId="1" applyNumberFormat="1" applyFont="1" applyFill="1" applyAlignment="1">
      <alignment wrapText="1"/>
    </xf>
    <xf numFmtId="3" fontId="55" fillId="10" borderId="16" xfId="0" applyNumberFormat="1" applyFont="1" applyFill="1" applyBorder="1" applyAlignment="1">
      <alignment vertical="center"/>
    </xf>
    <xf numFmtId="0" fontId="54" fillId="8" borderId="67" xfId="0" applyFont="1" applyFill="1" applyBorder="1" applyAlignment="1">
      <alignment horizontal="center" vertical="center" wrapText="1"/>
    </xf>
    <xf numFmtId="0" fontId="55" fillId="18" borderId="33" xfId="0" applyFont="1" applyFill="1" applyBorder="1" applyAlignment="1">
      <alignment horizontal="center" vertical="center"/>
    </xf>
    <xf numFmtId="0" fontId="42" fillId="22" borderId="23" xfId="0" applyFont="1" applyFill="1" applyBorder="1" applyAlignment="1">
      <alignment vertical="center"/>
    </xf>
    <xf numFmtId="0" fontId="55" fillId="18" borderId="30" xfId="0" applyFont="1" applyFill="1" applyBorder="1" applyAlignment="1">
      <alignment horizontal="center" vertical="center"/>
    </xf>
    <xf numFmtId="0" fontId="55" fillId="18" borderId="25" xfId="0" applyFont="1" applyFill="1" applyBorder="1" applyAlignment="1">
      <alignment vertical="center"/>
    </xf>
    <xf numFmtId="3" fontId="55" fillId="8" borderId="25" xfId="0" applyNumberFormat="1" applyFont="1" applyFill="1" applyBorder="1" applyAlignment="1">
      <alignment vertical="center"/>
    </xf>
    <xf numFmtId="3" fontId="55" fillId="10" borderId="26" xfId="0" applyNumberFormat="1" applyFont="1" applyFill="1" applyBorder="1" applyAlignment="1">
      <alignment vertical="center"/>
    </xf>
    <xf numFmtId="0" fontId="42" fillId="22" borderId="29" xfId="0" applyFont="1" applyFill="1" applyBorder="1" applyAlignment="1">
      <alignment vertical="center"/>
    </xf>
    <xf numFmtId="0" fontId="45" fillId="8" borderId="18" xfId="0" applyFont="1" applyFill="1" applyBorder="1" applyAlignment="1">
      <alignment horizontal="center" vertical="center"/>
    </xf>
    <xf numFmtId="0" fontId="45" fillId="8" borderId="19" xfId="0" applyFont="1" applyFill="1" applyBorder="1" applyAlignment="1">
      <alignment horizontal="center" vertical="center" wrapText="1"/>
    </xf>
    <xf numFmtId="0" fontId="45" fillId="8" borderId="20" xfId="0" applyFont="1" applyFill="1" applyBorder="1" applyAlignment="1">
      <alignment horizontal="center" vertical="center" wrapText="1"/>
    </xf>
    <xf numFmtId="3" fontId="0" fillId="10" borderId="3" xfId="0" applyNumberFormat="1" applyFill="1" applyBorder="1" applyAlignment="1">
      <alignment horizontal="center"/>
    </xf>
    <xf numFmtId="0" fontId="7" fillId="9" borderId="0" xfId="0" applyFont="1" applyFill="1" applyBorder="1" applyAlignment="1">
      <alignment wrapText="1"/>
    </xf>
    <xf numFmtId="0" fontId="7" fillId="9" borderId="14" xfId="0" applyFont="1" applyFill="1" applyBorder="1" applyAlignment="1">
      <alignment wrapText="1"/>
    </xf>
    <xf numFmtId="0" fontId="7" fillId="9" borderId="14" xfId="0" applyFont="1" applyFill="1" applyBorder="1"/>
    <xf numFmtId="10" fontId="0" fillId="0" borderId="0" xfId="0" applyNumberFormat="1"/>
    <xf numFmtId="0" fontId="0" fillId="7" borderId="0" xfId="0" applyFill="1" applyAlignment="1">
      <alignment wrapText="1"/>
    </xf>
    <xf numFmtId="0" fontId="12" fillId="0" borderId="0" xfId="16">
      <alignment vertical="top"/>
    </xf>
    <xf numFmtId="43" fontId="55" fillId="0" borderId="0" xfId="16" applyNumberFormat="1" applyFont="1" applyBorder="1">
      <alignment vertical="top"/>
    </xf>
    <xf numFmtId="164" fontId="55" fillId="0" borderId="0" xfId="1" applyNumberFormat="1" applyFont="1" applyBorder="1" applyAlignment="1">
      <alignment vertical="top"/>
    </xf>
    <xf numFmtId="1" fontId="55" fillId="0" borderId="0" xfId="16" applyNumberFormat="1" applyFont="1" applyBorder="1">
      <alignment vertical="top"/>
    </xf>
    <xf numFmtId="1" fontId="55" fillId="0" borderId="0" xfId="17" applyNumberFormat="1" applyFont="1" applyFill="1" applyBorder="1" applyAlignment="1" applyProtection="1">
      <alignment vertical="top"/>
    </xf>
    <xf numFmtId="0" fontId="55" fillId="0" borderId="0" xfId="17" applyNumberFormat="1" applyFont="1" applyFill="1" applyBorder="1" applyAlignment="1" applyProtection="1">
      <alignment vertical="top"/>
    </xf>
    <xf numFmtId="0" fontId="4" fillId="0" borderId="0" xfId="18" applyNumberFormat="1" applyFont="1" applyFill="1" applyBorder="1" applyAlignment="1" applyProtection="1">
      <alignment vertical="top" wrapText="1"/>
    </xf>
    <xf numFmtId="43" fontId="55" fillId="23" borderId="0" xfId="16" applyNumberFormat="1" applyFont="1" applyFill="1">
      <alignment vertical="top"/>
    </xf>
    <xf numFmtId="0" fontId="54" fillId="0" borderId="0" xfId="16" applyFont="1">
      <alignment vertical="top"/>
    </xf>
    <xf numFmtId="0" fontId="54" fillId="0" borderId="69" xfId="16" applyFont="1" applyBorder="1" applyAlignment="1">
      <alignment vertical="top" wrapText="1"/>
    </xf>
    <xf numFmtId="0" fontId="54" fillId="0" borderId="69" xfId="16" applyFont="1" applyBorder="1">
      <alignment vertical="top"/>
    </xf>
    <xf numFmtId="0" fontId="59" fillId="0" borderId="69" xfId="19" applyNumberFormat="1" applyFont="1" applyFill="1" applyBorder="1" applyAlignment="1" applyProtection="1">
      <alignment vertical="top" wrapText="1"/>
    </xf>
    <xf numFmtId="0" fontId="16" fillId="0" borderId="69" xfId="18" applyNumberFormat="1" applyFont="1" applyFill="1" applyBorder="1" applyAlignment="1" applyProtection="1">
      <alignment vertical="top" wrapText="1"/>
    </xf>
    <xf numFmtId="0" fontId="0" fillId="24" borderId="0" xfId="0" applyFill="1"/>
    <xf numFmtId="0" fontId="0" fillId="0" borderId="0" xfId="0" applyFill="1" applyAlignment="1">
      <alignment wrapText="1"/>
    </xf>
    <xf numFmtId="0" fontId="0" fillId="25" borderId="0" xfId="0" applyFill="1"/>
    <xf numFmtId="0" fontId="0" fillId="25" borderId="0" xfId="0" applyFill="1" applyAlignment="1">
      <alignment wrapText="1"/>
    </xf>
    <xf numFmtId="0" fontId="2" fillId="0" borderId="0" xfId="10"/>
    <xf numFmtId="43" fontId="2" fillId="0" borderId="0" xfId="1" applyFont="1"/>
    <xf numFmtId="0" fontId="2" fillId="6" borderId="15" xfId="10" applyFill="1" applyBorder="1"/>
    <xf numFmtId="0" fontId="2" fillId="0" borderId="15" xfId="10" applyBorder="1"/>
    <xf numFmtId="14" fontId="2" fillId="0" borderId="0" xfId="10" applyNumberFormat="1"/>
    <xf numFmtId="9" fontId="0" fillId="8" borderId="0" xfId="0" applyNumberFormat="1" applyFill="1"/>
    <xf numFmtId="2" fontId="0" fillId="0" borderId="0" xfId="0" applyNumberFormat="1"/>
    <xf numFmtId="164" fontId="0" fillId="6" borderId="0" xfId="0" applyNumberFormat="1" applyFill="1"/>
    <xf numFmtId="0" fontId="13" fillId="0" borderId="0" xfId="0" applyFont="1" applyFill="1" applyBorder="1" applyAlignment="1">
      <alignment horizontal="center"/>
    </xf>
    <xf numFmtId="9" fontId="0" fillId="0" borderId="0" xfId="8" applyFont="1"/>
    <xf numFmtId="0" fontId="0" fillId="0" borderId="0" xfId="0" applyAlignment="1">
      <alignment vertical="top"/>
    </xf>
    <xf numFmtId="0" fontId="0" fillId="0" borderId="5" xfId="0" applyFill="1" applyBorder="1" applyAlignment="1">
      <alignment vertical="center" wrapText="1"/>
    </xf>
    <xf numFmtId="0" fontId="0" fillId="8" borderId="5" xfId="0" applyFill="1" applyBorder="1" applyProtection="1">
      <protection locked="0"/>
    </xf>
    <xf numFmtId="0" fontId="0" fillId="0" borderId="5" xfId="0" applyFill="1" applyBorder="1"/>
    <xf numFmtId="0" fontId="0" fillId="0" borderId="5" xfId="0" applyBorder="1" applyAlignment="1">
      <alignment horizontal="left" vertical="top" wrapText="1"/>
    </xf>
    <xf numFmtId="0" fontId="0" fillId="0" borderId="2" xfId="0" applyFill="1" applyBorder="1" applyAlignment="1">
      <alignment vertical="center" wrapText="1"/>
    </xf>
    <xf numFmtId="0" fontId="0" fillId="8" borderId="2" xfId="0" applyFill="1" applyBorder="1" applyProtection="1">
      <protection locked="0"/>
    </xf>
    <xf numFmtId="0" fontId="7" fillId="0" borderId="5" xfId="0" applyFont="1" applyBorder="1"/>
    <xf numFmtId="0" fontId="7" fillId="0" borderId="5" xfId="0" applyFont="1" applyFill="1" applyBorder="1"/>
    <xf numFmtId="0" fontId="0" fillId="0" borderId="5" xfId="0" applyFill="1" applyBorder="1" applyAlignment="1">
      <alignment vertical="center"/>
    </xf>
    <xf numFmtId="0" fontId="0" fillId="0" borderId="5" xfId="0" applyBorder="1" applyAlignment="1">
      <alignment vertical="center"/>
    </xf>
    <xf numFmtId="0" fontId="63" fillId="8" borderId="51" xfId="0" applyFont="1" applyFill="1" applyBorder="1" applyAlignment="1">
      <alignment horizontal="left" vertical="center"/>
    </xf>
    <xf numFmtId="0" fontId="63" fillId="8" borderId="5" xfId="0" applyFont="1" applyFill="1" applyBorder="1" applyAlignment="1">
      <alignment horizontal="left" vertical="center"/>
    </xf>
    <xf numFmtId="2" fontId="63" fillId="8" borderId="5" xfId="0" applyNumberFormat="1" applyFont="1" applyFill="1" applyBorder="1" applyAlignment="1">
      <alignment horizontal="left" vertical="center"/>
    </xf>
    <xf numFmtId="0" fontId="63" fillId="8" borderId="25" xfId="0" applyFont="1" applyFill="1" applyBorder="1" applyAlignment="1">
      <alignment horizontal="left" vertical="center"/>
    </xf>
    <xf numFmtId="0" fontId="63" fillId="4" borderId="49" xfId="0" applyFont="1" applyFill="1" applyBorder="1" applyAlignment="1">
      <alignment horizontal="left"/>
    </xf>
    <xf numFmtId="0" fontId="63" fillId="11" borderId="19" xfId="0" applyFont="1" applyFill="1" applyBorder="1" applyAlignment="1">
      <alignment horizontal="left"/>
    </xf>
    <xf numFmtId="0" fontId="63" fillId="8" borderId="51" xfId="0" applyFont="1" applyFill="1" applyBorder="1" applyAlignment="1">
      <alignment horizontal="left"/>
    </xf>
    <xf numFmtId="0" fontId="63" fillId="8" borderId="5" xfId="0" applyFont="1" applyFill="1" applyBorder="1" applyAlignment="1">
      <alignment horizontal="left"/>
    </xf>
    <xf numFmtId="0" fontId="63" fillId="8" borderId="25" xfId="0" applyFont="1" applyFill="1" applyBorder="1" applyAlignment="1">
      <alignment horizontal="left"/>
    </xf>
    <xf numFmtId="2" fontId="63" fillId="8" borderId="51" xfId="0" applyNumberFormat="1" applyFont="1" applyFill="1" applyBorder="1" applyAlignment="1">
      <alignment horizontal="left"/>
    </xf>
    <xf numFmtId="0" fontId="63" fillId="0" borderId="0" xfId="0" applyFont="1"/>
    <xf numFmtId="2" fontId="63" fillId="8" borderId="54" xfId="0" applyNumberFormat="1" applyFont="1" applyFill="1" applyBorder="1" applyAlignment="1">
      <alignment horizontal="left"/>
    </xf>
    <xf numFmtId="0" fontId="50" fillId="8" borderId="51" xfId="0" applyFont="1" applyFill="1" applyBorder="1" applyAlignment="1">
      <alignment horizontal="left" wrapText="1"/>
    </xf>
    <xf numFmtId="168" fontId="0" fillId="8" borderId="20" xfId="1" applyNumberFormat="1" applyFont="1" applyFill="1" applyBorder="1" applyAlignment="1" applyProtection="1">
      <alignment horizontal="center" vertical="center" wrapText="1"/>
      <protection locked="0"/>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31" fillId="3" borderId="0" xfId="0" applyFont="1" applyFill="1" applyAlignment="1">
      <alignment horizontal="left" vertical="center" indent="18"/>
    </xf>
    <xf numFmtId="2" fontId="0" fillId="0" borderId="0" xfId="1" applyNumberFormat="1" applyFont="1" applyFill="1"/>
    <xf numFmtId="0" fontId="0" fillId="0" borderId="0" xfId="0" applyAlignment="1">
      <alignment horizontal="left" wrapText="1"/>
    </xf>
    <xf numFmtId="0" fontId="7" fillId="0" borderId="0" xfId="0" applyFont="1" applyAlignment="1">
      <alignment horizontal="left"/>
    </xf>
    <xf numFmtId="0" fontId="27" fillId="8" borderId="31" xfId="11" applyFill="1" applyBorder="1" applyAlignment="1" applyProtection="1">
      <alignment horizontal="center" vertical="center"/>
      <protection locked="0"/>
    </xf>
    <xf numFmtId="0" fontId="0" fillId="0" borderId="0" xfId="0" applyFont="1" applyAlignment="1">
      <alignment horizontal="left" vertical="center" wrapText="1" indent="3"/>
    </xf>
    <xf numFmtId="0" fontId="33" fillId="0" borderId="0" xfId="0" quotePrefix="1" applyFont="1" applyAlignment="1">
      <alignment horizontal="left" vertical="top" wrapText="1" indent="4"/>
    </xf>
    <xf numFmtId="0" fontId="33" fillId="0" borderId="0" xfId="0" quotePrefix="1" applyFont="1" applyAlignment="1">
      <alignment horizontal="left" vertical="center" wrapText="1" indent="4"/>
    </xf>
    <xf numFmtId="0" fontId="22" fillId="3" borderId="0" xfId="0" applyFont="1" applyFill="1" applyProtection="1"/>
    <xf numFmtId="0" fontId="31" fillId="3" borderId="0" xfId="0" applyFont="1" applyFill="1" applyAlignment="1" applyProtection="1">
      <alignment vertical="center"/>
    </xf>
    <xf numFmtId="0" fontId="0" fillId="0" borderId="0" xfId="0" applyProtection="1"/>
    <xf numFmtId="0" fontId="0" fillId="0" borderId="0" xfId="0" applyFill="1" applyProtection="1"/>
    <xf numFmtId="0" fontId="0" fillId="7" borderId="0" xfId="0" applyFill="1" applyProtection="1"/>
    <xf numFmtId="0" fontId="34" fillId="7" borderId="0" xfId="0" applyFont="1" applyFill="1" applyProtection="1"/>
    <xf numFmtId="0" fontId="7" fillId="7" borderId="0" xfId="0" applyFont="1" applyFill="1" applyProtection="1"/>
    <xf numFmtId="0" fontId="0" fillId="0" borderId="0" xfId="0" applyFont="1" applyProtection="1"/>
    <xf numFmtId="0" fontId="0" fillId="8" borderId="5" xfId="0" applyFill="1" applyBorder="1" applyProtection="1"/>
    <xf numFmtId="0" fontId="7" fillId="0" borderId="0" xfId="0" applyFont="1" applyProtection="1"/>
    <xf numFmtId="0" fontId="0" fillId="10" borderId="5" xfId="0" applyFill="1" applyBorder="1" applyProtection="1"/>
    <xf numFmtId="0" fontId="26" fillId="5" borderId="0" xfId="0" applyFont="1" applyFill="1" applyProtection="1"/>
    <xf numFmtId="0" fontId="20" fillId="0" borderId="0" xfId="0" applyFont="1" applyProtection="1"/>
    <xf numFmtId="0" fontId="29" fillId="5" borderId="0" xfId="0" applyFont="1" applyFill="1" applyProtection="1"/>
    <xf numFmtId="0" fontId="0" fillId="0" borderId="0" xfId="0" applyFont="1" applyFill="1" applyBorder="1" applyAlignment="1" applyProtection="1">
      <alignment horizontal="center" wrapText="1"/>
    </xf>
    <xf numFmtId="0" fontId="30" fillId="5" borderId="0" xfId="0" applyFont="1" applyFill="1" applyProtection="1"/>
    <xf numFmtId="0" fontId="7" fillId="0" borderId="0" xfId="0" applyFont="1" applyFill="1" applyBorder="1" applyAlignment="1" applyProtection="1">
      <alignment horizontal="left"/>
    </xf>
    <xf numFmtId="0" fontId="0" fillId="0" borderId="0" xfId="0" applyBorder="1" applyProtection="1"/>
    <xf numFmtId="0" fontId="7" fillId="0" borderId="39" xfId="0" applyFont="1" applyBorder="1" applyAlignment="1" applyProtection="1">
      <alignment vertical="center" wrapText="1"/>
    </xf>
    <xf numFmtId="0" fontId="7" fillId="0" borderId="0" xfId="0" applyFont="1" applyAlignment="1" applyProtection="1">
      <alignment wrapText="1"/>
    </xf>
    <xf numFmtId="0" fontId="45" fillId="0" borderId="0" xfId="0" applyFont="1" applyFill="1" applyBorder="1" applyAlignment="1" applyProtection="1">
      <alignment horizontal="left" vertical="center" wrapText="1"/>
    </xf>
    <xf numFmtId="0" fontId="46" fillId="0" borderId="0" xfId="0" applyFont="1" applyAlignment="1" applyProtection="1">
      <alignment vertical="center" wrapText="1"/>
    </xf>
    <xf numFmtId="168" fontId="46" fillId="0" borderId="0" xfId="1" applyNumberFormat="1" applyFont="1" applyAlignment="1" applyProtection="1">
      <alignment horizontal="center" vertical="center"/>
    </xf>
    <xf numFmtId="0" fontId="7" fillId="0" borderId="33" xfId="0" applyFont="1" applyBorder="1" applyAlignment="1" applyProtection="1">
      <alignment vertical="center" wrapText="1"/>
    </xf>
    <xf numFmtId="0" fontId="45" fillId="0" borderId="0" xfId="0" applyFont="1" applyFill="1" applyAlignment="1" applyProtection="1">
      <alignment vertical="center" wrapText="1"/>
    </xf>
    <xf numFmtId="0" fontId="7" fillId="0" borderId="33" xfId="0" applyFont="1" applyFill="1" applyBorder="1" applyAlignment="1" applyProtection="1">
      <alignment horizontal="left" vertical="center" wrapText="1"/>
    </xf>
    <xf numFmtId="0" fontId="7" fillId="0" borderId="33" xfId="0" applyFont="1" applyBorder="1" applyAlignment="1" applyProtection="1">
      <alignment vertical="center"/>
    </xf>
    <xf numFmtId="1" fontId="0" fillId="10" borderId="23" xfId="0" applyNumberFormat="1" applyFill="1" applyBorder="1" applyAlignment="1" applyProtection="1">
      <alignment horizontal="center" vertical="center"/>
    </xf>
    <xf numFmtId="0" fontId="7" fillId="0" borderId="30" xfId="0" applyFont="1" applyBorder="1" applyAlignment="1" applyProtection="1">
      <alignment vertical="center"/>
    </xf>
    <xf numFmtId="0" fontId="7" fillId="0" borderId="33" xfId="0" applyFont="1" applyFill="1" applyBorder="1" applyAlignment="1" applyProtection="1">
      <alignment vertical="center"/>
    </xf>
    <xf numFmtId="0" fontId="7" fillId="0" borderId="30" xfId="0" applyFont="1" applyFill="1" applyBorder="1" applyAlignment="1" applyProtection="1">
      <alignment horizontal="left" vertical="center" wrapText="1"/>
    </xf>
    <xf numFmtId="1" fontId="0" fillId="10" borderId="29" xfId="0" applyNumberFormat="1" applyFill="1" applyBorder="1" applyAlignment="1" applyProtection="1">
      <alignment horizontal="center" vertical="center"/>
    </xf>
    <xf numFmtId="0" fontId="42" fillId="0" borderId="0" xfId="0" applyFont="1" applyFill="1" applyBorder="1" applyAlignment="1" applyProtection="1">
      <alignment horizontal="left" vertical="center" wrapText="1"/>
    </xf>
    <xf numFmtId="0" fontId="7" fillId="0" borderId="30"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left" vertical="center" wrapText="1"/>
    </xf>
    <xf numFmtId="1" fontId="0" fillId="5" borderId="0" xfId="0" applyNumberFormat="1" applyFill="1" applyBorder="1" applyAlignment="1" applyProtection="1">
      <alignment horizontal="center" vertical="center"/>
    </xf>
    <xf numFmtId="0" fontId="42" fillId="0" borderId="0" xfId="0" applyFont="1" applyFill="1" applyBorder="1" applyAlignment="1" applyProtection="1">
      <alignment horizontal="left"/>
    </xf>
    <xf numFmtId="0" fontId="7" fillId="0" borderId="12" xfId="0" applyFont="1" applyBorder="1" applyAlignment="1" applyProtection="1">
      <alignment horizontal="left" vertical="center" wrapText="1"/>
    </xf>
    <xf numFmtId="3" fontId="45" fillId="0" borderId="0" xfId="0" applyNumberFormat="1" applyFont="1" applyBorder="1" applyAlignment="1" applyProtection="1">
      <alignment horizontal="left" vertical="center" wrapText="1" indent="1"/>
    </xf>
    <xf numFmtId="0" fontId="45" fillId="0" borderId="0" xfId="0" applyFont="1" applyBorder="1" applyAlignment="1" applyProtection="1">
      <alignment horizontal="left" vertical="center" wrapText="1" indent="1"/>
    </xf>
    <xf numFmtId="0" fontId="7" fillId="0" borderId="30" xfId="0" applyFont="1" applyBorder="1" applyAlignment="1" applyProtection="1">
      <alignment vertical="center" wrapText="1"/>
    </xf>
    <xf numFmtId="0" fontId="7" fillId="0" borderId="0" xfId="0" applyFont="1" applyBorder="1" applyAlignment="1" applyProtection="1">
      <alignment vertical="center" wrapText="1"/>
    </xf>
    <xf numFmtId="9" fontId="0" fillId="0" borderId="0" xfId="8" applyFont="1" applyFill="1" applyBorder="1" applyAlignment="1" applyProtection="1">
      <alignment horizontal="center" vertical="center" wrapText="1"/>
    </xf>
    <xf numFmtId="0" fontId="45" fillId="0" borderId="0" xfId="0" applyFont="1" applyBorder="1" applyAlignment="1" applyProtection="1">
      <alignment horizontal="left" vertical="center" wrapText="1"/>
    </xf>
    <xf numFmtId="0" fontId="45" fillId="0" borderId="0" xfId="0" applyFont="1" applyAlignment="1" applyProtection="1">
      <alignment horizontal="left" vertical="center" wrapText="1"/>
    </xf>
    <xf numFmtId="0" fontId="45" fillId="0" borderId="0" xfId="0" applyFont="1" applyAlignment="1" applyProtection="1">
      <alignment vertical="center" wrapText="1"/>
    </xf>
    <xf numFmtId="0" fontId="4" fillId="0" borderId="0" xfId="0" applyFont="1" applyProtection="1"/>
    <xf numFmtId="0" fontId="4" fillId="0" borderId="0" xfId="0" applyFont="1" applyFill="1" applyProtection="1"/>
    <xf numFmtId="0" fontId="44" fillId="5" borderId="0" xfId="0" applyFont="1" applyFill="1" applyProtection="1"/>
    <xf numFmtId="0" fontId="4" fillId="0" borderId="35" xfId="0" applyFont="1" applyBorder="1" applyProtection="1"/>
    <xf numFmtId="164" fontId="4" fillId="0" borderId="0" xfId="0" applyNumberFormat="1" applyFont="1" applyProtection="1"/>
    <xf numFmtId="0" fontId="4" fillId="0" borderId="35" xfId="0" quotePrefix="1" applyFont="1" applyBorder="1" applyProtection="1"/>
    <xf numFmtId="164" fontId="4" fillId="0" borderId="0" xfId="0" applyNumberFormat="1" applyFont="1" applyFill="1" applyProtection="1"/>
    <xf numFmtId="0" fontId="16" fillId="0" borderId="0" xfId="0" applyFont="1" applyFill="1" applyBorder="1" applyAlignment="1" applyProtection="1">
      <alignment horizontal="center"/>
    </xf>
    <xf numFmtId="164" fontId="4" fillId="10" borderId="0" xfId="1" applyNumberFormat="1" applyFont="1" applyFill="1" applyBorder="1" applyProtection="1"/>
    <xf numFmtId="164" fontId="4" fillId="0" borderId="0" xfId="1" applyNumberFormat="1" applyFont="1" applyAlignment="1" applyProtection="1">
      <alignment horizontal="left"/>
    </xf>
    <xf numFmtId="0" fontId="4" fillId="0" borderId="0" xfId="0" applyFont="1" applyBorder="1" applyAlignment="1" applyProtection="1">
      <alignment horizontal="left" indent="3"/>
    </xf>
    <xf numFmtId="164" fontId="4" fillId="0" borderId="0" xfId="1" applyNumberFormat="1" applyFont="1" applyProtection="1"/>
    <xf numFmtId="3" fontId="7" fillId="10" borderId="40" xfId="1" applyNumberFormat="1" applyFont="1" applyFill="1" applyBorder="1" applyAlignment="1" applyProtection="1">
      <alignment horizontal="center" vertical="center"/>
    </xf>
    <xf numFmtId="164" fontId="7" fillId="10" borderId="40" xfId="1" applyNumberFormat="1" applyFont="1" applyFill="1" applyBorder="1" applyAlignment="1" applyProtection="1">
      <alignment horizontal="center" vertical="center"/>
    </xf>
    <xf numFmtId="0" fontId="6" fillId="15" borderId="12" xfId="0" applyFont="1" applyFill="1" applyBorder="1" applyProtection="1"/>
    <xf numFmtId="0" fontId="14" fillId="15" borderId="13" xfId="0" applyFont="1" applyFill="1" applyBorder="1" applyProtection="1"/>
    <xf numFmtId="0" fontId="6" fillId="15" borderId="36" xfId="0" applyFont="1" applyFill="1" applyBorder="1" applyAlignment="1" applyProtection="1">
      <alignment horizontal="center"/>
    </xf>
    <xf numFmtId="0" fontId="6" fillId="0" borderId="0" xfId="0" applyFont="1" applyFill="1" applyBorder="1" applyProtection="1"/>
    <xf numFmtId="0" fontId="0" fillId="0" borderId="35" xfId="0" applyFont="1" applyBorder="1" applyProtection="1"/>
    <xf numFmtId="0" fontId="0" fillId="0" borderId="22" xfId="0" applyBorder="1" applyProtection="1"/>
    <xf numFmtId="164" fontId="0" fillId="10" borderId="23" xfId="1" applyNumberFormat="1" applyFont="1" applyFill="1" applyBorder="1" applyProtection="1"/>
    <xf numFmtId="164" fontId="0" fillId="0" borderId="0" xfId="1" applyNumberFormat="1" applyFont="1" applyFill="1" applyBorder="1" applyProtection="1"/>
    <xf numFmtId="43" fontId="0" fillId="0" borderId="0" xfId="0" applyNumberFormat="1" applyProtection="1"/>
    <xf numFmtId="0" fontId="0" fillId="0" borderId="14" xfId="0" applyBorder="1" applyProtection="1"/>
    <xf numFmtId="164" fontId="0" fillId="10" borderId="31" xfId="1" applyNumberFormat="1" applyFont="1" applyFill="1" applyBorder="1" applyProtection="1"/>
    <xf numFmtId="0" fontId="0" fillId="0" borderId="21" xfId="0" quotePrefix="1" applyFont="1" applyBorder="1" applyProtection="1"/>
    <xf numFmtId="0" fontId="35" fillId="0" borderId="0" xfId="0" applyFont="1" applyProtection="1"/>
    <xf numFmtId="0" fontId="14" fillId="0" borderId="0" xfId="0" applyFont="1" applyProtection="1"/>
    <xf numFmtId="0" fontId="60" fillId="0" borderId="0" xfId="0" applyFont="1" applyProtection="1"/>
    <xf numFmtId="1" fontId="14" fillId="0" borderId="0" xfId="0" applyNumberFormat="1" applyFont="1" applyProtection="1"/>
    <xf numFmtId="0" fontId="14" fillId="0" borderId="0" xfId="0" applyFont="1" applyFill="1" applyProtection="1"/>
    <xf numFmtId="0" fontId="62" fillId="0" borderId="0" xfId="0" applyFont="1" applyProtection="1"/>
    <xf numFmtId="164" fontId="61" fillId="10" borderId="0" xfId="1" applyNumberFormat="1" applyFont="1" applyFill="1" applyAlignment="1" applyProtection="1"/>
    <xf numFmtId="0" fontId="62" fillId="0" borderId="0" xfId="0" applyFont="1" applyFill="1" applyProtection="1"/>
    <xf numFmtId="0" fontId="6" fillId="12" borderId="63" xfId="0" applyFont="1" applyFill="1" applyBorder="1" applyProtection="1"/>
    <xf numFmtId="0" fontId="6" fillId="12" borderId="19" xfId="0" applyFont="1" applyFill="1" applyBorder="1" applyProtection="1"/>
    <xf numFmtId="0" fontId="6" fillId="12" borderId="32" xfId="0" applyFont="1" applyFill="1" applyBorder="1" applyProtection="1"/>
    <xf numFmtId="0" fontId="6" fillId="12" borderId="34" xfId="0" applyFont="1" applyFill="1" applyBorder="1" applyProtection="1"/>
    <xf numFmtId="0" fontId="0" fillId="0" borderId="17" xfId="0" applyBorder="1" applyProtection="1"/>
    <xf numFmtId="164" fontId="0" fillId="10" borderId="8" xfId="1" applyNumberFormat="1" applyFont="1" applyFill="1" applyBorder="1" applyProtection="1"/>
    <xf numFmtId="164" fontId="0" fillId="10" borderId="59" xfId="1" applyNumberFormat="1" applyFont="1" applyFill="1" applyBorder="1" applyProtection="1"/>
    <xf numFmtId="0" fontId="0" fillId="0" borderId="3" xfId="0" applyBorder="1" applyProtection="1"/>
    <xf numFmtId="0" fontId="0" fillId="0" borderId="15" xfId="0" applyBorder="1" applyProtection="1"/>
    <xf numFmtId="164" fontId="0" fillId="10" borderId="2" xfId="1" applyNumberFormat="1" applyFont="1" applyFill="1" applyBorder="1" applyProtection="1"/>
    <xf numFmtId="164" fontId="0" fillId="10" borderId="60" xfId="1" applyNumberFormat="1" applyFont="1" applyFill="1" applyBorder="1" applyProtection="1"/>
    <xf numFmtId="164" fontId="0" fillId="10" borderId="5" xfId="1" applyNumberFormat="1" applyFont="1" applyFill="1" applyBorder="1" applyProtection="1"/>
    <xf numFmtId="0" fontId="0" fillId="0" borderId="64" xfId="0" applyBorder="1" applyProtection="1"/>
    <xf numFmtId="0" fontId="0" fillId="0" borderId="53" xfId="0" applyBorder="1" applyProtection="1"/>
    <xf numFmtId="164" fontId="0" fillId="10" borderId="61" xfId="1" applyNumberFormat="1" applyFont="1" applyFill="1" applyBorder="1" applyProtection="1"/>
    <xf numFmtId="164" fontId="0" fillId="10" borderId="62" xfId="1" applyNumberFormat="1" applyFont="1" applyFill="1" applyBorder="1" applyProtection="1"/>
    <xf numFmtId="0" fontId="6" fillId="12" borderId="18" xfId="0" applyFont="1" applyFill="1" applyBorder="1" applyProtection="1"/>
    <xf numFmtId="0" fontId="0" fillId="0" borderId="33" xfId="0" applyFill="1" applyBorder="1" applyAlignment="1" applyProtection="1">
      <alignment horizontal="left" vertical="top" wrapText="1"/>
    </xf>
    <xf numFmtId="0" fontId="0" fillId="0" borderId="5" xfId="0" applyFill="1" applyBorder="1" applyAlignment="1" applyProtection="1">
      <alignment horizontal="left" vertical="top" wrapText="1"/>
    </xf>
    <xf numFmtId="164" fontId="0" fillId="0" borderId="0" xfId="1" applyNumberFormat="1" applyFont="1" applyFill="1" applyBorder="1" applyAlignment="1" applyProtection="1">
      <alignment horizontal="center"/>
    </xf>
    <xf numFmtId="0" fontId="13" fillId="0" borderId="0" xfId="0" applyFont="1" applyProtection="1"/>
    <xf numFmtId="164" fontId="13" fillId="0" borderId="0" xfId="1" applyNumberFormat="1" applyFont="1" applyFill="1" applyBorder="1" applyAlignment="1" applyProtection="1">
      <alignment horizontal="left"/>
    </xf>
    <xf numFmtId="0" fontId="0" fillId="0" borderId="30" xfId="0" applyFill="1" applyBorder="1" applyAlignment="1" applyProtection="1">
      <alignment horizontal="left" vertical="top" wrapText="1"/>
    </xf>
    <xf numFmtId="0" fontId="0" fillId="0" borderId="25" xfId="0" applyFill="1" applyBorder="1" applyAlignment="1" applyProtection="1">
      <alignment horizontal="left" vertical="top" wrapText="1"/>
    </xf>
    <xf numFmtId="0" fontId="0" fillId="0" borderId="0" xfId="0" applyFill="1" applyBorder="1" applyAlignment="1" applyProtection="1">
      <alignment vertical="center" wrapText="1"/>
    </xf>
    <xf numFmtId="0" fontId="45" fillId="0" borderId="0" xfId="0" applyFont="1" applyBorder="1" applyAlignment="1" applyProtection="1">
      <alignment horizontal="left" vertical="center" wrapText="1" indent="1"/>
    </xf>
    <xf numFmtId="1" fontId="0" fillId="6" borderId="0" xfId="0" applyNumberFormat="1" applyFill="1"/>
    <xf numFmtId="0" fontId="6" fillId="20" borderId="20" xfId="0" applyFont="1" applyFill="1" applyBorder="1" applyAlignment="1">
      <alignment wrapText="1"/>
    </xf>
    <xf numFmtId="0" fontId="0" fillId="8" borderId="23" xfId="0" applyFill="1" applyBorder="1" applyAlignment="1" applyProtection="1">
      <alignment horizontal="center" vertical="center"/>
      <protection locked="0"/>
    </xf>
    <xf numFmtId="0" fontId="0" fillId="0" borderId="5" xfId="0" applyBorder="1" applyAlignment="1">
      <alignment vertical="center"/>
    </xf>
    <xf numFmtId="0" fontId="0" fillId="0" borderId="5" xfId="0" applyBorder="1" applyAlignment="1">
      <alignment vertical="center" wrapText="1"/>
    </xf>
    <xf numFmtId="0" fontId="7" fillId="0" borderId="18" xfId="0" applyFont="1" applyBorder="1" applyAlignment="1" applyProtection="1">
      <alignment vertical="center" wrapText="1"/>
    </xf>
    <xf numFmtId="0" fontId="56" fillId="0" borderId="0" xfId="15" quotePrefix="1" applyAlignment="1">
      <alignment horizontal="left" vertical="top" wrapText="1" indent="3"/>
    </xf>
    <xf numFmtId="0" fontId="7" fillId="0" borderId="0" xfId="0" applyFont="1" applyAlignment="1" applyProtection="1">
      <alignment vertical="center" wrapText="1"/>
    </xf>
    <xf numFmtId="170" fontId="0" fillId="0" borderId="14" xfId="21" applyNumberFormat="1" applyFont="1" applyBorder="1"/>
    <xf numFmtId="0" fontId="0" fillId="0" borderId="14" xfId="0" applyBorder="1"/>
    <xf numFmtId="164" fontId="0" fillId="8" borderId="5" xfId="1" applyNumberFormat="1" applyFont="1" applyFill="1" applyBorder="1" applyAlignment="1" applyProtection="1">
      <alignment horizontal="center" vertical="center"/>
      <protection locked="0"/>
    </xf>
    <xf numFmtId="0" fontId="0" fillId="0" borderId="0" xfId="0"/>
    <xf numFmtId="0" fontId="0" fillId="0" borderId="0" xfId="0"/>
    <xf numFmtId="164" fontId="0" fillId="10" borderId="25" xfId="1" applyNumberFormat="1" applyFont="1" applyFill="1" applyBorder="1" applyProtection="1"/>
    <xf numFmtId="164" fontId="0" fillId="10" borderId="29" xfId="1" applyNumberFormat="1" applyFont="1" applyFill="1" applyBorder="1" applyProtection="1"/>
    <xf numFmtId="0" fontId="13" fillId="0" borderId="16" xfId="0" applyFont="1" applyBorder="1" applyAlignment="1" applyProtection="1">
      <alignment horizontal="left"/>
    </xf>
    <xf numFmtId="0" fontId="13" fillId="0" borderId="22" xfId="0" applyFont="1" applyBorder="1" applyAlignment="1" applyProtection="1">
      <alignment horizontal="left"/>
    </xf>
    <xf numFmtId="0" fontId="13" fillId="0" borderId="4" xfId="0" applyFont="1" applyBorder="1" applyAlignment="1" applyProtection="1">
      <alignment horizontal="left"/>
    </xf>
    <xf numFmtId="164" fontId="13" fillId="10" borderId="58" xfId="1" applyNumberFormat="1" applyFont="1" applyFill="1" applyBorder="1" applyProtection="1"/>
    <xf numFmtId="0" fontId="13" fillId="0" borderId="57" xfId="0" applyFont="1" applyBorder="1" applyAlignment="1" applyProtection="1">
      <alignment horizontal="left"/>
    </xf>
    <xf numFmtId="0" fontId="13" fillId="0" borderId="14" xfId="0" applyFont="1" applyBorder="1" applyAlignment="1" applyProtection="1">
      <alignment horizontal="left"/>
    </xf>
    <xf numFmtId="0" fontId="13" fillId="0" borderId="6" xfId="0" applyFont="1" applyBorder="1" applyAlignment="1" applyProtection="1">
      <alignment horizontal="left"/>
    </xf>
    <xf numFmtId="0" fontId="0" fillId="0" borderId="5" xfId="0" applyBorder="1"/>
    <xf numFmtId="0" fontId="0" fillId="0" borderId="0" xfId="0"/>
    <xf numFmtId="0" fontId="6" fillId="12" borderId="19" xfId="0" applyFont="1" applyFill="1" applyBorder="1" applyAlignment="1" applyProtection="1">
      <alignment wrapText="1"/>
    </xf>
    <xf numFmtId="0" fontId="6" fillId="12" borderId="18" xfId="0" applyFont="1" applyFill="1" applyBorder="1" applyAlignment="1" applyProtection="1">
      <alignment wrapText="1"/>
    </xf>
    <xf numFmtId="0" fontId="6" fillId="12" borderId="32" xfId="0" applyFont="1" applyFill="1" applyBorder="1" applyAlignment="1" applyProtection="1">
      <alignment wrapText="1"/>
    </xf>
    <xf numFmtId="0" fontId="6" fillId="12" borderId="34" xfId="0" applyFont="1" applyFill="1" applyBorder="1" applyAlignment="1" applyProtection="1">
      <alignment wrapText="1"/>
    </xf>
    <xf numFmtId="0" fontId="0" fillId="0" borderId="0" xfId="0" applyAlignment="1" applyProtection="1">
      <alignment wrapText="1"/>
    </xf>
    <xf numFmtId="171" fontId="0" fillId="0" borderId="5" xfId="0" applyNumberFormat="1" applyBorder="1"/>
    <xf numFmtId="0" fontId="0" fillId="0" borderId="5" xfId="0" applyFont="1" applyBorder="1"/>
    <xf numFmtId="0" fontId="0" fillId="0" borderId="5" xfId="0" applyFont="1" applyBorder="1" applyAlignment="1">
      <alignment wrapText="1"/>
    </xf>
    <xf numFmtId="171" fontId="0" fillId="0" borderId="5" xfId="0" applyNumberFormat="1" applyFill="1" applyBorder="1"/>
    <xf numFmtId="171" fontId="0" fillId="0" borderId="0" xfId="0" applyNumberFormat="1"/>
    <xf numFmtId="0" fontId="0" fillId="0" borderId="5" xfId="0" applyFill="1" applyBorder="1" applyAlignment="1">
      <alignment wrapText="1"/>
    </xf>
    <xf numFmtId="0" fontId="0" fillId="0" borderId="5" xfId="0" applyBorder="1" applyAlignment="1">
      <alignment wrapText="1"/>
    </xf>
    <xf numFmtId="0" fontId="13" fillId="0" borderId="5" xfId="0" quotePrefix="1" applyFont="1" applyFill="1" applyBorder="1" applyAlignment="1">
      <alignment wrapText="1"/>
    </xf>
    <xf numFmtId="0" fontId="0" fillId="0" borderId="5" xfId="0" applyFont="1" applyFill="1" applyBorder="1"/>
    <xf numFmtId="164" fontId="0" fillId="0" borderId="5" xfId="1" applyNumberFormat="1" applyFont="1" applyFill="1" applyBorder="1"/>
    <xf numFmtId="0" fontId="0" fillId="0" borderId="5" xfId="0" applyFont="1" applyFill="1" applyBorder="1" applyAlignment="1">
      <alignment wrapText="1"/>
    </xf>
    <xf numFmtId="0" fontId="6" fillId="12" borderId="58" xfId="0" applyFont="1" applyFill="1" applyBorder="1"/>
    <xf numFmtId="0" fontId="6" fillId="12" borderId="58" xfId="0" applyFont="1" applyFill="1" applyBorder="1" applyAlignment="1">
      <alignment wrapText="1"/>
    </xf>
    <xf numFmtId="0" fontId="0" fillId="0" borderId="19" xfId="0" applyBorder="1"/>
    <xf numFmtId="171" fontId="0" fillId="0" borderId="19" xfId="0" applyNumberFormat="1" applyBorder="1"/>
    <xf numFmtId="0" fontId="0" fillId="0" borderId="25" xfId="0" applyBorder="1"/>
    <xf numFmtId="171" fontId="0" fillId="0" borderId="25" xfId="0" applyNumberFormat="1" applyBorder="1"/>
    <xf numFmtId="0" fontId="0" fillId="0" borderId="19" xfId="0" applyFill="1" applyBorder="1"/>
    <xf numFmtId="0" fontId="13" fillId="0" borderId="19" xfId="0" quotePrefix="1" applyFont="1" applyFill="1" applyBorder="1" applyAlignment="1">
      <alignment wrapText="1"/>
    </xf>
    <xf numFmtId="171" fontId="0" fillId="0" borderId="19" xfId="0" applyNumberFormat="1" applyFill="1" applyBorder="1"/>
    <xf numFmtId="0" fontId="0" fillId="0" borderId="25" xfId="0" applyFill="1" applyBorder="1"/>
    <xf numFmtId="171" fontId="0" fillId="0" borderId="25" xfId="0" applyNumberFormat="1" applyFill="1" applyBorder="1"/>
    <xf numFmtId="0" fontId="0" fillId="0" borderId="58" xfId="0" applyFill="1" applyBorder="1"/>
    <xf numFmtId="171" fontId="0" fillId="0" borderId="58" xfId="0" applyNumberFormat="1" applyFill="1" applyBorder="1"/>
    <xf numFmtId="0" fontId="0" fillId="0" borderId="19" xfId="0" applyFont="1" applyFill="1" applyBorder="1"/>
    <xf numFmtId="164" fontId="0" fillId="0" borderId="19" xfId="1" applyNumberFormat="1" applyFont="1" applyFill="1" applyBorder="1"/>
    <xf numFmtId="0" fontId="0" fillId="0" borderId="5" xfId="0" quotePrefix="1" applyFill="1" applyBorder="1"/>
    <xf numFmtId="0" fontId="0" fillId="0" borderId="5" xfId="0" quotePrefix="1" applyFill="1" applyBorder="1" applyAlignment="1">
      <alignment wrapText="1"/>
    </xf>
    <xf numFmtId="44" fontId="0" fillId="0" borderId="19" xfId="21" applyFont="1" applyBorder="1"/>
    <xf numFmtId="44" fontId="0" fillId="0" borderId="5" xfId="21" applyFont="1" applyBorder="1"/>
    <xf numFmtId="44" fontId="0" fillId="0" borderId="25" xfId="21" applyFont="1" applyBorder="1"/>
    <xf numFmtId="44" fontId="0" fillId="0" borderId="5" xfId="21" applyFont="1" applyFill="1" applyBorder="1"/>
    <xf numFmtId="44" fontId="0" fillId="0" borderId="19" xfId="21" applyFont="1" applyFill="1" applyBorder="1"/>
    <xf numFmtId="44" fontId="0" fillId="0" borderId="58" xfId="21" applyFont="1" applyFill="1" applyBorder="1"/>
    <xf numFmtId="44" fontId="0" fillId="0" borderId="25" xfId="21" applyFont="1" applyFill="1" applyBorder="1"/>
    <xf numFmtId="44" fontId="0" fillId="0" borderId="23" xfId="21" applyFont="1" applyBorder="1"/>
    <xf numFmtId="44" fontId="0" fillId="0" borderId="29" xfId="21" applyFont="1" applyBorder="1"/>
    <xf numFmtId="44" fontId="0" fillId="0" borderId="20" xfId="21" applyFont="1" applyBorder="1"/>
    <xf numFmtId="44" fontId="0" fillId="0" borderId="23" xfId="21" applyFont="1" applyFill="1" applyBorder="1"/>
    <xf numFmtId="44" fontId="0" fillId="0" borderId="20" xfId="21" applyFont="1" applyFill="1" applyBorder="1"/>
    <xf numFmtId="44" fontId="0" fillId="0" borderId="31" xfId="21" applyFont="1" applyFill="1" applyBorder="1"/>
    <xf numFmtId="44" fontId="0" fillId="0" borderId="29" xfId="21" applyFont="1" applyFill="1" applyBorder="1"/>
    <xf numFmtId="167" fontId="0" fillId="0" borderId="19" xfId="1" applyNumberFormat="1" applyFont="1" applyBorder="1"/>
    <xf numFmtId="167" fontId="0" fillId="0" borderId="5" xfId="1" applyNumberFormat="1" applyFont="1" applyBorder="1"/>
    <xf numFmtId="167" fontId="0" fillId="0" borderId="25" xfId="1" applyNumberFormat="1" applyFont="1" applyBorder="1"/>
    <xf numFmtId="167" fontId="0" fillId="0" borderId="5" xfId="1" applyNumberFormat="1" applyFont="1" applyFill="1" applyBorder="1"/>
    <xf numFmtId="167" fontId="0" fillId="0" borderId="19" xfId="1" applyNumberFormat="1" applyFont="1" applyFill="1" applyBorder="1"/>
    <xf numFmtId="167" fontId="0" fillId="0" borderId="58" xfId="1" applyNumberFormat="1" applyFont="1" applyFill="1" applyBorder="1"/>
    <xf numFmtId="167" fontId="0" fillId="0" borderId="25" xfId="1" applyNumberFormat="1" applyFont="1" applyFill="1" applyBorder="1"/>
    <xf numFmtId="164" fontId="0" fillId="0" borderId="19" xfId="1" applyNumberFormat="1" applyFont="1" applyBorder="1"/>
    <xf numFmtId="164" fontId="0" fillId="0" borderId="5" xfId="1" applyNumberFormat="1" applyFont="1" applyBorder="1"/>
    <xf numFmtId="164" fontId="0" fillId="0" borderId="25" xfId="1" applyNumberFormat="1" applyFont="1" applyBorder="1"/>
    <xf numFmtId="164" fontId="0" fillId="0" borderId="58" xfId="1" applyNumberFormat="1" applyFont="1" applyFill="1" applyBorder="1"/>
    <xf numFmtId="164" fontId="0" fillId="0" borderId="25" xfId="1" applyNumberFormat="1" applyFont="1" applyFill="1" applyBorder="1"/>
    <xf numFmtId="0" fontId="0" fillId="27" borderId="19" xfId="0" applyFill="1" applyBorder="1"/>
    <xf numFmtId="0" fontId="0" fillId="27" borderId="5" xfId="0" applyFill="1" applyBorder="1"/>
    <xf numFmtId="0" fontId="0" fillId="27" borderId="25" xfId="0" applyFill="1" applyBorder="1"/>
    <xf numFmtId="164" fontId="0" fillId="27" borderId="5" xfId="1" applyNumberFormat="1" applyFont="1" applyFill="1" applyBorder="1"/>
    <xf numFmtId="0" fontId="0" fillId="27" borderId="58" xfId="0" applyFill="1" applyBorder="1"/>
    <xf numFmtId="164" fontId="0" fillId="27" borderId="19" xfId="1" applyNumberFormat="1" applyFont="1" applyFill="1" applyBorder="1"/>
    <xf numFmtId="0" fontId="0" fillId="27" borderId="0" xfId="0" applyFill="1" applyBorder="1"/>
    <xf numFmtId="0" fontId="0" fillId="27" borderId="5" xfId="0" applyFill="1" applyBorder="1" applyAlignment="1">
      <alignment wrapText="1"/>
    </xf>
    <xf numFmtId="0" fontId="0" fillId="27" borderId="25" xfId="0" applyFill="1" applyBorder="1" applyAlignment="1">
      <alignment wrapText="1"/>
    </xf>
    <xf numFmtId="0" fontId="0" fillId="27" borderId="19" xfId="0" applyFill="1" applyBorder="1" applyAlignment="1">
      <alignment wrapText="1"/>
    </xf>
    <xf numFmtId="164" fontId="0" fillId="27" borderId="5" xfId="1" applyNumberFormat="1" applyFont="1" applyFill="1" applyBorder="1" applyAlignment="1">
      <alignment wrapText="1"/>
    </xf>
    <xf numFmtId="0" fontId="22" fillId="9" borderId="0" xfId="0" applyFont="1" applyFill="1" applyBorder="1"/>
    <xf numFmtId="0" fontId="0" fillId="28" borderId="19" xfId="0" applyFill="1" applyBorder="1"/>
    <xf numFmtId="0" fontId="0" fillId="28" borderId="5" xfId="0" applyFill="1" applyBorder="1"/>
    <xf numFmtId="0" fontId="0" fillId="28" borderId="25" xfId="0" applyFill="1" applyBorder="1"/>
    <xf numFmtId="164" fontId="0" fillId="28" borderId="5" xfId="1" applyNumberFormat="1" applyFont="1" applyFill="1" applyBorder="1"/>
    <xf numFmtId="0" fontId="0" fillId="28" borderId="58" xfId="0" applyFill="1" applyBorder="1"/>
    <xf numFmtId="164" fontId="0" fillId="28" borderId="19" xfId="1" applyNumberFormat="1" applyFont="1" applyFill="1" applyBorder="1"/>
    <xf numFmtId="0" fontId="0" fillId="28" borderId="0" xfId="0" applyFill="1" applyBorder="1"/>
    <xf numFmtId="0" fontId="0" fillId="28" borderId="5" xfId="0" applyFill="1" applyBorder="1" applyAlignment="1">
      <alignment wrapText="1"/>
    </xf>
    <xf numFmtId="0" fontId="0" fillId="28" borderId="25" xfId="0" applyFill="1" applyBorder="1" applyAlignment="1">
      <alignment wrapText="1"/>
    </xf>
    <xf numFmtId="0" fontId="0" fillId="28" borderId="19" xfId="0" applyFill="1" applyBorder="1" applyAlignment="1">
      <alignment wrapText="1"/>
    </xf>
    <xf numFmtId="164" fontId="0" fillId="28" borderId="5" xfId="1" applyNumberFormat="1" applyFont="1" applyFill="1" applyBorder="1" applyAlignment="1">
      <alignment wrapText="1"/>
    </xf>
    <xf numFmtId="0" fontId="0" fillId="0" borderId="0" xfId="0"/>
    <xf numFmtId="166" fontId="12" fillId="10" borderId="0" xfId="20" applyNumberFormat="1" applyFont="1" applyFill="1"/>
    <xf numFmtId="0" fontId="7" fillId="0" borderId="18" xfId="0" applyFont="1" applyBorder="1" applyAlignment="1" applyProtection="1">
      <alignment horizontal="left" vertical="center" wrapText="1"/>
    </xf>
    <xf numFmtId="0" fontId="7" fillId="0" borderId="73" xfId="0" applyFont="1" applyBorder="1" applyAlignment="1" applyProtection="1">
      <alignment horizontal="left" vertical="center" wrapText="1"/>
    </xf>
    <xf numFmtId="168" fontId="0" fillId="8" borderId="60" xfId="1" applyNumberFormat="1" applyFont="1" applyFill="1" applyBorder="1" applyAlignment="1" applyProtection="1">
      <alignment horizontal="center" vertical="center" wrapText="1"/>
      <protection locked="0"/>
    </xf>
    <xf numFmtId="164" fontId="67" fillId="5" borderId="0" xfId="0" applyNumberFormat="1" applyFont="1" applyFill="1" applyProtection="1"/>
    <xf numFmtId="0" fontId="0" fillId="0" borderId="0" xfId="0"/>
    <xf numFmtId="166" fontId="0" fillId="10" borderId="0" xfId="0" applyNumberFormat="1" applyFill="1"/>
    <xf numFmtId="172" fontId="0" fillId="8" borderId="0" xfId="8" applyNumberFormat="1" applyFont="1" applyFill="1"/>
    <xf numFmtId="43" fontId="0" fillId="10" borderId="0" xfId="1" applyFont="1" applyFill="1"/>
    <xf numFmtId="0" fontId="13" fillId="0" borderId="0" xfId="0" applyFont="1" applyAlignment="1" applyProtection="1">
      <alignment wrapText="1"/>
    </xf>
    <xf numFmtId="0" fontId="6" fillId="12" borderId="74" xfId="0" applyFont="1" applyFill="1" applyBorder="1" applyAlignment="1" applyProtection="1">
      <alignment wrapText="1"/>
    </xf>
    <xf numFmtId="164" fontId="13" fillId="10" borderId="23" xfId="1" applyNumberFormat="1" applyFont="1" applyFill="1" applyBorder="1" applyProtection="1"/>
    <xf numFmtId="0" fontId="13" fillId="0" borderId="35" xfId="0" applyFont="1" applyBorder="1" applyProtection="1"/>
    <xf numFmtId="0" fontId="13" fillId="0" borderId="35" xfId="0" quotePrefix="1" applyFont="1" applyBorder="1" applyProtection="1"/>
    <xf numFmtId="0" fontId="13" fillId="0" borderId="21" xfId="0" applyFont="1" applyBorder="1" applyProtection="1"/>
    <xf numFmtId="0" fontId="13" fillId="0" borderId="14" xfId="0" applyFont="1" applyBorder="1" applyProtection="1"/>
    <xf numFmtId="164" fontId="13" fillId="10" borderId="31" xfId="1" applyNumberFormat="1" applyFont="1" applyFill="1" applyBorder="1" applyProtection="1"/>
    <xf numFmtId="0" fontId="13" fillId="0" borderId="37" xfId="0" applyFont="1" applyBorder="1" applyProtection="1"/>
    <xf numFmtId="0" fontId="13" fillId="0" borderId="28" xfId="0" applyFont="1" applyBorder="1" applyProtection="1"/>
    <xf numFmtId="164" fontId="13" fillId="10" borderId="29" xfId="1" applyNumberFormat="1" applyFont="1" applyFill="1" applyBorder="1" applyProtection="1"/>
    <xf numFmtId="164" fontId="0" fillId="10" borderId="58" xfId="1" applyNumberFormat="1" applyFont="1" applyFill="1" applyBorder="1" applyAlignment="1" applyProtection="1">
      <alignment vertical="center"/>
    </xf>
    <xf numFmtId="164" fontId="0" fillId="10" borderId="5" xfId="1" applyNumberFormat="1" applyFont="1" applyFill="1" applyBorder="1" applyAlignment="1" applyProtection="1">
      <alignment vertical="center"/>
    </xf>
    <xf numFmtId="0" fontId="13" fillId="0" borderId="33" xfId="0" applyFont="1" applyFill="1" applyBorder="1" applyAlignment="1" applyProtection="1">
      <alignment horizontal="left" vertical="top" wrapText="1"/>
    </xf>
    <xf numFmtId="0" fontId="13" fillId="0" borderId="5" xfId="0" applyFont="1" applyFill="1" applyBorder="1" applyAlignment="1" applyProtection="1">
      <alignment horizontal="left" vertical="top" wrapText="1"/>
    </xf>
    <xf numFmtId="0" fontId="7" fillId="0" borderId="39" xfId="0" applyFont="1" applyFill="1" applyBorder="1" applyAlignment="1" applyProtection="1">
      <alignment horizontal="center" vertical="center"/>
    </xf>
    <xf numFmtId="0" fontId="0" fillId="0" borderId="0" xfId="0" applyFill="1" applyAlignment="1" applyProtection="1">
      <alignment vertical="center"/>
    </xf>
    <xf numFmtId="0" fontId="7" fillId="0" borderId="39" xfId="0" applyFont="1" applyFill="1" applyBorder="1" applyAlignment="1" applyProtection="1">
      <alignment horizontal="left" vertical="center" wrapText="1"/>
    </xf>
    <xf numFmtId="0" fontId="7" fillId="0" borderId="39" xfId="0" applyFont="1" applyBorder="1" applyAlignment="1" applyProtection="1">
      <alignment horizontal="center" vertical="center"/>
    </xf>
    <xf numFmtId="172" fontId="0" fillId="8" borderId="29" xfId="8" applyNumberFormat="1" applyFont="1" applyFill="1" applyBorder="1" applyAlignment="1" applyProtection="1">
      <alignment horizontal="center" vertical="center" wrapText="1"/>
      <protection locked="0"/>
    </xf>
    <xf numFmtId="167" fontId="0" fillId="0" borderId="0" xfId="0" applyNumberFormat="1"/>
    <xf numFmtId="173" fontId="0" fillId="0" borderId="0" xfId="0" applyNumberFormat="1"/>
    <xf numFmtId="9" fontId="13" fillId="0" borderId="0" xfId="8" applyFont="1"/>
    <xf numFmtId="164" fontId="13" fillId="0" borderId="0" xfId="0" applyNumberFormat="1" applyFont="1"/>
    <xf numFmtId="0" fontId="7" fillId="0" borderId="5" xfId="0" applyFont="1" applyFill="1" applyBorder="1" applyAlignment="1">
      <alignment wrapText="1"/>
    </xf>
    <xf numFmtId="164" fontId="0" fillId="10" borderId="16" xfId="1" applyNumberFormat="1" applyFont="1" applyFill="1" applyBorder="1" applyAlignment="1" applyProtection="1">
      <alignment horizontal="center"/>
    </xf>
    <xf numFmtId="164" fontId="13" fillId="10" borderId="16" xfId="1" applyNumberFormat="1" applyFont="1" applyFill="1" applyBorder="1" applyAlignment="1" applyProtection="1">
      <alignment horizontal="center"/>
    </xf>
    <xf numFmtId="164" fontId="0" fillId="10" borderId="26" xfId="1" applyNumberFormat="1" applyFont="1" applyFill="1" applyBorder="1" applyAlignment="1" applyProtection="1">
      <alignment horizontal="center"/>
    </xf>
    <xf numFmtId="0" fontId="6" fillId="12" borderId="20" xfId="0" applyFont="1" applyFill="1" applyBorder="1" applyProtection="1"/>
    <xf numFmtId="170" fontId="0" fillId="10" borderId="23" xfId="21" applyNumberFormat="1" applyFont="1" applyFill="1" applyBorder="1" applyProtection="1"/>
    <xf numFmtId="170" fontId="0" fillId="10" borderId="29" xfId="21" applyNumberFormat="1" applyFont="1" applyFill="1" applyBorder="1" applyProtection="1"/>
    <xf numFmtId="170" fontId="0" fillId="10" borderId="46" xfId="0" applyNumberFormat="1" applyFill="1" applyBorder="1" applyProtection="1"/>
    <xf numFmtId="0" fontId="4" fillId="0" borderId="0" xfId="0" applyFont="1"/>
    <xf numFmtId="0" fontId="68" fillId="0" borderId="0" xfId="0" applyFont="1"/>
    <xf numFmtId="0" fontId="4" fillId="0" borderId="0" xfId="0" applyFont="1" applyFill="1"/>
    <xf numFmtId="170" fontId="0" fillId="8" borderId="5" xfId="21" applyNumberFormat="1" applyFont="1" applyFill="1" applyBorder="1" applyProtection="1">
      <protection locked="0"/>
    </xf>
    <xf numFmtId="170" fontId="0" fillId="8" borderId="25" xfId="21" applyNumberFormat="1" applyFont="1" applyFill="1" applyBorder="1" applyProtection="1">
      <protection locked="0"/>
    </xf>
    <xf numFmtId="0" fontId="0" fillId="0" borderId="0" xfId="0" applyAlignment="1" applyProtection="1">
      <alignment vertical="center"/>
    </xf>
    <xf numFmtId="164" fontId="0" fillId="10" borderId="31" xfId="1" applyNumberFormat="1" applyFont="1" applyFill="1" applyBorder="1" applyAlignment="1" applyProtection="1">
      <alignment vertical="center"/>
    </xf>
    <xf numFmtId="164" fontId="0" fillId="10" borderId="23" xfId="1" applyNumberFormat="1" applyFont="1" applyFill="1" applyBorder="1" applyAlignment="1" applyProtection="1">
      <alignment vertical="center"/>
    </xf>
    <xf numFmtId="164" fontId="0" fillId="8" borderId="2" xfId="1" applyNumberFormat="1" applyFont="1" applyFill="1" applyBorder="1" applyProtection="1">
      <protection locked="0"/>
    </xf>
    <xf numFmtId="164" fontId="0" fillId="0" borderId="2" xfId="1" applyNumberFormat="1" applyFont="1" applyBorder="1"/>
    <xf numFmtId="44" fontId="0" fillId="0" borderId="5" xfId="21" applyNumberFormat="1" applyFont="1" applyBorder="1"/>
    <xf numFmtId="44" fontId="0" fillId="0" borderId="0" xfId="0" applyNumberFormat="1"/>
    <xf numFmtId="0" fontId="69" fillId="0" borderId="0" xfId="0" applyFont="1" applyProtection="1"/>
    <xf numFmtId="0" fontId="7" fillId="0" borderId="35" xfId="0" applyFont="1" applyBorder="1" applyAlignment="1" applyProtection="1">
      <alignment horizontal="center" vertical="center"/>
    </xf>
    <xf numFmtId="0" fontId="7" fillId="0" borderId="30" xfId="0" applyFont="1" applyBorder="1" applyAlignment="1" applyProtection="1">
      <alignment horizontal="center" vertical="top"/>
    </xf>
    <xf numFmtId="0" fontId="7" fillId="10" borderId="16" xfId="0" applyFont="1" applyFill="1" applyBorder="1" applyAlignment="1">
      <alignment horizontal="center"/>
    </xf>
    <xf numFmtId="0" fontId="7" fillId="10" borderId="4" xfId="0" applyFont="1" applyFill="1" applyBorder="1" applyAlignment="1">
      <alignment horizontal="center"/>
    </xf>
    <xf numFmtId="0" fontId="25" fillId="20" borderId="18" xfId="0" applyFont="1" applyFill="1" applyBorder="1" applyAlignment="1">
      <alignment horizontal="center" vertical="center"/>
    </xf>
    <xf numFmtId="0" fontId="25" fillId="20" borderId="19" xfId="0" applyFont="1" applyFill="1" applyBorder="1" applyAlignment="1">
      <alignment horizontal="center" vertical="center"/>
    </xf>
    <xf numFmtId="0" fontId="64" fillId="0" borderId="33" xfId="0" applyFont="1" applyBorder="1" applyAlignment="1">
      <alignment horizontal="left" vertical="center" wrapText="1"/>
    </xf>
    <xf numFmtId="0" fontId="64" fillId="0" borderId="5" xfId="0" applyFont="1" applyBorder="1" applyAlignment="1">
      <alignment horizontal="left" vertical="center" wrapText="1"/>
    </xf>
    <xf numFmtId="0" fontId="64" fillId="0" borderId="33" xfId="0" applyFont="1" applyBorder="1" applyAlignment="1">
      <alignment horizontal="left" vertical="top" wrapText="1"/>
    </xf>
    <xf numFmtId="0" fontId="64" fillId="0" borderId="5" xfId="0" applyFont="1" applyBorder="1" applyAlignment="1">
      <alignment horizontal="left" vertical="top" wrapText="1"/>
    </xf>
    <xf numFmtId="0" fontId="64" fillId="0" borderId="30" xfId="0" applyFont="1" applyBorder="1" applyAlignment="1">
      <alignment horizontal="left" vertical="top" wrapText="1"/>
    </xf>
    <xf numFmtId="0" fontId="64" fillId="0" borderId="25" xfId="0" applyFont="1" applyBorder="1" applyAlignment="1">
      <alignment horizontal="left" vertical="top" wrapText="1"/>
    </xf>
    <xf numFmtId="0" fontId="0" fillId="0" borderId="0" xfId="0" applyAlignment="1">
      <alignment horizontal="left"/>
    </xf>
    <xf numFmtId="0" fontId="0" fillId="0" borderId="0" xfId="0" applyAlignment="1">
      <alignment horizontal="left" wrapText="1"/>
    </xf>
    <xf numFmtId="0" fontId="36" fillId="19" borderId="44" xfId="0" quotePrefix="1" applyFont="1" applyFill="1" applyBorder="1" applyAlignment="1">
      <alignment horizontal="left"/>
    </xf>
    <xf numFmtId="0" fontId="36" fillId="19" borderId="0" xfId="0" applyFont="1" applyFill="1" applyAlignment="1">
      <alignment horizontal="left"/>
    </xf>
    <xf numFmtId="0" fontId="36" fillId="19" borderId="45" xfId="0" applyFont="1" applyFill="1" applyBorder="1" applyAlignment="1">
      <alignment horizontal="left"/>
    </xf>
    <xf numFmtId="0" fontId="25" fillId="20" borderId="41" xfId="0" applyFont="1" applyFill="1" applyBorder="1" applyAlignment="1">
      <alignment horizontal="center" vertical="center"/>
    </xf>
    <xf numFmtId="0" fontId="25" fillId="20" borderId="42" xfId="0" applyFont="1" applyFill="1" applyBorder="1" applyAlignment="1">
      <alignment horizontal="center" vertical="center"/>
    </xf>
    <xf numFmtId="0" fontId="25" fillId="20" borderId="43" xfId="0" applyFont="1" applyFill="1" applyBorder="1" applyAlignment="1">
      <alignment horizontal="center" vertical="center"/>
    </xf>
    <xf numFmtId="0" fontId="0" fillId="0" borderId="41" xfId="0"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xf numFmtId="0" fontId="7" fillId="13" borderId="0" xfId="0" applyFont="1" applyFill="1" applyAlignment="1">
      <alignment horizontal="left" vertical="center"/>
    </xf>
    <xf numFmtId="0" fontId="0" fillId="0" borderId="5" xfId="0" applyBorder="1"/>
    <xf numFmtId="0" fontId="34" fillId="21" borderId="0" xfId="0" applyFont="1" applyFill="1" applyAlignment="1" applyProtection="1">
      <alignment horizontal="left" vertical="center" wrapText="1"/>
    </xf>
    <xf numFmtId="0" fontId="0" fillId="0" borderId="16" xfId="0" applyFill="1" applyBorder="1" applyAlignment="1" applyProtection="1">
      <alignment horizontal="left" vertical="top" wrapText="1"/>
    </xf>
    <xf numFmtId="0" fontId="0" fillId="0" borderId="4" xfId="0" applyFill="1" applyBorder="1" applyAlignment="1" applyProtection="1">
      <alignment horizontal="left" vertical="top" wrapText="1"/>
    </xf>
    <xf numFmtId="0" fontId="13" fillId="0" borderId="16" xfId="0" applyFont="1" applyFill="1" applyBorder="1" applyAlignment="1" applyProtection="1">
      <alignment horizontal="left" vertical="top" wrapText="1"/>
    </xf>
    <xf numFmtId="0" fontId="13" fillId="0" borderId="4" xfId="0" applyFont="1" applyFill="1" applyBorder="1" applyAlignment="1" applyProtection="1">
      <alignment horizontal="left" vertical="top" wrapText="1"/>
    </xf>
    <xf numFmtId="0" fontId="0" fillId="0" borderId="0" xfId="0" applyBorder="1"/>
    <xf numFmtId="0" fontId="0" fillId="0" borderId="26" xfId="0" applyFill="1" applyBorder="1" applyAlignment="1" applyProtection="1">
      <alignment horizontal="left" vertical="top" wrapText="1"/>
    </xf>
    <xf numFmtId="0" fontId="0" fillId="0" borderId="27" xfId="0" applyFill="1" applyBorder="1" applyAlignment="1" applyProtection="1">
      <alignment horizontal="left" vertical="top" wrapText="1"/>
    </xf>
    <xf numFmtId="0" fontId="6" fillId="12" borderId="32" xfId="0" applyFont="1" applyFill="1" applyBorder="1" applyAlignment="1" applyProtection="1">
      <alignment horizontal="left"/>
    </xf>
    <xf numFmtId="0" fontId="6" fillId="12" borderId="34" xfId="0" applyFont="1" applyFill="1" applyBorder="1" applyAlignment="1" applyProtection="1">
      <alignment horizontal="left"/>
    </xf>
    <xf numFmtId="0" fontId="0" fillId="0" borderId="0" xfId="0" applyBorder="1" applyAlignment="1">
      <alignment wrapText="1"/>
    </xf>
    <xf numFmtId="0" fontId="0" fillId="0" borderId="26" xfId="0" applyBorder="1" applyAlignment="1" applyProtection="1">
      <alignment horizontal="left"/>
    </xf>
    <xf numFmtId="0" fontId="0" fillId="0" borderId="28" xfId="0" applyBorder="1" applyAlignment="1" applyProtection="1">
      <alignment horizontal="left"/>
    </xf>
    <xf numFmtId="0" fontId="0" fillId="0" borderId="27" xfId="0" applyBorder="1" applyAlignment="1" applyProtection="1">
      <alignment horizontal="left"/>
    </xf>
    <xf numFmtId="0" fontId="56" fillId="0" borderId="0" xfId="15" applyFill="1" applyBorder="1" applyAlignment="1" applyProtection="1">
      <alignment horizontal="left" vertical="center" wrapText="1"/>
    </xf>
    <xf numFmtId="0" fontId="21" fillId="0" borderId="10" xfId="0" applyFont="1" applyBorder="1" applyAlignment="1" applyProtection="1">
      <alignment horizontal="left" vertical="center" wrapText="1"/>
    </xf>
    <xf numFmtId="3" fontId="45" fillId="0" borderId="0" xfId="0" applyNumberFormat="1" applyFont="1" applyBorder="1" applyAlignment="1" applyProtection="1">
      <alignment horizontal="left" vertical="center" wrapText="1" indent="1"/>
    </xf>
    <xf numFmtId="3" fontId="45" fillId="0" borderId="0" xfId="0" applyNumberFormat="1" applyFont="1" applyAlignment="1" applyProtection="1">
      <alignment horizontal="left" vertical="center" wrapText="1" indent="1"/>
    </xf>
    <xf numFmtId="0" fontId="45" fillId="0" borderId="0" xfId="0" applyFont="1" applyBorder="1" applyAlignment="1" applyProtection="1">
      <alignment horizontal="left" vertical="center" wrapText="1" indent="1"/>
    </xf>
    <xf numFmtId="0" fontId="45" fillId="0" borderId="0" xfId="0" applyFont="1" applyAlignment="1" applyProtection="1">
      <alignment horizontal="left" vertical="center" wrapText="1" indent="1"/>
    </xf>
    <xf numFmtId="0" fontId="22" fillId="0" borderId="38" xfId="0" applyFont="1" applyFill="1" applyBorder="1" applyAlignment="1" applyProtection="1">
      <alignment horizontal="center"/>
    </xf>
    <xf numFmtId="0" fontId="0" fillId="0" borderId="57" xfId="0" applyBorder="1" applyAlignment="1" applyProtection="1">
      <alignment horizontal="left" vertical="center" wrapText="1"/>
    </xf>
    <xf numFmtId="0" fontId="0" fillId="0" borderId="14"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17" xfId="0" applyBorder="1" applyAlignment="1" applyProtection="1">
      <alignment horizontal="left" wrapText="1"/>
    </xf>
    <xf numFmtId="0" fontId="0" fillId="0" borderId="0" xfId="0" applyBorder="1" applyAlignment="1" applyProtection="1">
      <alignment horizontal="left" wrapText="1"/>
    </xf>
    <xf numFmtId="0" fontId="0" fillId="0" borderId="7" xfId="0" applyBorder="1" applyAlignment="1" applyProtection="1">
      <alignment horizontal="left" wrapText="1"/>
    </xf>
    <xf numFmtId="0" fontId="0" fillId="0" borderId="16" xfId="0" applyBorder="1" applyAlignment="1" applyProtection="1">
      <alignment horizontal="left" vertical="center" wrapText="1"/>
    </xf>
    <xf numFmtId="0" fontId="0" fillId="0" borderId="22" xfId="0" applyBorder="1" applyAlignment="1" applyProtection="1">
      <alignment horizontal="left" vertical="center" wrapText="1"/>
    </xf>
    <xf numFmtId="0" fontId="0" fillId="0" borderId="4" xfId="0" applyBorder="1" applyAlignment="1" applyProtection="1">
      <alignment horizontal="left" vertical="center" wrapText="1"/>
    </xf>
    <xf numFmtId="0" fontId="62" fillId="0" borderId="0" xfId="0" applyFont="1" applyAlignment="1" applyProtection="1">
      <alignment horizontal="left" vertical="center" wrapText="1"/>
    </xf>
    <xf numFmtId="0" fontId="7" fillId="0" borderId="70" xfId="0" applyFont="1" applyBorder="1" applyAlignment="1" applyProtection="1">
      <alignment horizontal="center" vertical="center"/>
    </xf>
    <xf numFmtId="0" fontId="7" fillId="0" borderId="71" xfId="0" applyFont="1" applyBorder="1" applyAlignment="1" applyProtection="1">
      <alignment horizontal="center" vertical="center"/>
    </xf>
    <xf numFmtId="0" fontId="7" fillId="0" borderId="73" xfId="0" applyFont="1" applyBorder="1" applyAlignment="1" applyProtection="1">
      <alignment horizontal="center" vertical="center"/>
    </xf>
    <xf numFmtId="0" fontId="7" fillId="0" borderId="72" xfId="0" applyFont="1" applyBorder="1" applyAlignment="1" applyProtection="1">
      <alignment horizontal="center" vertical="center"/>
    </xf>
    <xf numFmtId="0" fontId="0" fillId="0" borderId="16" xfId="0" applyBorder="1" applyAlignment="1" applyProtection="1">
      <alignment horizontal="left"/>
    </xf>
    <xf numFmtId="0" fontId="0" fillId="0" borderId="22" xfId="0" applyBorder="1" applyAlignment="1" applyProtection="1">
      <alignment horizontal="left"/>
    </xf>
    <xf numFmtId="0" fontId="0" fillId="0" borderId="4" xfId="0" applyBorder="1" applyAlignment="1" applyProtection="1">
      <alignment horizontal="left"/>
    </xf>
    <xf numFmtId="0" fontId="7" fillId="0" borderId="67"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72" xfId="0" applyFont="1" applyBorder="1" applyAlignment="1">
      <alignment horizontal="center" vertical="center" wrapText="1"/>
    </xf>
    <xf numFmtId="0" fontId="6" fillId="26" borderId="5" xfId="0" applyFont="1" applyFill="1" applyBorder="1" applyAlignment="1">
      <alignment horizontal="center"/>
    </xf>
    <xf numFmtId="0" fontId="7" fillId="0" borderId="67"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67"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33"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34" fillId="21" borderId="0" xfId="0" applyFont="1" applyFill="1" applyAlignment="1">
      <alignment horizontal="left" vertical="top" wrapText="1"/>
    </xf>
    <xf numFmtId="0" fontId="7" fillId="0" borderId="0" xfId="0" applyFont="1" applyAlignment="1">
      <alignment horizontal="center"/>
    </xf>
    <xf numFmtId="0" fontId="7" fillId="13" borderId="0" xfId="0" applyFont="1" applyFill="1" applyAlignment="1">
      <alignment horizontal="center"/>
    </xf>
    <xf numFmtId="0" fontId="24" fillId="14" borderId="0" xfId="0" applyFont="1" applyFill="1" applyAlignment="1">
      <alignment horizontal="center" vertical="center"/>
    </xf>
    <xf numFmtId="0" fontId="7" fillId="0" borderId="0" xfId="0" applyFont="1" applyAlignment="1">
      <alignment horizontal="left"/>
    </xf>
    <xf numFmtId="0" fontId="0" fillId="0" borderId="0" xfId="0" applyAlignment="1">
      <alignment horizontal="left" vertical="top" wrapText="1"/>
    </xf>
    <xf numFmtId="0" fontId="0" fillId="0" borderId="17" xfId="0" applyBorder="1" applyAlignment="1">
      <alignment horizontal="left" wrapText="1"/>
    </xf>
    <xf numFmtId="1" fontId="7" fillId="0" borderId="17" xfId="0" applyNumberFormat="1" applyFont="1" applyBorder="1" applyAlignment="1">
      <alignment horizontal="left" wrapText="1"/>
    </xf>
    <xf numFmtId="1" fontId="7" fillId="0" borderId="0" xfId="0" applyNumberFormat="1" applyFont="1" applyAlignment="1">
      <alignment horizontal="left" wrapText="1"/>
    </xf>
    <xf numFmtId="0" fontId="7" fillId="0" borderId="15" xfId="0" applyFont="1" applyBorder="1" applyAlignment="1">
      <alignment horizontal="center"/>
    </xf>
  </cellXfs>
  <cellStyles count="22">
    <cellStyle name="Comma" xfId="1" builtinId="3"/>
    <cellStyle name="Comma 2" xfId="3"/>
    <cellStyle name="Comma 3" xfId="9"/>
    <cellStyle name="Comma 4" xfId="12"/>
    <cellStyle name="Currency" xfId="21" builtinId="4"/>
    <cellStyle name="Data 2" xfId="17"/>
    <cellStyle name="Header 2" xfId="18"/>
    <cellStyle name="HeaderHyperlink 2" xfId="19"/>
    <cellStyle name="Hyperlink" xfId="15" builtinId="8"/>
    <cellStyle name="Input" xfId="5" builtinId="20"/>
    <cellStyle name="Normal" xfId="0" builtinId="0"/>
    <cellStyle name="Normal 2" xfId="2"/>
    <cellStyle name="Normal 2 2" xfId="4"/>
    <cellStyle name="Normal 2 2 2" xfId="13"/>
    <cellStyle name="Normal 2 3" xfId="10"/>
    <cellStyle name="Normal 3" xfId="6"/>
    <cellStyle name="Normal 3 2" xfId="7"/>
    <cellStyle name="Normal 4" xfId="11"/>
    <cellStyle name="Normal 4 2" xfId="14"/>
    <cellStyle name="Normal 4 3" xfId="20"/>
    <cellStyle name="Normal 5" xfId="16"/>
    <cellStyle name="Percent" xfId="8" builtinId="5"/>
  </cellStyles>
  <dxfs count="48">
    <dxf>
      <alignment horizontal="center" vertical="bottom" textRotation="0" wrapText="0" indent="0" justifyLastLine="0" shrinkToFit="0" readingOrder="0"/>
      <border diagonalUp="0" diagonalDown="0">
        <left style="thin">
          <color indexed="64"/>
        </left>
        <right/>
        <top/>
        <bottom style="thin">
          <color indexed="64"/>
        </bottom>
        <vertical/>
        <horizontal/>
      </border>
    </dxf>
    <dxf>
      <alignment horizontal="center" vertical="bottom" textRotation="0" wrapText="0" indent="0" justifyLastLine="0" shrinkToFit="0" readingOrder="0"/>
      <border diagonalUp="0" diagonalDown="0">
        <left style="thin">
          <color indexed="64"/>
        </left>
        <right/>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left" vertical="bottom" textRotation="0" wrapText="0" indent="1" justifyLastLine="0" shrinkToFit="0" readingOrder="0"/>
      <border diagonalUp="0" diagonalDown="0">
        <left/>
        <right style="thin">
          <color indexed="64"/>
        </right>
        <top/>
        <bottom style="thin">
          <color indexed="64"/>
        </bottom>
        <vertical/>
        <horizontal/>
      </border>
    </dxf>
    <dxf>
      <alignment horizontal="left" vertical="bottom" textRotation="0" wrapText="0" indent="1" justifyLastLine="0" shrinkToFit="0" readingOrder="0"/>
      <border diagonalUp="0" diagonalDown="0">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numFmt numFmtId="1" formatCode="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1" formatCode="0"/>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alignment horizontal="center" vertical="bottom" textRotation="0" wrapText="0" indent="0" justifyLastLine="0" shrinkToFit="0" readingOrder="0"/>
      <border diagonalUp="0" diagonalDown="0">
        <left style="thin">
          <color indexed="64"/>
        </left>
        <right/>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left" vertical="bottom" textRotation="0" wrapText="0" indent="1" justifyLastLine="0" shrinkToFit="0" readingOrder="0"/>
      <border diagonalUp="0" diagonalDown="0">
        <left/>
        <right style="thin">
          <color indexed="64"/>
        </right>
        <top/>
        <bottom style="thin">
          <color indexed="64"/>
        </bottom>
        <vertical/>
        <horizontal/>
      </border>
    </dxf>
    <dxf>
      <numFmt numFmtId="0" formatCode="General"/>
      <alignment horizontal="left" vertical="bottom" textRotation="0" wrapText="0" indent="1" justifyLastLine="0" shrinkToFit="0" readingOrder="0"/>
      <border diagonalUp="0" diagonalDown="0">
        <left/>
        <right style="thin">
          <color indexed="64"/>
        </right>
        <top/>
        <bottom style="thin">
          <color indexed="64"/>
        </bottom>
        <vertical/>
        <horizontal/>
      </border>
    </dxf>
    <dxf>
      <alignment horizontal="left" vertical="bottom" textRotation="0" wrapText="0" indent="1" justifyLastLine="0" shrinkToFit="0" readingOrder="0"/>
      <border diagonalUp="0" diagonalDown="0">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alignment horizontal="center" vertical="bottom"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dxf>
    <dxf>
      <font>
        <color theme="0"/>
      </font>
      <fill>
        <patternFill patternType="none">
          <bgColor auto="1"/>
        </patternFill>
      </fill>
    </dxf>
    <dxf>
      <font>
        <b/>
        <i val="0"/>
        <color theme="0"/>
      </font>
      <fill>
        <patternFill>
          <bgColor rgb="FFC00000"/>
        </patternFill>
      </fill>
    </dxf>
    <dxf>
      <font>
        <color theme="0"/>
      </font>
      <fill>
        <patternFill>
          <bgColor theme="0"/>
        </patternFill>
      </fill>
      <border>
        <left/>
        <right/>
        <top/>
        <bottom/>
        <vertical/>
        <horizontal/>
      </border>
    </dxf>
    <dxf>
      <font>
        <b/>
        <i val="0"/>
        <color rgb="FFFF0000"/>
      </font>
      <fill>
        <patternFill patternType="none">
          <bgColor auto="1"/>
        </patternFill>
      </fill>
      <border>
        <left style="thin">
          <color auto="1"/>
        </left>
        <right/>
        <top/>
        <bottom/>
        <vertical/>
        <horizontal/>
      </border>
    </dxf>
    <dxf>
      <font>
        <b/>
        <i val="0"/>
        <color rgb="FFFF0000"/>
      </font>
      <fill>
        <patternFill>
          <bgColor theme="0"/>
        </patternFill>
      </fill>
      <border>
        <left style="thin">
          <color auto="1"/>
        </left>
        <right/>
        <top/>
        <bottom/>
      </border>
    </dxf>
    <dxf>
      <font>
        <b/>
        <i val="0"/>
        <strike val="0"/>
        <color rgb="FFFF0000"/>
      </font>
      <fill>
        <patternFill patternType="none">
          <bgColor auto="1"/>
        </patternFill>
      </fill>
      <border>
        <left style="thin">
          <color auto="1"/>
        </left>
        <right/>
        <top/>
        <bottom/>
      </border>
    </dxf>
    <dxf>
      <font>
        <color theme="0"/>
      </font>
      <fill>
        <patternFill patternType="none">
          <bgColor auto="1"/>
        </patternFill>
      </fill>
      <border>
        <left/>
        <right/>
        <top/>
        <bottom/>
        <vertical/>
        <horizontal/>
      </border>
    </dxf>
    <dxf>
      <font>
        <color theme="0"/>
      </font>
    </dxf>
    <dxf>
      <font>
        <color theme="0"/>
      </font>
      <fill>
        <patternFill patternType="solid">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b/>
        <i val="0"/>
        <color rgb="FFFF0000"/>
      </font>
    </dxf>
    <dxf>
      <font>
        <color theme="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border>
        <left/>
        <right style="thin">
          <color auto="1"/>
        </right>
        <top/>
        <bottom/>
        <vertical/>
        <horizontal/>
      </border>
    </dxf>
    <dxf>
      <font>
        <b/>
        <i val="0"/>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style="thin">
          <color auto="1"/>
        </top>
        <bottom/>
        <vertical/>
        <horizontal/>
      </border>
    </dxf>
    <dxf>
      <font>
        <b/>
        <i val="0"/>
        <color theme="0"/>
      </font>
      <fill>
        <patternFill>
          <bgColor rgb="FFC00000"/>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1E7FB8"/>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8"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solidFill>
              </a:rPr>
              <a:t>COVID-19 Cases</a:t>
            </a:r>
            <a:br>
              <a:rPr lang="en-US" b="1">
                <a:solidFill>
                  <a:schemeClr val="tx1"/>
                </a:solidFill>
              </a:rPr>
            </a:br>
            <a:r>
              <a:rPr lang="en-US" b="0" i="1">
                <a:solidFill>
                  <a:schemeClr val="tx1"/>
                </a:solidFill>
              </a:rPr>
              <a:t>Over</a:t>
            </a:r>
            <a:r>
              <a:rPr lang="en-US" b="0" i="1" baseline="0">
                <a:solidFill>
                  <a:schemeClr val="tx1"/>
                </a:solidFill>
              </a:rPr>
              <a:t> Forecast Period</a:t>
            </a:r>
            <a:endParaRPr lang="en-US" b="1">
              <a:solidFill>
                <a:schemeClr val="tx1"/>
              </a:solidFill>
            </a:endParaRPr>
          </a:p>
        </c:rich>
      </c:tx>
      <c:layout>
        <c:manualLayout>
          <c:xMode val="edge"/>
          <c:yMode val="edge"/>
          <c:x val="0.63559426361375171"/>
          <c:y val="3.0586522355755798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13606037340571"/>
          <c:y val="5.2287571914125613E-2"/>
          <c:w val="0.50514733277387946"/>
          <c:h val="0.81978191927951694"/>
        </c:manualLayout>
      </c:layout>
      <c:barChart>
        <c:barDir val="col"/>
        <c:grouping val="stacked"/>
        <c:varyColors val="0"/>
        <c:ser>
          <c:idx val="0"/>
          <c:order val="0"/>
          <c:tx>
            <c:v>Mild Cases</c:v>
          </c:tx>
          <c:spPr>
            <a:solidFill>
              <a:srgbClr val="1E7FB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
              <c:pt idx="0">
                <c:v>COVID-19 Cases</c:v>
              </c:pt>
            </c:strLit>
          </c:cat>
          <c:val>
            <c:numRef>
              <c:f>'User Dashboard'!$C$39</c:f>
              <c:numCache>
                <c:formatCode>_(* #,##0_);_(* \(#,##0\);_(* "-"??_);_(@_)</c:formatCode>
                <c:ptCount val="1"/>
                <c:pt idx="0">
                  <c:v>1158.5237502960397</c:v>
                </c:pt>
              </c:numCache>
            </c:numRef>
          </c:val>
          <c:extLst>
            <c:ext xmlns:c16="http://schemas.microsoft.com/office/drawing/2014/chart" uri="{C3380CC4-5D6E-409C-BE32-E72D297353CC}">
              <c16:uniqueId val="{00000000-D134-477C-BC17-E3F1C40F83EB}"/>
            </c:ext>
          </c:extLst>
        </c:ser>
        <c:ser>
          <c:idx val="1"/>
          <c:order val="1"/>
          <c:tx>
            <c:v>Severe Cases</c:v>
          </c:tx>
          <c:spPr>
            <a:solidFill>
              <a:schemeClr val="tx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
              <c:pt idx="0">
                <c:v>COVID-19 Cases</c:v>
              </c:pt>
            </c:strLit>
          </c:cat>
          <c:val>
            <c:numRef>
              <c:f>'User Dashboard'!$C$40</c:f>
              <c:numCache>
                <c:formatCode>_(* #,##0_);_(* \(#,##0\);_(* "-"??_);_(@_)</c:formatCode>
                <c:ptCount val="1"/>
                <c:pt idx="0">
                  <c:v>217.22320318050743</c:v>
                </c:pt>
              </c:numCache>
            </c:numRef>
          </c:val>
          <c:extLst>
            <c:ext xmlns:c16="http://schemas.microsoft.com/office/drawing/2014/chart" uri="{C3380CC4-5D6E-409C-BE32-E72D297353CC}">
              <c16:uniqueId val="{00000001-D134-477C-BC17-E3F1C40F83EB}"/>
            </c:ext>
          </c:extLst>
        </c:ser>
        <c:ser>
          <c:idx val="2"/>
          <c:order val="2"/>
          <c:tx>
            <c:v>Critical Cases</c:v>
          </c:tx>
          <c:spPr>
            <a:solidFill>
              <a:srgbClr val="C0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
              <c:pt idx="0">
                <c:v>COVID-19 Cases</c:v>
              </c:pt>
            </c:strLit>
          </c:cat>
          <c:val>
            <c:numRef>
              <c:f>'User Dashboard'!$C$41</c:f>
              <c:numCache>
                <c:formatCode>_(* #,##0_);_(* \(#,##0\);_(* "-"??_);_(@_)</c:formatCode>
                <c:ptCount val="1"/>
                <c:pt idx="0">
                  <c:v>72.40773439350248</c:v>
                </c:pt>
              </c:numCache>
            </c:numRef>
          </c:val>
          <c:extLst>
            <c:ext xmlns:c16="http://schemas.microsoft.com/office/drawing/2014/chart" uri="{C3380CC4-5D6E-409C-BE32-E72D297353CC}">
              <c16:uniqueId val="{00000002-D134-477C-BC17-E3F1C40F83EB}"/>
            </c:ext>
          </c:extLst>
        </c:ser>
        <c:dLbls>
          <c:showLegendKey val="0"/>
          <c:showVal val="0"/>
          <c:showCatName val="0"/>
          <c:showSerName val="0"/>
          <c:showPercent val="0"/>
          <c:showBubbleSize val="0"/>
        </c:dLbls>
        <c:gapWidth val="150"/>
        <c:overlap val="100"/>
        <c:axId val="896612568"/>
        <c:axId val="896621424"/>
      </c:barChart>
      <c:catAx>
        <c:axId val="89661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896621424"/>
        <c:crosses val="autoZero"/>
        <c:auto val="1"/>
        <c:lblAlgn val="ctr"/>
        <c:lblOffset val="100"/>
        <c:noMultiLvlLbl val="0"/>
      </c:catAx>
      <c:valAx>
        <c:axId val="896621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96612568"/>
        <c:crosses val="autoZero"/>
        <c:crossBetween val="between"/>
      </c:valAx>
      <c:spPr>
        <a:noFill/>
        <a:ln>
          <a:noFill/>
        </a:ln>
        <a:effectLst/>
      </c:spPr>
    </c:plotArea>
    <c:legend>
      <c:legendPos val="r"/>
      <c:layout>
        <c:manualLayout>
          <c:xMode val="edge"/>
          <c:yMode val="edge"/>
          <c:x val="0.62730682474214527"/>
          <c:y val="0.27623183643159965"/>
          <c:w val="0.35455258568869369"/>
          <c:h val="0.44753595285210551"/>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solidFill>
              </a:rPr>
              <a:t>Inpatient Beds</a:t>
            </a:r>
            <a:br>
              <a:rPr lang="en-US" b="1">
                <a:solidFill>
                  <a:schemeClr val="tx1"/>
                </a:solidFill>
              </a:rPr>
            </a:br>
            <a:r>
              <a:rPr lang="en-US" b="0" i="1">
                <a:solidFill>
                  <a:schemeClr val="tx1"/>
                </a:solidFill>
              </a:rPr>
              <a:t>Max</a:t>
            </a:r>
            <a:r>
              <a:rPr lang="en-US" b="0" i="1" baseline="0">
                <a:solidFill>
                  <a:schemeClr val="tx1"/>
                </a:solidFill>
              </a:rPr>
              <a:t> at One Time</a:t>
            </a:r>
            <a:endParaRPr lang="en-US" b="1">
              <a:solidFill>
                <a:schemeClr val="tx1"/>
              </a:solidFill>
            </a:endParaRPr>
          </a:p>
        </c:rich>
      </c:tx>
      <c:layout>
        <c:manualLayout>
          <c:xMode val="edge"/>
          <c:yMode val="edge"/>
          <c:x val="0.72130899654827696"/>
          <c:y val="3.9682353882937185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06148536988432"/>
          <c:y val="5.4563492063492064E-2"/>
          <c:w val="0.57108802371925727"/>
          <c:h val="0.81193757030371205"/>
        </c:manualLayout>
      </c:layout>
      <c:barChart>
        <c:barDir val="col"/>
        <c:grouping val="stacked"/>
        <c:varyColors val="0"/>
        <c:ser>
          <c:idx val="0"/>
          <c:order val="0"/>
          <c:tx>
            <c:v>Severe Beds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'User Dashboard'!$E$52</c:f>
              <c:strCache>
                <c:ptCount val="1"/>
                <c:pt idx="0">
                  <c:v>At peak occupancy, number of beds in use</c:v>
                </c:pt>
              </c:strCache>
            </c:strRef>
          </c:cat>
          <c:val>
            <c:numRef>
              <c:f>'User Dashboard'!$F$43</c:f>
              <c:numCache>
                <c:formatCode>_(* #,##0_);_(* \(#,##0\);_(* "-"??_);_(@_)</c:formatCode>
                <c:ptCount val="1"/>
                <c:pt idx="0">
                  <c:v>152.64235848902217</c:v>
                </c:pt>
              </c:numCache>
            </c:numRef>
          </c:val>
          <c:extLst>
            <c:ext xmlns:c16="http://schemas.microsoft.com/office/drawing/2014/chart" uri="{C3380CC4-5D6E-409C-BE32-E72D297353CC}">
              <c16:uniqueId val="{00000000-C226-441A-A35F-AD15E77090B2}"/>
            </c:ext>
          </c:extLst>
        </c:ser>
        <c:ser>
          <c:idx val="1"/>
          <c:order val="1"/>
          <c:tx>
            <c:v>ICU (Critical) Beds</c:v>
          </c:tx>
          <c:spPr>
            <a:solidFill>
              <a:schemeClr val="bg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'User Dashboard'!$E$52</c:f>
              <c:strCache>
                <c:ptCount val="1"/>
                <c:pt idx="0">
                  <c:v>At peak occupancy, number of beds in use</c:v>
                </c:pt>
              </c:strCache>
            </c:strRef>
          </c:cat>
          <c:val>
            <c:numRef>
              <c:f>'User Dashboard'!$F$44</c:f>
              <c:numCache>
                <c:formatCode>_(* #,##0_);_(* \(#,##0\);_(* "-"??_);_(@_)</c:formatCode>
                <c:ptCount val="1"/>
                <c:pt idx="0">
                  <c:v>66.007734393502474</c:v>
                </c:pt>
              </c:numCache>
            </c:numRef>
          </c:val>
          <c:extLst>
            <c:ext xmlns:c16="http://schemas.microsoft.com/office/drawing/2014/chart" uri="{C3380CC4-5D6E-409C-BE32-E72D297353CC}">
              <c16:uniqueId val="{00000001-C226-441A-A35F-AD15E77090B2}"/>
            </c:ext>
          </c:extLst>
        </c:ser>
        <c:dLbls>
          <c:showLegendKey val="0"/>
          <c:showVal val="0"/>
          <c:showCatName val="0"/>
          <c:showSerName val="0"/>
          <c:showPercent val="0"/>
          <c:showBubbleSize val="0"/>
        </c:dLbls>
        <c:gapWidth val="150"/>
        <c:overlap val="100"/>
        <c:axId val="896612568"/>
        <c:axId val="896621424"/>
      </c:barChart>
      <c:catAx>
        <c:axId val="89661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896621424"/>
        <c:crosses val="autoZero"/>
        <c:auto val="1"/>
        <c:lblAlgn val="ctr"/>
        <c:lblOffset val="100"/>
        <c:noMultiLvlLbl val="0"/>
      </c:catAx>
      <c:valAx>
        <c:axId val="896621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96612568"/>
        <c:crosses val="autoZero"/>
        <c:crossBetween val="between"/>
      </c:valAx>
      <c:spPr>
        <a:noFill/>
        <a:ln>
          <a:noFill/>
        </a:ln>
        <a:effectLst/>
      </c:spPr>
    </c:plotArea>
    <c:legend>
      <c:legendPos val="r"/>
      <c:layout>
        <c:manualLayout>
          <c:xMode val="edge"/>
          <c:yMode val="edge"/>
          <c:x val="0.73712040349895025"/>
          <c:y val="0.40728316854699859"/>
          <c:w val="0.26039588801399821"/>
          <c:h val="0.25983861392325958"/>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solidFill>
              </a:rPr>
              <a:t>Tests</a:t>
            </a:r>
            <a:br>
              <a:rPr lang="en-US" b="1">
                <a:solidFill>
                  <a:schemeClr val="tx1"/>
                </a:solidFill>
              </a:rPr>
            </a:br>
            <a:r>
              <a:rPr lang="en-US" b="0" i="1">
                <a:solidFill>
                  <a:schemeClr val="tx1"/>
                </a:solidFill>
              </a:rPr>
              <a:t>Over Forecast Period</a:t>
            </a:r>
            <a:endParaRPr lang="en-US" b="1">
              <a:solidFill>
                <a:schemeClr val="tx1"/>
              </a:solidFill>
            </a:endParaRPr>
          </a:p>
        </c:rich>
      </c:tx>
      <c:layout>
        <c:manualLayout>
          <c:xMode val="edge"/>
          <c:yMode val="edge"/>
          <c:x val="0.68605990960167662"/>
          <c:y val="3.9682451145758031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447434878533005"/>
          <c:y val="5.1948071265167942E-2"/>
          <c:w val="0.54711180271931414"/>
          <c:h val="0.82095206646973251"/>
        </c:manualLayout>
      </c:layout>
      <c:barChart>
        <c:barDir val="col"/>
        <c:grouping val="stacked"/>
        <c:varyColors val="0"/>
        <c:ser>
          <c:idx val="0"/>
          <c:order val="0"/>
          <c:tx>
            <c:strRef>
              <c:f>'User Dashboard'!$H$41</c:f>
              <c:strCache>
                <c:ptCount val="1"/>
                <c:pt idx="0">
                  <c:v>Severe and Critical</c:v>
                </c:pt>
              </c:strCache>
            </c:strRef>
          </c:tx>
          <c:spPr>
            <a:solidFill>
              <a:schemeClr val="accent5">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9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
              <c:pt idx="0">
                <c:v>Tests</c:v>
              </c:pt>
            </c:strLit>
          </c:cat>
          <c:val>
            <c:numRef>
              <c:f>'User Dashboard'!$H$42</c:f>
              <c:numCache>
                <c:formatCode>_(* #,##0_);_(* \(#,##0\);_(* "-"??_);_(@_)</c:formatCode>
                <c:ptCount val="1"/>
                <c:pt idx="0">
                  <c:v>868.8928127220297</c:v>
                </c:pt>
              </c:numCache>
            </c:numRef>
          </c:val>
          <c:extLst>
            <c:ext xmlns:c16="http://schemas.microsoft.com/office/drawing/2014/chart" uri="{C3380CC4-5D6E-409C-BE32-E72D297353CC}">
              <c16:uniqueId val="{00000000-A05E-4FF0-BE10-9CF4BFE68305}"/>
            </c:ext>
          </c:extLst>
        </c:ser>
        <c:ser>
          <c:idx val="1"/>
          <c:order val="1"/>
          <c:tx>
            <c:strRef>
              <c:f>'User Dashboard'!$H$43</c:f>
              <c:strCache>
                <c:ptCount val="1"/>
                <c:pt idx="0">
                  <c:v>Mild and Suspected</c:v>
                </c:pt>
              </c:strCache>
            </c:strRef>
          </c:tx>
          <c:spPr>
            <a:solidFill>
              <a:schemeClr val="accent5">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1"/>
              <c:pt idx="0">
                <c:v>Tests</c:v>
              </c:pt>
            </c:strLit>
          </c:cat>
          <c:val>
            <c:numRef>
              <c:f>'User Dashboard'!$H$44</c:f>
              <c:numCache>
                <c:formatCode>_(* #,##0_);_(* \(#,##0\);_(* "-"??_);_(@_)</c:formatCode>
                <c:ptCount val="1"/>
                <c:pt idx="0">
                  <c:v>2022.7420403564824</c:v>
                </c:pt>
              </c:numCache>
            </c:numRef>
          </c:val>
          <c:extLst>
            <c:ext xmlns:c16="http://schemas.microsoft.com/office/drawing/2014/chart" uri="{C3380CC4-5D6E-409C-BE32-E72D297353CC}">
              <c16:uniqueId val="{00000001-A05E-4FF0-BE10-9CF4BFE68305}"/>
            </c:ext>
          </c:extLst>
        </c:ser>
        <c:dLbls>
          <c:dLblPos val="ctr"/>
          <c:showLegendKey val="0"/>
          <c:showVal val="1"/>
          <c:showCatName val="0"/>
          <c:showSerName val="0"/>
          <c:showPercent val="0"/>
          <c:showBubbleSize val="0"/>
        </c:dLbls>
        <c:gapWidth val="150"/>
        <c:overlap val="100"/>
        <c:axId val="896612568"/>
        <c:axId val="896621424"/>
      </c:barChart>
      <c:catAx>
        <c:axId val="896612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896621424"/>
        <c:crosses val="autoZero"/>
        <c:auto val="1"/>
        <c:lblAlgn val="ctr"/>
        <c:lblOffset val="100"/>
        <c:noMultiLvlLbl val="0"/>
      </c:catAx>
      <c:valAx>
        <c:axId val="896621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96612568"/>
        <c:crosses val="autoZero"/>
        <c:crossBetween val="between"/>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2.xml"/><Relationship Id="rId7" Type="http://schemas.openxmlformats.org/officeDocument/2006/relationships/image" Target="../media/image4.emf"/><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image" Target="../media/image3.png"/><Relationship Id="rId5" Type="http://schemas.openxmlformats.org/officeDocument/2006/relationships/image" Target="../media/image2.png"/><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67734</xdr:colOff>
      <xdr:row>1</xdr:row>
      <xdr:rowOff>50800</xdr:rowOff>
    </xdr:from>
    <xdr:ext cx="1117600" cy="349087"/>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239184" y="146050"/>
          <a:ext cx="1117600" cy="3490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3</xdr:col>
      <xdr:colOff>313183</xdr:colOff>
      <xdr:row>12</xdr:row>
      <xdr:rowOff>50804</xdr:rowOff>
    </xdr:from>
    <xdr:to>
      <xdr:col>4</xdr:col>
      <xdr:colOff>134399</xdr:colOff>
      <xdr:row>34</xdr:row>
      <xdr:rowOff>59270</xdr:rowOff>
    </xdr:to>
    <xdr:sp macro="" textlink="">
      <xdr:nvSpPr>
        <xdr:cNvPr id="2" name="Isosceles Triangle 1">
          <a:extLst>
            <a:ext uri="{FF2B5EF4-FFF2-40B4-BE49-F238E27FC236}">
              <a16:creationId xmlns:a16="http://schemas.microsoft.com/office/drawing/2014/main" id="{91234BD7-4A6D-4A0C-9E73-D9DE28A02F61}"/>
            </a:ext>
          </a:extLst>
        </xdr:cNvPr>
        <xdr:cNvSpPr/>
      </xdr:nvSpPr>
      <xdr:spPr>
        <a:xfrm rot="5400000">
          <a:off x="-2169312" y="8415939"/>
          <a:ext cx="9442026" cy="133636"/>
        </a:xfrm>
        <a:prstGeom prst="triangle">
          <a:avLst/>
        </a:prstGeom>
        <a:solidFill>
          <a:srgbClr val="1E7FB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s-E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lientData/>
  </xdr:twoCellAnchor>
  <xdr:twoCellAnchor editAs="oneCell">
    <xdr:from>
      <xdr:col>2</xdr:col>
      <xdr:colOff>1085586</xdr:colOff>
      <xdr:row>12</xdr:row>
      <xdr:rowOff>35983</xdr:rowOff>
    </xdr:from>
    <xdr:to>
      <xdr:col>2</xdr:col>
      <xdr:colOff>1659467</xdr:colOff>
      <xdr:row>13</xdr:row>
      <xdr:rowOff>107396</xdr:rowOff>
    </xdr:to>
    <xdr:pic>
      <xdr:nvPicPr>
        <xdr:cNvPr id="3" name="Picture 2">
          <a:extLst>
            <a:ext uri="{FF2B5EF4-FFF2-40B4-BE49-F238E27FC236}">
              <a16:creationId xmlns:a16="http://schemas.microsoft.com/office/drawing/2014/main" id="{14E56499-4E2A-43D6-9B56-659355704887}"/>
            </a:ext>
          </a:extLst>
        </xdr:cNvPr>
        <xdr:cNvPicPr>
          <a:picLocks noChangeAspect="1"/>
        </xdr:cNvPicPr>
      </xdr:nvPicPr>
      <xdr:blipFill>
        <a:blip xmlns:r="http://schemas.openxmlformats.org/officeDocument/2006/relationships" r:embed="rId1"/>
        <a:stretch>
          <a:fillRect/>
        </a:stretch>
      </xdr:blipFill>
      <xdr:spPr>
        <a:xfrm>
          <a:off x="1504686" y="3746923"/>
          <a:ext cx="573881" cy="322873"/>
        </a:xfrm>
        <a:prstGeom prst="rect">
          <a:avLst/>
        </a:prstGeom>
      </xdr:spPr>
    </xdr:pic>
    <xdr:clientData/>
  </xdr:twoCellAnchor>
  <xdr:twoCellAnchor editAs="oneCell">
    <xdr:from>
      <xdr:col>2</xdr:col>
      <xdr:colOff>1435647</xdr:colOff>
      <xdr:row>14</xdr:row>
      <xdr:rowOff>57261</xdr:rowOff>
    </xdr:from>
    <xdr:to>
      <xdr:col>3</xdr:col>
      <xdr:colOff>46370</xdr:colOff>
      <xdr:row>15</xdr:row>
      <xdr:rowOff>53788</xdr:rowOff>
    </xdr:to>
    <xdr:pic>
      <xdr:nvPicPr>
        <xdr:cNvPr id="4" name="Picture 3">
          <a:extLst>
            <a:ext uri="{FF2B5EF4-FFF2-40B4-BE49-F238E27FC236}">
              <a16:creationId xmlns:a16="http://schemas.microsoft.com/office/drawing/2014/main" id="{96B20245-7D34-45B2-BC8E-FFE8519ABC21}"/>
            </a:ext>
          </a:extLst>
        </xdr:cNvPr>
        <xdr:cNvPicPr>
          <a:picLocks noChangeAspect="1"/>
        </xdr:cNvPicPr>
      </xdr:nvPicPr>
      <xdr:blipFill>
        <a:blip xmlns:r="http://schemas.openxmlformats.org/officeDocument/2006/relationships" r:embed="rId2"/>
        <a:stretch>
          <a:fillRect/>
        </a:stretch>
      </xdr:blipFill>
      <xdr:spPr>
        <a:xfrm>
          <a:off x="1854747" y="4225401"/>
          <a:ext cx="363323" cy="247539"/>
        </a:xfrm>
        <a:prstGeom prst="rect">
          <a:avLst/>
        </a:prstGeom>
        <a:ln>
          <a:noFill/>
        </a:ln>
      </xdr:spPr>
    </xdr:pic>
    <xdr:clientData/>
  </xdr:twoCellAnchor>
  <xdr:twoCellAnchor editAs="oneCell">
    <xdr:from>
      <xdr:col>2</xdr:col>
      <xdr:colOff>1701799</xdr:colOff>
      <xdr:row>20</xdr:row>
      <xdr:rowOff>16932</xdr:rowOff>
    </xdr:from>
    <xdr:to>
      <xdr:col>3</xdr:col>
      <xdr:colOff>234874</xdr:colOff>
      <xdr:row>21</xdr:row>
      <xdr:rowOff>995</xdr:rowOff>
    </xdr:to>
    <xdr:pic>
      <xdr:nvPicPr>
        <xdr:cNvPr id="5" name="Picture 4">
          <a:extLst>
            <a:ext uri="{FF2B5EF4-FFF2-40B4-BE49-F238E27FC236}">
              <a16:creationId xmlns:a16="http://schemas.microsoft.com/office/drawing/2014/main" id="{7EE85CAF-EDED-4C1D-ACA4-B45C02972B8F}"/>
            </a:ext>
          </a:extLst>
        </xdr:cNvPr>
        <xdr:cNvPicPr>
          <a:picLocks noChangeAspect="1" noChangeArrowheads="1"/>
        </xdr:cNvPicPr>
      </xdr:nvPicPr>
      <xdr:blipFill>
        <a:blip xmlns:r="http://schemas.openxmlformats.org/officeDocument/2006/relationships" r:embed="rId3" cstate="print">
          <a:biLevel thresh="75000"/>
          <a:extLst>
            <a:ext uri="{28A0092B-C50C-407E-A947-70E740481C1C}">
              <a14:useLocalDpi xmlns:a14="http://schemas.microsoft.com/office/drawing/2010/main" val="0"/>
            </a:ext>
          </a:extLst>
        </a:blip>
        <a:srcRect/>
        <a:stretch>
          <a:fillRect/>
        </a:stretch>
      </xdr:blipFill>
      <xdr:spPr bwMode="auto">
        <a:xfrm>
          <a:off x="2120899" y="8947572"/>
          <a:ext cx="285675" cy="27362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2</xdr:col>
      <xdr:colOff>1008033</xdr:colOff>
      <xdr:row>30</xdr:row>
      <xdr:rowOff>50303</xdr:rowOff>
    </xdr:from>
    <xdr:to>
      <xdr:col>2</xdr:col>
      <xdr:colOff>1465233</xdr:colOff>
      <xdr:row>32</xdr:row>
      <xdr:rowOff>126503</xdr:rowOff>
    </xdr:to>
    <xdr:pic>
      <xdr:nvPicPr>
        <xdr:cNvPr id="6" name="Picture 5">
          <a:extLst>
            <a:ext uri="{FF2B5EF4-FFF2-40B4-BE49-F238E27FC236}">
              <a16:creationId xmlns:a16="http://schemas.microsoft.com/office/drawing/2014/main" id="{7322E9F8-F10D-4828-88F2-7B3A28C046B7}"/>
            </a:ext>
          </a:extLst>
        </xdr:cNvPr>
        <xdr:cNvPicPr>
          <a:picLocks noChangeAspect="1"/>
        </xdr:cNvPicPr>
      </xdr:nvPicPr>
      <xdr:blipFill>
        <a:blip xmlns:r="http://schemas.openxmlformats.org/officeDocument/2006/relationships" r:embed="rId4" cstate="print">
          <a:biLevel thresh="50000"/>
          <a:extLst>
            <a:ext uri="{28A0092B-C50C-407E-A947-70E740481C1C}">
              <a14:useLocalDpi xmlns:a14="http://schemas.microsoft.com/office/drawing/2010/main" val="0"/>
            </a:ext>
          </a:extLst>
        </a:blip>
        <a:stretch>
          <a:fillRect/>
        </a:stretch>
      </xdr:blipFill>
      <xdr:spPr>
        <a:xfrm>
          <a:off x="1427133" y="12219443"/>
          <a:ext cx="457200" cy="457200"/>
        </a:xfrm>
        <a:prstGeom prst="rect">
          <a:avLst/>
        </a:prstGeom>
      </xdr:spPr>
    </xdr:pic>
    <xdr:clientData/>
  </xdr:twoCellAnchor>
  <xdr:oneCellAnchor>
    <xdr:from>
      <xdr:col>1</xdr:col>
      <xdr:colOff>87968</xdr:colOff>
      <xdr:row>1</xdr:row>
      <xdr:rowOff>48185</xdr:rowOff>
    </xdr:from>
    <xdr:ext cx="1337422" cy="417749"/>
    <xdr:pic>
      <xdr:nvPicPr>
        <xdr:cNvPr id="7" name="Picture 6">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val="0"/>
            </a:ext>
          </a:extLst>
        </a:blip>
        <a:stretch>
          <a:fillRect/>
        </a:stretch>
      </xdr:blipFill>
      <xdr:spPr>
        <a:xfrm>
          <a:off x="263228" y="147245"/>
          <a:ext cx="1337422" cy="417749"/>
        </a:xfrm>
        <a:prstGeom prst="rect">
          <a:avLst/>
        </a:prstGeom>
      </xdr:spPr>
    </xdr:pic>
    <xdr:clientData/>
  </xdr:oneCellAnchor>
  <xdr:twoCellAnchor>
    <xdr:from>
      <xdr:col>2</xdr:col>
      <xdr:colOff>1066800</xdr:colOff>
      <xdr:row>24</xdr:row>
      <xdr:rowOff>125506</xdr:rowOff>
    </xdr:from>
    <xdr:to>
      <xdr:col>2</xdr:col>
      <xdr:colOff>1339545</xdr:colOff>
      <xdr:row>26</xdr:row>
      <xdr:rowOff>26894</xdr:rowOff>
    </xdr:to>
    <xdr:grpSp>
      <xdr:nvGrpSpPr>
        <xdr:cNvPr id="8" name="Group 7"/>
        <xdr:cNvGrpSpPr/>
      </xdr:nvGrpSpPr>
      <xdr:grpSpPr>
        <a:xfrm>
          <a:off x="1470212" y="10143565"/>
          <a:ext cx="272745" cy="293594"/>
          <a:chOff x="-5815013" y="1511300"/>
          <a:chExt cx="4873626" cy="4838700"/>
        </a:xfrm>
        <a:solidFill>
          <a:schemeClr val="tx1"/>
        </a:solidFill>
      </xdr:grpSpPr>
      <xdr:sp macro="" textlink="">
        <xdr:nvSpPr>
          <xdr:cNvPr id="9" name="Freeform 8"/>
          <xdr:cNvSpPr>
            <a:spLocks noEditPoints="1"/>
          </xdr:cNvSpPr>
        </xdr:nvSpPr>
        <xdr:spPr bwMode="auto">
          <a:xfrm>
            <a:off x="-5815013" y="1511300"/>
            <a:ext cx="4873626" cy="4838700"/>
          </a:xfrm>
          <a:custGeom>
            <a:avLst/>
            <a:gdLst>
              <a:gd name="T0" fmla="*/ 2234 w 3070"/>
              <a:gd name="T1" fmla="*/ 2168 h 3048"/>
              <a:gd name="T2" fmla="*/ 2128 w 3070"/>
              <a:gd name="T3" fmla="*/ 1824 h 3048"/>
              <a:gd name="T4" fmla="*/ 2274 w 3070"/>
              <a:gd name="T5" fmla="*/ 1524 h 3048"/>
              <a:gd name="T6" fmla="*/ 2608 w 3070"/>
              <a:gd name="T7" fmla="*/ 1396 h 3048"/>
              <a:gd name="T8" fmla="*/ 2918 w 3070"/>
              <a:gd name="T9" fmla="*/ 1520 h 3048"/>
              <a:gd name="T10" fmla="*/ 3068 w 3070"/>
              <a:gd name="T11" fmla="*/ 1822 h 3048"/>
              <a:gd name="T12" fmla="*/ 2920 w 3070"/>
              <a:gd name="T13" fmla="*/ 2212 h 3048"/>
              <a:gd name="T14" fmla="*/ 2698 w 3070"/>
              <a:gd name="T15" fmla="*/ 2356 h 3048"/>
              <a:gd name="T16" fmla="*/ 2542 w 3070"/>
              <a:gd name="T17" fmla="*/ 2712 h 3048"/>
              <a:gd name="T18" fmla="*/ 2216 w 3070"/>
              <a:gd name="T19" fmla="*/ 2966 h 3048"/>
              <a:gd name="T20" fmla="*/ 1730 w 3070"/>
              <a:gd name="T21" fmla="*/ 3048 h 3048"/>
              <a:gd name="T22" fmla="*/ 1290 w 3070"/>
              <a:gd name="T23" fmla="*/ 2942 h 3048"/>
              <a:gd name="T24" fmla="*/ 984 w 3070"/>
              <a:gd name="T25" fmla="*/ 2654 h 3048"/>
              <a:gd name="T26" fmla="*/ 842 w 3070"/>
              <a:gd name="T27" fmla="*/ 2264 h 3048"/>
              <a:gd name="T28" fmla="*/ 752 w 3070"/>
              <a:gd name="T29" fmla="*/ 2076 h 3048"/>
              <a:gd name="T30" fmla="*/ 690 w 3070"/>
              <a:gd name="T31" fmla="*/ 1920 h 3048"/>
              <a:gd name="T32" fmla="*/ 340 w 3070"/>
              <a:gd name="T33" fmla="*/ 1544 h 3048"/>
              <a:gd name="T34" fmla="*/ 86 w 3070"/>
              <a:gd name="T35" fmla="*/ 896 h 3048"/>
              <a:gd name="T36" fmla="*/ 6 w 3070"/>
              <a:gd name="T37" fmla="*/ 404 h 3048"/>
              <a:gd name="T38" fmla="*/ 118 w 3070"/>
              <a:gd name="T39" fmla="*/ 232 h 3048"/>
              <a:gd name="T40" fmla="*/ 334 w 3070"/>
              <a:gd name="T41" fmla="*/ 50 h 3048"/>
              <a:gd name="T42" fmla="*/ 522 w 3070"/>
              <a:gd name="T43" fmla="*/ 6 h 3048"/>
              <a:gd name="T44" fmla="*/ 662 w 3070"/>
              <a:gd name="T45" fmla="*/ 118 h 3048"/>
              <a:gd name="T46" fmla="*/ 660 w 3070"/>
              <a:gd name="T47" fmla="*/ 312 h 3048"/>
              <a:gd name="T48" fmla="*/ 518 w 3070"/>
              <a:gd name="T49" fmla="*/ 422 h 3048"/>
              <a:gd name="T50" fmla="*/ 346 w 3070"/>
              <a:gd name="T51" fmla="*/ 384 h 3048"/>
              <a:gd name="T52" fmla="*/ 254 w 3070"/>
              <a:gd name="T53" fmla="*/ 430 h 3048"/>
              <a:gd name="T54" fmla="*/ 336 w 3070"/>
              <a:gd name="T55" fmla="*/ 916 h 3048"/>
              <a:gd name="T56" fmla="*/ 594 w 3070"/>
              <a:gd name="T57" fmla="*/ 1506 h 3048"/>
              <a:gd name="T58" fmla="*/ 808 w 3070"/>
              <a:gd name="T59" fmla="*/ 1714 h 3048"/>
              <a:gd name="T60" fmla="*/ 1070 w 3070"/>
              <a:gd name="T61" fmla="*/ 1720 h 3048"/>
              <a:gd name="T62" fmla="*/ 1344 w 3070"/>
              <a:gd name="T63" fmla="*/ 1422 h 3048"/>
              <a:gd name="T64" fmla="*/ 1610 w 3070"/>
              <a:gd name="T65" fmla="*/ 688 h 3048"/>
              <a:gd name="T66" fmla="*/ 1614 w 3070"/>
              <a:gd name="T67" fmla="*/ 408 h 3048"/>
              <a:gd name="T68" fmla="*/ 1464 w 3070"/>
              <a:gd name="T69" fmla="*/ 422 h 3048"/>
              <a:gd name="T70" fmla="*/ 1228 w 3070"/>
              <a:gd name="T71" fmla="*/ 318 h 3048"/>
              <a:gd name="T72" fmla="*/ 1264 w 3070"/>
              <a:gd name="T73" fmla="*/ 62 h 3048"/>
              <a:gd name="T74" fmla="*/ 1452 w 3070"/>
              <a:gd name="T75" fmla="*/ 2 h 3048"/>
              <a:gd name="T76" fmla="*/ 1604 w 3070"/>
              <a:gd name="T77" fmla="*/ 108 h 3048"/>
              <a:gd name="T78" fmla="*/ 1832 w 3070"/>
              <a:gd name="T79" fmla="*/ 296 h 3048"/>
              <a:gd name="T80" fmla="*/ 1886 w 3070"/>
              <a:gd name="T81" fmla="*/ 498 h 3048"/>
              <a:gd name="T82" fmla="*/ 1638 w 3070"/>
              <a:gd name="T83" fmla="*/ 1364 h 3048"/>
              <a:gd name="T84" fmla="*/ 1354 w 3070"/>
              <a:gd name="T85" fmla="*/ 1800 h 3048"/>
              <a:gd name="T86" fmla="*/ 1184 w 3070"/>
              <a:gd name="T87" fmla="*/ 1940 h 3048"/>
              <a:gd name="T88" fmla="*/ 1084 w 3070"/>
              <a:gd name="T89" fmla="*/ 2168 h 3048"/>
              <a:gd name="T90" fmla="*/ 1150 w 3070"/>
              <a:gd name="T91" fmla="*/ 2468 h 3048"/>
              <a:gd name="T92" fmla="*/ 1394 w 3070"/>
              <a:gd name="T93" fmla="*/ 2730 h 3048"/>
              <a:gd name="T94" fmla="*/ 1824 w 3070"/>
              <a:gd name="T95" fmla="*/ 2812 h 3048"/>
              <a:gd name="T96" fmla="*/ 2134 w 3070"/>
              <a:gd name="T97" fmla="*/ 2742 h 3048"/>
              <a:gd name="T98" fmla="*/ 2382 w 3070"/>
              <a:gd name="T99" fmla="*/ 2526 h 3048"/>
              <a:gd name="T100" fmla="*/ 2458 w 3070"/>
              <a:gd name="T101" fmla="*/ 2328 h 3048"/>
              <a:gd name="T102" fmla="*/ 2748 w 3070"/>
              <a:gd name="T103" fmla="*/ 2050 h 3048"/>
              <a:gd name="T104" fmla="*/ 2834 w 3070"/>
              <a:gd name="T105" fmla="*/ 1868 h 3048"/>
              <a:gd name="T106" fmla="*/ 2732 w 3070"/>
              <a:gd name="T107" fmla="*/ 1674 h 3048"/>
              <a:gd name="T108" fmla="*/ 2530 w 3070"/>
              <a:gd name="T109" fmla="*/ 1642 h 3048"/>
              <a:gd name="T110" fmla="*/ 2374 w 3070"/>
              <a:gd name="T111" fmla="*/ 1794 h 3048"/>
              <a:gd name="T112" fmla="*/ 2400 w 3070"/>
              <a:gd name="T113" fmla="*/ 1998 h 3048"/>
              <a:gd name="T114" fmla="*/ 2596 w 3070"/>
              <a:gd name="T115" fmla="*/ 2102 h 3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070" h="3048">
                <a:moveTo>
                  <a:pt x="2458" y="2328"/>
                </a:moveTo>
                <a:lnTo>
                  <a:pt x="2458" y="2328"/>
                </a:lnTo>
                <a:lnTo>
                  <a:pt x="2414" y="2304"/>
                </a:lnTo>
                <a:lnTo>
                  <a:pt x="2370" y="2278"/>
                </a:lnTo>
                <a:lnTo>
                  <a:pt x="2328" y="2252"/>
                </a:lnTo>
                <a:lnTo>
                  <a:pt x="2308" y="2238"/>
                </a:lnTo>
                <a:lnTo>
                  <a:pt x="2290" y="2222"/>
                </a:lnTo>
                <a:lnTo>
                  <a:pt x="2290" y="2222"/>
                </a:lnTo>
                <a:lnTo>
                  <a:pt x="2260" y="2196"/>
                </a:lnTo>
                <a:lnTo>
                  <a:pt x="2234" y="2168"/>
                </a:lnTo>
                <a:lnTo>
                  <a:pt x="2212" y="2138"/>
                </a:lnTo>
                <a:lnTo>
                  <a:pt x="2192" y="2108"/>
                </a:lnTo>
                <a:lnTo>
                  <a:pt x="2174" y="2074"/>
                </a:lnTo>
                <a:lnTo>
                  <a:pt x="2158" y="2042"/>
                </a:lnTo>
                <a:lnTo>
                  <a:pt x="2146" y="2006"/>
                </a:lnTo>
                <a:lnTo>
                  <a:pt x="2136" y="1970"/>
                </a:lnTo>
                <a:lnTo>
                  <a:pt x="2130" y="1934"/>
                </a:lnTo>
                <a:lnTo>
                  <a:pt x="2126" y="1898"/>
                </a:lnTo>
                <a:lnTo>
                  <a:pt x="2126" y="1860"/>
                </a:lnTo>
                <a:lnTo>
                  <a:pt x="2128" y="1824"/>
                </a:lnTo>
                <a:lnTo>
                  <a:pt x="2132" y="1786"/>
                </a:lnTo>
                <a:lnTo>
                  <a:pt x="2140" y="1750"/>
                </a:lnTo>
                <a:lnTo>
                  <a:pt x="2152" y="1714"/>
                </a:lnTo>
                <a:lnTo>
                  <a:pt x="2166" y="1678"/>
                </a:lnTo>
                <a:lnTo>
                  <a:pt x="2166" y="1678"/>
                </a:lnTo>
                <a:lnTo>
                  <a:pt x="2182" y="1644"/>
                </a:lnTo>
                <a:lnTo>
                  <a:pt x="2202" y="1610"/>
                </a:lnTo>
                <a:lnTo>
                  <a:pt x="2224" y="1580"/>
                </a:lnTo>
                <a:lnTo>
                  <a:pt x="2248" y="1552"/>
                </a:lnTo>
                <a:lnTo>
                  <a:pt x="2274" y="1524"/>
                </a:lnTo>
                <a:lnTo>
                  <a:pt x="2302" y="1500"/>
                </a:lnTo>
                <a:lnTo>
                  <a:pt x="2330" y="1478"/>
                </a:lnTo>
                <a:lnTo>
                  <a:pt x="2362" y="1458"/>
                </a:lnTo>
                <a:lnTo>
                  <a:pt x="2394" y="1442"/>
                </a:lnTo>
                <a:lnTo>
                  <a:pt x="2428" y="1426"/>
                </a:lnTo>
                <a:lnTo>
                  <a:pt x="2462" y="1414"/>
                </a:lnTo>
                <a:lnTo>
                  <a:pt x="2498" y="1406"/>
                </a:lnTo>
                <a:lnTo>
                  <a:pt x="2534" y="1400"/>
                </a:lnTo>
                <a:lnTo>
                  <a:pt x="2570" y="1396"/>
                </a:lnTo>
                <a:lnTo>
                  <a:pt x="2608" y="1396"/>
                </a:lnTo>
                <a:lnTo>
                  <a:pt x="2644" y="1398"/>
                </a:lnTo>
                <a:lnTo>
                  <a:pt x="2644" y="1398"/>
                </a:lnTo>
                <a:lnTo>
                  <a:pt x="2684" y="1404"/>
                </a:lnTo>
                <a:lnTo>
                  <a:pt x="2722" y="1412"/>
                </a:lnTo>
                <a:lnTo>
                  <a:pt x="2758" y="1424"/>
                </a:lnTo>
                <a:lnTo>
                  <a:pt x="2794" y="1438"/>
                </a:lnTo>
                <a:lnTo>
                  <a:pt x="2828" y="1456"/>
                </a:lnTo>
                <a:lnTo>
                  <a:pt x="2860" y="1474"/>
                </a:lnTo>
                <a:lnTo>
                  <a:pt x="2890" y="1496"/>
                </a:lnTo>
                <a:lnTo>
                  <a:pt x="2918" y="1520"/>
                </a:lnTo>
                <a:lnTo>
                  <a:pt x="2944" y="1546"/>
                </a:lnTo>
                <a:lnTo>
                  <a:pt x="2968" y="1574"/>
                </a:lnTo>
                <a:lnTo>
                  <a:pt x="2990" y="1604"/>
                </a:lnTo>
                <a:lnTo>
                  <a:pt x="3010" y="1636"/>
                </a:lnTo>
                <a:lnTo>
                  <a:pt x="3028" y="1670"/>
                </a:lnTo>
                <a:lnTo>
                  <a:pt x="3042" y="1704"/>
                </a:lnTo>
                <a:lnTo>
                  <a:pt x="3054" y="1740"/>
                </a:lnTo>
                <a:lnTo>
                  <a:pt x="3062" y="1778"/>
                </a:lnTo>
                <a:lnTo>
                  <a:pt x="3062" y="1778"/>
                </a:lnTo>
                <a:lnTo>
                  <a:pt x="3068" y="1822"/>
                </a:lnTo>
                <a:lnTo>
                  <a:pt x="3070" y="1866"/>
                </a:lnTo>
                <a:lnTo>
                  <a:pt x="3068" y="1910"/>
                </a:lnTo>
                <a:lnTo>
                  <a:pt x="3062" y="1954"/>
                </a:lnTo>
                <a:lnTo>
                  <a:pt x="3052" y="1996"/>
                </a:lnTo>
                <a:lnTo>
                  <a:pt x="3040" y="2036"/>
                </a:lnTo>
                <a:lnTo>
                  <a:pt x="3022" y="2076"/>
                </a:lnTo>
                <a:lnTo>
                  <a:pt x="3002" y="2112"/>
                </a:lnTo>
                <a:lnTo>
                  <a:pt x="2978" y="2148"/>
                </a:lnTo>
                <a:lnTo>
                  <a:pt x="2950" y="2182"/>
                </a:lnTo>
                <a:lnTo>
                  <a:pt x="2920" y="2212"/>
                </a:lnTo>
                <a:lnTo>
                  <a:pt x="2888" y="2240"/>
                </a:lnTo>
                <a:lnTo>
                  <a:pt x="2852" y="2266"/>
                </a:lnTo>
                <a:lnTo>
                  <a:pt x="2814" y="2288"/>
                </a:lnTo>
                <a:lnTo>
                  <a:pt x="2774" y="2306"/>
                </a:lnTo>
                <a:lnTo>
                  <a:pt x="2732" y="2320"/>
                </a:lnTo>
                <a:lnTo>
                  <a:pt x="2732" y="2320"/>
                </a:lnTo>
                <a:lnTo>
                  <a:pt x="2718" y="2326"/>
                </a:lnTo>
                <a:lnTo>
                  <a:pt x="2708" y="2332"/>
                </a:lnTo>
                <a:lnTo>
                  <a:pt x="2702" y="2342"/>
                </a:lnTo>
                <a:lnTo>
                  <a:pt x="2698" y="2356"/>
                </a:lnTo>
                <a:lnTo>
                  <a:pt x="2698" y="2356"/>
                </a:lnTo>
                <a:lnTo>
                  <a:pt x="2688" y="2400"/>
                </a:lnTo>
                <a:lnTo>
                  <a:pt x="2676" y="2444"/>
                </a:lnTo>
                <a:lnTo>
                  <a:pt x="2662" y="2486"/>
                </a:lnTo>
                <a:lnTo>
                  <a:pt x="2646" y="2526"/>
                </a:lnTo>
                <a:lnTo>
                  <a:pt x="2628" y="2566"/>
                </a:lnTo>
                <a:lnTo>
                  <a:pt x="2610" y="2604"/>
                </a:lnTo>
                <a:lnTo>
                  <a:pt x="2588" y="2642"/>
                </a:lnTo>
                <a:lnTo>
                  <a:pt x="2566" y="2678"/>
                </a:lnTo>
                <a:lnTo>
                  <a:pt x="2542" y="2712"/>
                </a:lnTo>
                <a:lnTo>
                  <a:pt x="2514" y="2744"/>
                </a:lnTo>
                <a:lnTo>
                  <a:pt x="2486" y="2776"/>
                </a:lnTo>
                <a:lnTo>
                  <a:pt x="2456" y="2808"/>
                </a:lnTo>
                <a:lnTo>
                  <a:pt x="2424" y="2836"/>
                </a:lnTo>
                <a:lnTo>
                  <a:pt x="2388" y="2864"/>
                </a:lnTo>
                <a:lnTo>
                  <a:pt x="2352" y="2890"/>
                </a:lnTo>
                <a:lnTo>
                  <a:pt x="2314" y="2916"/>
                </a:lnTo>
                <a:lnTo>
                  <a:pt x="2314" y="2916"/>
                </a:lnTo>
                <a:lnTo>
                  <a:pt x="2266" y="2942"/>
                </a:lnTo>
                <a:lnTo>
                  <a:pt x="2216" y="2966"/>
                </a:lnTo>
                <a:lnTo>
                  <a:pt x="2166" y="2986"/>
                </a:lnTo>
                <a:lnTo>
                  <a:pt x="2114" y="3002"/>
                </a:lnTo>
                <a:lnTo>
                  <a:pt x="2062" y="3016"/>
                </a:lnTo>
                <a:lnTo>
                  <a:pt x="2008" y="3028"/>
                </a:lnTo>
                <a:lnTo>
                  <a:pt x="1954" y="3036"/>
                </a:lnTo>
                <a:lnTo>
                  <a:pt x="1900" y="3042"/>
                </a:lnTo>
                <a:lnTo>
                  <a:pt x="1900" y="3042"/>
                </a:lnTo>
                <a:lnTo>
                  <a:pt x="1844" y="3046"/>
                </a:lnTo>
                <a:lnTo>
                  <a:pt x="1786" y="3048"/>
                </a:lnTo>
                <a:lnTo>
                  <a:pt x="1730" y="3048"/>
                </a:lnTo>
                <a:lnTo>
                  <a:pt x="1676" y="3046"/>
                </a:lnTo>
                <a:lnTo>
                  <a:pt x="1620" y="3040"/>
                </a:lnTo>
                <a:lnTo>
                  <a:pt x="1564" y="3032"/>
                </a:lnTo>
                <a:lnTo>
                  <a:pt x="1508" y="3020"/>
                </a:lnTo>
                <a:lnTo>
                  <a:pt x="1454" y="3006"/>
                </a:lnTo>
                <a:lnTo>
                  <a:pt x="1454" y="3006"/>
                </a:lnTo>
                <a:lnTo>
                  <a:pt x="1410" y="2994"/>
                </a:lnTo>
                <a:lnTo>
                  <a:pt x="1370" y="2978"/>
                </a:lnTo>
                <a:lnTo>
                  <a:pt x="1328" y="2960"/>
                </a:lnTo>
                <a:lnTo>
                  <a:pt x="1290" y="2942"/>
                </a:lnTo>
                <a:lnTo>
                  <a:pt x="1252" y="2920"/>
                </a:lnTo>
                <a:lnTo>
                  <a:pt x="1216" y="2898"/>
                </a:lnTo>
                <a:lnTo>
                  <a:pt x="1182" y="2874"/>
                </a:lnTo>
                <a:lnTo>
                  <a:pt x="1150" y="2848"/>
                </a:lnTo>
                <a:lnTo>
                  <a:pt x="1118" y="2820"/>
                </a:lnTo>
                <a:lnTo>
                  <a:pt x="1088" y="2790"/>
                </a:lnTo>
                <a:lnTo>
                  <a:pt x="1060" y="2760"/>
                </a:lnTo>
                <a:lnTo>
                  <a:pt x="1032" y="2726"/>
                </a:lnTo>
                <a:lnTo>
                  <a:pt x="1008" y="2692"/>
                </a:lnTo>
                <a:lnTo>
                  <a:pt x="984" y="2654"/>
                </a:lnTo>
                <a:lnTo>
                  <a:pt x="962" y="2616"/>
                </a:lnTo>
                <a:lnTo>
                  <a:pt x="940" y="2576"/>
                </a:lnTo>
                <a:lnTo>
                  <a:pt x="940" y="2576"/>
                </a:lnTo>
                <a:lnTo>
                  <a:pt x="920" y="2532"/>
                </a:lnTo>
                <a:lnTo>
                  <a:pt x="902" y="2490"/>
                </a:lnTo>
                <a:lnTo>
                  <a:pt x="888" y="2446"/>
                </a:lnTo>
                <a:lnTo>
                  <a:pt x="874" y="2400"/>
                </a:lnTo>
                <a:lnTo>
                  <a:pt x="862" y="2356"/>
                </a:lnTo>
                <a:lnTo>
                  <a:pt x="852" y="2310"/>
                </a:lnTo>
                <a:lnTo>
                  <a:pt x="842" y="2264"/>
                </a:lnTo>
                <a:lnTo>
                  <a:pt x="834" y="2218"/>
                </a:lnTo>
                <a:lnTo>
                  <a:pt x="834" y="2218"/>
                </a:lnTo>
                <a:lnTo>
                  <a:pt x="830" y="2204"/>
                </a:lnTo>
                <a:lnTo>
                  <a:pt x="828" y="2198"/>
                </a:lnTo>
                <a:lnTo>
                  <a:pt x="824" y="2192"/>
                </a:lnTo>
                <a:lnTo>
                  <a:pt x="824" y="2192"/>
                </a:lnTo>
                <a:lnTo>
                  <a:pt x="802" y="2164"/>
                </a:lnTo>
                <a:lnTo>
                  <a:pt x="784" y="2136"/>
                </a:lnTo>
                <a:lnTo>
                  <a:pt x="766" y="2106"/>
                </a:lnTo>
                <a:lnTo>
                  <a:pt x="752" y="2076"/>
                </a:lnTo>
                <a:lnTo>
                  <a:pt x="738" y="2046"/>
                </a:lnTo>
                <a:lnTo>
                  <a:pt x="726" y="2014"/>
                </a:lnTo>
                <a:lnTo>
                  <a:pt x="716" y="1982"/>
                </a:lnTo>
                <a:lnTo>
                  <a:pt x="708" y="1948"/>
                </a:lnTo>
                <a:lnTo>
                  <a:pt x="708" y="1948"/>
                </a:lnTo>
                <a:lnTo>
                  <a:pt x="704" y="1940"/>
                </a:lnTo>
                <a:lnTo>
                  <a:pt x="702" y="1932"/>
                </a:lnTo>
                <a:lnTo>
                  <a:pt x="696" y="1924"/>
                </a:lnTo>
                <a:lnTo>
                  <a:pt x="690" y="1920"/>
                </a:lnTo>
                <a:lnTo>
                  <a:pt x="690" y="1920"/>
                </a:lnTo>
                <a:lnTo>
                  <a:pt x="642" y="1890"/>
                </a:lnTo>
                <a:lnTo>
                  <a:pt x="598" y="1858"/>
                </a:lnTo>
                <a:lnTo>
                  <a:pt x="556" y="1824"/>
                </a:lnTo>
                <a:lnTo>
                  <a:pt x="518" y="1786"/>
                </a:lnTo>
                <a:lnTo>
                  <a:pt x="482" y="1746"/>
                </a:lnTo>
                <a:lnTo>
                  <a:pt x="446" y="1704"/>
                </a:lnTo>
                <a:lnTo>
                  <a:pt x="414" y="1660"/>
                </a:lnTo>
                <a:lnTo>
                  <a:pt x="384" y="1614"/>
                </a:lnTo>
                <a:lnTo>
                  <a:pt x="384" y="1614"/>
                </a:lnTo>
                <a:lnTo>
                  <a:pt x="340" y="1544"/>
                </a:lnTo>
                <a:lnTo>
                  <a:pt x="300" y="1472"/>
                </a:lnTo>
                <a:lnTo>
                  <a:pt x="264" y="1398"/>
                </a:lnTo>
                <a:lnTo>
                  <a:pt x="232" y="1324"/>
                </a:lnTo>
                <a:lnTo>
                  <a:pt x="200" y="1248"/>
                </a:lnTo>
                <a:lnTo>
                  <a:pt x="172" y="1172"/>
                </a:lnTo>
                <a:lnTo>
                  <a:pt x="144" y="1094"/>
                </a:lnTo>
                <a:lnTo>
                  <a:pt x="120" y="1016"/>
                </a:lnTo>
                <a:lnTo>
                  <a:pt x="120" y="1016"/>
                </a:lnTo>
                <a:lnTo>
                  <a:pt x="102" y="956"/>
                </a:lnTo>
                <a:lnTo>
                  <a:pt x="86" y="896"/>
                </a:lnTo>
                <a:lnTo>
                  <a:pt x="56" y="776"/>
                </a:lnTo>
                <a:lnTo>
                  <a:pt x="30" y="654"/>
                </a:lnTo>
                <a:lnTo>
                  <a:pt x="6" y="532"/>
                </a:lnTo>
                <a:lnTo>
                  <a:pt x="6" y="532"/>
                </a:lnTo>
                <a:lnTo>
                  <a:pt x="2" y="510"/>
                </a:lnTo>
                <a:lnTo>
                  <a:pt x="0" y="486"/>
                </a:lnTo>
                <a:lnTo>
                  <a:pt x="0" y="464"/>
                </a:lnTo>
                <a:lnTo>
                  <a:pt x="0" y="444"/>
                </a:lnTo>
                <a:lnTo>
                  <a:pt x="2" y="424"/>
                </a:lnTo>
                <a:lnTo>
                  <a:pt x="6" y="404"/>
                </a:lnTo>
                <a:lnTo>
                  <a:pt x="12" y="384"/>
                </a:lnTo>
                <a:lnTo>
                  <a:pt x="18" y="364"/>
                </a:lnTo>
                <a:lnTo>
                  <a:pt x="26" y="346"/>
                </a:lnTo>
                <a:lnTo>
                  <a:pt x="36" y="328"/>
                </a:lnTo>
                <a:lnTo>
                  <a:pt x="46" y="312"/>
                </a:lnTo>
                <a:lnTo>
                  <a:pt x="58" y="294"/>
                </a:lnTo>
                <a:lnTo>
                  <a:pt x="72" y="278"/>
                </a:lnTo>
                <a:lnTo>
                  <a:pt x="86" y="262"/>
                </a:lnTo>
                <a:lnTo>
                  <a:pt x="118" y="232"/>
                </a:lnTo>
                <a:lnTo>
                  <a:pt x="118" y="232"/>
                </a:lnTo>
                <a:lnTo>
                  <a:pt x="152" y="202"/>
                </a:lnTo>
                <a:lnTo>
                  <a:pt x="188" y="176"/>
                </a:lnTo>
                <a:lnTo>
                  <a:pt x="188" y="176"/>
                </a:lnTo>
                <a:lnTo>
                  <a:pt x="224" y="152"/>
                </a:lnTo>
                <a:lnTo>
                  <a:pt x="258" y="126"/>
                </a:lnTo>
                <a:lnTo>
                  <a:pt x="290" y="98"/>
                </a:lnTo>
                <a:lnTo>
                  <a:pt x="304" y="82"/>
                </a:lnTo>
                <a:lnTo>
                  <a:pt x="320" y="66"/>
                </a:lnTo>
                <a:lnTo>
                  <a:pt x="320" y="66"/>
                </a:lnTo>
                <a:lnTo>
                  <a:pt x="334" y="50"/>
                </a:lnTo>
                <a:lnTo>
                  <a:pt x="350" y="38"/>
                </a:lnTo>
                <a:lnTo>
                  <a:pt x="366" y="26"/>
                </a:lnTo>
                <a:lnTo>
                  <a:pt x="384" y="18"/>
                </a:lnTo>
                <a:lnTo>
                  <a:pt x="402" y="10"/>
                </a:lnTo>
                <a:lnTo>
                  <a:pt x="420" y="4"/>
                </a:lnTo>
                <a:lnTo>
                  <a:pt x="440" y="0"/>
                </a:lnTo>
                <a:lnTo>
                  <a:pt x="460" y="0"/>
                </a:lnTo>
                <a:lnTo>
                  <a:pt x="480" y="0"/>
                </a:lnTo>
                <a:lnTo>
                  <a:pt x="500" y="2"/>
                </a:lnTo>
                <a:lnTo>
                  <a:pt x="522" y="6"/>
                </a:lnTo>
                <a:lnTo>
                  <a:pt x="540" y="12"/>
                </a:lnTo>
                <a:lnTo>
                  <a:pt x="560" y="20"/>
                </a:lnTo>
                <a:lnTo>
                  <a:pt x="578" y="30"/>
                </a:lnTo>
                <a:lnTo>
                  <a:pt x="596" y="42"/>
                </a:lnTo>
                <a:lnTo>
                  <a:pt x="614" y="54"/>
                </a:lnTo>
                <a:lnTo>
                  <a:pt x="614" y="54"/>
                </a:lnTo>
                <a:lnTo>
                  <a:pt x="628" y="68"/>
                </a:lnTo>
                <a:lnTo>
                  <a:pt x="642" y="84"/>
                </a:lnTo>
                <a:lnTo>
                  <a:pt x="652" y="102"/>
                </a:lnTo>
                <a:lnTo>
                  <a:pt x="662" y="118"/>
                </a:lnTo>
                <a:lnTo>
                  <a:pt x="670" y="138"/>
                </a:lnTo>
                <a:lnTo>
                  <a:pt x="676" y="156"/>
                </a:lnTo>
                <a:lnTo>
                  <a:pt x="680" y="176"/>
                </a:lnTo>
                <a:lnTo>
                  <a:pt x="684" y="196"/>
                </a:lnTo>
                <a:lnTo>
                  <a:pt x="684" y="216"/>
                </a:lnTo>
                <a:lnTo>
                  <a:pt x="684" y="236"/>
                </a:lnTo>
                <a:lnTo>
                  <a:pt x="680" y="256"/>
                </a:lnTo>
                <a:lnTo>
                  <a:pt x="676" y="274"/>
                </a:lnTo>
                <a:lnTo>
                  <a:pt x="668" y="294"/>
                </a:lnTo>
                <a:lnTo>
                  <a:pt x="660" y="312"/>
                </a:lnTo>
                <a:lnTo>
                  <a:pt x="650" y="330"/>
                </a:lnTo>
                <a:lnTo>
                  <a:pt x="638" y="346"/>
                </a:lnTo>
                <a:lnTo>
                  <a:pt x="638" y="346"/>
                </a:lnTo>
                <a:lnTo>
                  <a:pt x="624" y="362"/>
                </a:lnTo>
                <a:lnTo>
                  <a:pt x="608" y="376"/>
                </a:lnTo>
                <a:lnTo>
                  <a:pt x="592" y="390"/>
                </a:lnTo>
                <a:lnTo>
                  <a:pt x="574" y="400"/>
                </a:lnTo>
                <a:lnTo>
                  <a:pt x="556" y="410"/>
                </a:lnTo>
                <a:lnTo>
                  <a:pt x="536" y="416"/>
                </a:lnTo>
                <a:lnTo>
                  <a:pt x="518" y="422"/>
                </a:lnTo>
                <a:lnTo>
                  <a:pt x="498" y="426"/>
                </a:lnTo>
                <a:lnTo>
                  <a:pt x="478" y="428"/>
                </a:lnTo>
                <a:lnTo>
                  <a:pt x="458" y="426"/>
                </a:lnTo>
                <a:lnTo>
                  <a:pt x="438" y="424"/>
                </a:lnTo>
                <a:lnTo>
                  <a:pt x="418" y="420"/>
                </a:lnTo>
                <a:lnTo>
                  <a:pt x="400" y="414"/>
                </a:lnTo>
                <a:lnTo>
                  <a:pt x="380" y="406"/>
                </a:lnTo>
                <a:lnTo>
                  <a:pt x="362" y="396"/>
                </a:lnTo>
                <a:lnTo>
                  <a:pt x="346" y="384"/>
                </a:lnTo>
                <a:lnTo>
                  <a:pt x="346" y="384"/>
                </a:lnTo>
                <a:lnTo>
                  <a:pt x="338" y="380"/>
                </a:lnTo>
                <a:lnTo>
                  <a:pt x="332" y="378"/>
                </a:lnTo>
                <a:lnTo>
                  <a:pt x="326" y="376"/>
                </a:lnTo>
                <a:lnTo>
                  <a:pt x="322" y="376"/>
                </a:lnTo>
                <a:lnTo>
                  <a:pt x="312" y="380"/>
                </a:lnTo>
                <a:lnTo>
                  <a:pt x="300" y="386"/>
                </a:lnTo>
                <a:lnTo>
                  <a:pt x="300" y="386"/>
                </a:lnTo>
                <a:lnTo>
                  <a:pt x="282" y="400"/>
                </a:lnTo>
                <a:lnTo>
                  <a:pt x="266" y="414"/>
                </a:lnTo>
                <a:lnTo>
                  <a:pt x="254" y="430"/>
                </a:lnTo>
                <a:lnTo>
                  <a:pt x="246" y="448"/>
                </a:lnTo>
                <a:lnTo>
                  <a:pt x="242" y="466"/>
                </a:lnTo>
                <a:lnTo>
                  <a:pt x="240" y="486"/>
                </a:lnTo>
                <a:lnTo>
                  <a:pt x="240" y="508"/>
                </a:lnTo>
                <a:lnTo>
                  <a:pt x="244" y="532"/>
                </a:lnTo>
                <a:lnTo>
                  <a:pt x="244" y="532"/>
                </a:lnTo>
                <a:lnTo>
                  <a:pt x="278" y="686"/>
                </a:lnTo>
                <a:lnTo>
                  <a:pt x="296" y="762"/>
                </a:lnTo>
                <a:lnTo>
                  <a:pt x="314" y="840"/>
                </a:lnTo>
                <a:lnTo>
                  <a:pt x="336" y="916"/>
                </a:lnTo>
                <a:lnTo>
                  <a:pt x="360" y="990"/>
                </a:lnTo>
                <a:lnTo>
                  <a:pt x="384" y="1066"/>
                </a:lnTo>
                <a:lnTo>
                  <a:pt x="412" y="1140"/>
                </a:lnTo>
                <a:lnTo>
                  <a:pt x="412" y="1140"/>
                </a:lnTo>
                <a:lnTo>
                  <a:pt x="438" y="1204"/>
                </a:lnTo>
                <a:lnTo>
                  <a:pt x="464" y="1266"/>
                </a:lnTo>
                <a:lnTo>
                  <a:pt x="492" y="1328"/>
                </a:lnTo>
                <a:lnTo>
                  <a:pt x="524" y="1390"/>
                </a:lnTo>
                <a:lnTo>
                  <a:pt x="558" y="1448"/>
                </a:lnTo>
                <a:lnTo>
                  <a:pt x="594" y="1506"/>
                </a:lnTo>
                <a:lnTo>
                  <a:pt x="636" y="1560"/>
                </a:lnTo>
                <a:lnTo>
                  <a:pt x="658" y="1588"/>
                </a:lnTo>
                <a:lnTo>
                  <a:pt x="680" y="1614"/>
                </a:lnTo>
                <a:lnTo>
                  <a:pt x="680" y="1614"/>
                </a:lnTo>
                <a:lnTo>
                  <a:pt x="700" y="1634"/>
                </a:lnTo>
                <a:lnTo>
                  <a:pt x="720" y="1652"/>
                </a:lnTo>
                <a:lnTo>
                  <a:pt x="740" y="1670"/>
                </a:lnTo>
                <a:lnTo>
                  <a:pt x="762" y="1686"/>
                </a:lnTo>
                <a:lnTo>
                  <a:pt x="784" y="1702"/>
                </a:lnTo>
                <a:lnTo>
                  <a:pt x="808" y="1714"/>
                </a:lnTo>
                <a:lnTo>
                  <a:pt x="834" y="1726"/>
                </a:lnTo>
                <a:lnTo>
                  <a:pt x="860" y="1736"/>
                </a:lnTo>
                <a:lnTo>
                  <a:pt x="860" y="1736"/>
                </a:lnTo>
                <a:lnTo>
                  <a:pt x="896" y="1744"/>
                </a:lnTo>
                <a:lnTo>
                  <a:pt x="916" y="1748"/>
                </a:lnTo>
                <a:lnTo>
                  <a:pt x="934" y="1748"/>
                </a:lnTo>
                <a:lnTo>
                  <a:pt x="968" y="1748"/>
                </a:lnTo>
                <a:lnTo>
                  <a:pt x="1004" y="1742"/>
                </a:lnTo>
                <a:lnTo>
                  <a:pt x="1038" y="1734"/>
                </a:lnTo>
                <a:lnTo>
                  <a:pt x="1070" y="1720"/>
                </a:lnTo>
                <a:lnTo>
                  <a:pt x="1102" y="1702"/>
                </a:lnTo>
                <a:lnTo>
                  <a:pt x="1132" y="1680"/>
                </a:lnTo>
                <a:lnTo>
                  <a:pt x="1132" y="1680"/>
                </a:lnTo>
                <a:lnTo>
                  <a:pt x="1170" y="1650"/>
                </a:lnTo>
                <a:lnTo>
                  <a:pt x="1206" y="1616"/>
                </a:lnTo>
                <a:lnTo>
                  <a:pt x="1238" y="1580"/>
                </a:lnTo>
                <a:lnTo>
                  <a:pt x="1268" y="1544"/>
                </a:lnTo>
                <a:lnTo>
                  <a:pt x="1294" y="1504"/>
                </a:lnTo>
                <a:lnTo>
                  <a:pt x="1320" y="1464"/>
                </a:lnTo>
                <a:lnTo>
                  <a:pt x="1344" y="1422"/>
                </a:lnTo>
                <a:lnTo>
                  <a:pt x="1368" y="1380"/>
                </a:lnTo>
                <a:lnTo>
                  <a:pt x="1368" y="1380"/>
                </a:lnTo>
                <a:lnTo>
                  <a:pt x="1392" y="1334"/>
                </a:lnTo>
                <a:lnTo>
                  <a:pt x="1414" y="1286"/>
                </a:lnTo>
                <a:lnTo>
                  <a:pt x="1456" y="1190"/>
                </a:lnTo>
                <a:lnTo>
                  <a:pt x="1494" y="1092"/>
                </a:lnTo>
                <a:lnTo>
                  <a:pt x="1528" y="992"/>
                </a:lnTo>
                <a:lnTo>
                  <a:pt x="1560" y="892"/>
                </a:lnTo>
                <a:lnTo>
                  <a:pt x="1586" y="790"/>
                </a:lnTo>
                <a:lnTo>
                  <a:pt x="1610" y="688"/>
                </a:lnTo>
                <a:lnTo>
                  <a:pt x="1632" y="584"/>
                </a:lnTo>
                <a:lnTo>
                  <a:pt x="1632" y="584"/>
                </a:lnTo>
                <a:lnTo>
                  <a:pt x="1650" y="478"/>
                </a:lnTo>
                <a:lnTo>
                  <a:pt x="1650" y="478"/>
                </a:lnTo>
                <a:lnTo>
                  <a:pt x="1650" y="464"/>
                </a:lnTo>
                <a:lnTo>
                  <a:pt x="1648" y="450"/>
                </a:lnTo>
                <a:lnTo>
                  <a:pt x="1642" y="436"/>
                </a:lnTo>
                <a:lnTo>
                  <a:pt x="1632" y="426"/>
                </a:lnTo>
                <a:lnTo>
                  <a:pt x="1632" y="426"/>
                </a:lnTo>
                <a:lnTo>
                  <a:pt x="1614" y="408"/>
                </a:lnTo>
                <a:lnTo>
                  <a:pt x="1614" y="408"/>
                </a:lnTo>
                <a:lnTo>
                  <a:pt x="1590" y="386"/>
                </a:lnTo>
                <a:lnTo>
                  <a:pt x="1580" y="382"/>
                </a:lnTo>
                <a:lnTo>
                  <a:pt x="1572" y="378"/>
                </a:lnTo>
                <a:lnTo>
                  <a:pt x="1562" y="380"/>
                </a:lnTo>
                <a:lnTo>
                  <a:pt x="1552" y="382"/>
                </a:lnTo>
                <a:lnTo>
                  <a:pt x="1524" y="398"/>
                </a:lnTo>
                <a:lnTo>
                  <a:pt x="1524" y="398"/>
                </a:lnTo>
                <a:lnTo>
                  <a:pt x="1494" y="412"/>
                </a:lnTo>
                <a:lnTo>
                  <a:pt x="1464" y="422"/>
                </a:lnTo>
                <a:lnTo>
                  <a:pt x="1434" y="426"/>
                </a:lnTo>
                <a:lnTo>
                  <a:pt x="1406" y="428"/>
                </a:lnTo>
                <a:lnTo>
                  <a:pt x="1376" y="424"/>
                </a:lnTo>
                <a:lnTo>
                  <a:pt x="1348" y="416"/>
                </a:lnTo>
                <a:lnTo>
                  <a:pt x="1320" y="404"/>
                </a:lnTo>
                <a:lnTo>
                  <a:pt x="1292" y="386"/>
                </a:lnTo>
                <a:lnTo>
                  <a:pt x="1292" y="386"/>
                </a:lnTo>
                <a:lnTo>
                  <a:pt x="1266" y="366"/>
                </a:lnTo>
                <a:lnTo>
                  <a:pt x="1246" y="342"/>
                </a:lnTo>
                <a:lnTo>
                  <a:pt x="1228" y="318"/>
                </a:lnTo>
                <a:lnTo>
                  <a:pt x="1216" y="292"/>
                </a:lnTo>
                <a:lnTo>
                  <a:pt x="1208" y="264"/>
                </a:lnTo>
                <a:lnTo>
                  <a:pt x="1204" y="234"/>
                </a:lnTo>
                <a:lnTo>
                  <a:pt x="1204" y="202"/>
                </a:lnTo>
                <a:lnTo>
                  <a:pt x="1208" y="170"/>
                </a:lnTo>
                <a:lnTo>
                  <a:pt x="1208" y="170"/>
                </a:lnTo>
                <a:lnTo>
                  <a:pt x="1216" y="138"/>
                </a:lnTo>
                <a:lnTo>
                  <a:pt x="1228" y="110"/>
                </a:lnTo>
                <a:lnTo>
                  <a:pt x="1244" y="84"/>
                </a:lnTo>
                <a:lnTo>
                  <a:pt x="1264" y="62"/>
                </a:lnTo>
                <a:lnTo>
                  <a:pt x="1286" y="42"/>
                </a:lnTo>
                <a:lnTo>
                  <a:pt x="1312" y="26"/>
                </a:lnTo>
                <a:lnTo>
                  <a:pt x="1342" y="14"/>
                </a:lnTo>
                <a:lnTo>
                  <a:pt x="1374" y="4"/>
                </a:lnTo>
                <a:lnTo>
                  <a:pt x="1374" y="4"/>
                </a:lnTo>
                <a:lnTo>
                  <a:pt x="1390" y="0"/>
                </a:lnTo>
                <a:lnTo>
                  <a:pt x="1406" y="0"/>
                </a:lnTo>
                <a:lnTo>
                  <a:pt x="1422" y="0"/>
                </a:lnTo>
                <a:lnTo>
                  <a:pt x="1436" y="0"/>
                </a:lnTo>
                <a:lnTo>
                  <a:pt x="1452" y="2"/>
                </a:lnTo>
                <a:lnTo>
                  <a:pt x="1468" y="6"/>
                </a:lnTo>
                <a:lnTo>
                  <a:pt x="1498" y="16"/>
                </a:lnTo>
                <a:lnTo>
                  <a:pt x="1528" y="32"/>
                </a:lnTo>
                <a:lnTo>
                  <a:pt x="1554" y="50"/>
                </a:lnTo>
                <a:lnTo>
                  <a:pt x="1566" y="60"/>
                </a:lnTo>
                <a:lnTo>
                  <a:pt x="1578" y="72"/>
                </a:lnTo>
                <a:lnTo>
                  <a:pt x="1588" y="86"/>
                </a:lnTo>
                <a:lnTo>
                  <a:pt x="1598" y="98"/>
                </a:lnTo>
                <a:lnTo>
                  <a:pt x="1598" y="98"/>
                </a:lnTo>
                <a:lnTo>
                  <a:pt x="1604" y="108"/>
                </a:lnTo>
                <a:lnTo>
                  <a:pt x="1612" y="116"/>
                </a:lnTo>
                <a:lnTo>
                  <a:pt x="1630" y="132"/>
                </a:lnTo>
                <a:lnTo>
                  <a:pt x="1630" y="132"/>
                </a:lnTo>
                <a:lnTo>
                  <a:pt x="1710" y="190"/>
                </a:lnTo>
                <a:lnTo>
                  <a:pt x="1750" y="218"/>
                </a:lnTo>
                <a:lnTo>
                  <a:pt x="1788" y="250"/>
                </a:lnTo>
                <a:lnTo>
                  <a:pt x="1788" y="250"/>
                </a:lnTo>
                <a:lnTo>
                  <a:pt x="1804" y="264"/>
                </a:lnTo>
                <a:lnTo>
                  <a:pt x="1818" y="280"/>
                </a:lnTo>
                <a:lnTo>
                  <a:pt x="1832" y="296"/>
                </a:lnTo>
                <a:lnTo>
                  <a:pt x="1842" y="312"/>
                </a:lnTo>
                <a:lnTo>
                  <a:pt x="1852" y="328"/>
                </a:lnTo>
                <a:lnTo>
                  <a:pt x="1862" y="344"/>
                </a:lnTo>
                <a:lnTo>
                  <a:pt x="1870" y="362"/>
                </a:lnTo>
                <a:lnTo>
                  <a:pt x="1876" y="380"/>
                </a:lnTo>
                <a:lnTo>
                  <a:pt x="1880" y="398"/>
                </a:lnTo>
                <a:lnTo>
                  <a:pt x="1884" y="418"/>
                </a:lnTo>
                <a:lnTo>
                  <a:pt x="1886" y="436"/>
                </a:lnTo>
                <a:lnTo>
                  <a:pt x="1888" y="456"/>
                </a:lnTo>
                <a:lnTo>
                  <a:pt x="1886" y="498"/>
                </a:lnTo>
                <a:lnTo>
                  <a:pt x="1880" y="540"/>
                </a:lnTo>
                <a:lnTo>
                  <a:pt x="1880" y="540"/>
                </a:lnTo>
                <a:lnTo>
                  <a:pt x="1860" y="646"/>
                </a:lnTo>
                <a:lnTo>
                  <a:pt x="1838" y="752"/>
                </a:lnTo>
                <a:lnTo>
                  <a:pt x="1812" y="856"/>
                </a:lnTo>
                <a:lnTo>
                  <a:pt x="1784" y="960"/>
                </a:lnTo>
                <a:lnTo>
                  <a:pt x="1754" y="1062"/>
                </a:lnTo>
                <a:lnTo>
                  <a:pt x="1718" y="1164"/>
                </a:lnTo>
                <a:lnTo>
                  <a:pt x="1680" y="1266"/>
                </a:lnTo>
                <a:lnTo>
                  <a:pt x="1638" y="1364"/>
                </a:lnTo>
                <a:lnTo>
                  <a:pt x="1638" y="1364"/>
                </a:lnTo>
                <a:lnTo>
                  <a:pt x="1608" y="1428"/>
                </a:lnTo>
                <a:lnTo>
                  <a:pt x="1578" y="1490"/>
                </a:lnTo>
                <a:lnTo>
                  <a:pt x="1544" y="1552"/>
                </a:lnTo>
                <a:lnTo>
                  <a:pt x="1508" y="1610"/>
                </a:lnTo>
                <a:lnTo>
                  <a:pt x="1468" y="1668"/>
                </a:lnTo>
                <a:lnTo>
                  <a:pt x="1426" y="1722"/>
                </a:lnTo>
                <a:lnTo>
                  <a:pt x="1404" y="1748"/>
                </a:lnTo>
                <a:lnTo>
                  <a:pt x="1380" y="1774"/>
                </a:lnTo>
                <a:lnTo>
                  <a:pt x="1354" y="1800"/>
                </a:lnTo>
                <a:lnTo>
                  <a:pt x="1328" y="1824"/>
                </a:lnTo>
                <a:lnTo>
                  <a:pt x="1328" y="1824"/>
                </a:lnTo>
                <a:lnTo>
                  <a:pt x="1298" y="1848"/>
                </a:lnTo>
                <a:lnTo>
                  <a:pt x="1268" y="1870"/>
                </a:lnTo>
                <a:lnTo>
                  <a:pt x="1236" y="1894"/>
                </a:lnTo>
                <a:lnTo>
                  <a:pt x="1204" y="1916"/>
                </a:lnTo>
                <a:lnTo>
                  <a:pt x="1204" y="1916"/>
                </a:lnTo>
                <a:lnTo>
                  <a:pt x="1196" y="1924"/>
                </a:lnTo>
                <a:lnTo>
                  <a:pt x="1190" y="1932"/>
                </a:lnTo>
                <a:lnTo>
                  <a:pt x="1184" y="1940"/>
                </a:lnTo>
                <a:lnTo>
                  <a:pt x="1180" y="1950"/>
                </a:lnTo>
                <a:lnTo>
                  <a:pt x="1180" y="1950"/>
                </a:lnTo>
                <a:lnTo>
                  <a:pt x="1172" y="1978"/>
                </a:lnTo>
                <a:lnTo>
                  <a:pt x="1164" y="2008"/>
                </a:lnTo>
                <a:lnTo>
                  <a:pt x="1154" y="2036"/>
                </a:lnTo>
                <a:lnTo>
                  <a:pt x="1142" y="2064"/>
                </a:lnTo>
                <a:lnTo>
                  <a:pt x="1130" y="2090"/>
                </a:lnTo>
                <a:lnTo>
                  <a:pt x="1116" y="2116"/>
                </a:lnTo>
                <a:lnTo>
                  <a:pt x="1100" y="2142"/>
                </a:lnTo>
                <a:lnTo>
                  <a:pt x="1084" y="2168"/>
                </a:lnTo>
                <a:lnTo>
                  <a:pt x="1084" y="2168"/>
                </a:lnTo>
                <a:lnTo>
                  <a:pt x="1076" y="2182"/>
                </a:lnTo>
                <a:lnTo>
                  <a:pt x="1072" y="2192"/>
                </a:lnTo>
                <a:lnTo>
                  <a:pt x="1072" y="2200"/>
                </a:lnTo>
                <a:lnTo>
                  <a:pt x="1072" y="2200"/>
                </a:lnTo>
                <a:lnTo>
                  <a:pt x="1082" y="2256"/>
                </a:lnTo>
                <a:lnTo>
                  <a:pt x="1094" y="2310"/>
                </a:lnTo>
                <a:lnTo>
                  <a:pt x="1108" y="2364"/>
                </a:lnTo>
                <a:lnTo>
                  <a:pt x="1126" y="2416"/>
                </a:lnTo>
                <a:lnTo>
                  <a:pt x="1150" y="2468"/>
                </a:lnTo>
                <a:lnTo>
                  <a:pt x="1176" y="2516"/>
                </a:lnTo>
                <a:lnTo>
                  <a:pt x="1190" y="2540"/>
                </a:lnTo>
                <a:lnTo>
                  <a:pt x="1206" y="2564"/>
                </a:lnTo>
                <a:lnTo>
                  <a:pt x="1224" y="2586"/>
                </a:lnTo>
                <a:lnTo>
                  <a:pt x="1242" y="2608"/>
                </a:lnTo>
                <a:lnTo>
                  <a:pt x="1242" y="2608"/>
                </a:lnTo>
                <a:lnTo>
                  <a:pt x="1276" y="2644"/>
                </a:lnTo>
                <a:lnTo>
                  <a:pt x="1314" y="2676"/>
                </a:lnTo>
                <a:lnTo>
                  <a:pt x="1352" y="2706"/>
                </a:lnTo>
                <a:lnTo>
                  <a:pt x="1394" y="2730"/>
                </a:lnTo>
                <a:lnTo>
                  <a:pt x="1436" y="2752"/>
                </a:lnTo>
                <a:lnTo>
                  <a:pt x="1482" y="2768"/>
                </a:lnTo>
                <a:lnTo>
                  <a:pt x="1528" y="2782"/>
                </a:lnTo>
                <a:lnTo>
                  <a:pt x="1576" y="2794"/>
                </a:lnTo>
                <a:lnTo>
                  <a:pt x="1576" y="2794"/>
                </a:lnTo>
                <a:lnTo>
                  <a:pt x="1648" y="2804"/>
                </a:lnTo>
                <a:lnTo>
                  <a:pt x="1718" y="2812"/>
                </a:lnTo>
                <a:lnTo>
                  <a:pt x="1754" y="2812"/>
                </a:lnTo>
                <a:lnTo>
                  <a:pt x="1790" y="2814"/>
                </a:lnTo>
                <a:lnTo>
                  <a:pt x="1824" y="2812"/>
                </a:lnTo>
                <a:lnTo>
                  <a:pt x="1860" y="2810"/>
                </a:lnTo>
                <a:lnTo>
                  <a:pt x="1894" y="2808"/>
                </a:lnTo>
                <a:lnTo>
                  <a:pt x="1930" y="2802"/>
                </a:lnTo>
                <a:lnTo>
                  <a:pt x="1964" y="2796"/>
                </a:lnTo>
                <a:lnTo>
                  <a:pt x="1998" y="2790"/>
                </a:lnTo>
                <a:lnTo>
                  <a:pt x="2032" y="2780"/>
                </a:lnTo>
                <a:lnTo>
                  <a:pt x="2066" y="2770"/>
                </a:lnTo>
                <a:lnTo>
                  <a:pt x="2100" y="2756"/>
                </a:lnTo>
                <a:lnTo>
                  <a:pt x="2134" y="2742"/>
                </a:lnTo>
                <a:lnTo>
                  <a:pt x="2134" y="2742"/>
                </a:lnTo>
                <a:lnTo>
                  <a:pt x="2166" y="2726"/>
                </a:lnTo>
                <a:lnTo>
                  <a:pt x="2196" y="2710"/>
                </a:lnTo>
                <a:lnTo>
                  <a:pt x="2226" y="2692"/>
                </a:lnTo>
                <a:lnTo>
                  <a:pt x="2252" y="2672"/>
                </a:lnTo>
                <a:lnTo>
                  <a:pt x="2278" y="2650"/>
                </a:lnTo>
                <a:lnTo>
                  <a:pt x="2302" y="2628"/>
                </a:lnTo>
                <a:lnTo>
                  <a:pt x="2324" y="2604"/>
                </a:lnTo>
                <a:lnTo>
                  <a:pt x="2344" y="2580"/>
                </a:lnTo>
                <a:lnTo>
                  <a:pt x="2364" y="2554"/>
                </a:lnTo>
                <a:lnTo>
                  <a:pt x="2382" y="2526"/>
                </a:lnTo>
                <a:lnTo>
                  <a:pt x="2398" y="2498"/>
                </a:lnTo>
                <a:lnTo>
                  <a:pt x="2414" y="2468"/>
                </a:lnTo>
                <a:lnTo>
                  <a:pt x="2426" y="2438"/>
                </a:lnTo>
                <a:lnTo>
                  <a:pt x="2438" y="2406"/>
                </a:lnTo>
                <a:lnTo>
                  <a:pt x="2450" y="2374"/>
                </a:lnTo>
                <a:lnTo>
                  <a:pt x="2460" y="2340"/>
                </a:lnTo>
                <a:lnTo>
                  <a:pt x="2460" y="2340"/>
                </a:lnTo>
                <a:lnTo>
                  <a:pt x="2462" y="2322"/>
                </a:lnTo>
                <a:lnTo>
                  <a:pt x="2462" y="2322"/>
                </a:lnTo>
                <a:lnTo>
                  <a:pt x="2458" y="2328"/>
                </a:lnTo>
                <a:lnTo>
                  <a:pt x="2458" y="2328"/>
                </a:lnTo>
                <a:close/>
                <a:moveTo>
                  <a:pt x="2596" y="2102"/>
                </a:moveTo>
                <a:lnTo>
                  <a:pt x="2596" y="2102"/>
                </a:lnTo>
                <a:lnTo>
                  <a:pt x="2620" y="2102"/>
                </a:lnTo>
                <a:lnTo>
                  <a:pt x="2644" y="2098"/>
                </a:lnTo>
                <a:lnTo>
                  <a:pt x="2666" y="2092"/>
                </a:lnTo>
                <a:lnTo>
                  <a:pt x="2688" y="2084"/>
                </a:lnTo>
                <a:lnTo>
                  <a:pt x="2710" y="2076"/>
                </a:lnTo>
                <a:lnTo>
                  <a:pt x="2730" y="2064"/>
                </a:lnTo>
                <a:lnTo>
                  <a:pt x="2748" y="2050"/>
                </a:lnTo>
                <a:lnTo>
                  <a:pt x="2764" y="2036"/>
                </a:lnTo>
                <a:lnTo>
                  <a:pt x="2780" y="2018"/>
                </a:lnTo>
                <a:lnTo>
                  <a:pt x="2792" y="2002"/>
                </a:lnTo>
                <a:lnTo>
                  <a:pt x="2804" y="1982"/>
                </a:lnTo>
                <a:lnTo>
                  <a:pt x="2814" y="1962"/>
                </a:lnTo>
                <a:lnTo>
                  <a:pt x="2822" y="1940"/>
                </a:lnTo>
                <a:lnTo>
                  <a:pt x="2828" y="1916"/>
                </a:lnTo>
                <a:lnTo>
                  <a:pt x="2832" y="1894"/>
                </a:lnTo>
                <a:lnTo>
                  <a:pt x="2834" y="1868"/>
                </a:lnTo>
                <a:lnTo>
                  <a:pt x="2834" y="1868"/>
                </a:lnTo>
                <a:lnTo>
                  <a:pt x="2832" y="1844"/>
                </a:lnTo>
                <a:lnTo>
                  <a:pt x="2830" y="1822"/>
                </a:lnTo>
                <a:lnTo>
                  <a:pt x="2824" y="1798"/>
                </a:lnTo>
                <a:lnTo>
                  <a:pt x="2816" y="1778"/>
                </a:lnTo>
                <a:lnTo>
                  <a:pt x="2806" y="1756"/>
                </a:lnTo>
                <a:lnTo>
                  <a:pt x="2794" y="1738"/>
                </a:lnTo>
                <a:lnTo>
                  <a:pt x="2782" y="1720"/>
                </a:lnTo>
                <a:lnTo>
                  <a:pt x="2766" y="1702"/>
                </a:lnTo>
                <a:lnTo>
                  <a:pt x="2750" y="1686"/>
                </a:lnTo>
                <a:lnTo>
                  <a:pt x="2732" y="1674"/>
                </a:lnTo>
                <a:lnTo>
                  <a:pt x="2712" y="1662"/>
                </a:lnTo>
                <a:lnTo>
                  <a:pt x="2692" y="1652"/>
                </a:lnTo>
                <a:lnTo>
                  <a:pt x="2672" y="1644"/>
                </a:lnTo>
                <a:lnTo>
                  <a:pt x="2648" y="1638"/>
                </a:lnTo>
                <a:lnTo>
                  <a:pt x="2626" y="1634"/>
                </a:lnTo>
                <a:lnTo>
                  <a:pt x="2602" y="1632"/>
                </a:lnTo>
                <a:lnTo>
                  <a:pt x="2602" y="1632"/>
                </a:lnTo>
                <a:lnTo>
                  <a:pt x="2578" y="1632"/>
                </a:lnTo>
                <a:lnTo>
                  <a:pt x="2554" y="1636"/>
                </a:lnTo>
                <a:lnTo>
                  <a:pt x="2530" y="1642"/>
                </a:lnTo>
                <a:lnTo>
                  <a:pt x="2508" y="1650"/>
                </a:lnTo>
                <a:lnTo>
                  <a:pt x="2488" y="1660"/>
                </a:lnTo>
                <a:lnTo>
                  <a:pt x="2468" y="1670"/>
                </a:lnTo>
                <a:lnTo>
                  <a:pt x="2450" y="1684"/>
                </a:lnTo>
                <a:lnTo>
                  <a:pt x="2432" y="1700"/>
                </a:lnTo>
                <a:lnTo>
                  <a:pt x="2418" y="1716"/>
                </a:lnTo>
                <a:lnTo>
                  <a:pt x="2404" y="1734"/>
                </a:lnTo>
                <a:lnTo>
                  <a:pt x="2392" y="1752"/>
                </a:lnTo>
                <a:lnTo>
                  <a:pt x="2382" y="1774"/>
                </a:lnTo>
                <a:lnTo>
                  <a:pt x="2374" y="1794"/>
                </a:lnTo>
                <a:lnTo>
                  <a:pt x="2368" y="1818"/>
                </a:lnTo>
                <a:lnTo>
                  <a:pt x="2364" y="1840"/>
                </a:lnTo>
                <a:lnTo>
                  <a:pt x="2362" y="1864"/>
                </a:lnTo>
                <a:lnTo>
                  <a:pt x="2362" y="1864"/>
                </a:lnTo>
                <a:lnTo>
                  <a:pt x="2364" y="1890"/>
                </a:lnTo>
                <a:lnTo>
                  <a:pt x="2366" y="1912"/>
                </a:lnTo>
                <a:lnTo>
                  <a:pt x="2372" y="1936"/>
                </a:lnTo>
                <a:lnTo>
                  <a:pt x="2380" y="1958"/>
                </a:lnTo>
                <a:lnTo>
                  <a:pt x="2390" y="1978"/>
                </a:lnTo>
                <a:lnTo>
                  <a:pt x="2400" y="1998"/>
                </a:lnTo>
                <a:lnTo>
                  <a:pt x="2414" y="2016"/>
                </a:lnTo>
                <a:lnTo>
                  <a:pt x="2430" y="2032"/>
                </a:lnTo>
                <a:lnTo>
                  <a:pt x="2446" y="2048"/>
                </a:lnTo>
                <a:lnTo>
                  <a:pt x="2464" y="2062"/>
                </a:lnTo>
                <a:lnTo>
                  <a:pt x="2482" y="2074"/>
                </a:lnTo>
                <a:lnTo>
                  <a:pt x="2504" y="2084"/>
                </a:lnTo>
                <a:lnTo>
                  <a:pt x="2526" y="2092"/>
                </a:lnTo>
                <a:lnTo>
                  <a:pt x="2548" y="2098"/>
                </a:lnTo>
                <a:lnTo>
                  <a:pt x="2572" y="2100"/>
                </a:lnTo>
                <a:lnTo>
                  <a:pt x="2596" y="2102"/>
                </a:lnTo>
                <a:lnTo>
                  <a:pt x="2596" y="210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3297" tIns="46649" rIns="93297" bIns="46649"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it-IT" sz="1837"/>
          </a:p>
        </xdr:txBody>
      </xdr:sp>
      <xdr:sp macro="" textlink="">
        <xdr:nvSpPr>
          <xdr:cNvPr id="10" name="Freeform 9"/>
          <xdr:cNvSpPr>
            <a:spLocks/>
          </xdr:cNvSpPr>
        </xdr:nvSpPr>
        <xdr:spPr bwMode="auto">
          <a:xfrm>
            <a:off x="-1878012" y="4289425"/>
            <a:ext cx="374650" cy="374650"/>
          </a:xfrm>
          <a:custGeom>
            <a:avLst/>
            <a:gdLst>
              <a:gd name="T0" fmla="*/ 236 w 236"/>
              <a:gd name="T1" fmla="*/ 122 h 236"/>
              <a:gd name="T2" fmla="*/ 236 w 236"/>
              <a:gd name="T3" fmla="*/ 122 h 236"/>
              <a:gd name="T4" fmla="*/ 234 w 236"/>
              <a:gd name="T5" fmla="*/ 134 h 236"/>
              <a:gd name="T6" fmla="*/ 232 w 236"/>
              <a:gd name="T7" fmla="*/ 144 h 236"/>
              <a:gd name="T8" fmla="*/ 226 w 236"/>
              <a:gd name="T9" fmla="*/ 166 h 236"/>
              <a:gd name="T10" fmla="*/ 214 w 236"/>
              <a:gd name="T11" fmla="*/ 186 h 236"/>
              <a:gd name="T12" fmla="*/ 198 w 236"/>
              <a:gd name="T13" fmla="*/ 202 h 236"/>
              <a:gd name="T14" fmla="*/ 182 w 236"/>
              <a:gd name="T15" fmla="*/ 216 h 236"/>
              <a:gd name="T16" fmla="*/ 162 w 236"/>
              <a:gd name="T17" fmla="*/ 228 h 236"/>
              <a:gd name="T18" fmla="*/ 140 w 236"/>
              <a:gd name="T19" fmla="*/ 234 h 236"/>
              <a:gd name="T20" fmla="*/ 128 w 236"/>
              <a:gd name="T21" fmla="*/ 236 h 236"/>
              <a:gd name="T22" fmla="*/ 116 w 236"/>
              <a:gd name="T23" fmla="*/ 236 h 236"/>
              <a:gd name="T24" fmla="*/ 116 w 236"/>
              <a:gd name="T25" fmla="*/ 236 h 236"/>
              <a:gd name="T26" fmla="*/ 104 w 236"/>
              <a:gd name="T27" fmla="*/ 234 h 236"/>
              <a:gd name="T28" fmla="*/ 92 w 236"/>
              <a:gd name="T29" fmla="*/ 232 h 236"/>
              <a:gd name="T30" fmla="*/ 70 w 236"/>
              <a:gd name="T31" fmla="*/ 226 h 236"/>
              <a:gd name="T32" fmla="*/ 50 w 236"/>
              <a:gd name="T33" fmla="*/ 214 h 236"/>
              <a:gd name="T34" fmla="*/ 34 w 236"/>
              <a:gd name="T35" fmla="*/ 200 h 236"/>
              <a:gd name="T36" fmla="*/ 20 w 236"/>
              <a:gd name="T37" fmla="*/ 182 h 236"/>
              <a:gd name="T38" fmla="*/ 8 w 236"/>
              <a:gd name="T39" fmla="*/ 160 h 236"/>
              <a:gd name="T40" fmla="*/ 2 w 236"/>
              <a:gd name="T41" fmla="*/ 138 h 236"/>
              <a:gd name="T42" fmla="*/ 0 w 236"/>
              <a:gd name="T43" fmla="*/ 126 h 236"/>
              <a:gd name="T44" fmla="*/ 0 w 236"/>
              <a:gd name="T45" fmla="*/ 114 h 236"/>
              <a:gd name="T46" fmla="*/ 0 w 236"/>
              <a:gd name="T47" fmla="*/ 114 h 236"/>
              <a:gd name="T48" fmla="*/ 2 w 236"/>
              <a:gd name="T49" fmla="*/ 102 h 236"/>
              <a:gd name="T50" fmla="*/ 4 w 236"/>
              <a:gd name="T51" fmla="*/ 92 h 236"/>
              <a:gd name="T52" fmla="*/ 12 w 236"/>
              <a:gd name="T53" fmla="*/ 70 h 236"/>
              <a:gd name="T54" fmla="*/ 22 w 236"/>
              <a:gd name="T55" fmla="*/ 50 h 236"/>
              <a:gd name="T56" fmla="*/ 38 w 236"/>
              <a:gd name="T57" fmla="*/ 32 h 236"/>
              <a:gd name="T58" fmla="*/ 56 w 236"/>
              <a:gd name="T59" fmla="*/ 18 h 236"/>
              <a:gd name="T60" fmla="*/ 76 w 236"/>
              <a:gd name="T61" fmla="*/ 8 h 236"/>
              <a:gd name="T62" fmla="*/ 86 w 236"/>
              <a:gd name="T63" fmla="*/ 4 h 236"/>
              <a:gd name="T64" fmla="*/ 98 w 236"/>
              <a:gd name="T65" fmla="*/ 0 h 236"/>
              <a:gd name="T66" fmla="*/ 110 w 236"/>
              <a:gd name="T67" fmla="*/ 0 h 236"/>
              <a:gd name="T68" fmla="*/ 122 w 236"/>
              <a:gd name="T69" fmla="*/ 0 h 236"/>
              <a:gd name="T70" fmla="*/ 122 w 236"/>
              <a:gd name="T71" fmla="*/ 0 h 236"/>
              <a:gd name="T72" fmla="*/ 134 w 236"/>
              <a:gd name="T73" fmla="*/ 0 h 236"/>
              <a:gd name="T74" fmla="*/ 146 w 236"/>
              <a:gd name="T75" fmla="*/ 2 h 236"/>
              <a:gd name="T76" fmla="*/ 168 w 236"/>
              <a:gd name="T77" fmla="*/ 10 h 236"/>
              <a:gd name="T78" fmla="*/ 186 w 236"/>
              <a:gd name="T79" fmla="*/ 22 h 236"/>
              <a:gd name="T80" fmla="*/ 204 w 236"/>
              <a:gd name="T81" fmla="*/ 38 h 236"/>
              <a:gd name="T82" fmla="*/ 218 w 236"/>
              <a:gd name="T83" fmla="*/ 56 h 236"/>
              <a:gd name="T84" fmla="*/ 228 w 236"/>
              <a:gd name="T85" fmla="*/ 76 h 236"/>
              <a:gd name="T86" fmla="*/ 234 w 236"/>
              <a:gd name="T87" fmla="*/ 98 h 236"/>
              <a:gd name="T88" fmla="*/ 236 w 236"/>
              <a:gd name="T89" fmla="*/ 110 h 236"/>
              <a:gd name="T90" fmla="*/ 236 w 236"/>
              <a:gd name="T91" fmla="*/ 122 h 236"/>
              <a:gd name="T92" fmla="*/ 236 w 236"/>
              <a:gd name="T93" fmla="*/ 122 h 2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36" h="236">
                <a:moveTo>
                  <a:pt x="236" y="122"/>
                </a:moveTo>
                <a:lnTo>
                  <a:pt x="236" y="122"/>
                </a:lnTo>
                <a:lnTo>
                  <a:pt x="234" y="134"/>
                </a:lnTo>
                <a:lnTo>
                  <a:pt x="232" y="144"/>
                </a:lnTo>
                <a:lnTo>
                  <a:pt x="226" y="166"/>
                </a:lnTo>
                <a:lnTo>
                  <a:pt x="214" y="186"/>
                </a:lnTo>
                <a:lnTo>
                  <a:pt x="198" y="202"/>
                </a:lnTo>
                <a:lnTo>
                  <a:pt x="182" y="216"/>
                </a:lnTo>
                <a:lnTo>
                  <a:pt x="162" y="228"/>
                </a:lnTo>
                <a:lnTo>
                  <a:pt x="140" y="234"/>
                </a:lnTo>
                <a:lnTo>
                  <a:pt x="128" y="236"/>
                </a:lnTo>
                <a:lnTo>
                  <a:pt x="116" y="236"/>
                </a:lnTo>
                <a:lnTo>
                  <a:pt x="116" y="236"/>
                </a:lnTo>
                <a:lnTo>
                  <a:pt x="104" y="234"/>
                </a:lnTo>
                <a:lnTo>
                  <a:pt x="92" y="232"/>
                </a:lnTo>
                <a:lnTo>
                  <a:pt x="70" y="226"/>
                </a:lnTo>
                <a:lnTo>
                  <a:pt x="50" y="214"/>
                </a:lnTo>
                <a:lnTo>
                  <a:pt x="34" y="200"/>
                </a:lnTo>
                <a:lnTo>
                  <a:pt x="20" y="182"/>
                </a:lnTo>
                <a:lnTo>
                  <a:pt x="8" y="160"/>
                </a:lnTo>
                <a:lnTo>
                  <a:pt x="2" y="138"/>
                </a:lnTo>
                <a:lnTo>
                  <a:pt x="0" y="126"/>
                </a:lnTo>
                <a:lnTo>
                  <a:pt x="0" y="114"/>
                </a:lnTo>
                <a:lnTo>
                  <a:pt x="0" y="114"/>
                </a:lnTo>
                <a:lnTo>
                  <a:pt x="2" y="102"/>
                </a:lnTo>
                <a:lnTo>
                  <a:pt x="4" y="92"/>
                </a:lnTo>
                <a:lnTo>
                  <a:pt x="12" y="70"/>
                </a:lnTo>
                <a:lnTo>
                  <a:pt x="22" y="50"/>
                </a:lnTo>
                <a:lnTo>
                  <a:pt x="38" y="32"/>
                </a:lnTo>
                <a:lnTo>
                  <a:pt x="56" y="18"/>
                </a:lnTo>
                <a:lnTo>
                  <a:pt x="76" y="8"/>
                </a:lnTo>
                <a:lnTo>
                  <a:pt x="86" y="4"/>
                </a:lnTo>
                <a:lnTo>
                  <a:pt x="98" y="0"/>
                </a:lnTo>
                <a:lnTo>
                  <a:pt x="110" y="0"/>
                </a:lnTo>
                <a:lnTo>
                  <a:pt x="122" y="0"/>
                </a:lnTo>
                <a:lnTo>
                  <a:pt x="122" y="0"/>
                </a:lnTo>
                <a:lnTo>
                  <a:pt x="134" y="0"/>
                </a:lnTo>
                <a:lnTo>
                  <a:pt x="146" y="2"/>
                </a:lnTo>
                <a:lnTo>
                  <a:pt x="168" y="10"/>
                </a:lnTo>
                <a:lnTo>
                  <a:pt x="186" y="22"/>
                </a:lnTo>
                <a:lnTo>
                  <a:pt x="204" y="38"/>
                </a:lnTo>
                <a:lnTo>
                  <a:pt x="218" y="56"/>
                </a:lnTo>
                <a:lnTo>
                  <a:pt x="228" y="76"/>
                </a:lnTo>
                <a:lnTo>
                  <a:pt x="234" y="98"/>
                </a:lnTo>
                <a:lnTo>
                  <a:pt x="236" y="110"/>
                </a:lnTo>
                <a:lnTo>
                  <a:pt x="236" y="122"/>
                </a:lnTo>
                <a:lnTo>
                  <a:pt x="236" y="12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3297" tIns="46649" rIns="93297" bIns="46649"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it-IT" sz="1837"/>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87968</xdr:colOff>
      <xdr:row>1</xdr:row>
      <xdr:rowOff>48185</xdr:rowOff>
    </xdr:from>
    <xdr:ext cx="1337422" cy="417749"/>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365874" y="227479"/>
          <a:ext cx="1337422" cy="417749"/>
        </a:xfrm>
        <a:prstGeom prst="rect">
          <a:avLst/>
        </a:prstGeom>
      </xdr:spPr>
    </xdr:pic>
    <xdr:clientData/>
  </xdr:oneCellAnchor>
  <xdr:twoCellAnchor>
    <xdr:from>
      <xdr:col>0</xdr:col>
      <xdr:colOff>68035</xdr:colOff>
      <xdr:row>35</xdr:row>
      <xdr:rowOff>94769</xdr:rowOff>
    </xdr:from>
    <xdr:to>
      <xdr:col>3</xdr:col>
      <xdr:colOff>514350</xdr:colOff>
      <xdr:row>49</xdr:row>
      <xdr:rowOff>141439</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729344</xdr:colOff>
      <xdr:row>35</xdr:row>
      <xdr:rowOff>121081</xdr:rowOff>
    </xdr:from>
    <xdr:to>
      <xdr:col>6</xdr:col>
      <xdr:colOff>631372</xdr:colOff>
      <xdr:row>49</xdr:row>
      <xdr:rowOff>167751</xdr:rowOff>
    </xdr:to>
    <xdr:graphicFrame macro="">
      <xdr:nvGraphicFramePr>
        <xdr:cNvPr id="26" name="Chart 25">
          <a:extLst>
            <a:ext uri="{FF2B5EF4-FFF2-40B4-BE49-F238E27FC236}">
              <a16:creationId xmlns:a16="http://schemas.microsoft.com/office/drawing/2014/main" id="{00000000-0008-0000-03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892628</xdr:colOff>
      <xdr:row>35</xdr:row>
      <xdr:rowOff>112485</xdr:rowOff>
    </xdr:from>
    <xdr:to>
      <xdr:col>8</xdr:col>
      <xdr:colOff>1077684</xdr:colOff>
      <xdr:row>49</xdr:row>
      <xdr:rowOff>141514</xdr:rowOff>
    </xdr:to>
    <xdr:graphicFrame macro="">
      <xdr:nvGraphicFramePr>
        <xdr:cNvPr id="27" name="Chart 26">
          <a:extLst>
            <a:ext uri="{FF2B5EF4-FFF2-40B4-BE49-F238E27FC236}">
              <a16:creationId xmlns:a16="http://schemas.microsoft.com/office/drawing/2014/main" id="{00000000-0008-0000-03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214313</xdr:colOff>
      <xdr:row>11</xdr:row>
      <xdr:rowOff>68050</xdr:rowOff>
    </xdr:from>
    <xdr:to>
      <xdr:col>1</xdr:col>
      <xdr:colOff>894252</xdr:colOff>
      <xdr:row>13</xdr:row>
      <xdr:rowOff>27461</xdr:rowOff>
    </xdr:to>
    <xdr:sp macro="" textlink="">
      <xdr:nvSpPr>
        <xdr:cNvPr id="47" name="Oval 46">
          <a:extLst>
            <a:ext uri="{FF2B5EF4-FFF2-40B4-BE49-F238E27FC236}">
              <a16:creationId xmlns:a16="http://schemas.microsoft.com/office/drawing/2014/main" id="{00000000-0008-0000-0300-00002F000000}"/>
            </a:ext>
          </a:extLst>
        </xdr:cNvPr>
        <xdr:cNvSpPr/>
      </xdr:nvSpPr>
      <xdr:spPr>
        <a:xfrm>
          <a:off x="214313" y="2887450"/>
          <a:ext cx="952082" cy="329525"/>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Step 1</a:t>
          </a:r>
        </a:p>
      </xdr:txBody>
    </xdr:sp>
    <xdr:clientData/>
  </xdr:twoCellAnchor>
  <xdr:twoCellAnchor>
    <xdr:from>
      <xdr:col>1</xdr:col>
      <xdr:colOff>907827</xdr:colOff>
      <xdr:row>11</xdr:row>
      <xdr:rowOff>71698</xdr:rowOff>
    </xdr:from>
    <xdr:to>
      <xdr:col>2</xdr:col>
      <xdr:colOff>1042146</xdr:colOff>
      <xdr:row>13</xdr:row>
      <xdr:rowOff>23812</xdr:rowOff>
    </xdr:to>
    <xdr:sp macro="" textlink="">
      <xdr:nvSpPr>
        <xdr:cNvPr id="48" name="Rectangle 47">
          <a:extLst>
            <a:ext uri="{FF2B5EF4-FFF2-40B4-BE49-F238E27FC236}">
              <a16:creationId xmlns:a16="http://schemas.microsoft.com/office/drawing/2014/main" id="{00000000-0008-0000-0300-000030000000}"/>
            </a:ext>
          </a:extLst>
        </xdr:cNvPr>
        <xdr:cNvSpPr/>
      </xdr:nvSpPr>
      <xdr:spPr>
        <a:xfrm>
          <a:off x="1179970" y="2891098"/>
          <a:ext cx="2093747" cy="3222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Select Country/Region</a:t>
          </a:r>
        </a:p>
      </xdr:txBody>
    </xdr:sp>
    <xdr:clientData/>
  </xdr:twoCellAnchor>
  <xdr:twoCellAnchor editAs="oneCell">
    <xdr:from>
      <xdr:col>1</xdr:col>
      <xdr:colOff>1283634</xdr:colOff>
      <xdr:row>13</xdr:row>
      <xdr:rowOff>19890</xdr:rowOff>
    </xdr:from>
    <xdr:to>
      <xdr:col>2</xdr:col>
      <xdr:colOff>321609</xdr:colOff>
      <xdr:row>15</xdr:row>
      <xdr:rowOff>133921</xdr:rowOff>
    </xdr:to>
    <xdr:pic>
      <xdr:nvPicPr>
        <xdr:cNvPr id="49" name="Picture 48">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5"/>
        <a:stretch>
          <a:fillRect/>
        </a:stretch>
      </xdr:blipFill>
      <xdr:spPr>
        <a:xfrm>
          <a:off x="1555777" y="2349433"/>
          <a:ext cx="997403" cy="571231"/>
        </a:xfrm>
        <a:prstGeom prst="rect">
          <a:avLst/>
        </a:prstGeom>
      </xdr:spPr>
    </xdr:pic>
    <xdr:clientData/>
  </xdr:twoCellAnchor>
  <xdr:twoCellAnchor editAs="oneCell">
    <xdr:from>
      <xdr:col>4</xdr:col>
      <xdr:colOff>1618279</xdr:colOff>
      <xdr:row>12</xdr:row>
      <xdr:rowOff>176010</xdr:rowOff>
    </xdr:from>
    <xdr:to>
      <xdr:col>5</xdr:col>
      <xdr:colOff>126348</xdr:colOff>
      <xdr:row>15</xdr:row>
      <xdr:rowOff>141086</xdr:rowOff>
    </xdr:to>
    <xdr:pic>
      <xdr:nvPicPr>
        <xdr:cNvPr id="50" name="Picture 49">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6"/>
        <a:stretch>
          <a:fillRect/>
        </a:stretch>
      </xdr:blipFill>
      <xdr:spPr>
        <a:xfrm>
          <a:off x="5733079" y="2320496"/>
          <a:ext cx="851218" cy="607333"/>
        </a:xfrm>
        <a:prstGeom prst="rect">
          <a:avLst/>
        </a:prstGeom>
        <a:ln>
          <a:noFill/>
        </a:ln>
      </xdr:spPr>
    </xdr:pic>
    <xdr:clientData/>
  </xdr:twoCellAnchor>
  <xdr:twoCellAnchor editAs="oneCell">
    <xdr:from>
      <xdr:col>7</xdr:col>
      <xdr:colOff>1455980</xdr:colOff>
      <xdr:row>13</xdr:row>
      <xdr:rowOff>19810</xdr:rowOff>
    </xdr:from>
    <xdr:to>
      <xdr:col>7</xdr:col>
      <xdr:colOff>2066583</xdr:colOff>
      <xdr:row>15</xdr:row>
      <xdr:rowOff>134002</xdr:rowOff>
    </xdr:to>
    <xdr:pic>
      <xdr:nvPicPr>
        <xdr:cNvPr id="53" name="Picture 52">
          <a:extLst>
            <a:ext uri="{FF2B5EF4-FFF2-40B4-BE49-F238E27FC236}">
              <a16:creationId xmlns:a16="http://schemas.microsoft.com/office/drawing/2014/main" id="{00000000-0008-0000-0300-000035000000}"/>
            </a:ext>
          </a:extLst>
        </xdr:cNvPr>
        <xdr:cNvPicPr>
          <a:picLocks noChangeAspect="1" noChangeArrowheads="1"/>
        </xdr:cNvPicPr>
      </xdr:nvPicPr>
      <xdr:blipFill>
        <a:blip xmlns:r="http://schemas.openxmlformats.org/officeDocument/2006/relationships" r:embed="rId7">
          <a:biLevel thresh="75000"/>
          <a:extLst>
            <a:ext uri="{28A0092B-C50C-407E-A947-70E740481C1C}">
              <a14:useLocalDpi xmlns:a14="http://schemas.microsoft.com/office/drawing/2010/main" val="0"/>
            </a:ext>
          </a:extLst>
        </a:blip>
        <a:srcRect/>
        <a:stretch>
          <a:fillRect/>
        </a:stretch>
      </xdr:blipFill>
      <xdr:spPr bwMode="auto">
        <a:xfrm>
          <a:off x="11102004" y="2646469"/>
          <a:ext cx="610603" cy="562427"/>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7</xdr:col>
      <xdr:colOff>5669</xdr:colOff>
      <xdr:row>11</xdr:row>
      <xdr:rowOff>65220</xdr:rowOff>
    </xdr:from>
    <xdr:to>
      <xdr:col>7</xdr:col>
      <xdr:colOff>841836</xdr:colOff>
      <xdr:row>13</xdr:row>
      <xdr:rowOff>30291</xdr:rowOff>
    </xdr:to>
    <xdr:sp macro="" textlink="">
      <xdr:nvSpPr>
        <xdr:cNvPr id="54" name="Oval 53">
          <a:extLst>
            <a:ext uri="{FF2B5EF4-FFF2-40B4-BE49-F238E27FC236}">
              <a16:creationId xmlns:a16="http://schemas.microsoft.com/office/drawing/2014/main" id="{00000000-0008-0000-0300-000036000000}"/>
            </a:ext>
          </a:extLst>
        </xdr:cNvPr>
        <xdr:cNvSpPr/>
      </xdr:nvSpPr>
      <xdr:spPr>
        <a:xfrm>
          <a:off x="11871098" y="2884620"/>
          <a:ext cx="836167" cy="335185"/>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Step 3</a:t>
          </a:r>
        </a:p>
      </xdr:txBody>
    </xdr:sp>
    <xdr:clientData/>
  </xdr:twoCellAnchor>
  <xdr:twoCellAnchor>
    <xdr:from>
      <xdr:col>7</xdr:col>
      <xdr:colOff>558736</xdr:colOff>
      <xdr:row>11</xdr:row>
      <xdr:rowOff>95804</xdr:rowOff>
    </xdr:from>
    <xdr:to>
      <xdr:col>7</xdr:col>
      <xdr:colOff>2917371</xdr:colOff>
      <xdr:row>12</xdr:row>
      <xdr:rowOff>152400</xdr:rowOff>
    </xdr:to>
    <xdr:sp macro="" textlink="">
      <xdr:nvSpPr>
        <xdr:cNvPr id="55" name="Rectangle 54">
          <a:extLst>
            <a:ext uri="{FF2B5EF4-FFF2-40B4-BE49-F238E27FC236}">
              <a16:creationId xmlns:a16="http://schemas.microsoft.com/office/drawing/2014/main" id="{00000000-0008-0000-0300-000037000000}"/>
            </a:ext>
          </a:extLst>
        </xdr:cNvPr>
        <xdr:cNvSpPr/>
      </xdr:nvSpPr>
      <xdr:spPr>
        <a:xfrm>
          <a:off x="12424165" y="2915204"/>
          <a:ext cx="2358635" cy="2416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Determine</a:t>
          </a:r>
          <a:r>
            <a:rPr lang="en-US" sz="1200" b="1" baseline="0">
              <a:solidFill>
                <a:sysClr val="windowText" lastClr="000000"/>
              </a:solidFill>
            </a:rPr>
            <a:t> </a:t>
          </a:r>
          <a:r>
            <a:rPr lang="en-US" sz="1200" b="1">
              <a:solidFill>
                <a:sysClr val="windowText" lastClr="000000"/>
              </a:solidFill>
            </a:rPr>
            <a:t>Forecast Period</a:t>
          </a:r>
        </a:p>
      </xdr:txBody>
    </xdr:sp>
    <xdr:clientData/>
  </xdr:twoCellAnchor>
  <xdr:twoCellAnchor>
    <xdr:from>
      <xdr:col>4</xdr:col>
      <xdr:colOff>119062</xdr:colOff>
      <xdr:row>11</xdr:row>
      <xdr:rowOff>77126</xdr:rowOff>
    </xdr:from>
    <xdr:to>
      <xdr:col>4</xdr:col>
      <xdr:colOff>1000709</xdr:colOff>
      <xdr:row>13</xdr:row>
      <xdr:rowOff>18384</xdr:rowOff>
    </xdr:to>
    <xdr:sp macro="" textlink="">
      <xdr:nvSpPr>
        <xdr:cNvPr id="56" name="Oval 55">
          <a:extLst>
            <a:ext uri="{FF2B5EF4-FFF2-40B4-BE49-F238E27FC236}">
              <a16:creationId xmlns:a16="http://schemas.microsoft.com/office/drawing/2014/main" id="{00000000-0008-0000-0300-000038000000}"/>
            </a:ext>
          </a:extLst>
        </xdr:cNvPr>
        <xdr:cNvSpPr/>
      </xdr:nvSpPr>
      <xdr:spPr>
        <a:xfrm>
          <a:off x="5714319" y="2896526"/>
          <a:ext cx="881647" cy="311372"/>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Step 2</a:t>
          </a:r>
        </a:p>
      </xdr:txBody>
    </xdr:sp>
    <xdr:clientData/>
  </xdr:twoCellAnchor>
  <xdr:twoCellAnchor>
    <xdr:from>
      <xdr:col>4</xdr:col>
      <xdr:colOff>991376</xdr:colOff>
      <xdr:row>11</xdr:row>
      <xdr:rowOff>98084</xdr:rowOff>
    </xdr:from>
    <xdr:to>
      <xdr:col>5</xdr:col>
      <xdr:colOff>1016997</xdr:colOff>
      <xdr:row>12</xdr:row>
      <xdr:rowOff>182484</xdr:rowOff>
    </xdr:to>
    <xdr:sp macro="" textlink="">
      <xdr:nvSpPr>
        <xdr:cNvPr id="57" name="Rectangle 56">
          <a:extLst>
            <a:ext uri="{FF2B5EF4-FFF2-40B4-BE49-F238E27FC236}">
              <a16:creationId xmlns:a16="http://schemas.microsoft.com/office/drawing/2014/main" id="{00000000-0008-0000-0300-000039000000}"/>
            </a:ext>
          </a:extLst>
        </xdr:cNvPr>
        <xdr:cNvSpPr/>
      </xdr:nvSpPr>
      <xdr:spPr>
        <a:xfrm>
          <a:off x="6586633" y="2917484"/>
          <a:ext cx="2322507" cy="2694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Define Infections &amp; Growth Rate</a:t>
          </a:r>
        </a:p>
      </xdr:txBody>
    </xdr:sp>
    <xdr:clientData/>
  </xdr:twoCellAnchor>
  <xdr:twoCellAnchor>
    <xdr:from>
      <xdr:col>7</xdr:col>
      <xdr:colOff>5669</xdr:colOff>
      <xdr:row>24</xdr:row>
      <xdr:rowOff>83281</xdr:rowOff>
    </xdr:from>
    <xdr:to>
      <xdr:col>7</xdr:col>
      <xdr:colOff>841836</xdr:colOff>
      <xdr:row>26</xdr:row>
      <xdr:rowOff>8664</xdr:rowOff>
    </xdr:to>
    <xdr:sp macro="" textlink="">
      <xdr:nvSpPr>
        <xdr:cNvPr id="17" name="Oval 16">
          <a:extLst>
            <a:ext uri="{FF2B5EF4-FFF2-40B4-BE49-F238E27FC236}">
              <a16:creationId xmlns:a16="http://schemas.microsoft.com/office/drawing/2014/main" id="{00000000-0008-0000-0300-000011000000}"/>
            </a:ext>
          </a:extLst>
        </xdr:cNvPr>
        <xdr:cNvSpPr/>
      </xdr:nvSpPr>
      <xdr:spPr>
        <a:xfrm>
          <a:off x="11871098" y="7529110"/>
          <a:ext cx="836167" cy="317268"/>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Step 5</a:t>
          </a:r>
        </a:p>
      </xdr:txBody>
    </xdr:sp>
    <xdr:clientData/>
  </xdr:twoCellAnchor>
  <xdr:twoCellAnchor>
    <xdr:from>
      <xdr:col>7</xdr:col>
      <xdr:colOff>1018429</xdr:colOff>
      <xdr:row>24</xdr:row>
      <xdr:rowOff>99314</xdr:rowOff>
    </xdr:from>
    <xdr:to>
      <xdr:col>7</xdr:col>
      <xdr:colOff>2775857</xdr:colOff>
      <xdr:row>25</xdr:row>
      <xdr:rowOff>152400</xdr:rowOff>
    </xdr:to>
    <xdr:sp macro="" textlink="">
      <xdr:nvSpPr>
        <xdr:cNvPr id="18" name="Rectangle 17">
          <a:extLst>
            <a:ext uri="{FF2B5EF4-FFF2-40B4-BE49-F238E27FC236}">
              <a16:creationId xmlns:a16="http://schemas.microsoft.com/office/drawing/2014/main" id="{00000000-0008-0000-0300-000012000000}"/>
            </a:ext>
          </a:extLst>
        </xdr:cNvPr>
        <xdr:cNvSpPr/>
      </xdr:nvSpPr>
      <xdr:spPr>
        <a:xfrm>
          <a:off x="12883858" y="7545143"/>
          <a:ext cx="1757428" cy="2490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baseline="0">
              <a:solidFill>
                <a:sysClr val="windowText" lastClr="000000"/>
              </a:solidFill>
            </a:rPr>
            <a:t>Hospital Bed  Usage</a:t>
          </a:r>
          <a:endParaRPr lang="en-US" sz="1200" b="1">
            <a:solidFill>
              <a:sysClr val="windowText" lastClr="000000"/>
            </a:solidFill>
          </a:endParaRPr>
        </a:p>
      </xdr:txBody>
    </xdr:sp>
    <xdr:clientData/>
  </xdr:twoCellAnchor>
  <xdr:twoCellAnchor editAs="oneCell">
    <xdr:from>
      <xdr:col>7</xdr:col>
      <xdr:colOff>2927576</xdr:colOff>
      <xdr:row>23</xdr:row>
      <xdr:rowOff>119517</xdr:rowOff>
    </xdr:from>
    <xdr:to>
      <xdr:col>8</xdr:col>
      <xdr:colOff>448449</xdr:colOff>
      <xdr:row>26</xdr:row>
      <xdr:rowOff>168371</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8" cstate="print">
          <a:biLevel thresh="50000"/>
          <a:extLst>
            <a:ext uri="{28A0092B-C50C-407E-A947-70E740481C1C}">
              <a14:useLocalDpi xmlns:a14="http://schemas.microsoft.com/office/drawing/2010/main" val="0"/>
            </a:ext>
          </a:extLst>
        </a:blip>
        <a:stretch>
          <a:fillRect/>
        </a:stretch>
      </xdr:blipFill>
      <xdr:spPr>
        <a:xfrm>
          <a:off x="14793005" y="7369403"/>
          <a:ext cx="645073" cy="636682"/>
        </a:xfrm>
        <a:prstGeom prst="rect">
          <a:avLst/>
        </a:prstGeom>
      </xdr:spPr>
    </xdr:pic>
    <xdr:clientData/>
  </xdr:twoCellAnchor>
  <xdr:twoCellAnchor>
    <xdr:from>
      <xdr:col>1</xdr:col>
      <xdr:colOff>182561</xdr:colOff>
      <xdr:row>24</xdr:row>
      <xdr:rowOff>83281</xdr:rowOff>
    </xdr:from>
    <xdr:to>
      <xdr:col>1</xdr:col>
      <xdr:colOff>1018728</xdr:colOff>
      <xdr:row>26</xdr:row>
      <xdr:rowOff>8664</xdr:rowOff>
    </xdr:to>
    <xdr:sp macro="" textlink="">
      <xdr:nvSpPr>
        <xdr:cNvPr id="19" name="Oval 18">
          <a:extLst>
            <a:ext uri="{FF2B5EF4-FFF2-40B4-BE49-F238E27FC236}">
              <a16:creationId xmlns:a16="http://schemas.microsoft.com/office/drawing/2014/main" id="{00000000-0008-0000-0300-000013000000}"/>
            </a:ext>
          </a:extLst>
        </xdr:cNvPr>
        <xdr:cNvSpPr/>
      </xdr:nvSpPr>
      <xdr:spPr>
        <a:xfrm>
          <a:off x="454704" y="7529110"/>
          <a:ext cx="836167" cy="317268"/>
        </a:xfrm>
        <a:prstGeom prst="ellips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Step 4</a:t>
          </a:r>
        </a:p>
      </xdr:txBody>
    </xdr:sp>
    <xdr:clientData/>
  </xdr:twoCellAnchor>
  <xdr:twoCellAnchor>
    <xdr:from>
      <xdr:col>2</xdr:col>
      <xdr:colOff>639535</xdr:colOff>
      <xdr:row>24</xdr:row>
      <xdr:rowOff>56552</xdr:rowOff>
    </xdr:from>
    <xdr:to>
      <xdr:col>2</xdr:col>
      <xdr:colOff>1056796</xdr:colOff>
      <xdr:row>26</xdr:row>
      <xdr:rowOff>89822</xdr:rowOff>
    </xdr:to>
    <xdr:grpSp>
      <xdr:nvGrpSpPr>
        <xdr:cNvPr id="20" name="Group 19">
          <a:extLst>
            <a:ext uri="{FF2B5EF4-FFF2-40B4-BE49-F238E27FC236}">
              <a16:creationId xmlns:a16="http://schemas.microsoft.com/office/drawing/2014/main" id="{00000000-0008-0000-0300-000014000000}"/>
            </a:ext>
          </a:extLst>
        </xdr:cNvPr>
        <xdr:cNvGrpSpPr/>
      </xdr:nvGrpSpPr>
      <xdr:grpSpPr>
        <a:xfrm>
          <a:off x="2816678" y="8125588"/>
          <a:ext cx="417261" cy="414270"/>
          <a:chOff x="-5815013" y="1511300"/>
          <a:chExt cx="4873626" cy="4838700"/>
        </a:xfrm>
        <a:solidFill>
          <a:schemeClr val="tx1"/>
        </a:solidFill>
      </xdr:grpSpPr>
      <xdr:sp macro="" textlink="">
        <xdr:nvSpPr>
          <xdr:cNvPr id="21" name="Freeform 20">
            <a:extLst>
              <a:ext uri="{FF2B5EF4-FFF2-40B4-BE49-F238E27FC236}">
                <a16:creationId xmlns:a16="http://schemas.microsoft.com/office/drawing/2014/main" id="{00000000-0008-0000-0300-000015000000}"/>
              </a:ext>
            </a:extLst>
          </xdr:cNvPr>
          <xdr:cNvSpPr>
            <a:spLocks noEditPoints="1"/>
          </xdr:cNvSpPr>
        </xdr:nvSpPr>
        <xdr:spPr bwMode="auto">
          <a:xfrm>
            <a:off x="-5815013" y="1511300"/>
            <a:ext cx="4873626" cy="4838700"/>
          </a:xfrm>
          <a:custGeom>
            <a:avLst/>
            <a:gdLst>
              <a:gd name="T0" fmla="*/ 2234 w 3070"/>
              <a:gd name="T1" fmla="*/ 2168 h 3048"/>
              <a:gd name="T2" fmla="*/ 2128 w 3070"/>
              <a:gd name="T3" fmla="*/ 1824 h 3048"/>
              <a:gd name="T4" fmla="*/ 2274 w 3070"/>
              <a:gd name="T5" fmla="*/ 1524 h 3048"/>
              <a:gd name="T6" fmla="*/ 2608 w 3070"/>
              <a:gd name="T7" fmla="*/ 1396 h 3048"/>
              <a:gd name="T8" fmla="*/ 2918 w 3070"/>
              <a:gd name="T9" fmla="*/ 1520 h 3048"/>
              <a:gd name="T10" fmla="*/ 3068 w 3070"/>
              <a:gd name="T11" fmla="*/ 1822 h 3048"/>
              <a:gd name="T12" fmla="*/ 2920 w 3070"/>
              <a:gd name="T13" fmla="*/ 2212 h 3048"/>
              <a:gd name="T14" fmla="*/ 2698 w 3070"/>
              <a:gd name="T15" fmla="*/ 2356 h 3048"/>
              <a:gd name="T16" fmla="*/ 2542 w 3070"/>
              <a:gd name="T17" fmla="*/ 2712 h 3048"/>
              <a:gd name="T18" fmla="*/ 2216 w 3070"/>
              <a:gd name="T19" fmla="*/ 2966 h 3048"/>
              <a:gd name="T20" fmla="*/ 1730 w 3070"/>
              <a:gd name="T21" fmla="*/ 3048 h 3048"/>
              <a:gd name="T22" fmla="*/ 1290 w 3070"/>
              <a:gd name="T23" fmla="*/ 2942 h 3048"/>
              <a:gd name="T24" fmla="*/ 984 w 3070"/>
              <a:gd name="T25" fmla="*/ 2654 h 3048"/>
              <a:gd name="T26" fmla="*/ 842 w 3070"/>
              <a:gd name="T27" fmla="*/ 2264 h 3048"/>
              <a:gd name="T28" fmla="*/ 752 w 3070"/>
              <a:gd name="T29" fmla="*/ 2076 h 3048"/>
              <a:gd name="T30" fmla="*/ 690 w 3070"/>
              <a:gd name="T31" fmla="*/ 1920 h 3048"/>
              <a:gd name="T32" fmla="*/ 340 w 3070"/>
              <a:gd name="T33" fmla="*/ 1544 h 3048"/>
              <a:gd name="T34" fmla="*/ 86 w 3070"/>
              <a:gd name="T35" fmla="*/ 896 h 3048"/>
              <a:gd name="T36" fmla="*/ 6 w 3070"/>
              <a:gd name="T37" fmla="*/ 404 h 3048"/>
              <a:gd name="T38" fmla="*/ 118 w 3070"/>
              <a:gd name="T39" fmla="*/ 232 h 3048"/>
              <a:gd name="T40" fmla="*/ 334 w 3070"/>
              <a:gd name="T41" fmla="*/ 50 h 3048"/>
              <a:gd name="T42" fmla="*/ 522 w 3070"/>
              <a:gd name="T43" fmla="*/ 6 h 3048"/>
              <a:gd name="T44" fmla="*/ 662 w 3070"/>
              <a:gd name="T45" fmla="*/ 118 h 3048"/>
              <a:gd name="T46" fmla="*/ 660 w 3070"/>
              <a:gd name="T47" fmla="*/ 312 h 3048"/>
              <a:gd name="T48" fmla="*/ 518 w 3070"/>
              <a:gd name="T49" fmla="*/ 422 h 3048"/>
              <a:gd name="T50" fmla="*/ 346 w 3070"/>
              <a:gd name="T51" fmla="*/ 384 h 3048"/>
              <a:gd name="T52" fmla="*/ 254 w 3070"/>
              <a:gd name="T53" fmla="*/ 430 h 3048"/>
              <a:gd name="T54" fmla="*/ 336 w 3070"/>
              <a:gd name="T55" fmla="*/ 916 h 3048"/>
              <a:gd name="T56" fmla="*/ 594 w 3070"/>
              <a:gd name="T57" fmla="*/ 1506 h 3048"/>
              <a:gd name="T58" fmla="*/ 808 w 3070"/>
              <a:gd name="T59" fmla="*/ 1714 h 3048"/>
              <a:gd name="T60" fmla="*/ 1070 w 3070"/>
              <a:gd name="T61" fmla="*/ 1720 h 3048"/>
              <a:gd name="T62" fmla="*/ 1344 w 3070"/>
              <a:gd name="T63" fmla="*/ 1422 h 3048"/>
              <a:gd name="T64" fmla="*/ 1610 w 3070"/>
              <a:gd name="T65" fmla="*/ 688 h 3048"/>
              <a:gd name="T66" fmla="*/ 1614 w 3070"/>
              <a:gd name="T67" fmla="*/ 408 h 3048"/>
              <a:gd name="T68" fmla="*/ 1464 w 3070"/>
              <a:gd name="T69" fmla="*/ 422 h 3048"/>
              <a:gd name="T70" fmla="*/ 1228 w 3070"/>
              <a:gd name="T71" fmla="*/ 318 h 3048"/>
              <a:gd name="T72" fmla="*/ 1264 w 3070"/>
              <a:gd name="T73" fmla="*/ 62 h 3048"/>
              <a:gd name="T74" fmla="*/ 1452 w 3070"/>
              <a:gd name="T75" fmla="*/ 2 h 3048"/>
              <a:gd name="T76" fmla="*/ 1604 w 3070"/>
              <a:gd name="T77" fmla="*/ 108 h 3048"/>
              <a:gd name="T78" fmla="*/ 1832 w 3070"/>
              <a:gd name="T79" fmla="*/ 296 h 3048"/>
              <a:gd name="T80" fmla="*/ 1886 w 3070"/>
              <a:gd name="T81" fmla="*/ 498 h 3048"/>
              <a:gd name="T82" fmla="*/ 1638 w 3070"/>
              <a:gd name="T83" fmla="*/ 1364 h 3048"/>
              <a:gd name="T84" fmla="*/ 1354 w 3070"/>
              <a:gd name="T85" fmla="*/ 1800 h 3048"/>
              <a:gd name="T86" fmla="*/ 1184 w 3070"/>
              <a:gd name="T87" fmla="*/ 1940 h 3048"/>
              <a:gd name="T88" fmla="*/ 1084 w 3070"/>
              <a:gd name="T89" fmla="*/ 2168 h 3048"/>
              <a:gd name="T90" fmla="*/ 1150 w 3070"/>
              <a:gd name="T91" fmla="*/ 2468 h 3048"/>
              <a:gd name="T92" fmla="*/ 1394 w 3070"/>
              <a:gd name="T93" fmla="*/ 2730 h 3048"/>
              <a:gd name="T94" fmla="*/ 1824 w 3070"/>
              <a:gd name="T95" fmla="*/ 2812 h 3048"/>
              <a:gd name="T96" fmla="*/ 2134 w 3070"/>
              <a:gd name="T97" fmla="*/ 2742 h 3048"/>
              <a:gd name="T98" fmla="*/ 2382 w 3070"/>
              <a:gd name="T99" fmla="*/ 2526 h 3048"/>
              <a:gd name="T100" fmla="*/ 2458 w 3070"/>
              <a:gd name="T101" fmla="*/ 2328 h 3048"/>
              <a:gd name="T102" fmla="*/ 2748 w 3070"/>
              <a:gd name="T103" fmla="*/ 2050 h 3048"/>
              <a:gd name="T104" fmla="*/ 2834 w 3070"/>
              <a:gd name="T105" fmla="*/ 1868 h 3048"/>
              <a:gd name="T106" fmla="*/ 2732 w 3070"/>
              <a:gd name="T107" fmla="*/ 1674 h 3048"/>
              <a:gd name="T108" fmla="*/ 2530 w 3070"/>
              <a:gd name="T109" fmla="*/ 1642 h 3048"/>
              <a:gd name="T110" fmla="*/ 2374 w 3070"/>
              <a:gd name="T111" fmla="*/ 1794 h 3048"/>
              <a:gd name="T112" fmla="*/ 2400 w 3070"/>
              <a:gd name="T113" fmla="*/ 1998 h 3048"/>
              <a:gd name="T114" fmla="*/ 2596 w 3070"/>
              <a:gd name="T115" fmla="*/ 2102 h 30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Lst>
            <a:rect l="0" t="0" r="r" b="b"/>
            <a:pathLst>
              <a:path w="3070" h="3048">
                <a:moveTo>
                  <a:pt x="2458" y="2328"/>
                </a:moveTo>
                <a:lnTo>
                  <a:pt x="2458" y="2328"/>
                </a:lnTo>
                <a:lnTo>
                  <a:pt x="2414" y="2304"/>
                </a:lnTo>
                <a:lnTo>
                  <a:pt x="2370" y="2278"/>
                </a:lnTo>
                <a:lnTo>
                  <a:pt x="2328" y="2252"/>
                </a:lnTo>
                <a:lnTo>
                  <a:pt x="2308" y="2238"/>
                </a:lnTo>
                <a:lnTo>
                  <a:pt x="2290" y="2222"/>
                </a:lnTo>
                <a:lnTo>
                  <a:pt x="2290" y="2222"/>
                </a:lnTo>
                <a:lnTo>
                  <a:pt x="2260" y="2196"/>
                </a:lnTo>
                <a:lnTo>
                  <a:pt x="2234" y="2168"/>
                </a:lnTo>
                <a:lnTo>
                  <a:pt x="2212" y="2138"/>
                </a:lnTo>
                <a:lnTo>
                  <a:pt x="2192" y="2108"/>
                </a:lnTo>
                <a:lnTo>
                  <a:pt x="2174" y="2074"/>
                </a:lnTo>
                <a:lnTo>
                  <a:pt x="2158" y="2042"/>
                </a:lnTo>
                <a:lnTo>
                  <a:pt x="2146" y="2006"/>
                </a:lnTo>
                <a:lnTo>
                  <a:pt x="2136" y="1970"/>
                </a:lnTo>
                <a:lnTo>
                  <a:pt x="2130" y="1934"/>
                </a:lnTo>
                <a:lnTo>
                  <a:pt x="2126" y="1898"/>
                </a:lnTo>
                <a:lnTo>
                  <a:pt x="2126" y="1860"/>
                </a:lnTo>
                <a:lnTo>
                  <a:pt x="2128" y="1824"/>
                </a:lnTo>
                <a:lnTo>
                  <a:pt x="2132" y="1786"/>
                </a:lnTo>
                <a:lnTo>
                  <a:pt x="2140" y="1750"/>
                </a:lnTo>
                <a:lnTo>
                  <a:pt x="2152" y="1714"/>
                </a:lnTo>
                <a:lnTo>
                  <a:pt x="2166" y="1678"/>
                </a:lnTo>
                <a:lnTo>
                  <a:pt x="2166" y="1678"/>
                </a:lnTo>
                <a:lnTo>
                  <a:pt x="2182" y="1644"/>
                </a:lnTo>
                <a:lnTo>
                  <a:pt x="2202" y="1610"/>
                </a:lnTo>
                <a:lnTo>
                  <a:pt x="2224" y="1580"/>
                </a:lnTo>
                <a:lnTo>
                  <a:pt x="2248" y="1552"/>
                </a:lnTo>
                <a:lnTo>
                  <a:pt x="2274" y="1524"/>
                </a:lnTo>
                <a:lnTo>
                  <a:pt x="2302" y="1500"/>
                </a:lnTo>
                <a:lnTo>
                  <a:pt x="2330" y="1478"/>
                </a:lnTo>
                <a:lnTo>
                  <a:pt x="2362" y="1458"/>
                </a:lnTo>
                <a:lnTo>
                  <a:pt x="2394" y="1442"/>
                </a:lnTo>
                <a:lnTo>
                  <a:pt x="2428" y="1426"/>
                </a:lnTo>
                <a:lnTo>
                  <a:pt x="2462" y="1414"/>
                </a:lnTo>
                <a:lnTo>
                  <a:pt x="2498" y="1406"/>
                </a:lnTo>
                <a:lnTo>
                  <a:pt x="2534" y="1400"/>
                </a:lnTo>
                <a:lnTo>
                  <a:pt x="2570" y="1396"/>
                </a:lnTo>
                <a:lnTo>
                  <a:pt x="2608" y="1396"/>
                </a:lnTo>
                <a:lnTo>
                  <a:pt x="2644" y="1398"/>
                </a:lnTo>
                <a:lnTo>
                  <a:pt x="2644" y="1398"/>
                </a:lnTo>
                <a:lnTo>
                  <a:pt x="2684" y="1404"/>
                </a:lnTo>
                <a:lnTo>
                  <a:pt x="2722" y="1412"/>
                </a:lnTo>
                <a:lnTo>
                  <a:pt x="2758" y="1424"/>
                </a:lnTo>
                <a:lnTo>
                  <a:pt x="2794" y="1438"/>
                </a:lnTo>
                <a:lnTo>
                  <a:pt x="2828" y="1456"/>
                </a:lnTo>
                <a:lnTo>
                  <a:pt x="2860" y="1474"/>
                </a:lnTo>
                <a:lnTo>
                  <a:pt x="2890" y="1496"/>
                </a:lnTo>
                <a:lnTo>
                  <a:pt x="2918" y="1520"/>
                </a:lnTo>
                <a:lnTo>
                  <a:pt x="2944" y="1546"/>
                </a:lnTo>
                <a:lnTo>
                  <a:pt x="2968" y="1574"/>
                </a:lnTo>
                <a:lnTo>
                  <a:pt x="2990" y="1604"/>
                </a:lnTo>
                <a:lnTo>
                  <a:pt x="3010" y="1636"/>
                </a:lnTo>
                <a:lnTo>
                  <a:pt x="3028" y="1670"/>
                </a:lnTo>
                <a:lnTo>
                  <a:pt x="3042" y="1704"/>
                </a:lnTo>
                <a:lnTo>
                  <a:pt x="3054" y="1740"/>
                </a:lnTo>
                <a:lnTo>
                  <a:pt x="3062" y="1778"/>
                </a:lnTo>
                <a:lnTo>
                  <a:pt x="3062" y="1778"/>
                </a:lnTo>
                <a:lnTo>
                  <a:pt x="3068" y="1822"/>
                </a:lnTo>
                <a:lnTo>
                  <a:pt x="3070" y="1866"/>
                </a:lnTo>
                <a:lnTo>
                  <a:pt x="3068" y="1910"/>
                </a:lnTo>
                <a:lnTo>
                  <a:pt x="3062" y="1954"/>
                </a:lnTo>
                <a:lnTo>
                  <a:pt x="3052" y="1996"/>
                </a:lnTo>
                <a:lnTo>
                  <a:pt x="3040" y="2036"/>
                </a:lnTo>
                <a:lnTo>
                  <a:pt x="3022" y="2076"/>
                </a:lnTo>
                <a:lnTo>
                  <a:pt x="3002" y="2112"/>
                </a:lnTo>
                <a:lnTo>
                  <a:pt x="2978" y="2148"/>
                </a:lnTo>
                <a:lnTo>
                  <a:pt x="2950" y="2182"/>
                </a:lnTo>
                <a:lnTo>
                  <a:pt x="2920" y="2212"/>
                </a:lnTo>
                <a:lnTo>
                  <a:pt x="2888" y="2240"/>
                </a:lnTo>
                <a:lnTo>
                  <a:pt x="2852" y="2266"/>
                </a:lnTo>
                <a:lnTo>
                  <a:pt x="2814" y="2288"/>
                </a:lnTo>
                <a:lnTo>
                  <a:pt x="2774" y="2306"/>
                </a:lnTo>
                <a:lnTo>
                  <a:pt x="2732" y="2320"/>
                </a:lnTo>
                <a:lnTo>
                  <a:pt x="2732" y="2320"/>
                </a:lnTo>
                <a:lnTo>
                  <a:pt x="2718" y="2326"/>
                </a:lnTo>
                <a:lnTo>
                  <a:pt x="2708" y="2332"/>
                </a:lnTo>
                <a:lnTo>
                  <a:pt x="2702" y="2342"/>
                </a:lnTo>
                <a:lnTo>
                  <a:pt x="2698" y="2356"/>
                </a:lnTo>
                <a:lnTo>
                  <a:pt x="2698" y="2356"/>
                </a:lnTo>
                <a:lnTo>
                  <a:pt x="2688" y="2400"/>
                </a:lnTo>
                <a:lnTo>
                  <a:pt x="2676" y="2444"/>
                </a:lnTo>
                <a:lnTo>
                  <a:pt x="2662" y="2486"/>
                </a:lnTo>
                <a:lnTo>
                  <a:pt x="2646" y="2526"/>
                </a:lnTo>
                <a:lnTo>
                  <a:pt x="2628" y="2566"/>
                </a:lnTo>
                <a:lnTo>
                  <a:pt x="2610" y="2604"/>
                </a:lnTo>
                <a:lnTo>
                  <a:pt x="2588" y="2642"/>
                </a:lnTo>
                <a:lnTo>
                  <a:pt x="2566" y="2678"/>
                </a:lnTo>
                <a:lnTo>
                  <a:pt x="2542" y="2712"/>
                </a:lnTo>
                <a:lnTo>
                  <a:pt x="2514" y="2744"/>
                </a:lnTo>
                <a:lnTo>
                  <a:pt x="2486" y="2776"/>
                </a:lnTo>
                <a:lnTo>
                  <a:pt x="2456" y="2808"/>
                </a:lnTo>
                <a:lnTo>
                  <a:pt x="2424" y="2836"/>
                </a:lnTo>
                <a:lnTo>
                  <a:pt x="2388" y="2864"/>
                </a:lnTo>
                <a:lnTo>
                  <a:pt x="2352" y="2890"/>
                </a:lnTo>
                <a:lnTo>
                  <a:pt x="2314" y="2916"/>
                </a:lnTo>
                <a:lnTo>
                  <a:pt x="2314" y="2916"/>
                </a:lnTo>
                <a:lnTo>
                  <a:pt x="2266" y="2942"/>
                </a:lnTo>
                <a:lnTo>
                  <a:pt x="2216" y="2966"/>
                </a:lnTo>
                <a:lnTo>
                  <a:pt x="2166" y="2986"/>
                </a:lnTo>
                <a:lnTo>
                  <a:pt x="2114" y="3002"/>
                </a:lnTo>
                <a:lnTo>
                  <a:pt x="2062" y="3016"/>
                </a:lnTo>
                <a:lnTo>
                  <a:pt x="2008" y="3028"/>
                </a:lnTo>
                <a:lnTo>
                  <a:pt x="1954" y="3036"/>
                </a:lnTo>
                <a:lnTo>
                  <a:pt x="1900" y="3042"/>
                </a:lnTo>
                <a:lnTo>
                  <a:pt x="1900" y="3042"/>
                </a:lnTo>
                <a:lnTo>
                  <a:pt x="1844" y="3046"/>
                </a:lnTo>
                <a:lnTo>
                  <a:pt x="1786" y="3048"/>
                </a:lnTo>
                <a:lnTo>
                  <a:pt x="1730" y="3048"/>
                </a:lnTo>
                <a:lnTo>
                  <a:pt x="1676" y="3046"/>
                </a:lnTo>
                <a:lnTo>
                  <a:pt x="1620" y="3040"/>
                </a:lnTo>
                <a:lnTo>
                  <a:pt x="1564" y="3032"/>
                </a:lnTo>
                <a:lnTo>
                  <a:pt x="1508" y="3020"/>
                </a:lnTo>
                <a:lnTo>
                  <a:pt x="1454" y="3006"/>
                </a:lnTo>
                <a:lnTo>
                  <a:pt x="1454" y="3006"/>
                </a:lnTo>
                <a:lnTo>
                  <a:pt x="1410" y="2994"/>
                </a:lnTo>
                <a:lnTo>
                  <a:pt x="1370" y="2978"/>
                </a:lnTo>
                <a:lnTo>
                  <a:pt x="1328" y="2960"/>
                </a:lnTo>
                <a:lnTo>
                  <a:pt x="1290" y="2942"/>
                </a:lnTo>
                <a:lnTo>
                  <a:pt x="1252" y="2920"/>
                </a:lnTo>
                <a:lnTo>
                  <a:pt x="1216" y="2898"/>
                </a:lnTo>
                <a:lnTo>
                  <a:pt x="1182" y="2874"/>
                </a:lnTo>
                <a:lnTo>
                  <a:pt x="1150" y="2848"/>
                </a:lnTo>
                <a:lnTo>
                  <a:pt x="1118" y="2820"/>
                </a:lnTo>
                <a:lnTo>
                  <a:pt x="1088" y="2790"/>
                </a:lnTo>
                <a:lnTo>
                  <a:pt x="1060" y="2760"/>
                </a:lnTo>
                <a:lnTo>
                  <a:pt x="1032" y="2726"/>
                </a:lnTo>
                <a:lnTo>
                  <a:pt x="1008" y="2692"/>
                </a:lnTo>
                <a:lnTo>
                  <a:pt x="984" y="2654"/>
                </a:lnTo>
                <a:lnTo>
                  <a:pt x="962" y="2616"/>
                </a:lnTo>
                <a:lnTo>
                  <a:pt x="940" y="2576"/>
                </a:lnTo>
                <a:lnTo>
                  <a:pt x="940" y="2576"/>
                </a:lnTo>
                <a:lnTo>
                  <a:pt x="920" y="2532"/>
                </a:lnTo>
                <a:lnTo>
                  <a:pt x="902" y="2490"/>
                </a:lnTo>
                <a:lnTo>
                  <a:pt x="888" y="2446"/>
                </a:lnTo>
                <a:lnTo>
                  <a:pt x="874" y="2400"/>
                </a:lnTo>
                <a:lnTo>
                  <a:pt x="862" y="2356"/>
                </a:lnTo>
                <a:lnTo>
                  <a:pt x="852" y="2310"/>
                </a:lnTo>
                <a:lnTo>
                  <a:pt x="842" y="2264"/>
                </a:lnTo>
                <a:lnTo>
                  <a:pt x="834" y="2218"/>
                </a:lnTo>
                <a:lnTo>
                  <a:pt x="834" y="2218"/>
                </a:lnTo>
                <a:lnTo>
                  <a:pt x="830" y="2204"/>
                </a:lnTo>
                <a:lnTo>
                  <a:pt x="828" y="2198"/>
                </a:lnTo>
                <a:lnTo>
                  <a:pt x="824" y="2192"/>
                </a:lnTo>
                <a:lnTo>
                  <a:pt x="824" y="2192"/>
                </a:lnTo>
                <a:lnTo>
                  <a:pt x="802" y="2164"/>
                </a:lnTo>
                <a:lnTo>
                  <a:pt x="784" y="2136"/>
                </a:lnTo>
                <a:lnTo>
                  <a:pt x="766" y="2106"/>
                </a:lnTo>
                <a:lnTo>
                  <a:pt x="752" y="2076"/>
                </a:lnTo>
                <a:lnTo>
                  <a:pt x="738" y="2046"/>
                </a:lnTo>
                <a:lnTo>
                  <a:pt x="726" y="2014"/>
                </a:lnTo>
                <a:lnTo>
                  <a:pt x="716" y="1982"/>
                </a:lnTo>
                <a:lnTo>
                  <a:pt x="708" y="1948"/>
                </a:lnTo>
                <a:lnTo>
                  <a:pt x="708" y="1948"/>
                </a:lnTo>
                <a:lnTo>
                  <a:pt x="704" y="1940"/>
                </a:lnTo>
                <a:lnTo>
                  <a:pt x="702" y="1932"/>
                </a:lnTo>
                <a:lnTo>
                  <a:pt x="696" y="1924"/>
                </a:lnTo>
                <a:lnTo>
                  <a:pt x="690" y="1920"/>
                </a:lnTo>
                <a:lnTo>
                  <a:pt x="690" y="1920"/>
                </a:lnTo>
                <a:lnTo>
                  <a:pt x="642" y="1890"/>
                </a:lnTo>
                <a:lnTo>
                  <a:pt x="598" y="1858"/>
                </a:lnTo>
                <a:lnTo>
                  <a:pt x="556" y="1824"/>
                </a:lnTo>
                <a:lnTo>
                  <a:pt x="518" y="1786"/>
                </a:lnTo>
                <a:lnTo>
                  <a:pt x="482" y="1746"/>
                </a:lnTo>
                <a:lnTo>
                  <a:pt x="446" y="1704"/>
                </a:lnTo>
                <a:lnTo>
                  <a:pt x="414" y="1660"/>
                </a:lnTo>
                <a:lnTo>
                  <a:pt x="384" y="1614"/>
                </a:lnTo>
                <a:lnTo>
                  <a:pt x="384" y="1614"/>
                </a:lnTo>
                <a:lnTo>
                  <a:pt x="340" y="1544"/>
                </a:lnTo>
                <a:lnTo>
                  <a:pt x="300" y="1472"/>
                </a:lnTo>
                <a:lnTo>
                  <a:pt x="264" y="1398"/>
                </a:lnTo>
                <a:lnTo>
                  <a:pt x="232" y="1324"/>
                </a:lnTo>
                <a:lnTo>
                  <a:pt x="200" y="1248"/>
                </a:lnTo>
                <a:lnTo>
                  <a:pt x="172" y="1172"/>
                </a:lnTo>
                <a:lnTo>
                  <a:pt x="144" y="1094"/>
                </a:lnTo>
                <a:lnTo>
                  <a:pt x="120" y="1016"/>
                </a:lnTo>
                <a:lnTo>
                  <a:pt x="120" y="1016"/>
                </a:lnTo>
                <a:lnTo>
                  <a:pt x="102" y="956"/>
                </a:lnTo>
                <a:lnTo>
                  <a:pt x="86" y="896"/>
                </a:lnTo>
                <a:lnTo>
                  <a:pt x="56" y="776"/>
                </a:lnTo>
                <a:lnTo>
                  <a:pt x="30" y="654"/>
                </a:lnTo>
                <a:lnTo>
                  <a:pt x="6" y="532"/>
                </a:lnTo>
                <a:lnTo>
                  <a:pt x="6" y="532"/>
                </a:lnTo>
                <a:lnTo>
                  <a:pt x="2" y="510"/>
                </a:lnTo>
                <a:lnTo>
                  <a:pt x="0" y="486"/>
                </a:lnTo>
                <a:lnTo>
                  <a:pt x="0" y="464"/>
                </a:lnTo>
                <a:lnTo>
                  <a:pt x="0" y="444"/>
                </a:lnTo>
                <a:lnTo>
                  <a:pt x="2" y="424"/>
                </a:lnTo>
                <a:lnTo>
                  <a:pt x="6" y="404"/>
                </a:lnTo>
                <a:lnTo>
                  <a:pt x="12" y="384"/>
                </a:lnTo>
                <a:lnTo>
                  <a:pt x="18" y="364"/>
                </a:lnTo>
                <a:lnTo>
                  <a:pt x="26" y="346"/>
                </a:lnTo>
                <a:lnTo>
                  <a:pt x="36" y="328"/>
                </a:lnTo>
                <a:lnTo>
                  <a:pt x="46" y="312"/>
                </a:lnTo>
                <a:lnTo>
                  <a:pt x="58" y="294"/>
                </a:lnTo>
                <a:lnTo>
                  <a:pt x="72" y="278"/>
                </a:lnTo>
                <a:lnTo>
                  <a:pt x="86" y="262"/>
                </a:lnTo>
                <a:lnTo>
                  <a:pt x="118" y="232"/>
                </a:lnTo>
                <a:lnTo>
                  <a:pt x="118" y="232"/>
                </a:lnTo>
                <a:lnTo>
                  <a:pt x="152" y="202"/>
                </a:lnTo>
                <a:lnTo>
                  <a:pt x="188" y="176"/>
                </a:lnTo>
                <a:lnTo>
                  <a:pt x="188" y="176"/>
                </a:lnTo>
                <a:lnTo>
                  <a:pt x="224" y="152"/>
                </a:lnTo>
                <a:lnTo>
                  <a:pt x="258" y="126"/>
                </a:lnTo>
                <a:lnTo>
                  <a:pt x="290" y="98"/>
                </a:lnTo>
                <a:lnTo>
                  <a:pt x="304" y="82"/>
                </a:lnTo>
                <a:lnTo>
                  <a:pt x="320" y="66"/>
                </a:lnTo>
                <a:lnTo>
                  <a:pt x="320" y="66"/>
                </a:lnTo>
                <a:lnTo>
                  <a:pt x="334" y="50"/>
                </a:lnTo>
                <a:lnTo>
                  <a:pt x="350" y="38"/>
                </a:lnTo>
                <a:lnTo>
                  <a:pt x="366" y="26"/>
                </a:lnTo>
                <a:lnTo>
                  <a:pt x="384" y="18"/>
                </a:lnTo>
                <a:lnTo>
                  <a:pt x="402" y="10"/>
                </a:lnTo>
                <a:lnTo>
                  <a:pt x="420" y="4"/>
                </a:lnTo>
                <a:lnTo>
                  <a:pt x="440" y="0"/>
                </a:lnTo>
                <a:lnTo>
                  <a:pt x="460" y="0"/>
                </a:lnTo>
                <a:lnTo>
                  <a:pt x="480" y="0"/>
                </a:lnTo>
                <a:lnTo>
                  <a:pt x="500" y="2"/>
                </a:lnTo>
                <a:lnTo>
                  <a:pt x="522" y="6"/>
                </a:lnTo>
                <a:lnTo>
                  <a:pt x="540" y="12"/>
                </a:lnTo>
                <a:lnTo>
                  <a:pt x="560" y="20"/>
                </a:lnTo>
                <a:lnTo>
                  <a:pt x="578" y="30"/>
                </a:lnTo>
                <a:lnTo>
                  <a:pt x="596" y="42"/>
                </a:lnTo>
                <a:lnTo>
                  <a:pt x="614" y="54"/>
                </a:lnTo>
                <a:lnTo>
                  <a:pt x="614" y="54"/>
                </a:lnTo>
                <a:lnTo>
                  <a:pt x="628" y="68"/>
                </a:lnTo>
                <a:lnTo>
                  <a:pt x="642" y="84"/>
                </a:lnTo>
                <a:lnTo>
                  <a:pt x="652" y="102"/>
                </a:lnTo>
                <a:lnTo>
                  <a:pt x="662" y="118"/>
                </a:lnTo>
                <a:lnTo>
                  <a:pt x="670" y="138"/>
                </a:lnTo>
                <a:lnTo>
                  <a:pt x="676" y="156"/>
                </a:lnTo>
                <a:lnTo>
                  <a:pt x="680" y="176"/>
                </a:lnTo>
                <a:lnTo>
                  <a:pt x="684" y="196"/>
                </a:lnTo>
                <a:lnTo>
                  <a:pt x="684" y="216"/>
                </a:lnTo>
                <a:lnTo>
                  <a:pt x="684" y="236"/>
                </a:lnTo>
                <a:lnTo>
                  <a:pt x="680" y="256"/>
                </a:lnTo>
                <a:lnTo>
                  <a:pt x="676" y="274"/>
                </a:lnTo>
                <a:lnTo>
                  <a:pt x="668" y="294"/>
                </a:lnTo>
                <a:lnTo>
                  <a:pt x="660" y="312"/>
                </a:lnTo>
                <a:lnTo>
                  <a:pt x="650" y="330"/>
                </a:lnTo>
                <a:lnTo>
                  <a:pt x="638" y="346"/>
                </a:lnTo>
                <a:lnTo>
                  <a:pt x="638" y="346"/>
                </a:lnTo>
                <a:lnTo>
                  <a:pt x="624" y="362"/>
                </a:lnTo>
                <a:lnTo>
                  <a:pt x="608" y="376"/>
                </a:lnTo>
                <a:lnTo>
                  <a:pt x="592" y="390"/>
                </a:lnTo>
                <a:lnTo>
                  <a:pt x="574" y="400"/>
                </a:lnTo>
                <a:lnTo>
                  <a:pt x="556" y="410"/>
                </a:lnTo>
                <a:lnTo>
                  <a:pt x="536" y="416"/>
                </a:lnTo>
                <a:lnTo>
                  <a:pt x="518" y="422"/>
                </a:lnTo>
                <a:lnTo>
                  <a:pt x="498" y="426"/>
                </a:lnTo>
                <a:lnTo>
                  <a:pt x="478" y="428"/>
                </a:lnTo>
                <a:lnTo>
                  <a:pt x="458" y="426"/>
                </a:lnTo>
                <a:lnTo>
                  <a:pt x="438" y="424"/>
                </a:lnTo>
                <a:lnTo>
                  <a:pt x="418" y="420"/>
                </a:lnTo>
                <a:lnTo>
                  <a:pt x="400" y="414"/>
                </a:lnTo>
                <a:lnTo>
                  <a:pt x="380" y="406"/>
                </a:lnTo>
                <a:lnTo>
                  <a:pt x="362" y="396"/>
                </a:lnTo>
                <a:lnTo>
                  <a:pt x="346" y="384"/>
                </a:lnTo>
                <a:lnTo>
                  <a:pt x="346" y="384"/>
                </a:lnTo>
                <a:lnTo>
                  <a:pt x="338" y="380"/>
                </a:lnTo>
                <a:lnTo>
                  <a:pt x="332" y="378"/>
                </a:lnTo>
                <a:lnTo>
                  <a:pt x="326" y="376"/>
                </a:lnTo>
                <a:lnTo>
                  <a:pt x="322" y="376"/>
                </a:lnTo>
                <a:lnTo>
                  <a:pt x="312" y="380"/>
                </a:lnTo>
                <a:lnTo>
                  <a:pt x="300" y="386"/>
                </a:lnTo>
                <a:lnTo>
                  <a:pt x="300" y="386"/>
                </a:lnTo>
                <a:lnTo>
                  <a:pt x="282" y="400"/>
                </a:lnTo>
                <a:lnTo>
                  <a:pt x="266" y="414"/>
                </a:lnTo>
                <a:lnTo>
                  <a:pt x="254" y="430"/>
                </a:lnTo>
                <a:lnTo>
                  <a:pt x="246" y="448"/>
                </a:lnTo>
                <a:lnTo>
                  <a:pt x="242" y="466"/>
                </a:lnTo>
                <a:lnTo>
                  <a:pt x="240" y="486"/>
                </a:lnTo>
                <a:lnTo>
                  <a:pt x="240" y="508"/>
                </a:lnTo>
                <a:lnTo>
                  <a:pt x="244" y="532"/>
                </a:lnTo>
                <a:lnTo>
                  <a:pt x="244" y="532"/>
                </a:lnTo>
                <a:lnTo>
                  <a:pt x="278" y="686"/>
                </a:lnTo>
                <a:lnTo>
                  <a:pt x="296" y="762"/>
                </a:lnTo>
                <a:lnTo>
                  <a:pt x="314" y="840"/>
                </a:lnTo>
                <a:lnTo>
                  <a:pt x="336" y="916"/>
                </a:lnTo>
                <a:lnTo>
                  <a:pt x="360" y="990"/>
                </a:lnTo>
                <a:lnTo>
                  <a:pt x="384" y="1066"/>
                </a:lnTo>
                <a:lnTo>
                  <a:pt x="412" y="1140"/>
                </a:lnTo>
                <a:lnTo>
                  <a:pt x="412" y="1140"/>
                </a:lnTo>
                <a:lnTo>
                  <a:pt x="438" y="1204"/>
                </a:lnTo>
                <a:lnTo>
                  <a:pt x="464" y="1266"/>
                </a:lnTo>
                <a:lnTo>
                  <a:pt x="492" y="1328"/>
                </a:lnTo>
                <a:lnTo>
                  <a:pt x="524" y="1390"/>
                </a:lnTo>
                <a:lnTo>
                  <a:pt x="558" y="1448"/>
                </a:lnTo>
                <a:lnTo>
                  <a:pt x="594" y="1506"/>
                </a:lnTo>
                <a:lnTo>
                  <a:pt x="636" y="1560"/>
                </a:lnTo>
                <a:lnTo>
                  <a:pt x="658" y="1588"/>
                </a:lnTo>
                <a:lnTo>
                  <a:pt x="680" y="1614"/>
                </a:lnTo>
                <a:lnTo>
                  <a:pt x="680" y="1614"/>
                </a:lnTo>
                <a:lnTo>
                  <a:pt x="700" y="1634"/>
                </a:lnTo>
                <a:lnTo>
                  <a:pt x="720" y="1652"/>
                </a:lnTo>
                <a:lnTo>
                  <a:pt x="740" y="1670"/>
                </a:lnTo>
                <a:lnTo>
                  <a:pt x="762" y="1686"/>
                </a:lnTo>
                <a:lnTo>
                  <a:pt x="784" y="1702"/>
                </a:lnTo>
                <a:lnTo>
                  <a:pt x="808" y="1714"/>
                </a:lnTo>
                <a:lnTo>
                  <a:pt x="834" y="1726"/>
                </a:lnTo>
                <a:lnTo>
                  <a:pt x="860" y="1736"/>
                </a:lnTo>
                <a:lnTo>
                  <a:pt x="860" y="1736"/>
                </a:lnTo>
                <a:lnTo>
                  <a:pt x="896" y="1744"/>
                </a:lnTo>
                <a:lnTo>
                  <a:pt x="916" y="1748"/>
                </a:lnTo>
                <a:lnTo>
                  <a:pt x="934" y="1748"/>
                </a:lnTo>
                <a:lnTo>
                  <a:pt x="968" y="1748"/>
                </a:lnTo>
                <a:lnTo>
                  <a:pt x="1004" y="1742"/>
                </a:lnTo>
                <a:lnTo>
                  <a:pt x="1038" y="1734"/>
                </a:lnTo>
                <a:lnTo>
                  <a:pt x="1070" y="1720"/>
                </a:lnTo>
                <a:lnTo>
                  <a:pt x="1102" y="1702"/>
                </a:lnTo>
                <a:lnTo>
                  <a:pt x="1132" y="1680"/>
                </a:lnTo>
                <a:lnTo>
                  <a:pt x="1132" y="1680"/>
                </a:lnTo>
                <a:lnTo>
                  <a:pt x="1170" y="1650"/>
                </a:lnTo>
                <a:lnTo>
                  <a:pt x="1206" y="1616"/>
                </a:lnTo>
                <a:lnTo>
                  <a:pt x="1238" y="1580"/>
                </a:lnTo>
                <a:lnTo>
                  <a:pt x="1268" y="1544"/>
                </a:lnTo>
                <a:lnTo>
                  <a:pt x="1294" y="1504"/>
                </a:lnTo>
                <a:lnTo>
                  <a:pt x="1320" y="1464"/>
                </a:lnTo>
                <a:lnTo>
                  <a:pt x="1344" y="1422"/>
                </a:lnTo>
                <a:lnTo>
                  <a:pt x="1368" y="1380"/>
                </a:lnTo>
                <a:lnTo>
                  <a:pt x="1368" y="1380"/>
                </a:lnTo>
                <a:lnTo>
                  <a:pt x="1392" y="1334"/>
                </a:lnTo>
                <a:lnTo>
                  <a:pt x="1414" y="1286"/>
                </a:lnTo>
                <a:lnTo>
                  <a:pt x="1456" y="1190"/>
                </a:lnTo>
                <a:lnTo>
                  <a:pt x="1494" y="1092"/>
                </a:lnTo>
                <a:lnTo>
                  <a:pt x="1528" y="992"/>
                </a:lnTo>
                <a:lnTo>
                  <a:pt x="1560" y="892"/>
                </a:lnTo>
                <a:lnTo>
                  <a:pt x="1586" y="790"/>
                </a:lnTo>
                <a:lnTo>
                  <a:pt x="1610" y="688"/>
                </a:lnTo>
                <a:lnTo>
                  <a:pt x="1632" y="584"/>
                </a:lnTo>
                <a:lnTo>
                  <a:pt x="1632" y="584"/>
                </a:lnTo>
                <a:lnTo>
                  <a:pt x="1650" y="478"/>
                </a:lnTo>
                <a:lnTo>
                  <a:pt x="1650" y="478"/>
                </a:lnTo>
                <a:lnTo>
                  <a:pt x="1650" y="464"/>
                </a:lnTo>
                <a:lnTo>
                  <a:pt x="1648" y="450"/>
                </a:lnTo>
                <a:lnTo>
                  <a:pt x="1642" y="436"/>
                </a:lnTo>
                <a:lnTo>
                  <a:pt x="1632" y="426"/>
                </a:lnTo>
                <a:lnTo>
                  <a:pt x="1632" y="426"/>
                </a:lnTo>
                <a:lnTo>
                  <a:pt x="1614" y="408"/>
                </a:lnTo>
                <a:lnTo>
                  <a:pt x="1614" y="408"/>
                </a:lnTo>
                <a:lnTo>
                  <a:pt x="1590" y="386"/>
                </a:lnTo>
                <a:lnTo>
                  <a:pt x="1580" y="382"/>
                </a:lnTo>
                <a:lnTo>
                  <a:pt x="1572" y="378"/>
                </a:lnTo>
                <a:lnTo>
                  <a:pt x="1562" y="380"/>
                </a:lnTo>
                <a:lnTo>
                  <a:pt x="1552" y="382"/>
                </a:lnTo>
                <a:lnTo>
                  <a:pt x="1524" y="398"/>
                </a:lnTo>
                <a:lnTo>
                  <a:pt x="1524" y="398"/>
                </a:lnTo>
                <a:lnTo>
                  <a:pt x="1494" y="412"/>
                </a:lnTo>
                <a:lnTo>
                  <a:pt x="1464" y="422"/>
                </a:lnTo>
                <a:lnTo>
                  <a:pt x="1434" y="426"/>
                </a:lnTo>
                <a:lnTo>
                  <a:pt x="1406" y="428"/>
                </a:lnTo>
                <a:lnTo>
                  <a:pt x="1376" y="424"/>
                </a:lnTo>
                <a:lnTo>
                  <a:pt x="1348" y="416"/>
                </a:lnTo>
                <a:lnTo>
                  <a:pt x="1320" y="404"/>
                </a:lnTo>
                <a:lnTo>
                  <a:pt x="1292" y="386"/>
                </a:lnTo>
                <a:lnTo>
                  <a:pt x="1292" y="386"/>
                </a:lnTo>
                <a:lnTo>
                  <a:pt x="1266" y="366"/>
                </a:lnTo>
                <a:lnTo>
                  <a:pt x="1246" y="342"/>
                </a:lnTo>
                <a:lnTo>
                  <a:pt x="1228" y="318"/>
                </a:lnTo>
                <a:lnTo>
                  <a:pt x="1216" y="292"/>
                </a:lnTo>
                <a:lnTo>
                  <a:pt x="1208" y="264"/>
                </a:lnTo>
                <a:lnTo>
                  <a:pt x="1204" y="234"/>
                </a:lnTo>
                <a:lnTo>
                  <a:pt x="1204" y="202"/>
                </a:lnTo>
                <a:lnTo>
                  <a:pt x="1208" y="170"/>
                </a:lnTo>
                <a:lnTo>
                  <a:pt x="1208" y="170"/>
                </a:lnTo>
                <a:lnTo>
                  <a:pt x="1216" y="138"/>
                </a:lnTo>
                <a:lnTo>
                  <a:pt x="1228" y="110"/>
                </a:lnTo>
                <a:lnTo>
                  <a:pt x="1244" y="84"/>
                </a:lnTo>
                <a:lnTo>
                  <a:pt x="1264" y="62"/>
                </a:lnTo>
                <a:lnTo>
                  <a:pt x="1286" y="42"/>
                </a:lnTo>
                <a:lnTo>
                  <a:pt x="1312" y="26"/>
                </a:lnTo>
                <a:lnTo>
                  <a:pt x="1342" y="14"/>
                </a:lnTo>
                <a:lnTo>
                  <a:pt x="1374" y="4"/>
                </a:lnTo>
                <a:lnTo>
                  <a:pt x="1374" y="4"/>
                </a:lnTo>
                <a:lnTo>
                  <a:pt x="1390" y="0"/>
                </a:lnTo>
                <a:lnTo>
                  <a:pt x="1406" y="0"/>
                </a:lnTo>
                <a:lnTo>
                  <a:pt x="1422" y="0"/>
                </a:lnTo>
                <a:lnTo>
                  <a:pt x="1436" y="0"/>
                </a:lnTo>
                <a:lnTo>
                  <a:pt x="1452" y="2"/>
                </a:lnTo>
                <a:lnTo>
                  <a:pt x="1468" y="6"/>
                </a:lnTo>
                <a:lnTo>
                  <a:pt x="1498" y="16"/>
                </a:lnTo>
                <a:lnTo>
                  <a:pt x="1528" y="32"/>
                </a:lnTo>
                <a:lnTo>
                  <a:pt x="1554" y="50"/>
                </a:lnTo>
                <a:lnTo>
                  <a:pt x="1566" y="60"/>
                </a:lnTo>
                <a:lnTo>
                  <a:pt x="1578" y="72"/>
                </a:lnTo>
                <a:lnTo>
                  <a:pt x="1588" y="86"/>
                </a:lnTo>
                <a:lnTo>
                  <a:pt x="1598" y="98"/>
                </a:lnTo>
                <a:lnTo>
                  <a:pt x="1598" y="98"/>
                </a:lnTo>
                <a:lnTo>
                  <a:pt x="1604" y="108"/>
                </a:lnTo>
                <a:lnTo>
                  <a:pt x="1612" y="116"/>
                </a:lnTo>
                <a:lnTo>
                  <a:pt x="1630" y="132"/>
                </a:lnTo>
                <a:lnTo>
                  <a:pt x="1630" y="132"/>
                </a:lnTo>
                <a:lnTo>
                  <a:pt x="1710" y="190"/>
                </a:lnTo>
                <a:lnTo>
                  <a:pt x="1750" y="218"/>
                </a:lnTo>
                <a:lnTo>
                  <a:pt x="1788" y="250"/>
                </a:lnTo>
                <a:lnTo>
                  <a:pt x="1788" y="250"/>
                </a:lnTo>
                <a:lnTo>
                  <a:pt x="1804" y="264"/>
                </a:lnTo>
                <a:lnTo>
                  <a:pt x="1818" y="280"/>
                </a:lnTo>
                <a:lnTo>
                  <a:pt x="1832" y="296"/>
                </a:lnTo>
                <a:lnTo>
                  <a:pt x="1842" y="312"/>
                </a:lnTo>
                <a:lnTo>
                  <a:pt x="1852" y="328"/>
                </a:lnTo>
                <a:lnTo>
                  <a:pt x="1862" y="344"/>
                </a:lnTo>
                <a:lnTo>
                  <a:pt x="1870" y="362"/>
                </a:lnTo>
                <a:lnTo>
                  <a:pt x="1876" y="380"/>
                </a:lnTo>
                <a:lnTo>
                  <a:pt x="1880" y="398"/>
                </a:lnTo>
                <a:lnTo>
                  <a:pt x="1884" y="418"/>
                </a:lnTo>
                <a:lnTo>
                  <a:pt x="1886" y="436"/>
                </a:lnTo>
                <a:lnTo>
                  <a:pt x="1888" y="456"/>
                </a:lnTo>
                <a:lnTo>
                  <a:pt x="1886" y="498"/>
                </a:lnTo>
                <a:lnTo>
                  <a:pt x="1880" y="540"/>
                </a:lnTo>
                <a:lnTo>
                  <a:pt x="1880" y="540"/>
                </a:lnTo>
                <a:lnTo>
                  <a:pt x="1860" y="646"/>
                </a:lnTo>
                <a:lnTo>
                  <a:pt x="1838" y="752"/>
                </a:lnTo>
                <a:lnTo>
                  <a:pt x="1812" y="856"/>
                </a:lnTo>
                <a:lnTo>
                  <a:pt x="1784" y="960"/>
                </a:lnTo>
                <a:lnTo>
                  <a:pt x="1754" y="1062"/>
                </a:lnTo>
                <a:lnTo>
                  <a:pt x="1718" y="1164"/>
                </a:lnTo>
                <a:lnTo>
                  <a:pt x="1680" y="1266"/>
                </a:lnTo>
                <a:lnTo>
                  <a:pt x="1638" y="1364"/>
                </a:lnTo>
                <a:lnTo>
                  <a:pt x="1638" y="1364"/>
                </a:lnTo>
                <a:lnTo>
                  <a:pt x="1608" y="1428"/>
                </a:lnTo>
                <a:lnTo>
                  <a:pt x="1578" y="1490"/>
                </a:lnTo>
                <a:lnTo>
                  <a:pt x="1544" y="1552"/>
                </a:lnTo>
                <a:lnTo>
                  <a:pt x="1508" y="1610"/>
                </a:lnTo>
                <a:lnTo>
                  <a:pt x="1468" y="1668"/>
                </a:lnTo>
                <a:lnTo>
                  <a:pt x="1426" y="1722"/>
                </a:lnTo>
                <a:lnTo>
                  <a:pt x="1404" y="1748"/>
                </a:lnTo>
                <a:lnTo>
                  <a:pt x="1380" y="1774"/>
                </a:lnTo>
                <a:lnTo>
                  <a:pt x="1354" y="1800"/>
                </a:lnTo>
                <a:lnTo>
                  <a:pt x="1328" y="1824"/>
                </a:lnTo>
                <a:lnTo>
                  <a:pt x="1328" y="1824"/>
                </a:lnTo>
                <a:lnTo>
                  <a:pt x="1298" y="1848"/>
                </a:lnTo>
                <a:lnTo>
                  <a:pt x="1268" y="1870"/>
                </a:lnTo>
                <a:lnTo>
                  <a:pt x="1236" y="1894"/>
                </a:lnTo>
                <a:lnTo>
                  <a:pt x="1204" y="1916"/>
                </a:lnTo>
                <a:lnTo>
                  <a:pt x="1204" y="1916"/>
                </a:lnTo>
                <a:lnTo>
                  <a:pt x="1196" y="1924"/>
                </a:lnTo>
                <a:lnTo>
                  <a:pt x="1190" y="1932"/>
                </a:lnTo>
                <a:lnTo>
                  <a:pt x="1184" y="1940"/>
                </a:lnTo>
                <a:lnTo>
                  <a:pt x="1180" y="1950"/>
                </a:lnTo>
                <a:lnTo>
                  <a:pt x="1180" y="1950"/>
                </a:lnTo>
                <a:lnTo>
                  <a:pt x="1172" y="1978"/>
                </a:lnTo>
                <a:lnTo>
                  <a:pt x="1164" y="2008"/>
                </a:lnTo>
                <a:lnTo>
                  <a:pt x="1154" y="2036"/>
                </a:lnTo>
                <a:lnTo>
                  <a:pt x="1142" y="2064"/>
                </a:lnTo>
                <a:lnTo>
                  <a:pt x="1130" y="2090"/>
                </a:lnTo>
                <a:lnTo>
                  <a:pt x="1116" y="2116"/>
                </a:lnTo>
                <a:lnTo>
                  <a:pt x="1100" y="2142"/>
                </a:lnTo>
                <a:lnTo>
                  <a:pt x="1084" y="2168"/>
                </a:lnTo>
                <a:lnTo>
                  <a:pt x="1084" y="2168"/>
                </a:lnTo>
                <a:lnTo>
                  <a:pt x="1076" y="2182"/>
                </a:lnTo>
                <a:lnTo>
                  <a:pt x="1072" y="2192"/>
                </a:lnTo>
                <a:lnTo>
                  <a:pt x="1072" y="2200"/>
                </a:lnTo>
                <a:lnTo>
                  <a:pt x="1072" y="2200"/>
                </a:lnTo>
                <a:lnTo>
                  <a:pt x="1082" y="2256"/>
                </a:lnTo>
                <a:lnTo>
                  <a:pt x="1094" y="2310"/>
                </a:lnTo>
                <a:lnTo>
                  <a:pt x="1108" y="2364"/>
                </a:lnTo>
                <a:lnTo>
                  <a:pt x="1126" y="2416"/>
                </a:lnTo>
                <a:lnTo>
                  <a:pt x="1150" y="2468"/>
                </a:lnTo>
                <a:lnTo>
                  <a:pt x="1176" y="2516"/>
                </a:lnTo>
                <a:lnTo>
                  <a:pt x="1190" y="2540"/>
                </a:lnTo>
                <a:lnTo>
                  <a:pt x="1206" y="2564"/>
                </a:lnTo>
                <a:lnTo>
                  <a:pt x="1224" y="2586"/>
                </a:lnTo>
                <a:lnTo>
                  <a:pt x="1242" y="2608"/>
                </a:lnTo>
                <a:lnTo>
                  <a:pt x="1242" y="2608"/>
                </a:lnTo>
                <a:lnTo>
                  <a:pt x="1276" y="2644"/>
                </a:lnTo>
                <a:lnTo>
                  <a:pt x="1314" y="2676"/>
                </a:lnTo>
                <a:lnTo>
                  <a:pt x="1352" y="2706"/>
                </a:lnTo>
                <a:lnTo>
                  <a:pt x="1394" y="2730"/>
                </a:lnTo>
                <a:lnTo>
                  <a:pt x="1436" y="2752"/>
                </a:lnTo>
                <a:lnTo>
                  <a:pt x="1482" y="2768"/>
                </a:lnTo>
                <a:lnTo>
                  <a:pt x="1528" y="2782"/>
                </a:lnTo>
                <a:lnTo>
                  <a:pt x="1576" y="2794"/>
                </a:lnTo>
                <a:lnTo>
                  <a:pt x="1576" y="2794"/>
                </a:lnTo>
                <a:lnTo>
                  <a:pt x="1648" y="2804"/>
                </a:lnTo>
                <a:lnTo>
                  <a:pt x="1718" y="2812"/>
                </a:lnTo>
                <a:lnTo>
                  <a:pt x="1754" y="2812"/>
                </a:lnTo>
                <a:lnTo>
                  <a:pt x="1790" y="2814"/>
                </a:lnTo>
                <a:lnTo>
                  <a:pt x="1824" y="2812"/>
                </a:lnTo>
                <a:lnTo>
                  <a:pt x="1860" y="2810"/>
                </a:lnTo>
                <a:lnTo>
                  <a:pt x="1894" y="2808"/>
                </a:lnTo>
                <a:lnTo>
                  <a:pt x="1930" y="2802"/>
                </a:lnTo>
                <a:lnTo>
                  <a:pt x="1964" y="2796"/>
                </a:lnTo>
                <a:lnTo>
                  <a:pt x="1998" y="2790"/>
                </a:lnTo>
                <a:lnTo>
                  <a:pt x="2032" y="2780"/>
                </a:lnTo>
                <a:lnTo>
                  <a:pt x="2066" y="2770"/>
                </a:lnTo>
                <a:lnTo>
                  <a:pt x="2100" y="2756"/>
                </a:lnTo>
                <a:lnTo>
                  <a:pt x="2134" y="2742"/>
                </a:lnTo>
                <a:lnTo>
                  <a:pt x="2134" y="2742"/>
                </a:lnTo>
                <a:lnTo>
                  <a:pt x="2166" y="2726"/>
                </a:lnTo>
                <a:lnTo>
                  <a:pt x="2196" y="2710"/>
                </a:lnTo>
                <a:lnTo>
                  <a:pt x="2226" y="2692"/>
                </a:lnTo>
                <a:lnTo>
                  <a:pt x="2252" y="2672"/>
                </a:lnTo>
                <a:lnTo>
                  <a:pt x="2278" y="2650"/>
                </a:lnTo>
                <a:lnTo>
                  <a:pt x="2302" y="2628"/>
                </a:lnTo>
                <a:lnTo>
                  <a:pt x="2324" y="2604"/>
                </a:lnTo>
                <a:lnTo>
                  <a:pt x="2344" y="2580"/>
                </a:lnTo>
                <a:lnTo>
                  <a:pt x="2364" y="2554"/>
                </a:lnTo>
                <a:lnTo>
                  <a:pt x="2382" y="2526"/>
                </a:lnTo>
                <a:lnTo>
                  <a:pt x="2398" y="2498"/>
                </a:lnTo>
                <a:lnTo>
                  <a:pt x="2414" y="2468"/>
                </a:lnTo>
                <a:lnTo>
                  <a:pt x="2426" y="2438"/>
                </a:lnTo>
                <a:lnTo>
                  <a:pt x="2438" y="2406"/>
                </a:lnTo>
                <a:lnTo>
                  <a:pt x="2450" y="2374"/>
                </a:lnTo>
                <a:lnTo>
                  <a:pt x="2460" y="2340"/>
                </a:lnTo>
                <a:lnTo>
                  <a:pt x="2460" y="2340"/>
                </a:lnTo>
                <a:lnTo>
                  <a:pt x="2462" y="2322"/>
                </a:lnTo>
                <a:lnTo>
                  <a:pt x="2462" y="2322"/>
                </a:lnTo>
                <a:lnTo>
                  <a:pt x="2458" y="2328"/>
                </a:lnTo>
                <a:lnTo>
                  <a:pt x="2458" y="2328"/>
                </a:lnTo>
                <a:close/>
                <a:moveTo>
                  <a:pt x="2596" y="2102"/>
                </a:moveTo>
                <a:lnTo>
                  <a:pt x="2596" y="2102"/>
                </a:lnTo>
                <a:lnTo>
                  <a:pt x="2620" y="2102"/>
                </a:lnTo>
                <a:lnTo>
                  <a:pt x="2644" y="2098"/>
                </a:lnTo>
                <a:lnTo>
                  <a:pt x="2666" y="2092"/>
                </a:lnTo>
                <a:lnTo>
                  <a:pt x="2688" y="2084"/>
                </a:lnTo>
                <a:lnTo>
                  <a:pt x="2710" y="2076"/>
                </a:lnTo>
                <a:lnTo>
                  <a:pt x="2730" y="2064"/>
                </a:lnTo>
                <a:lnTo>
                  <a:pt x="2748" y="2050"/>
                </a:lnTo>
                <a:lnTo>
                  <a:pt x="2764" y="2036"/>
                </a:lnTo>
                <a:lnTo>
                  <a:pt x="2780" y="2018"/>
                </a:lnTo>
                <a:lnTo>
                  <a:pt x="2792" y="2002"/>
                </a:lnTo>
                <a:lnTo>
                  <a:pt x="2804" y="1982"/>
                </a:lnTo>
                <a:lnTo>
                  <a:pt x="2814" y="1962"/>
                </a:lnTo>
                <a:lnTo>
                  <a:pt x="2822" y="1940"/>
                </a:lnTo>
                <a:lnTo>
                  <a:pt x="2828" y="1916"/>
                </a:lnTo>
                <a:lnTo>
                  <a:pt x="2832" y="1894"/>
                </a:lnTo>
                <a:lnTo>
                  <a:pt x="2834" y="1868"/>
                </a:lnTo>
                <a:lnTo>
                  <a:pt x="2834" y="1868"/>
                </a:lnTo>
                <a:lnTo>
                  <a:pt x="2832" y="1844"/>
                </a:lnTo>
                <a:lnTo>
                  <a:pt x="2830" y="1822"/>
                </a:lnTo>
                <a:lnTo>
                  <a:pt x="2824" y="1798"/>
                </a:lnTo>
                <a:lnTo>
                  <a:pt x="2816" y="1778"/>
                </a:lnTo>
                <a:lnTo>
                  <a:pt x="2806" y="1756"/>
                </a:lnTo>
                <a:lnTo>
                  <a:pt x="2794" y="1738"/>
                </a:lnTo>
                <a:lnTo>
                  <a:pt x="2782" y="1720"/>
                </a:lnTo>
                <a:lnTo>
                  <a:pt x="2766" y="1702"/>
                </a:lnTo>
                <a:lnTo>
                  <a:pt x="2750" y="1686"/>
                </a:lnTo>
                <a:lnTo>
                  <a:pt x="2732" y="1674"/>
                </a:lnTo>
                <a:lnTo>
                  <a:pt x="2712" y="1662"/>
                </a:lnTo>
                <a:lnTo>
                  <a:pt x="2692" y="1652"/>
                </a:lnTo>
                <a:lnTo>
                  <a:pt x="2672" y="1644"/>
                </a:lnTo>
                <a:lnTo>
                  <a:pt x="2648" y="1638"/>
                </a:lnTo>
                <a:lnTo>
                  <a:pt x="2626" y="1634"/>
                </a:lnTo>
                <a:lnTo>
                  <a:pt x="2602" y="1632"/>
                </a:lnTo>
                <a:lnTo>
                  <a:pt x="2602" y="1632"/>
                </a:lnTo>
                <a:lnTo>
                  <a:pt x="2578" y="1632"/>
                </a:lnTo>
                <a:lnTo>
                  <a:pt x="2554" y="1636"/>
                </a:lnTo>
                <a:lnTo>
                  <a:pt x="2530" y="1642"/>
                </a:lnTo>
                <a:lnTo>
                  <a:pt x="2508" y="1650"/>
                </a:lnTo>
                <a:lnTo>
                  <a:pt x="2488" y="1660"/>
                </a:lnTo>
                <a:lnTo>
                  <a:pt x="2468" y="1670"/>
                </a:lnTo>
                <a:lnTo>
                  <a:pt x="2450" y="1684"/>
                </a:lnTo>
                <a:lnTo>
                  <a:pt x="2432" y="1700"/>
                </a:lnTo>
                <a:lnTo>
                  <a:pt x="2418" y="1716"/>
                </a:lnTo>
                <a:lnTo>
                  <a:pt x="2404" y="1734"/>
                </a:lnTo>
                <a:lnTo>
                  <a:pt x="2392" y="1752"/>
                </a:lnTo>
                <a:lnTo>
                  <a:pt x="2382" y="1774"/>
                </a:lnTo>
                <a:lnTo>
                  <a:pt x="2374" y="1794"/>
                </a:lnTo>
                <a:lnTo>
                  <a:pt x="2368" y="1818"/>
                </a:lnTo>
                <a:lnTo>
                  <a:pt x="2364" y="1840"/>
                </a:lnTo>
                <a:lnTo>
                  <a:pt x="2362" y="1864"/>
                </a:lnTo>
                <a:lnTo>
                  <a:pt x="2362" y="1864"/>
                </a:lnTo>
                <a:lnTo>
                  <a:pt x="2364" y="1890"/>
                </a:lnTo>
                <a:lnTo>
                  <a:pt x="2366" y="1912"/>
                </a:lnTo>
                <a:lnTo>
                  <a:pt x="2372" y="1936"/>
                </a:lnTo>
                <a:lnTo>
                  <a:pt x="2380" y="1958"/>
                </a:lnTo>
                <a:lnTo>
                  <a:pt x="2390" y="1978"/>
                </a:lnTo>
                <a:lnTo>
                  <a:pt x="2400" y="1998"/>
                </a:lnTo>
                <a:lnTo>
                  <a:pt x="2414" y="2016"/>
                </a:lnTo>
                <a:lnTo>
                  <a:pt x="2430" y="2032"/>
                </a:lnTo>
                <a:lnTo>
                  <a:pt x="2446" y="2048"/>
                </a:lnTo>
                <a:lnTo>
                  <a:pt x="2464" y="2062"/>
                </a:lnTo>
                <a:lnTo>
                  <a:pt x="2482" y="2074"/>
                </a:lnTo>
                <a:lnTo>
                  <a:pt x="2504" y="2084"/>
                </a:lnTo>
                <a:lnTo>
                  <a:pt x="2526" y="2092"/>
                </a:lnTo>
                <a:lnTo>
                  <a:pt x="2548" y="2098"/>
                </a:lnTo>
                <a:lnTo>
                  <a:pt x="2572" y="2100"/>
                </a:lnTo>
                <a:lnTo>
                  <a:pt x="2596" y="2102"/>
                </a:lnTo>
                <a:lnTo>
                  <a:pt x="2596" y="210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3297" tIns="46649" rIns="93297" bIns="46649"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it-IT" sz="1837"/>
          </a:p>
        </xdr:txBody>
      </xdr:sp>
      <xdr:sp macro="" textlink="">
        <xdr:nvSpPr>
          <xdr:cNvPr id="22" name="Freeform 21">
            <a:extLst>
              <a:ext uri="{FF2B5EF4-FFF2-40B4-BE49-F238E27FC236}">
                <a16:creationId xmlns:a16="http://schemas.microsoft.com/office/drawing/2014/main" id="{00000000-0008-0000-0300-000016000000}"/>
              </a:ext>
            </a:extLst>
          </xdr:cNvPr>
          <xdr:cNvSpPr>
            <a:spLocks/>
          </xdr:cNvSpPr>
        </xdr:nvSpPr>
        <xdr:spPr bwMode="auto">
          <a:xfrm>
            <a:off x="-1878012" y="4289425"/>
            <a:ext cx="374650" cy="374650"/>
          </a:xfrm>
          <a:custGeom>
            <a:avLst/>
            <a:gdLst>
              <a:gd name="T0" fmla="*/ 236 w 236"/>
              <a:gd name="T1" fmla="*/ 122 h 236"/>
              <a:gd name="T2" fmla="*/ 236 w 236"/>
              <a:gd name="T3" fmla="*/ 122 h 236"/>
              <a:gd name="T4" fmla="*/ 234 w 236"/>
              <a:gd name="T5" fmla="*/ 134 h 236"/>
              <a:gd name="T6" fmla="*/ 232 w 236"/>
              <a:gd name="T7" fmla="*/ 144 h 236"/>
              <a:gd name="T8" fmla="*/ 226 w 236"/>
              <a:gd name="T9" fmla="*/ 166 h 236"/>
              <a:gd name="T10" fmla="*/ 214 w 236"/>
              <a:gd name="T11" fmla="*/ 186 h 236"/>
              <a:gd name="T12" fmla="*/ 198 w 236"/>
              <a:gd name="T13" fmla="*/ 202 h 236"/>
              <a:gd name="T14" fmla="*/ 182 w 236"/>
              <a:gd name="T15" fmla="*/ 216 h 236"/>
              <a:gd name="T16" fmla="*/ 162 w 236"/>
              <a:gd name="T17" fmla="*/ 228 h 236"/>
              <a:gd name="T18" fmla="*/ 140 w 236"/>
              <a:gd name="T19" fmla="*/ 234 h 236"/>
              <a:gd name="T20" fmla="*/ 128 w 236"/>
              <a:gd name="T21" fmla="*/ 236 h 236"/>
              <a:gd name="T22" fmla="*/ 116 w 236"/>
              <a:gd name="T23" fmla="*/ 236 h 236"/>
              <a:gd name="T24" fmla="*/ 116 w 236"/>
              <a:gd name="T25" fmla="*/ 236 h 236"/>
              <a:gd name="T26" fmla="*/ 104 w 236"/>
              <a:gd name="T27" fmla="*/ 234 h 236"/>
              <a:gd name="T28" fmla="*/ 92 w 236"/>
              <a:gd name="T29" fmla="*/ 232 h 236"/>
              <a:gd name="T30" fmla="*/ 70 w 236"/>
              <a:gd name="T31" fmla="*/ 226 h 236"/>
              <a:gd name="T32" fmla="*/ 50 w 236"/>
              <a:gd name="T33" fmla="*/ 214 h 236"/>
              <a:gd name="T34" fmla="*/ 34 w 236"/>
              <a:gd name="T35" fmla="*/ 200 h 236"/>
              <a:gd name="T36" fmla="*/ 20 w 236"/>
              <a:gd name="T37" fmla="*/ 182 h 236"/>
              <a:gd name="T38" fmla="*/ 8 w 236"/>
              <a:gd name="T39" fmla="*/ 160 h 236"/>
              <a:gd name="T40" fmla="*/ 2 w 236"/>
              <a:gd name="T41" fmla="*/ 138 h 236"/>
              <a:gd name="T42" fmla="*/ 0 w 236"/>
              <a:gd name="T43" fmla="*/ 126 h 236"/>
              <a:gd name="T44" fmla="*/ 0 w 236"/>
              <a:gd name="T45" fmla="*/ 114 h 236"/>
              <a:gd name="T46" fmla="*/ 0 w 236"/>
              <a:gd name="T47" fmla="*/ 114 h 236"/>
              <a:gd name="T48" fmla="*/ 2 w 236"/>
              <a:gd name="T49" fmla="*/ 102 h 236"/>
              <a:gd name="T50" fmla="*/ 4 w 236"/>
              <a:gd name="T51" fmla="*/ 92 h 236"/>
              <a:gd name="T52" fmla="*/ 12 w 236"/>
              <a:gd name="T53" fmla="*/ 70 h 236"/>
              <a:gd name="T54" fmla="*/ 22 w 236"/>
              <a:gd name="T55" fmla="*/ 50 h 236"/>
              <a:gd name="T56" fmla="*/ 38 w 236"/>
              <a:gd name="T57" fmla="*/ 32 h 236"/>
              <a:gd name="T58" fmla="*/ 56 w 236"/>
              <a:gd name="T59" fmla="*/ 18 h 236"/>
              <a:gd name="T60" fmla="*/ 76 w 236"/>
              <a:gd name="T61" fmla="*/ 8 h 236"/>
              <a:gd name="T62" fmla="*/ 86 w 236"/>
              <a:gd name="T63" fmla="*/ 4 h 236"/>
              <a:gd name="T64" fmla="*/ 98 w 236"/>
              <a:gd name="T65" fmla="*/ 0 h 236"/>
              <a:gd name="T66" fmla="*/ 110 w 236"/>
              <a:gd name="T67" fmla="*/ 0 h 236"/>
              <a:gd name="T68" fmla="*/ 122 w 236"/>
              <a:gd name="T69" fmla="*/ 0 h 236"/>
              <a:gd name="T70" fmla="*/ 122 w 236"/>
              <a:gd name="T71" fmla="*/ 0 h 236"/>
              <a:gd name="T72" fmla="*/ 134 w 236"/>
              <a:gd name="T73" fmla="*/ 0 h 236"/>
              <a:gd name="T74" fmla="*/ 146 w 236"/>
              <a:gd name="T75" fmla="*/ 2 h 236"/>
              <a:gd name="T76" fmla="*/ 168 w 236"/>
              <a:gd name="T77" fmla="*/ 10 h 236"/>
              <a:gd name="T78" fmla="*/ 186 w 236"/>
              <a:gd name="T79" fmla="*/ 22 h 236"/>
              <a:gd name="T80" fmla="*/ 204 w 236"/>
              <a:gd name="T81" fmla="*/ 38 h 236"/>
              <a:gd name="T82" fmla="*/ 218 w 236"/>
              <a:gd name="T83" fmla="*/ 56 h 236"/>
              <a:gd name="T84" fmla="*/ 228 w 236"/>
              <a:gd name="T85" fmla="*/ 76 h 236"/>
              <a:gd name="T86" fmla="*/ 234 w 236"/>
              <a:gd name="T87" fmla="*/ 98 h 236"/>
              <a:gd name="T88" fmla="*/ 236 w 236"/>
              <a:gd name="T89" fmla="*/ 110 h 236"/>
              <a:gd name="T90" fmla="*/ 236 w 236"/>
              <a:gd name="T91" fmla="*/ 122 h 236"/>
              <a:gd name="T92" fmla="*/ 236 w 236"/>
              <a:gd name="T93" fmla="*/ 122 h 2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36" h="236">
                <a:moveTo>
                  <a:pt x="236" y="122"/>
                </a:moveTo>
                <a:lnTo>
                  <a:pt x="236" y="122"/>
                </a:lnTo>
                <a:lnTo>
                  <a:pt x="234" y="134"/>
                </a:lnTo>
                <a:lnTo>
                  <a:pt x="232" y="144"/>
                </a:lnTo>
                <a:lnTo>
                  <a:pt x="226" y="166"/>
                </a:lnTo>
                <a:lnTo>
                  <a:pt x="214" y="186"/>
                </a:lnTo>
                <a:lnTo>
                  <a:pt x="198" y="202"/>
                </a:lnTo>
                <a:lnTo>
                  <a:pt x="182" y="216"/>
                </a:lnTo>
                <a:lnTo>
                  <a:pt x="162" y="228"/>
                </a:lnTo>
                <a:lnTo>
                  <a:pt x="140" y="234"/>
                </a:lnTo>
                <a:lnTo>
                  <a:pt x="128" y="236"/>
                </a:lnTo>
                <a:lnTo>
                  <a:pt x="116" y="236"/>
                </a:lnTo>
                <a:lnTo>
                  <a:pt x="116" y="236"/>
                </a:lnTo>
                <a:lnTo>
                  <a:pt x="104" y="234"/>
                </a:lnTo>
                <a:lnTo>
                  <a:pt x="92" y="232"/>
                </a:lnTo>
                <a:lnTo>
                  <a:pt x="70" y="226"/>
                </a:lnTo>
                <a:lnTo>
                  <a:pt x="50" y="214"/>
                </a:lnTo>
                <a:lnTo>
                  <a:pt x="34" y="200"/>
                </a:lnTo>
                <a:lnTo>
                  <a:pt x="20" y="182"/>
                </a:lnTo>
                <a:lnTo>
                  <a:pt x="8" y="160"/>
                </a:lnTo>
                <a:lnTo>
                  <a:pt x="2" y="138"/>
                </a:lnTo>
                <a:lnTo>
                  <a:pt x="0" y="126"/>
                </a:lnTo>
                <a:lnTo>
                  <a:pt x="0" y="114"/>
                </a:lnTo>
                <a:lnTo>
                  <a:pt x="0" y="114"/>
                </a:lnTo>
                <a:lnTo>
                  <a:pt x="2" y="102"/>
                </a:lnTo>
                <a:lnTo>
                  <a:pt x="4" y="92"/>
                </a:lnTo>
                <a:lnTo>
                  <a:pt x="12" y="70"/>
                </a:lnTo>
                <a:lnTo>
                  <a:pt x="22" y="50"/>
                </a:lnTo>
                <a:lnTo>
                  <a:pt x="38" y="32"/>
                </a:lnTo>
                <a:lnTo>
                  <a:pt x="56" y="18"/>
                </a:lnTo>
                <a:lnTo>
                  <a:pt x="76" y="8"/>
                </a:lnTo>
                <a:lnTo>
                  <a:pt x="86" y="4"/>
                </a:lnTo>
                <a:lnTo>
                  <a:pt x="98" y="0"/>
                </a:lnTo>
                <a:lnTo>
                  <a:pt x="110" y="0"/>
                </a:lnTo>
                <a:lnTo>
                  <a:pt x="122" y="0"/>
                </a:lnTo>
                <a:lnTo>
                  <a:pt x="122" y="0"/>
                </a:lnTo>
                <a:lnTo>
                  <a:pt x="134" y="0"/>
                </a:lnTo>
                <a:lnTo>
                  <a:pt x="146" y="2"/>
                </a:lnTo>
                <a:lnTo>
                  <a:pt x="168" y="10"/>
                </a:lnTo>
                <a:lnTo>
                  <a:pt x="186" y="22"/>
                </a:lnTo>
                <a:lnTo>
                  <a:pt x="204" y="38"/>
                </a:lnTo>
                <a:lnTo>
                  <a:pt x="218" y="56"/>
                </a:lnTo>
                <a:lnTo>
                  <a:pt x="228" y="76"/>
                </a:lnTo>
                <a:lnTo>
                  <a:pt x="234" y="98"/>
                </a:lnTo>
                <a:lnTo>
                  <a:pt x="236" y="110"/>
                </a:lnTo>
                <a:lnTo>
                  <a:pt x="236" y="122"/>
                </a:lnTo>
                <a:lnTo>
                  <a:pt x="236" y="122"/>
                </a:lnTo>
                <a:close/>
              </a:path>
            </a:pathLst>
          </a:custGeom>
          <a:grpFill/>
          <a:ln>
            <a:noFill/>
          </a:ln>
          <a:extLst>
            <a:ext uri="{91240B29-F687-4F45-9708-019B960494DF}">
              <a14:hiddenLine xmlns:a14="http://schemas.microsoft.com/office/drawing/2010/main" w="9525">
                <a:solidFill>
                  <a:srgbClr val="000000"/>
                </a:solidFill>
                <a:round/>
                <a:headEnd/>
                <a:tailEnd/>
              </a14:hiddenLine>
            </a:ext>
          </a:extLst>
        </xdr:spPr>
        <xdr:txBody>
          <a:bodyPr vert="horz" wrap="square" lIns="93297" tIns="46649" rIns="93297" bIns="46649"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it-IT" sz="1837"/>
          </a:p>
        </xdr:txBody>
      </xdr:sp>
    </xdr:grpSp>
    <xdr:clientData/>
  </xdr:twoCellAnchor>
  <xdr:twoCellAnchor>
    <xdr:from>
      <xdr:col>1</xdr:col>
      <xdr:colOff>866257</xdr:colOff>
      <xdr:row>24</xdr:row>
      <xdr:rowOff>119036</xdr:rowOff>
    </xdr:from>
    <xdr:to>
      <xdr:col>2</xdr:col>
      <xdr:colOff>533400</xdr:colOff>
      <xdr:row>25</xdr:row>
      <xdr:rowOff>168853</xdr:rowOff>
    </xdr:to>
    <xdr:sp macro="" textlink="">
      <xdr:nvSpPr>
        <xdr:cNvPr id="23" name="Rectangle 22">
          <a:extLst>
            <a:ext uri="{FF2B5EF4-FFF2-40B4-BE49-F238E27FC236}">
              <a16:creationId xmlns:a16="http://schemas.microsoft.com/office/drawing/2014/main" id="{00000000-0008-0000-0300-000017000000}"/>
            </a:ext>
          </a:extLst>
        </xdr:cNvPr>
        <xdr:cNvSpPr/>
      </xdr:nvSpPr>
      <xdr:spPr>
        <a:xfrm>
          <a:off x="1138400" y="7564865"/>
          <a:ext cx="1626571" cy="2457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baseline="0">
              <a:solidFill>
                <a:sysClr val="windowText" lastClr="000000"/>
              </a:solidFill>
            </a:rPr>
            <a:t>Available staff</a:t>
          </a:r>
          <a:endParaRPr lang="en-US" sz="1200" b="1">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87968</xdr:colOff>
      <xdr:row>1</xdr:row>
      <xdr:rowOff>48185</xdr:rowOff>
    </xdr:from>
    <xdr:ext cx="1337422" cy="417749"/>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367368" y="232335"/>
          <a:ext cx="1337422" cy="41774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bevans/Downloads/Readm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uer/data/JRF/2017/Blank_forms_2016/HQ/WHO_UNICEF_JRF_E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uer/data/JRF/2015/Blank_forms_2015/HQ/JRF_data_for_2014_englis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Ref_country"/>
      <sheetName val="Readme coverageAdmin"/>
      <sheetName val="Readme WHOUNICEF"/>
      <sheetName val="Readme indicator"/>
      <sheetName val="Readme HPVadmin"/>
      <sheetName val="Readme at_School"/>
      <sheetName val="Readme SchoolIB"/>
      <sheetName val="Readme SchoolIR"/>
      <sheetName val="Readme coverage"/>
      <sheetName val="Readme Incidence"/>
      <sheetName val="Readme schedule"/>
      <sheetName val="Readme HBR"/>
      <sheetName val="MetaIndicator"/>
      <sheetName val="Readme vaccinesource"/>
      <sheetName val="MetaSIA"/>
      <sheetName val="MetaSurvey"/>
      <sheetName val="Readme_UNPD_GHOMDG"/>
      <sheetName val="OfDates"/>
      <sheetName val="prevReadme incidence"/>
      <sheetName val="prevReadme coverage"/>
      <sheetName val="prevReadme schedule"/>
      <sheetName val="prevReadme vaccinesour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
          <cell r="B2" t="str">
            <v>Data extracted from WHO database. Data for 2000-2018. Next update:  winter 2019</v>
          </cell>
        </row>
        <row r="4">
          <cell r="B4" t="str">
            <v>WHO/UNICEF coverage estimates for 1980-2018, as of 1 July 2019.</v>
          </cell>
        </row>
        <row r="6">
          <cell r="B6">
            <v>2018</v>
          </cell>
        </row>
      </sheetData>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_down_list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rop_down_lists"/>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Justin Graves" id="{9C86B572-86BF-0A4B-B270-302821105318}" userId="Justin Graves" providerId="None"/>
</personList>
</file>

<file path=xl/tables/table1.xml><?xml version="1.0" encoding="utf-8"?>
<table xmlns="http://schemas.openxmlformats.org/spreadsheetml/2006/main" id="3" name="Table3" displayName="Table3" ref="B14:K111" totalsRowShown="0" headerRowDxfId="21" dataDxfId="20" tableBorderDxfId="19">
  <autoFilter ref="B14:K111"/>
  <tableColumns count="10">
    <tableColumn id="1" name="Commodity" dataDxfId="18"/>
    <tableColumn id="9" name="Check" dataDxfId="17">
      <calculatedColumnFormula>IF($B15='Equipment Assumptions'!$B11,"OK","ERROR")</calculatedColumnFormula>
    </tableColumn>
    <tableColumn id="10" name="Search" dataDxfId="16">
      <calculatedColumnFormula>CONCATENATE($B$16,$B15)</calculatedColumnFormula>
    </tableColumn>
    <tableColumn id="2" name="Total needed" dataDxfId="15"/>
    <tableColumn id="3" name="Total needed2"/>
    <tableColumn id="4" name="Total needed3" dataDxfId="14"/>
    <tableColumn id="5" name="Total needed4" dataDxfId="13"/>
    <tableColumn id="6" name="Total needed5" dataDxfId="12"/>
    <tableColumn id="8" name="Total needed6" dataDxfId="11"/>
    <tableColumn id="7" name="Total needed7" dataDxfId="10"/>
  </tableColumns>
  <tableStyleInfo name="TableStyleMedium2" showFirstColumn="0" showLastColumn="0" showRowStripes="1" showColumnStripes="0"/>
</table>
</file>

<file path=xl/tables/table2.xml><?xml version="1.0" encoding="utf-8"?>
<table xmlns="http://schemas.openxmlformats.org/spreadsheetml/2006/main" id="4" name="EquipmentUsage" displayName="EquipmentUsage" ref="B10:I103" totalsRowShown="0" headerRowDxfId="9" dataDxfId="8" tableBorderDxfId="7">
  <autoFilter ref="B10:I103"/>
  <tableColumns count="8">
    <tableColumn id="1" name="Commodity" dataDxfId="6"/>
    <tableColumn id="8" name="Search" dataDxfId="5">
      <calculatedColumnFormula>CONCATENATE($B$12,EquipmentUsage[[#This Row],[Commodity]])</calculatedColumnFormula>
    </tableColumn>
    <tableColumn id="2" name="QTY/person/day" dataDxfId="4"/>
    <tableColumn id="3" name="QTY/person/day2"/>
    <tableColumn id="4" name="QTY/person/day3" dataDxfId="3"/>
    <tableColumn id="5" name="QTY/person/day4" dataDxfId="2"/>
    <tableColumn id="6" name="QTY/person/day5" dataDxfId="1"/>
    <tableColumn id="7" name="QTY/person/day6"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1" dT="2020-03-11T10:23:41.47" personId="{9C86B572-86BF-0A4B-B270-302821105318}" id="{367970CD-A9A4-0A4C-B688-B59E1E13BC45}">
    <text>Intrusive action on patient average is 1 per day</text>
  </threadedComment>
  <threadedComment ref="C12" dT="2020-03-11T10:26:14.82" personId="{9C86B572-86BF-0A4B-B270-302821105318}" id="{900097D5-EAC8-4E4B-9C89-B409FF1B54C4}">
    <text>Intrusive action on patient average is 1 per day</text>
  </threadedComment>
  <threadedComment ref="C13" dT="2020-03-11T10:26:20.75" personId="{9C86B572-86BF-0A4B-B270-302821105318}" id="{09CAD1A9-91CB-0C49-80AD-B9542B7DA7F8}">
    <text>Intrusive action on patient average is 1 per day</text>
  </threadedComment>
  <threadedComment ref="C16" dT="2020-03-11T10:40:10.20" personId="{9C86B572-86BF-0A4B-B270-302821105318}" id="{45F440E1-8F11-7641-AD99-EA85A8E80368}">
    <text>Reusable, 1 every 30 days</text>
  </threadedComment>
  <threadedComment ref="D16" dT="2020-03-11T10:40:10.20" personId="{9C86B572-86BF-0A4B-B270-302821105318}" id="{60690C51-12C1-DA4E-9CBC-C366D16E656B}">
    <text>Reusable, 1 every 50 days or so</text>
  </threadedComment>
  <threadedComment ref="C17" dT="2020-03-11T10:40:10.20" personId="{9C86B572-86BF-0A4B-B270-302821105318}" id="{351BB804-E96D-1244-A282-377D3CC692C1}">
    <text>Reusable, 1 every 50 days or so</text>
  </threadedComment>
  <threadedComment ref="D17" dT="2020-03-11T10:40:10.20" personId="{9C86B572-86BF-0A4B-B270-302821105318}" id="{CBAFF2AA-0DD5-6140-8113-3F02AB179019}">
    <text>Reusable, 1 every 50 days or so</text>
  </threadedComment>
  <threadedComment ref="C19" dT="2020-03-11T10:26:20.75" personId="{9C86B572-86BF-0A4B-B270-302821105318}" id="{621FEA0A-50C9-BF40-8A7E-065943FD3484}">
    <text>Intrusive action on patient average is 1 per day</text>
  </threadedComment>
  <threadedComment ref="D20" dT="2020-03-11T10:48:57.95" personId="{9C86B572-86BF-0A4B-B270-302821105318}" id="{DBE1459F-7604-A64D-BE5D-AF6376122C08}">
    <text>One every 20 days assumption</text>
  </threadedComment>
  <threadedComment ref="E75" dT="2020-03-11T11:15:57.19" personId="{9C86B572-86BF-0A4B-B270-302821105318}" id="{6B0F7002-83EA-8045-84FE-8405D2214EC1}">
    <text>1 litre every 30 days</text>
  </threadedComment>
</ThreadedComments>
</file>

<file path=xl/threadedComments/threadedComment2.xml><?xml version="1.0" encoding="utf-8"?>
<ThreadedComments xmlns="http://schemas.microsoft.com/office/spreadsheetml/2018/threadedcomments" xmlns:x="http://schemas.openxmlformats.org/spreadsheetml/2006/main">
  <threadedComment ref="C11" dT="2020-03-11T10:23:41.47" personId="{9C86B572-86BF-0A4B-B270-302821105318}" id="{367970CD-A9A4-0A4D-B688-B59E1E13BC45}">
    <text>Intrusive action on patient average is 1 per day</text>
  </threadedComment>
  <threadedComment ref="C12" dT="2020-03-11T10:26:14.82" personId="{9C86B572-86BF-0A4B-B270-302821105318}" id="{900097D5-EAC8-4E4C-9C89-B409FF1B54C4}">
    <text>Intrusive action on patient average is 1 per day</text>
  </threadedComment>
  <threadedComment ref="C13" dT="2020-03-11T10:26:20.75" personId="{9C86B572-86BF-0A4B-B270-302821105318}" id="{09CAD1A9-91CB-0C4A-80AD-B9542B7DA7F8}">
    <text>Intrusive action on patient average is 1 per day</text>
  </threadedComment>
  <threadedComment ref="C16" dT="2020-03-11T10:40:10.20" personId="{9C86B572-86BF-0A4B-B270-302821105318}" id="{45F440E1-8F11-7642-AD99-EA85A8E80368}">
    <text>Reusable, 1 every 30 days</text>
  </threadedComment>
  <threadedComment ref="D16" dT="2020-03-11T10:40:10.20" personId="{9C86B572-86BF-0A4B-B270-302821105318}" id="{60690C51-12C1-DA4F-9CBC-C366D16E656B}">
    <text>Reusable, 1 every 50 days or so</text>
  </threadedComment>
  <threadedComment ref="C17" dT="2020-03-11T10:40:10.20" personId="{9C86B572-86BF-0A4B-B270-302821105318}" id="{351BB804-E96D-1245-A282-377D3CC692C1}">
    <text>Reusable, 1 every 50 days or so</text>
  </threadedComment>
  <threadedComment ref="D17" dT="2020-03-11T10:40:10.20" personId="{9C86B572-86BF-0A4B-B270-302821105318}" id="{CBAFF2AA-0DD5-6141-8113-3F02AB179019}">
    <text>Reusable, 1 every 50 days or so</text>
  </threadedComment>
  <threadedComment ref="C19" dT="2020-03-11T10:26:20.75" personId="{9C86B572-86BF-0A4B-B270-302821105318}" id="{621FEA0A-50C9-BF41-8A7E-065943FD3484}">
    <text>Intrusive action on patient average is 1 per day</text>
  </threadedComment>
  <threadedComment ref="D20" dT="2020-03-11T10:48:57.95" personId="{9C86B572-86BF-0A4B-B270-302821105318}" id="{DBE1459F-7604-A64E-BE5D-AF6376122C08}">
    <text>One every 20 days assumption</text>
  </threadedComment>
  <threadedComment ref="C24" dT="2020-03-11T11:24:01.65" personId="{9C86B572-86BF-0A4B-B270-302821105318}" id="{81CE408B-73A8-D846-99B3-9935C6695BDC}">
    <text>Fill one sharps/safety box every 10 days</text>
  </threadedComment>
  <threadedComment ref="C26" dT="2020-03-11T11:21:37.12" personId="{9C86B572-86BF-0A4B-B270-302821105318}" id="{F0DEFC83-2060-9E4F-92FB-29CD89B91948}">
    <text>one bag every two days for disposing all used PPE items</text>
  </threadedComment>
  <threadedComment ref="D26" dT="2020-03-11T11:21:37.12" personId="{9C86B572-86BF-0A4B-B270-302821105318}" id="{678CBFCF-0BE9-F847-9224-FBF6B369F2D0}">
    <text>one bag every two days for disposing all used PPE items</text>
  </threadedComment>
  <threadedComment ref="F26" dT="2020-03-11T11:21:37.12" personId="{9C86B572-86BF-0A4B-B270-302821105318}" id="{14215FC3-3627-5048-9E91-54026742B444}">
    <text>one bag every two days for disposing all used PPE items</text>
  </threadedComment>
  <threadedComment ref="C27" dT="2020-03-11T11:26:14.92" personId="{9C86B572-86BF-0A4B-B270-302821105318}" id="{EF456889-C531-4142-A5D0-9F5C8B8AD0D6}">
    <text>one litre of liquid soap every two months</text>
  </threadedComment>
  <threadedComment ref="D27" dT="2020-03-11T11:26:14.92" personId="{9C86B572-86BF-0A4B-B270-302821105318}" id="{F388658A-5F53-F546-B619-D76105A60187}">
    <text>one litre of liquid soap every two months</text>
  </threadedComment>
  <threadedComment ref="F27" dT="2020-03-11T11:26:14.92" personId="{9C86B572-86BF-0A4B-B270-302821105318}" id="{280CDFD7-1A28-8042-9FD4-F48F87B358FA}">
    <text>one litre of liquid soap every two months</text>
  </threadedComment>
  <threadedComment ref="C28" dT="2020-03-11T11:15:57.19" personId="{9C86B572-86BF-0A4B-B270-302821105318}" id="{1B2D5AA5-2A8A-EB41-A777-C6AF52DED7B1}">
    <text>1 litre every 30 days</text>
  </threadedComment>
  <threadedComment ref="D28" dT="2020-03-11T11:15:57.19" personId="{9C86B572-86BF-0A4B-B270-302821105318}" id="{8A8F9EED-34EF-214D-B7ED-38EE6D30C212}">
    <text>1 litre every 30 days</text>
  </threadedComment>
  <threadedComment ref="F28" dT="2020-03-11T11:15:57.19" personId="{9C86B572-86BF-0A4B-B270-302821105318}" id="{460FCBD8-87A5-1E4C-BF44-26B53EC680E0}">
    <text>1 litre every 30 days</text>
  </threadedComment>
  <threadedComment ref="D29" dT="2020-03-11T11:29:27.39" personId="{9C86B572-86BF-0A4B-B270-302821105318}" id="{1EBAC903-FB5D-6046-84FB-AF228F8BB62B}">
    <text xml:space="preserve">
30 grams used per day</text>
  </threadedComment>
  <threadedComment ref="F29" dT="2020-03-11T11:29:27.39" personId="{9C86B572-86BF-0A4B-B270-302821105318}" id="{70A54A42-EDC3-2C49-9FC7-E6A93A59A3A8}">
    <text xml:space="preserve">
30 grams used per day</text>
  </threadedComment>
  <threadedComment ref="E74" dT="2020-03-11T11:15:57.19" personId="{9C86B572-86BF-0A4B-B270-302821105318}" id="{6B0F7002-83EA-8046-84FE-8405D2214EC1}">
    <text>1 litre every 30 days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6" Type="http://schemas.microsoft.com/office/2017/10/relationships/threadedComment" Target="../threadedComments/threadedComment2.xml"/><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pps.who.int/iris/bitstream/handle/10665/331509/WHO-COVID-19-lab_testing-2020.1-eng.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2" Type="http://schemas.openxmlformats.org/officeDocument/2006/relationships/hyperlink" Target="http://apps.who.int/gho/data/node.wrapper.imr?x-id=5333" TargetMode="External"/><Relationship Id="rId1" Type="http://schemas.openxmlformats.org/officeDocument/2006/relationships/hyperlink" Target="http://apps.who.int/gho/data/node.wrapper.imr?x-id=5332" TargetMode="External"/></Relationships>
</file>

<file path=xl/worksheets/_rels/sheet27.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apps.who.int/iris/bitstream/handle/10665/331509/WHO-COVID-19-lab_testing-2020.1-eng.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microsoft.com/office/2017/10/relationships/threadedComment" Target="../threadedComments/threadedComment1.xml"/><Relationship Id="rId5" Type="http://schemas.openxmlformats.org/officeDocument/2006/relationships/comments" Target="../comments2.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L13"/>
  <sheetViews>
    <sheetView showGridLines="0" topLeftCell="A4" zoomScale="85" zoomScaleNormal="85" workbookViewId="0">
      <selection activeCell="H6" sqref="H6:H10"/>
    </sheetView>
  </sheetViews>
  <sheetFormatPr defaultRowHeight="15" x14ac:dyDescent="0.25"/>
  <cols>
    <col min="1" max="1" width="3.28515625" customWidth="1"/>
    <col min="4" max="4" width="27.28515625" customWidth="1"/>
    <col min="5" max="5" width="28.7109375" customWidth="1"/>
    <col min="6" max="6" width="26.28515625" customWidth="1"/>
    <col min="7" max="7" width="29.7109375" customWidth="1"/>
    <col min="8" max="8" width="23.7109375" customWidth="1"/>
  </cols>
  <sheetData>
    <row r="1" spans="1:12" s="138" customFormat="1" ht="8.1" customHeight="1" x14ac:dyDescent="0.25">
      <c r="B1" s="4"/>
      <c r="C1" s="4"/>
    </row>
    <row r="2" spans="1:12" s="155" customFormat="1" ht="35.1" customHeight="1" x14ac:dyDescent="0.35">
      <c r="C2" s="156"/>
      <c r="D2" s="148" t="s">
        <v>1591</v>
      </c>
    </row>
    <row r="3" spans="1:12" s="138" customFormat="1" x14ac:dyDescent="0.25">
      <c r="A3" s="157"/>
      <c r="B3" s="157" t="s">
        <v>1592</v>
      </c>
    </row>
    <row r="4" spans="1:12" s="138" customFormat="1" ht="15.75" thickBot="1" x14ac:dyDescent="0.3">
      <c r="B4" s="157"/>
    </row>
    <row r="5" spans="1:12" s="138" customFormat="1" ht="45" x14ac:dyDescent="0.25">
      <c r="B5" s="680" t="s">
        <v>1332</v>
      </c>
      <c r="C5" s="681"/>
      <c r="D5" s="681"/>
      <c r="E5" s="681"/>
      <c r="F5" s="681"/>
      <c r="G5" s="681"/>
      <c r="H5" s="516" t="s">
        <v>1394</v>
      </c>
      <c r="I5" s="11" t="s">
        <v>1335</v>
      </c>
    </row>
    <row r="6" spans="1:12" s="138" customFormat="1" ht="58.15" customHeight="1" x14ac:dyDescent="0.25">
      <c r="B6" s="682" t="s">
        <v>1371</v>
      </c>
      <c r="C6" s="683"/>
      <c r="D6" s="683"/>
      <c r="E6" s="683"/>
      <c r="F6" s="683"/>
      <c r="G6" s="683"/>
      <c r="H6" s="517"/>
      <c r="I6" s="11">
        <f>IF(ISBLANK(H6),0,1)</f>
        <v>0</v>
      </c>
      <c r="L6" s="11" t="s">
        <v>1333</v>
      </c>
    </row>
    <row r="7" spans="1:12" s="138" customFormat="1" ht="75.599999999999994" customHeight="1" x14ac:dyDescent="0.25">
      <c r="B7" s="684" t="s">
        <v>1372</v>
      </c>
      <c r="C7" s="685"/>
      <c r="D7" s="685"/>
      <c r="E7" s="685"/>
      <c r="F7" s="685"/>
      <c r="G7" s="685"/>
      <c r="H7" s="517"/>
      <c r="I7" s="11">
        <f t="shared" ref="I7:I10" si="0">IF(ISBLANK(H7),0,1)</f>
        <v>0</v>
      </c>
      <c r="L7" s="11"/>
    </row>
    <row r="8" spans="1:12" ht="45" customHeight="1" x14ac:dyDescent="0.25">
      <c r="B8" s="684" t="s">
        <v>1373</v>
      </c>
      <c r="C8" s="685"/>
      <c r="D8" s="685"/>
      <c r="E8" s="685"/>
      <c r="F8" s="685"/>
      <c r="G8" s="685"/>
      <c r="H8" s="517"/>
      <c r="I8" s="11">
        <f t="shared" si="0"/>
        <v>0</v>
      </c>
    </row>
    <row r="9" spans="1:12" s="138" customFormat="1" ht="60.6" customHeight="1" x14ac:dyDescent="0.25">
      <c r="B9" s="684" t="s">
        <v>1374</v>
      </c>
      <c r="C9" s="685"/>
      <c r="D9" s="685"/>
      <c r="E9" s="685"/>
      <c r="F9" s="685"/>
      <c r="G9" s="685"/>
      <c r="H9" s="517"/>
      <c r="I9" s="11">
        <f t="shared" si="0"/>
        <v>0</v>
      </c>
    </row>
    <row r="10" spans="1:12" ht="34.15" customHeight="1" thickBot="1" x14ac:dyDescent="0.3">
      <c r="B10" s="686" t="s">
        <v>1375</v>
      </c>
      <c r="C10" s="687"/>
      <c r="D10" s="687"/>
      <c r="E10" s="687"/>
      <c r="F10" s="687"/>
      <c r="G10" s="687"/>
      <c r="H10" s="517"/>
      <c r="I10" s="11">
        <f t="shared" si="0"/>
        <v>0</v>
      </c>
    </row>
    <row r="11" spans="1:12" x14ac:dyDescent="0.25">
      <c r="B11" s="138"/>
      <c r="I11" s="11">
        <f>SUM(I6:I10)</f>
        <v>0</v>
      </c>
    </row>
    <row r="13" spans="1:12" x14ac:dyDescent="0.25">
      <c r="B13" s="4" t="s">
        <v>1334</v>
      </c>
      <c r="G13" s="678" t="str">
        <f>IF(I11=5,"COMPLETE, please proceed to user dashboard","Please review disclaimer")</f>
        <v>Please review disclaimer</v>
      </c>
      <c r="H13" s="679"/>
    </row>
  </sheetData>
  <sheetProtection algorithmName="SHA-512" hashValue="AS0QRyEW/Nh0I8pZdo0dLznY9RCxBbagMFEzgtHoJWU4k+wqd1GxfabMuY5EQAMh9I0F8s0sfg/iYel3YNxaYA==" saltValue="dFfRQOKH8uDXW/nNvJ/gZQ==" spinCount="100000" sheet="1" objects="1" scenarios="1"/>
  <mergeCells count="7">
    <mergeCell ref="G13:H13"/>
    <mergeCell ref="B5:G5"/>
    <mergeCell ref="B6:G6"/>
    <mergeCell ref="B8:G8"/>
    <mergeCell ref="B10:G10"/>
    <mergeCell ref="B7:G7"/>
    <mergeCell ref="B9:G9"/>
  </mergeCells>
  <conditionalFormatting sqref="G13">
    <cfRule type="expression" dxfId="47" priority="1">
      <formula>IF(G13="Please review disclaimer",TRUE,FALSE)</formula>
    </cfRule>
  </conditionalFormatting>
  <dataValidations count="1">
    <dataValidation type="list" allowBlank="1" showInputMessage="1" showErrorMessage="1" sqref="H6:H10">
      <formula1>$L$6:$L$7</formula1>
    </dataValidation>
  </dataValidation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2"/>
  <sheetViews>
    <sheetView showGridLines="0" zoomScaleNormal="100" workbookViewId="0"/>
  </sheetViews>
  <sheetFormatPr defaultColWidth="8.5703125" defaultRowHeight="15" x14ac:dyDescent="0.25"/>
  <sheetData>
    <row r="2" spans="2:2" x14ac:dyDescent="0.25">
      <c r="B2" s="31" t="s">
        <v>774</v>
      </c>
    </row>
  </sheetData>
  <sheetProtection algorithmName="SHA-512" hashValue="zMjnqvv2+V5r0735JQyjEi6fg5VAnKsQsw6QGKTNwWHIJmcjUC037IZbpzDrQBBIg4MvikQi95maOQJ5wpVQqQ==" saltValue="l1em07ghqgBFtUjEth6rrg=="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B2:S45"/>
  <sheetViews>
    <sheetView showGridLines="0" zoomScale="70" zoomScaleNormal="70" workbookViewId="0">
      <selection activeCell="H27" sqref="H27"/>
    </sheetView>
  </sheetViews>
  <sheetFormatPr defaultColWidth="8.5703125" defaultRowHeight="15" x14ac:dyDescent="0.25"/>
  <cols>
    <col min="1" max="1" width="3.42578125" customWidth="1"/>
    <col min="2" max="2" width="42.42578125" customWidth="1"/>
    <col min="3" max="3" width="23.5703125" bestFit="1" customWidth="1"/>
    <col min="4" max="4" width="43.42578125" customWidth="1"/>
  </cols>
  <sheetData>
    <row r="2" spans="2:19" s="29" customFormat="1" ht="18.75" x14ac:dyDescent="0.3">
      <c r="B2" s="29" t="s">
        <v>1175</v>
      </c>
    </row>
    <row r="3" spans="2:19" x14ac:dyDescent="0.25">
      <c r="M3" s="4"/>
    </row>
    <row r="4" spans="2:19" s="16" customFormat="1" x14ac:dyDescent="0.25">
      <c r="B4" s="15" t="s">
        <v>286</v>
      </c>
    </row>
    <row r="5" spans="2:19" x14ac:dyDescent="0.25">
      <c r="B5" t="s">
        <v>287</v>
      </c>
      <c r="C5" s="12"/>
    </row>
    <row r="6" spans="2:19" x14ac:dyDescent="0.25">
      <c r="B6" t="s">
        <v>288</v>
      </c>
      <c r="C6" s="13"/>
    </row>
    <row r="7" spans="2:19" x14ac:dyDescent="0.25">
      <c r="B7" s="6" t="s">
        <v>289</v>
      </c>
      <c r="C7" s="14"/>
    </row>
    <row r="9" spans="2:19" s="21" customFormat="1" x14ac:dyDescent="0.25">
      <c r="B9" s="19" t="s">
        <v>304</v>
      </c>
      <c r="C9" s="20"/>
      <c r="D9" s="19"/>
    </row>
    <row r="10" spans="2:19" s="8" customFormat="1" x14ac:dyDescent="0.25">
      <c r="B10" s="27" t="s">
        <v>290</v>
      </c>
      <c r="C10" s="26" t="s">
        <v>303</v>
      </c>
      <c r="D10" s="27" t="s">
        <v>293</v>
      </c>
      <c r="M10"/>
      <c r="N10"/>
      <c r="O10"/>
      <c r="P10"/>
      <c r="Q10"/>
      <c r="R10"/>
      <c r="S10"/>
    </row>
    <row r="11" spans="2:19" x14ac:dyDescent="0.25">
      <c r="B11" t="s">
        <v>284</v>
      </c>
      <c r="C11" s="211">
        <v>0.8</v>
      </c>
      <c r="D11" t="s">
        <v>292</v>
      </c>
    </row>
    <row r="12" spans="2:19" x14ac:dyDescent="0.25">
      <c r="B12" t="s">
        <v>283</v>
      </c>
      <c r="C12" s="211">
        <v>0.15</v>
      </c>
      <c r="D12" t="s">
        <v>294</v>
      </c>
    </row>
    <row r="13" spans="2:19" x14ac:dyDescent="0.25">
      <c r="B13" t="s">
        <v>285</v>
      </c>
      <c r="C13" s="211">
        <v>0.05</v>
      </c>
      <c r="D13" t="s">
        <v>295</v>
      </c>
    </row>
    <row r="15" spans="2:19" x14ac:dyDescent="0.25">
      <c r="B15" s="28" t="s">
        <v>304</v>
      </c>
      <c r="C15" s="32" t="s">
        <v>346</v>
      </c>
      <c r="D15" s="28" t="s">
        <v>293</v>
      </c>
      <c r="M15" s="25"/>
      <c r="N15" s="17"/>
      <c r="O15" s="17"/>
      <c r="P15" s="17"/>
      <c r="Q15" s="17"/>
      <c r="R15" s="17"/>
    </row>
    <row r="16" spans="2:19" x14ac:dyDescent="0.25">
      <c r="B16" s="6" t="s">
        <v>309</v>
      </c>
      <c r="C16" s="212">
        <v>1</v>
      </c>
      <c r="D16" s="3" t="s">
        <v>786</v>
      </c>
      <c r="M16" s="25"/>
      <c r="N16" s="17"/>
      <c r="O16" s="17"/>
      <c r="P16" s="17"/>
      <c r="Q16" s="17"/>
      <c r="R16" s="17"/>
    </row>
    <row r="17" spans="2:18" x14ac:dyDescent="0.25">
      <c r="B17" s="6" t="s">
        <v>310</v>
      </c>
      <c r="C17" s="212">
        <v>2</v>
      </c>
      <c r="D17" s="3" t="s">
        <v>787</v>
      </c>
      <c r="M17" s="25"/>
      <c r="N17" s="17"/>
      <c r="O17" s="17"/>
      <c r="P17" s="17"/>
      <c r="Q17" s="17"/>
      <c r="R17" s="17"/>
    </row>
    <row r="18" spans="2:18" x14ac:dyDescent="0.25">
      <c r="M18" s="25"/>
      <c r="N18" s="17"/>
      <c r="O18" s="17"/>
      <c r="P18" s="17"/>
      <c r="Q18" s="17"/>
      <c r="R18" s="17"/>
    </row>
    <row r="19" spans="2:18" s="21" customFormat="1" x14ac:dyDescent="0.25">
      <c r="B19" s="19" t="s">
        <v>782</v>
      </c>
      <c r="M19" s="22"/>
      <c r="N19" s="23"/>
      <c r="O19" s="23"/>
      <c r="P19" s="23"/>
      <c r="Q19" s="23"/>
      <c r="R19" s="23"/>
    </row>
    <row r="20" spans="2:18" x14ac:dyDescent="0.25">
      <c r="B20" s="30"/>
      <c r="C20" s="7"/>
      <c r="D20" s="7"/>
      <c r="M20" s="25"/>
      <c r="N20" s="17"/>
      <c r="O20" s="17"/>
      <c r="P20" s="17"/>
      <c r="Q20" s="17"/>
      <c r="R20" s="17"/>
    </row>
    <row r="21" spans="2:18" x14ac:dyDescent="0.25">
      <c r="B21" s="28" t="s">
        <v>304</v>
      </c>
      <c r="C21" s="32" t="s">
        <v>346</v>
      </c>
      <c r="D21" s="28" t="s">
        <v>293</v>
      </c>
      <c r="M21" s="25"/>
      <c r="N21" s="17"/>
      <c r="O21" s="17"/>
      <c r="P21" s="17"/>
      <c r="Q21" s="17"/>
      <c r="R21" s="17"/>
    </row>
    <row r="22" spans="2:18" x14ac:dyDescent="0.25">
      <c r="B22" s="6" t="s">
        <v>348</v>
      </c>
      <c r="C22" s="212">
        <v>2</v>
      </c>
      <c r="D22" s="6" t="s">
        <v>776</v>
      </c>
      <c r="M22" s="25"/>
      <c r="N22" s="17"/>
      <c r="O22" s="17"/>
      <c r="P22" s="17"/>
      <c r="Q22" s="17"/>
      <c r="R22" s="17"/>
    </row>
    <row r="23" spans="2:18" x14ac:dyDescent="0.25">
      <c r="B23" s="31"/>
      <c r="C23" s="213"/>
      <c r="M23" s="25"/>
      <c r="N23" s="17"/>
      <c r="O23" s="17"/>
      <c r="P23" s="17"/>
      <c r="Q23" s="17"/>
      <c r="R23" s="17"/>
    </row>
    <row r="24" spans="2:18" x14ac:dyDescent="0.25">
      <c r="B24" s="6" t="s">
        <v>796</v>
      </c>
      <c r="C24" s="212">
        <v>1</v>
      </c>
      <c r="D24" t="s">
        <v>776</v>
      </c>
      <c r="M24" s="25"/>
      <c r="N24" s="17"/>
      <c r="O24" s="17"/>
      <c r="P24" s="17"/>
      <c r="Q24" s="17"/>
      <c r="R24" s="17"/>
    </row>
    <row r="25" spans="2:18" s="21" customFormat="1" x14ac:dyDescent="0.25">
      <c r="B25" s="19" t="s">
        <v>791</v>
      </c>
      <c r="C25" s="214"/>
      <c r="M25" s="22"/>
      <c r="N25" s="23"/>
      <c r="O25" s="23"/>
      <c r="P25" s="23"/>
      <c r="Q25" s="23"/>
      <c r="R25" s="23"/>
    </row>
    <row r="26" spans="2:18" s="8" customFormat="1" x14ac:dyDescent="0.25">
      <c r="B26" s="40"/>
      <c r="C26" s="215"/>
      <c r="M26" s="25"/>
      <c r="N26" s="17"/>
      <c r="O26" s="17"/>
      <c r="P26" s="17"/>
      <c r="Q26" s="17"/>
      <c r="R26" s="17"/>
    </row>
    <row r="27" spans="2:18" ht="45" x14ac:dyDescent="0.25">
      <c r="B27" s="1" t="s">
        <v>841</v>
      </c>
      <c r="C27" s="216">
        <v>3</v>
      </c>
      <c r="D27" s="3" t="s">
        <v>783</v>
      </c>
      <c r="M27" s="25"/>
      <c r="N27" s="17"/>
      <c r="O27" s="17"/>
      <c r="P27" s="17"/>
      <c r="Q27" s="17"/>
      <c r="R27" s="17"/>
    </row>
    <row r="28" spans="2:18" x14ac:dyDescent="0.25">
      <c r="B28" s="31"/>
      <c r="C28" s="213"/>
    </row>
    <row r="29" spans="2:18" ht="30" x14ac:dyDescent="0.25">
      <c r="B29" s="72" t="s">
        <v>739</v>
      </c>
      <c r="C29" s="212">
        <v>4000</v>
      </c>
      <c r="D29" t="s">
        <v>356</v>
      </c>
      <c r="M29" s="25"/>
      <c r="N29" s="17"/>
      <c r="O29" s="17"/>
      <c r="P29" s="17"/>
      <c r="Q29" s="17"/>
      <c r="R29" s="17"/>
    </row>
    <row r="30" spans="2:18" x14ac:dyDescent="0.25">
      <c r="B30" s="31"/>
      <c r="C30" s="213"/>
      <c r="M30" s="25"/>
      <c r="N30" s="17"/>
      <c r="O30" s="17"/>
      <c r="P30" s="17"/>
      <c r="Q30" s="17"/>
      <c r="R30" s="17"/>
    </row>
    <row r="31" spans="2:18" x14ac:dyDescent="0.25">
      <c r="B31" s="6" t="s">
        <v>780</v>
      </c>
      <c r="C31" s="217">
        <v>10000000000</v>
      </c>
      <c r="D31" s="3" t="s">
        <v>812</v>
      </c>
      <c r="M31" s="25"/>
      <c r="N31" s="17"/>
      <c r="O31" s="17"/>
      <c r="P31" s="17"/>
      <c r="Q31" s="17"/>
      <c r="R31" s="17"/>
    </row>
    <row r="32" spans="2:18" x14ac:dyDescent="0.25">
      <c r="B32" s="31"/>
      <c r="C32" s="213"/>
      <c r="M32" s="25"/>
      <c r="N32" s="17"/>
      <c r="O32" s="17"/>
      <c r="P32" s="17"/>
      <c r="Q32" s="17"/>
      <c r="R32" s="17"/>
    </row>
    <row r="33" spans="2:18" x14ac:dyDescent="0.25">
      <c r="B33" s="6" t="s">
        <v>357</v>
      </c>
      <c r="C33" s="211">
        <v>0.1</v>
      </c>
      <c r="D33" s="8" t="s">
        <v>784</v>
      </c>
      <c r="M33" s="25"/>
      <c r="N33" s="17"/>
      <c r="O33" s="17"/>
      <c r="P33" s="17"/>
      <c r="Q33" s="17"/>
      <c r="R33" s="17"/>
    </row>
    <row r="34" spans="2:18" x14ac:dyDescent="0.25">
      <c r="B34" s="6"/>
      <c r="C34" s="218"/>
      <c r="M34" s="25"/>
      <c r="N34" s="17"/>
      <c r="O34" s="17"/>
      <c r="P34" s="17"/>
      <c r="Q34" s="17"/>
      <c r="R34" s="17"/>
    </row>
    <row r="35" spans="2:18" x14ac:dyDescent="0.25">
      <c r="B35" s="6" t="s">
        <v>735</v>
      </c>
      <c r="C35" s="219">
        <v>3</v>
      </c>
      <c r="D35" t="s">
        <v>737</v>
      </c>
      <c r="M35" s="25"/>
      <c r="N35" s="17"/>
      <c r="O35" s="17"/>
      <c r="P35" s="17"/>
      <c r="Q35" s="17"/>
      <c r="R35" s="17"/>
    </row>
    <row r="36" spans="2:18" x14ac:dyDescent="0.25">
      <c r="B36" s="6"/>
      <c r="C36" s="220"/>
      <c r="M36" s="25"/>
      <c r="N36" s="17"/>
      <c r="O36" s="17"/>
      <c r="P36" s="17"/>
      <c r="Q36" s="17"/>
      <c r="R36" s="17"/>
    </row>
    <row r="37" spans="2:18" ht="30" x14ac:dyDescent="0.25">
      <c r="B37" s="72" t="s">
        <v>842</v>
      </c>
      <c r="C37" s="219">
        <v>1</v>
      </c>
      <c r="D37" t="s">
        <v>738</v>
      </c>
      <c r="M37" s="25"/>
      <c r="N37" s="17"/>
      <c r="O37" s="17"/>
      <c r="P37" s="17"/>
      <c r="Q37" s="17"/>
      <c r="R37" s="17"/>
    </row>
    <row r="38" spans="2:18" x14ac:dyDescent="0.25">
      <c r="B38" s="6"/>
      <c r="C38" s="220"/>
      <c r="M38" s="25"/>
      <c r="N38" s="17"/>
      <c r="O38" s="17"/>
      <c r="P38" s="17"/>
      <c r="Q38" s="17"/>
      <c r="R38" s="17"/>
    </row>
    <row r="39" spans="2:18" x14ac:dyDescent="0.25">
      <c r="B39" s="6" t="s">
        <v>740</v>
      </c>
      <c r="C39" s="221">
        <v>0.1</v>
      </c>
      <c r="D39" s="6" t="s">
        <v>788</v>
      </c>
      <c r="M39" s="25"/>
      <c r="N39" s="17"/>
      <c r="O39" s="17"/>
      <c r="P39" s="17"/>
      <c r="Q39" s="17"/>
      <c r="R39" s="17"/>
    </row>
    <row r="40" spans="2:18" x14ac:dyDescent="0.25">
      <c r="B40" s="31"/>
      <c r="M40" s="25"/>
      <c r="N40" s="17"/>
      <c r="O40" s="17"/>
      <c r="P40" s="17"/>
      <c r="Q40" s="17"/>
      <c r="R40" s="17"/>
    </row>
    <row r="41" spans="2:18" x14ac:dyDescent="0.25">
      <c r="C41" s="28" t="s">
        <v>828</v>
      </c>
    </row>
    <row r="42" spans="2:18" x14ac:dyDescent="0.25">
      <c r="B42" t="s">
        <v>732</v>
      </c>
      <c r="C42" s="129">
        <f>250/(1+$C$39)</f>
        <v>227.27272727272725</v>
      </c>
      <c r="D42" s="31"/>
    </row>
    <row r="43" spans="2:18" x14ac:dyDescent="0.25">
      <c r="B43" t="s">
        <v>731</v>
      </c>
      <c r="C43" s="129">
        <f>94/(1+$C$39)</f>
        <v>85.454545454545453</v>
      </c>
      <c r="D43" s="31"/>
    </row>
    <row r="44" spans="2:18" x14ac:dyDescent="0.25">
      <c r="B44" t="s">
        <v>733</v>
      </c>
      <c r="C44" s="129">
        <f>94/(1+$C$39)</f>
        <v>85.454545454545453</v>
      </c>
      <c r="D44" s="31"/>
    </row>
    <row r="45" spans="2:18" x14ac:dyDescent="0.25">
      <c r="B45" t="s">
        <v>734</v>
      </c>
      <c r="C45" s="129">
        <f>100/(1+$C$39)</f>
        <v>90.909090909090907</v>
      </c>
    </row>
  </sheetData>
  <sheetProtection algorithmName="SHA-512" hashValue="RDWWrbxMJ6W5D2rglhRKd1qwTN8Ro8Hht8fR9Au+vDlVmnGV/Cu4u91A/BCVpsGG5GDtQ0FmI3vmqQxqT38UqQ==" saltValue="tPXV3+CqJL0v197+mFebPg==" spinCount="100000"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2:AG107"/>
  <sheetViews>
    <sheetView showGridLines="0" zoomScale="70" zoomScaleNormal="70" workbookViewId="0">
      <pane ySplit="11" topLeftCell="A12" activePane="bottomLeft" state="frozen"/>
      <selection activeCell="B2" sqref="B2"/>
      <selection pane="bottomLeft" activeCell="B12" sqref="B12"/>
    </sheetView>
  </sheetViews>
  <sheetFormatPr defaultColWidth="8.5703125" defaultRowHeight="15" outlineLevelCol="1" x14ac:dyDescent="0.25"/>
  <cols>
    <col min="1" max="1" width="4.42578125" customWidth="1"/>
    <col min="2" max="2" width="51.42578125" bestFit="1" customWidth="1"/>
    <col min="3" max="3" width="51.42578125" hidden="1" customWidth="1" outlineLevel="1"/>
    <col min="4" max="4" width="17.42578125" customWidth="1" collapsed="1"/>
    <col min="5" max="7" width="15.42578125" bestFit="1" customWidth="1"/>
    <col min="8" max="9" width="15.42578125" customWidth="1"/>
    <col min="10" max="10" width="17" customWidth="1"/>
    <col min="11" max="11" width="13.42578125" customWidth="1"/>
    <col min="13" max="13" width="16.42578125" style="270" customWidth="1"/>
    <col min="14" max="14" width="14.7109375" style="270" customWidth="1"/>
    <col min="15" max="15" width="15.5703125" style="270" customWidth="1"/>
    <col min="16" max="16" width="14.7109375" style="270" customWidth="1"/>
    <col min="17" max="17" width="17.5703125" style="270" customWidth="1"/>
    <col min="18" max="18" width="15.7109375" style="270" customWidth="1"/>
  </cols>
  <sheetData>
    <row r="2" spans="1:33" s="29" customFormat="1" ht="18.75" x14ac:dyDescent="0.3">
      <c r="B2" s="29" t="s">
        <v>1176</v>
      </c>
      <c r="M2" s="268"/>
      <c r="N2" s="268"/>
      <c r="O2" s="268"/>
      <c r="P2" s="268"/>
      <c r="Q2" s="268"/>
      <c r="R2" s="268"/>
    </row>
    <row r="4" spans="1:33" x14ac:dyDescent="0.25">
      <c r="A4" s="16"/>
      <c r="B4" s="15" t="s">
        <v>286</v>
      </c>
      <c r="C4" s="15"/>
      <c r="D4" s="15"/>
      <c r="E4" s="16"/>
      <c r="F4" s="16"/>
      <c r="G4" s="16"/>
      <c r="H4" s="16"/>
      <c r="I4" s="16"/>
      <c r="J4" s="16"/>
      <c r="K4" s="16"/>
      <c r="L4" s="16"/>
      <c r="M4" s="269"/>
      <c r="N4" s="269"/>
      <c r="O4" s="269"/>
      <c r="P4" s="269"/>
      <c r="Q4" s="269"/>
      <c r="R4" s="269"/>
      <c r="S4" s="16"/>
      <c r="T4" s="16"/>
      <c r="U4" s="16"/>
      <c r="V4" s="16"/>
      <c r="W4" s="16"/>
      <c r="X4" s="16"/>
      <c r="Y4" s="16"/>
      <c r="Z4" s="16"/>
      <c r="AA4" s="16"/>
      <c r="AB4" s="16"/>
      <c r="AC4" s="16"/>
      <c r="AD4" s="16"/>
      <c r="AE4" s="16"/>
      <c r="AF4" s="16"/>
      <c r="AG4" s="16"/>
    </row>
    <row r="5" spans="1:33" x14ac:dyDescent="0.25">
      <c r="B5" t="s">
        <v>287</v>
      </c>
      <c r="E5" s="12"/>
      <c r="F5" s="89"/>
    </row>
    <row r="6" spans="1:33" x14ac:dyDescent="0.25">
      <c r="B6" t="s">
        <v>288</v>
      </c>
      <c r="E6" s="13"/>
      <c r="F6" s="89"/>
    </row>
    <row r="7" spans="1:33" x14ac:dyDescent="0.25">
      <c r="B7" s="6" t="s">
        <v>289</v>
      </c>
      <c r="C7" s="6"/>
      <c r="D7" s="6"/>
      <c r="E7" s="14"/>
      <c r="F7" s="89"/>
      <c r="P7" s="271"/>
      <c r="Q7" s="271"/>
      <c r="R7" s="271"/>
      <c r="S7" s="89"/>
      <c r="T7" s="89"/>
      <c r="U7" s="89"/>
      <c r="V7" s="89"/>
      <c r="W7" s="89"/>
      <c r="X7" s="89"/>
      <c r="Y7" s="89"/>
      <c r="Z7" s="89"/>
      <c r="AA7" s="89"/>
      <c r="AB7" s="89"/>
      <c r="AC7" s="89"/>
      <c r="AD7" s="89"/>
      <c r="AE7" s="89"/>
      <c r="AF7" s="89"/>
      <c r="AG7" s="89"/>
    </row>
    <row r="8" spans="1:33" x14ac:dyDescent="0.25">
      <c r="P8" s="271"/>
      <c r="Q8" s="271"/>
      <c r="R8" s="271"/>
      <c r="S8" s="89"/>
      <c r="T8" s="89"/>
      <c r="U8" s="89"/>
      <c r="V8" s="89"/>
      <c r="W8" s="89"/>
      <c r="X8" s="89"/>
      <c r="Y8" s="89"/>
      <c r="Z8" s="89"/>
      <c r="AA8" s="89"/>
      <c r="AB8" s="89"/>
      <c r="AC8" s="89"/>
      <c r="AD8" s="89"/>
      <c r="AE8" s="89"/>
      <c r="AF8" s="89"/>
      <c r="AG8" s="89"/>
    </row>
    <row r="9" spans="1:33" s="33" customFormat="1" x14ac:dyDescent="0.25">
      <c r="B9" s="35"/>
      <c r="C9" s="35"/>
      <c r="M9" s="272"/>
      <c r="N9" s="272"/>
      <c r="O9" s="272"/>
      <c r="P9" s="272"/>
      <c r="Q9" s="272"/>
      <c r="R9" s="273"/>
      <c r="S9" s="36"/>
      <c r="T9" s="37"/>
      <c r="U9" s="37"/>
      <c r="V9" s="37"/>
      <c r="W9" s="37"/>
      <c r="X9" s="37"/>
    </row>
    <row r="10" spans="1:33" x14ac:dyDescent="0.25">
      <c r="B10" s="61" t="s">
        <v>315</v>
      </c>
      <c r="C10" s="105" t="s">
        <v>682</v>
      </c>
      <c r="D10" s="58" t="s">
        <v>324</v>
      </c>
      <c r="E10" s="58" t="s">
        <v>339</v>
      </c>
      <c r="F10" s="58" t="s">
        <v>340</v>
      </c>
      <c r="G10" s="58" t="s">
        <v>341</v>
      </c>
      <c r="H10" s="58" t="s">
        <v>342</v>
      </c>
      <c r="I10" s="58" t="s">
        <v>354</v>
      </c>
      <c r="M10" s="270" t="s">
        <v>736</v>
      </c>
    </row>
    <row r="11" spans="1:33" ht="15.75" thickBot="1" x14ac:dyDescent="0.3">
      <c r="B11" s="60"/>
      <c r="C11" s="60"/>
      <c r="D11" s="42" t="s">
        <v>271</v>
      </c>
      <c r="E11" s="42" t="s">
        <v>272</v>
      </c>
      <c r="F11" s="42" t="s">
        <v>313</v>
      </c>
      <c r="G11" s="42" t="s">
        <v>314</v>
      </c>
      <c r="H11" s="56" t="s">
        <v>311</v>
      </c>
      <c r="I11" s="56" t="s">
        <v>353</v>
      </c>
      <c r="J11" s="40" t="s">
        <v>319</v>
      </c>
      <c r="K11" s="71" t="s">
        <v>807</v>
      </c>
      <c r="L11" s="40"/>
      <c r="M11" s="310" t="s">
        <v>271</v>
      </c>
      <c r="N11" s="310" t="s">
        <v>272</v>
      </c>
      <c r="O11" s="310" t="s">
        <v>313</v>
      </c>
      <c r="P11" s="310" t="s">
        <v>314</v>
      </c>
      <c r="Q11" s="311" t="s">
        <v>311</v>
      </c>
      <c r="R11" s="311" t="s">
        <v>353</v>
      </c>
    </row>
    <row r="12" spans="1:33" x14ac:dyDescent="0.25">
      <c r="B12" s="49" t="s">
        <v>281</v>
      </c>
      <c r="C12" s="106"/>
      <c r="D12" s="43"/>
      <c r="E12" s="44"/>
      <c r="F12" s="44"/>
      <c r="G12" s="44"/>
      <c r="H12" s="44"/>
      <c r="I12" s="44"/>
      <c r="J12" s="40"/>
      <c r="K12" s="303"/>
      <c r="L12" s="40"/>
      <c r="M12" s="274"/>
      <c r="N12" s="274"/>
      <c r="O12" s="274"/>
      <c r="P12" s="274"/>
      <c r="Q12" s="274"/>
      <c r="R12" s="275"/>
    </row>
    <row r="13" spans="1:33" x14ac:dyDescent="0.25">
      <c r="B13" s="50" t="s">
        <v>264</v>
      </c>
      <c r="C13" s="107"/>
      <c r="D13" s="47"/>
      <c r="E13" s="48"/>
      <c r="F13" s="48"/>
      <c r="G13" s="48"/>
      <c r="H13" s="48"/>
      <c r="I13" s="48"/>
      <c r="J13" s="40"/>
      <c r="K13" s="303"/>
      <c r="L13" s="40"/>
      <c r="M13" s="276"/>
      <c r="N13" s="276"/>
      <c r="O13" s="276"/>
      <c r="P13" s="276"/>
      <c r="Q13" s="276"/>
      <c r="R13" s="277"/>
    </row>
    <row r="14" spans="1:33" x14ac:dyDescent="0.25">
      <c r="B14" s="51" t="str">
        <f>'Patient Care Equip'!D34</f>
        <v>Gloves, heavy duty</v>
      </c>
      <c r="C14" s="51" t="str">
        <f>CONCATENATE($B$12,$B14)</f>
        <v>In-patient careGloves, heavy duty</v>
      </c>
      <c r="D14" s="222">
        <v>0</v>
      </c>
      <c r="E14" s="222">
        <f>1/10</f>
        <v>0.1</v>
      </c>
      <c r="F14" s="223">
        <v>0</v>
      </c>
      <c r="G14" s="223">
        <v>0</v>
      </c>
      <c r="H14" s="224">
        <v>0</v>
      </c>
      <c r="I14" s="224">
        <v>0</v>
      </c>
      <c r="J14" s="7" t="s">
        <v>320</v>
      </c>
      <c r="K14" s="304" t="str">
        <f>INDEX('Patient Care Equip'!$E$17:$E$41,MATCH($B14,'Patient Care Equip'!$D$17:$D$41,0))</f>
        <v>Yes</v>
      </c>
      <c r="L14" s="7"/>
      <c r="M14" s="278"/>
      <c r="N14" s="278"/>
      <c r="O14" s="279"/>
      <c r="P14" s="279"/>
      <c r="Q14" s="280"/>
      <c r="R14" s="281"/>
    </row>
    <row r="15" spans="1:33" x14ac:dyDescent="0.25">
      <c r="B15" s="52" t="str">
        <f>'Patient Care Equip'!D35</f>
        <v>Gloves, examination</v>
      </c>
      <c r="C15" s="51" t="str">
        <f t="shared" ref="C15:C66" si="0">CONCATENATE($B$12,$B15)</f>
        <v>In-patient careGloves, examination</v>
      </c>
      <c r="D15" s="225">
        <v>6</v>
      </c>
      <c r="E15" s="225">
        <v>0</v>
      </c>
      <c r="F15" s="225">
        <v>4</v>
      </c>
      <c r="G15" s="225">
        <v>4</v>
      </c>
      <c r="H15" s="226">
        <v>0</v>
      </c>
      <c r="I15" s="224">
        <v>0</v>
      </c>
      <c r="J15" s="7" t="s">
        <v>320</v>
      </c>
      <c r="K15" s="304" t="str">
        <f>INDEX('Patient Care Equip'!$E$17:$E$41,MATCH($B15,'Patient Care Equip'!$D$17:$D$41,0))</f>
        <v>No</v>
      </c>
      <c r="L15" s="34"/>
      <c r="M15" s="282"/>
      <c r="N15" s="282"/>
      <c r="O15" s="282"/>
      <c r="P15" s="282"/>
      <c r="Q15" s="283"/>
      <c r="R15" s="281"/>
    </row>
    <row r="16" spans="1:33" x14ac:dyDescent="0.25">
      <c r="B16" s="52" t="str">
        <f>'Patient Care Equip'!D36</f>
        <v>Gloves, surgical</v>
      </c>
      <c r="C16" s="51" t="str">
        <f t="shared" si="0"/>
        <v>In-patient careGloves, surgical</v>
      </c>
      <c r="D16" s="225">
        <v>1</v>
      </c>
      <c r="E16" s="225">
        <v>0</v>
      </c>
      <c r="F16" s="225">
        <v>0</v>
      </c>
      <c r="G16" s="225">
        <v>0</v>
      </c>
      <c r="H16" s="226">
        <v>0</v>
      </c>
      <c r="I16" s="224">
        <v>0</v>
      </c>
      <c r="J16" s="34" t="s">
        <v>320</v>
      </c>
      <c r="K16" s="304" t="str">
        <f>INDEX('Patient Care Equip'!$E$17:$E$41,MATCH($B16,'Patient Care Equip'!$D$17:$D$41,0))</f>
        <v>No</v>
      </c>
      <c r="M16" s="282"/>
      <c r="N16" s="282"/>
      <c r="O16" s="282"/>
      <c r="P16" s="282"/>
      <c r="Q16" s="283"/>
      <c r="R16" s="281"/>
    </row>
    <row r="17" spans="2:18" x14ac:dyDescent="0.25">
      <c r="B17" s="52" t="str">
        <f>'Patient Care Equip'!D38</f>
        <v>Face shield</v>
      </c>
      <c r="C17" s="51" t="str">
        <f t="shared" si="0"/>
        <v>In-patient careFace shield</v>
      </c>
      <c r="D17" s="225">
        <v>1</v>
      </c>
      <c r="E17" s="225">
        <v>0</v>
      </c>
      <c r="F17" s="225">
        <v>0</v>
      </c>
      <c r="G17" s="225">
        <v>0</v>
      </c>
      <c r="H17" s="226">
        <v>0</v>
      </c>
      <c r="I17" s="224">
        <v>0</v>
      </c>
      <c r="J17" s="34" t="s">
        <v>321</v>
      </c>
      <c r="K17" s="304" t="str">
        <f>INDEX('Patient Care Equip'!$E$17:$E$41,MATCH($B17,'Patient Care Equip'!$D$17:$D$41,0))</f>
        <v>No</v>
      </c>
      <c r="M17" s="282"/>
      <c r="N17" s="282"/>
      <c r="O17" s="282"/>
      <c r="P17" s="282"/>
      <c r="Q17" s="283"/>
      <c r="R17" s="281"/>
    </row>
    <row r="18" spans="2:18" x14ac:dyDescent="0.25">
      <c r="B18" s="52" t="str">
        <f>'Patient Care Equip'!D39</f>
        <v>Mask, particulate respirator</v>
      </c>
      <c r="C18" s="51" t="str">
        <f t="shared" si="0"/>
        <v>In-patient careMask, particulate respirator</v>
      </c>
      <c r="D18" s="225">
        <v>1</v>
      </c>
      <c r="E18" s="225">
        <v>2</v>
      </c>
      <c r="F18" s="225">
        <v>0</v>
      </c>
      <c r="G18" s="225">
        <v>0</v>
      </c>
      <c r="H18" s="226">
        <v>0</v>
      </c>
      <c r="I18" s="224">
        <v>0</v>
      </c>
      <c r="J18" s="34" t="s">
        <v>321</v>
      </c>
      <c r="K18" s="304" t="str">
        <f>INDEX('Patient Care Equip'!$E$17:$E$41,MATCH($B18,'Patient Care Equip'!$D$17:$D$41,0))</f>
        <v>No</v>
      </c>
      <c r="M18" s="282"/>
      <c r="N18" s="282"/>
      <c r="O18" s="282"/>
      <c r="P18" s="282"/>
      <c r="Q18" s="283"/>
      <c r="R18" s="281"/>
    </row>
    <row r="19" spans="2:18" x14ac:dyDescent="0.25">
      <c r="B19" s="52" t="str">
        <f>'Patient Care Equip'!D40</f>
        <v>Mask, medical</v>
      </c>
      <c r="C19" s="51" t="str">
        <f t="shared" si="0"/>
        <v>In-patient careMask, medical</v>
      </c>
      <c r="D19" s="225">
        <v>4</v>
      </c>
      <c r="E19" s="225">
        <v>0</v>
      </c>
      <c r="F19" s="225">
        <v>2</v>
      </c>
      <c r="G19" s="225">
        <v>2</v>
      </c>
      <c r="H19" s="226">
        <v>0</v>
      </c>
      <c r="I19" s="224">
        <v>0</v>
      </c>
      <c r="J19" s="34" t="s">
        <v>321</v>
      </c>
      <c r="K19" s="304" t="str">
        <f>INDEX('Patient Care Equip'!$E$17:$E$41,MATCH($B19,'Patient Care Equip'!$D$17:$D$41,0))</f>
        <v>No</v>
      </c>
      <c r="L19" s="34"/>
      <c r="M19" s="282"/>
      <c r="N19" s="282"/>
      <c r="O19" s="282"/>
      <c r="P19" s="282"/>
      <c r="Q19" s="283"/>
      <c r="R19" s="281"/>
    </row>
    <row r="20" spans="2:18" x14ac:dyDescent="0.25">
      <c r="B20" s="52" t="str">
        <f>'Patient Care Equip'!D41</f>
        <v>Mask, medical patient</v>
      </c>
      <c r="C20" s="51" t="str">
        <f t="shared" si="0"/>
        <v>In-patient careMask, medical patient</v>
      </c>
      <c r="D20" s="225">
        <v>0</v>
      </c>
      <c r="E20" s="225">
        <v>0</v>
      </c>
      <c r="F20" s="225">
        <v>0</v>
      </c>
      <c r="G20" s="225">
        <v>0</v>
      </c>
      <c r="H20" s="226">
        <v>2</v>
      </c>
      <c r="I20" s="224">
        <v>0</v>
      </c>
      <c r="J20" s="34" t="s">
        <v>321</v>
      </c>
      <c r="K20" s="304" t="str">
        <f>INDEX('Patient Care Equip'!$E$17:$E$41,MATCH($B20,'Patient Care Equip'!$D$17:$D$41,0))</f>
        <v>No</v>
      </c>
      <c r="L20" s="34"/>
      <c r="M20" s="282"/>
      <c r="N20" s="282"/>
      <c r="O20" s="282"/>
      <c r="P20" s="282"/>
      <c r="Q20" s="283"/>
      <c r="R20" s="281"/>
    </row>
    <row r="21" spans="2:18" ht="16.5" x14ac:dyDescent="0.25">
      <c r="B21" s="52" t="str">
        <f>'Patient Care Equip'!D21</f>
        <v>Scrubs, tops</v>
      </c>
      <c r="C21" s="51" t="str">
        <f t="shared" si="0"/>
        <v>In-patient careScrubs, tops</v>
      </c>
      <c r="D21" s="227">
        <f>1/30</f>
        <v>3.3333333333333333E-2</v>
      </c>
      <c r="E21" s="227">
        <f>1/30</f>
        <v>3.3333333333333333E-2</v>
      </c>
      <c r="F21" s="225">
        <v>0</v>
      </c>
      <c r="G21" s="225">
        <v>0</v>
      </c>
      <c r="H21" s="226">
        <v>0</v>
      </c>
      <c r="I21" s="224">
        <v>0</v>
      </c>
      <c r="J21" s="34" t="s">
        <v>321</v>
      </c>
      <c r="K21" s="304" t="str">
        <f>INDEX('Patient Care Equip'!$E$17:$E$41,MATCH($B21,'Patient Care Equip'!$D$17:$D$41,0))</f>
        <v>Yes</v>
      </c>
      <c r="M21" s="284"/>
      <c r="N21" s="300" t="s">
        <v>744</v>
      </c>
      <c r="O21" s="282"/>
      <c r="P21" s="282"/>
      <c r="Q21" s="283"/>
      <c r="R21" s="281"/>
    </row>
    <row r="22" spans="2:18" ht="16.5" x14ac:dyDescent="0.25">
      <c r="B22" s="52" t="str">
        <f>'Patient Care Equip'!D22</f>
        <v>Scrubs, pants</v>
      </c>
      <c r="C22" s="51" t="str">
        <f t="shared" si="0"/>
        <v>In-patient careScrubs, pants</v>
      </c>
      <c r="D22" s="227">
        <f>1/30</f>
        <v>3.3333333333333333E-2</v>
      </c>
      <c r="E22" s="227">
        <f>1/30</f>
        <v>3.3333333333333333E-2</v>
      </c>
      <c r="F22" s="225">
        <v>0</v>
      </c>
      <c r="G22" s="225">
        <v>0</v>
      </c>
      <c r="H22" s="226">
        <v>0</v>
      </c>
      <c r="I22" s="224">
        <v>0</v>
      </c>
      <c r="J22" s="34" t="s">
        <v>321</v>
      </c>
      <c r="K22" s="304" t="str">
        <f>INDEX('Patient Care Equip'!$E$17:$E$41,MATCH($B22,'Patient Care Equip'!$D$17:$D$41,0))</f>
        <v>Yes</v>
      </c>
      <c r="M22" s="284"/>
      <c r="N22" s="300" t="s">
        <v>744</v>
      </c>
      <c r="O22" s="282"/>
      <c r="P22" s="282"/>
      <c r="Q22" s="283"/>
      <c r="R22" s="281"/>
    </row>
    <row r="23" spans="2:18" x14ac:dyDescent="0.25">
      <c r="B23" s="52" t="str">
        <f>'Patient Care Equip'!D20</f>
        <v>Gown, protective</v>
      </c>
      <c r="C23" s="51" t="str">
        <f t="shared" si="0"/>
        <v>In-patient careGown, protective</v>
      </c>
      <c r="D23" s="225">
        <v>1</v>
      </c>
      <c r="E23" s="225">
        <v>1</v>
      </c>
      <c r="F23" s="225">
        <v>0</v>
      </c>
      <c r="G23" s="225">
        <v>2</v>
      </c>
      <c r="H23" s="226">
        <v>0</v>
      </c>
      <c r="I23" s="224">
        <v>0</v>
      </c>
      <c r="J23" s="34" t="s">
        <v>321</v>
      </c>
      <c r="K23" s="304" t="str">
        <f>INDEX('Patient Care Equip'!$E$17:$E$41,MATCH($B23,'Patient Care Equip'!$D$17:$D$41,0))</f>
        <v>No</v>
      </c>
      <c r="L23" s="34"/>
      <c r="M23" s="282"/>
      <c r="N23" s="282"/>
      <c r="O23" s="282"/>
      <c r="P23" s="282"/>
      <c r="Q23" s="283"/>
      <c r="R23" s="281"/>
    </row>
    <row r="24" spans="2:18" x14ac:dyDescent="0.25">
      <c r="B24" s="52" t="str">
        <f>'Patient Care Equip'!D23</f>
        <v>Apron, disposable</v>
      </c>
      <c r="C24" s="51" t="str">
        <f t="shared" si="0"/>
        <v>In-patient careApron, disposable</v>
      </c>
      <c r="D24" s="225">
        <v>1</v>
      </c>
      <c r="E24" s="225">
        <v>0</v>
      </c>
      <c r="F24" s="225">
        <v>0</v>
      </c>
      <c r="G24" s="225">
        <v>2</v>
      </c>
      <c r="H24" s="226">
        <v>0</v>
      </c>
      <c r="I24" s="224">
        <v>0</v>
      </c>
      <c r="J24" s="34" t="s">
        <v>321</v>
      </c>
      <c r="K24" s="304" t="str">
        <f>INDEX('Patient Care Equip'!$E$17:$E$41,MATCH($B24,'Patient Care Equip'!$D$17:$D$41,0))</f>
        <v>No</v>
      </c>
      <c r="M24" s="282"/>
      <c r="N24" s="282"/>
      <c r="O24" s="282"/>
      <c r="P24" s="282"/>
      <c r="Q24" s="283"/>
      <c r="R24" s="281"/>
    </row>
    <row r="25" spans="2:18" ht="21" customHeight="1" x14ac:dyDescent="0.25">
      <c r="B25" s="52" t="str">
        <f>'Patient Care Equip'!D24</f>
        <v>Apron, heavy duty, reusable</v>
      </c>
      <c r="C25" s="51" t="str">
        <f t="shared" si="0"/>
        <v>In-patient careApron, heavy duty, reusable</v>
      </c>
      <c r="D25" s="225">
        <v>0</v>
      </c>
      <c r="E25" s="225">
        <f>1/20</f>
        <v>0.05</v>
      </c>
      <c r="F25" s="228">
        <v>0</v>
      </c>
      <c r="G25" s="228">
        <v>0</v>
      </c>
      <c r="H25" s="229">
        <v>0</v>
      </c>
      <c r="I25" s="224">
        <v>0</v>
      </c>
      <c r="J25" s="41" t="s">
        <v>321</v>
      </c>
      <c r="K25" s="304" t="str">
        <f>INDEX('Patient Care Equip'!$E$17:$E$41,MATCH($B25,'Patient Care Equip'!$D$17:$D$41,0))</f>
        <v>Yes</v>
      </c>
      <c r="L25" s="41"/>
      <c r="M25" s="282"/>
      <c r="N25" s="301" t="s">
        <v>748</v>
      </c>
      <c r="O25" s="285"/>
      <c r="P25" s="285"/>
      <c r="Q25" s="286"/>
      <c r="R25" s="281"/>
    </row>
    <row r="26" spans="2:18" x14ac:dyDescent="0.25">
      <c r="B26" s="52" t="str">
        <f>'Patient Care Equip'!D37</f>
        <v>Goggles, protective</v>
      </c>
      <c r="C26" s="51" t="str">
        <f t="shared" si="0"/>
        <v>In-patient careGoggles, protective</v>
      </c>
      <c r="D26" s="225">
        <f>1/10</f>
        <v>0.1</v>
      </c>
      <c r="E26" s="225">
        <v>0</v>
      </c>
      <c r="F26" s="225">
        <v>0</v>
      </c>
      <c r="G26" s="228">
        <f>1/10</f>
        <v>0.1</v>
      </c>
      <c r="H26" s="226">
        <v>0</v>
      </c>
      <c r="I26" s="224">
        <v>0</v>
      </c>
      <c r="J26" s="34" t="s">
        <v>321</v>
      </c>
      <c r="K26" s="304" t="str">
        <f>INDEX('Patient Care Equip'!$E$17:$E$41,MATCH($B26,'Patient Care Equip'!$D$17:$D$41,0))</f>
        <v>Yes</v>
      </c>
      <c r="L26" s="34"/>
      <c r="M26" s="282"/>
      <c r="N26" s="282"/>
      <c r="O26" s="282"/>
      <c r="P26" s="285"/>
      <c r="Q26" s="283"/>
      <c r="R26" s="281"/>
    </row>
    <row r="27" spans="2:18" ht="15.75" thickBot="1" x14ac:dyDescent="0.3">
      <c r="B27" s="53" t="str">
        <f>'Patient Care Equip'!D25</f>
        <v>Gum boots</v>
      </c>
      <c r="C27" s="51" t="str">
        <f t="shared" si="0"/>
        <v>In-patient careGum boots</v>
      </c>
      <c r="D27" s="230">
        <v>0</v>
      </c>
      <c r="E27" s="230">
        <f>1/100</f>
        <v>0.01</v>
      </c>
      <c r="F27" s="231">
        <v>0</v>
      </c>
      <c r="G27" s="231">
        <v>0</v>
      </c>
      <c r="H27" s="232">
        <v>0</v>
      </c>
      <c r="I27" s="224">
        <v>0</v>
      </c>
      <c r="J27" s="41" t="s">
        <v>320</v>
      </c>
      <c r="K27" s="304" t="str">
        <f>INDEX('Patient Care Equip'!$E$17:$E$41,MATCH($B27,'Patient Care Equip'!$D$17:$D$41,0))</f>
        <v>Yes</v>
      </c>
      <c r="L27" s="41"/>
      <c r="M27" s="287"/>
      <c r="N27" s="287"/>
      <c r="O27" s="288"/>
      <c r="P27" s="288"/>
      <c r="Q27" s="289"/>
      <c r="R27" s="281"/>
    </row>
    <row r="28" spans="2:18" x14ac:dyDescent="0.25">
      <c r="B28" s="50" t="s">
        <v>263</v>
      </c>
      <c r="C28" s="107"/>
      <c r="D28" s="233"/>
      <c r="E28" s="234"/>
      <c r="F28" s="234"/>
      <c r="G28" s="234"/>
      <c r="H28" s="234"/>
      <c r="I28" s="234"/>
      <c r="J28" s="34"/>
      <c r="K28" s="305"/>
      <c r="L28" s="34"/>
      <c r="M28" s="276"/>
      <c r="N28" s="276"/>
      <c r="O28" s="276"/>
      <c r="P28" s="276"/>
      <c r="Q28" s="276"/>
      <c r="R28" s="277"/>
    </row>
    <row r="29" spans="2:18" x14ac:dyDescent="0.25">
      <c r="B29" s="52" t="str">
        <f>'Patient Care Equip'!D28</f>
        <v>Safety box</v>
      </c>
      <c r="C29" s="51" t="str">
        <f t="shared" si="0"/>
        <v>In-patient careSafety box</v>
      </c>
      <c r="D29" s="225">
        <f>1/10</f>
        <v>0.1</v>
      </c>
      <c r="E29" s="225">
        <v>0</v>
      </c>
      <c r="F29" s="225">
        <v>0</v>
      </c>
      <c r="G29" s="225">
        <v>0</v>
      </c>
      <c r="H29" s="226">
        <v>0</v>
      </c>
      <c r="I29" s="224">
        <v>0</v>
      </c>
      <c r="J29" s="34" t="s">
        <v>321</v>
      </c>
      <c r="K29" s="304" t="str">
        <f>INDEX('Patient Care Equip'!$E$17:$E$41,MATCH($B29,'Patient Care Equip'!$D$17:$D$41,0))</f>
        <v>Yes</v>
      </c>
      <c r="M29" s="282"/>
      <c r="N29" s="282"/>
      <c r="O29" s="282"/>
      <c r="P29" s="282"/>
      <c r="Q29" s="283"/>
      <c r="R29" s="281"/>
    </row>
    <row r="30" spans="2:18" x14ac:dyDescent="0.25">
      <c r="B30" s="50" t="s">
        <v>332</v>
      </c>
      <c r="C30" s="107"/>
      <c r="D30" s="233"/>
      <c r="E30" s="234"/>
      <c r="F30" s="234"/>
      <c r="G30" s="234"/>
      <c r="H30" s="234"/>
      <c r="I30" s="234"/>
      <c r="J30" s="34"/>
      <c r="K30" s="305"/>
      <c r="L30" s="34"/>
      <c r="M30" s="276"/>
      <c r="N30" s="276"/>
      <c r="O30" s="276"/>
      <c r="P30" s="276"/>
      <c r="Q30" s="276"/>
      <c r="R30" s="277"/>
    </row>
    <row r="31" spans="2:18" ht="26.25" x14ac:dyDescent="0.25">
      <c r="B31" s="52" t="str">
        <f>'Patient Care Equip'!D33</f>
        <v>Bio-hazardous bag</v>
      </c>
      <c r="C31" s="51" t="str">
        <f t="shared" si="0"/>
        <v>In-patient careBio-hazardous bag</v>
      </c>
      <c r="D31" s="225">
        <f>1/2</f>
        <v>0.5</v>
      </c>
      <c r="E31" s="225">
        <f>1/2</f>
        <v>0.5</v>
      </c>
      <c r="F31" s="225">
        <v>0</v>
      </c>
      <c r="G31" s="235">
        <f>1/2</f>
        <v>0.5</v>
      </c>
      <c r="H31" s="226">
        <v>0</v>
      </c>
      <c r="I31" s="224">
        <v>0</v>
      </c>
      <c r="J31" s="34" t="s">
        <v>321</v>
      </c>
      <c r="K31" s="304" t="str">
        <f>INDEX('Patient Care Equip'!$E$17:$E$41,MATCH($B31,'Patient Care Equip'!$D$17:$D$41,0))</f>
        <v>No</v>
      </c>
      <c r="M31" s="282"/>
      <c r="N31" s="301" t="s">
        <v>749</v>
      </c>
      <c r="O31" s="282"/>
      <c r="P31" s="302" t="s">
        <v>750</v>
      </c>
      <c r="Q31" s="283"/>
      <c r="R31" s="281"/>
    </row>
    <row r="32" spans="2:18" ht="16.5" x14ac:dyDescent="0.25">
      <c r="B32" s="52" t="str">
        <f>'Patient Care Equip'!D19</f>
        <v>Liquid soap</v>
      </c>
      <c r="C32" s="51" t="str">
        <f t="shared" si="0"/>
        <v>In-patient careLiquid soap</v>
      </c>
      <c r="D32" s="227">
        <f>1/60</f>
        <v>1.6666666666666666E-2</v>
      </c>
      <c r="E32" s="227">
        <f>1/60</f>
        <v>1.6666666666666666E-2</v>
      </c>
      <c r="F32" s="225">
        <v>0</v>
      </c>
      <c r="G32" s="227">
        <f>1/60</f>
        <v>1.6666666666666666E-2</v>
      </c>
      <c r="H32" s="226">
        <v>0</v>
      </c>
      <c r="I32" s="224">
        <v>0</v>
      </c>
      <c r="J32" s="34" t="s">
        <v>274</v>
      </c>
      <c r="K32" s="304" t="str">
        <f>INDEX('Patient Care Equip'!$E$17:$E$41,MATCH($B32,'Patient Care Equip'!$D$17:$D$41,0))</f>
        <v>No</v>
      </c>
      <c r="M32" s="284"/>
      <c r="N32" s="300" t="s">
        <v>752</v>
      </c>
      <c r="O32" s="282"/>
      <c r="P32" s="300" t="s">
        <v>751</v>
      </c>
      <c r="Q32" s="283"/>
      <c r="R32" s="281"/>
    </row>
    <row r="33" spans="2:18" x14ac:dyDescent="0.25">
      <c r="B33" s="52" t="str">
        <f>'Patient Care Equip'!D18</f>
        <v>Alcohol-based hand rub</v>
      </c>
      <c r="C33" s="51" t="str">
        <f t="shared" si="0"/>
        <v>In-patient careAlcohol-based hand rub</v>
      </c>
      <c r="D33" s="227">
        <f>1/30</f>
        <v>3.3333333333333333E-2</v>
      </c>
      <c r="E33" s="227">
        <f>1/30</f>
        <v>3.3333333333333333E-2</v>
      </c>
      <c r="F33" s="225">
        <v>0</v>
      </c>
      <c r="G33" s="236">
        <f>1/30</f>
        <v>3.3333333333333333E-2</v>
      </c>
      <c r="H33" s="226">
        <v>0</v>
      </c>
      <c r="I33" s="224">
        <v>0</v>
      </c>
      <c r="J33" s="34" t="s">
        <v>274</v>
      </c>
      <c r="K33" s="304" t="str">
        <f>INDEX('Patient Care Equip'!$E$17:$E$41,MATCH($B33,'Patient Care Equip'!$D$17:$D$41,0))</f>
        <v>No</v>
      </c>
      <c r="M33" s="284"/>
      <c r="N33" s="284" t="s">
        <v>746</v>
      </c>
      <c r="O33" s="282"/>
      <c r="P33" s="290" t="s">
        <v>746</v>
      </c>
      <c r="Q33" s="283"/>
      <c r="R33" s="281"/>
    </row>
    <row r="34" spans="2:18" x14ac:dyDescent="0.25">
      <c r="B34" s="52" t="str">
        <f>'Patient Care Equip'!D17</f>
        <v>Chlorine, HTH 70%</v>
      </c>
      <c r="C34" s="51" t="str">
        <f t="shared" si="0"/>
        <v>In-patient careChlorine, HTH 70%</v>
      </c>
      <c r="D34" s="225">
        <v>0</v>
      </c>
      <c r="E34" s="225">
        <f>30/1000</f>
        <v>0.03</v>
      </c>
      <c r="F34" s="225">
        <v>0</v>
      </c>
      <c r="G34" s="225">
        <f>30/1000</f>
        <v>0.03</v>
      </c>
      <c r="H34" s="226">
        <v>0</v>
      </c>
      <c r="I34" s="224">
        <v>0</v>
      </c>
      <c r="J34" s="34" t="s">
        <v>277</v>
      </c>
      <c r="K34" s="304" t="str">
        <f>INDEX('Patient Care Equip'!$E$17:$E$41,MATCH($B34,'Patient Care Equip'!$D$17:$D$41,0))</f>
        <v>No</v>
      </c>
      <c r="L34" s="34"/>
      <c r="M34" s="282"/>
      <c r="N34" s="282" t="s">
        <v>753</v>
      </c>
      <c r="O34" s="282"/>
      <c r="P34" s="282" t="s">
        <v>753</v>
      </c>
      <c r="Q34" s="283"/>
      <c r="R34" s="281"/>
    </row>
    <row r="35" spans="2:18" x14ac:dyDescent="0.25">
      <c r="B35" s="50" t="s">
        <v>338</v>
      </c>
      <c r="C35" s="107"/>
      <c r="D35" s="233"/>
      <c r="E35" s="234"/>
      <c r="F35" s="234"/>
      <c r="G35" s="234"/>
      <c r="H35" s="234"/>
      <c r="I35" s="234"/>
      <c r="J35" s="34"/>
      <c r="K35" s="305"/>
      <c r="L35" s="34"/>
      <c r="M35" s="276"/>
      <c r="N35" s="276"/>
      <c r="O35" s="276"/>
      <c r="P35" s="276"/>
      <c r="Q35" s="276"/>
      <c r="R35" s="277"/>
    </row>
    <row r="36" spans="2:18" ht="30" x14ac:dyDescent="0.25">
      <c r="B36" s="51" t="str">
        <f>'Patient Care Equip'!$D44</f>
        <v>Patient monitor, multiparametric w/o ECG, with accessories</v>
      </c>
      <c r="C36" s="51" t="str">
        <f t="shared" si="0"/>
        <v>In-patient carePatient monitor, multiparametric w/o ECG, with accessories</v>
      </c>
      <c r="D36" s="222">
        <v>0</v>
      </c>
      <c r="E36" s="222">
        <v>0</v>
      </c>
      <c r="F36" s="222">
        <v>0</v>
      </c>
      <c r="G36" s="222">
        <v>0</v>
      </c>
      <c r="H36" s="222">
        <v>0</v>
      </c>
      <c r="I36" s="237">
        <v>1</v>
      </c>
      <c r="J36" s="309" t="s">
        <v>860</v>
      </c>
      <c r="K36" s="306"/>
      <c r="L36" s="34"/>
      <c r="M36" s="278"/>
      <c r="N36" s="278"/>
      <c r="O36" s="278"/>
      <c r="P36" s="278"/>
      <c r="Q36" s="278"/>
      <c r="R36" s="291"/>
    </row>
    <row r="37" spans="2:18" x14ac:dyDescent="0.25">
      <c r="B37" s="51" t="str">
        <f>'Patient Care Equip'!$D45</f>
        <v>Pulse oximeter - fingertip</v>
      </c>
      <c r="C37" s="51" t="str">
        <f t="shared" si="0"/>
        <v>In-patient carePulse oximeter - fingertip</v>
      </c>
      <c r="D37" s="222">
        <v>0</v>
      </c>
      <c r="E37" s="222">
        <v>0</v>
      </c>
      <c r="F37" s="222">
        <v>0</v>
      </c>
      <c r="G37" s="222">
        <v>0</v>
      </c>
      <c r="H37" s="222">
        <v>0</v>
      </c>
      <c r="I37" s="237">
        <v>0.8</v>
      </c>
      <c r="J37" s="34"/>
      <c r="K37" s="305"/>
      <c r="L37" s="34"/>
      <c r="M37" s="278"/>
      <c r="N37" s="278"/>
      <c r="O37" s="278"/>
      <c r="P37" s="278"/>
      <c r="Q37" s="278"/>
      <c r="R37" s="291"/>
    </row>
    <row r="38" spans="2:18" x14ac:dyDescent="0.25">
      <c r="B38" s="51" t="str">
        <f>'Patient Care Equip'!$D46</f>
        <v>Concentrator O2, 10 L, with accessories</v>
      </c>
      <c r="C38" s="51" t="str">
        <f t="shared" si="0"/>
        <v>In-patient careConcentrator O2, 10 L, with accessories</v>
      </c>
      <c r="D38" s="222">
        <v>0</v>
      </c>
      <c r="E38" s="222">
        <v>0</v>
      </c>
      <c r="F38" s="222">
        <v>0</v>
      </c>
      <c r="G38" s="222">
        <v>0</v>
      </c>
      <c r="H38" s="222">
        <v>0</v>
      </c>
      <c r="I38" s="237">
        <v>1</v>
      </c>
      <c r="J38" s="34"/>
      <c r="K38" s="305"/>
      <c r="L38" s="34"/>
      <c r="M38" s="278"/>
      <c r="N38" s="278"/>
      <c r="O38" s="278"/>
      <c r="P38" s="278"/>
      <c r="Q38" s="278"/>
      <c r="R38" s="291"/>
    </row>
    <row r="39" spans="2:18" x14ac:dyDescent="0.25">
      <c r="B39" s="51" t="str">
        <f>'Patient Care Equip'!$D47</f>
        <v>O2 need (m3)</v>
      </c>
      <c r="C39" s="51" t="str">
        <f t="shared" si="0"/>
        <v>In-patient careO2 need (m3)</v>
      </c>
      <c r="D39" s="222">
        <v>0</v>
      </c>
      <c r="E39" s="222">
        <v>0</v>
      </c>
      <c r="F39" s="222">
        <v>0</v>
      </c>
      <c r="G39" s="222">
        <v>0</v>
      </c>
      <c r="H39" s="222">
        <v>0</v>
      </c>
      <c r="I39" s="237">
        <v>1</v>
      </c>
      <c r="J39" s="34"/>
      <c r="K39" s="305"/>
      <c r="L39" s="34"/>
      <c r="M39" s="278"/>
      <c r="N39" s="278"/>
      <c r="O39" s="278"/>
      <c r="P39" s="278"/>
      <c r="Q39" s="278"/>
      <c r="R39" s="291"/>
    </row>
    <row r="40" spans="2:18" s="138" customFormat="1" ht="30" x14ac:dyDescent="0.25">
      <c r="B40" s="51" t="str">
        <f>'Patient Care Equip'!$D48</f>
        <v>Flowmeter, Thorpe tube, for pipe oxygen 0-15L/min</v>
      </c>
      <c r="C40" s="51" t="str">
        <f t="shared" si="0"/>
        <v>In-patient careFlowmeter, Thorpe tube, for pipe oxygen 0-15L/min</v>
      </c>
      <c r="D40" s="222">
        <v>0</v>
      </c>
      <c r="E40" s="222">
        <v>0</v>
      </c>
      <c r="F40" s="222">
        <v>0</v>
      </c>
      <c r="G40" s="222">
        <v>0</v>
      </c>
      <c r="H40" s="222">
        <v>0</v>
      </c>
      <c r="I40" s="237">
        <v>1</v>
      </c>
      <c r="J40" s="309" t="s">
        <v>859</v>
      </c>
      <c r="K40" s="305"/>
      <c r="L40" s="34"/>
      <c r="M40" s="278"/>
      <c r="N40" s="278"/>
      <c r="O40" s="278"/>
      <c r="P40" s="278"/>
      <c r="Q40" s="278"/>
      <c r="R40" s="291"/>
    </row>
    <row r="41" spans="2:18" x14ac:dyDescent="0.25">
      <c r="B41" s="51" t="str">
        <f>'Patient Care Equip'!$D49</f>
        <v>CPAP, for neonate, with accessories</v>
      </c>
      <c r="C41" s="51" t="str">
        <f t="shared" si="0"/>
        <v>In-patient careCPAP, for neonate, with accessories</v>
      </c>
      <c r="D41" s="222">
        <v>0</v>
      </c>
      <c r="E41" s="222">
        <v>0</v>
      </c>
      <c r="F41" s="222">
        <v>0</v>
      </c>
      <c r="G41" s="222">
        <v>0</v>
      </c>
      <c r="H41" s="222">
        <v>0</v>
      </c>
      <c r="I41" s="237">
        <v>0.01</v>
      </c>
      <c r="J41" s="34"/>
      <c r="K41" s="305"/>
      <c r="L41" s="34"/>
      <c r="M41" s="278"/>
      <c r="N41" s="278"/>
      <c r="O41" s="278"/>
      <c r="P41" s="278"/>
      <c r="Q41" s="278"/>
      <c r="R41" s="291"/>
    </row>
    <row r="42" spans="2:18" x14ac:dyDescent="0.25">
      <c r="B42" s="51" t="str">
        <f>'Patient Care Equip'!$D50</f>
        <v>CPAP, for adult, with accessories</v>
      </c>
      <c r="C42" s="51" t="str">
        <f t="shared" si="0"/>
        <v>In-patient careCPAP, for adult, with accessories</v>
      </c>
      <c r="D42" s="222">
        <v>0</v>
      </c>
      <c r="E42" s="222">
        <v>0</v>
      </c>
      <c r="F42" s="222">
        <v>0</v>
      </c>
      <c r="G42" s="222">
        <v>0</v>
      </c>
      <c r="H42" s="222">
        <v>0</v>
      </c>
      <c r="I42" s="237">
        <v>0.08</v>
      </c>
      <c r="J42" s="34"/>
      <c r="K42" s="305"/>
      <c r="L42" s="34"/>
      <c r="M42" s="278"/>
      <c r="N42" s="278"/>
      <c r="O42" s="278"/>
      <c r="P42" s="278"/>
      <c r="Q42" s="278"/>
      <c r="R42" s="291"/>
    </row>
    <row r="43" spans="2:18" x14ac:dyDescent="0.25">
      <c r="B43" s="51" t="str">
        <f>'Patient Care Equip'!$D51</f>
        <v>Suction pump, manual</v>
      </c>
      <c r="C43" s="51" t="str">
        <f t="shared" si="0"/>
        <v>In-patient careSuction pump, manual</v>
      </c>
      <c r="D43" s="222">
        <v>0</v>
      </c>
      <c r="E43" s="222">
        <v>0</v>
      </c>
      <c r="F43" s="222">
        <v>0</v>
      </c>
      <c r="G43" s="222">
        <v>0</v>
      </c>
      <c r="H43" s="222">
        <v>0</v>
      </c>
      <c r="I43" s="237">
        <f>1/NumberOfBeds_per_centre</f>
        <v>2.5000000000000001E-2</v>
      </c>
      <c r="J43" s="34"/>
      <c r="K43" s="305"/>
      <c r="L43" s="34"/>
      <c r="M43" s="278"/>
      <c r="N43" s="278"/>
      <c r="O43" s="278"/>
      <c r="P43" s="278"/>
      <c r="Q43" s="278"/>
      <c r="R43" s="291"/>
    </row>
    <row r="44" spans="2:18" ht="45" x14ac:dyDescent="0.25">
      <c r="B44" s="51" t="str">
        <f>'Patient Care Equip'!$D52</f>
        <v>Electronic drop counter, IV fluids monitor</v>
      </c>
      <c r="C44" s="51" t="str">
        <f t="shared" si="0"/>
        <v>In-patient careElectronic drop counter, IV fluids monitor</v>
      </c>
      <c r="D44" s="222">
        <v>0</v>
      </c>
      <c r="E44" s="222">
        <v>0</v>
      </c>
      <c r="F44" s="222">
        <v>0</v>
      </c>
      <c r="G44" s="222">
        <v>0</v>
      </c>
      <c r="H44" s="222">
        <v>0</v>
      </c>
      <c r="I44" s="237">
        <v>0</v>
      </c>
      <c r="J44" s="309" t="s">
        <v>930</v>
      </c>
      <c r="K44" s="305"/>
      <c r="L44" s="34"/>
      <c r="M44" s="278"/>
      <c r="N44" s="278"/>
      <c r="O44" s="278"/>
      <c r="P44" s="278"/>
      <c r="Q44" s="278"/>
      <c r="R44" s="291"/>
    </row>
    <row r="45" spans="2:18" ht="30" x14ac:dyDescent="0.25">
      <c r="B45" s="51" t="str">
        <f>'Patient Care Equip'!$D53</f>
        <v>Clinical Chemistry Analyser, portable (PoC)</v>
      </c>
      <c r="C45" s="51" t="str">
        <f t="shared" si="0"/>
        <v>In-patient careClinical Chemistry Analyser, portable (PoC)</v>
      </c>
      <c r="D45" s="222">
        <v>0</v>
      </c>
      <c r="E45" s="222">
        <v>0</v>
      </c>
      <c r="F45" s="222">
        <v>0</v>
      </c>
      <c r="G45" s="222">
        <v>0</v>
      </c>
      <c r="H45" s="222">
        <v>0</v>
      </c>
      <c r="I45" s="237">
        <f>1/NumberOfBeds_per_centre</f>
        <v>2.5000000000000001E-2</v>
      </c>
      <c r="J45" s="34"/>
      <c r="K45" s="305"/>
      <c r="L45" s="34"/>
      <c r="M45" s="278"/>
      <c r="N45" s="278"/>
      <c r="O45" s="278"/>
      <c r="P45" s="278"/>
      <c r="Q45" s="278"/>
      <c r="R45" s="291"/>
    </row>
    <row r="46" spans="2:18" ht="30" x14ac:dyDescent="0.25">
      <c r="B46" s="51" t="str">
        <f>'Patient Care Equip'!$D54</f>
        <v>Patient monitor, multiparametric w/ECG, with accessories</v>
      </c>
      <c r="C46" s="51" t="str">
        <f t="shared" si="0"/>
        <v>In-patient carePatient monitor, multiparametric w/ECG, with accessories</v>
      </c>
      <c r="D46" s="222">
        <v>0</v>
      </c>
      <c r="E46" s="222">
        <v>0</v>
      </c>
      <c r="F46" s="222">
        <v>0</v>
      </c>
      <c r="G46" s="222">
        <v>0</v>
      </c>
      <c r="H46" s="222">
        <v>0</v>
      </c>
      <c r="I46" s="237">
        <v>1</v>
      </c>
      <c r="J46" s="309" t="s">
        <v>859</v>
      </c>
      <c r="K46" s="305"/>
      <c r="L46" s="34"/>
      <c r="M46" s="278"/>
      <c r="N46" s="278"/>
      <c r="O46" s="278"/>
      <c r="P46" s="278"/>
      <c r="Q46" s="278"/>
      <c r="R46" s="291"/>
    </row>
    <row r="47" spans="2:18" ht="30" x14ac:dyDescent="0.25">
      <c r="B47" s="51" t="str">
        <f>'Patient Care Equip'!$D55</f>
        <v>Cricothyrotomy, set, emergency, 6 mm, sterile, single use</v>
      </c>
      <c r="C47" s="51" t="str">
        <f t="shared" si="0"/>
        <v>In-patient careCricothyrotomy, set, emergency, 6 mm, sterile, single use</v>
      </c>
      <c r="D47" s="222">
        <v>0</v>
      </c>
      <c r="E47" s="222">
        <v>0</v>
      </c>
      <c r="F47" s="222">
        <v>0</v>
      </c>
      <c r="G47" s="222">
        <v>0</v>
      </c>
      <c r="H47" s="222">
        <v>0</v>
      </c>
      <c r="I47" s="237">
        <f t="shared" ref="I47:I53" si="1">1/NumberOfBeds_per_centre</f>
        <v>2.5000000000000001E-2</v>
      </c>
      <c r="J47" s="34"/>
      <c r="K47" s="305"/>
      <c r="L47" s="34"/>
      <c r="M47" s="278"/>
      <c r="N47" s="278"/>
      <c r="O47" s="278"/>
      <c r="P47" s="278"/>
      <c r="Q47" s="278"/>
      <c r="R47" s="291"/>
    </row>
    <row r="48" spans="2:18" ht="30" x14ac:dyDescent="0.25">
      <c r="B48" s="51" t="str">
        <f>'Patient Care Equip'!$D56</f>
        <v>Laryngoscope, FO, diameter 28 mm, w/blades</v>
      </c>
      <c r="C48" s="51" t="str">
        <f t="shared" si="0"/>
        <v>In-patient careLaryngoscope, FO, diameter 28 mm, w/blades</v>
      </c>
      <c r="D48" s="222">
        <v>0</v>
      </c>
      <c r="E48" s="222">
        <v>0</v>
      </c>
      <c r="F48" s="222">
        <v>0</v>
      </c>
      <c r="G48" s="222">
        <v>0</v>
      </c>
      <c r="H48" s="222">
        <v>0</v>
      </c>
      <c r="I48" s="237">
        <f t="shared" si="1"/>
        <v>2.5000000000000001E-2</v>
      </c>
      <c r="J48" s="34"/>
      <c r="K48" s="305"/>
      <c r="L48" s="34"/>
      <c r="M48" s="278"/>
      <c r="N48" s="278"/>
      <c r="O48" s="278"/>
      <c r="P48" s="278"/>
      <c r="Q48" s="278"/>
      <c r="R48" s="291"/>
    </row>
    <row r="49" spans="2:18" ht="30" x14ac:dyDescent="0.25">
      <c r="B49" s="51" t="str">
        <f>'Patient Care Equip'!$D57</f>
        <v>Laryngoscope, FO, neonate, diameter 19 mm, w/blades</v>
      </c>
      <c r="C49" s="51" t="str">
        <f t="shared" si="0"/>
        <v>In-patient careLaryngoscope, FO, neonate, diameter 19 mm, w/blades</v>
      </c>
      <c r="D49" s="222">
        <v>0</v>
      </c>
      <c r="E49" s="222">
        <v>0</v>
      </c>
      <c r="F49" s="222">
        <v>0</v>
      </c>
      <c r="G49" s="222">
        <v>0</v>
      </c>
      <c r="H49" s="222">
        <v>0</v>
      </c>
      <c r="I49" s="237">
        <f t="shared" si="1"/>
        <v>2.5000000000000001E-2</v>
      </c>
      <c r="J49" s="34"/>
      <c r="K49" s="305"/>
      <c r="L49" s="34"/>
      <c r="M49" s="278"/>
      <c r="N49" s="278"/>
      <c r="O49" s="278"/>
      <c r="P49" s="278"/>
      <c r="Q49" s="278"/>
      <c r="R49" s="291"/>
    </row>
    <row r="50" spans="2:18" x14ac:dyDescent="0.25">
      <c r="B50" s="51" t="str">
        <f>'Patient Care Equip'!$D58</f>
        <v>Self-inflating bag, adult/child</v>
      </c>
      <c r="C50" s="51" t="str">
        <f t="shared" si="0"/>
        <v>In-patient careSelf-inflating bag, adult/child</v>
      </c>
      <c r="D50" s="222">
        <v>0</v>
      </c>
      <c r="E50" s="222">
        <v>0</v>
      </c>
      <c r="F50" s="222">
        <v>0</v>
      </c>
      <c r="G50" s="222">
        <v>0</v>
      </c>
      <c r="H50" s="222">
        <v>0</v>
      </c>
      <c r="I50" s="237">
        <f t="shared" si="1"/>
        <v>2.5000000000000001E-2</v>
      </c>
      <c r="J50" s="34"/>
      <c r="K50" s="305"/>
      <c r="L50" s="34"/>
      <c r="M50" s="278"/>
      <c r="N50" s="278"/>
      <c r="O50" s="278"/>
      <c r="P50" s="278"/>
      <c r="Q50" s="278"/>
      <c r="R50" s="291"/>
    </row>
    <row r="51" spans="2:18" x14ac:dyDescent="0.25">
      <c r="B51" s="51" t="str">
        <f>'Patient Care Equip'!$D59</f>
        <v>Self-inflating bag, child/neonate</v>
      </c>
      <c r="C51" s="51" t="str">
        <f t="shared" si="0"/>
        <v>In-patient careSelf-inflating bag, child/neonate</v>
      </c>
      <c r="D51" s="222">
        <v>0</v>
      </c>
      <c r="E51" s="222">
        <v>0</v>
      </c>
      <c r="F51" s="222">
        <v>0</v>
      </c>
      <c r="G51" s="222">
        <v>0</v>
      </c>
      <c r="H51" s="222">
        <v>0</v>
      </c>
      <c r="I51" s="237">
        <f t="shared" si="1"/>
        <v>2.5000000000000001E-2</v>
      </c>
      <c r="J51" s="34"/>
      <c r="K51" s="305"/>
      <c r="L51" s="34"/>
      <c r="M51" s="278"/>
      <c r="N51" s="278"/>
      <c r="O51" s="278"/>
      <c r="P51" s="278"/>
      <c r="Q51" s="278"/>
      <c r="R51" s="291"/>
    </row>
    <row r="52" spans="2:18" ht="30" x14ac:dyDescent="0.25">
      <c r="B52" s="51" t="str">
        <f>'Patient Care Equip'!$D60</f>
        <v>Suction bulb, for newborn, reusable, autoclavable</v>
      </c>
      <c r="C52" s="51" t="str">
        <f t="shared" si="0"/>
        <v>In-patient careSuction bulb, for newborn, reusable, autoclavable</v>
      </c>
      <c r="D52" s="222">
        <v>0</v>
      </c>
      <c r="E52" s="222">
        <v>0</v>
      </c>
      <c r="F52" s="222">
        <v>0</v>
      </c>
      <c r="G52" s="222">
        <v>0</v>
      </c>
      <c r="H52" s="222">
        <v>0</v>
      </c>
      <c r="I52" s="237">
        <f t="shared" si="1"/>
        <v>2.5000000000000001E-2</v>
      </c>
      <c r="J52" s="34"/>
      <c r="K52" s="305"/>
      <c r="L52" s="34"/>
      <c r="M52" s="278"/>
      <c r="N52" s="278"/>
      <c r="O52" s="278"/>
      <c r="P52" s="278"/>
      <c r="Q52" s="278"/>
      <c r="R52" s="291"/>
    </row>
    <row r="53" spans="2:18" x14ac:dyDescent="0.25">
      <c r="B53" s="51" t="str">
        <f>'Patient Care Equip'!$D61</f>
        <v>Suction pump, manual</v>
      </c>
      <c r="C53" s="51" t="str">
        <f t="shared" si="0"/>
        <v>In-patient careSuction pump, manual</v>
      </c>
      <c r="D53" s="222">
        <v>0</v>
      </c>
      <c r="E53" s="222">
        <v>0</v>
      </c>
      <c r="F53" s="222">
        <v>0</v>
      </c>
      <c r="G53" s="222">
        <v>0</v>
      </c>
      <c r="H53" s="222">
        <v>0</v>
      </c>
      <c r="I53" s="237">
        <f t="shared" si="1"/>
        <v>2.5000000000000001E-2</v>
      </c>
      <c r="J53" s="34"/>
      <c r="K53" s="305"/>
      <c r="L53" s="34"/>
      <c r="M53" s="278"/>
      <c r="N53" s="278"/>
      <c r="O53" s="278"/>
      <c r="P53" s="278"/>
      <c r="Q53" s="278"/>
      <c r="R53" s="291"/>
    </row>
    <row r="54" spans="2:18" ht="45" x14ac:dyDescent="0.25">
      <c r="B54" s="51" t="str">
        <f>'Patient Care Equip'!$D62</f>
        <v>Patient ventilator, intensive care, for adult, paediatric and neonate w/breathing circuits</v>
      </c>
      <c r="C54" s="51" t="str">
        <f t="shared" si="0"/>
        <v>In-patient carePatient ventilator, intensive care, for adult, paediatric and neonate w/breathing circuits</v>
      </c>
      <c r="D54" s="222">
        <v>0</v>
      </c>
      <c r="E54" s="222">
        <v>0</v>
      </c>
      <c r="F54" s="222">
        <v>0</v>
      </c>
      <c r="G54" s="222">
        <v>0</v>
      </c>
      <c r="H54" s="222">
        <v>0</v>
      </c>
      <c r="I54" s="237">
        <v>1</v>
      </c>
      <c r="J54" s="309" t="s">
        <v>863</v>
      </c>
      <c r="K54" s="305"/>
      <c r="L54" s="34"/>
      <c r="M54" s="278"/>
      <c r="N54" s="278"/>
      <c r="O54" s="278"/>
      <c r="P54" s="278"/>
      <c r="Q54" s="278"/>
      <c r="R54" s="291"/>
    </row>
    <row r="55" spans="2:18" ht="30" x14ac:dyDescent="0.25">
      <c r="B55" s="51" t="str">
        <f>'Patient Care Equip'!$D63</f>
        <v>High Flow Nasal Cannula, with accessories</v>
      </c>
      <c r="C55" s="51" t="str">
        <f t="shared" si="0"/>
        <v>In-patient careHigh Flow Nasal Cannula, with accessories</v>
      </c>
      <c r="D55" s="222">
        <v>0</v>
      </c>
      <c r="E55" s="222">
        <v>0</v>
      </c>
      <c r="F55" s="222">
        <v>0</v>
      </c>
      <c r="G55" s="222">
        <v>0</v>
      </c>
      <c r="H55" s="222">
        <v>0</v>
      </c>
      <c r="I55" s="237">
        <v>1</v>
      </c>
      <c r="J55" s="34"/>
      <c r="K55" s="305"/>
      <c r="L55" s="34"/>
      <c r="M55" s="278"/>
      <c r="N55" s="278"/>
      <c r="O55" s="278"/>
      <c r="P55" s="278"/>
      <c r="Q55" s="278"/>
      <c r="R55" s="291"/>
    </row>
    <row r="56" spans="2:18" x14ac:dyDescent="0.25">
      <c r="B56" s="51" t="str">
        <f>'Patient Care Equip'!$D64</f>
        <v>Suction pump, electrical, w/accessories</v>
      </c>
      <c r="C56" s="51" t="str">
        <f t="shared" si="0"/>
        <v>In-patient careSuction pump, electrical, w/accessories</v>
      </c>
      <c r="D56" s="222">
        <v>0</v>
      </c>
      <c r="E56" s="222">
        <v>0</v>
      </c>
      <c r="F56" s="222">
        <v>0</v>
      </c>
      <c r="G56" s="222">
        <v>0</v>
      </c>
      <c r="H56" s="222">
        <v>0</v>
      </c>
      <c r="I56" s="237">
        <v>1</v>
      </c>
      <c r="J56" s="34"/>
      <c r="K56" s="305"/>
      <c r="L56" s="34"/>
      <c r="M56" s="278"/>
      <c r="N56" s="278"/>
      <c r="O56" s="278"/>
      <c r="P56" s="278"/>
      <c r="Q56" s="278"/>
      <c r="R56" s="291"/>
    </row>
    <row r="57" spans="2:18" x14ac:dyDescent="0.25">
      <c r="B57" s="51" t="str">
        <f>'Patient Care Equip'!$D65</f>
        <v>Infusion pump, w/accessories</v>
      </c>
      <c r="C57" s="51" t="str">
        <f t="shared" si="0"/>
        <v>In-patient careInfusion pump, w/accessories</v>
      </c>
      <c r="D57" s="222">
        <v>0</v>
      </c>
      <c r="E57" s="222">
        <v>0</v>
      </c>
      <c r="F57" s="222">
        <v>0</v>
      </c>
      <c r="G57" s="222">
        <v>0</v>
      </c>
      <c r="H57" s="222">
        <v>0</v>
      </c>
      <c r="I57" s="238">
        <v>1</v>
      </c>
      <c r="J57" s="34"/>
      <c r="K57" s="305"/>
      <c r="L57" s="34"/>
      <c r="M57" s="278"/>
      <c r="N57" s="278"/>
      <c r="O57" s="278"/>
      <c r="P57" s="278"/>
      <c r="Q57" s="278"/>
      <c r="R57" s="281"/>
    </row>
    <row r="58" spans="2:18" ht="30" x14ac:dyDescent="0.25">
      <c r="B58" s="51" t="str">
        <f>'Patient Care Equip'!$D66</f>
        <v>Drill, for vascular access, w/accessories adult and paediatric, w/transport bag</v>
      </c>
      <c r="C58" s="51" t="str">
        <f t="shared" si="0"/>
        <v>In-patient careDrill, for vascular access, w/accessories adult and paediatric, w/transport bag</v>
      </c>
      <c r="D58" s="222">
        <v>0</v>
      </c>
      <c r="E58" s="222">
        <v>0</v>
      </c>
      <c r="F58" s="222">
        <v>0</v>
      </c>
      <c r="G58" s="222">
        <v>0</v>
      </c>
      <c r="H58" s="222">
        <v>0</v>
      </c>
      <c r="I58" s="237">
        <f t="shared" ref="I58:I66" si="2">1/NumberOfBeds_per_centre</f>
        <v>2.5000000000000001E-2</v>
      </c>
      <c r="J58" s="34"/>
      <c r="K58" s="305"/>
      <c r="L58" s="34"/>
      <c r="M58" s="278"/>
      <c r="N58" s="278"/>
      <c r="O58" s="278"/>
      <c r="P58" s="278"/>
      <c r="Q58" s="278"/>
      <c r="R58" s="291"/>
    </row>
    <row r="59" spans="2:18" ht="30" x14ac:dyDescent="0.25">
      <c r="B59" s="51" t="str">
        <f>'Patient Care Equip'!$D67</f>
        <v>Defibrillator, semiautomatic, w/accessories</v>
      </c>
      <c r="C59" s="51" t="str">
        <f t="shared" si="0"/>
        <v>In-patient careDefibrillator, semiautomatic, w/accessories</v>
      </c>
      <c r="D59" s="222">
        <v>0</v>
      </c>
      <c r="E59" s="222">
        <v>0</v>
      </c>
      <c r="F59" s="222">
        <v>0</v>
      </c>
      <c r="G59" s="222">
        <v>0</v>
      </c>
      <c r="H59" s="222">
        <v>0</v>
      </c>
      <c r="I59" s="237">
        <f t="shared" si="2"/>
        <v>2.5000000000000001E-2</v>
      </c>
      <c r="J59" s="34"/>
      <c r="K59" s="305"/>
      <c r="L59" s="34"/>
      <c r="M59" s="278"/>
      <c r="N59" s="278"/>
      <c r="O59" s="278"/>
      <c r="P59" s="278"/>
      <c r="Q59" s="278"/>
      <c r="R59" s="291"/>
    </row>
    <row r="60" spans="2:18" ht="30" x14ac:dyDescent="0.25">
      <c r="B60" s="51" t="str">
        <f>'Patient Care Equip'!$D68</f>
        <v>Electrocardiograph, portable, w/accessories</v>
      </c>
      <c r="C60" s="51" t="str">
        <f t="shared" si="0"/>
        <v>In-patient careElectrocardiograph, portable, w/accessories</v>
      </c>
      <c r="D60" s="222">
        <v>0</v>
      </c>
      <c r="E60" s="222">
        <v>0</v>
      </c>
      <c r="F60" s="222">
        <v>0</v>
      </c>
      <c r="G60" s="222">
        <v>0</v>
      </c>
      <c r="H60" s="222">
        <v>0</v>
      </c>
      <c r="I60" s="237">
        <f t="shared" si="2"/>
        <v>2.5000000000000001E-2</v>
      </c>
      <c r="J60" s="34"/>
      <c r="K60" s="305"/>
      <c r="L60" s="34"/>
      <c r="M60" s="278"/>
      <c r="N60" s="278"/>
      <c r="O60" s="278"/>
      <c r="P60" s="278"/>
      <c r="Q60" s="278"/>
      <c r="R60" s="291"/>
    </row>
    <row r="61" spans="2:18" ht="30" x14ac:dyDescent="0.25">
      <c r="B61" s="51" t="str">
        <f>'Patient Care Equip'!$D69</f>
        <v>Ultrasound, portable, w/ transducers and trolley</v>
      </c>
      <c r="C61" s="51" t="str">
        <f t="shared" si="0"/>
        <v>In-patient careUltrasound, portable, w/ transducers and trolley</v>
      </c>
      <c r="D61" s="222">
        <v>0</v>
      </c>
      <c r="E61" s="222">
        <v>0</v>
      </c>
      <c r="F61" s="222">
        <v>0</v>
      </c>
      <c r="G61" s="222">
        <v>0</v>
      </c>
      <c r="H61" s="222">
        <v>0</v>
      </c>
      <c r="I61" s="237">
        <f t="shared" si="2"/>
        <v>2.5000000000000001E-2</v>
      </c>
      <c r="J61" s="34"/>
      <c r="K61" s="305"/>
      <c r="L61" s="34"/>
      <c r="M61" s="278"/>
      <c r="N61" s="278"/>
      <c r="O61" s="278"/>
      <c r="P61" s="278"/>
      <c r="Q61" s="278"/>
      <c r="R61" s="291"/>
    </row>
    <row r="62" spans="2:18" x14ac:dyDescent="0.25">
      <c r="B62" s="51" t="str">
        <f>'Patient Care Equip'!$D70</f>
        <v>Table, resuscitation, neonate</v>
      </c>
      <c r="C62" s="51" t="str">
        <f t="shared" si="0"/>
        <v>In-patient careTable, resuscitation, neonate</v>
      </c>
      <c r="D62" s="222">
        <v>0</v>
      </c>
      <c r="E62" s="222">
        <v>0</v>
      </c>
      <c r="F62" s="222">
        <v>0</v>
      </c>
      <c r="G62" s="222">
        <v>0</v>
      </c>
      <c r="H62" s="222">
        <v>0</v>
      </c>
      <c r="I62" s="237">
        <f t="shared" si="2"/>
        <v>2.5000000000000001E-2</v>
      </c>
      <c r="J62" s="34"/>
      <c r="K62" s="305"/>
      <c r="L62" s="34"/>
      <c r="M62" s="278"/>
      <c r="N62" s="278"/>
      <c r="O62" s="278"/>
      <c r="P62" s="278"/>
      <c r="Q62" s="278"/>
      <c r="R62" s="291"/>
    </row>
    <row r="63" spans="2:18" x14ac:dyDescent="0.25">
      <c r="B63" s="51" t="str">
        <f>'Patient Care Equip'!$D71</f>
        <v xml:space="preserve">Infant scale, electronic, 0-20 kg </v>
      </c>
      <c r="C63" s="51" t="str">
        <f t="shared" si="0"/>
        <v xml:space="preserve">In-patient careInfant scale, electronic, 0-20 kg </v>
      </c>
      <c r="D63" s="222">
        <v>0</v>
      </c>
      <c r="E63" s="222">
        <v>0</v>
      </c>
      <c r="F63" s="222">
        <v>0</v>
      </c>
      <c r="G63" s="222">
        <v>0</v>
      </c>
      <c r="H63" s="222">
        <v>0</v>
      </c>
      <c r="I63" s="237">
        <f t="shared" si="2"/>
        <v>2.5000000000000001E-2</v>
      </c>
      <c r="J63" s="34"/>
      <c r="K63" s="305"/>
      <c r="L63" s="34"/>
      <c r="M63" s="278"/>
      <c r="N63" s="278"/>
      <c r="O63" s="278"/>
      <c r="P63" s="278"/>
      <c r="Q63" s="278"/>
      <c r="R63" s="291"/>
    </row>
    <row r="64" spans="2:18" x14ac:dyDescent="0.25">
      <c r="B64" s="51" t="str">
        <f>'Patient Care Equip'!$D72</f>
        <v>Scale, electronic, 50g/0-200kg</v>
      </c>
      <c r="C64" s="51" t="str">
        <f t="shared" si="0"/>
        <v>In-patient careScale, electronic, 50g/0-200kg</v>
      </c>
      <c r="D64" s="222">
        <v>0</v>
      </c>
      <c r="E64" s="222">
        <v>0</v>
      </c>
      <c r="F64" s="222">
        <v>0</v>
      </c>
      <c r="G64" s="222">
        <v>0</v>
      </c>
      <c r="H64" s="222">
        <v>0</v>
      </c>
      <c r="I64" s="237">
        <f t="shared" si="2"/>
        <v>2.5000000000000001E-2</v>
      </c>
      <c r="J64" s="34"/>
      <c r="K64" s="305"/>
      <c r="L64" s="34"/>
      <c r="M64" s="278"/>
      <c r="N64" s="278"/>
      <c r="O64" s="278"/>
      <c r="P64" s="278"/>
      <c r="Q64" s="278"/>
      <c r="R64" s="291"/>
    </row>
    <row r="65" spans="2:18" x14ac:dyDescent="0.25">
      <c r="B65" s="51" t="str">
        <f>'Patient Care Equip'!$D73</f>
        <v>Autoclave, 40-60L, with accessories</v>
      </c>
      <c r="C65" s="51" t="str">
        <f t="shared" si="0"/>
        <v>In-patient careAutoclave, 40-60L, with accessories</v>
      </c>
      <c r="D65" s="222">
        <v>0</v>
      </c>
      <c r="E65" s="222">
        <v>0</v>
      </c>
      <c r="F65" s="222">
        <v>0</v>
      </c>
      <c r="G65" s="222">
        <v>0</v>
      </c>
      <c r="H65" s="222">
        <v>0</v>
      </c>
      <c r="I65" s="237">
        <f t="shared" si="2"/>
        <v>2.5000000000000001E-2</v>
      </c>
      <c r="J65" s="34"/>
      <c r="K65" s="305"/>
      <c r="L65" s="34"/>
      <c r="M65" s="278"/>
      <c r="N65" s="278"/>
      <c r="O65" s="278"/>
      <c r="P65" s="278"/>
      <c r="Q65" s="278"/>
      <c r="R65" s="291"/>
    </row>
    <row r="66" spans="2:18" ht="15.75" thickBot="1" x14ac:dyDescent="0.3">
      <c r="B66" s="51" t="str">
        <f>'Patient Care Equip'!$D74</f>
        <v>Autoclave, 90L, with accessories</v>
      </c>
      <c r="C66" s="51" t="str">
        <f t="shared" si="0"/>
        <v>In-patient careAutoclave, 90L, with accessories</v>
      </c>
      <c r="D66" s="222">
        <v>0</v>
      </c>
      <c r="E66" s="222">
        <v>0</v>
      </c>
      <c r="F66" s="222">
        <v>0</v>
      </c>
      <c r="G66" s="222">
        <v>0</v>
      </c>
      <c r="H66" s="222">
        <v>0</v>
      </c>
      <c r="I66" s="237">
        <f t="shared" si="2"/>
        <v>2.5000000000000001E-2</v>
      </c>
      <c r="J66" s="34"/>
      <c r="K66" s="305"/>
      <c r="L66" s="34"/>
      <c r="M66" s="278"/>
      <c r="N66" s="278"/>
      <c r="O66" s="278"/>
      <c r="P66" s="278"/>
      <c r="Q66" s="278"/>
      <c r="R66" s="291"/>
    </row>
    <row r="67" spans="2:18" x14ac:dyDescent="0.25">
      <c r="B67" s="54" t="s">
        <v>282</v>
      </c>
      <c r="C67" s="54"/>
      <c r="D67" s="239"/>
      <c r="E67" s="239"/>
      <c r="F67" s="239"/>
      <c r="G67" s="239"/>
      <c r="H67" s="240"/>
      <c r="I67" s="240"/>
      <c r="K67" s="307"/>
      <c r="M67" s="292"/>
      <c r="N67" s="292"/>
      <c r="O67" s="292"/>
      <c r="P67" s="292"/>
      <c r="Q67" s="293"/>
      <c r="R67" s="294"/>
    </row>
    <row r="68" spans="2:18" x14ac:dyDescent="0.25">
      <c r="B68" s="50" t="s">
        <v>264</v>
      </c>
      <c r="C68" s="107"/>
      <c r="D68" s="233"/>
      <c r="E68" s="234"/>
      <c r="F68" s="234"/>
      <c r="G68" s="234"/>
      <c r="H68" s="234"/>
      <c r="I68" s="234"/>
      <c r="J68" s="40"/>
      <c r="K68" s="303"/>
      <c r="L68" s="40"/>
      <c r="M68" s="276"/>
      <c r="N68" s="276"/>
      <c r="O68" s="276"/>
      <c r="P68" s="276"/>
      <c r="Q68" s="276"/>
      <c r="R68" s="277"/>
    </row>
    <row r="69" spans="2:18" x14ac:dyDescent="0.25">
      <c r="B69" s="52" t="str">
        <f>'Patient Care Equip'!D40</f>
        <v>Mask, medical</v>
      </c>
      <c r="C69" s="52" t="str">
        <f>CONCATENATE($B$67,$B69)</f>
        <v>Out-patient careMask, medical</v>
      </c>
      <c r="D69" s="228">
        <v>0</v>
      </c>
      <c r="E69" s="223">
        <v>0</v>
      </c>
      <c r="F69" s="223">
        <v>2</v>
      </c>
      <c r="G69" s="223">
        <v>0</v>
      </c>
      <c r="H69" s="224">
        <v>0</v>
      </c>
      <c r="I69" s="224">
        <v>0</v>
      </c>
      <c r="J69" s="41" t="s">
        <v>321</v>
      </c>
      <c r="K69" s="304" t="str">
        <f>INDEX('Patient Care Equip'!$E$17:$E$41,MATCH($B69,'Patient Care Equip'!$D$17:$D$41,0))</f>
        <v>No</v>
      </c>
      <c r="L69" s="41"/>
      <c r="M69" s="279"/>
      <c r="N69" s="279"/>
      <c r="O69" s="279"/>
      <c r="P69" s="279"/>
      <c r="Q69" s="280"/>
      <c r="R69" s="281"/>
    </row>
    <row r="70" spans="2:18" x14ac:dyDescent="0.25">
      <c r="B70" s="52" t="str">
        <f>'Patient Care Equip'!D41</f>
        <v>Mask, medical patient</v>
      </c>
      <c r="C70" s="52" t="str">
        <f t="shared" ref="C70:C75" si="3">CONCATENATE($B$67,$B70)</f>
        <v>Out-patient careMask, medical patient</v>
      </c>
      <c r="D70" s="228">
        <v>0</v>
      </c>
      <c r="E70" s="223">
        <v>0</v>
      </c>
      <c r="F70" s="223">
        <v>0</v>
      </c>
      <c r="G70" s="223">
        <v>0</v>
      </c>
      <c r="H70" s="224">
        <v>2</v>
      </c>
      <c r="I70" s="224">
        <v>0</v>
      </c>
      <c r="J70" s="41" t="s">
        <v>321</v>
      </c>
      <c r="K70" s="304" t="str">
        <f>INDEX('Patient Care Equip'!$E$17:$E$41,MATCH($B70,'Patient Care Equip'!$D$17:$D$41,0))</f>
        <v>No</v>
      </c>
      <c r="L70" s="41"/>
      <c r="M70" s="279"/>
      <c r="N70" s="279"/>
      <c r="O70" s="279"/>
      <c r="P70" s="279"/>
      <c r="Q70" s="280"/>
      <c r="R70" s="281"/>
    </row>
    <row r="71" spans="2:18" x14ac:dyDescent="0.25">
      <c r="B71" s="45" t="str">
        <f>'Patient Care Equip'!D35</f>
        <v>Gloves, examination</v>
      </c>
      <c r="C71" s="52" t="str">
        <f t="shared" si="3"/>
        <v>Out-patient careGloves, examination</v>
      </c>
      <c r="D71" s="228">
        <v>0</v>
      </c>
      <c r="E71" s="228">
        <v>0</v>
      </c>
      <c r="F71" s="228">
        <v>4</v>
      </c>
      <c r="G71" s="228">
        <v>0</v>
      </c>
      <c r="H71" s="229">
        <v>2</v>
      </c>
      <c r="I71" s="224">
        <v>0</v>
      </c>
      <c r="J71" s="41" t="s">
        <v>321</v>
      </c>
      <c r="K71" s="304" t="str">
        <f>INDEX('Patient Care Equip'!$E$17:$E$41,MATCH($B71,'Patient Care Equip'!$D$17:$D$41,0))</f>
        <v>No</v>
      </c>
      <c r="L71" s="41"/>
      <c r="M71" s="285"/>
      <c r="N71" s="285"/>
      <c r="O71" s="285"/>
      <c r="P71" s="285"/>
      <c r="Q71" s="286"/>
      <c r="R71" s="281"/>
    </row>
    <row r="72" spans="2:18" x14ac:dyDescent="0.25">
      <c r="B72" s="45" t="str">
        <f>'Patient Care Equip'!D20</f>
        <v>Gown, protective</v>
      </c>
      <c r="C72" s="52" t="str">
        <f t="shared" si="3"/>
        <v>Out-patient careGown, protective</v>
      </c>
      <c r="D72" s="228">
        <v>0</v>
      </c>
      <c r="E72" s="228">
        <v>0</v>
      </c>
      <c r="F72" s="228">
        <v>0</v>
      </c>
      <c r="G72" s="228">
        <v>0</v>
      </c>
      <c r="H72" s="229">
        <v>0</v>
      </c>
      <c r="I72" s="224">
        <v>0</v>
      </c>
      <c r="J72" s="41" t="s">
        <v>321</v>
      </c>
      <c r="K72" s="304" t="str">
        <f>INDEX('Patient Care Equip'!$E$17:$E$41,MATCH($B72,'Patient Care Equip'!$D$17:$D$41,0))</f>
        <v>No</v>
      </c>
      <c r="L72" s="41"/>
      <c r="M72" s="285"/>
      <c r="N72" s="285"/>
      <c r="O72" s="285"/>
      <c r="P72" s="285"/>
      <c r="Q72" s="286"/>
      <c r="R72" s="281"/>
    </row>
    <row r="73" spans="2:18" x14ac:dyDescent="0.25">
      <c r="B73" s="45" t="str">
        <f>'Patient Care Equip'!D37</f>
        <v>Goggles, protective</v>
      </c>
      <c r="C73" s="52" t="str">
        <f t="shared" si="3"/>
        <v>Out-patient careGoggles, protective</v>
      </c>
      <c r="D73" s="225">
        <v>0</v>
      </c>
      <c r="E73" s="228">
        <v>0</v>
      </c>
      <c r="F73" s="228">
        <v>0</v>
      </c>
      <c r="G73" s="228">
        <v>0</v>
      </c>
      <c r="H73" s="229">
        <v>0</v>
      </c>
      <c r="I73" s="224">
        <v>0</v>
      </c>
      <c r="J73" s="41" t="s">
        <v>321</v>
      </c>
      <c r="K73" s="304" t="str">
        <f>INDEX('Patient Care Equip'!$E$17:$E$41,MATCH($B73,'Patient Care Equip'!$D$17:$D$41,0))</f>
        <v>Yes</v>
      </c>
      <c r="L73" s="41"/>
      <c r="M73" s="285"/>
      <c r="N73" s="285"/>
      <c r="O73" s="285"/>
      <c r="P73" s="285"/>
      <c r="Q73" s="286"/>
      <c r="R73" s="281"/>
    </row>
    <row r="74" spans="2:18" x14ac:dyDescent="0.25">
      <c r="B74" s="50" t="s">
        <v>332</v>
      </c>
      <c r="C74" s="107"/>
      <c r="D74" s="233"/>
      <c r="E74" s="234"/>
      <c r="F74" s="234"/>
      <c r="G74" s="234"/>
      <c r="H74" s="234"/>
      <c r="I74" s="234"/>
      <c r="J74" s="34"/>
      <c r="K74" s="305"/>
      <c r="L74" s="34"/>
      <c r="M74" s="276"/>
      <c r="N74" s="276"/>
      <c r="O74" s="276"/>
      <c r="P74" s="276"/>
      <c r="Q74" s="276"/>
      <c r="R74" s="277"/>
    </row>
    <row r="75" spans="2:18" ht="15.75" thickBot="1" x14ac:dyDescent="0.3">
      <c r="B75" s="53" t="str">
        <f>'Patient Care Equip'!D18</f>
        <v>Alcohol-based hand rub</v>
      </c>
      <c r="C75" s="52" t="str">
        <f t="shared" si="3"/>
        <v>Out-patient careAlcohol-based hand rub</v>
      </c>
      <c r="D75" s="230">
        <v>0</v>
      </c>
      <c r="E75" s="231">
        <v>0</v>
      </c>
      <c r="F75" s="227">
        <f>1/30</f>
        <v>3.3333333333333333E-2</v>
      </c>
      <c r="G75" s="231">
        <v>0</v>
      </c>
      <c r="H75" s="232">
        <v>0</v>
      </c>
      <c r="I75" s="224">
        <v>0</v>
      </c>
      <c r="J75" s="41" t="s">
        <v>274</v>
      </c>
      <c r="K75" s="304" t="str">
        <f>INDEX('Patient Care Equip'!$E$17:$E$41,MATCH($B75,'Patient Care Equip'!$D$17:$D$41,0))</f>
        <v>No</v>
      </c>
      <c r="L75" s="41"/>
      <c r="M75" s="288"/>
      <c r="N75" s="288"/>
      <c r="O75" s="284" t="s">
        <v>754</v>
      </c>
      <c r="P75" s="288"/>
      <c r="Q75" s="289"/>
      <c r="R75" s="281"/>
    </row>
    <row r="76" spans="2:18" x14ac:dyDescent="0.25">
      <c r="B76" s="54" t="s">
        <v>312</v>
      </c>
      <c r="C76" s="54"/>
      <c r="D76" s="239"/>
      <c r="E76" s="239"/>
      <c r="F76" s="239"/>
      <c r="G76" s="239"/>
      <c r="H76" s="240"/>
      <c r="I76" s="240"/>
      <c r="K76" s="307"/>
      <c r="M76" s="292"/>
      <c r="N76" s="292"/>
      <c r="O76" s="292"/>
      <c r="P76" s="292"/>
      <c r="Q76" s="293"/>
      <c r="R76" s="294"/>
    </row>
    <row r="77" spans="2:18" x14ac:dyDescent="0.25">
      <c r="B77" s="50" t="s">
        <v>264</v>
      </c>
      <c r="C77" s="107"/>
      <c r="D77" s="233"/>
      <c r="E77" s="234"/>
      <c r="F77" s="234"/>
      <c r="G77" s="234"/>
      <c r="H77" s="234"/>
      <c r="I77" s="234"/>
      <c r="J77" s="40"/>
      <c r="K77" s="303"/>
      <c r="L77" s="40"/>
      <c r="M77" s="276"/>
      <c r="N77" s="276"/>
      <c r="O77" s="276"/>
      <c r="P77" s="276"/>
      <c r="Q77" s="276"/>
      <c r="R77" s="277"/>
    </row>
    <row r="78" spans="2:18" x14ac:dyDescent="0.25">
      <c r="B78" s="55" t="str">
        <f>'Patient Care Equip'!D35</f>
        <v>Gloves, examination</v>
      </c>
      <c r="C78" s="55" t="str">
        <f>CONCATENATE($B$76,$B78)</f>
        <v>ConsultationGloves, examination</v>
      </c>
      <c r="D78" s="223">
        <v>8</v>
      </c>
      <c r="E78" s="223">
        <v>0</v>
      </c>
      <c r="F78" s="223">
        <v>0</v>
      </c>
      <c r="G78" s="223">
        <v>0</v>
      </c>
      <c r="H78" s="224">
        <v>0</v>
      </c>
      <c r="I78" s="224">
        <v>0</v>
      </c>
      <c r="J78" s="41" t="s">
        <v>320</v>
      </c>
      <c r="K78" s="304" t="str">
        <f>INDEX('Patient Care Equip'!$E$17:$E$41,MATCH($B78,'Patient Care Equip'!$D$17:$D$41,0))</f>
        <v>No</v>
      </c>
      <c r="L78" s="41"/>
      <c r="M78" s="279"/>
      <c r="N78" s="279"/>
      <c r="O78" s="279"/>
      <c r="P78" s="279"/>
      <c r="Q78" s="280"/>
      <c r="R78" s="281"/>
    </row>
    <row r="79" spans="2:18" x14ac:dyDescent="0.25">
      <c r="B79" s="52" t="str">
        <f>'Patient Care Equip'!D40</f>
        <v>Mask, medical</v>
      </c>
      <c r="C79" s="55" t="str">
        <f t="shared" ref="C79:C87" si="4">CONCATENATE($B$76,$B79)</f>
        <v>ConsultationMask, medical</v>
      </c>
      <c r="D79" s="228">
        <v>4</v>
      </c>
      <c r="E79" s="223">
        <v>0</v>
      </c>
      <c r="F79" s="223">
        <v>0</v>
      </c>
      <c r="G79" s="223">
        <v>0</v>
      </c>
      <c r="H79" s="229">
        <v>1</v>
      </c>
      <c r="I79" s="224">
        <v>0</v>
      </c>
      <c r="J79" s="41" t="s">
        <v>321</v>
      </c>
      <c r="K79" s="304" t="str">
        <f>INDEX('Patient Care Equip'!$E$17:$E$41,MATCH($B79,'Patient Care Equip'!$D$17:$D$41,0))</f>
        <v>No</v>
      </c>
      <c r="L79" s="41"/>
      <c r="M79" s="279"/>
      <c r="N79" s="279"/>
      <c r="O79" s="279"/>
      <c r="P79" s="279"/>
      <c r="Q79" s="286"/>
      <c r="R79" s="281"/>
    </row>
    <row r="80" spans="2:18" x14ac:dyDescent="0.25">
      <c r="B80" s="55" t="str">
        <f>'Patient Care Equip'!D20</f>
        <v>Gown, protective</v>
      </c>
      <c r="C80" s="55" t="str">
        <f t="shared" si="4"/>
        <v>ConsultationGown, protective</v>
      </c>
      <c r="D80" s="223">
        <v>2</v>
      </c>
      <c r="E80" s="223">
        <v>0</v>
      </c>
      <c r="F80" s="223">
        <v>0</v>
      </c>
      <c r="G80" s="223">
        <v>0</v>
      </c>
      <c r="H80" s="224">
        <v>0</v>
      </c>
      <c r="I80" s="224">
        <v>0</v>
      </c>
      <c r="J80" s="41" t="s">
        <v>321</v>
      </c>
      <c r="K80" s="304" t="str">
        <f>INDEX('Patient Care Equip'!$E$17:$E$41,MATCH($B80,'Patient Care Equip'!$D$17:$D$41,0))</f>
        <v>No</v>
      </c>
      <c r="L80" s="41"/>
      <c r="M80" s="279"/>
      <c r="N80" s="279"/>
      <c r="O80" s="279"/>
      <c r="P80" s="279"/>
      <c r="Q80" s="280"/>
      <c r="R80" s="281"/>
    </row>
    <row r="81" spans="2:18" x14ac:dyDescent="0.25">
      <c r="B81" s="45" t="str">
        <f>'Patient Care Equip'!D37</f>
        <v>Goggles, protective</v>
      </c>
      <c r="C81" s="55" t="str">
        <f t="shared" si="4"/>
        <v>ConsultationGoggles, protective</v>
      </c>
      <c r="D81" s="241">
        <v>0.1</v>
      </c>
      <c r="E81" s="223">
        <v>0</v>
      </c>
      <c r="F81" s="223">
        <v>0</v>
      </c>
      <c r="G81" s="223">
        <v>0</v>
      </c>
      <c r="H81" s="229">
        <v>0</v>
      </c>
      <c r="I81" s="224">
        <v>0</v>
      </c>
      <c r="J81" s="41" t="s">
        <v>321</v>
      </c>
      <c r="K81" s="304" t="str">
        <f>INDEX('Patient Care Equip'!$E$17:$E$41,MATCH($B81,'Patient Care Equip'!$D$17:$D$41,0))</f>
        <v>Yes</v>
      </c>
      <c r="L81" s="41"/>
      <c r="M81" s="279"/>
      <c r="N81" s="279"/>
      <c r="O81" s="279"/>
      <c r="P81" s="279"/>
      <c r="Q81" s="286"/>
      <c r="R81" s="281"/>
    </row>
    <row r="82" spans="2:18" x14ac:dyDescent="0.25">
      <c r="B82" s="45" t="str">
        <f>'Patient Care Equip'!D21</f>
        <v>Scrubs, tops</v>
      </c>
      <c r="C82" s="55" t="str">
        <f t="shared" si="4"/>
        <v>ConsultationScrubs, tops</v>
      </c>
      <c r="D82" s="241">
        <v>0.03</v>
      </c>
      <c r="E82" s="223">
        <v>0</v>
      </c>
      <c r="F82" s="223">
        <v>0</v>
      </c>
      <c r="G82" s="223">
        <v>0</v>
      </c>
      <c r="H82" s="229">
        <v>0</v>
      </c>
      <c r="I82" s="224">
        <v>0</v>
      </c>
      <c r="J82" s="41" t="s">
        <v>321</v>
      </c>
      <c r="K82" s="304" t="str">
        <f>INDEX('Patient Care Equip'!$E$17:$E$41,MATCH($B82,'Patient Care Equip'!$D$17:$D$41,0))</f>
        <v>Yes</v>
      </c>
      <c r="L82" s="41"/>
      <c r="M82" s="279"/>
      <c r="N82" s="279"/>
      <c r="O82" s="279"/>
      <c r="P82" s="279"/>
      <c r="Q82" s="286"/>
      <c r="R82" s="281"/>
    </row>
    <row r="83" spans="2:18" x14ac:dyDescent="0.25">
      <c r="B83" s="55" t="str">
        <f>'Patient Care Equip'!D22</f>
        <v>Scrubs, pants</v>
      </c>
      <c r="C83" s="55" t="str">
        <f t="shared" si="4"/>
        <v>ConsultationScrubs, pants</v>
      </c>
      <c r="D83" s="241">
        <v>0.03</v>
      </c>
      <c r="E83" s="223">
        <v>0</v>
      </c>
      <c r="F83" s="223">
        <v>0</v>
      </c>
      <c r="G83" s="223">
        <v>0</v>
      </c>
      <c r="H83" s="224">
        <v>0</v>
      </c>
      <c r="I83" s="224">
        <v>0</v>
      </c>
      <c r="J83" s="41" t="s">
        <v>321</v>
      </c>
      <c r="K83" s="304" t="str">
        <f>INDEX('Patient Care Equip'!$E$17:$E$41,MATCH($B83,'Patient Care Equip'!$D$17:$D$41,0))</f>
        <v>Yes</v>
      </c>
      <c r="L83" s="41"/>
      <c r="M83" s="279"/>
      <c r="N83" s="279"/>
      <c r="O83" s="279"/>
      <c r="P83" s="279"/>
      <c r="Q83" s="280"/>
      <c r="R83" s="281"/>
    </row>
    <row r="84" spans="2:18" x14ac:dyDescent="0.25">
      <c r="B84" s="50" t="s">
        <v>332</v>
      </c>
      <c r="C84" s="107"/>
      <c r="D84" s="233"/>
      <c r="E84" s="234"/>
      <c r="F84" s="234"/>
      <c r="G84" s="234"/>
      <c r="H84" s="234"/>
      <c r="I84" s="234"/>
      <c r="J84" s="34"/>
      <c r="K84" s="305"/>
      <c r="L84" s="34"/>
      <c r="M84" s="276"/>
      <c r="N84" s="276"/>
      <c r="O84" s="276"/>
      <c r="P84" s="276"/>
      <c r="Q84" s="276"/>
      <c r="R84" s="277"/>
    </row>
    <row r="85" spans="2:18" x14ac:dyDescent="0.25">
      <c r="B85" s="55" t="str">
        <f>'Patient Care Equip'!D18</f>
        <v>Alcohol-based hand rub</v>
      </c>
      <c r="C85" s="55" t="str">
        <f t="shared" si="4"/>
        <v>ConsultationAlcohol-based hand rub</v>
      </c>
      <c r="D85" s="242">
        <v>0.03</v>
      </c>
      <c r="E85" s="223">
        <v>0</v>
      </c>
      <c r="F85" s="223">
        <v>0</v>
      </c>
      <c r="G85" s="223">
        <v>0</v>
      </c>
      <c r="H85" s="224">
        <v>0</v>
      </c>
      <c r="I85" s="224">
        <v>0</v>
      </c>
      <c r="J85" s="41" t="s">
        <v>274</v>
      </c>
      <c r="K85" s="304" t="str">
        <f>INDEX('Patient Care Equip'!$E$17:$E$41,MATCH($B85,'Patient Care Equip'!$D$17:$D$41,0))</f>
        <v>No</v>
      </c>
      <c r="L85" s="41"/>
      <c r="M85" s="279"/>
      <c r="N85" s="279"/>
      <c r="O85" s="279"/>
      <c r="P85" s="279"/>
      <c r="Q85" s="280"/>
      <c r="R85" s="281"/>
    </row>
    <row r="86" spans="2:18" x14ac:dyDescent="0.25">
      <c r="B86" s="45" t="str">
        <f>'Patient Care Equip'!D33</f>
        <v>Bio-hazardous bag</v>
      </c>
      <c r="C86" s="55" t="str">
        <f t="shared" si="4"/>
        <v>ConsultationBio-hazardous bag</v>
      </c>
      <c r="D86" s="228">
        <v>0.5</v>
      </c>
      <c r="E86" s="223">
        <v>0</v>
      </c>
      <c r="F86" s="223">
        <v>0</v>
      </c>
      <c r="G86" s="223">
        <v>0</v>
      </c>
      <c r="H86" s="229">
        <v>0</v>
      </c>
      <c r="I86" s="224">
        <v>0</v>
      </c>
      <c r="J86" s="41" t="s">
        <v>321</v>
      </c>
      <c r="K86" s="304" t="str">
        <f>INDEX('Patient Care Equip'!$E$17:$E$41,MATCH($B86,'Patient Care Equip'!$D$17:$D$41,0))</f>
        <v>No</v>
      </c>
      <c r="L86" s="41"/>
      <c r="M86" s="279"/>
      <c r="N86" s="279"/>
      <c r="O86" s="279"/>
      <c r="P86" s="279"/>
      <c r="Q86" s="286"/>
      <c r="R86" s="281"/>
    </row>
    <row r="87" spans="2:18" ht="15.75" thickBot="1" x14ac:dyDescent="0.3">
      <c r="B87" s="45" t="str">
        <f>'Patient Care Equip'!D19</f>
        <v>Liquid soap</v>
      </c>
      <c r="C87" s="55" t="str">
        <f t="shared" si="4"/>
        <v>ConsultationLiquid soap</v>
      </c>
      <c r="D87" s="228">
        <v>0.02</v>
      </c>
      <c r="E87" s="223">
        <v>0</v>
      </c>
      <c r="F87" s="223">
        <v>0</v>
      </c>
      <c r="G87" s="223">
        <v>0</v>
      </c>
      <c r="H87" s="229">
        <v>0</v>
      </c>
      <c r="I87" s="224">
        <v>0</v>
      </c>
      <c r="J87" s="41" t="s">
        <v>274</v>
      </c>
      <c r="K87" s="304" t="str">
        <f>INDEX('Patient Care Equip'!$E$17:$E$41,MATCH($B87,'Patient Care Equip'!$D$17:$D$41,0))</f>
        <v>No</v>
      </c>
      <c r="L87" s="41"/>
      <c r="M87" s="279"/>
      <c r="N87" s="279"/>
      <c r="O87" s="279"/>
      <c r="P87" s="279"/>
      <c r="Q87" s="286"/>
      <c r="R87" s="281"/>
    </row>
    <row r="88" spans="2:18" x14ac:dyDescent="0.25">
      <c r="B88" s="54" t="s">
        <v>317</v>
      </c>
      <c r="C88" s="54"/>
      <c r="D88" s="239"/>
      <c r="E88" s="239"/>
      <c r="F88" s="239"/>
      <c r="G88" s="239"/>
      <c r="H88" s="240"/>
      <c r="I88" s="240"/>
      <c r="K88" s="307"/>
      <c r="M88" s="292"/>
      <c r="N88" s="292"/>
      <c r="O88" s="292"/>
      <c r="P88" s="292"/>
      <c r="Q88" s="293"/>
      <c r="R88" s="294"/>
    </row>
    <row r="89" spans="2:18" x14ac:dyDescent="0.25">
      <c r="B89" s="50" t="s">
        <v>264</v>
      </c>
      <c r="C89" s="107"/>
      <c r="D89" s="233"/>
      <c r="E89" s="234"/>
      <c r="F89" s="234"/>
      <c r="G89" s="234"/>
      <c r="H89" s="234"/>
      <c r="I89" s="234"/>
      <c r="J89" s="40"/>
      <c r="K89" s="303"/>
      <c r="L89" s="40"/>
      <c r="M89" s="276"/>
      <c r="N89" s="276"/>
      <c r="O89" s="276"/>
      <c r="P89" s="276"/>
      <c r="Q89" s="276"/>
      <c r="R89" s="277"/>
    </row>
    <row r="90" spans="2:18" ht="18" x14ac:dyDescent="0.25">
      <c r="B90" s="55" t="str">
        <f>'Patient Care Equip'!D37</f>
        <v>Goggles, protective</v>
      </c>
      <c r="C90" s="55" t="str">
        <f>CONCATENATE($B$88,$B90)</f>
        <v>LaboratoriesGoggles, protective</v>
      </c>
      <c r="D90" s="243">
        <f>2/30</f>
        <v>6.6666666666666666E-2</v>
      </c>
      <c r="E90" s="223">
        <f>E26</f>
        <v>0</v>
      </c>
      <c r="F90" s="223">
        <v>0</v>
      </c>
      <c r="G90" s="223">
        <v>0</v>
      </c>
      <c r="H90" s="224">
        <v>0</v>
      </c>
      <c r="I90" s="224">
        <v>0</v>
      </c>
      <c r="J90" s="41" t="s">
        <v>321</v>
      </c>
      <c r="K90" s="304" t="str">
        <f>INDEX('Patient Care Equip'!$E$17:$E$41,MATCH($B90,'Patient Care Equip'!$D$17:$D$41,0))</f>
        <v>Yes</v>
      </c>
      <c r="L90" s="41"/>
      <c r="M90" s="396" t="s">
        <v>1293</v>
      </c>
      <c r="N90" s="279"/>
      <c r="O90" s="279"/>
      <c r="P90" s="279"/>
      <c r="Q90" s="280"/>
      <c r="R90" s="281"/>
    </row>
    <row r="91" spans="2:18" x14ac:dyDescent="0.25">
      <c r="B91" s="52" t="str">
        <f>'Patient Care Equip'!D40</f>
        <v>Mask, medical</v>
      </c>
      <c r="C91" s="55" t="str">
        <f t="shared" ref="C91:C103" si="5">CONCATENATE($B$88,$B91)</f>
        <v>LaboratoriesMask, medical</v>
      </c>
      <c r="D91" s="223">
        <v>4</v>
      </c>
      <c r="E91" s="223">
        <f>E19</f>
        <v>0</v>
      </c>
      <c r="F91" s="223">
        <v>0</v>
      </c>
      <c r="G91" s="223">
        <v>0</v>
      </c>
      <c r="H91" s="224">
        <v>0</v>
      </c>
      <c r="I91" s="224">
        <v>0</v>
      </c>
      <c r="J91" s="41" t="s">
        <v>321</v>
      </c>
      <c r="K91" s="304" t="str">
        <f>INDEX('Patient Care Equip'!$E$17:$E$41,MATCH($B91,'Patient Care Equip'!$D$17:$D$41,0))</f>
        <v>No</v>
      </c>
      <c r="L91" s="41"/>
      <c r="M91" s="279"/>
      <c r="N91" s="279"/>
      <c r="O91" s="279"/>
      <c r="P91" s="279"/>
      <c r="Q91" s="280"/>
      <c r="R91" s="281"/>
    </row>
    <row r="92" spans="2:18" x14ac:dyDescent="0.25">
      <c r="B92" s="55" t="str">
        <f>'Patient Care Equip'!D38</f>
        <v>Face shield</v>
      </c>
      <c r="C92" s="55" t="str">
        <f t="shared" si="5"/>
        <v>LaboratoriesFace shield</v>
      </c>
      <c r="D92" s="223">
        <v>2</v>
      </c>
      <c r="E92" s="223">
        <f>E17</f>
        <v>0</v>
      </c>
      <c r="F92" s="223">
        <v>0</v>
      </c>
      <c r="G92" s="223">
        <v>0</v>
      </c>
      <c r="H92" s="224">
        <v>0</v>
      </c>
      <c r="I92" s="224">
        <v>0</v>
      </c>
      <c r="J92" s="41" t="s">
        <v>321</v>
      </c>
      <c r="K92" s="304" t="str">
        <f>INDEX('Patient Care Equip'!$E$17:$E$41,MATCH($B92,'Patient Care Equip'!$D$17:$D$41,0))</f>
        <v>No</v>
      </c>
      <c r="L92" s="41"/>
      <c r="M92" s="279" t="s">
        <v>755</v>
      </c>
      <c r="N92" s="279"/>
      <c r="O92" s="279"/>
      <c r="P92" s="279"/>
      <c r="Q92" s="280"/>
      <c r="R92" s="281"/>
    </row>
    <row r="93" spans="2:18" x14ac:dyDescent="0.25">
      <c r="B93" s="55" t="str">
        <f>'Patient Care Equip'!D35</f>
        <v>Gloves, examination</v>
      </c>
      <c r="C93" s="55" t="str">
        <f t="shared" si="5"/>
        <v>LaboratoriesGloves, examination</v>
      </c>
      <c r="D93" s="223">
        <v>8</v>
      </c>
      <c r="E93" s="223">
        <f>E15</f>
        <v>0</v>
      </c>
      <c r="F93" s="223">
        <v>0</v>
      </c>
      <c r="G93" s="223">
        <v>0</v>
      </c>
      <c r="H93" s="224">
        <v>0</v>
      </c>
      <c r="I93" s="224">
        <v>0</v>
      </c>
      <c r="J93" s="41" t="s">
        <v>321</v>
      </c>
      <c r="K93" s="304" t="str">
        <f>INDEX('Patient Care Equip'!$E$17:$E$41,MATCH($B93,'Patient Care Equip'!$D$17:$D$41,0))</f>
        <v>No</v>
      </c>
      <c r="L93" s="41"/>
      <c r="M93" s="279"/>
      <c r="N93" s="279"/>
      <c r="O93" s="279"/>
      <c r="P93" s="279"/>
      <c r="Q93" s="280"/>
      <c r="R93" s="281"/>
    </row>
    <row r="94" spans="2:18" x14ac:dyDescent="0.25">
      <c r="B94" s="55" t="str">
        <f>'Patient Care Equip'!D20</f>
        <v>Gown, protective</v>
      </c>
      <c r="C94" s="55" t="str">
        <f t="shared" si="5"/>
        <v>LaboratoriesGown, protective</v>
      </c>
      <c r="D94" s="223">
        <v>2</v>
      </c>
      <c r="E94" s="223">
        <f>E23</f>
        <v>1</v>
      </c>
      <c r="F94" s="223">
        <v>0</v>
      </c>
      <c r="G94" s="223">
        <v>0</v>
      </c>
      <c r="H94" s="224">
        <v>0</v>
      </c>
      <c r="I94" s="224">
        <v>0</v>
      </c>
      <c r="J94" s="41" t="s">
        <v>321</v>
      </c>
      <c r="K94" s="304" t="str">
        <f>INDEX('Patient Care Equip'!$E$17:$E$41,MATCH($B94,'Patient Care Equip'!$D$17:$D$41,0))</f>
        <v>No</v>
      </c>
      <c r="L94" s="41"/>
      <c r="M94" s="279"/>
      <c r="N94" s="279"/>
      <c r="O94" s="279"/>
      <c r="P94" s="279"/>
      <c r="Q94" s="280"/>
      <c r="R94" s="281"/>
    </row>
    <row r="95" spans="2:18" x14ac:dyDescent="0.25">
      <c r="B95" s="50" t="s">
        <v>263</v>
      </c>
      <c r="C95" s="107"/>
      <c r="D95" s="233"/>
      <c r="E95" s="234"/>
      <c r="F95" s="234"/>
      <c r="G95" s="234"/>
      <c r="H95" s="234"/>
      <c r="I95" s="234"/>
      <c r="J95" s="34"/>
      <c r="K95" s="305"/>
      <c r="L95" s="34"/>
      <c r="M95" s="276"/>
      <c r="N95" s="276"/>
      <c r="O95" s="276"/>
      <c r="P95" s="276"/>
      <c r="Q95" s="276"/>
      <c r="R95" s="277"/>
    </row>
    <row r="96" spans="2:18" x14ac:dyDescent="0.25">
      <c r="B96" s="55" t="str">
        <f>'Patient Care Equip'!D26</f>
        <v>Triple packaging boxes</v>
      </c>
      <c r="C96" s="55" t="str">
        <f t="shared" si="5"/>
        <v>LaboratoriesTriple packaging boxes</v>
      </c>
      <c r="D96" s="223">
        <v>0.5</v>
      </c>
      <c r="E96" s="223">
        <v>0</v>
      </c>
      <c r="F96" s="223">
        <v>0</v>
      </c>
      <c r="G96" s="223">
        <v>0</v>
      </c>
      <c r="H96" s="224">
        <v>0</v>
      </c>
      <c r="I96" s="224">
        <v>0</v>
      </c>
      <c r="J96" s="41" t="s">
        <v>319</v>
      </c>
      <c r="K96" s="304" t="str">
        <f>INDEX('Patient Care Equip'!$E$17:$E$41,MATCH($B96,'Patient Care Equip'!$D$17:$D$41,0))</f>
        <v>Yes</v>
      </c>
      <c r="L96" s="41"/>
      <c r="M96" s="279"/>
      <c r="N96" s="279"/>
      <c r="O96" s="279"/>
      <c r="P96" s="279"/>
      <c r="Q96" s="280"/>
      <c r="R96" s="281"/>
    </row>
    <row r="97" spans="2:18" x14ac:dyDescent="0.25">
      <c r="B97" s="55" t="str">
        <f>'Patient Care Equip'!D27</f>
        <v>Viral Transport Medium</v>
      </c>
      <c r="C97" s="55" t="str">
        <f t="shared" si="5"/>
        <v>LaboratoriesViral Transport Medium</v>
      </c>
      <c r="D97" s="223">
        <v>0.5</v>
      </c>
      <c r="E97" s="223">
        <v>0</v>
      </c>
      <c r="F97" s="223">
        <v>0</v>
      </c>
      <c r="G97" s="223">
        <v>0</v>
      </c>
      <c r="H97" s="224">
        <v>0</v>
      </c>
      <c r="I97" s="224">
        <v>0</v>
      </c>
      <c r="J97" s="41" t="s">
        <v>319</v>
      </c>
      <c r="K97" s="304" t="str">
        <f>INDEX('Patient Care Equip'!$E$17:$E$41,MATCH($B97,'Patient Care Equip'!$D$17:$D$41,0))</f>
        <v>Yes</v>
      </c>
      <c r="L97" s="41"/>
      <c r="M97" s="279"/>
      <c r="N97" s="279"/>
      <c r="O97" s="279"/>
      <c r="P97" s="279"/>
      <c r="Q97" s="280"/>
      <c r="R97" s="281"/>
    </row>
    <row r="98" spans="2:18" x14ac:dyDescent="0.25">
      <c r="B98" s="55" t="str">
        <f>'Patient Care Equip'!D28</f>
        <v>Safety box</v>
      </c>
      <c r="C98" s="55" t="str">
        <f t="shared" si="5"/>
        <v>LaboratoriesSafety box</v>
      </c>
      <c r="D98" s="223">
        <v>0.2</v>
      </c>
      <c r="E98" s="223">
        <f>E29</f>
        <v>0</v>
      </c>
      <c r="F98" s="223">
        <v>0</v>
      </c>
      <c r="G98" s="223">
        <v>0</v>
      </c>
      <c r="H98" s="224">
        <v>0</v>
      </c>
      <c r="I98" s="224">
        <v>0</v>
      </c>
      <c r="J98" s="41" t="s">
        <v>321</v>
      </c>
      <c r="K98" s="304" t="str">
        <f>INDEX('Patient Care Equip'!$E$17:$E$41,MATCH($B98,'Patient Care Equip'!$D$17:$D$41,0))</f>
        <v>Yes</v>
      </c>
      <c r="L98" s="41"/>
      <c r="M98" s="279"/>
      <c r="N98" s="279"/>
      <c r="O98" s="279"/>
      <c r="P98" s="279"/>
      <c r="Q98" s="280"/>
      <c r="R98" s="281"/>
    </row>
    <row r="99" spans="2:18" x14ac:dyDescent="0.25">
      <c r="B99" s="50" t="s">
        <v>332</v>
      </c>
      <c r="C99" s="107"/>
      <c r="D99" s="233"/>
      <c r="E99" s="234"/>
      <c r="F99" s="234"/>
      <c r="G99" s="234"/>
      <c r="H99" s="234"/>
      <c r="I99" s="234"/>
      <c r="J99" s="34"/>
      <c r="K99" s="305"/>
      <c r="L99" s="34"/>
      <c r="M99" s="276"/>
      <c r="N99" s="276"/>
      <c r="O99" s="276"/>
      <c r="P99" s="276"/>
      <c r="Q99" s="276"/>
      <c r="R99" s="277"/>
    </row>
    <row r="100" spans="2:18" x14ac:dyDescent="0.25">
      <c r="B100" s="55" t="str">
        <f>'Patient Care Equip'!D19</f>
        <v>Liquid soap</v>
      </c>
      <c r="C100" s="55" t="str">
        <f t="shared" si="5"/>
        <v>LaboratoriesLiquid soap</v>
      </c>
      <c r="D100" s="223">
        <v>0.02</v>
      </c>
      <c r="E100" s="243">
        <f>E32</f>
        <v>1.6666666666666666E-2</v>
      </c>
      <c r="F100" s="223">
        <v>0</v>
      </c>
      <c r="G100" s="223">
        <v>0</v>
      </c>
      <c r="H100" s="224">
        <v>0</v>
      </c>
      <c r="I100" s="224">
        <v>0</v>
      </c>
      <c r="J100" s="41" t="s">
        <v>274</v>
      </c>
      <c r="K100" s="304" t="str">
        <f>INDEX('Patient Care Equip'!$E$17:$E$41,MATCH($B100,'Patient Care Equip'!$D$17:$D$41,0))</f>
        <v>No</v>
      </c>
      <c r="L100" s="41"/>
      <c r="M100" s="295"/>
      <c r="N100" s="295"/>
      <c r="O100" s="279"/>
      <c r="P100" s="279"/>
      <c r="Q100" s="280"/>
      <c r="R100" s="281"/>
    </row>
    <row r="101" spans="2:18" x14ac:dyDescent="0.25">
      <c r="B101" s="55" t="str">
        <f>'Patient Care Equip'!D33</f>
        <v>Bio-hazardous bag</v>
      </c>
      <c r="C101" s="55" t="str">
        <f t="shared" si="5"/>
        <v>LaboratoriesBio-hazardous bag</v>
      </c>
      <c r="D101" s="223">
        <v>0.4</v>
      </c>
      <c r="E101" s="223">
        <f>E31</f>
        <v>0.5</v>
      </c>
      <c r="F101" s="223">
        <v>0</v>
      </c>
      <c r="G101" s="223">
        <v>0</v>
      </c>
      <c r="H101" s="224">
        <v>0</v>
      </c>
      <c r="I101" s="224">
        <v>0</v>
      </c>
      <c r="J101" s="41" t="s">
        <v>321</v>
      </c>
      <c r="K101" s="304" t="str">
        <f>INDEX('Patient Care Equip'!$E$17:$E$41,MATCH($B101,'Patient Care Equip'!$D$17:$D$41,0))</f>
        <v>No</v>
      </c>
      <c r="L101" s="41"/>
      <c r="M101" s="279"/>
      <c r="N101" s="279"/>
      <c r="O101" s="279"/>
      <c r="P101" s="279"/>
      <c r="Q101" s="280"/>
      <c r="R101" s="281"/>
    </row>
    <row r="102" spans="2:18" x14ac:dyDescent="0.25">
      <c r="B102" s="55" t="str">
        <f>'Patient Care Equip'!D17</f>
        <v>Chlorine, HTH 70%</v>
      </c>
      <c r="C102" s="55" t="str">
        <f t="shared" si="5"/>
        <v>LaboratoriesChlorine, HTH 70%</v>
      </c>
      <c r="D102" s="223">
        <v>0.1</v>
      </c>
      <c r="E102" s="223">
        <f>E34</f>
        <v>0.03</v>
      </c>
      <c r="F102" s="223">
        <v>0</v>
      </c>
      <c r="G102" s="223">
        <v>0</v>
      </c>
      <c r="H102" s="224">
        <v>0</v>
      </c>
      <c r="I102" s="224">
        <v>0</v>
      </c>
      <c r="J102" s="41" t="s">
        <v>277</v>
      </c>
      <c r="K102" s="304" t="str">
        <f>INDEX('Patient Care Equip'!$E$17:$E$41,MATCH($B102,'Patient Care Equip'!$D$17:$D$41,0))</f>
        <v>No</v>
      </c>
      <c r="L102" s="41"/>
      <c r="M102" s="279"/>
      <c r="N102" s="279"/>
      <c r="O102" s="279"/>
      <c r="P102" s="279"/>
      <c r="Q102" s="280"/>
      <c r="R102" s="281"/>
    </row>
    <row r="103" spans="2:18" ht="15.75" thickBot="1" x14ac:dyDescent="0.3">
      <c r="B103" s="59" t="str">
        <f>'Patient Care Equip'!D18</f>
        <v>Alcohol-based hand rub</v>
      </c>
      <c r="C103" s="55" t="str">
        <f t="shared" si="5"/>
        <v>LaboratoriesAlcohol-based hand rub</v>
      </c>
      <c r="D103" s="244">
        <v>0.03</v>
      </c>
      <c r="E103" s="245">
        <f>E33</f>
        <v>3.3333333333333333E-2</v>
      </c>
      <c r="F103" s="246">
        <v>0</v>
      </c>
      <c r="G103" s="246">
        <v>0</v>
      </c>
      <c r="H103" s="247">
        <v>0</v>
      </c>
      <c r="I103" s="224">
        <v>0</v>
      </c>
      <c r="J103" s="41" t="s">
        <v>274</v>
      </c>
      <c r="K103" s="308" t="str">
        <f>INDEX('Patient Care Equip'!$E$17:$E$41,MATCH($B103,'Patient Care Equip'!$D$17:$D$41,0))</f>
        <v>No</v>
      </c>
      <c r="L103" s="41"/>
      <c r="M103" s="296"/>
      <c r="N103" s="296"/>
      <c r="O103" s="297"/>
      <c r="P103" s="297"/>
      <c r="Q103" s="298"/>
      <c r="R103" s="299"/>
    </row>
    <row r="105" spans="2:18" x14ac:dyDescent="0.25">
      <c r="B105" s="4" t="s">
        <v>856</v>
      </c>
    </row>
    <row r="106" spans="2:18" x14ac:dyDescent="0.25">
      <c r="B106" t="s">
        <v>1295</v>
      </c>
      <c r="C106" s="248">
        <v>0.5</v>
      </c>
      <c r="D106" t="s">
        <v>857</v>
      </c>
    </row>
    <row r="107" spans="2:18" x14ac:dyDescent="0.25">
      <c r="B107" t="s">
        <v>1296</v>
      </c>
      <c r="C107" s="249">
        <v>5</v>
      </c>
      <c r="D107" t="s">
        <v>858</v>
      </c>
    </row>
  </sheetData>
  <sheetProtection algorithmName="SHA-512" hashValue="qJqZLk5UEUOGBNx+/6o2V7tSrsFh87iQH5N+2JCPz+l6lQtBshiSJHpKXgs5W5aJ+hyMcBPBbA02js2AL2gkow==" saltValue="hlSfCsb+78Y3DoobllGM7g==" spinCount="100000" sheet="1" objects="1" scenarios="1"/>
  <phoneticPr fontId="23" type="noConversion"/>
  <pageMargins left="0.7" right="0.7" top="0.75" bottom="0.75" header="0.3" footer="0.3"/>
  <pageSetup orientation="portrait" r:id="rId1"/>
  <legacyDrawing r:id="rId2"/>
  <tableParts count="1">
    <tablePart r:id="rId3"/>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B2:R74"/>
  <sheetViews>
    <sheetView showGridLines="0" zoomScale="70" zoomScaleNormal="70" workbookViewId="0"/>
  </sheetViews>
  <sheetFormatPr defaultRowHeight="15" x14ac:dyDescent="0.25"/>
  <cols>
    <col min="1" max="1" width="3.42578125" customWidth="1"/>
    <col min="2" max="2" width="42.7109375" customWidth="1"/>
    <col min="3" max="3" width="12.42578125" bestFit="1" customWidth="1"/>
    <col min="7" max="7" width="13.5703125" bestFit="1" customWidth="1"/>
    <col min="9" max="9" width="10.5703125" bestFit="1" customWidth="1"/>
    <col min="10" max="10" width="13.5703125" bestFit="1" customWidth="1"/>
    <col min="12" max="12" width="12.42578125" bestFit="1" customWidth="1"/>
  </cols>
  <sheetData>
    <row r="2" spans="2:18" s="29" customFormat="1" ht="18.75" x14ac:dyDescent="0.3">
      <c r="B2" s="29" t="s">
        <v>1177</v>
      </c>
    </row>
    <row r="3" spans="2:18" x14ac:dyDescent="0.25">
      <c r="M3" s="4"/>
    </row>
    <row r="4" spans="2:18" s="16" customFormat="1" x14ac:dyDescent="0.25">
      <c r="B4" s="15" t="s">
        <v>286</v>
      </c>
    </row>
    <row r="5" spans="2:18" x14ac:dyDescent="0.25">
      <c r="B5" t="s">
        <v>287</v>
      </c>
      <c r="C5" s="12"/>
    </row>
    <row r="6" spans="2:18" x14ac:dyDescent="0.25">
      <c r="B6" t="s">
        <v>288</v>
      </c>
      <c r="C6" s="13"/>
    </row>
    <row r="7" spans="2:18" x14ac:dyDescent="0.25">
      <c r="B7" s="6" t="s">
        <v>289</v>
      </c>
      <c r="C7" s="14"/>
    </row>
    <row r="9" spans="2:18" s="21" customFormat="1" x14ac:dyDescent="0.25">
      <c r="B9" s="19" t="s">
        <v>281</v>
      </c>
      <c r="M9" s="22"/>
      <c r="N9" s="23"/>
      <c r="O9" s="23"/>
      <c r="P9" s="23"/>
      <c r="Q9" s="23"/>
      <c r="R9" s="23"/>
    </row>
    <row r="10" spans="2:18" s="18" customFormat="1" x14ac:dyDescent="0.25">
      <c r="B10" s="28" t="s">
        <v>302</v>
      </c>
      <c r="C10" s="24" t="s">
        <v>301</v>
      </c>
      <c r="D10" s="27" t="s">
        <v>293</v>
      </c>
      <c r="M10" s="36"/>
      <c r="N10" s="37"/>
      <c r="O10" s="37"/>
      <c r="P10" s="37"/>
      <c r="Q10" s="37"/>
      <c r="R10" s="37"/>
    </row>
    <row r="11" spans="2:18" x14ac:dyDescent="0.25">
      <c r="B11" s="6" t="s">
        <v>306</v>
      </c>
      <c r="C11" s="250">
        <v>1.6</v>
      </c>
      <c r="D11" t="s">
        <v>1299</v>
      </c>
      <c r="M11" s="25"/>
      <c r="N11" s="17"/>
      <c r="O11" s="17"/>
      <c r="P11" s="17"/>
      <c r="Q11" s="17"/>
      <c r="R11" s="17"/>
    </row>
    <row r="12" spans="2:18" x14ac:dyDescent="0.25">
      <c r="B12" s="6" t="s">
        <v>296</v>
      </c>
      <c r="C12" s="212">
        <v>0.8</v>
      </c>
      <c r="D12" t="s">
        <v>300</v>
      </c>
      <c r="M12" s="25"/>
      <c r="N12" s="17"/>
      <c r="O12" s="17"/>
      <c r="P12" s="17"/>
      <c r="Q12" s="17"/>
      <c r="R12" s="17"/>
    </row>
    <row r="13" spans="2:18" x14ac:dyDescent="0.25">
      <c r="B13" s="6" t="s">
        <v>297</v>
      </c>
      <c r="C13" s="251">
        <v>1</v>
      </c>
      <c r="D13" t="s">
        <v>305</v>
      </c>
      <c r="M13" s="8"/>
      <c r="N13" s="8"/>
      <c r="O13" s="8"/>
      <c r="P13" s="8"/>
      <c r="Q13" s="8"/>
      <c r="R13" s="8"/>
    </row>
    <row r="14" spans="2:18" x14ac:dyDescent="0.25">
      <c r="B14" s="6" t="s">
        <v>299</v>
      </c>
      <c r="C14" s="212">
        <f>1/100*2</f>
        <v>0.02</v>
      </c>
      <c r="D14" t="s">
        <v>298</v>
      </c>
      <c r="M14" s="8"/>
      <c r="N14" s="8"/>
      <c r="O14" s="8"/>
      <c r="P14" s="8"/>
      <c r="Q14" s="8"/>
      <c r="R14" s="8"/>
    </row>
    <row r="15" spans="2:18" x14ac:dyDescent="0.25">
      <c r="C15" s="213"/>
      <c r="M15" s="25"/>
      <c r="N15" s="17"/>
      <c r="O15" s="17"/>
      <c r="P15" s="17"/>
      <c r="Q15" s="17"/>
      <c r="R15" s="17"/>
    </row>
    <row r="16" spans="2:18" x14ac:dyDescent="0.25">
      <c r="B16" s="28" t="s">
        <v>351</v>
      </c>
      <c r="C16" s="252"/>
      <c r="M16" s="25"/>
      <c r="N16" s="17"/>
      <c r="O16" s="17"/>
      <c r="P16" s="17"/>
      <c r="Q16" s="17"/>
      <c r="R16" s="17"/>
    </row>
    <row r="17" spans="2:18" x14ac:dyDescent="0.25">
      <c r="B17" t="s">
        <v>352</v>
      </c>
      <c r="C17" s="212">
        <v>40</v>
      </c>
      <c r="D17" s="3" t="s">
        <v>789</v>
      </c>
      <c r="E17" s="8"/>
      <c r="F17" s="8"/>
      <c r="G17" s="8"/>
      <c r="H17" s="8"/>
      <c r="I17" s="8"/>
      <c r="M17" s="25"/>
      <c r="N17" s="17"/>
      <c r="O17" s="17"/>
      <c r="P17" s="17"/>
      <c r="Q17" s="17"/>
      <c r="R17" s="17"/>
    </row>
    <row r="18" spans="2:18" x14ac:dyDescent="0.25">
      <c r="M18" s="25"/>
      <c r="N18" s="17"/>
      <c r="O18" s="17"/>
      <c r="P18" s="17"/>
      <c r="Q18" s="17"/>
      <c r="R18" s="17"/>
    </row>
    <row r="19" spans="2:18" s="138" customFormat="1" x14ac:dyDescent="0.25">
      <c r="B19" s="138" t="s">
        <v>1028</v>
      </c>
      <c r="C19" s="12">
        <f>IFERROR(INDEX('Hospital Beds by Country'!$BN$5:$BN$268,MATCH('User Dashboard'!$C$17,'Hospital Beds by Country'!$B$5:$B$268,0)),"")</f>
        <v>1.9</v>
      </c>
      <c r="D19" s="138" t="s">
        <v>1029</v>
      </c>
      <c r="H19" s="138" t="s">
        <v>1030</v>
      </c>
      <c r="L19" s="39">
        <f>IF(ISNUMBER($C$19),$C$19*'Patient Calc Assumptions'!$C$12/1000,CONCATENATE("No reported value. The average based on population size would be: ",$L$20," beds"))</f>
        <v>83316.899999999994</v>
      </c>
      <c r="M19" s="25"/>
      <c r="N19" s="17"/>
      <c r="O19" s="17"/>
      <c r="P19" s="17"/>
      <c r="Q19" s="17"/>
      <c r="R19" s="17"/>
    </row>
    <row r="20" spans="2:18" s="138" customFormat="1" x14ac:dyDescent="0.25">
      <c r="B20" s="138" t="s">
        <v>946</v>
      </c>
      <c r="C20" s="212">
        <v>2.6</v>
      </c>
      <c r="D20" s="138" t="s">
        <v>947</v>
      </c>
      <c r="H20" s="138" t="s">
        <v>1031</v>
      </c>
      <c r="L20" s="39">
        <f>ROUNDUP($C$20*'Patient Calc Assumptions'!$C$12/1000,0)</f>
        <v>114013</v>
      </c>
      <c r="M20" s="25"/>
      <c r="N20" s="17"/>
      <c r="O20" s="17"/>
      <c r="P20" s="17"/>
      <c r="Q20" s="17"/>
      <c r="R20" s="17"/>
    </row>
    <row r="21" spans="2:18" s="138" customFormat="1" x14ac:dyDescent="0.25">
      <c r="B21" s="138" t="s">
        <v>1344</v>
      </c>
      <c r="C21" s="253"/>
      <c r="J21" s="39">
        <f>IF(LEFT($L$19,2)="No",$L$20,$L$19)</f>
        <v>83316.899999999994</v>
      </c>
      <c r="L21" s="80"/>
      <c r="M21" s="25"/>
      <c r="N21" s="17"/>
      <c r="O21" s="17"/>
      <c r="P21" s="17"/>
      <c r="Q21" s="17"/>
      <c r="R21" s="17"/>
    </row>
    <row r="22" spans="2:18" s="8" customFormat="1" x14ac:dyDescent="0.25">
      <c r="C22" s="253"/>
      <c r="L22" s="401"/>
      <c r="M22" s="25"/>
      <c r="N22" s="17"/>
      <c r="O22" s="17"/>
      <c r="P22" s="17"/>
      <c r="Q22" s="17"/>
      <c r="R22" s="17"/>
    </row>
    <row r="23" spans="2:18" s="21" customFormat="1" x14ac:dyDescent="0.25">
      <c r="B23" s="19" t="s">
        <v>312</v>
      </c>
      <c r="C23" s="214"/>
      <c r="M23" s="22"/>
      <c r="N23" s="23"/>
      <c r="O23" s="23"/>
      <c r="P23" s="23"/>
      <c r="Q23" s="23"/>
      <c r="R23" s="23"/>
    </row>
    <row r="24" spans="2:18" x14ac:dyDescent="0.25">
      <c r="C24" s="213"/>
    </row>
    <row r="25" spans="2:18" x14ac:dyDescent="0.25">
      <c r="B25" s="6" t="s">
        <v>802</v>
      </c>
      <c r="C25" s="212">
        <v>5</v>
      </c>
      <c r="D25" s="6" t="s">
        <v>1250</v>
      </c>
    </row>
    <row r="26" spans="2:18" x14ac:dyDescent="0.25">
      <c r="B26" s="6"/>
      <c r="C26" s="213"/>
    </row>
    <row r="27" spans="2:18" s="21" customFormat="1" x14ac:dyDescent="0.25">
      <c r="B27" s="19" t="s">
        <v>280</v>
      </c>
      <c r="C27" s="254"/>
    </row>
    <row r="28" spans="2:18" x14ac:dyDescent="0.25">
      <c r="B28" s="31" t="s">
        <v>308</v>
      </c>
      <c r="C28" s="213"/>
    </row>
    <row r="29" spans="2:18" x14ac:dyDescent="0.25">
      <c r="C29" s="213"/>
    </row>
    <row r="30" spans="2:18" x14ac:dyDescent="0.25">
      <c r="B30" s="28" t="s">
        <v>808</v>
      </c>
      <c r="C30" s="255" t="s">
        <v>291</v>
      </c>
      <c r="D30" s="27" t="s">
        <v>293</v>
      </c>
    </row>
    <row r="31" spans="2:18" x14ac:dyDescent="0.25">
      <c r="B31" t="s">
        <v>798</v>
      </c>
      <c r="C31" s="212">
        <v>400</v>
      </c>
      <c r="D31" t="s">
        <v>811</v>
      </c>
    </row>
    <row r="32" spans="2:18" x14ac:dyDescent="0.25">
      <c r="B32" t="s">
        <v>1388</v>
      </c>
      <c r="C32" s="212">
        <v>3</v>
      </c>
      <c r="D32" t="s">
        <v>318</v>
      </c>
    </row>
    <row r="33" spans="2:11" x14ac:dyDescent="0.25">
      <c r="B33" t="s">
        <v>741</v>
      </c>
      <c r="C33" s="212">
        <v>1</v>
      </c>
      <c r="D33" s="18" t="s">
        <v>307</v>
      </c>
    </row>
    <row r="34" spans="2:11" x14ac:dyDescent="0.25">
      <c r="C34" s="253"/>
      <c r="D34" s="18"/>
    </row>
    <row r="35" spans="2:11" x14ac:dyDescent="0.25">
      <c r="B35" s="28" t="s">
        <v>809</v>
      </c>
      <c r="C35" s="255" t="s">
        <v>291</v>
      </c>
      <c r="D35" s="27" t="s">
        <v>293</v>
      </c>
    </row>
    <row r="36" spans="2:11" x14ac:dyDescent="0.25">
      <c r="B36" t="s">
        <v>865</v>
      </c>
      <c r="C36" s="212">
        <v>8</v>
      </c>
      <c r="D36" s="6" t="s">
        <v>866</v>
      </c>
    </row>
    <row r="37" spans="2:11" s="138" customFormat="1" x14ac:dyDescent="0.25">
      <c r="B37" s="138" t="s">
        <v>867</v>
      </c>
      <c r="C37" s="212">
        <v>4</v>
      </c>
      <c r="D37" s="6" t="s">
        <v>868</v>
      </c>
    </row>
    <row r="39" spans="2:11" s="21" customFormat="1" x14ac:dyDescent="0.25">
      <c r="B39" s="19" t="s">
        <v>1235</v>
      </c>
      <c r="C39" s="254"/>
    </row>
    <row r="40" spans="2:11" s="138" customFormat="1" x14ac:dyDescent="0.25"/>
    <row r="41" spans="2:11" s="138" customFormat="1" x14ac:dyDescent="0.25">
      <c r="B41" s="6" t="s">
        <v>1236</v>
      </c>
      <c r="C41" s="85">
        <f>INDEX('HCW Summary Data'!$N$9:$N$277,MATCH('User Dashboard'!$C$17,'HCW Summary Data'!$B$9:$B$277,0))</f>
        <v>80247.33</v>
      </c>
      <c r="D41" s="138" t="s">
        <v>1297</v>
      </c>
    </row>
    <row r="42" spans="2:11" s="138" customFormat="1" x14ac:dyDescent="0.25">
      <c r="B42" s="6" t="s">
        <v>1237</v>
      </c>
      <c r="C42" s="85">
        <f>INDEX('HCW Summary Data'!$P$9:$P$277,MATCH('User Dashboard'!$C$17,'HCW Summary Data'!$B$9:$B$277,0))</f>
        <v>98226.240000000005</v>
      </c>
      <c r="D42" s="138" t="s">
        <v>1298</v>
      </c>
    </row>
    <row r="43" spans="2:11" s="138" customFormat="1" x14ac:dyDescent="0.25">
      <c r="B43" s="6" t="s">
        <v>1238</v>
      </c>
      <c r="C43" s="85">
        <f>INDEX('HCW Summary Data'!$O$9:$O$277,MATCH('User Dashboard'!$C$17,'HCW Summary Data'!$B$9:$B$277,0))</f>
        <v>17540.400000000001</v>
      </c>
      <c r="D43" s="138" t="s">
        <v>1239</v>
      </c>
    </row>
    <row r="44" spans="2:11" s="138" customFormat="1" x14ac:dyDescent="0.25">
      <c r="B44" s="6" t="s">
        <v>1245</v>
      </c>
      <c r="C44" s="85">
        <f>INDEX('HCW Summary Data'!$Q$9:$Q$277,MATCH('User Dashboard'!$C$17,'HCW Summary Data'!$B$9:$B$277,0))</f>
        <v>5111.121278037599</v>
      </c>
      <c r="D44" s="138" t="s">
        <v>1298</v>
      </c>
    </row>
    <row r="45" spans="2:11" s="138" customFormat="1" x14ac:dyDescent="0.25"/>
    <row r="46" spans="2:11" s="138" customFormat="1" x14ac:dyDescent="0.25">
      <c r="B46" s="138" t="s">
        <v>1240</v>
      </c>
      <c r="C46" s="368">
        <f>HCWs_per_bed/(HCWs_per_bed+(1/(1+SuspectedCaseMultiplier))*Tests_per_HCW)</f>
        <v>0.56140350877192979</v>
      </c>
      <c r="D46" s="138" t="s">
        <v>1241</v>
      </c>
    </row>
    <row r="47" spans="2:11" s="138" customFormat="1" x14ac:dyDescent="0.25">
      <c r="B47" s="138" t="s">
        <v>1242</v>
      </c>
      <c r="C47" s="368">
        <f>1-C46</f>
        <v>0.43859649122807021</v>
      </c>
      <c r="D47" s="138" t="s">
        <v>1241</v>
      </c>
    </row>
    <row r="48" spans="2:11" s="138" customFormat="1" x14ac:dyDescent="0.25">
      <c r="K48" s="372"/>
    </row>
    <row r="49" spans="2:8" s="138" customFormat="1" x14ac:dyDescent="0.25">
      <c r="B49" s="138" t="s">
        <v>1243</v>
      </c>
      <c r="C49" s="38">
        <f>C46*SUM($C$41:$C$43)</f>
        <v>110042.93052631579</v>
      </c>
      <c r="D49" s="138" t="s">
        <v>1251</v>
      </c>
    </row>
    <row r="50" spans="2:8" s="138" customFormat="1" x14ac:dyDescent="0.25">
      <c r="B50" s="138" t="s">
        <v>1244</v>
      </c>
      <c r="C50" s="38">
        <f>C47*SUM($C$41:$C$43)</f>
        <v>85971.039473684214</v>
      </c>
      <c r="D50" s="138" t="s">
        <v>1251</v>
      </c>
    </row>
    <row r="51" spans="2:8" s="138" customFormat="1" x14ac:dyDescent="0.25">
      <c r="B51" s="138" t="s">
        <v>1389</v>
      </c>
      <c r="C51" s="38">
        <f>C44</f>
        <v>5111.121278037599</v>
      </c>
      <c r="D51" s="138" t="s">
        <v>1252</v>
      </c>
    </row>
    <row r="52" spans="2:8" s="138" customFormat="1" x14ac:dyDescent="0.25"/>
    <row r="53" spans="2:8" s="138" customFormat="1" x14ac:dyDescent="0.25">
      <c r="B53" s="138" t="s">
        <v>1247</v>
      </c>
      <c r="C53" s="39">
        <f>IF(ISBLANK('User Dashboard'!$I$28),'Patient &amp; Case Type Summary'!$D$15*Hygienists_per_bed,'User Dashboard'!$I$28*Hygienists_per_bed)</f>
        <v>66653.52</v>
      </c>
      <c r="D53" s="138" t="s">
        <v>1345</v>
      </c>
    </row>
    <row r="54" spans="2:8" s="138" customFormat="1" x14ac:dyDescent="0.25"/>
    <row r="55" spans="2:8" s="83" customFormat="1" ht="18.75" x14ac:dyDescent="0.3">
      <c r="B55" s="29" t="s">
        <v>821</v>
      </c>
      <c r="C55" s="29"/>
      <c r="D55" s="29"/>
      <c r="E55" s="29"/>
      <c r="F55" s="29"/>
      <c r="G55" s="29"/>
      <c r="H55" s="29"/>
    </row>
    <row r="57" spans="2:8" s="16" customFormat="1" x14ac:dyDescent="0.25">
      <c r="B57" s="15" t="s">
        <v>810</v>
      </c>
      <c r="C57" s="15"/>
      <c r="D57" s="15"/>
      <c r="E57" s="15"/>
      <c r="F57" s="15"/>
    </row>
    <row r="58" spans="2:8" x14ac:dyDescent="0.25">
      <c r="B58" t="s">
        <v>823</v>
      </c>
      <c r="G58" s="85">
        <f>Total_tests_conducted</f>
        <v>2891.6348530785117</v>
      </c>
    </row>
    <row r="60" spans="2:8" x14ac:dyDescent="0.25">
      <c r="B60" t="s">
        <v>871</v>
      </c>
      <c r="G60" s="85">
        <f ca="1">Max_hospitals_operating</f>
        <v>6</v>
      </c>
    </row>
    <row r="61" spans="2:8" x14ac:dyDescent="0.25">
      <c r="B61" s="8"/>
      <c r="C61" s="8"/>
      <c r="D61" s="8"/>
      <c r="E61" s="8"/>
      <c r="F61" s="8"/>
      <c r="G61" s="80"/>
    </row>
    <row r="62" spans="2:8" x14ac:dyDescent="0.25">
      <c r="B62" s="138" t="s">
        <v>990</v>
      </c>
      <c r="C62" s="138"/>
      <c r="D62" s="138"/>
      <c r="E62" s="138"/>
      <c r="F62" s="138"/>
      <c r="G62" s="85">
        <f ca="1">Total_hospitals_operating_per_week</f>
        <v>13</v>
      </c>
    </row>
    <row r="63" spans="2:8" x14ac:dyDescent="0.25">
      <c r="B63" s="8"/>
      <c r="C63" s="8"/>
      <c r="D63" s="8"/>
      <c r="E63" s="8"/>
      <c r="F63" s="8"/>
      <c r="G63" s="80"/>
    </row>
    <row r="64" spans="2:8" x14ac:dyDescent="0.25">
      <c r="B64" t="s">
        <v>862</v>
      </c>
      <c r="G64" s="38">
        <f>ROUNDUP(IF(TestingStrategy="All Suspected Cases",'Patient &amp; Case Type Summary'!$BH$53,'Patient &amp; Case Type Summary'!$BH$58)/Tests_per_day_per_lab,0)</f>
        <v>3</v>
      </c>
    </row>
    <row r="65" spans="2:7" s="138" customFormat="1" x14ac:dyDescent="0.25">
      <c r="G65"/>
    </row>
    <row r="66" spans="2:7" s="16" customFormat="1" x14ac:dyDescent="0.25">
      <c r="B66" s="15" t="s">
        <v>764</v>
      </c>
      <c r="C66" s="15"/>
      <c r="D66" s="15"/>
      <c r="E66" s="15"/>
      <c r="F66" s="15"/>
    </row>
    <row r="67" spans="2:7" x14ac:dyDescent="0.25">
      <c r="B67" s="10" t="s">
        <v>328</v>
      </c>
      <c r="D67" s="10" t="s">
        <v>824</v>
      </c>
    </row>
    <row r="68" spans="2:7" x14ac:dyDescent="0.25">
      <c r="B68" t="s">
        <v>261</v>
      </c>
      <c r="D68" t="s">
        <v>870</v>
      </c>
      <c r="G68" s="38">
        <f ca="1">$G$60*'Staff &amp; Infra Assumptions'!$C$37</f>
        <v>24</v>
      </c>
    </row>
    <row r="69" spans="2:7" x14ac:dyDescent="0.25">
      <c r="B69" t="s">
        <v>262</v>
      </c>
      <c r="D69" t="s">
        <v>846</v>
      </c>
      <c r="G69" s="38">
        <f>$G$58</f>
        <v>2891.6348530785117</v>
      </c>
    </row>
    <row r="70" spans="2:7" x14ac:dyDescent="0.25">
      <c r="B70" t="s">
        <v>334</v>
      </c>
      <c r="D70" t="s">
        <v>872</v>
      </c>
      <c r="G70" s="38">
        <f ca="1">$G$62*'Staff &amp; Infra Assumptions'!$C$36</f>
        <v>104</v>
      </c>
    </row>
    <row r="71" spans="2:7" x14ac:dyDescent="0.25">
      <c r="B71" t="s">
        <v>732</v>
      </c>
      <c r="D71" t="s">
        <v>825</v>
      </c>
      <c r="G71" s="39">
        <f>ROUNDUP($G$58/'Patient &amp; Testing Assumptions'!$C42,0)</f>
        <v>13</v>
      </c>
    </row>
    <row r="72" spans="2:7" x14ac:dyDescent="0.25">
      <c r="B72" t="s">
        <v>731</v>
      </c>
      <c r="D72" t="s">
        <v>826</v>
      </c>
      <c r="G72" s="39">
        <f>ROUNDUP($G$58/'Patient &amp; Testing Assumptions'!$C43,0)</f>
        <v>34</v>
      </c>
    </row>
    <row r="73" spans="2:7" x14ac:dyDescent="0.25">
      <c r="B73" t="s">
        <v>733</v>
      </c>
      <c r="D73" t="s">
        <v>826</v>
      </c>
      <c r="G73" s="39">
        <f>ROUNDUP($G$58/'Patient &amp; Testing Assumptions'!$C44,0)</f>
        <v>34</v>
      </c>
    </row>
    <row r="74" spans="2:7" x14ac:dyDescent="0.25">
      <c r="B74" t="s">
        <v>734</v>
      </c>
      <c r="D74" t="s">
        <v>827</v>
      </c>
      <c r="G74" s="39">
        <f>ROUNDUP($G$58/'Patient &amp; Testing Assumptions'!$C45,0)</f>
        <v>32</v>
      </c>
    </row>
  </sheetData>
  <sheetProtection algorithmName="SHA-512" hashValue="ZGtAt43FzJJTzN1rQ3bwQzff9MJqOU5+5kTuur50Sbcmg1DqabvUrWYgRCKWY9M+XNpS08WvRAD2r2kfDtByJw==" saltValue="w5jN6C5RfoXdDJ35WeRA0Q==" spinCount="100000" sheet="1" objects="1" scenarios="1"/>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2:AH29"/>
  <sheetViews>
    <sheetView showGridLines="0" zoomScale="85" zoomScaleNormal="85" workbookViewId="0"/>
  </sheetViews>
  <sheetFormatPr defaultColWidth="9.42578125" defaultRowHeight="15" x14ac:dyDescent="0.25"/>
  <cols>
    <col min="1" max="1" width="4.42578125" style="138" customWidth="1"/>
    <col min="2" max="2" width="9.42578125" style="138"/>
    <col min="3" max="3" width="32" style="138" bestFit="1" customWidth="1"/>
    <col min="4" max="4" width="12.5703125" style="138" customWidth="1"/>
    <col min="5" max="6" width="9.42578125" style="138"/>
    <col min="7" max="7" width="11.5703125" style="138" bestFit="1" customWidth="1"/>
    <col min="8" max="16384" width="9.42578125" style="138"/>
  </cols>
  <sheetData>
    <row r="2" spans="1:34" s="29" customFormat="1" ht="18.75" x14ac:dyDescent="0.3">
      <c r="B2" s="29" t="s">
        <v>1178</v>
      </c>
    </row>
    <row r="4" spans="1:34" x14ac:dyDescent="0.25">
      <c r="A4" s="16"/>
      <c r="B4" s="15" t="s">
        <v>286</v>
      </c>
      <c r="C4" s="15"/>
      <c r="D4" s="15"/>
      <c r="E4" s="15"/>
      <c r="F4" s="15"/>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row>
    <row r="5" spans="1:34" x14ac:dyDescent="0.25">
      <c r="B5" s="138" t="s">
        <v>287</v>
      </c>
      <c r="G5" s="12"/>
      <c r="H5" s="89"/>
    </row>
    <row r="6" spans="1:34" x14ac:dyDescent="0.25">
      <c r="B6" s="138" t="s">
        <v>288</v>
      </c>
      <c r="G6" s="13"/>
      <c r="H6" s="89"/>
    </row>
    <row r="7" spans="1:34" x14ac:dyDescent="0.25">
      <c r="B7" s="6" t="s">
        <v>289</v>
      </c>
      <c r="C7" s="6"/>
      <c r="D7" s="6"/>
      <c r="E7" s="6"/>
      <c r="F7" s="6"/>
      <c r="G7" s="14"/>
      <c r="H7" s="89"/>
      <c r="Q7" s="89"/>
      <c r="R7" s="89"/>
      <c r="S7" s="89"/>
      <c r="T7" s="89"/>
      <c r="U7" s="89"/>
      <c r="V7" s="89"/>
      <c r="W7" s="89"/>
      <c r="X7" s="89"/>
      <c r="Y7" s="89"/>
      <c r="Z7" s="89"/>
      <c r="AA7" s="89"/>
      <c r="AB7" s="89"/>
      <c r="AC7" s="89"/>
      <c r="AD7" s="89"/>
      <c r="AE7" s="89"/>
      <c r="AF7" s="89"/>
      <c r="AG7" s="89"/>
      <c r="AH7" s="89"/>
    </row>
    <row r="8" spans="1:34" x14ac:dyDescent="0.25">
      <c r="Q8" s="89"/>
      <c r="R8" s="89"/>
      <c r="S8" s="89"/>
      <c r="T8" s="89"/>
      <c r="U8" s="89"/>
      <c r="V8" s="89"/>
      <c r="W8" s="89"/>
      <c r="X8" s="89"/>
      <c r="Y8" s="89"/>
      <c r="Z8" s="89"/>
      <c r="AA8" s="89"/>
      <c r="AB8" s="89"/>
      <c r="AC8" s="89"/>
      <c r="AD8" s="89"/>
      <c r="AE8" s="89"/>
      <c r="AF8" s="89"/>
      <c r="AG8" s="89"/>
      <c r="AH8" s="89"/>
    </row>
    <row r="9" spans="1:34" x14ac:dyDescent="0.25">
      <c r="A9" s="16"/>
      <c r="B9" s="15" t="s">
        <v>810</v>
      </c>
      <c r="C9" s="15"/>
      <c r="D9" s="15"/>
      <c r="E9" s="15"/>
      <c r="F9" s="15"/>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row>
    <row r="11" spans="1:34" x14ac:dyDescent="0.25">
      <c r="B11" s="138" t="s">
        <v>927</v>
      </c>
      <c r="D11" s="85">
        <f ca="1">Max_severe_capped_beds</f>
        <v>152.64235848902217</v>
      </c>
    </row>
    <row r="12" spans="1:34" x14ac:dyDescent="0.25">
      <c r="B12" s="138" t="s">
        <v>928</v>
      </c>
      <c r="D12" s="85">
        <f ca="1">Max_critical_capped_beds</f>
        <v>66.007734393502474</v>
      </c>
    </row>
    <row r="15" spans="1:34" x14ac:dyDescent="0.25">
      <c r="A15" s="16"/>
      <c r="B15" s="15" t="s">
        <v>887</v>
      </c>
      <c r="C15" s="15"/>
      <c r="D15" s="15"/>
      <c r="E15" s="15"/>
      <c r="F15" s="15"/>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row>
    <row r="17" spans="1:34" x14ac:dyDescent="0.25">
      <c r="B17" s="138" t="s">
        <v>891</v>
      </c>
      <c r="D17" s="13">
        <v>5</v>
      </c>
    </row>
    <row r="18" spans="1:34" x14ac:dyDescent="0.25">
      <c r="B18" s="138" t="s">
        <v>892</v>
      </c>
      <c r="D18" s="13">
        <v>15</v>
      </c>
    </row>
    <row r="19" spans="1:34" x14ac:dyDescent="0.25">
      <c r="B19" s="138" t="s">
        <v>892</v>
      </c>
      <c r="D19" s="13">
        <v>48</v>
      </c>
    </row>
    <row r="21" spans="1:34" x14ac:dyDescent="0.25">
      <c r="B21" s="138" t="s">
        <v>885</v>
      </c>
      <c r="D21" s="13">
        <f>24*60</f>
        <v>1440</v>
      </c>
    </row>
    <row r="23" spans="1:34" x14ac:dyDescent="0.25">
      <c r="B23" s="138" t="s">
        <v>886</v>
      </c>
      <c r="D23" s="13">
        <f>1/1000</f>
        <v>1E-3</v>
      </c>
    </row>
    <row r="25" spans="1:34" x14ac:dyDescent="0.25">
      <c r="A25" s="16"/>
      <c r="B25" s="15" t="s">
        <v>884</v>
      </c>
      <c r="C25" s="15"/>
      <c r="D25" s="15"/>
      <c r="E25" s="15"/>
      <c r="F25" s="15"/>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row>
    <row r="27" spans="1:34" x14ac:dyDescent="0.25">
      <c r="B27" s="138" t="s">
        <v>888</v>
      </c>
      <c r="D27" s="38">
        <f ca="1">$D$11*$D$17*$D$21*$D$23</f>
        <v>1099.0249811209596</v>
      </c>
      <c r="E27" s="138" t="s">
        <v>890</v>
      </c>
    </row>
    <row r="28" spans="1:34" x14ac:dyDescent="0.25">
      <c r="B28" s="138" t="s">
        <v>889</v>
      </c>
      <c r="D28" s="38">
        <f ca="1">($D$12*$D$18*50%*$D$21*$D$23)+($D$12*$D$19*50%*$D$21*$D$23)</f>
        <v>2994.1108320892727</v>
      </c>
      <c r="E28" s="138" t="s">
        <v>890</v>
      </c>
    </row>
    <row r="29" spans="1:34" ht="15.75" thickBot="1" x14ac:dyDescent="0.3">
      <c r="B29" s="138" t="s">
        <v>259</v>
      </c>
      <c r="D29" s="146">
        <f ca="1">SUM(D27:D28)</f>
        <v>4093.1358132102323</v>
      </c>
      <c r="E29" s="138" t="s">
        <v>890</v>
      </c>
    </row>
  </sheetData>
  <sheetProtection algorithmName="SHA-512" hashValue="2E+O9iaLZpR29pIUJjnDANujvfrPhMgznxLnZSHvdX6yspxMCHuuMcTBpwj1KtpGql+ELV9AC3B/fAVCpj2Jpg==" saltValue="25AJFlPjSIergrchheNdC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B2"/>
  <sheetViews>
    <sheetView showGridLines="0" workbookViewId="0"/>
  </sheetViews>
  <sheetFormatPr defaultRowHeight="15" x14ac:dyDescent="0.25"/>
  <sheetData>
    <row r="2" spans="2:2" x14ac:dyDescent="0.25">
      <c r="B2" s="31" t="s">
        <v>774</v>
      </c>
    </row>
  </sheetData>
  <sheetProtection algorithmName="SHA-512" hashValue="hMrvJj6v2FdOc4dzF9IQ1KLzYkUHEIGMMHYailD3SmWbIbp1MQr6hOwRL8kzB6nPuc7bUDV9PisAXcsjgBteTw==" saltValue="72Y3r2NhG2AEf/u1FYX5WQ==" spinCount="100000"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AD77"/>
  <sheetViews>
    <sheetView showGridLines="0" topLeftCell="A33" zoomScale="85" zoomScaleNormal="85" workbookViewId="0">
      <selection activeCell="C50" sqref="C50"/>
    </sheetView>
  </sheetViews>
  <sheetFormatPr defaultRowHeight="15" x14ac:dyDescent="0.25"/>
  <cols>
    <col min="1" max="1" width="2.5703125" style="89" customWidth="1"/>
    <col min="2" max="2" width="33.42578125" style="89" customWidth="1"/>
    <col min="3" max="3" width="19" style="89" bestFit="1" customWidth="1"/>
    <col min="4" max="4" width="13.5703125" style="89" bestFit="1" customWidth="1"/>
    <col min="5" max="5" width="12.5703125" style="89" customWidth="1"/>
    <col min="6" max="6" width="2.5703125" style="89" customWidth="1"/>
    <col min="7" max="7" width="2.42578125" style="89" customWidth="1"/>
    <col min="8" max="8" width="1.7109375" style="89" customWidth="1"/>
    <col min="9" max="9" width="6.5703125" style="89" customWidth="1"/>
    <col min="10" max="10" width="5.28515625" style="89" customWidth="1"/>
    <col min="11" max="11" width="12.5703125" style="89" customWidth="1"/>
    <col min="12" max="12" width="11.42578125" style="89"/>
    <col min="13" max="13" width="18" style="89" bestFit="1" customWidth="1"/>
    <col min="14" max="14" width="11.42578125" style="89" bestFit="1" customWidth="1"/>
    <col min="15" max="15" width="0" style="89" hidden="1" customWidth="1"/>
    <col min="16" max="16" width="12.5703125" style="89" bestFit="1" customWidth="1"/>
    <col min="17" max="17" width="13.42578125" style="89" bestFit="1" customWidth="1"/>
    <col min="18" max="18" width="11.42578125" style="89"/>
    <col min="19" max="19" width="12.42578125" style="89" bestFit="1" customWidth="1"/>
    <col min="20" max="20" width="11.42578125" style="89" bestFit="1" customWidth="1"/>
    <col min="21" max="21" width="0" style="89" hidden="1" customWidth="1"/>
    <col min="22" max="22" width="12.42578125" style="89" bestFit="1" customWidth="1"/>
    <col min="23" max="23" width="11.42578125" style="89" bestFit="1" customWidth="1"/>
    <col min="24" max="26" width="11.42578125" style="89"/>
    <col min="27" max="27" width="0" style="89" hidden="1" customWidth="1"/>
    <col min="28" max="28" width="12.42578125" style="89" bestFit="1" customWidth="1"/>
    <col min="29" max="30" width="11.42578125" style="89"/>
  </cols>
  <sheetData>
    <row r="2" spans="1:30" ht="18.75" x14ac:dyDescent="0.3">
      <c r="A2" s="29"/>
      <c r="B2" s="29" t="s">
        <v>1356</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row>
    <row r="3" spans="1:30" x14ac:dyDescent="0.25">
      <c r="A3"/>
      <c r="B3"/>
      <c r="C3"/>
      <c r="D3"/>
      <c r="F3"/>
      <c r="G3"/>
      <c r="H3"/>
      <c r="I3"/>
      <c r="J3"/>
      <c r="K3"/>
      <c r="L3"/>
      <c r="M3"/>
      <c r="N3"/>
      <c r="O3"/>
      <c r="P3"/>
      <c r="Q3"/>
      <c r="R3"/>
      <c r="S3"/>
      <c r="T3"/>
      <c r="U3"/>
      <c r="V3"/>
      <c r="W3"/>
      <c r="X3"/>
      <c r="Y3"/>
      <c r="Z3"/>
      <c r="AA3"/>
      <c r="AB3"/>
      <c r="AC3"/>
      <c r="AD3"/>
    </row>
    <row r="4" spans="1:30" x14ac:dyDescent="0.25">
      <c r="A4" s="16"/>
      <c r="B4" s="15" t="s">
        <v>286</v>
      </c>
      <c r="C4" s="15"/>
      <c r="D4" s="16"/>
      <c r="E4" s="16"/>
      <c r="F4" s="16"/>
      <c r="G4" s="16"/>
      <c r="H4" s="16"/>
      <c r="I4" s="16"/>
      <c r="J4" s="16"/>
      <c r="K4" s="16"/>
      <c r="L4" s="16"/>
      <c r="M4" s="16"/>
      <c r="N4" s="16"/>
      <c r="O4" s="16"/>
      <c r="P4" s="16"/>
      <c r="Q4" s="16"/>
      <c r="R4" s="16"/>
      <c r="S4" s="16"/>
      <c r="T4" s="16"/>
      <c r="U4" s="16"/>
      <c r="V4" s="16"/>
      <c r="W4" s="16"/>
      <c r="X4" s="16"/>
      <c r="Y4" s="16"/>
      <c r="Z4" s="16"/>
      <c r="AA4" s="16"/>
      <c r="AB4" s="16"/>
      <c r="AC4" s="16"/>
      <c r="AD4" s="16"/>
    </row>
    <row r="5" spans="1:30" x14ac:dyDescent="0.25">
      <c r="A5"/>
      <c r="B5" t="s">
        <v>287</v>
      </c>
      <c r="C5"/>
      <c r="D5" s="12"/>
      <c r="F5"/>
      <c r="G5"/>
      <c r="H5"/>
      <c r="I5"/>
      <c r="J5"/>
      <c r="K5"/>
      <c r="L5"/>
      <c r="M5"/>
      <c r="N5"/>
      <c r="O5"/>
      <c r="P5"/>
      <c r="Q5"/>
      <c r="R5"/>
      <c r="S5"/>
      <c r="T5"/>
      <c r="U5"/>
      <c r="V5"/>
      <c r="W5"/>
      <c r="X5"/>
      <c r="Y5"/>
      <c r="Z5"/>
      <c r="AA5"/>
      <c r="AB5"/>
      <c r="AC5"/>
      <c r="AD5"/>
    </row>
    <row r="6" spans="1:30" x14ac:dyDescent="0.25">
      <c r="A6"/>
      <c r="B6" t="s">
        <v>288</v>
      </c>
      <c r="C6"/>
      <c r="D6" s="13"/>
      <c r="F6"/>
      <c r="G6"/>
      <c r="H6"/>
      <c r="I6"/>
      <c r="J6"/>
      <c r="K6"/>
      <c r="L6"/>
      <c r="M6"/>
      <c r="N6"/>
      <c r="O6"/>
      <c r="P6"/>
      <c r="Q6"/>
      <c r="R6"/>
      <c r="S6"/>
      <c r="T6"/>
      <c r="U6"/>
      <c r="V6"/>
      <c r="W6"/>
      <c r="X6"/>
      <c r="Y6"/>
      <c r="Z6"/>
      <c r="AA6"/>
      <c r="AB6"/>
      <c r="AC6"/>
      <c r="AD6"/>
    </row>
    <row r="7" spans="1:30" x14ac:dyDescent="0.25">
      <c r="A7"/>
      <c r="B7" s="6" t="s">
        <v>289</v>
      </c>
      <c r="C7" s="6"/>
      <c r="D7" s="14"/>
      <c r="F7"/>
      <c r="G7"/>
      <c r="H7"/>
      <c r="I7"/>
      <c r="J7"/>
      <c r="K7"/>
      <c r="L7"/>
    </row>
    <row r="8" spans="1:30" x14ac:dyDescent="0.25">
      <c r="A8"/>
      <c r="B8"/>
      <c r="C8"/>
      <c r="D8"/>
      <c r="E8"/>
      <c r="F8"/>
      <c r="G8"/>
      <c r="H8"/>
      <c r="I8"/>
      <c r="J8"/>
      <c r="K8"/>
      <c r="L8"/>
    </row>
    <row r="9" spans="1:30" x14ac:dyDescent="0.25">
      <c r="A9"/>
      <c r="B9"/>
      <c r="C9"/>
      <c r="D9"/>
      <c r="F9"/>
      <c r="G9"/>
      <c r="H9"/>
      <c r="I9"/>
      <c r="J9"/>
      <c r="K9"/>
      <c r="L9"/>
      <c r="M9"/>
      <c r="N9"/>
      <c r="O9"/>
      <c r="P9"/>
      <c r="Q9"/>
      <c r="R9"/>
      <c r="S9"/>
      <c r="T9"/>
      <c r="U9"/>
      <c r="V9"/>
      <c r="W9"/>
      <c r="X9"/>
      <c r="Y9"/>
      <c r="Z9"/>
      <c r="AA9"/>
      <c r="AB9"/>
      <c r="AC9"/>
      <c r="AD9"/>
    </row>
    <row r="10" spans="1:30" x14ac:dyDescent="0.25">
      <c r="A10" s="16"/>
      <c r="B10" s="15" t="s">
        <v>810</v>
      </c>
      <c r="C10" s="15"/>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row>
    <row r="11" spans="1:30" s="8" customFormat="1" x14ac:dyDescent="0.25">
      <c r="B11" s="120"/>
      <c r="C11" s="120"/>
    </row>
    <row r="12" spans="1:30" x14ac:dyDescent="0.25">
      <c r="B12" s="88" t="s">
        <v>763</v>
      </c>
      <c r="C12" s="115">
        <f>IF('User Dashboard'!$C$17="Manual",'User Dashboard'!$C$19,INDEX('Tabular Pop Data by Age'!$AN$8:$AN$229,MATCH('User Dashboard'!$C$17,'Tabular Pop Data by Age'!$B$8:$B$229,0)))</f>
        <v>43851000</v>
      </c>
      <c r="F12" s="90"/>
      <c r="G12" s="112"/>
      <c r="H12" s="98"/>
      <c r="I12" s="98"/>
      <c r="J12" s="98"/>
      <c r="K12" s="98"/>
    </row>
    <row r="13" spans="1:30" x14ac:dyDescent="0.25">
      <c r="F13" s="91"/>
      <c r="G13" s="112"/>
      <c r="H13" s="98"/>
      <c r="I13" s="98"/>
      <c r="J13" s="98"/>
      <c r="K13" s="98"/>
    </row>
    <row r="14" spans="1:30" x14ac:dyDescent="0.25">
      <c r="B14" s="88" t="s">
        <v>759</v>
      </c>
      <c r="F14" s="92"/>
      <c r="G14" s="112"/>
      <c r="H14" s="98"/>
      <c r="I14" s="98"/>
      <c r="J14" s="98"/>
      <c r="K14" s="98"/>
    </row>
    <row r="15" spans="1:30" x14ac:dyDescent="0.25">
      <c r="B15" s="138" t="s">
        <v>994</v>
      </c>
      <c r="C15" s="256">
        <v>2.2999999999999998</v>
      </c>
      <c r="D15" t="s">
        <v>760</v>
      </c>
      <c r="F15" s="92"/>
      <c r="G15" s="113"/>
      <c r="H15" s="98"/>
      <c r="I15" s="98"/>
      <c r="J15" s="98"/>
      <c r="K15" s="98"/>
    </row>
    <row r="16" spans="1:30" x14ac:dyDescent="0.25">
      <c r="B16" s="91" t="s">
        <v>852</v>
      </c>
      <c r="C16" s="256">
        <v>3.2</v>
      </c>
      <c r="D16" s="138" t="s">
        <v>864</v>
      </c>
      <c r="F16" s="92"/>
      <c r="G16" s="114"/>
      <c r="H16" s="114"/>
      <c r="I16" s="114"/>
      <c r="J16" s="114"/>
      <c r="K16" s="114"/>
    </row>
    <row r="17" spans="1:30" x14ac:dyDescent="0.25">
      <c r="B17" s="91" t="s">
        <v>758</v>
      </c>
      <c r="C17" s="257">
        <v>4</v>
      </c>
      <c r="D17" s="138" t="s">
        <v>1014</v>
      </c>
      <c r="F17" s="92"/>
      <c r="G17" s="102"/>
      <c r="H17" s="98"/>
      <c r="I17" s="98"/>
      <c r="J17" s="99"/>
      <c r="K17" s="99"/>
    </row>
    <row r="18" spans="1:30" x14ac:dyDescent="0.25">
      <c r="B18" s="91" t="s">
        <v>851</v>
      </c>
      <c r="C18" s="257">
        <v>5</v>
      </c>
      <c r="D18" s="138" t="s">
        <v>1014</v>
      </c>
      <c r="F18" s="94"/>
      <c r="G18" s="102"/>
      <c r="H18" s="98"/>
      <c r="I18" s="98"/>
      <c r="J18" s="99"/>
      <c r="K18" s="103"/>
    </row>
    <row r="19" spans="1:30" s="138" customFormat="1" x14ac:dyDescent="0.25">
      <c r="A19" s="89"/>
      <c r="B19" s="91" t="s">
        <v>1331</v>
      </c>
      <c r="C19" s="257">
        <v>7</v>
      </c>
      <c r="D19" s="138" t="s">
        <v>1014</v>
      </c>
      <c r="E19" s="89"/>
      <c r="F19" s="94"/>
      <c r="G19" s="102"/>
      <c r="H19" s="98"/>
      <c r="I19" s="98"/>
      <c r="J19" s="99"/>
      <c r="K19" s="103"/>
      <c r="L19" s="89"/>
      <c r="M19" s="89"/>
      <c r="N19" s="89"/>
      <c r="O19" s="89"/>
      <c r="P19" s="89"/>
      <c r="Q19" s="89"/>
      <c r="R19" s="89"/>
      <c r="S19" s="89"/>
      <c r="T19" s="89"/>
      <c r="U19" s="89"/>
      <c r="V19" s="89"/>
      <c r="W19" s="89"/>
      <c r="X19" s="89"/>
      <c r="Y19" s="89"/>
      <c r="Z19" s="89"/>
      <c r="AA19" s="89"/>
      <c r="AB19" s="89"/>
      <c r="AC19" s="89"/>
      <c r="AD19" s="89"/>
    </row>
    <row r="20" spans="1:30" ht="26.25" x14ac:dyDescent="0.25">
      <c r="B20" s="91" t="s">
        <v>854</v>
      </c>
      <c r="C20" s="312" t="str">
        <f>CONCATENATE('User Dashboard'!F23," days until week ",'User Dashboard'!F25, " then ",'User Dashboard'!F24)</f>
        <v>4 days until week 6 then 7</v>
      </c>
      <c r="E20" s="179" t="s">
        <v>979</v>
      </c>
      <c r="F20" s="165">
        <f>'User Dashboard'!F23</f>
        <v>4</v>
      </c>
      <c r="G20" s="179" t="s">
        <v>980</v>
      </c>
      <c r="H20" s="165">
        <f>'User Dashboard'!F24</f>
        <v>7</v>
      </c>
      <c r="I20" s="179" t="s">
        <v>981</v>
      </c>
      <c r="J20" s="180">
        <f>'User Dashboard'!F25</f>
        <v>6</v>
      </c>
      <c r="K20" s="103"/>
    </row>
    <row r="21" spans="1:30" x14ac:dyDescent="0.25">
      <c r="B21" s="91" t="s">
        <v>996</v>
      </c>
      <c r="C21" s="179">
        <f>'User Dashboard'!F26</f>
        <v>1.5</v>
      </c>
      <c r="F21" s="94"/>
      <c r="G21" s="102"/>
      <c r="H21" s="98"/>
      <c r="I21" s="98"/>
      <c r="J21" s="99"/>
      <c r="K21" s="103"/>
    </row>
    <row r="22" spans="1:30" s="527" customFormat="1" x14ac:dyDescent="0.25">
      <c r="A22" s="89"/>
      <c r="B22" s="91" t="s">
        <v>1409</v>
      </c>
      <c r="C22" s="622">
        <f>(ROUND((365/12)*3,0)/((LN(100)/LN(2))))</f>
        <v>13.696864802711143</v>
      </c>
      <c r="D22" s="89"/>
      <c r="E22" s="89"/>
      <c r="F22" s="94"/>
      <c r="G22" s="102"/>
      <c r="H22" s="98"/>
      <c r="I22" s="98"/>
      <c r="J22" s="99"/>
      <c r="K22" s="103"/>
      <c r="L22" s="89"/>
      <c r="M22" s="89"/>
      <c r="N22" s="89"/>
      <c r="O22" s="89"/>
      <c r="P22" s="89"/>
      <c r="Q22" s="89"/>
      <c r="R22" s="89"/>
      <c r="S22" s="89"/>
      <c r="T22" s="89"/>
      <c r="U22" s="89"/>
      <c r="V22" s="89"/>
      <c r="W22" s="89"/>
      <c r="X22" s="89"/>
      <c r="Y22" s="89"/>
      <c r="Z22" s="89"/>
      <c r="AA22" s="89"/>
      <c r="AB22" s="89"/>
      <c r="AC22" s="89"/>
      <c r="AD22" s="89"/>
    </row>
    <row r="23" spans="1:30" s="527" customFormat="1" x14ac:dyDescent="0.25">
      <c r="A23" s="89"/>
      <c r="B23" s="91" t="s">
        <v>1410</v>
      </c>
      <c r="C23" s="622">
        <f>(ROUND((365/12)*3,0))/((LN(1000)/LN(2)))</f>
        <v>9.131243201807429</v>
      </c>
      <c r="D23" s="89"/>
      <c r="E23" s="89"/>
      <c r="F23" s="94"/>
      <c r="G23" s="102"/>
      <c r="H23" s="98"/>
      <c r="I23" s="98"/>
      <c r="J23" s="99"/>
      <c r="K23" s="103"/>
      <c r="L23" s="89"/>
      <c r="M23" s="89"/>
      <c r="N23" s="89"/>
      <c r="O23" s="89"/>
      <c r="P23" s="89"/>
      <c r="Q23" s="89"/>
      <c r="R23" s="89"/>
      <c r="S23" s="89"/>
      <c r="T23" s="89"/>
      <c r="U23" s="89"/>
      <c r="V23" s="89"/>
      <c r="W23" s="89"/>
      <c r="X23" s="89"/>
      <c r="Y23" s="89"/>
      <c r="Z23" s="89"/>
      <c r="AA23" s="89"/>
      <c r="AB23" s="89"/>
      <c r="AC23" s="89"/>
      <c r="AD23" s="89"/>
    </row>
    <row r="24" spans="1:30" s="527" customFormat="1" x14ac:dyDescent="0.25">
      <c r="A24" s="89"/>
      <c r="B24" s="91" t="s">
        <v>1543</v>
      </c>
      <c r="C24" s="622">
        <f>(2*ROUND((365/12)*3,0))/((LN(10000)/LN(2)))</f>
        <v>13.696864802711143</v>
      </c>
      <c r="D24" s="89"/>
      <c r="E24" s="89"/>
      <c r="F24" s="94"/>
      <c r="G24" s="102"/>
      <c r="H24" s="98"/>
      <c r="I24" s="98"/>
      <c r="J24" s="99"/>
      <c r="K24" s="103"/>
      <c r="L24" s="89"/>
      <c r="M24" s="89"/>
      <c r="N24" s="89"/>
      <c r="O24" s="89"/>
      <c r="P24" s="89"/>
      <c r="Q24" s="89"/>
      <c r="R24" s="89"/>
      <c r="S24" s="89"/>
      <c r="T24" s="89"/>
      <c r="U24" s="89"/>
      <c r="V24" s="89"/>
      <c r="W24" s="89"/>
      <c r="X24" s="89"/>
      <c r="Y24" s="89"/>
      <c r="Z24" s="89"/>
      <c r="AA24" s="89"/>
      <c r="AB24" s="89"/>
      <c r="AC24" s="89"/>
      <c r="AD24" s="89"/>
    </row>
    <row r="25" spans="1:30" s="527" customFormat="1" x14ac:dyDescent="0.25">
      <c r="A25" s="89"/>
      <c r="B25" s="91" t="s">
        <v>1411</v>
      </c>
      <c r="C25" s="622">
        <f>(2*ROUND((365/12)*3,0))/((LN(100000)/LN(2)))</f>
        <v>10.957491842168915</v>
      </c>
      <c r="D25" s="89"/>
      <c r="E25" s="89"/>
      <c r="F25" s="94"/>
      <c r="G25" s="102"/>
      <c r="H25" s="98"/>
      <c r="I25" s="98"/>
      <c r="J25" s="99"/>
      <c r="K25" s="103"/>
      <c r="L25" s="89"/>
      <c r="M25" s="89"/>
      <c r="N25" s="89"/>
      <c r="O25" s="89"/>
      <c r="P25" s="89"/>
      <c r="Q25" s="89"/>
      <c r="R25" s="89"/>
      <c r="S25" s="89"/>
      <c r="T25" s="89"/>
      <c r="U25" s="89"/>
      <c r="V25" s="89"/>
      <c r="W25" s="89"/>
      <c r="X25" s="89"/>
      <c r="Y25" s="89"/>
      <c r="Z25" s="89"/>
      <c r="AA25" s="89"/>
      <c r="AB25" s="89"/>
      <c r="AC25" s="89"/>
      <c r="AD25" s="89"/>
    </row>
    <row r="26" spans="1:30" x14ac:dyDescent="0.25">
      <c r="B26" s="88" t="s">
        <v>761</v>
      </c>
      <c r="C26" s="88" t="s">
        <v>762</v>
      </c>
      <c r="D26" s="88" t="s">
        <v>181</v>
      </c>
      <c r="F26" s="94"/>
      <c r="G26" s="103"/>
      <c r="H26" s="98"/>
      <c r="I26" s="98"/>
      <c r="J26" s="99"/>
      <c r="K26" s="103"/>
    </row>
    <row r="27" spans="1:30" x14ac:dyDescent="0.25">
      <c r="B27" t="s">
        <v>876</v>
      </c>
      <c r="C27" s="258">
        <v>0.05</v>
      </c>
      <c r="D27" s="39">
        <f>$C$12*C27</f>
        <v>2192550</v>
      </c>
      <c r="E27" s="138" t="s">
        <v>874</v>
      </c>
      <c r="F27" s="94"/>
      <c r="G27" s="104"/>
      <c r="H27" s="98"/>
      <c r="I27" s="98"/>
      <c r="J27" s="99"/>
      <c r="K27" s="103"/>
    </row>
    <row r="28" spans="1:30" x14ac:dyDescent="0.25">
      <c r="B28" t="s">
        <v>757</v>
      </c>
      <c r="C28" s="258">
        <v>0.1</v>
      </c>
      <c r="D28" s="39">
        <f>$C$12*C28</f>
        <v>4385100</v>
      </c>
      <c r="E28" s="138" t="s">
        <v>875</v>
      </c>
      <c r="F28" s="94"/>
      <c r="G28" s="103"/>
      <c r="H28" s="98"/>
      <c r="I28" s="98"/>
      <c r="J28" s="99"/>
      <c r="K28" s="103"/>
    </row>
    <row r="29" spans="1:30" x14ac:dyDescent="0.25">
      <c r="B29" s="6" t="s">
        <v>758</v>
      </c>
      <c r="C29" s="259">
        <v>0.2</v>
      </c>
      <c r="D29" s="39">
        <f>$C$12*C29</f>
        <v>8770200</v>
      </c>
      <c r="E29" s="138" t="s">
        <v>1014</v>
      </c>
      <c r="F29" s="94"/>
      <c r="G29" s="103"/>
      <c r="H29" s="98"/>
      <c r="I29" s="98"/>
      <c r="J29" s="99"/>
      <c r="K29" s="103"/>
    </row>
    <row r="30" spans="1:30" x14ac:dyDescent="0.25">
      <c r="B30" s="6" t="s">
        <v>756</v>
      </c>
      <c r="C30" s="258">
        <v>0.3</v>
      </c>
      <c r="D30" s="39">
        <f>$C$12*C30</f>
        <v>13155300</v>
      </c>
      <c r="E30" s="138" t="s">
        <v>1014</v>
      </c>
      <c r="F30" s="94"/>
      <c r="G30" s="104"/>
      <c r="H30" s="98"/>
      <c r="I30" s="98"/>
      <c r="J30" s="99"/>
      <c r="K30" s="103"/>
    </row>
    <row r="31" spans="1:30" x14ac:dyDescent="0.25">
      <c r="F31" s="94"/>
      <c r="G31" s="103"/>
      <c r="H31" s="98"/>
      <c r="I31" s="98"/>
      <c r="J31" s="99"/>
      <c r="K31" s="103"/>
    </row>
    <row r="32" spans="1:30" x14ac:dyDescent="0.25">
      <c r="B32" s="91" t="s">
        <v>768</v>
      </c>
      <c r="C32" s="144">
        <f>IF(Attack_rate_modelled="Manual",'User Dashboard'!F27,INDEX($C$27:$C$30,MATCH(Attack_rate_modelled,$B$27:$B$30,0)))</f>
        <v>0.2</v>
      </c>
      <c r="F32" s="94"/>
      <c r="G32" s="103"/>
      <c r="H32" s="98"/>
      <c r="I32" s="98"/>
      <c r="J32" s="99"/>
      <c r="K32" s="103"/>
    </row>
    <row r="33" spans="2:15" x14ac:dyDescent="0.25">
      <c r="F33" s="94"/>
      <c r="G33" s="103"/>
      <c r="H33" s="98"/>
      <c r="I33" s="98"/>
      <c r="J33" s="99"/>
      <c r="K33" s="103"/>
    </row>
    <row r="34" spans="2:15" x14ac:dyDescent="0.25">
      <c r="B34" s="88" t="s">
        <v>973</v>
      </c>
      <c r="F34" s="94"/>
      <c r="G34" s="103"/>
      <c r="H34" s="98"/>
      <c r="I34" s="98"/>
      <c r="J34" s="99"/>
      <c r="K34" s="103"/>
    </row>
    <row r="35" spans="2:15" x14ac:dyDescent="0.25">
      <c r="B35" s="91" t="s">
        <v>974</v>
      </c>
      <c r="C35" s="176">
        <f>Current_known_cases</f>
        <v>1</v>
      </c>
    </row>
    <row r="36" spans="2:15" x14ac:dyDescent="0.25">
      <c r="B36" s="91" t="s">
        <v>975</v>
      </c>
      <c r="C36" s="177">
        <f>C12*AttackRate</f>
        <v>8770200</v>
      </c>
    </row>
    <row r="37" spans="2:15" x14ac:dyDescent="0.25">
      <c r="E37" s="181" t="s">
        <v>983</v>
      </c>
    </row>
    <row r="38" spans="2:15" x14ac:dyDescent="0.25">
      <c r="C38" s="91" t="s">
        <v>982</v>
      </c>
      <c r="E38" s="91" t="s">
        <v>984</v>
      </c>
    </row>
    <row r="39" spans="2:15" x14ac:dyDescent="0.25">
      <c r="B39" s="91" t="s">
        <v>977</v>
      </c>
      <c r="C39" s="178">
        <f>IF(Doubling_rate_modelled="Combined","",((LN(C35))/(LN(2)))*(VLOOKUP(Doubling_rate_modelled,'Patient Calc Assumptions'!B15:C25,2,FALSE)/7))</f>
        <v>0</v>
      </c>
      <c r="E39" s="178">
        <f>2^(J20/(F20/7))</f>
        <v>1448.1546878700494</v>
      </c>
    </row>
    <row r="40" spans="2:15" ht="26.25" x14ac:dyDescent="0.25">
      <c r="B40" s="175" t="s">
        <v>978</v>
      </c>
      <c r="C40" s="178">
        <f>IF(Doubling_rate_modelled="Combined","",((LN(C36))/(LN(2)))*(VLOOKUP(Doubling_rate_modelled,'Patient Calc Assumptions'!B15:C25,2,FALSE)/7))</f>
        <v>13.179530464173784</v>
      </c>
      <c r="E40" s="91" t="s">
        <v>985</v>
      </c>
    </row>
    <row r="41" spans="2:15" x14ac:dyDescent="0.25">
      <c r="E41" s="182">
        <f>(((LN($C$36/$E$39)/LN(2)))*($H$20/7))+($J$20)</f>
        <v>18.564178312304122</v>
      </c>
    </row>
    <row r="42" spans="2:15" x14ac:dyDescent="0.25">
      <c r="E42" s="91" t="s">
        <v>976</v>
      </c>
    </row>
    <row r="43" spans="2:15" x14ac:dyDescent="0.25">
      <c r="E43" s="182">
        <f>IF(C35&gt;E39,
(((LN($C$35/$E$39)/LN(2)))*($H$20/7))+($J$20),
((LN(C35))/(LN(2)))*(F20/7))</f>
        <v>0</v>
      </c>
    </row>
    <row r="44" spans="2:15" x14ac:dyDescent="0.25">
      <c r="E44" s="91"/>
    </row>
    <row r="46" spans="2:15" x14ac:dyDescent="0.25">
      <c r="B46" s="88" t="s">
        <v>1414</v>
      </c>
      <c r="E46" s="91"/>
    </row>
    <row r="47" spans="2:15" ht="30" x14ac:dyDescent="0.25">
      <c r="B47" s="433" t="s">
        <v>1413</v>
      </c>
      <c r="C47" s="435">
        <f>ROUNDUP(IF(Doubling_rate_modelled="Combined",'Patient Calc Assumptions'!E43,'Patient Calc Assumptions'!C39),0)+'User Dashboard'!I17</f>
        <v>0</v>
      </c>
    </row>
    <row r="48" spans="2:15" ht="30.75" thickBot="1" x14ac:dyDescent="0.3">
      <c r="B48" s="438" t="s">
        <v>1415</v>
      </c>
      <c r="C48" s="439">
        <f>ROUNDUP('User Dashboard'!I19+'Patient Calc Assumptions'!C47,0)</f>
        <v>6</v>
      </c>
      <c r="E48" s="91"/>
      <c r="G48" s="93"/>
      <c r="M48" s="88"/>
      <c r="O48" s="89">
        <v>2.8</v>
      </c>
    </row>
    <row r="49" spans="2:17" x14ac:dyDescent="0.25">
      <c r="G49" s="93"/>
      <c r="M49" s="88"/>
    </row>
    <row r="50" spans="2:17" x14ac:dyDescent="0.25">
      <c r="B50" s="433" t="s">
        <v>1593</v>
      </c>
      <c r="C50" s="435">
        <f>Start_week_for_forecasting+'User Dashboard'!$I$18</f>
        <v>14</v>
      </c>
      <c r="G50" s="93"/>
      <c r="M50" s="88"/>
    </row>
    <row r="51" spans="2:17" x14ac:dyDescent="0.25">
      <c r="M51" s="90"/>
    </row>
    <row r="52" spans="2:17" x14ac:dyDescent="0.25">
      <c r="M52" s="91"/>
      <c r="N52" s="91"/>
      <c r="O52" s="91"/>
      <c r="P52" s="91"/>
    </row>
    <row r="53" spans="2:17" x14ac:dyDescent="0.25">
      <c r="M53" s="92"/>
      <c r="P53" s="93"/>
    </row>
    <row r="54" spans="2:17" x14ac:dyDescent="0.25">
      <c r="M54" s="92"/>
      <c r="P54" s="93"/>
      <c r="Q54" s="94"/>
    </row>
    <row r="55" spans="2:17" x14ac:dyDescent="0.25">
      <c r="M55" s="95"/>
      <c r="P55" s="93"/>
      <c r="Q55" s="94"/>
    </row>
    <row r="56" spans="2:17" x14ac:dyDescent="0.25">
      <c r="M56" s="100"/>
      <c r="P56" s="93"/>
      <c r="Q56" s="94"/>
    </row>
    <row r="57" spans="2:17" x14ac:dyDescent="0.25">
      <c r="M57" s="97"/>
      <c r="P57" s="93"/>
      <c r="Q57" s="94"/>
    </row>
    <row r="58" spans="2:17" x14ac:dyDescent="0.25">
      <c r="M58" s="97"/>
      <c r="P58" s="93"/>
      <c r="Q58" s="94"/>
    </row>
    <row r="59" spans="2:17" x14ac:dyDescent="0.25">
      <c r="M59" s="96"/>
      <c r="P59" s="93"/>
      <c r="Q59" s="94"/>
    </row>
    <row r="60" spans="2:17" x14ac:dyDescent="0.25">
      <c r="M60" s="97"/>
      <c r="P60" s="93"/>
      <c r="Q60" s="94"/>
    </row>
    <row r="61" spans="2:17" x14ac:dyDescent="0.25">
      <c r="M61" s="97"/>
      <c r="P61" s="93"/>
      <c r="Q61" s="94"/>
    </row>
    <row r="62" spans="2:17" x14ac:dyDescent="0.25">
      <c r="M62" s="97"/>
      <c r="P62" s="93"/>
      <c r="Q62" s="94"/>
    </row>
    <row r="63" spans="2:17" x14ac:dyDescent="0.25">
      <c r="M63" s="97"/>
      <c r="P63" s="93"/>
      <c r="Q63" s="94"/>
    </row>
    <row r="64" spans="2:17" x14ac:dyDescent="0.25">
      <c r="M64" s="97"/>
      <c r="P64" s="93"/>
      <c r="Q64" s="94"/>
    </row>
    <row r="65" spans="13:17" x14ac:dyDescent="0.25">
      <c r="M65" s="97"/>
      <c r="P65" s="93"/>
      <c r="Q65" s="94"/>
    </row>
    <row r="66" spans="13:17" x14ac:dyDescent="0.25">
      <c r="M66" s="97"/>
      <c r="P66" s="93"/>
      <c r="Q66" s="94"/>
    </row>
    <row r="67" spans="13:17" x14ac:dyDescent="0.25">
      <c r="M67" s="97"/>
      <c r="P67" s="93"/>
      <c r="Q67" s="94"/>
    </row>
    <row r="68" spans="13:17" x14ac:dyDescent="0.25">
      <c r="M68" s="97"/>
      <c r="P68" s="93"/>
      <c r="Q68" s="94"/>
    </row>
    <row r="69" spans="13:17" x14ac:dyDescent="0.25">
      <c r="M69" s="97"/>
      <c r="P69" s="93"/>
      <c r="Q69" s="94"/>
    </row>
    <row r="70" spans="13:17" x14ac:dyDescent="0.25">
      <c r="M70" s="97"/>
      <c r="P70" s="93"/>
      <c r="Q70" s="94"/>
    </row>
    <row r="71" spans="13:17" x14ac:dyDescent="0.25">
      <c r="M71" s="97"/>
      <c r="P71" s="93"/>
      <c r="Q71" s="94"/>
    </row>
    <row r="72" spans="13:17" x14ac:dyDescent="0.25">
      <c r="M72" s="97"/>
      <c r="P72" s="93"/>
      <c r="Q72" s="94"/>
    </row>
    <row r="73" spans="13:17" x14ac:dyDescent="0.25">
      <c r="M73" s="97"/>
      <c r="P73" s="93"/>
      <c r="Q73" s="94"/>
    </row>
    <row r="74" spans="13:17" x14ac:dyDescent="0.25">
      <c r="P74" s="93"/>
      <c r="Q74" s="94"/>
    </row>
    <row r="75" spans="13:17" x14ac:dyDescent="0.25">
      <c r="M75" s="91"/>
      <c r="P75" s="93"/>
      <c r="Q75" s="94"/>
    </row>
    <row r="76" spans="13:17" x14ac:dyDescent="0.25">
      <c r="P76" s="93"/>
    </row>
    <row r="77" spans="13:17" x14ac:dyDescent="0.25">
      <c r="P77" s="93"/>
    </row>
  </sheetData>
  <dataValidations count="1">
    <dataValidation type="whole" allowBlank="1" showInputMessage="1" showErrorMessage="1" sqref="C47">
      <formula1>0</formula1>
      <formula2>12</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V68"/>
  <sheetViews>
    <sheetView showGridLines="0" zoomScaleNormal="100" workbookViewId="0">
      <selection activeCell="B5" sqref="B5:B16"/>
    </sheetView>
  </sheetViews>
  <sheetFormatPr defaultColWidth="16.28515625" defaultRowHeight="15" x14ac:dyDescent="0.25"/>
  <cols>
    <col min="1" max="1" width="16.28515625" style="189"/>
    <col min="2" max="2" width="20.5703125" style="187" customWidth="1"/>
    <col min="3" max="3" width="20.42578125" style="188" customWidth="1"/>
    <col min="4" max="4" width="23.28515625" style="187" bestFit="1" customWidth="1"/>
    <col min="5" max="5" width="23.28515625" style="188" bestFit="1" customWidth="1"/>
    <col min="6" max="6" width="23.28515625" style="187" bestFit="1" customWidth="1"/>
    <col min="7" max="7" width="22.28515625" style="188" bestFit="1" customWidth="1"/>
    <col min="8" max="8" width="22.28515625" style="187" bestFit="1" customWidth="1"/>
    <col min="9" max="9" width="22.28515625" style="188" bestFit="1" customWidth="1"/>
    <col min="10" max="10" width="16.28515625" style="190"/>
    <col min="11" max="11" width="16.28515625" style="188"/>
    <col min="12" max="12" width="16.28515625" style="187"/>
    <col min="13" max="13" width="16.28515625" style="188"/>
    <col min="14" max="14" width="16.28515625" style="187"/>
    <col min="15" max="15" width="16.28515625" style="188"/>
    <col min="16" max="16" width="16.28515625" style="187"/>
    <col min="17" max="17" width="20.5703125" style="7" customWidth="1"/>
    <col min="18" max="18" width="17.5703125" style="188" customWidth="1"/>
    <col min="19" max="19" width="24.28515625" style="187" bestFit="1" customWidth="1"/>
    <col min="20" max="20" width="24.28515625" style="188" bestFit="1" customWidth="1"/>
    <col min="21" max="21" width="24.28515625" style="187" bestFit="1" customWidth="1"/>
    <col min="22" max="22" width="23.28515625" style="188" bestFit="1" customWidth="1"/>
  </cols>
  <sheetData>
    <row r="1" spans="1:22" s="77" customFormat="1" ht="75.75" thickBot="1" x14ac:dyDescent="0.3">
      <c r="A1" s="193" t="s">
        <v>991</v>
      </c>
      <c r="B1" s="194" t="s">
        <v>992</v>
      </c>
      <c r="C1" s="195" t="s">
        <v>1007</v>
      </c>
      <c r="D1" s="194" t="s">
        <v>954</v>
      </c>
      <c r="E1" s="195" t="s">
        <v>955</v>
      </c>
      <c r="F1" s="194" t="s">
        <v>956</v>
      </c>
      <c r="G1" s="195" t="s">
        <v>957</v>
      </c>
      <c r="H1" s="194" t="s">
        <v>958</v>
      </c>
      <c r="I1" s="195" t="s">
        <v>959</v>
      </c>
      <c r="J1" s="196" t="s">
        <v>960</v>
      </c>
      <c r="K1" s="195" t="s">
        <v>961</v>
      </c>
      <c r="L1" s="194" t="s">
        <v>962</v>
      </c>
      <c r="M1" s="195" t="s">
        <v>963</v>
      </c>
      <c r="N1" s="194" t="s">
        <v>964</v>
      </c>
      <c r="O1" s="195" t="s">
        <v>965</v>
      </c>
      <c r="P1" s="194" t="s">
        <v>966</v>
      </c>
      <c r="Q1" s="197" t="s">
        <v>967</v>
      </c>
      <c r="R1" s="195" t="s">
        <v>968</v>
      </c>
      <c r="S1" s="194" t="s">
        <v>969</v>
      </c>
      <c r="T1" s="195" t="s">
        <v>970</v>
      </c>
      <c r="U1" s="194" t="s">
        <v>971</v>
      </c>
      <c r="V1" s="198" t="s">
        <v>972</v>
      </c>
    </row>
    <row r="2" spans="1:22" x14ac:dyDescent="0.25">
      <c r="A2" s="189">
        <f>IF('User Dashboard'!F18="Manual Entry",'Manual Patient Calcs'!A2,0)</f>
        <v>0</v>
      </c>
      <c r="B2" s="190">
        <f>IF(AND(IF('User Dashboard'!F$18="Manual Entry",IF('Manual Patient Calcs'!C2="","",'Manual Patient Calcs'!C2),IFERROR(IF(Doubling_rate_modelled="Combined",
IF(A2&lt;='Patient Calc Assumptions'!$J$20,
2^(A2/('Patient Calc Assumptions'!$F$20/7)),
(2^((A2-'Patient Calc Assumptions'!$J$20)/('Patient Calc Assumptions'!$H$20/7)))*(2^('Patient Calc Assumptions'!$J$20/('Patient Calc Assumptions'!$F$20/7)))),
2^(A2/(VLOOKUP(Doubling_rate_modelled,'Patient Calc Assumptions'!$B$15:$C$25,2,FALSE)/7))),""))&gt;'Patient Calc Assumptions'!$C$36,A2&lt;&gt;""),'Patient Calc Assumptions'!$C$36,IF('User Dashboard'!F$18="Manual Entry",IF('Manual Patient Calcs'!C2="","",'Manual Patient Calcs'!C2),IFERROR(IF(Doubling_rate_modelled="Combined",
IF(A2&lt;='Patient Calc Assumptions'!$J$20,
2^(A2/('Patient Calc Assumptions'!$F$20/7)),
(2^((A2-'Patient Calc Assumptions'!$J$20)/('Patient Calc Assumptions'!$H$20/7)))*(2^('Patient Calc Assumptions'!$J$20/('Patient Calc Assumptions'!$F$20/7)))),
2^(A2/(VLOOKUP(Doubling_rate_modelled,'Patient Calc Assumptions'!$B$15:$C$25,2,FALSE)/7))),"")))</f>
        <v>1</v>
      </c>
      <c r="C2" s="191">
        <f t="shared" ref="C2:C33" si="0">IFERROR(IF(A2=0,B2,B2-B1),"")</f>
        <v>1</v>
      </c>
      <c r="D2" s="190">
        <f t="shared" ref="D2:D33" si="1">IFERROR(B2*MildCasePercentage,"")</f>
        <v>0.8</v>
      </c>
      <c r="E2" s="191">
        <f t="shared" ref="E2:E33" si="2">IFERROR(C2*MildCasePercentage,"")</f>
        <v>0.8</v>
      </c>
      <c r="F2" s="190">
        <f t="shared" ref="F2:F33" si="3">IFERROR(B2*SevereCasePercentage,"")</f>
        <v>0.15</v>
      </c>
      <c r="G2" s="191">
        <f t="shared" ref="G2:G33" si="4">IFERROR(C2*SevereCasePercentage,"")</f>
        <v>0.15</v>
      </c>
      <c r="H2" s="190">
        <f t="shared" ref="H2:H33" si="5">IFERROR(B2*CritcalCasePercentage,"")</f>
        <v>0.05</v>
      </c>
      <c r="I2" s="191">
        <f t="shared" ref="I2:I33" si="6">IFERROR(C2*CritcalCasePercentage,"")</f>
        <v>0.05</v>
      </c>
      <c r="J2" s="190">
        <f t="shared" ref="J2:J33" ca="1" si="7">IFERROR(IF(A2="","",IF(A2&lt;SelfQuarantine_Mild,0,OFFSET(D2,-1*SelfQuarantine_Mild,0))),"")</f>
        <v>0</v>
      </c>
      <c r="K2" s="191">
        <f t="shared" ref="K2:K33" ca="1" si="8">IFERROR(IF(A2="","",IF(A2&lt;SelfQuarantine_Mild,0,OFFSET(E2,-1*SelfQuarantine_Mild,0))),"")</f>
        <v>0</v>
      </c>
      <c r="L2" s="190">
        <f t="shared" ref="L2:L33" ca="1" si="9">IFERROR(IF(A2="","",IF(A2&lt;BedStay_Severe,0,OFFSET(F2,-1*BedStay_Severe,0))),"")</f>
        <v>0</v>
      </c>
      <c r="M2" s="191">
        <f t="shared" ref="M2:M33" ca="1" si="10">IFERROR(IF(A2="","",IF(A2&lt;BedStay_Severe,0,OFFSET(G2,-1*BedStay_Severe,0))),"")</f>
        <v>0</v>
      </c>
      <c r="N2" s="190">
        <f t="shared" ref="N2:N33" ca="1" si="11">IFERROR(IF(A2="","",IF(A2&lt;BedStay_Critical,0,OFFSET(H2,-1*BedStay_Critical,0))),"")</f>
        <v>0</v>
      </c>
      <c r="O2" s="191">
        <f t="shared" ref="O2:O33" ca="1" si="12">IFERROR(IF(A2="","",IF(A2&lt;BedStay_Critical,0,OFFSET(I2,-1*BedStay_Critical,0))),"")</f>
        <v>0</v>
      </c>
      <c r="P2" s="190">
        <f ca="1">IFERROR(D2-J2,"")</f>
        <v>0.8</v>
      </c>
      <c r="Q2" s="192">
        <f ca="1">IFERROR(F2-L2,"")</f>
        <v>0.15</v>
      </c>
      <c r="R2" s="191">
        <f ca="1">IFERROR(H2-N2,"")</f>
        <v>0.05</v>
      </c>
      <c r="S2" s="190">
        <f t="shared" ref="S2:S33" si="13">IFERROR(B2*SuspectedCaseMultiplier,"")</f>
        <v>3</v>
      </c>
      <c r="T2" s="191">
        <f t="shared" ref="T2:T33" si="14">IFERROR(C2*SuspectedCaseMultiplier,"")</f>
        <v>3</v>
      </c>
      <c r="U2" s="190">
        <f>IFERROR((Tests_MildOrSuspected*'Automated Patient Calcs'!D2)+(Tests_SevereOrCritical*('Automated Patient Calcs'!F2+'Automated Patient Calcs'!H2))+S2,"")</f>
        <v>4.4000000000000004</v>
      </c>
      <c r="V2" s="191">
        <f>IFERROR((Tests_MildOrSuspected*'Automated Patient Calcs'!E2)+(Tests_SevereOrCritical*('Automated Patient Calcs'!G2+'Automated Patient Calcs'!I2))+T2,"")</f>
        <v>4.4000000000000004</v>
      </c>
    </row>
    <row r="3" spans="1:22" x14ac:dyDescent="0.25">
      <c r="A3" s="189">
        <f>IF('User Dashboard'!F$18="Manual Entry",'Manual Patient Calcs'!A3,IFERROR(IF(Doubling_rate_modelled="Combined",
IF(A2+1&gt;ROUNDUP('Patient Calc Assumptions'!$E$41,0),"",A2+1),
IF(A2+1&gt;ROUNDUP('Patient Calc Assumptions'!$C$40,0),"",A2+1)),""))</f>
        <v>1</v>
      </c>
      <c r="B3" s="190">
        <f>IF(AND(IF('User Dashboard'!F$18="Manual Entry",IF('Manual Patient Calcs'!C3="","",'Manual Patient Calcs'!C3),IFERROR(IF(Doubling_rate_modelled="Combined",
IF(A3&lt;='Patient Calc Assumptions'!$J$20,
2^(A3/('Patient Calc Assumptions'!$F$20/7)),
(2^((A3-'Patient Calc Assumptions'!$J$20)/('Patient Calc Assumptions'!$H$20/7)))*(2^('Patient Calc Assumptions'!$J$20/('Patient Calc Assumptions'!$F$20/7)))),
2^(A3/(VLOOKUP(Doubling_rate_modelled,'Patient Calc Assumptions'!$B$15:$C$25,2,FALSE)/7))),""))&gt;'Patient Calc Assumptions'!$C$36,A3&lt;&gt;""),'Patient Calc Assumptions'!$C$36,IF('User Dashboard'!F$18="Manual Entry",IF('Manual Patient Calcs'!C3="","",'Manual Patient Calcs'!C3),IFERROR(IF(Doubling_rate_modelled="Combined",
IF(A3&lt;='Patient Calc Assumptions'!$J$20,
2^(A3/('Patient Calc Assumptions'!$F$20/7)),
(2^((A3-'Patient Calc Assumptions'!$J$20)/('Patient Calc Assumptions'!$H$20/7)))*(2^('Patient Calc Assumptions'!$J$20/('Patient Calc Assumptions'!$F$20/7)))),
2^(A3/(VLOOKUP(Doubling_rate_modelled,'Patient Calc Assumptions'!$B$15:$C$25,2,FALSE)/7))),"")))</f>
        <v>3.363585661014858</v>
      </c>
      <c r="C3" s="191">
        <f t="shared" si="0"/>
        <v>2.363585661014858</v>
      </c>
      <c r="D3" s="190">
        <f t="shared" si="1"/>
        <v>2.6908685288118868</v>
      </c>
      <c r="E3" s="191">
        <f t="shared" si="2"/>
        <v>1.8908685288118865</v>
      </c>
      <c r="F3" s="190">
        <f t="shared" si="3"/>
        <v>0.50453784915222866</v>
      </c>
      <c r="G3" s="191">
        <f t="shared" si="4"/>
        <v>0.35453784915222869</v>
      </c>
      <c r="H3" s="190">
        <f t="shared" si="5"/>
        <v>0.16817928305074292</v>
      </c>
      <c r="I3" s="191">
        <f t="shared" si="6"/>
        <v>0.11817928305074291</v>
      </c>
      <c r="J3" s="190">
        <f t="shared" ca="1" si="7"/>
        <v>0</v>
      </c>
      <c r="K3" s="191">
        <f t="shared" ca="1" si="8"/>
        <v>0</v>
      </c>
      <c r="L3" s="190">
        <f t="shared" ca="1" si="9"/>
        <v>0.15</v>
      </c>
      <c r="M3" s="191">
        <f t="shared" ca="1" si="10"/>
        <v>0.15</v>
      </c>
      <c r="N3" s="190">
        <f t="shared" ca="1" si="11"/>
        <v>0</v>
      </c>
      <c r="O3" s="191">
        <f t="shared" ca="1" si="12"/>
        <v>0</v>
      </c>
      <c r="P3" s="190">
        <f t="shared" ref="P3:P54" ca="1" si="15">IFERROR(D3-J3,"")</f>
        <v>2.6908685288118868</v>
      </c>
      <c r="Q3" s="192">
        <f t="shared" ref="Q3:Q54" ca="1" si="16">IFERROR(F3-L3,"")</f>
        <v>0.35453784915222863</v>
      </c>
      <c r="R3" s="191">
        <f t="shared" ref="R3:R54" ca="1" si="17">IFERROR(H3-N3,"")</f>
        <v>0.16817928305074292</v>
      </c>
      <c r="S3" s="190">
        <f t="shared" si="13"/>
        <v>10.090756983044574</v>
      </c>
      <c r="T3" s="191">
        <f t="shared" si="14"/>
        <v>7.0907569830445745</v>
      </c>
      <c r="U3" s="190">
        <f>IFERROR((Tests_MildOrSuspected*'Automated Patient Calcs'!D3)+(Tests_SevereOrCritical*('Automated Patient Calcs'!F3+'Automated Patient Calcs'!H3))+S3,"")</f>
        <v>14.799776908465375</v>
      </c>
      <c r="V3" s="191">
        <f>IFERROR((Tests_MildOrSuspected*'Automated Patient Calcs'!E3)+(Tests_SevereOrCritical*('Automated Patient Calcs'!G3+'Automated Patient Calcs'!I3))+T3,"")</f>
        <v>10.399776908465377</v>
      </c>
    </row>
    <row r="4" spans="1:22" x14ac:dyDescent="0.25">
      <c r="A4" s="189">
        <f>IF('User Dashboard'!F$18="Manual Entry",'Manual Patient Calcs'!A4,IFERROR(IF(Doubling_rate_modelled="Combined",
IF(A3+1&gt;ROUNDUP('Patient Calc Assumptions'!$E$41,0),"",A3+1),
IF(A3+1&gt;ROUNDUP('Patient Calc Assumptions'!$C$40,0),"",A3+1)),""))</f>
        <v>2</v>
      </c>
      <c r="B4" s="190">
        <f>IF(AND(IF('User Dashboard'!F$18="Manual Entry",IF('Manual Patient Calcs'!C4="","",'Manual Patient Calcs'!C4),IFERROR(IF(Doubling_rate_modelled="Combined",
IF(A4&lt;='Patient Calc Assumptions'!$J$20,
2^(A4/('Patient Calc Assumptions'!$F$20/7)),
(2^((A4-'Patient Calc Assumptions'!$J$20)/('Patient Calc Assumptions'!$H$20/7)))*(2^('Patient Calc Assumptions'!$J$20/('Patient Calc Assumptions'!$F$20/7)))),
2^(A4/(VLOOKUP(Doubling_rate_modelled,'Patient Calc Assumptions'!$B$15:$C$25,2,FALSE)/7))),""))&gt;'Patient Calc Assumptions'!$C$36,A4&lt;&gt;""),'Patient Calc Assumptions'!$C$36,IF('User Dashboard'!F$18="Manual Entry",IF('Manual Patient Calcs'!C4="","",'Manual Patient Calcs'!C4),IFERROR(IF(Doubling_rate_modelled="Combined",
IF(A4&lt;='Patient Calc Assumptions'!$J$20,
2^(A4/('Patient Calc Assumptions'!$F$20/7)),
(2^((A4-'Patient Calc Assumptions'!$J$20)/('Patient Calc Assumptions'!$H$20/7)))*(2^('Patient Calc Assumptions'!$J$20/('Patient Calc Assumptions'!$F$20/7)))),
2^(A4/(VLOOKUP(Doubling_rate_modelled,'Patient Calc Assumptions'!$B$15:$C$25,2,FALSE)/7))),"")))</f>
        <v>11.313708498984759</v>
      </c>
      <c r="C4" s="191">
        <f t="shared" si="0"/>
        <v>7.9501228379699018</v>
      </c>
      <c r="D4" s="190">
        <f t="shared" si="1"/>
        <v>9.0509667991878082</v>
      </c>
      <c r="E4" s="191">
        <f t="shared" si="2"/>
        <v>6.3600982703759215</v>
      </c>
      <c r="F4" s="190">
        <f t="shared" si="3"/>
        <v>1.6970562748477138</v>
      </c>
      <c r="G4" s="191">
        <f t="shared" si="4"/>
        <v>1.1925184256954853</v>
      </c>
      <c r="H4" s="190">
        <f t="shared" si="5"/>
        <v>0.56568542494923801</v>
      </c>
      <c r="I4" s="191">
        <f t="shared" si="6"/>
        <v>0.39750614189849509</v>
      </c>
      <c r="J4" s="190">
        <f t="shared" ca="1" si="7"/>
        <v>0.8</v>
      </c>
      <c r="K4" s="191">
        <f t="shared" ca="1" si="8"/>
        <v>0.8</v>
      </c>
      <c r="L4" s="190">
        <f t="shared" ca="1" si="9"/>
        <v>0.50453784915222866</v>
      </c>
      <c r="M4" s="191">
        <f t="shared" ca="1" si="10"/>
        <v>0.35453784915222869</v>
      </c>
      <c r="N4" s="190">
        <f t="shared" ca="1" si="11"/>
        <v>0.05</v>
      </c>
      <c r="O4" s="191">
        <f t="shared" ca="1" si="12"/>
        <v>0.05</v>
      </c>
      <c r="P4" s="190">
        <f t="shared" ca="1" si="15"/>
        <v>8.2509667991878075</v>
      </c>
      <c r="Q4" s="192">
        <f t="shared" ca="1" si="16"/>
        <v>1.1925184256954853</v>
      </c>
      <c r="R4" s="191">
        <f t="shared" ca="1" si="17"/>
        <v>0.51568542494923797</v>
      </c>
      <c r="S4" s="190">
        <f t="shared" si="13"/>
        <v>33.941125496954278</v>
      </c>
      <c r="T4" s="191">
        <f t="shared" si="14"/>
        <v>23.850368513909707</v>
      </c>
      <c r="U4" s="190">
        <f>IFERROR((Tests_MildOrSuspected*'Automated Patient Calcs'!D4)+(Tests_SevereOrCritical*('Automated Patient Calcs'!F4+'Automated Patient Calcs'!H4))+S4,"")</f>
        <v>49.780317395532947</v>
      </c>
      <c r="V4" s="191">
        <f>IFERROR((Tests_MildOrSuspected*'Automated Patient Calcs'!E4)+(Tests_SevereOrCritical*('Automated Patient Calcs'!G4+'Automated Patient Calcs'!I4))+T4,"")</f>
        <v>34.980540487067572</v>
      </c>
    </row>
    <row r="5" spans="1:22" x14ac:dyDescent="0.25">
      <c r="A5" s="189">
        <f>IF('User Dashboard'!F$18="Manual Entry",'Manual Patient Calcs'!A5,IFERROR(IF(Doubling_rate_modelled="Combined",
IF(A4+1&gt;ROUNDUP('Patient Calc Assumptions'!$E$41,0),"",A4+1),
IF(A4+1&gt;ROUNDUP('Patient Calc Assumptions'!$C$40,0),"",A4+1)),""))</f>
        <v>3</v>
      </c>
      <c r="B5" s="190">
        <f>IF(AND(IF('User Dashboard'!F$18="Manual Entry",IF('Manual Patient Calcs'!C5="","",'Manual Patient Calcs'!C5),IFERROR(IF(Doubling_rate_modelled="Combined",
IF(A5&lt;='Patient Calc Assumptions'!$J$20,
2^(A5/('Patient Calc Assumptions'!$F$20/7)),
(2^((A5-'Patient Calc Assumptions'!$J$20)/('Patient Calc Assumptions'!$H$20/7)))*(2^('Patient Calc Assumptions'!$J$20/('Patient Calc Assumptions'!$F$20/7)))),
2^(A5/(VLOOKUP(Doubling_rate_modelled,'Patient Calc Assumptions'!$B$15:$C$25,2,FALSE)/7))),""))&gt;'Patient Calc Assumptions'!$C$36,A5&lt;&gt;""),'Patient Calc Assumptions'!$C$36,IF('User Dashboard'!F$18="Manual Entry",IF('Manual Patient Calcs'!C5="","",'Manual Patient Calcs'!C5),IFERROR(IF(Doubling_rate_modelled="Combined",
IF(A5&lt;='Patient Calc Assumptions'!$J$20,
2^(A5/('Patient Calc Assumptions'!$F$20/7)),
(2^((A5-'Patient Calc Assumptions'!$J$20)/('Patient Calc Assumptions'!$H$20/7)))*(2^('Patient Calc Assumptions'!$J$20/('Patient Calc Assumptions'!$F$20/7)))),
2^(A5/(VLOOKUP(Doubling_rate_modelled,'Patient Calc Assumptions'!$B$15:$C$25,2,FALSE)/7))),"")))</f>
        <v>38.054627680087073</v>
      </c>
      <c r="C5" s="191">
        <f t="shared" si="0"/>
        <v>26.740919181102313</v>
      </c>
      <c r="D5" s="190">
        <f t="shared" si="1"/>
        <v>30.443702144069661</v>
      </c>
      <c r="E5" s="191">
        <f t="shared" si="2"/>
        <v>21.392735344881853</v>
      </c>
      <c r="F5" s="190">
        <f t="shared" si="3"/>
        <v>5.7081941520130606</v>
      </c>
      <c r="G5" s="191">
        <f t="shared" si="4"/>
        <v>4.0111378771653472</v>
      </c>
      <c r="H5" s="190">
        <f t="shared" si="5"/>
        <v>1.9027313840043538</v>
      </c>
      <c r="I5" s="191">
        <f t="shared" si="6"/>
        <v>1.3370459590551158</v>
      </c>
      <c r="J5" s="190">
        <f t="shared" ca="1" si="7"/>
        <v>2.6908685288118868</v>
      </c>
      <c r="K5" s="191">
        <f t="shared" ca="1" si="8"/>
        <v>1.8908685288118865</v>
      </c>
      <c r="L5" s="190">
        <f t="shared" ca="1" si="9"/>
        <v>1.6970562748477138</v>
      </c>
      <c r="M5" s="191">
        <f t="shared" ca="1" si="10"/>
        <v>1.1925184256954853</v>
      </c>
      <c r="N5" s="190">
        <f t="shared" ca="1" si="11"/>
        <v>0.16817928305074292</v>
      </c>
      <c r="O5" s="191">
        <f t="shared" ca="1" si="12"/>
        <v>0.11817928305074291</v>
      </c>
      <c r="P5" s="190">
        <f t="shared" ca="1" si="15"/>
        <v>27.752833615257774</v>
      </c>
      <c r="Q5" s="192">
        <f t="shared" ca="1" si="16"/>
        <v>4.0111378771653463</v>
      </c>
      <c r="R5" s="191">
        <f t="shared" ca="1" si="17"/>
        <v>1.7345521009536109</v>
      </c>
      <c r="S5" s="190">
        <f t="shared" si="13"/>
        <v>114.16388304026123</v>
      </c>
      <c r="T5" s="191">
        <f t="shared" si="14"/>
        <v>80.22275754330694</v>
      </c>
      <c r="U5" s="190">
        <f>IFERROR((Tests_MildOrSuspected*'Automated Patient Calcs'!D5)+(Tests_SevereOrCritical*('Automated Patient Calcs'!F5+'Automated Patient Calcs'!H5))+S5,"")</f>
        <v>167.44036179238313</v>
      </c>
      <c r="V5" s="191">
        <f>IFERROR((Tests_MildOrSuspected*'Automated Patient Calcs'!E5)+(Tests_SevereOrCritical*('Automated Patient Calcs'!G5+'Automated Patient Calcs'!I5))+T5,"")</f>
        <v>117.66004439685018</v>
      </c>
    </row>
    <row r="6" spans="1:22" x14ac:dyDescent="0.25">
      <c r="A6" s="189">
        <f>IF('User Dashboard'!F$18="Manual Entry",'Manual Patient Calcs'!A6,IFERROR(IF(Doubling_rate_modelled="Combined",
IF(A5+1&gt;ROUNDUP('Patient Calc Assumptions'!$E$41,0),"",A5+1),
IF(A5+1&gt;ROUNDUP('Patient Calc Assumptions'!$C$40,0),"",A5+1)),""))</f>
        <v>4</v>
      </c>
      <c r="B6" s="190">
        <f>IF(AND(IF('User Dashboard'!F$18="Manual Entry",IF('Manual Patient Calcs'!C6="","",'Manual Patient Calcs'!C6),IFERROR(IF(Doubling_rate_modelled="Combined",
IF(A6&lt;='Patient Calc Assumptions'!$J$20,
2^(A6/('Patient Calc Assumptions'!$F$20/7)),
(2^((A6-'Patient Calc Assumptions'!$J$20)/('Patient Calc Assumptions'!$H$20/7)))*(2^('Patient Calc Assumptions'!$J$20/('Patient Calc Assumptions'!$F$20/7)))),
2^(A6/(VLOOKUP(Doubling_rate_modelled,'Patient Calc Assumptions'!$B$15:$C$25,2,FALSE)/7))),""))&gt;'Patient Calc Assumptions'!$C$36,A6&lt;&gt;""),'Patient Calc Assumptions'!$C$36,IF('User Dashboard'!F$18="Manual Entry",IF('Manual Patient Calcs'!C6="","",'Manual Patient Calcs'!C6),IFERROR(IF(Doubling_rate_modelled="Combined",
IF(A6&lt;='Patient Calc Assumptions'!$J$20,
2^(A6/('Patient Calc Assumptions'!$F$20/7)),
(2^((A6-'Patient Calc Assumptions'!$J$20)/('Patient Calc Assumptions'!$H$20/7)))*(2^('Patient Calc Assumptions'!$J$20/('Patient Calc Assumptions'!$F$20/7)))),
2^(A6/(VLOOKUP(Doubling_rate_modelled,'Patient Calc Assumptions'!$B$15:$C$25,2,FALSE)/7))),"")))</f>
        <v>128</v>
      </c>
      <c r="C6" s="191">
        <f t="shared" si="0"/>
        <v>89.945372319912934</v>
      </c>
      <c r="D6" s="190">
        <f t="shared" si="1"/>
        <v>102.4</v>
      </c>
      <c r="E6" s="191">
        <f t="shared" si="2"/>
        <v>71.956297855930345</v>
      </c>
      <c r="F6" s="190">
        <f t="shared" si="3"/>
        <v>19.2</v>
      </c>
      <c r="G6" s="191">
        <f t="shared" si="4"/>
        <v>13.49180584798694</v>
      </c>
      <c r="H6" s="190">
        <f t="shared" si="5"/>
        <v>6.4</v>
      </c>
      <c r="I6" s="191">
        <f t="shared" si="6"/>
        <v>4.4972686159956465</v>
      </c>
      <c r="J6" s="190">
        <f t="shared" ca="1" si="7"/>
        <v>9.0509667991878082</v>
      </c>
      <c r="K6" s="191">
        <f t="shared" ca="1" si="8"/>
        <v>6.3600982703759215</v>
      </c>
      <c r="L6" s="190">
        <f t="shared" ca="1" si="9"/>
        <v>5.7081941520130606</v>
      </c>
      <c r="M6" s="191">
        <f t="shared" ca="1" si="10"/>
        <v>4.0111378771653472</v>
      </c>
      <c r="N6" s="190">
        <f t="shared" ca="1" si="11"/>
        <v>0.56568542494923801</v>
      </c>
      <c r="O6" s="191">
        <f t="shared" ca="1" si="12"/>
        <v>0.39750614189849509</v>
      </c>
      <c r="P6" s="190">
        <f t="shared" ca="1" si="15"/>
        <v>93.349033200812201</v>
      </c>
      <c r="Q6" s="192">
        <f t="shared" ca="1" si="16"/>
        <v>13.491805847986939</v>
      </c>
      <c r="R6" s="191">
        <f t="shared" ca="1" si="17"/>
        <v>5.8343145750507626</v>
      </c>
      <c r="S6" s="190">
        <f t="shared" si="13"/>
        <v>384</v>
      </c>
      <c r="T6" s="191">
        <f t="shared" si="14"/>
        <v>269.83611695973877</v>
      </c>
      <c r="U6" s="190">
        <f>IFERROR((Tests_MildOrSuspected*'Automated Patient Calcs'!D6)+(Tests_SevereOrCritical*('Automated Patient Calcs'!F6+'Automated Patient Calcs'!H6))+S6,"")</f>
        <v>563.20000000000005</v>
      </c>
      <c r="V6" s="191">
        <f>IFERROR((Tests_MildOrSuspected*'Automated Patient Calcs'!E6)+(Tests_SevereOrCritical*('Automated Patient Calcs'!G6+'Automated Patient Calcs'!I6))+T6,"")</f>
        <v>395.75963820761689</v>
      </c>
    </row>
    <row r="7" spans="1:22" x14ac:dyDescent="0.25">
      <c r="A7" s="189">
        <f>IF('User Dashboard'!F$18="Manual Entry",'Manual Patient Calcs'!A7,IFERROR(IF(Doubling_rate_modelled="Combined",
IF(A6+1&gt;ROUNDUP('Patient Calc Assumptions'!$E$41,0),"",A6+1),
IF(A6+1&gt;ROUNDUP('Patient Calc Assumptions'!$C$40,0),"",A6+1)),""))</f>
        <v>5</v>
      </c>
      <c r="B7" s="190">
        <f>IF(AND(IF('User Dashboard'!F$18="Manual Entry",IF('Manual Patient Calcs'!C7="","",'Manual Patient Calcs'!C7),IFERROR(IF(Doubling_rate_modelled="Combined",
IF(A7&lt;='Patient Calc Assumptions'!$J$20,
2^(A7/('Patient Calc Assumptions'!$F$20/7)),
(2^((A7-'Patient Calc Assumptions'!$J$20)/('Patient Calc Assumptions'!$H$20/7)))*(2^('Patient Calc Assumptions'!$J$20/('Patient Calc Assumptions'!$F$20/7)))),
2^(A7/(VLOOKUP(Doubling_rate_modelled,'Patient Calc Assumptions'!$B$15:$C$25,2,FALSE)/7))),""))&gt;'Patient Calc Assumptions'!$C$36,A7&lt;&gt;""),'Patient Calc Assumptions'!$C$36,IF('User Dashboard'!F$18="Manual Entry",IF('Manual Patient Calcs'!C7="","",'Manual Patient Calcs'!C7),IFERROR(IF(Doubling_rate_modelled="Combined",
IF(A7&lt;='Patient Calc Assumptions'!$J$20,
2^(A7/('Patient Calc Assumptions'!$F$20/7)),
(2^((A7-'Patient Calc Assumptions'!$J$20)/('Patient Calc Assumptions'!$H$20/7)))*(2^('Patient Calc Assumptions'!$J$20/('Patient Calc Assumptions'!$F$20/7)))),
2^(A7/(VLOOKUP(Doubling_rate_modelled,'Patient Calc Assumptions'!$B$15:$C$25,2,FALSE)/7))),"")))</f>
        <v>430.5389646099016</v>
      </c>
      <c r="C7" s="191">
        <f t="shared" si="0"/>
        <v>302.5389646099016</v>
      </c>
      <c r="D7" s="190">
        <f t="shared" si="1"/>
        <v>344.43117168792128</v>
      </c>
      <c r="E7" s="191">
        <f t="shared" si="2"/>
        <v>242.0311716879213</v>
      </c>
      <c r="F7" s="190">
        <f t="shared" si="3"/>
        <v>64.58084469148524</v>
      </c>
      <c r="G7" s="191">
        <f t="shared" si="4"/>
        <v>45.380844691485237</v>
      </c>
      <c r="H7" s="190">
        <f t="shared" si="5"/>
        <v>21.52694823049508</v>
      </c>
      <c r="I7" s="191">
        <f t="shared" si="6"/>
        <v>15.126948230495081</v>
      </c>
      <c r="J7" s="190">
        <f t="shared" ca="1" si="7"/>
        <v>30.443702144069661</v>
      </c>
      <c r="K7" s="191">
        <f t="shared" ca="1" si="8"/>
        <v>21.392735344881853</v>
      </c>
      <c r="L7" s="190">
        <f t="shared" ca="1" si="9"/>
        <v>19.2</v>
      </c>
      <c r="M7" s="191">
        <f t="shared" ca="1" si="10"/>
        <v>13.49180584798694</v>
      </c>
      <c r="N7" s="190">
        <f t="shared" ca="1" si="11"/>
        <v>1.9027313840043538</v>
      </c>
      <c r="O7" s="191">
        <f t="shared" ca="1" si="12"/>
        <v>1.3370459590551158</v>
      </c>
      <c r="P7" s="190">
        <f t="shared" ca="1" si="15"/>
        <v>313.9874695438516</v>
      </c>
      <c r="Q7" s="192">
        <f t="shared" ca="1" si="16"/>
        <v>45.380844691485237</v>
      </c>
      <c r="R7" s="191">
        <f t="shared" ca="1" si="17"/>
        <v>19.624216846490725</v>
      </c>
      <c r="S7" s="190">
        <f t="shared" si="13"/>
        <v>1291.6168938297048</v>
      </c>
      <c r="T7" s="191">
        <f t="shared" si="14"/>
        <v>907.61689382970485</v>
      </c>
      <c r="U7" s="190">
        <f>IFERROR((Tests_MildOrSuspected*'Automated Patient Calcs'!D7)+(Tests_SevereOrCritical*('Automated Patient Calcs'!F7+'Automated Patient Calcs'!H7))+S7,"")</f>
        <v>1894.3714442835671</v>
      </c>
      <c r="V7" s="191">
        <f>IFERROR((Tests_MildOrSuspected*'Automated Patient Calcs'!E7)+(Tests_SevereOrCritical*('Automated Patient Calcs'!G7+'Automated Patient Calcs'!I7))+T7,"")</f>
        <v>1331.1714442835671</v>
      </c>
    </row>
    <row r="8" spans="1:22" x14ac:dyDescent="0.25">
      <c r="A8" s="189">
        <f>IF('User Dashboard'!F$18="Manual Entry",'Manual Patient Calcs'!A8,IFERROR(IF(Doubling_rate_modelled="Combined",
IF(A7+1&gt;ROUNDUP('Patient Calc Assumptions'!$E$41,0),"",A7+1),
IF(A7+1&gt;ROUNDUP('Patient Calc Assumptions'!$C$40,0),"",A7+1)),""))</f>
        <v>6</v>
      </c>
      <c r="B8" s="190">
        <f>IF(AND(IF('User Dashboard'!F$18="Manual Entry",IF('Manual Patient Calcs'!C8="","",'Manual Patient Calcs'!C8),IFERROR(IF(Doubling_rate_modelled="Combined",
IF(A8&lt;='Patient Calc Assumptions'!$J$20,
2^(A8/('Patient Calc Assumptions'!$F$20/7)),
(2^((A8-'Patient Calc Assumptions'!$J$20)/('Patient Calc Assumptions'!$H$20/7)))*(2^('Patient Calc Assumptions'!$J$20/('Patient Calc Assumptions'!$F$20/7)))),
2^(A8/(VLOOKUP(Doubling_rate_modelled,'Patient Calc Assumptions'!$B$15:$C$25,2,FALSE)/7))),""))&gt;'Patient Calc Assumptions'!$C$36,A8&lt;&gt;""),'Patient Calc Assumptions'!$C$36,IF('User Dashboard'!F$18="Manual Entry",IF('Manual Patient Calcs'!C8="","",'Manual Patient Calcs'!C8),IFERROR(IF(Doubling_rate_modelled="Combined",
IF(A8&lt;='Patient Calc Assumptions'!$J$20,
2^(A8/('Patient Calc Assumptions'!$F$20/7)),
(2^((A8-'Patient Calc Assumptions'!$J$20)/('Patient Calc Assumptions'!$H$20/7)))*(2^('Patient Calc Assumptions'!$J$20/('Patient Calc Assumptions'!$F$20/7)))),
2^(A8/(VLOOKUP(Doubling_rate_modelled,'Patient Calc Assumptions'!$B$15:$C$25,2,FALSE)/7))),"")))</f>
        <v>1448.1546878700494</v>
      </c>
      <c r="C8" s="191">
        <f t="shared" si="0"/>
        <v>1017.6157232601479</v>
      </c>
      <c r="D8" s="190">
        <f t="shared" si="1"/>
        <v>1158.5237502960397</v>
      </c>
      <c r="E8" s="191">
        <f t="shared" si="2"/>
        <v>814.0925786081184</v>
      </c>
      <c r="F8" s="190">
        <f t="shared" si="3"/>
        <v>217.2232031805074</v>
      </c>
      <c r="G8" s="191">
        <f t="shared" si="4"/>
        <v>152.64235848902217</v>
      </c>
      <c r="H8" s="190">
        <f t="shared" si="5"/>
        <v>72.40773439350248</v>
      </c>
      <c r="I8" s="191">
        <f t="shared" si="6"/>
        <v>50.8807861630074</v>
      </c>
      <c r="J8" s="190">
        <f t="shared" ca="1" si="7"/>
        <v>102.4</v>
      </c>
      <c r="K8" s="191">
        <f t="shared" ca="1" si="8"/>
        <v>71.956297855930345</v>
      </c>
      <c r="L8" s="190">
        <f t="shared" ca="1" si="9"/>
        <v>64.58084469148524</v>
      </c>
      <c r="M8" s="191">
        <f t="shared" ca="1" si="10"/>
        <v>45.380844691485237</v>
      </c>
      <c r="N8" s="190">
        <f t="shared" ca="1" si="11"/>
        <v>6.4</v>
      </c>
      <c r="O8" s="191">
        <f t="shared" ca="1" si="12"/>
        <v>4.4972686159956465</v>
      </c>
      <c r="P8" s="190">
        <f t="shared" ca="1" si="15"/>
        <v>1056.1237502960396</v>
      </c>
      <c r="Q8" s="192">
        <f t="shared" ca="1" si="16"/>
        <v>152.64235848902217</v>
      </c>
      <c r="R8" s="191">
        <f t="shared" ca="1" si="17"/>
        <v>66.007734393502474</v>
      </c>
      <c r="S8" s="190">
        <f t="shared" si="13"/>
        <v>4344.4640636101485</v>
      </c>
      <c r="T8" s="191">
        <f t="shared" si="14"/>
        <v>3052.8471697804434</v>
      </c>
      <c r="U8" s="190">
        <f>IFERROR((Tests_MildOrSuspected*'Automated Patient Calcs'!D8)+(Tests_SevereOrCritical*('Automated Patient Calcs'!F8+'Automated Patient Calcs'!H8))+S8,"")</f>
        <v>6371.8806266282172</v>
      </c>
      <c r="V8" s="191">
        <f>IFERROR((Tests_MildOrSuspected*'Automated Patient Calcs'!E8)+(Tests_SevereOrCritical*('Automated Patient Calcs'!G8+'Automated Patient Calcs'!I8))+T8,"")</f>
        <v>4477.509182344651</v>
      </c>
    </row>
    <row r="9" spans="1:22" x14ac:dyDescent="0.25">
      <c r="A9" s="189">
        <f>IF('User Dashboard'!F$18="Manual Entry",'Manual Patient Calcs'!A9,IFERROR(IF(Doubling_rate_modelled="Combined",
IF(A8+1&gt;ROUNDUP('Patient Calc Assumptions'!$E$41,0),"",A8+1),
IF(A8+1&gt;ROUNDUP('Patient Calc Assumptions'!$C$40,0),"",A8+1)),""))</f>
        <v>7</v>
      </c>
      <c r="B9" s="190">
        <f>IF(AND(IF('User Dashboard'!F$18="Manual Entry",IF('Manual Patient Calcs'!C9="","",'Manual Patient Calcs'!C9),IFERROR(IF(Doubling_rate_modelled="Combined",
IF(A9&lt;='Patient Calc Assumptions'!$J$20,
2^(A9/('Patient Calc Assumptions'!$F$20/7)),
(2^((A9-'Patient Calc Assumptions'!$J$20)/('Patient Calc Assumptions'!$H$20/7)))*(2^('Patient Calc Assumptions'!$J$20/('Patient Calc Assumptions'!$F$20/7)))),
2^(A9/(VLOOKUP(Doubling_rate_modelled,'Patient Calc Assumptions'!$B$15:$C$25,2,FALSE)/7))),""))&gt;'Patient Calc Assumptions'!$C$36,A9&lt;&gt;""),'Patient Calc Assumptions'!$C$36,IF('User Dashboard'!F$18="Manual Entry",IF('Manual Patient Calcs'!C9="","",'Manual Patient Calcs'!C9),IFERROR(IF(Doubling_rate_modelled="Combined",
IF(A9&lt;='Patient Calc Assumptions'!$J$20,
2^(A9/('Patient Calc Assumptions'!$F$20/7)),
(2^((A9-'Patient Calc Assumptions'!$J$20)/('Patient Calc Assumptions'!$H$20/7)))*(2^('Patient Calc Assumptions'!$J$20/('Patient Calc Assumptions'!$F$20/7)))),
2^(A9/(VLOOKUP(Doubling_rate_modelled,'Patient Calc Assumptions'!$B$15:$C$25,2,FALSE)/7))),"")))</f>
        <v>4870.9923430511444</v>
      </c>
      <c r="C9" s="191">
        <f t="shared" si="0"/>
        <v>3422.8376551810952</v>
      </c>
      <c r="D9" s="190">
        <f t="shared" si="1"/>
        <v>3896.7938744409157</v>
      </c>
      <c r="E9" s="191">
        <f t="shared" si="2"/>
        <v>2738.2701241448763</v>
      </c>
      <c r="F9" s="190">
        <f t="shared" si="3"/>
        <v>730.64885145767164</v>
      </c>
      <c r="G9" s="191">
        <f t="shared" si="4"/>
        <v>513.42564827716421</v>
      </c>
      <c r="H9" s="190">
        <f t="shared" si="5"/>
        <v>243.54961715255723</v>
      </c>
      <c r="I9" s="191">
        <f t="shared" si="6"/>
        <v>171.14188275905477</v>
      </c>
      <c r="J9" s="190">
        <f t="shared" ca="1" si="7"/>
        <v>344.43117168792128</v>
      </c>
      <c r="K9" s="191">
        <f t="shared" ca="1" si="8"/>
        <v>242.0311716879213</v>
      </c>
      <c r="L9" s="190">
        <f t="shared" ca="1" si="9"/>
        <v>217.2232031805074</v>
      </c>
      <c r="M9" s="191">
        <f t="shared" ca="1" si="10"/>
        <v>152.64235848902217</v>
      </c>
      <c r="N9" s="190">
        <f t="shared" ca="1" si="11"/>
        <v>21.52694823049508</v>
      </c>
      <c r="O9" s="191">
        <f t="shared" ca="1" si="12"/>
        <v>15.126948230495081</v>
      </c>
      <c r="P9" s="190">
        <f t="shared" ca="1" si="15"/>
        <v>3552.3627027529947</v>
      </c>
      <c r="Q9" s="192">
        <f t="shared" ca="1" si="16"/>
        <v>513.42564827716421</v>
      </c>
      <c r="R9" s="191">
        <f t="shared" ca="1" si="17"/>
        <v>222.02266892206217</v>
      </c>
      <c r="S9" s="190">
        <f t="shared" si="13"/>
        <v>14612.977029153433</v>
      </c>
      <c r="T9" s="191">
        <f t="shared" si="14"/>
        <v>10268.512965543287</v>
      </c>
      <c r="U9" s="190">
        <f>IFERROR((Tests_MildOrSuspected*'Automated Patient Calcs'!D9)+(Tests_SevereOrCritical*('Automated Patient Calcs'!F9+'Automated Patient Calcs'!H9))+S9,"")</f>
        <v>21432.366309425037</v>
      </c>
      <c r="V9" s="191">
        <f>IFERROR((Tests_MildOrSuspected*'Automated Patient Calcs'!E9)+(Tests_SevereOrCritical*('Automated Patient Calcs'!G9+'Automated Patient Calcs'!I9))+T9,"")</f>
        <v>15060.48568279682</v>
      </c>
    </row>
    <row r="10" spans="1:22" x14ac:dyDescent="0.25">
      <c r="A10" s="189">
        <f>IF('User Dashboard'!F$18="Manual Entry",'Manual Patient Calcs'!A10,IFERROR(IF(Doubling_rate_modelled="Combined",
IF(A9+1&gt;ROUNDUP('Patient Calc Assumptions'!$E$41,0),"",A9+1),
IF(A9+1&gt;ROUNDUP('Patient Calc Assumptions'!$C$40,0),"",A9+1)),""))</f>
        <v>8</v>
      </c>
      <c r="B10" s="190">
        <f>IF(AND(IF('User Dashboard'!F$18="Manual Entry",IF('Manual Patient Calcs'!C10="","",'Manual Patient Calcs'!C10),IFERROR(IF(Doubling_rate_modelled="Combined",
IF(A10&lt;='Patient Calc Assumptions'!$J$20,
2^(A10/('Patient Calc Assumptions'!$F$20/7)),
(2^((A10-'Patient Calc Assumptions'!$J$20)/('Patient Calc Assumptions'!$H$20/7)))*(2^('Patient Calc Assumptions'!$J$20/('Patient Calc Assumptions'!$F$20/7)))),
2^(A10/(VLOOKUP(Doubling_rate_modelled,'Patient Calc Assumptions'!$B$15:$C$25,2,FALSE)/7))),""))&gt;'Patient Calc Assumptions'!$C$36,A10&lt;&gt;""),'Patient Calc Assumptions'!$C$36,IF('User Dashboard'!F$18="Manual Entry",IF('Manual Patient Calcs'!C10="","",'Manual Patient Calcs'!C10),IFERROR(IF(Doubling_rate_modelled="Combined",
IF(A10&lt;='Patient Calc Assumptions'!$J$20,
2^(A10/('Patient Calc Assumptions'!$F$20/7)),
(2^((A10-'Patient Calc Assumptions'!$J$20)/('Patient Calc Assumptions'!$H$20/7)))*(2^('Patient Calc Assumptions'!$J$20/('Patient Calc Assumptions'!$F$20/7)))),
2^(A10/(VLOOKUP(Doubling_rate_modelled,'Patient Calc Assumptions'!$B$15:$C$25,2,FALSE)/7))),"")))</f>
        <v>16384</v>
      </c>
      <c r="C10" s="191">
        <f t="shared" si="0"/>
        <v>11513.007656948856</v>
      </c>
      <c r="D10" s="190">
        <f t="shared" si="1"/>
        <v>13107.2</v>
      </c>
      <c r="E10" s="191">
        <f t="shared" si="2"/>
        <v>9210.4061255590841</v>
      </c>
      <c r="F10" s="190">
        <f t="shared" si="3"/>
        <v>2457.6</v>
      </c>
      <c r="G10" s="191">
        <f t="shared" si="4"/>
        <v>1726.9511485423284</v>
      </c>
      <c r="H10" s="190">
        <f t="shared" si="5"/>
        <v>819.2</v>
      </c>
      <c r="I10" s="191">
        <f t="shared" si="6"/>
        <v>575.65038284744276</v>
      </c>
      <c r="J10" s="190">
        <f t="shared" ca="1" si="7"/>
        <v>1158.5237502960397</v>
      </c>
      <c r="K10" s="191">
        <f t="shared" ca="1" si="8"/>
        <v>814.0925786081184</v>
      </c>
      <c r="L10" s="190">
        <f t="shared" ca="1" si="9"/>
        <v>730.64885145767164</v>
      </c>
      <c r="M10" s="191">
        <f t="shared" ca="1" si="10"/>
        <v>513.42564827716421</v>
      </c>
      <c r="N10" s="190">
        <f t="shared" ca="1" si="11"/>
        <v>72.40773439350248</v>
      </c>
      <c r="O10" s="191">
        <f t="shared" ca="1" si="12"/>
        <v>50.8807861630074</v>
      </c>
      <c r="P10" s="190">
        <f t="shared" ca="1" si="15"/>
        <v>11948.676249703962</v>
      </c>
      <c r="Q10" s="192">
        <f t="shared" ca="1" si="16"/>
        <v>1726.9511485423282</v>
      </c>
      <c r="R10" s="191">
        <f t="shared" ca="1" si="17"/>
        <v>746.79226560649761</v>
      </c>
      <c r="S10" s="190">
        <f t="shared" si="13"/>
        <v>49152</v>
      </c>
      <c r="T10" s="191">
        <f t="shared" si="14"/>
        <v>34539.022970846563</v>
      </c>
      <c r="U10" s="190">
        <f>IFERROR((Tests_MildOrSuspected*'Automated Patient Calcs'!D10)+(Tests_SevereOrCritical*('Automated Patient Calcs'!F10+'Automated Patient Calcs'!H10))+S10,"")</f>
        <v>72089.600000000006</v>
      </c>
      <c r="V10" s="191">
        <f>IFERROR((Tests_MildOrSuspected*'Automated Patient Calcs'!E10)+(Tests_SevereOrCritical*('Automated Patient Calcs'!G10+'Automated Patient Calcs'!I10))+T10,"")</f>
        <v>50657.233690574962</v>
      </c>
    </row>
    <row r="11" spans="1:22" x14ac:dyDescent="0.25">
      <c r="A11" s="189">
        <f>IF('User Dashboard'!F$18="Manual Entry",'Manual Patient Calcs'!A11,IFERROR(IF(Doubling_rate_modelled="Combined",
IF(A10+1&gt;ROUNDUP('Patient Calc Assumptions'!$E$41,0),"",A10+1),
IF(A10+1&gt;ROUNDUP('Patient Calc Assumptions'!$C$40,0),"",A10+1)),""))</f>
        <v>9</v>
      </c>
      <c r="B11" s="190">
        <f>IF(AND(IF('User Dashboard'!F$18="Manual Entry",IF('Manual Patient Calcs'!C11="","",'Manual Patient Calcs'!C11),IFERROR(IF(Doubling_rate_modelled="Combined",
IF(A11&lt;='Patient Calc Assumptions'!$J$20,
2^(A11/('Patient Calc Assumptions'!$F$20/7)),
(2^((A11-'Patient Calc Assumptions'!$J$20)/('Patient Calc Assumptions'!$H$20/7)))*(2^('Patient Calc Assumptions'!$J$20/('Patient Calc Assumptions'!$F$20/7)))),
2^(A11/(VLOOKUP(Doubling_rate_modelled,'Patient Calc Assumptions'!$B$15:$C$25,2,FALSE)/7))),""))&gt;'Patient Calc Assumptions'!$C$36,A11&lt;&gt;""),'Patient Calc Assumptions'!$C$36,IF('User Dashboard'!F$18="Manual Entry",IF('Manual Patient Calcs'!C11="","",'Manual Patient Calcs'!C11),IFERROR(IF(Doubling_rate_modelled="Combined",
IF(A11&lt;='Patient Calc Assumptions'!$J$20,
2^(A11/('Patient Calc Assumptions'!$F$20/7)),
(2^((A11-'Patient Calc Assumptions'!$J$20)/('Patient Calc Assumptions'!$H$20/7)))*(2^('Patient Calc Assumptions'!$J$20/('Patient Calc Assumptions'!$F$20/7)))),
2^(A11/(VLOOKUP(Doubling_rate_modelled,'Patient Calc Assumptions'!$B$15:$C$25,2,FALSE)/7))),"")))</f>
        <v>55108.98747006739</v>
      </c>
      <c r="C11" s="191">
        <f t="shared" si="0"/>
        <v>38724.98747006739</v>
      </c>
      <c r="D11" s="190">
        <f t="shared" si="1"/>
        <v>44087.189976053916</v>
      </c>
      <c r="E11" s="191">
        <f t="shared" si="2"/>
        <v>30979.989976053912</v>
      </c>
      <c r="F11" s="190">
        <f t="shared" si="3"/>
        <v>8266.3481205101089</v>
      </c>
      <c r="G11" s="191">
        <f t="shared" si="4"/>
        <v>5808.7481205101085</v>
      </c>
      <c r="H11" s="190">
        <f t="shared" si="5"/>
        <v>2755.4493735033698</v>
      </c>
      <c r="I11" s="191">
        <f t="shared" si="6"/>
        <v>1936.2493735033695</v>
      </c>
      <c r="J11" s="190">
        <f t="shared" ca="1" si="7"/>
        <v>3896.7938744409157</v>
      </c>
      <c r="K11" s="191">
        <f t="shared" ca="1" si="8"/>
        <v>2738.2701241448763</v>
      </c>
      <c r="L11" s="190">
        <f t="shared" ca="1" si="9"/>
        <v>2457.6</v>
      </c>
      <c r="M11" s="191">
        <f t="shared" ca="1" si="10"/>
        <v>1726.9511485423284</v>
      </c>
      <c r="N11" s="190">
        <f t="shared" ca="1" si="11"/>
        <v>243.54961715255723</v>
      </c>
      <c r="O11" s="191">
        <f t="shared" ca="1" si="12"/>
        <v>171.14188275905477</v>
      </c>
      <c r="P11" s="190">
        <f t="shared" ca="1" si="15"/>
        <v>40190.396101612998</v>
      </c>
      <c r="Q11" s="192">
        <f t="shared" ca="1" si="16"/>
        <v>5808.7481205101085</v>
      </c>
      <c r="R11" s="191">
        <f t="shared" ca="1" si="17"/>
        <v>2511.8997563508124</v>
      </c>
      <c r="S11" s="190">
        <f t="shared" si="13"/>
        <v>165326.96241020216</v>
      </c>
      <c r="T11" s="191">
        <f t="shared" si="14"/>
        <v>116174.96241020216</v>
      </c>
      <c r="U11" s="190">
        <f>IFERROR((Tests_MildOrSuspected*'Automated Patient Calcs'!D11)+(Tests_SevereOrCritical*('Automated Patient Calcs'!F11+'Automated Patient Calcs'!H11))+S11,"")</f>
        <v>242479.54486829651</v>
      </c>
      <c r="V11" s="191">
        <f>IFERROR((Tests_MildOrSuspected*'Automated Patient Calcs'!E11)+(Tests_SevereOrCritical*('Automated Patient Calcs'!G11+'Automated Patient Calcs'!I11))+T11,"")</f>
        <v>170389.9448682965</v>
      </c>
    </row>
    <row r="12" spans="1:22" x14ac:dyDescent="0.25">
      <c r="A12" s="189">
        <f>IF('User Dashboard'!F$18="Manual Entry",'Manual Patient Calcs'!A12,IFERROR(IF(Doubling_rate_modelled="Combined",
IF(A11+1&gt;ROUNDUP('Patient Calc Assumptions'!$E$41,0),"",A11+1),
IF(A11+1&gt;ROUNDUP('Patient Calc Assumptions'!$C$40,0),"",A11+1)),""))</f>
        <v>10</v>
      </c>
      <c r="B12" s="190">
        <f>IF(AND(IF('User Dashboard'!F$18="Manual Entry",IF('Manual Patient Calcs'!C12="","",'Manual Patient Calcs'!C12),IFERROR(IF(Doubling_rate_modelled="Combined",
IF(A12&lt;='Patient Calc Assumptions'!$J$20,
2^(A12/('Patient Calc Assumptions'!$F$20/7)),
(2^((A12-'Patient Calc Assumptions'!$J$20)/('Patient Calc Assumptions'!$H$20/7)))*(2^('Patient Calc Assumptions'!$J$20/('Patient Calc Assumptions'!$F$20/7)))),
2^(A12/(VLOOKUP(Doubling_rate_modelled,'Patient Calc Assumptions'!$B$15:$C$25,2,FALSE)/7))),""))&gt;'Patient Calc Assumptions'!$C$36,A12&lt;&gt;""),'Patient Calc Assumptions'!$C$36,IF('User Dashboard'!F$18="Manual Entry",IF('Manual Patient Calcs'!C12="","",'Manual Patient Calcs'!C12),IFERROR(IF(Doubling_rate_modelled="Combined",
IF(A12&lt;='Patient Calc Assumptions'!$J$20,
2^(A12/('Patient Calc Assumptions'!$F$20/7)),
(2^((A12-'Patient Calc Assumptions'!$J$20)/('Patient Calc Assumptions'!$H$20/7)))*(2^('Patient Calc Assumptions'!$J$20/('Patient Calc Assumptions'!$F$20/7)))),
2^(A12/(VLOOKUP(Doubling_rate_modelled,'Patient Calc Assumptions'!$B$15:$C$25,2,FALSE)/7))),"")))</f>
        <v>185363.80004736609</v>
      </c>
      <c r="C12" s="191">
        <f t="shared" si="0"/>
        <v>130254.8125772987</v>
      </c>
      <c r="D12" s="190">
        <f t="shared" si="1"/>
        <v>148291.04003789288</v>
      </c>
      <c r="E12" s="191">
        <f t="shared" si="2"/>
        <v>104203.85006183897</v>
      </c>
      <c r="F12" s="190">
        <f t="shared" si="3"/>
        <v>27804.570007104914</v>
      </c>
      <c r="G12" s="191">
        <f t="shared" si="4"/>
        <v>19538.221886594805</v>
      </c>
      <c r="H12" s="190">
        <f t="shared" si="5"/>
        <v>9268.1900023683047</v>
      </c>
      <c r="I12" s="191">
        <f t="shared" si="6"/>
        <v>6512.7406288649354</v>
      </c>
      <c r="J12" s="190">
        <f t="shared" ca="1" si="7"/>
        <v>13107.2</v>
      </c>
      <c r="K12" s="191">
        <f t="shared" ca="1" si="8"/>
        <v>9210.4061255590841</v>
      </c>
      <c r="L12" s="190">
        <f t="shared" ca="1" si="9"/>
        <v>8266.3481205101089</v>
      </c>
      <c r="M12" s="191">
        <f t="shared" ca="1" si="10"/>
        <v>5808.7481205101085</v>
      </c>
      <c r="N12" s="190">
        <f t="shared" ca="1" si="11"/>
        <v>819.2</v>
      </c>
      <c r="O12" s="191">
        <f t="shared" ca="1" si="12"/>
        <v>575.65038284744276</v>
      </c>
      <c r="P12" s="190">
        <f t="shared" ca="1" si="15"/>
        <v>135183.84003789286</v>
      </c>
      <c r="Q12" s="192">
        <f t="shared" ca="1" si="16"/>
        <v>19538.221886594805</v>
      </c>
      <c r="R12" s="191">
        <f t="shared" ca="1" si="17"/>
        <v>8448.990002368304</v>
      </c>
      <c r="S12" s="190">
        <f t="shared" si="13"/>
        <v>556091.40014209831</v>
      </c>
      <c r="T12" s="191">
        <f t="shared" si="14"/>
        <v>390764.43773189606</v>
      </c>
      <c r="U12" s="190">
        <f>IFERROR((Tests_MildOrSuspected*'Automated Patient Calcs'!D12)+(Tests_SevereOrCritical*('Automated Patient Calcs'!F12+'Automated Patient Calcs'!H12))+S12,"")</f>
        <v>815600.72020841087</v>
      </c>
      <c r="V12" s="191">
        <f>IFERROR((Tests_MildOrSuspected*'Automated Patient Calcs'!E12)+(Tests_SevereOrCritical*('Automated Patient Calcs'!G12+'Automated Patient Calcs'!I12))+T12,"")</f>
        <v>573121.17534011428</v>
      </c>
    </row>
    <row r="13" spans="1:22" x14ac:dyDescent="0.25">
      <c r="A13" s="189">
        <f>IF('User Dashboard'!F$18="Manual Entry",'Manual Patient Calcs'!A13,IFERROR(IF(Doubling_rate_modelled="Combined",
IF(A12+1&gt;ROUNDUP('Patient Calc Assumptions'!$E$41,0),"",A12+1),
IF(A12+1&gt;ROUNDUP('Patient Calc Assumptions'!$C$40,0),"",A12+1)),""))</f>
        <v>11</v>
      </c>
      <c r="B13" s="190">
        <f>IF(AND(IF('User Dashboard'!F$18="Manual Entry",IF('Manual Patient Calcs'!C13="","",'Manual Patient Calcs'!C13),IFERROR(IF(Doubling_rate_modelled="Combined",
IF(A13&lt;='Patient Calc Assumptions'!$J$20,
2^(A13/('Patient Calc Assumptions'!$F$20/7)),
(2^((A13-'Patient Calc Assumptions'!$J$20)/('Patient Calc Assumptions'!$H$20/7)))*(2^('Patient Calc Assumptions'!$J$20/('Patient Calc Assumptions'!$F$20/7)))),
2^(A13/(VLOOKUP(Doubling_rate_modelled,'Patient Calc Assumptions'!$B$15:$C$25,2,FALSE)/7))),""))&gt;'Patient Calc Assumptions'!$C$36,A13&lt;&gt;""),'Patient Calc Assumptions'!$C$36,IF('User Dashboard'!F$18="Manual Entry",IF('Manual Patient Calcs'!C13="","",'Manual Patient Calcs'!C13),IFERROR(IF(Doubling_rate_modelled="Combined",
IF(A13&lt;='Patient Calc Assumptions'!$J$20,
2^(A13/('Patient Calc Assumptions'!$F$20/7)),
(2^((A13-'Patient Calc Assumptions'!$J$20)/('Patient Calc Assumptions'!$H$20/7)))*(2^('Patient Calc Assumptions'!$J$20/('Patient Calc Assumptions'!$F$20/7)))),
2^(A13/(VLOOKUP(Doubling_rate_modelled,'Patient Calc Assumptions'!$B$15:$C$25,2,FALSE)/7))),"")))</f>
        <v>623487.01991054683</v>
      </c>
      <c r="C13" s="191">
        <f t="shared" si="0"/>
        <v>438123.21986318077</v>
      </c>
      <c r="D13" s="190">
        <f t="shared" si="1"/>
        <v>498789.6159284375</v>
      </c>
      <c r="E13" s="191">
        <f t="shared" si="2"/>
        <v>350498.57589054463</v>
      </c>
      <c r="F13" s="190">
        <f t="shared" si="3"/>
        <v>93523.052986582028</v>
      </c>
      <c r="G13" s="191">
        <f t="shared" si="4"/>
        <v>65718.482979477107</v>
      </c>
      <c r="H13" s="190">
        <f t="shared" si="5"/>
        <v>31174.350995527344</v>
      </c>
      <c r="I13" s="191">
        <f t="shared" si="6"/>
        <v>21906.160993159039</v>
      </c>
      <c r="J13" s="190">
        <f t="shared" ca="1" si="7"/>
        <v>44087.189976053916</v>
      </c>
      <c r="K13" s="191">
        <f t="shared" ca="1" si="8"/>
        <v>30979.989976053912</v>
      </c>
      <c r="L13" s="190">
        <f t="shared" ca="1" si="9"/>
        <v>27804.570007104914</v>
      </c>
      <c r="M13" s="191">
        <f t="shared" ca="1" si="10"/>
        <v>19538.221886594805</v>
      </c>
      <c r="N13" s="190">
        <f t="shared" ca="1" si="11"/>
        <v>2755.4493735033698</v>
      </c>
      <c r="O13" s="191">
        <f t="shared" ca="1" si="12"/>
        <v>1936.2493735033695</v>
      </c>
      <c r="P13" s="190">
        <f t="shared" ca="1" si="15"/>
        <v>454702.42595238361</v>
      </c>
      <c r="Q13" s="192">
        <f t="shared" ca="1" si="16"/>
        <v>65718.482979477121</v>
      </c>
      <c r="R13" s="191">
        <f t="shared" ca="1" si="17"/>
        <v>28418.901622023976</v>
      </c>
      <c r="S13" s="190">
        <f t="shared" si="13"/>
        <v>1870461.0597316404</v>
      </c>
      <c r="T13" s="191">
        <f t="shared" si="14"/>
        <v>1314369.6595895423</v>
      </c>
      <c r="U13" s="190">
        <f>IFERROR((Tests_MildOrSuspected*'Automated Patient Calcs'!D13)+(Tests_SevereOrCritical*('Automated Patient Calcs'!F13+'Automated Patient Calcs'!H13))+S13,"")</f>
        <v>2743342.8876064061</v>
      </c>
      <c r="V13" s="191">
        <f>IFERROR((Tests_MildOrSuspected*'Automated Patient Calcs'!E13)+(Tests_SevereOrCritical*('Automated Patient Calcs'!G13+'Automated Patient Calcs'!I13))+T13,"")</f>
        <v>1927742.1673979955</v>
      </c>
    </row>
    <row r="14" spans="1:22" x14ac:dyDescent="0.25">
      <c r="A14" s="189">
        <f>IF('User Dashboard'!F$18="Manual Entry",'Manual Patient Calcs'!A14,IFERROR(IF(Doubling_rate_modelled="Combined",
IF(A13+1&gt;ROUNDUP('Patient Calc Assumptions'!$E$41,0),"",A13+1),
IF(A13+1&gt;ROUNDUP('Patient Calc Assumptions'!$C$40,0),"",A13+1)),""))</f>
        <v>12</v>
      </c>
      <c r="B14" s="190">
        <f>IF(AND(IF('User Dashboard'!F$18="Manual Entry",IF('Manual Patient Calcs'!C14="","",'Manual Patient Calcs'!C14),IFERROR(IF(Doubling_rate_modelled="Combined",
IF(A14&lt;='Patient Calc Assumptions'!$J$20,
2^(A14/('Patient Calc Assumptions'!$F$20/7)),
(2^((A14-'Patient Calc Assumptions'!$J$20)/('Patient Calc Assumptions'!$H$20/7)))*(2^('Patient Calc Assumptions'!$J$20/('Patient Calc Assumptions'!$F$20/7)))),
2^(A14/(VLOOKUP(Doubling_rate_modelled,'Patient Calc Assumptions'!$B$15:$C$25,2,FALSE)/7))),""))&gt;'Patient Calc Assumptions'!$C$36,A14&lt;&gt;""),'Patient Calc Assumptions'!$C$36,IF('User Dashboard'!F$18="Manual Entry",IF('Manual Patient Calcs'!C14="","",'Manual Patient Calcs'!C14),IFERROR(IF(Doubling_rate_modelled="Combined",
IF(A14&lt;='Patient Calc Assumptions'!$J$20,
2^(A14/('Patient Calc Assumptions'!$F$20/7)),
(2^((A14-'Patient Calc Assumptions'!$J$20)/('Patient Calc Assumptions'!$H$20/7)))*(2^('Patient Calc Assumptions'!$J$20/('Patient Calc Assumptions'!$F$20/7)))),
2^(A14/(VLOOKUP(Doubling_rate_modelled,'Patient Calc Assumptions'!$B$15:$C$25,2,FALSE)/7))),"")))</f>
        <v>2097152</v>
      </c>
      <c r="C14" s="191">
        <f t="shared" si="0"/>
        <v>1473664.980089453</v>
      </c>
      <c r="D14" s="190">
        <f t="shared" si="1"/>
        <v>1677721.6000000001</v>
      </c>
      <c r="E14" s="191">
        <f t="shared" si="2"/>
        <v>1178931.9840715625</v>
      </c>
      <c r="F14" s="190">
        <f t="shared" si="3"/>
        <v>314572.79999999999</v>
      </c>
      <c r="G14" s="191">
        <f t="shared" si="4"/>
        <v>221049.74701341795</v>
      </c>
      <c r="H14" s="190">
        <f t="shared" si="5"/>
        <v>104857.60000000001</v>
      </c>
      <c r="I14" s="191">
        <f t="shared" si="6"/>
        <v>73683.249004472658</v>
      </c>
      <c r="J14" s="190">
        <f t="shared" ca="1" si="7"/>
        <v>148291.04003789288</v>
      </c>
      <c r="K14" s="191">
        <f t="shared" ca="1" si="8"/>
        <v>104203.85006183897</v>
      </c>
      <c r="L14" s="190">
        <f t="shared" ca="1" si="9"/>
        <v>93523.052986582028</v>
      </c>
      <c r="M14" s="191">
        <f t="shared" ca="1" si="10"/>
        <v>65718.482979477107</v>
      </c>
      <c r="N14" s="190">
        <f t="shared" ca="1" si="11"/>
        <v>9268.1900023683047</v>
      </c>
      <c r="O14" s="191">
        <f t="shared" ca="1" si="12"/>
        <v>6512.7406288649354</v>
      </c>
      <c r="P14" s="190">
        <f t="shared" ca="1" si="15"/>
        <v>1529430.5599621073</v>
      </c>
      <c r="Q14" s="192">
        <f t="shared" ca="1" si="16"/>
        <v>221049.74701341795</v>
      </c>
      <c r="R14" s="191">
        <f t="shared" ca="1" si="17"/>
        <v>95589.409997631708</v>
      </c>
      <c r="S14" s="190">
        <f t="shared" si="13"/>
        <v>6291456</v>
      </c>
      <c r="T14" s="191">
        <f t="shared" si="14"/>
        <v>4420994.9402683591</v>
      </c>
      <c r="U14" s="190">
        <f>IFERROR((Tests_MildOrSuspected*'Automated Patient Calcs'!D14)+(Tests_SevereOrCritical*('Automated Patient Calcs'!F14+'Automated Patient Calcs'!H14))+S14,"")</f>
        <v>9227468.8000000007</v>
      </c>
      <c r="V14" s="191">
        <f>IFERROR((Tests_MildOrSuspected*'Automated Patient Calcs'!E14)+(Tests_SevereOrCritical*('Automated Patient Calcs'!G14+'Automated Patient Calcs'!I14))+T14,"")</f>
        <v>6484125.9123935942</v>
      </c>
    </row>
    <row r="15" spans="1:22" x14ac:dyDescent="0.25">
      <c r="A15" s="189">
        <f>IF('User Dashboard'!F$18="Manual Entry",'Manual Patient Calcs'!A15,IFERROR(IF(Doubling_rate_modelled="Combined",
IF(A14+1&gt;ROUNDUP('Patient Calc Assumptions'!$E$41,0),"",A14+1),
IF(A14+1&gt;ROUNDUP('Patient Calc Assumptions'!$C$40,0),"",A14+1)),""))</f>
        <v>13</v>
      </c>
      <c r="B15" s="190">
        <f>IF(AND(IF('User Dashboard'!F$18="Manual Entry",IF('Manual Patient Calcs'!C15="","",'Manual Patient Calcs'!C15),IFERROR(IF(Doubling_rate_modelled="Combined",
IF(A15&lt;='Patient Calc Assumptions'!$J$20,
2^(A15/('Patient Calc Assumptions'!$F$20/7)),
(2^((A15-'Patient Calc Assumptions'!$J$20)/('Patient Calc Assumptions'!$H$20/7)))*(2^('Patient Calc Assumptions'!$J$20/('Patient Calc Assumptions'!$F$20/7)))),
2^(A15/(VLOOKUP(Doubling_rate_modelled,'Patient Calc Assumptions'!$B$15:$C$25,2,FALSE)/7))),""))&gt;'Patient Calc Assumptions'!$C$36,A15&lt;&gt;""),'Patient Calc Assumptions'!$C$36,IF('User Dashboard'!F$18="Manual Entry",IF('Manual Patient Calcs'!C15="","",'Manual Patient Calcs'!C15),IFERROR(IF(Doubling_rate_modelled="Combined",
IF(A15&lt;='Patient Calc Assumptions'!$J$20,
2^(A15/('Patient Calc Assumptions'!$F$20/7)),
(2^((A15-'Patient Calc Assumptions'!$J$20)/('Patient Calc Assumptions'!$H$20/7)))*(2^('Patient Calc Assumptions'!$J$20/('Patient Calc Assumptions'!$F$20/7)))),
2^(A15/(VLOOKUP(Doubling_rate_modelled,'Patient Calc Assumptions'!$B$15:$C$25,2,FALSE)/7))),"")))</f>
        <v>7053950.3961686306</v>
      </c>
      <c r="C15" s="191">
        <f t="shared" si="0"/>
        <v>4956798.3961686306</v>
      </c>
      <c r="D15" s="190">
        <f t="shared" si="1"/>
        <v>5643160.316934905</v>
      </c>
      <c r="E15" s="191">
        <f t="shared" si="2"/>
        <v>3965438.7169349045</v>
      </c>
      <c r="F15" s="190">
        <f t="shared" si="3"/>
        <v>1058092.5594252946</v>
      </c>
      <c r="G15" s="191">
        <f t="shared" si="4"/>
        <v>743519.75942529459</v>
      </c>
      <c r="H15" s="190">
        <f t="shared" si="5"/>
        <v>352697.51980843156</v>
      </c>
      <c r="I15" s="191">
        <f t="shared" si="6"/>
        <v>247839.91980843153</v>
      </c>
      <c r="J15" s="190">
        <f t="shared" ca="1" si="7"/>
        <v>498789.6159284375</v>
      </c>
      <c r="K15" s="191">
        <f t="shared" ca="1" si="8"/>
        <v>350498.57589054463</v>
      </c>
      <c r="L15" s="190">
        <f t="shared" ca="1" si="9"/>
        <v>314572.79999999999</v>
      </c>
      <c r="M15" s="191">
        <f t="shared" ca="1" si="10"/>
        <v>221049.74701341795</v>
      </c>
      <c r="N15" s="190">
        <f t="shared" ca="1" si="11"/>
        <v>31174.350995527344</v>
      </c>
      <c r="O15" s="191">
        <f t="shared" ca="1" si="12"/>
        <v>21906.160993159039</v>
      </c>
      <c r="P15" s="190">
        <f t="shared" ca="1" si="15"/>
        <v>5144370.7010064675</v>
      </c>
      <c r="Q15" s="192">
        <f t="shared" ca="1" si="16"/>
        <v>743519.75942529459</v>
      </c>
      <c r="R15" s="191">
        <f t="shared" ca="1" si="17"/>
        <v>321523.16881290422</v>
      </c>
      <c r="S15" s="190">
        <f t="shared" si="13"/>
        <v>21161851.188505892</v>
      </c>
      <c r="T15" s="191">
        <f t="shared" si="14"/>
        <v>14870395.188505892</v>
      </c>
      <c r="U15" s="190">
        <f>IFERROR((Tests_MildOrSuspected*'Automated Patient Calcs'!D15)+(Tests_SevereOrCritical*('Automated Patient Calcs'!F15+'Automated Patient Calcs'!H15))+S15,"")</f>
        <v>31037381.743141975</v>
      </c>
      <c r="V15" s="191">
        <f>IFERROR((Tests_MildOrSuspected*'Automated Patient Calcs'!E15)+(Tests_SevereOrCritical*('Automated Patient Calcs'!G15+'Automated Patient Calcs'!I15))+T15,"")</f>
        <v>21809912.943141975</v>
      </c>
    </row>
    <row r="16" spans="1:22" x14ac:dyDescent="0.25">
      <c r="A16" s="189">
        <f>IF('User Dashboard'!F$18="Manual Entry",'Manual Patient Calcs'!A16,IFERROR(IF(Doubling_rate_modelled="Combined",
IF(A15+1&gt;ROUNDUP('Patient Calc Assumptions'!$E$41,0),"",A15+1),
IF(A15+1&gt;ROUNDUP('Patient Calc Assumptions'!$C$40,0),"",A15+1)),""))</f>
        <v>14</v>
      </c>
      <c r="B16" s="190">
        <f>IF(AND(IF('User Dashboard'!F$18="Manual Entry",IF('Manual Patient Calcs'!C16="","",'Manual Patient Calcs'!C16),IFERROR(IF(Doubling_rate_modelled="Combined",
IF(A16&lt;='Patient Calc Assumptions'!$J$20,
2^(A16/('Patient Calc Assumptions'!$F$20/7)),
(2^((A16-'Patient Calc Assumptions'!$J$20)/('Patient Calc Assumptions'!$H$20/7)))*(2^('Patient Calc Assumptions'!$J$20/('Patient Calc Assumptions'!$F$20/7)))),
2^(A16/(VLOOKUP(Doubling_rate_modelled,'Patient Calc Assumptions'!$B$15:$C$25,2,FALSE)/7))),""))&gt;'Patient Calc Assumptions'!$C$36,A16&lt;&gt;""),'Patient Calc Assumptions'!$C$36,IF('User Dashboard'!F$18="Manual Entry",IF('Manual Patient Calcs'!C16="","",'Manual Patient Calcs'!C16),IFERROR(IF(Doubling_rate_modelled="Combined",
IF(A16&lt;='Patient Calc Assumptions'!$J$20,
2^(A16/('Patient Calc Assumptions'!$F$20/7)),
(2^((A16-'Patient Calc Assumptions'!$J$20)/('Patient Calc Assumptions'!$H$20/7)))*(2^('Patient Calc Assumptions'!$J$20/('Patient Calc Assumptions'!$F$20/7)))),
2^(A16/(VLOOKUP(Doubling_rate_modelled,'Patient Calc Assumptions'!$B$15:$C$25,2,FALSE)/7))),"")))</f>
        <v>8770200</v>
      </c>
      <c r="C16" s="191">
        <f t="shared" si="0"/>
        <v>1716249.6038313694</v>
      </c>
      <c r="D16" s="190">
        <f t="shared" si="1"/>
        <v>7016160</v>
      </c>
      <c r="E16" s="191">
        <f t="shared" si="2"/>
        <v>1372999.6830650957</v>
      </c>
      <c r="F16" s="190">
        <f t="shared" si="3"/>
        <v>1315530</v>
      </c>
      <c r="G16" s="191">
        <f t="shared" si="4"/>
        <v>257437.4405747054</v>
      </c>
      <c r="H16" s="190">
        <f t="shared" si="5"/>
        <v>438510</v>
      </c>
      <c r="I16" s="191">
        <f t="shared" si="6"/>
        <v>85812.48019156848</v>
      </c>
      <c r="J16" s="190">
        <f t="shared" ca="1" si="7"/>
        <v>1677721.6000000001</v>
      </c>
      <c r="K16" s="191">
        <f t="shared" ca="1" si="8"/>
        <v>1178931.9840715625</v>
      </c>
      <c r="L16" s="190">
        <f t="shared" ca="1" si="9"/>
        <v>1058092.5594252946</v>
      </c>
      <c r="M16" s="191">
        <f t="shared" ca="1" si="10"/>
        <v>743519.75942529459</v>
      </c>
      <c r="N16" s="190">
        <f t="shared" ca="1" si="11"/>
        <v>104857.60000000001</v>
      </c>
      <c r="O16" s="191">
        <f t="shared" ca="1" si="12"/>
        <v>73683.249004472658</v>
      </c>
      <c r="P16" s="190">
        <f t="shared" ca="1" si="15"/>
        <v>5338438.4000000004</v>
      </c>
      <c r="Q16" s="192">
        <f t="shared" ca="1" si="16"/>
        <v>257437.44057470537</v>
      </c>
      <c r="R16" s="191">
        <f t="shared" ca="1" si="17"/>
        <v>333652.40000000002</v>
      </c>
      <c r="S16" s="190">
        <f t="shared" si="13"/>
        <v>26310600</v>
      </c>
      <c r="T16" s="191">
        <f t="shared" si="14"/>
        <v>5148748.8114941083</v>
      </c>
      <c r="U16" s="190">
        <f>IFERROR((Tests_MildOrSuspected*'Automated Patient Calcs'!D16)+(Tests_SevereOrCritical*('Automated Patient Calcs'!F16+'Automated Patient Calcs'!H16))+S16,"")</f>
        <v>38588880</v>
      </c>
      <c r="V16" s="191">
        <f>IFERROR((Tests_MildOrSuspected*'Automated Patient Calcs'!E16)+(Tests_SevereOrCritical*('Automated Patient Calcs'!G16+'Automated Patient Calcs'!I16))+T16,"")</f>
        <v>7551498.2568580257</v>
      </c>
    </row>
    <row r="17" spans="1:22" x14ac:dyDescent="0.25">
      <c r="A17" s="189" t="str">
        <f>IF('User Dashboard'!F$18="Manual Entry",'Manual Patient Calcs'!A17,IFERROR(IF(Doubling_rate_modelled="Combined",
IF(A16+1&gt;ROUNDUP('Patient Calc Assumptions'!$E$41,0),"",A16+1),
IF(A16+1&gt;ROUNDUP('Patient Calc Assumptions'!$C$40,0),"",A16+1)),""))</f>
        <v/>
      </c>
      <c r="B17" s="190" t="str">
        <f>IF(AND(IF('User Dashboard'!F$18="Manual Entry",IF('Manual Patient Calcs'!C17="","",'Manual Patient Calcs'!C17),IFERROR(IF(Doubling_rate_modelled="Combined",
IF(A17&lt;='Patient Calc Assumptions'!$J$20,
2^(A17/('Patient Calc Assumptions'!$F$20/7)),
(2^((A17-'Patient Calc Assumptions'!$J$20)/('Patient Calc Assumptions'!$H$20/7)))*(2^('Patient Calc Assumptions'!$J$20/('Patient Calc Assumptions'!$F$20/7)))),
2^(A17/(VLOOKUP(Doubling_rate_modelled,'Patient Calc Assumptions'!$B$15:$C$25,2,FALSE)/7))),""))&gt;'Patient Calc Assumptions'!$C$36,A17&lt;&gt;""),'Patient Calc Assumptions'!$C$36,IF('User Dashboard'!F$18="Manual Entry",IF('Manual Patient Calcs'!C17="","",'Manual Patient Calcs'!C17),IFERROR(IF(Doubling_rate_modelled="Combined",
IF(A17&lt;='Patient Calc Assumptions'!$J$20,
2^(A17/('Patient Calc Assumptions'!$F$20/7)),
(2^((A17-'Patient Calc Assumptions'!$J$20)/('Patient Calc Assumptions'!$H$20/7)))*(2^('Patient Calc Assumptions'!$J$20/('Patient Calc Assumptions'!$F$20/7)))),
2^(A17/(VLOOKUP(Doubling_rate_modelled,'Patient Calc Assumptions'!$B$15:$C$25,2,FALSE)/7))),"")))</f>
        <v/>
      </c>
      <c r="C17" s="191" t="str">
        <f t="shared" si="0"/>
        <v/>
      </c>
      <c r="D17" s="190" t="str">
        <f t="shared" si="1"/>
        <v/>
      </c>
      <c r="E17" s="191" t="str">
        <f t="shared" si="2"/>
        <v/>
      </c>
      <c r="F17" s="190" t="str">
        <f t="shared" si="3"/>
        <v/>
      </c>
      <c r="G17" s="191" t="str">
        <f t="shared" si="4"/>
        <v/>
      </c>
      <c r="H17" s="190" t="str">
        <f t="shared" si="5"/>
        <v/>
      </c>
      <c r="I17" s="191" t="str">
        <f t="shared" si="6"/>
        <v/>
      </c>
      <c r="J17" s="190" t="str">
        <f t="shared" ca="1" si="7"/>
        <v/>
      </c>
      <c r="K17" s="191" t="str">
        <f t="shared" ca="1" si="8"/>
        <v/>
      </c>
      <c r="L17" s="190" t="str">
        <f t="shared" ca="1" si="9"/>
        <v/>
      </c>
      <c r="M17" s="191" t="str">
        <f t="shared" ca="1" si="10"/>
        <v/>
      </c>
      <c r="N17" s="190" t="str">
        <f t="shared" ca="1" si="11"/>
        <v/>
      </c>
      <c r="O17" s="191" t="str">
        <f t="shared" ca="1" si="12"/>
        <v/>
      </c>
      <c r="P17" s="190" t="str">
        <f t="shared" ca="1" si="15"/>
        <v/>
      </c>
      <c r="Q17" s="192" t="str">
        <f t="shared" ca="1" si="16"/>
        <v/>
      </c>
      <c r="R17" s="191" t="str">
        <f t="shared" ca="1" si="17"/>
        <v/>
      </c>
      <c r="S17" s="190" t="str">
        <f t="shared" si="13"/>
        <v/>
      </c>
      <c r="T17" s="191" t="str">
        <f t="shared" si="14"/>
        <v/>
      </c>
      <c r="U17" s="190" t="str">
        <f>IFERROR((Tests_MildOrSuspected*'Automated Patient Calcs'!D17)+(Tests_SevereOrCritical*('Automated Patient Calcs'!F17+'Automated Patient Calcs'!H17))+S17,"")</f>
        <v/>
      </c>
      <c r="V17" s="191" t="str">
        <f>IFERROR((Tests_MildOrSuspected*'Automated Patient Calcs'!E17)+(Tests_SevereOrCritical*('Automated Patient Calcs'!G17+'Automated Patient Calcs'!I17))+T17,"")</f>
        <v/>
      </c>
    </row>
    <row r="18" spans="1:22" x14ac:dyDescent="0.25">
      <c r="A18" s="189" t="str">
        <f>IF('User Dashboard'!F$18="Manual Entry",'Manual Patient Calcs'!A18,IFERROR(IF(Doubling_rate_modelled="Combined",
IF(A17+1&gt;ROUNDUP('Patient Calc Assumptions'!$E$41,0),"",A17+1),
IF(A17+1&gt;ROUNDUP('Patient Calc Assumptions'!$C$40,0),"",A17+1)),""))</f>
        <v/>
      </c>
      <c r="B18" s="190" t="str">
        <f>IF(AND(IF('User Dashboard'!F$18="Manual Entry",IF('Manual Patient Calcs'!C18="","",'Manual Patient Calcs'!C18),IFERROR(IF(Doubling_rate_modelled="Combined",
IF(A18&lt;='Patient Calc Assumptions'!$J$20,
2^(A18/('Patient Calc Assumptions'!$F$20/7)),
(2^((A18-'Patient Calc Assumptions'!$J$20)/('Patient Calc Assumptions'!$H$20/7)))*(2^('Patient Calc Assumptions'!$J$20/('Patient Calc Assumptions'!$F$20/7)))),
2^(A18/(VLOOKUP(Doubling_rate_modelled,'Patient Calc Assumptions'!$B$15:$C$25,2,FALSE)/7))),""))&gt;'Patient Calc Assumptions'!$C$36,A18&lt;&gt;""),'Patient Calc Assumptions'!$C$36,IF('User Dashboard'!F$18="Manual Entry",IF('Manual Patient Calcs'!C18="","",'Manual Patient Calcs'!C18),IFERROR(IF(Doubling_rate_modelled="Combined",
IF(A18&lt;='Patient Calc Assumptions'!$J$20,
2^(A18/('Patient Calc Assumptions'!$F$20/7)),
(2^((A18-'Patient Calc Assumptions'!$J$20)/('Patient Calc Assumptions'!$H$20/7)))*(2^('Patient Calc Assumptions'!$J$20/('Patient Calc Assumptions'!$F$20/7)))),
2^(A18/(VLOOKUP(Doubling_rate_modelled,'Patient Calc Assumptions'!$B$15:$C$25,2,FALSE)/7))),"")))</f>
        <v/>
      </c>
      <c r="C18" s="191" t="str">
        <f t="shared" si="0"/>
        <v/>
      </c>
      <c r="D18" s="190" t="str">
        <f t="shared" si="1"/>
        <v/>
      </c>
      <c r="E18" s="191" t="str">
        <f t="shared" si="2"/>
        <v/>
      </c>
      <c r="F18" s="190" t="str">
        <f t="shared" si="3"/>
        <v/>
      </c>
      <c r="G18" s="191" t="str">
        <f t="shared" si="4"/>
        <v/>
      </c>
      <c r="H18" s="190" t="str">
        <f t="shared" si="5"/>
        <v/>
      </c>
      <c r="I18" s="191" t="str">
        <f t="shared" si="6"/>
        <v/>
      </c>
      <c r="J18" s="190" t="str">
        <f t="shared" ca="1" si="7"/>
        <v/>
      </c>
      <c r="K18" s="191" t="str">
        <f t="shared" ca="1" si="8"/>
        <v/>
      </c>
      <c r="L18" s="190" t="str">
        <f t="shared" ca="1" si="9"/>
        <v/>
      </c>
      <c r="M18" s="191" t="str">
        <f t="shared" ca="1" si="10"/>
        <v/>
      </c>
      <c r="N18" s="190" t="str">
        <f t="shared" ca="1" si="11"/>
        <v/>
      </c>
      <c r="O18" s="191" t="str">
        <f t="shared" ca="1" si="12"/>
        <v/>
      </c>
      <c r="P18" s="190" t="str">
        <f t="shared" ca="1" si="15"/>
        <v/>
      </c>
      <c r="Q18" s="192" t="str">
        <f t="shared" ca="1" si="16"/>
        <v/>
      </c>
      <c r="R18" s="191" t="str">
        <f t="shared" ca="1" si="17"/>
        <v/>
      </c>
      <c r="S18" s="190" t="str">
        <f t="shared" si="13"/>
        <v/>
      </c>
      <c r="T18" s="191" t="str">
        <f t="shared" si="14"/>
        <v/>
      </c>
      <c r="U18" s="190" t="str">
        <f>IFERROR((Tests_MildOrSuspected*'Automated Patient Calcs'!D18)+(Tests_SevereOrCritical*('Automated Patient Calcs'!F18+'Automated Patient Calcs'!H18))+S18,"")</f>
        <v/>
      </c>
      <c r="V18" s="191" t="str">
        <f>IFERROR((Tests_MildOrSuspected*'Automated Patient Calcs'!E18)+(Tests_SevereOrCritical*('Automated Patient Calcs'!G18+'Automated Patient Calcs'!I18))+T18,"")</f>
        <v/>
      </c>
    </row>
    <row r="19" spans="1:22" x14ac:dyDescent="0.25">
      <c r="A19" s="189" t="str">
        <f>IF('User Dashboard'!F$18="Manual Entry",'Manual Patient Calcs'!A19,IFERROR(IF(Doubling_rate_modelled="Combined",
IF(A18+1&gt;ROUNDUP('Patient Calc Assumptions'!$E$41,0),"",A18+1),
IF(A18+1&gt;ROUNDUP('Patient Calc Assumptions'!$C$40,0),"",A18+1)),""))</f>
        <v/>
      </c>
      <c r="B19" s="190" t="str">
        <f>IF(AND(IF('User Dashboard'!F$18="Manual Entry",IF('Manual Patient Calcs'!C19="","",'Manual Patient Calcs'!C19),IFERROR(IF(Doubling_rate_modelled="Combined",
IF(A19&lt;='Patient Calc Assumptions'!$J$20,
2^(A19/('Patient Calc Assumptions'!$F$20/7)),
(2^((A19-'Patient Calc Assumptions'!$J$20)/('Patient Calc Assumptions'!$H$20/7)))*(2^('Patient Calc Assumptions'!$J$20/('Patient Calc Assumptions'!$F$20/7)))),
2^(A19/(VLOOKUP(Doubling_rate_modelled,'Patient Calc Assumptions'!$B$15:$C$25,2,FALSE)/7))),""))&gt;'Patient Calc Assumptions'!$C$36,A19&lt;&gt;""),'Patient Calc Assumptions'!$C$36,IF('User Dashboard'!F$18="Manual Entry",IF('Manual Patient Calcs'!C19="","",'Manual Patient Calcs'!C19),IFERROR(IF(Doubling_rate_modelled="Combined",
IF(A19&lt;='Patient Calc Assumptions'!$J$20,
2^(A19/('Patient Calc Assumptions'!$F$20/7)),
(2^((A19-'Patient Calc Assumptions'!$J$20)/('Patient Calc Assumptions'!$H$20/7)))*(2^('Patient Calc Assumptions'!$J$20/('Patient Calc Assumptions'!$F$20/7)))),
2^(A19/(VLOOKUP(Doubling_rate_modelled,'Patient Calc Assumptions'!$B$15:$C$25,2,FALSE)/7))),"")))</f>
        <v/>
      </c>
      <c r="C19" s="191" t="str">
        <f t="shared" si="0"/>
        <v/>
      </c>
      <c r="D19" s="190" t="str">
        <f t="shared" si="1"/>
        <v/>
      </c>
      <c r="E19" s="191" t="str">
        <f t="shared" si="2"/>
        <v/>
      </c>
      <c r="F19" s="190" t="str">
        <f t="shared" si="3"/>
        <v/>
      </c>
      <c r="G19" s="191" t="str">
        <f t="shared" si="4"/>
        <v/>
      </c>
      <c r="H19" s="190" t="str">
        <f t="shared" si="5"/>
        <v/>
      </c>
      <c r="I19" s="191" t="str">
        <f t="shared" si="6"/>
        <v/>
      </c>
      <c r="J19" s="190" t="str">
        <f t="shared" ca="1" si="7"/>
        <v/>
      </c>
      <c r="K19" s="191" t="str">
        <f t="shared" ca="1" si="8"/>
        <v/>
      </c>
      <c r="L19" s="190" t="str">
        <f t="shared" ca="1" si="9"/>
        <v/>
      </c>
      <c r="M19" s="191" t="str">
        <f t="shared" ca="1" si="10"/>
        <v/>
      </c>
      <c r="N19" s="190" t="str">
        <f t="shared" ca="1" si="11"/>
        <v/>
      </c>
      <c r="O19" s="191" t="str">
        <f t="shared" ca="1" si="12"/>
        <v/>
      </c>
      <c r="P19" s="190" t="str">
        <f t="shared" ca="1" si="15"/>
        <v/>
      </c>
      <c r="Q19" s="192" t="str">
        <f t="shared" ca="1" si="16"/>
        <v/>
      </c>
      <c r="R19" s="191" t="str">
        <f t="shared" ca="1" si="17"/>
        <v/>
      </c>
      <c r="S19" s="190" t="str">
        <f t="shared" si="13"/>
        <v/>
      </c>
      <c r="T19" s="191" t="str">
        <f t="shared" si="14"/>
        <v/>
      </c>
      <c r="U19" s="190" t="str">
        <f>IFERROR((Tests_MildOrSuspected*'Automated Patient Calcs'!D19)+(Tests_SevereOrCritical*('Automated Patient Calcs'!F19+'Automated Patient Calcs'!H19))+S19,"")</f>
        <v/>
      </c>
      <c r="V19" s="191" t="str">
        <f>IFERROR((Tests_MildOrSuspected*'Automated Patient Calcs'!E19)+(Tests_SevereOrCritical*('Automated Patient Calcs'!G19+'Automated Patient Calcs'!I19))+T19,"")</f>
        <v/>
      </c>
    </row>
    <row r="20" spans="1:22" x14ac:dyDescent="0.25">
      <c r="A20" s="189" t="str">
        <f>IF('User Dashboard'!F$18="Manual Entry",'Manual Patient Calcs'!A20,IFERROR(IF(Doubling_rate_modelled="Combined",
IF(A19+1&gt;ROUNDUP('Patient Calc Assumptions'!$E$41,0),"",A19+1),
IF(A19+1&gt;ROUNDUP('Patient Calc Assumptions'!$C$40,0),"",A19+1)),""))</f>
        <v/>
      </c>
      <c r="B20" s="190" t="str">
        <f>IF(AND(IF('User Dashboard'!F$18="Manual Entry",IF('Manual Patient Calcs'!C20="","",'Manual Patient Calcs'!C20),IFERROR(IF(Doubling_rate_modelled="Combined",
IF(A20&lt;='Patient Calc Assumptions'!$J$20,
2^(A20/('Patient Calc Assumptions'!$F$20/7)),
(2^((A20-'Patient Calc Assumptions'!$J$20)/('Patient Calc Assumptions'!$H$20/7)))*(2^('Patient Calc Assumptions'!$J$20/('Patient Calc Assumptions'!$F$20/7)))),
2^(A20/(VLOOKUP(Doubling_rate_modelled,'Patient Calc Assumptions'!$B$15:$C$25,2,FALSE)/7))),""))&gt;'Patient Calc Assumptions'!$C$36,A20&lt;&gt;""),'Patient Calc Assumptions'!$C$36,IF('User Dashboard'!F$18="Manual Entry",IF('Manual Patient Calcs'!C20="","",'Manual Patient Calcs'!C20),IFERROR(IF(Doubling_rate_modelled="Combined",
IF(A20&lt;='Patient Calc Assumptions'!$J$20,
2^(A20/('Patient Calc Assumptions'!$F$20/7)),
(2^((A20-'Patient Calc Assumptions'!$J$20)/('Patient Calc Assumptions'!$H$20/7)))*(2^('Patient Calc Assumptions'!$J$20/('Patient Calc Assumptions'!$F$20/7)))),
2^(A20/(VLOOKUP(Doubling_rate_modelled,'Patient Calc Assumptions'!$B$15:$C$25,2,FALSE)/7))),"")))</f>
        <v/>
      </c>
      <c r="C20" s="191" t="str">
        <f t="shared" si="0"/>
        <v/>
      </c>
      <c r="D20" s="190" t="str">
        <f t="shared" si="1"/>
        <v/>
      </c>
      <c r="E20" s="191" t="str">
        <f t="shared" si="2"/>
        <v/>
      </c>
      <c r="F20" s="190" t="str">
        <f t="shared" si="3"/>
        <v/>
      </c>
      <c r="G20" s="191" t="str">
        <f t="shared" si="4"/>
        <v/>
      </c>
      <c r="H20" s="190" t="str">
        <f t="shared" si="5"/>
        <v/>
      </c>
      <c r="I20" s="191" t="str">
        <f t="shared" si="6"/>
        <v/>
      </c>
      <c r="J20" s="190" t="str">
        <f t="shared" ca="1" si="7"/>
        <v/>
      </c>
      <c r="K20" s="191" t="str">
        <f t="shared" ca="1" si="8"/>
        <v/>
      </c>
      <c r="L20" s="190" t="str">
        <f t="shared" ca="1" si="9"/>
        <v/>
      </c>
      <c r="M20" s="191" t="str">
        <f t="shared" ca="1" si="10"/>
        <v/>
      </c>
      <c r="N20" s="190" t="str">
        <f t="shared" ca="1" si="11"/>
        <v/>
      </c>
      <c r="O20" s="191" t="str">
        <f t="shared" ca="1" si="12"/>
        <v/>
      </c>
      <c r="P20" s="190" t="str">
        <f t="shared" ca="1" si="15"/>
        <v/>
      </c>
      <c r="Q20" s="192" t="str">
        <f t="shared" ca="1" si="16"/>
        <v/>
      </c>
      <c r="R20" s="191" t="str">
        <f t="shared" ca="1" si="17"/>
        <v/>
      </c>
      <c r="S20" s="190" t="str">
        <f t="shared" si="13"/>
        <v/>
      </c>
      <c r="T20" s="191" t="str">
        <f t="shared" si="14"/>
        <v/>
      </c>
      <c r="U20" s="190" t="str">
        <f>IFERROR((Tests_MildOrSuspected*'Automated Patient Calcs'!D20)+(Tests_SevereOrCritical*('Automated Patient Calcs'!F20+'Automated Patient Calcs'!H20))+S20,"")</f>
        <v/>
      </c>
      <c r="V20" s="191" t="str">
        <f>IFERROR((Tests_MildOrSuspected*'Automated Patient Calcs'!E20)+(Tests_SevereOrCritical*('Automated Patient Calcs'!G20+'Automated Patient Calcs'!I20))+T20,"")</f>
        <v/>
      </c>
    </row>
    <row r="21" spans="1:22" x14ac:dyDescent="0.25">
      <c r="A21" s="189" t="str">
        <f>IF('User Dashboard'!F$18="Manual Entry",'Manual Patient Calcs'!A21,IFERROR(IF(Doubling_rate_modelled="Combined",
IF(A20+1&gt;ROUNDUP('Patient Calc Assumptions'!$E$41,0),"",A20+1),
IF(A20+1&gt;ROUNDUP('Patient Calc Assumptions'!$C$40,0),"",A20+1)),""))</f>
        <v/>
      </c>
      <c r="B21" s="190" t="str">
        <f>IF(AND(IF('User Dashboard'!F$18="Manual Entry",IF('Manual Patient Calcs'!C21="","",'Manual Patient Calcs'!C21),IFERROR(IF(Doubling_rate_modelled="Combined",
IF(A21&lt;='Patient Calc Assumptions'!$J$20,
2^(A21/('Patient Calc Assumptions'!$F$20/7)),
(2^((A21-'Patient Calc Assumptions'!$J$20)/('Patient Calc Assumptions'!$H$20/7)))*(2^('Patient Calc Assumptions'!$J$20/('Patient Calc Assumptions'!$F$20/7)))),
2^(A21/(VLOOKUP(Doubling_rate_modelled,'Patient Calc Assumptions'!$B$15:$C$25,2,FALSE)/7))),""))&gt;'Patient Calc Assumptions'!$C$36,A21&lt;&gt;""),'Patient Calc Assumptions'!$C$36,IF('User Dashboard'!F$18="Manual Entry",IF('Manual Patient Calcs'!C21="","",'Manual Patient Calcs'!C21),IFERROR(IF(Doubling_rate_modelled="Combined",
IF(A21&lt;='Patient Calc Assumptions'!$J$20,
2^(A21/('Patient Calc Assumptions'!$F$20/7)),
(2^((A21-'Patient Calc Assumptions'!$J$20)/('Patient Calc Assumptions'!$H$20/7)))*(2^('Patient Calc Assumptions'!$J$20/('Patient Calc Assumptions'!$F$20/7)))),
2^(A21/(VLOOKUP(Doubling_rate_modelled,'Patient Calc Assumptions'!$B$15:$C$25,2,FALSE)/7))),"")))</f>
        <v/>
      </c>
      <c r="C21" s="191" t="str">
        <f t="shared" si="0"/>
        <v/>
      </c>
      <c r="D21" s="190" t="str">
        <f t="shared" si="1"/>
        <v/>
      </c>
      <c r="E21" s="191" t="str">
        <f t="shared" si="2"/>
        <v/>
      </c>
      <c r="F21" s="190" t="str">
        <f t="shared" si="3"/>
        <v/>
      </c>
      <c r="G21" s="191" t="str">
        <f t="shared" si="4"/>
        <v/>
      </c>
      <c r="H21" s="190" t="str">
        <f t="shared" si="5"/>
        <v/>
      </c>
      <c r="I21" s="191" t="str">
        <f t="shared" si="6"/>
        <v/>
      </c>
      <c r="J21" s="190" t="str">
        <f t="shared" ca="1" si="7"/>
        <v/>
      </c>
      <c r="K21" s="191" t="str">
        <f t="shared" ca="1" si="8"/>
        <v/>
      </c>
      <c r="L21" s="190" t="str">
        <f t="shared" ca="1" si="9"/>
        <v/>
      </c>
      <c r="M21" s="191" t="str">
        <f t="shared" ca="1" si="10"/>
        <v/>
      </c>
      <c r="N21" s="190" t="str">
        <f t="shared" ca="1" si="11"/>
        <v/>
      </c>
      <c r="O21" s="191" t="str">
        <f t="shared" ca="1" si="12"/>
        <v/>
      </c>
      <c r="P21" s="190" t="str">
        <f t="shared" ca="1" si="15"/>
        <v/>
      </c>
      <c r="Q21" s="192" t="str">
        <f t="shared" ca="1" si="16"/>
        <v/>
      </c>
      <c r="R21" s="191" t="str">
        <f t="shared" ca="1" si="17"/>
        <v/>
      </c>
      <c r="S21" s="190" t="str">
        <f t="shared" si="13"/>
        <v/>
      </c>
      <c r="T21" s="191" t="str">
        <f t="shared" si="14"/>
        <v/>
      </c>
      <c r="U21" s="190" t="str">
        <f>IFERROR((Tests_MildOrSuspected*'Automated Patient Calcs'!D21)+(Tests_SevereOrCritical*('Automated Patient Calcs'!F21+'Automated Patient Calcs'!H21))+S21,"")</f>
        <v/>
      </c>
      <c r="V21" s="191" t="str">
        <f>IFERROR((Tests_MildOrSuspected*'Automated Patient Calcs'!E21)+(Tests_SevereOrCritical*('Automated Patient Calcs'!G21+'Automated Patient Calcs'!I21))+T21,"")</f>
        <v/>
      </c>
    </row>
    <row r="22" spans="1:22" x14ac:dyDescent="0.25">
      <c r="A22" s="189" t="str">
        <f>IF('User Dashboard'!F$18="Manual Entry",'Manual Patient Calcs'!A22,IFERROR(IF(Doubling_rate_modelled="Combined",
IF(A21+1&gt;ROUNDUP('Patient Calc Assumptions'!$E$41,0),"",A21+1),
IF(A21+1&gt;ROUNDUP('Patient Calc Assumptions'!$C$40,0),"",A21+1)),""))</f>
        <v/>
      </c>
      <c r="B22" s="190" t="str">
        <f>IF(AND(IF('User Dashboard'!F$18="Manual Entry",IF('Manual Patient Calcs'!C22="","",'Manual Patient Calcs'!C22),IFERROR(IF(Doubling_rate_modelled="Combined",
IF(A22&lt;='Patient Calc Assumptions'!$J$20,
2^(A22/('Patient Calc Assumptions'!$F$20/7)),
(2^((A22-'Patient Calc Assumptions'!$J$20)/('Patient Calc Assumptions'!$H$20/7)))*(2^('Patient Calc Assumptions'!$J$20/('Patient Calc Assumptions'!$F$20/7)))),
2^(A22/(VLOOKUP(Doubling_rate_modelled,'Patient Calc Assumptions'!$B$15:$C$25,2,FALSE)/7))),""))&gt;'Patient Calc Assumptions'!$C$36,A22&lt;&gt;""),'Patient Calc Assumptions'!$C$36,IF('User Dashboard'!F$18="Manual Entry",IF('Manual Patient Calcs'!C22="","",'Manual Patient Calcs'!C22),IFERROR(IF(Doubling_rate_modelled="Combined",
IF(A22&lt;='Patient Calc Assumptions'!$J$20,
2^(A22/('Patient Calc Assumptions'!$F$20/7)),
(2^((A22-'Patient Calc Assumptions'!$J$20)/('Patient Calc Assumptions'!$H$20/7)))*(2^('Patient Calc Assumptions'!$J$20/('Patient Calc Assumptions'!$F$20/7)))),
2^(A22/(VLOOKUP(Doubling_rate_modelled,'Patient Calc Assumptions'!$B$15:$C$25,2,FALSE)/7))),"")))</f>
        <v/>
      </c>
      <c r="C22" s="191" t="str">
        <f t="shared" si="0"/>
        <v/>
      </c>
      <c r="D22" s="190" t="str">
        <f t="shared" si="1"/>
        <v/>
      </c>
      <c r="E22" s="191" t="str">
        <f t="shared" si="2"/>
        <v/>
      </c>
      <c r="F22" s="190" t="str">
        <f t="shared" si="3"/>
        <v/>
      </c>
      <c r="G22" s="191" t="str">
        <f t="shared" si="4"/>
        <v/>
      </c>
      <c r="H22" s="190" t="str">
        <f t="shared" si="5"/>
        <v/>
      </c>
      <c r="I22" s="191" t="str">
        <f t="shared" si="6"/>
        <v/>
      </c>
      <c r="J22" s="190" t="str">
        <f t="shared" ca="1" si="7"/>
        <v/>
      </c>
      <c r="K22" s="191" t="str">
        <f t="shared" ca="1" si="8"/>
        <v/>
      </c>
      <c r="L22" s="190" t="str">
        <f t="shared" ca="1" si="9"/>
        <v/>
      </c>
      <c r="M22" s="191" t="str">
        <f t="shared" ca="1" si="10"/>
        <v/>
      </c>
      <c r="N22" s="190" t="str">
        <f t="shared" ca="1" si="11"/>
        <v/>
      </c>
      <c r="O22" s="191" t="str">
        <f t="shared" ca="1" si="12"/>
        <v/>
      </c>
      <c r="P22" s="190" t="str">
        <f t="shared" ca="1" si="15"/>
        <v/>
      </c>
      <c r="Q22" s="192" t="str">
        <f t="shared" ca="1" si="16"/>
        <v/>
      </c>
      <c r="R22" s="191" t="str">
        <f t="shared" ca="1" si="17"/>
        <v/>
      </c>
      <c r="S22" s="190" t="str">
        <f t="shared" si="13"/>
        <v/>
      </c>
      <c r="T22" s="191" t="str">
        <f t="shared" si="14"/>
        <v/>
      </c>
      <c r="U22" s="190" t="str">
        <f>IFERROR((Tests_MildOrSuspected*'Automated Patient Calcs'!D22)+(Tests_SevereOrCritical*('Automated Patient Calcs'!F22+'Automated Patient Calcs'!H22))+S22,"")</f>
        <v/>
      </c>
      <c r="V22" s="191" t="str">
        <f>IFERROR((Tests_MildOrSuspected*'Automated Patient Calcs'!E22)+(Tests_SevereOrCritical*('Automated Patient Calcs'!G22+'Automated Patient Calcs'!I22))+T22,"")</f>
        <v/>
      </c>
    </row>
    <row r="23" spans="1:22" x14ac:dyDescent="0.25">
      <c r="A23" s="189" t="str">
        <f>IF('User Dashboard'!F$18="Manual Entry",'Manual Patient Calcs'!A23,IFERROR(IF(Doubling_rate_modelled="Combined",
IF(A22+1&gt;ROUNDUP('Patient Calc Assumptions'!$E$41,0),"",A22+1),
IF(A22+1&gt;ROUNDUP('Patient Calc Assumptions'!$C$40,0),"",A22+1)),""))</f>
        <v/>
      </c>
      <c r="B23" s="190" t="str">
        <f>IF(AND(IF('User Dashboard'!F$18="Manual Entry",IF('Manual Patient Calcs'!C23="","",'Manual Patient Calcs'!C23),IFERROR(IF(Doubling_rate_modelled="Combined",
IF(A23&lt;='Patient Calc Assumptions'!$J$20,
2^(A23/('Patient Calc Assumptions'!$F$20/7)),
(2^((A23-'Patient Calc Assumptions'!$J$20)/('Patient Calc Assumptions'!$H$20/7)))*(2^('Patient Calc Assumptions'!$J$20/('Patient Calc Assumptions'!$F$20/7)))),
2^(A23/(VLOOKUP(Doubling_rate_modelled,'Patient Calc Assumptions'!$B$15:$C$25,2,FALSE)/7))),""))&gt;'Patient Calc Assumptions'!$C$36,A23&lt;&gt;""),'Patient Calc Assumptions'!$C$36,IF('User Dashboard'!F$18="Manual Entry",IF('Manual Patient Calcs'!C23="","",'Manual Patient Calcs'!C23),IFERROR(IF(Doubling_rate_modelled="Combined",
IF(A23&lt;='Patient Calc Assumptions'!$J$20,
2^(A23/('Patient Calc Assumptions'!$F$20/7)),
(2^((A23-'Patient Calc Assumptions'!$J$20)/('Patient Calc Assumptions'!$H$20/7)))*(2^('Patient Calc Assumptions'!$J$20/('Patient Calc Assumptions'!$F$20/7)))),
2^(A23/(VLOOKUP(Doubling_rate_modelled,'Patient Calc Assumptions'!$B$15:$C$25,2,FALSE)/7))),"")))</f>
        <v/>
      </c>
      <c r="C23" s="191" t="str">
        <f t="shared" si="0"/>
        <v/>
      </c>
      <c r="D23" s="190" t="str">
        <f t="shared" si="1"/>
        <v/>
      </c>
      <c r="E23" s="191" t="str">
        <f t="shared" si="2"/>
        <v/>
      </c>
      <c r="F23" s="190" t="str">
        <f t="shared" si="3"/>
        <v/>
      </c>
      <c r="G23" s="191" t="str">
        <f t="shared" si="4"/>
        <v/>
      </c>
      <c r="H23" s="190" t="str">
        <f t="shared" si="5"/>
        <v/>
      </c>
      <c r="I23" s="191" t="str">
        <f t="shared" si="6"/>
        <v/>
      </c>
      <c r="J23" s="190" t="str">
        <f t="shared" ca="1" si="7"/>
        <v/>
      </c>
      <c r="K23" s="191" t="str">
        <f t="shared" ca="1" si="8"/>
        <v/>
      </c>
      <c r="L23" s="190" t="str">
        <f t="shared" ca="1" si="9"/>
        <v/>
      </c>
      <c r="M23" s="191" t="str">
        <f t="shared" ca="1" si="10"/>
        <v/>
      </c>
      <c r="N23" s="190" t="str">
        <f t="shared" ca="1" si="11"/>
        <v/>
      </c>
      <c r="O23" s="191" t="str">
        <f t="shared" ca="1" si="12"/>
        <v/>
      </c>
      <c r="P23" s="190" t="str">
        <f t="shared" ca="1" si="15"/>
        <v/>
      </c>
      <c r="Q23" s="192" t="str">
        <f t="shared" ca="1" si="16"/>
        <v/>
      </c>
      <c r="R23" s="191" t="str">
        <f t="shared" ca="1" si="17"/>
        <v/>
      </c>
      <c r="S23" s="190" t="str">
        <f t="shared" si="13"/>
        <v/>
      </c>
      <c r="T23" s="191" t="str">
        <f t="shared" si="14"/>
        <v/>
      </c>
      <c r="U23" s="190" t="str">
        <f>IFERROR((Tests_MildOrSuspected*'Automated Patient Calcs'!D23)+(Tests_SevereOrCritical*('Automated Patient Calcs'!F23+'Automated Patient Calcs'!H23))+S23,"")</f>
        <v/>
      </c>
      <c r="V23" s="191" t="str">
        <f>IFERROR((Tests_MildOrSuspected*'Automated Patient Calcs'!E23)+(Tests_SevereOrCritical*('Automated Patient Calcs'!G23+'Automated Patient Calcs'!I23))+T23,"")</f>
        <v/>
      </c>
    </row>
    <row r="24" spans="1:22" x14ac:dyDescent="0.25">
      <c r="A24" s="189" t="str">
        <f>IF('User Dashboard'!F$18="Manual Entry",'Manual Patient Calcs'!A24,IFERROR(IF(Doubling_rate_modelled="Combined",
IF(A23+1&gt;ROUNDUP('Patient Calc Assumptions'!$E$41,0),"",A23+1),
IF(A23+1&gt;ROUNDUP('Patient Calc Assumptions'!$C$40,0),"",A23+1)),""))</f>
        <v/>
      </c>
      <c r="B24" s="190" t="str">
        <f>IF(AND(IF('User Dashboard'!F$18="Manual Entry",IF('Manual Patient Calcs'!C24="","",'Manual Patient Calcs'!C24),IFERROR(IF(Doubling_rate_modelled="Combined",
IF(A24&lt;='Patient Calc Assumptions'!$J$20,
2^(A24/('Patient Calc Assumptions'!$F$20/7)),
(2^((A24-'Patient Calc Assumptions'!$J$20)/('Patient Calc Assumptions'!$H$20/7)))*(2^('Patient Calc Assumptions'!$J$20/('Patient Calc Assumptions'!$F$20/7)))),
2^(A24/(VLOOKUP(Doubling_rate_modelled,'Patient Calc Assumptions'!$B$15:$C$25,2,FALSE)/7))),""))&gt;'Patient Calc Assumptions'!$C$36,A24&lt;&gt;""),'Patient Calc Assumptions'!$C$36,IF('User Dashboard'!F$18="Manual Entry",IF('Manual Patient Calcs'!C24="","",'Manual Patient Calcs'!C24),IFERROR(IF(Doubling_rate_modelled="Combined",
IF(A24&lt;='Patient Calc Assumptions'!$J$20,
2^(A24/('Patient Calc Assumptions'!$F$20/7)),
(2^((A24-'Patient Calc Assumptions'!$J$20)/('Patient Calc Assumptions'!$H$20/7)))*(2^('Patient Calc Assumptions'!$J$20/('Patient Calc Assumptions'!$F$20/7)))),
2^(A24/(VLOOKUP(Doubling_rate_modelled,'Patient Calc Assumptions'!$B$15:$C$25,2,FALSE)/7))),"")))</f>
        <v/>
      </c>
      <c r="C24" s="191" t="str">
        <f t="shared" si="0"/>
        <v/>
      </c>
      <c r="D24" s="190" t="str">
        <f t="shared" si="1"/>
        <v/>
      </c>
      <c r="E24" s="191" t="str">
        <f t="shared" si="2"/>
        <v/>
      </c>
      <c r="F24" s="190" t="str">
        <f t="shared" si="3"/>
        <v/>
      </c>
      <c r="G24" s="191" t="str">
        <f t="shared" si="4"/>
        <v/>
      </c>
      <c r="H24" s="190" t="str">
        <f t="shared" si="5"/>
        <v/>
      </c>
      <c r="I24" s="191" t="str">
        <f t="shared" si="6"/>
        <v/>
      </c>
      <c r="J24" s="190" t="str">
        <f t="shared" ca="1" si="7"/>
        <v/>
      </c>
      <c r="K24" s="191" t="str">
        <f t="shared" ca="1" si="8"/>
        <v/>
      </c>
      <c r="L24" s="190" t="str">
        <f t="shared" ca="1" si="9"/>
        <v/>
      </c>
      <c r="M24" s="191" t="str">
        <f t="shared" ca="1" si="10"/>
        <v/>
      </c>
      <c r="N24" s="190" t="str">
        <f t="shared" ca="1" si="11"/>
        <v/>
      </c>
      <c r="O24" s="191" t="str">
        <f t="shared" ca="1" si="12"/>
        <v/>
      </c>
      <c r="P24" s="190" t="str">
        <f t="shared" ca="1" si="15"/>
        <v/>
      </c>
      <c r="Q24" s="192" t="str">
        <f t="shared" ca="1" si="16"/>
        <v/>
      </c>
      <c r="R24" s="191" t="str">
        <f t="shared" ca="1" si="17"/>
        <v/>
      </c>
      <c r="S24" s="190" t="str">
        <f t="shared" si="13"/>
        <v/>
      </c>
      <c r="T24" s="191" t="str">
        <f t="shared" si="14"/>
        <v/>
      </c>
      <c r="U24" s="190" t="str">
        <f>IFERROR((Tests_MildOrSuspected*'Automated Patient Calcs'!D24)+(Tests_SevereOrCritical*('Automated Patient Calcs'!F24+'Automated Patient Calcs'!H24))+S24,"")</f>
        <v/>
      </c>
      <c r="V24" s="191" t="str">
        <f>IFERROR((Tests_MildOrSuspected*'Automated Patient Calcs'!E24)+(Tests_SevereOrCritical*('Automated Patient Calcs'!G24+'Automated Patient Calcs'!I24))+T24,"")</f>
        <v/>
      </c>
    </row>
    <row r="25" spans="1:22" x14ac:dyDescent="0.25">
      <c r="A25" s="189" t="str">
        <f>IF('User Dashboard'!F$18="Manual Entry",'Manual Patient Calcs'!A25,IFERROR(IF(Doubling_rate_modelled="Combined",
IF(A24+1&gt;ROUNDUP('Patient Calc Assumptions'!$E$41,0),"",A24+1),
IF(A24+1&gt;ROUNDUP('Patient Calc Assumptions'!$C$40,0),"",A24+1)),""))</f>
        <v/>
      </c>
      <c r="B25" s="190" t="str">
        <f>IF(AND(IF('User Dashboard'!F$18="Manual Entry",IF('Manual Patient Calcs'!C25="","",'Manual Patient Calcs'!C25),IFERROR(IF(Doubling_rate_modelled="Combined",
IF(A25&lt;='Patient Calc Assumptions'!$J$20,
2^(A25/('Patient Calc Assumptions'!$F$20/7)),
(2^((A25-'Patient Calc Assumptions'!$J$20)/('Patient Calc Assumptions'!$H$20/7)))*(2^('Patient Calc Assumptions'!$J$20/('Patient Calc Assumptions'!$F$20/7)))),
2^(A25/(VLOOKUP(Doubling_rate_modelled,'Patient Calc Assumptions'!$B$15:$C$25,2,FALSE)/7))),""))&gt;'Patient Calc Assumptions'!$C$36,A25&lt;&gt;""),'Patient Calc Assumptions'!$C$36,IF('User Dashboard'!F$18="Manual Entry",IF('Manual Patient Calcs'!C25="","",'Manual Patient Calcs'!C25),IFERROR(IF(Doubling_rate_modelled="Combined",
IF(A25&lt;='Patient Calc Assumptions'!$J$20,
2^(A25/('Patient Calc Assumptions'!$F$20/7)),
(2^((A25-'Patient Calc Assumptions'!$J$20)/('Patient Calc Assumptions'!$H$20/7)))*(2^('Patient Calc Assumptions'!$J$20/('Patient Calc Assumptions'!$F$20/7)))),
2^(A25/(VLOOKUP(Doubling_rate_modelled,'Patient Calc Assumptions'!$B$15:$C$25,2,FALSE)/7))),"")))</f>
        <v/>
      </c>
      <c r="C25" s="191" t="str">
        <f t="shared" si="0"/>
        <v/>
      </c>
      <c r="D25" s="190" t="str">
        <f t="shared" si="1"/>
        <v/>
      </c>
      <c r="E25" s="191" t="str">
        <f t="shared" si="2"/>
        <v/>
      </c>
      <c r="F25" s="190" t="str">
        <f t="shared" si="3"/>
        <v/>
      </c>
      <c r="G25" s="191" t="str">
        <f t="shared" si="4"/>
        <v/>
      </c>
      <c r="H25" s="190" t="str">
        <f t="shared" si="5"/>
        <v/>
      </c>
      <c r="I25" s="191" t="str">
        <f t="shared" si="6"/>
        <v/>
      </c>
      <c r="J25" s="190" t="str">
        <f t="shared" ca="1" si="7"/>
        <v/>
      </c>
      <c r="K25" s="191" t="str">
        <f t="shared" ca="1" si="8"/>
        <v/>
      </c>
      <c r="L25" s="190" t="str">
        <f t="shared" ca="1" si="9"/>
        <v/>
      </c>
      <c r="M25" s="191" t="str">
        <f t="shared" ca="1" si="10"/>
        <v/>
      </c>
      <c r="N25" s="190" t="str">
        <f t="shared" ca="1" si="11"/>
        <v/>
      </c>
      <c r="O25" s="191" t="str">
        <f t="shared" ca="1" si="12"/>
        <v/>
      </c>
      <c r="P25" s="190" t="str">
        <f t="shared" ca="1" si="15"/>
        <v/>
      </c>
      <c r="Q25" s="192" t="str">
        <f t="shared" ca="1" si="16"/>
        <v/>
      </c>
      <c r="R25" s="191" t="str">
        <f t="shared" ca="1" si="17"/>
        <v/>
      </c>
      <c r="S25" s="190" t="str">
        <f t="shared" si="13"/>
        <v/>
      </c>
      <c r="T25" s="191" t="str">
        <f t="shared" si="14"/>
        <v/>
      </c>
      <c r="U25" s="190" t="str">
        <f>IFERROR((Tests_MildOrSuspected*'Automated Patient Calcs'!D25)+(Tests_SevereOrCritical*('Automated Patient Calcs'!F25+'Automated Patient Calcs'!H25))+S25,"")</f>
        <v/>
      </c>
      <c r="V25" s="191" t="str">
        <f>IFERROR((Tests_MildOrSuspected*'Automated Patient Calcs'!E25)+(Tests_SevereOrCritical*('Automated Patient Calcs'!G25+'Automated Patient Calcs'!I25))+T25,"")</f>
        <v/>
      </c>
    </row>
    <row r="26" spans="1:22" x14ac:dyDescent="0.25">
      <c r="A26" s="189" t="str">
        <f>IF('User Dashboard'!F$18="Manual Entry",'Manual Patient Calcs'!A26,IFERROR(IF(Doubling_rate_modelled="Combined",
IF(A25+1&gt;ROUNDUP('Patient Calc Assumptions'!$E$41,0),"",A25+1),
IF(A25+1&gt;ROUNDUP('Patient Calc Assumptions'!$C$40,0),"",A25+1)),""))</f>
        <v/>
      </c>
      <c r="B26" s="190" t="str">
        <f>IF(AND(IF('User Dashboard'!F$18="Manual Entry",IF('Manual Patient Calcs'!C26="","",'Manual Patient Calcs'!C26),IFERROR(IF(Doubling_rate_modelled="Combined",
IF(A26&lt;='Patient Calc Assumptions'!$J$20,
2^(A26/('Patient Calc Assumptions'!$F$20/7)),
(2^((A26-'Patient Calc Assumptions'!$J$20)/('Patient Calc Assumptions'!$H$20/7)))*(2^('Patient Calc Assumptions'!$J$20/('Patient Calc Assumptions'!$F$20/7)))),
2^(A26/(VLOOKUP(Doubling_rate_modelled,'Patient Calc Assumptions'!$B$15:$C$25,2,FALSE)/7))),""))&gt;'Patient Calc Assumptions'!$C$36,A26&lt;&gt;""),'Patient Calc Assumptions'!$C$36,IF('User Dashboard'!F$18="Manual Entry",IF('Manual Patient Calcs'!C26="","",'Manual Patient Calcs'!C26),IFERROR(IF(Doubling_rate_modelled="Combined",
IF(A26&lt;='Patient Calc Assumptions'!$J$20,
2^(A26/('Patient Calc Assumptions'!$F$20/7)),
(2^((A26-'Patient Calc Assumptions'!$J$20)/('Patient Calc Assumptions'!$H$20/7)))*(2^('Patient Calc Assumptions'!$J$20/('Patient Calc Assumptions'!$F$20/7)))),
2^(A26/(VLOOKUP(Doubling_rate_modelled,'Patient Calc Assumptions'!$B$15:$C$25,2,FALSE)/7))),"")))</f>
        <v/>
      </c>
      <c r="C26" s="191" t="str">
        <f t="shared" si="0"/>
        <v/>
      </c>
      <c r="D26" s="190" t="str">
        <f t="shared" si="1"/>
        <v/>
      </c>
      <c r="E26" s="191" t="str">
        <f t="shared" si="2"/>
        <v/>
      </c>
      <c r="F26" s="190" t="str">
        <f t="shared" si="3"/>
        <v/>
      </c>
      <c r="G26" s="191" t="str">
        <f t="shared" si="4"/>
        <v/>
      </c>
      <c r="H26" s="190" t="str">
        <f t="shared" si="5"/>
        <v/>
      </c>
      <c r="I26" s="191" t="str">
        <f t="shared" si="6"/>
        <v/>
      </c>
      <c r="J26" s="190" t="str">
        <f t="shared" ca="1" si="7"/>
        <v/>
      </c>
      <c r="K26" s="191" t="str">
        <f t="shared" ca="1" si="8"/>
        <v/>
      </c>
      <c r="L26" s="190" t="str">
        <f t="shared" ca="1" si="9"/>
        <v/>
      </c>
      <c r="M26" s="191" t="str">
        <f t="shared" ca="1" si="10"/>
        <v/>
      </c>
      <c r="N26" s="190" t="str">
        <f t="shared" ca="1" si="11"/>
        <v/>
      </c>
      <c r="O26" s="191" t="str">
        <f t="shared" ca="1" si="12"/>
        <v/>
      </c>
      <c r="P26" s="190" t="str">
        <f t="shared" ca="1" si="15"/>
        <v/>
      </c>
      <c r="Q26" s="192" t="str">
        <f t="shared" ca="1" si="16"/>
        <v/>
      </c>
      <c r="R26" s="191" t="str">
        <f t="shared" ca="1" si="17"/>
        <v/>
      </c>
      <c r="S26" s="190" t="str">
        <f t="shared" si="13"/>
        <v/>
      </c>
      <c r="T26" s="191" t="str">
        <f t="shared" si="14"/>
        <v/>
      </c>
      <c r="U26" s="190" t="str">
        <f>IFERROR((Tests_MildOrSuspected*'Automated Patient Calcs'!D26)+(Tests_SevereOrCritical*('Automated Patient Calcs'!F26+'Automated Patient Calcs'!H26))+S26,"")</f>
        <v/>
      </c>
      <c r="V26" s="191" t="str">
        <f>IFERROR((Tests_MildOrSuspected*'Automated Patient Calcs'!E26)+(Tests_SevereOrCritical*('Automated Patient Calcs'!G26+'Automated Patient Calcs'!I26))+T26,"")</f>
        <v/>
      </c>
    </row>
    <row r="27" spans="1:22" x14ac:dyDescent="0.25">
      <c r="A27" s="189" t="str">
        <f>IF('User Dashboard'!F$18="Manual Entry",'Manual Patient Calcs'!A27,IFERROR(IF(Doubling_rate_modelled="Combined",
IF(A26+1&gt;ROUNDUP('Patient Calc Assumptions'!$E$41,0),"",A26+1),
IF(A26+1&gt;ROUNDUP('Patient Calc Assumptions'!$C$40,0),"",A26+1)),""))</f>
        <v/>
      </c>
      <c r="B27" s="190" t="str">
        <f>IF(AND(IF('User Dashboard'!F$18="Manual Entry",IF('Manual Patient Calcs'!C27="","",'Manual Patient Calcs'!C27),IFERROR(IF(Doubling_rate_modelled="Combined",
IF(A27&lt;='Patient Calc Assumptions'!$J$20,
2^(A27/('Patient Calc Assumptions'!$F$20/7)),
(2^((A27-'Patient Calc Assumptions'!$J$20)/('Patient Calc Assumptions'!$H$20/7)))*(2^('Patient Calc Assumptions'!$J$20/('Patient Calc Assumptions'!$F$20/7)))),
2^(A27/(VLOOKUP(Doubling_rate_modelled,'Patient Calc Assumptions'!$B$15:$C$25,2,FALSE)/7))),""))&gt;'Patient Calc Assumptions'!$C$36,A27&lt;&gt;""),'Patient Calc Assumptions'!$C$36,IF('User Dashboard'!F$18="Manual Entry",IF('Manual Patient Calcs'!C27="","",'Manual Patient Calcs'!C27),IFERROR(IF(Doubling_rate_modelled="Combined",
IF(A27&lt;='Patient Calc Assumptions'!$J$20,
2^(A27/('Patient Calc Assumptions'!$F$20/7)),
(2^((A27-'Patient Calc Assumptions'!$J$20)/('Patient Calc Assumptions'!$H$20/7)))*(2^('Patient Calc Assumptions'!$J$20/('Patient Calc Assumptions'!$F$20/7)))),
2^(A27/(VLOOKUP(Doubling_rate_modelled,'Patient Calc Assumptions'!$B$15:$C$25,2,FALSE)/7))),"")))</f>
        <v/>
      </c>
      <c r="C27" s="191" t="str">
        <f t="shared" si="0"/>
        <v/>
      </c>
      <c r="D27" s="190" t="str">
        <f t="shared" si="1"/>
        <v/>
      </c>
      <c r="E27" s="191" t="str">
        <f t="shared" si="2"/>
        <v/>
      </c>
      <c r="F27" s="190" t="str">
        <f t="shared" si="3"/>
        <v/>
      </c>
      <c r="G27" s="191" t="str">
        <f t="shared" si="4"/>
        <v/>
      </c>
      <c r="H27" s="190" t="str">
        <f t="shared" si="5"/>
        <v/>
      </c>
      <c r="I27" s="191" t="str">
        <f t="shared" si="6"/>
        <v/>
      </c>
      <c r="J27" s="190" t="str">
        <f t="shared" ca="1" si="7"/>
        <v/>
      </c>
      <c r="K27" s="191" t="str">
        <f t="shared" ca="1" si="8"/>
        <v/>
      </c>
      <c r="L27" s="190" t="str">
        <f t="shared" ca="1" si="9"/>
        <v/>
      </c>
      <c r="M27" s="191" t="str">
        <f t="shared" ca="1" si="10"/>
        <v/>
      </c>
      <c r="N27" s="190" t="str">
        <f t="shared" ca="1" si="11"/>
        <v/>
      </c>
      <c r="O27" s="191" t="str">
        <f t="shared" ca="1" si="12"/>
        <v/>
      </c>
      <c r="P27" s="190" t="str">
        <f t="shared" ca="1" si="15"/>
        <v/>
      </c>
      <c r="Q27" s="192" t="str">
        <f t="shared" ca="1" si="16"/>
        <v/>
      </c>
      <c r="R27" s="191" t="str">
        <f t="shared" ca="1" si="17"/>
        <v/>
      </c>
      <c r="S27" s="190" t="str">
        <f t="shared" si="13"/>
        <v/>
      </c>
      <c r="T27" s="191" t="str">
        <f t="shared" si="14"/>
        <v/>
      </c>
      <c r="U27" s="190" t="str">
        <f>IFERROR((Tests_MildOrSuspected*'Automated Patient Calcs'!D27)+(Tests_SevereOrCritical*('Automated Patient Calcs'!F27+'Automated Patient Calcs'!H27))+S27,"")</f>
        <v/>
      </c>
      <c r="V27" s="191" t="str">
        <f>IFERROR((Tests_MildOrSuspected*'Automated Patient Calcs'!E27)+(Tests_SevereOrCritical*('Automated Patient Calcs'!G27+'Automated Patient Calcs'!I27))+T27,"")</f>
        <v/>
      </c>
    </row>
    <row r="28" spans="1:22" x14ac:dyDescent="0.25">
      <c r="A28" s="189" t="str">
        <f>IF('User Dashboard'!F$18="Manual Entry",'Manual Patient Calcs'!A28,IFERROR(IF(Doubling_rate_modelled="Combined",
IF(A27+1&gt;ROUNDUP('Patient Calc Assumptions'!$E$41,0),"",A27+1),
IF(A27+1&gt;ROUNDUP('Patient Calc Assumptions'!$C$40,0),"",A27+1)),""))</f>
        <v/>
      </c>
      <c r="B28" s="190" t="str">
        <f>IF(AND(IF('User Dashboard'!F$18="Manual Entry",IF('Manual Patient Calcs'!C28="","",'Manual Patient Calcs'!C28),IFERROR(IF(Doubling_rate_modelled="Combined",
IF(A28&lt;='Patient Calc Assumptions'!$J$20,
2^(A28/('Patient Calc Assumptions'!$F$20/7)),
(2^((A28-'Patient Calc Assumptions'!$J$20)/('Patient Calc Assumptions'!$H$20/7)))*(2^('Patient Calc Assumptions'!$J$20/('Patient Calc Assumptions'!$F$20/7)))),
2^(A28/(VLOOKUP(Doubling_rate_modelled,'Patient Calc Assumptions'!$B$15:$C$25,2,FALSE)/7))),""))&gt;'Patient Calc Assumptions'!$C$36,A28&lt;&gt;""),'Patient Calc Assumptions'!$C$36,IF('User Dashboard'!F$18="Manual Entry",IF('Manual Patient Calcs'!C28="","",'Manual Patient Calcs'!C28),IFERROR(IF(Doubling_rate_modelled="Combined",
IF(A28&lt;='Patient Calc Assumptions'!$J$20,
2^(A28/('Patient Calc Assumptions'!$F$20/7)),
(2^((A28-'Patient Calc Assumptions'!$J$20)/('Patient Calc Assumptions'!$H$20/7)))*(2^('Patient Calc Assumptions'!$J$20/('Patient Calc Assumptions'!$F$20/7)))),
2^(A28/(VLOOKUP(Doubling_rate_modelled,'Patient Calc Assumptions'!$B$15:$C$25,2,FALSE)/7))),"")))</f>
        <v/>
      </c>
      <c r="C28" s="191" t="str">
        <f t="shared" si="0"/>
        <v/>
      </c>
      <c r="D28" s="190" t="str">
        <f t="shared" si="1"/>
        <v/>
      </c>
      <c r="E28" s="191" t="str">
        <f t="shared" si="2"/>
        <v/>
      </c>
      <c r="F28" s="190" t="str">
        <f t="shared" si="3"/>
        <v/>
      </c>
      <c r="G28" s="191" t="str">
        <f t="shared" si="4"/>
        <v/>
      </c>
      <c r="H28" s="190" t="str">
        <f t="shared" si="5"/>
        <v/>
      </c>
      <c r="I28" s="191" t="str">
        <f t="shared" si="6"/>
        <v/>
      </c>
      <c r="J28" s="190" t="str">
        <f t="shared" ca="1" si="7"/>
        <v/>
      </c>
      <c r="K28" s="191" t="str">
        <f t="shared" ca="1" si="8"/>
        <v/>
      </c>
      <c r="L28" s="190" t="str">
        <f t="shared" ca="1" si="9"/>
        <v/>
      </c>
      <c r="M28" s="191" t="str">
        <f t="shared" ca="1" si="10"/>
        <v/>
      </c>
      <c r="N28" s="190" t="str">
        <f t="shared" ca="1" si="11"/>
        <v/>
      </c>
      <c r="O28" s="191" t="str">
        <f t="shared" ca="1" si="12"/>
        <v/>
      </c>
      <c r="P28" s="190" t="str">
        <f t="shared" ca="1" si="15"/>
        <v/>
      </c>
      <c r="Q28" s="192" t="str">
        <f t="shared" ca="1" si="16"/>
        <v/>
      </c>
      <c r="R28" s="191" t="str">
        <f t="shared" ca="1" si="17"/>
        <v/>
      </c>
      <c r="S28" s="190" t="str">
        <f t="shared" si="13"/>
        <v/>
      </c>
      <c r="T28" s="191" t="str">
        <f t="shared" si="14"/>
        <v/>
      </c>
      <c r="U28" s="190" t="str">
        <f>IFERROR((Tests_MildOrSuspected*'Automated Patient Calcs'!D28)+(Tests_SevereOrCritical*('Automated Patient Calcs'!F28+'Automated Patient Calcs'!H28))+S28,"")</f>
        <v/>
      </c>
      <c r="V28" s="191" t="str">
        <f>IFERROR((Tests_MildOrSuspected*'Automated Patient Calcs'!E28)+(Tests_SevereOrCritical*('Automated Patient Calcs'!G28+'Automated Patient Calcs'!I28))+T28,"")</f>
        <v/>
      </c>
    </row>
    <row r="29" spans="1:22" x14ac:dyDescent="0.25">
      <c r="A29" s="189" t="str">
        <f>IF('User Dashboard'!F$18="Manual Entry",'Manual Patient Calcs'!A29,IFERROR(IF(Doubling_rate_modelled="Combined",
IF(A28+1&gt;ROUNDUP('Patient Calc Assumptions'!$E$41,0),"",A28+1),
IF(A28+1&gt;ROUNDUP('Patient Calc Assumptions'!$C$40,0),"",A28+1)),""))</f>
        <v/>
      </c>
      <c r="B29" s="190" t="str">
        <f>IF(AND(IF('User Dashboard'!F$18="Manual Entry",IF('Manual Patient Calcs'!C29="","",'Manual Patient Calcs'!C29),IFERROR(IF(Doubling_rate_modelled="Combined",
IF(A29&lt;='Patient Calc Assumptions'!$J$20,
2^(A29/('Patient Calc Assumptions'!$F$20/7)),
(2^((A29-'Patient Calc Assumptions'!$J$20)/('Patient Calc Assumptions'!$H$20/7)))*(2^('Patient Calc Assumptions'!$J$20/('Patient Calc Assumptions'!$F$20/7)))),
2^(A29/(VLOOKUP(Doubling_rate_modelled,'Patient Calc Assumptions'!$B$15:$C$25,2,FALSE)/7))),""))&gt;'Patient Calc Assumptions'!$C$36,A29&lt;&gt;""),'Patient Calc Assumptions'!$C$36,IF('User Dashboard'!F$18="Manual Entry",IF('Manual Patient Calcs'!C29="","",'Manual Patient Calcs'!C29),IFERROR(IF(Doubling_rate_modelled="Combined",
IF(A29&lt;='Patient Calc Assumptions'!$J$20,
2^(A29/('Patient Calc Assumptions'!$F$20/7)),
(2^((A29-'Patient Calc Assumptions'!$J$20)/('Patient Calc Assumptions'!$H$20/7)))*(2^('Patient Calc Assumptions'!$J$20/('Patient Calc Assumptions'!$F$20/7)))),
2^(A29/(VLOOKUP(Doubling_rate_modelled,'Patient Calc Assumptions'!$B$15:$C$25,2,FALSE)/7))),"")))</f>
        <v/>
      </c>
      <c r="C29" s="191" t="str">
        <f t="shared" si="0"/>
        <v/>
      </c>
      <c r="D29" s="190" t="str">
        <f t="shared" si="1"/>
        <v/>
      </c>
      <c r="E29" s="191" t="str">
        <f t="shared" si="2"/>
        <v/>
      </c>
      <c r="F29" s="190" t="str">
        <f t="shared" si="3"/>
        <v/>
      </c>
      <c r="G29" s="191" t="str">
        <f t="shared" si="4"/>
        <v/>
      </c>
      <c r="H29" s="190" t="str">
        <f t="shared" si="5"/>
        <v/>
      </c>
      <c r="I29" s="191" t="str">
        <f t="shared" si="6"/>
        <v/>
      </c>
      <c r="J29" s="190" t="str">
        <f t="shared" ca="1" si="7"/>
        <v/>
      </c>
      <c r="K29" s="191" t="str">
        <f t="shared" ca="1" si="8"/>
        <v/>
      </c>
      <c r="L29" s="190" t="str">
        <f t="shared" ca="1" si="9"/>
        <v/>
      </c>
      <c r="M29" s="191" t="str">
        <f t="shared" ca="1" si="10"/>
        <v/>
      </c>
      <c r="N29" s="190" t="str">
        <f t="shared" ca="1" si="11"/>
        <v/>
      </c>
      <c r="O29" s="191" t="str">
        <f t="shared" ca="1" si="12"/>
        <v/>
      </c>
      <c r="P29" s="190" t="str">
        <f t="shared" ca="1" si="15"/>
        <v/>
      </c>
      <c r="Q29" s="192" t="str">
        <f t="shared" ca="1" si="16"/>
        <v/>
      </c>
      <c r="R29" s="191" t="str">
        <f t="shared" ca="1" si="17"/>
        <v/>
      </c>
      <c r="S29" s="190" t="str">
        <f t="shared" si="13"/>
        <v/>
      </c>
      <c r="T29" s="191" t="str">
        <f t="shared" si="14"/>
        <v/>
      </c>
      <c r="U29" s="190" t="str">
        <f>IFERROR((Tests_MildOrSuspected*'Automated Patient Calcs'!D29)+(Tests_SevereOrCritical*('Automated Patient Calcs'!F29+'Automated Patient Calcs'!H29))+S29,"")</f>
        <v/>
      </c>
      <c r="V29" s="191" t="str">
        <f>IFERROR((Tests_MildOrSuspected*'Automated Patient Calcs'!E29)+(Tests_SevereOrCritical*('Automated Patient Calcs'!G29+'Automated Patient Calcs'!I29))+T29,"")</f>
        <v/>
      </c>
    </row>
    <row r="30" spans="1:22" x14ac:dyDescent="0.25">
      <c r="A30" s="189" t="str">
        <f>IF('User Dashboard'!F$18="Manual Entry",'Manual Patient Calcs'!A30,IFERROR(IF(Doubling_rate_modelled="Combined",
IF(A29+1&gt;ROUNDUP('Patient Calc Assumptions'!$E$41,0),"",A29+1),
IF(A29+1&gt;ROUNDUP('Patient Calc Assumptions'!$C$40,0),"",A29+1)),""))</f>
        <v/>
      </c>
      <c r="B30" s="190" t="str">
        <f>IF(AND(IF('User Dashboard'!F$18="Manual Entry",IF('Manual Patient Calcs'!C30="","",'Manual Patient Calcs'!C30),IFERROR(IF(Doubling_rate_modelled="Combined",
IF(A30&lt;='Patient Calc Assumptions'!$J$20,
2^(A30/('Patient Calc Assumptions'!$F$20/7)),
(2^((A30-'Patient Calc Assumptions'!$J$20)/('Patient Calc Assumptions'!$H$20/7)))*(2^('Patient Calc Assumptions'!$J$20/('Patient Calc Assumptions'!$F$20/7)))),
2^(A30/(VLOOKUP(Doubling_rate_modelled,'Patient Calc Assumptions'!$B$15:$C$25,2,FALSE)/7))),""))&gt;'Patient Calc Assumptions'!$C$36,A30&lt;&gt;""),'Patient Calc Assumptions'!$C$36,IF('User Dashboard'!F$18="Manual Entry",IF('Manual Patient Calcs'!C30="","",'Manual Patient Calcs'!C30),IFERROR(IF(Doubling_rate_modelled="Combined",
IF(A30&lt;='Patient Calc Assumptions'!$J$20,
2^(A30/('Patient Calc Assumptions'!$F$20/7)),
(2^((A30-'Patient Calc Assumptions'!$J$20)/('Patient Calc Assumptions'!$H$20/7)))*(2^('Patient Calc Assumptions'!$J$20/('Patient Calc Assumptions'!$F$20/7)))),
2^(A30/(VLOOKUP(Doubling_rate_modelled,'Patient Calc Assumptions'!$B$15:$C$25,2,FALSE)/7))),"")))</f>
        <v/>
      </c>
      <c r="C30" s="191" t="str">
        <f t="shared" si="0"/>
        <v/>
      </c>
      <c r="D30" s="190" t="str">
        <f t="shared" si="1"/>
        <v/>
      </c>
      <c r="E30" s="191" t="str">
        <f t="shared" si="2"/>
        <v/>
      </c>
      <c r="F30" s="190" t="str">
        <f t="shared" si="3"/>
        <v/>
      </c>
      <c r="G30" s="191" t="str">
        <f t="shared" si="4"/>
        <v/>
      </c>
      <c r="H30" s="190" t="str">
        <f t="shared" si="5"/>
        <v/>
      </c>
      <c r="I30" s="191" t="str">
        <f t="shared" si="6"/>
        <v/>
      </c>
      <c r="J30" s="190" t="str">
        <f t="shared" ca="1" si="7"/>
        <v/>
      </c>
      <c r="K30" s="191" t="str">
        <f t="shared" ca="1" si="8"/>
        <v/>
      </c>
      <c r="L30" s="190" t="str">
        <f t="shared" ca="1" si="9"/>
        <v/>
      </c>
      <c r="M30" s="191" t="str">
        <f t="shared" ca="1" si="10"/>
        <v/>
      </c>
      <c r="N30" s="190" t="str">
        <f t="shared" ca="1" si="11"/>
        <v/>
      </c>
      <c r="O30" s="191" t="str">
        <f t="shared" ca="1" si="12"/>
        <v/>
      </c>
      <c r="P30" s="190" t="str">
        <f t="shared" ca="1" si="15"/>
        <v/>
      </c>
      <c r="Q30" s="192" t="str">
        <f t="shared" ca="1" si="16"/>
        <v/>
      </c>
      <c r="R30" s="191" t="str">
        <f t="shared" ca="1" si="17"/>
        <v/>
      </c>
      <c r="S30" s="190" t="str">
        <f t="shared" si="13"/>
        <v/>
      </c>
      <c r="T30" s="191" t="str">
        <f t="shared" si="14"/>
        <v/>
      </c>
      <c r="U30" s="190" t="str">
        <f>IFERROR((Tests_MildOrSuspected*'Automated Patient Calcs'!D30)+(Tests_SevereOrCritical*('Automated Patient Calcs'!F30+'Automated Patient Calcs'!H30))+S30,"")</f>
        <v/>
      </c>
      <c r="V30" s="191" t="str">
        <f>IFERROR((Tests_MildOrSuspected*'Automated Patient Calcs'!E30)+(Tests_SevereOrCritical*('Automated Patient Calcs'!G30+'Automated Patient Calcs'!I30))+T30,"")</f>
        <v/>
      </c>
    </row>
    <row r="31" spans="1:22" x14ac:dyDescent="0.25">
      <c r="A31" s="189" t="str">
        <f>IF('User Dashboard'!F$18="Manual Entry",'Manual Patient Calcs'!A31,IFERROR(IF(Doubling_rate_modelled="Combined",
IF(A30+1&gt;ROUNDUP('Patient Calc Assumptions'!$E$41,0),"",A30+1),
IF(A30+1&gt;ROUNDUP('Patient Calc Assumptions'!$C$40,0),"",A30+1)),""))</f>
        <v/>
      </c>
      <c r="B31" s="190" t="str">
        <f>IF(AND(IF('User Dashboard'!F$18="Manual Entry",IF('Manual Patient Calcs'!C31="","",'Manual Patient Calcs'!C31),IFERROR(IF(Doubling_rate_modelled="Combined",
IF(A31&lt;='Patient Calc Assumptions'!$J$20,
2^(A31/('Patient Calc Assumptions'!$F$20/7)),
(2^((A31-'Patient Calc Assumptions'!$J$20)/('Patient Calc Assumptions'!$H$20/7)))*(2^('Patient Calc Assumptions'!$J$20/('Patient Calc Assumptions'!$F$20/7)))),
2^(A31/(VLOOKUP(Doubling_rate_modelled,'Patient Calc Assumptions'!$B$15:$C$25,2,FALSE)/7))),""))&gt;'Patient Calc Assumptions'!$C$36,A31&lt;&gt;""),'Patient Calc Assumptions'!$C$36,IF('User Dashboard'!F$18="Manual Entry",IF('Manual Patient Calcs'!C31="","",'Manual Patient Calcs'!C31),IFERROR(IF(Doubling_rate_modelled="Combined",
IF(A31&lt;='Patient Calc Assumptions'!$J$20,
2^(A31/('Patient Calc Assumptions'!$F$20/7)),
(2^((A31-'Patient Calc Assumptions'!$J$20)/('Patient Calc Assumptions'!$H$20/7)))*(2^('Patient Calc Assumptions'!$J$20/('Patient Calc Assumptions'!$F$20/7)))),
2^(A31/(VLOOKUP(Doubling_rate_modelled,'Patient Calc Assumptions'!$B$15:$C$25,2,FALSE)/7))),"")))</f>
        <v/>
      </c>
      <c r="C31" s="191" t="str">
        <f t="shared" si="0"/>
        <v/>
      </c>
      <c r="D31" s="190" t="str">
        <f t="shared" si="1"/>
        <v/>
      </c>
      <c r="E31" s="191" t="str">
        <f t="shared" si="2"/>
        <v/>
      </c>
      <c r="F31" s="190" t="str">
        <f t="shared" si="3"/>
        <v/>
      </c>
      <c r="G31" s="191" t="str">
        <f t="shared" si="4"/>
        <v/>
      </c>
      <c r="H31" s="190" t="str">
        <f t="shared" si="5"/>
        <v/>
      </c>
      <c r="I31" s="191" t="str">
        <f t="shared" si="6"/>
        <v/>
      </c>
      <c r="J31" s="190" t="str">
        <f t="shared" ca="1" si="7"/>
        <v/>
      </c>
      <c r="K31" s="191" t="str">
        <f t="shared" ca="1" si="8"/>
        <v/>
      </c>
      <c r="L31" s="190" t="str">
        <f t="shared" ca="1" si="9"/>
        <v/>
      </c>
      <c r="M31" s="191" t="str">
        <f t="shared" ca="1" si="10"/>
        <v/>
      </c>
      <c r="N31" s="190" t="str">
        <f t="shared" ca="1" si="11"/>
        <v/>
      </c>
      <c r="O31" s="191" t="str">
        <f t="shared" ca="1" si="12"/>
        <v/>
      </c>
      <c r="P31" s="190" t="str">
        <f t="shared" ca="1" si="15"/>
        <v/>
      </c>
      <c r="Q31" s="192" t="str">
        <f t="shared" ca="1" si="16"/>
        <v/>
      </c>
      <c r="R31" s="191" t="str">
        <f t="shared" ca="1" si="17"/>
        <v/>
      </c>
      <c r="S31" s="190" t="str">
        <f t="shared" si="13"/>
        <v/>
      </c>
      <c r="T31" s="191" t="str">
        <f t="shared" si="14"/>
        <v/>
      </c>
      <c r="U31" s="190" t="str">
        <f>IFERROR((Tests_MildOrSuspected*'Automated Patient Calcs'!D31)+(Tests_SevereOrCritical*('Automated Patient Calcs'!F31+'Automated Patient Calcs'!H31))+S31,"")</f>
        <v/>
      </c>
      <c r="V31" s="191" t="str">
        <f>IFERROR((Tests_MildOrSuspected*'Automated Patient Calcs'!E31)+(Tests_SevereOrCritical*('Automated Patient Calcs'!G31+'Automated Patient Calcs'!I31))+T31,"")</f>
        <v/>
      </c>
    </row>
    <row r="32" spans="1:22" x14ac:dyDescent="0.25">
      <c r="A32" s="189" t="str">
        <f>IF('User Dashboard'!F$18="Manual Entry",'Manual Patient Calcs'!A32,IFERROR(IF(Doubling_rate_modelled="Combined",
IF(A31+1&gt;ROUNDUP('Patient Calc Assumptions'!$E$41,0),"",A31+1),
IF(A31+1&gt;ROUNDUP('Patient Calc Assumptions'!$C$40,0),"",A31+1)),""))</f>
        <v/>
      </c>
      <c r="B32" s="190" t="str">
        <f>IF(AND(IF('User Dashboard'!F$18="Manual Entry",IF('Manual Patient Calcs'!C32="","",'Manual Patient Calcs'!C32),IFERROR(IF(Doubling_rate_modelled="Combined",
IF(A32&lt;='Patient Calc Assumptions'!$J$20,
2^(A32/('Patient Calc Assumptions'!$F$20/7)),
(2^((A32-'Patient Calc Assumptions'!$J$20)/('Patient Calc Assumptions'!$H$20/7)))*(2^('Patient Calc Assumptions'!$J$20/('Patient Calc Assumptions'!$F$20/7)))),
2^(A32/(VLOOKUP(Doubling_rate_modelled,'Patient Calc Assumptions'!$B$15:$C$25,2,FALSE)/7))),""))&gt;'Patient Calc Assumptions'!$C$36,A32&lt;&gt;""),'Patient Calc Assumptions'!$C$36,IF('User Dashboard'!F$18="Manual Entry",IF('Manual Patient Calcs'!C32="","",'Manual Patient Calcs'!C32),IFERROR(IF(Doubling_rate_modelled="Combined",
IF(A32&lt;='Patient Calc Assumptions'!$J$20,
2^(A32/('Patient Calc Assumptions'!$F$20/7)),
(2^((A32-'Patient Calc Assumptions'!$J$20)/('Patient Calc Assumptions'!$H$20/7)))*(2^('Patient Calc Assumptions'!$J$20/('Patient Calc Assumptions'!$F$20/7)))),
2^(A32/(VLOOKUP(Doubling_rate_modelled,'Patient Calc Assumptions'!$B$15:$C$25,2,FALSE)/7))),"")))</f>
        <v/>
      </c>
      <c r="C32" s="191" t="str">
        <f t="shared" si="0"/>
        <v/>
      </c>
      <c r="D32" s="190" t="str">
        <f t="shared" si="1"/>
        <v/>
      </c>
      <c r="E32" s="191" t="str">
        <f t="shared" si="2"/>
        <v/>
      </c>
      <c r="F32" s="190" t="str">
        <f t="shared" si="3"/>
        <v/>
      </c>
      <c r="G32" s="191" t="str">
        <f t="shared" si="4"/>
        <v/>
      </c>
      <c r="H32" s="190" t="str">
        <f t="shared" si="5"/>
        <v/>
      </c>
      <c r="I32" s="191" t="str">
        <f t="shared" si="6"/>
        <v/>
      </c>
      <c r="J32" s="190" t="str">
        <f t="shared" ca="1" si="7"/>
        <v/>
      </c>
      <c r="K32" s="191" t="str">
        <f t="shared" ca="1" si="8"/>
        <v/>
      </c>
      <c r="L32" s="190" t="str">
        <f t="shared" ca="1" si="9"/>
        <v/>
      </c>
      <c r="M32" s="191" t="str">
        <f t="shared" ca="1" si="10"/>
        <v/>
      </c>
      <c r="N32" s="190" t="str">
        <f t="shared" ca="1" si="11"/>
        <v/>
      </c>
      <c r="O32" s="191" t="str">
        <f t="shared" ca="1" si="12"/>
        <v/>
      </c>
      <c r="P32" s="190" t="str">
        <f t="shared" ca="1" si="15"/>
        <v/>
      </c>
      <c r="Q32" s="192" t="str">
        <f t="shared" ca="1" si="16"/>
        <v/>
      </c>
      <c r="R32" s="191" t="str">
        <f t="shared" ca="1" si="17"/>
        <v/>
      </c>
      <c r="S32" s="190" t="str">
        <f t="shared" si="13"/>
        <v/>
      </c>
      <c r="T32" s="191" t="str">
        <f t="shared" si="14"/>
        <v/>
      </c>
      <c r="U32" s="190" t="str">
        <f>IFERROR((Tests_MildOrSuspected*'Automated Patient Calcs'!D32)+(Tests_SevereOrCritical*('Automated Patient Calcs'!F32+'Automated Patient Calcs'!H32))+S32,"")</f>
        <v/>
      </c>
      <c r="V32" s="191" t="str">
        <f>IFERROR((Tests_MildOrSuspected*'Automated Patient Calcs'!E32)+(Tests_SevereOrCritical*('Automated Patient Calcs'!G32+'Automated Patient Calcs'!I32))+T32,"")</f>
        <v/>
      </c>
    </row>
    <row r="33" spans="1:22" x14ac:dyDescent="0.25">
      <c r="A33" s="189" t="str">
        <f>IF('User Dashboard'!F$18="Manual Entry",'Manual Patient Calcs'!A33,IFERROR(IF(Doubling_rate_modelled="Combined",
IF(A32+1&gt;ROUNDUP('Patient Calc Assumptions'!$E$41,0),"",A32+1),
IF(A32+1&gt;ROUNDUP('Patient Calc Assumptions'!$C$40,0),"",A32+1)),""))</f>
        <v/>
      </c>
      <c r="B33" s="190" t="str">
        <f>IF(AND(IF('User Dashboard'!F$18="Manual Entry",IF('Manual Patient Calcs'!C33="","",'Manual Patient Calcs'!C33),IFERROR(IF(Doubling_rate_modelled="Combined",
IF(A33&lt;='Patient Calc Assumptions'!$J$20,
2^(A33/('Patient Calc Assumptions'!$F$20/7)),
(2^((A33-'Patient Calc Assumptions'!$J$20)/('Patient Calc Assumptions'!$H$20/7)))*(2^('Patient Calc Assumptions'!$J$20/('Patient Calc Assumptions'!$F$20/7)))),
2^(A33/(VLOOKUP(Doubling_rate_modelled,'Patient Calc Assumptions'!$B$15:$C$25,2,FALSE)/7))),""))&gt;'Patient Calc Assumptions'!$C$36,A33&lt;&gt;""),'Patient Calc Assumptions'!$C$36,IF('User Dashboard'!F$18="Manual Entry",IF('Manual Patient Calcs'!C33="","",'Manual Patient Calcs'!C33),IFERROR(IF(Doubling_rate_modelled="Combined",
IF(A33&lt;='Patient Calc Assumptions'!$J$20,
2^(A33/('Patient Calc Assumptions'!$F$20/7)),
(2^((A33-'Patient Calc Assumptions'!$J$20)/('Patient Calc Assumptions'!$H$20/7)))*(2^('Patient Calc Assumptions'!$J$20/('Patient Calc Assumptions'!$F$20/7)))),
2^(A33/(VLOOKUP(Doubling_rate_modelled,'Patient Calc Assumptions'!$B$15:$C$25,2,FALSE)/7))),"")))</f>
        <v/>
      </c>
      <c r="C33" s="191" t="str">
        <f t="shared" si="0"/>
        <v/>
      </c>
      <c r="D33" s="190" t="str">
        <f t="shared" si="1"/>
        <v/>
      </c>
      <c r="E33" s="191" t="str">
        <f t="shared" si="2"/>
        <v/>
      </c>
      <c r="F33" s="190" t="str">
        <f t="shared" si="3"/>
        <v/>
      </c>
      <c r="G33" s="191" t="str">
        <f t="shared" si="4"/>
        <v/>
      </c>
      <c r="H33" s="190" t="str">
        <f t="shared" si="5"/>
        <v/>
      </c>
      <c r="I33" s="191" t="str">
        <f t="shared" si="6"/>
        <v/>
      </c>
      <c r="J33" s="190" t="str">
        <f t="shared" ca="1" si="7"/>
        <v/>
      </c>
      <c r="K33" s="191" t="str">
        <f t="shared" ca="1" si="8"/>
        <v/>
      </c>
      <c r="L33" s="190" t="str">
        <f t="shared" ca="1" si="9"/>
        <v/>
      </c>
      <c r="M33" s="191" t="str">
        <f t="shared" ca="1" si="10"/>
        <v/>
      </c>
      <c r="N33" s="190" t="str">
        <f t="shared" ca="1" si="11"/>
        <v/>
      </c>
      <c r="O33" s="191" t="str">
        <f t="shared" ca="1" si="12"/>
        <v/>
      </c>
      <c r="P33" s="190" t="str">
        <f t="shared" ca="1" si="15"/>
        <v/>
      </c>
      <c r="Q33" s="192" t="str">
        <f t="shared" ca="1" si="16"/>
        <v/>
      </c>
      <c r="R33" s="191" t="str">
        <f t="shared" ca="1" si="17"/>
        <v/>
      </c>
      <c r="S33" s="190" t="str">
        <f t="shared" si="13"/>
        <v/>
      </c>
      <c r="T33" s="191" t="str">
        <f t="shared" si="14"/>
        <v/>
      </c>
      <c r="U33" s="190" t="str">
        <f>IFERROR((Tests_MildOrSuspected*'Automated Patient Calcs'!D33)+(Tests_SevereOrCritical*('Automated Patient Calcs'!F33+'Automated Patient Calcs'!H33))+S33,"")</f>
        <v/>
      </c>
      <c r="V33" s="191" t="str">
        <f>IFERROR((Tests_MildOrSuspected*'Automated Patient Calcs'!E33)+(Tests_SevereOrCritical*('Automated Patient Calcs'!G33+'Automated Patient Calcs'!I33))+T33,"")</f>
        <v/>
      </c>
    </row>
    <row r="34" spans="1:22" x14ac:dyDescent="0.25">
      <c r="A34" s="189" t="str">
        <f>IF('User Dashboard'!F$18="Manual Entry",'Manual Patient Calcs'!A34,IFERROR(IF(Doubling_rate_modelled="Combined",
IF(A33+1&gt;ROUNDUP('Patient Calc Assumptions'!$E$41,0),"",A33+1),
IF(A33+1&gt;ROUNDUP('Patient Calc Assumptions'!$C$40,0),"",A33+1)),""))</f>
        <v/>
      </c>
      <c r="B34" s="190" t="str">
        <f>IF(AND(IF('User Dashboard'!F$18="Manual Entry",IF('Manual Patient Calcs'!C34="","",'Manual Patient Calcs'!C34),IFERROR(IF(Doubling_rate_modelled="Combined",
IF(A34&lt;='Patient Calc Assumptions'!$J$20,
2^(A34/('Patient Calc Assumptions'!$F$20/7)),
(2^((A34-'Patient Calc Assumptions'!$J$20)/('Patient Calc Assumptions'!$H$20/7)))*(2^('Patient Calc Assumptions'!$J$20/('Patient Calc Assumptions'!$F$20/7)))),
2^(A34/(VLOOKUP(Doubling_rate_modelled,'Patient Calc Assumptions'!$B$15:$C$25,2,FALSE)/7))),""))&gt;'Patient Calc Assumptions'!$C$36,A34&lt;&gt;""),'Patient Calc Assumptions'!$C$36,IF('User Dashboard'!F$18="Manual Entry",IF('Manual Patient Calcs'!C34="","",'Manual Patient Calcs'!C34),IFERROR(IF(Doubling_rate_modelled="Combined",
IF(A34&lt;='Patient Calc Assumptions'!$J$20,
2^(A34/('Patient Calc Assumptions'!$F$20/7)),
(2^((A34-'Patient Calc Assumptions'!$J$20)/('Patient Calc Assumptions'!$H$20/7)))*(2^('Patient Calc Assumptions'!$J$20/('Patient Calc Assumptions'!$F$20/7)))),
2^(A34/(VLOOKUP(Doubling_rate_modelled,'Patient Calc Assumptions'!$B$15:$C$25,2,FALSE)/7))),"")))</f>
        <v/>
      </c>
      <c r="C34" s="191" t="str">
        <f t="shared" ref="C34:C54" si="18">IFERROR(IF(A34=0,B34,B34-B33),"")</f>
        <v/>
      </c>
      <c r="D34" s="190" t="str">
        <f t="shared" ref="D34:D54" si="19">IFERROR(B34*MildCasePercentage,"")</f>
        <v/>
      </c>
      <c r="E34" s="191" t="str">
        <f t="shared" ref="E34:E54" si="20">IFERROR(C34*MildCasePercentage,"")</f>
        <v/>
      </c>
      <c r="F34" s="190" t="str">
        <f t="shared" ref="F34:F54" si="21">IFERROR(B34*SevereCasePercentage,"")</f>
        <v/>
      </c>
      <c r="G34" s="191" t="str">
        <f t="shared" ref="G34:G54" si="22">IFERROR(C34*SevereCasePercentage,"")</f>
        <v/>
      </c>
      <c r="H34" s="190" t="str">
        <f t="shared" ref="H34:H54" si="23">IFERROR(B34*CritcalCasePercentage,"")</f>
        <v/>
      </c>
      <c r="I34" s="191" t="str">
        <f t="shared" ref="I34:I54" si="24">IFERROR(C34*CritcalCasePercentage,"")</f>
        <v/>
      </c>
      <c r="J34" s="190" t="str">
        <f t="shared" ref="J34:J54" ca="1" si="25">IFERROR(IF(A34="","",IF(A34&lt;SelfQuarantine_Mild,0,OFFSET(D34,-1*SelfQuarantine_Mild,0))),"")</f>
        <v/>
      </c>
      <c r="K34" s="191" t="str">
        <f t="shared" ref="K34:K61" ca="1" si="26">IFERROR(IF(A34="","",IF(A34&lt;SelfQuarantine_Mild,0,OFFSET(E34,-1*SelfQuarantine_Mild,0))),"")</f>
        <v/>
      </c>
      <c r="L34" s="190" t="str">
        <f t="shared" ref="L34:L67" ca="1" si="27">IFERROR(IF(A34="","",IF(A34&lt;BedStay_Severe,0,OFFSET(F34,-1*BedStay_Severe,0))),"")</f>
        <v/>
      </c>
      <c r="M34" s="191" t="str">
        <f t="shared" ref="M34:M66" ca="1" si="28">IFERROR(IF(A34="","",IF(A34&lt;BedStay_Severe,0,OFFSET(G34,-1*BedStay_Severe,0))),"")</f>
        <v/>
      </c>
      <c r="N34" s="190" t="str">
        <f t="shared" ref="N34:N67" ca="1" si="29">IFERROR(IF(A34="","",IF(A34&lt;BedStay_Critical,0,OFFSET(H34,-1*BedStay_Critical,0))),"")</f>
        <v/>
      </c>
      <c r="O34" s="191" t="str">
        <f t="shared" ref="O34:O68" ca="1" si="30">IFERROR(IF(A34="","",IF(A34&lt;BedStay_Critical,0,OFFSET(I34,-1*BedStay_Critical,0))),"")</f>
        <v/>
      </c>
      <c r="P34" s="190" t="str">
        <f t="shared" ca="1" si="15"/>
        <v/>
      </c>
      <c r="Q34" s="192" t="str">
        <f t="shared" ca="1" si="16"/>
        <v/>
      </c>
      <c r="R34" s="191" t="str">
        <f t="shared" ca="1" si="17"/>
        <v/>
      </c>
      <c r="S34" s="190" t="str">
        <f t="shared" ref="S34:S54" si="31">IFERROR(B34*SuspectedCaseMultiplier,"")</f>
        <v/>
      </c>
      <c r="T34" s="191" t="str">
        <f t="shared" ref="T34:T54" si="32">IFERROR(C34*SuspectedCaseMultiplier,"")</f>
        <v/>
      </c>
      <c r="U34" s="190" t="str">
        <f>IFERROR((Tests_MildOrSuspected*'Automated Patient Calcs'!D34)+(Tests_SevereOrCritical*('Automated Patient Calcs'!F34+'Automated Patient Calcs'!H34))+S34,"")</f>
        <v/>
      </c>
      <c r="V34" s="191" t="str">
        <f>IFERROR((Tests_MildOrSuspected*'Automated Patient Calcs'!E34)+(Tests_SevereOrCritical*('Automated Patient Calcs'!G34+'Automated Patient Calcs'!I34))+T34,"")</f>
        <v/>
      </c>
    </row>
    <row r="35" spans="1:22" x14ac:dyDescent="0.25">
      <c r="A35" s="189" t="str">
        <f>IF('User Dashboard'!F$18="Manual Entry",'Manual Patient Calcs'!A35,IFERROR(IF(Doubling_rate_modelled="Combined",
IF(A34+1&gt;ROUNDUP('Patient Calc Assumptions'!$E$41,0),"",A34+1),
IF(A34+1&gt;ROUNDUP('Patient Calc Assumptions'!$C$40,0),"",A34+1)),""))</f>
        <v/>
      </c>
      <c r="B35" s="190" t="str">
        <f>IF(AND(IF('User Dashboard'!F$18="Manual Entry",IF('Manual Patient Calcs'!C35="","",'Manual Patient Calcs'!C35),IFERROR(IF(Doubling_rate_modelled="Combined",
IF(A35&lt;='Patient Calc Assumptions'!$J$20,
2^(A35/('Patient Calc Assumptions'!$F$20/7)),
(2^((A35-'Patient Calc Assumptions'!$J$20)/('Patient Calc Assumptions'!$H$20/7)))*(2^('Patient Calc Assumptions'!$J$20/('Patient Calc Assumptions'!$F$20/7)))),
2^(A35/(VLOOKUP(Doubling_rate_modelled,'Patient Calc Assumptions'!$B$15:$C$25,2,FALSE)/7))),""))&gt;'Patient Calc Assumptions'!$C$36,A35&lt;&gt;""),'Patient Calc Assumptions'!$C$36,IF('User Dashboard'!F$18="Manual Entry",IF('Manual Patient Calcs'!C35="","",'Manual Patient Calcs'!C35),IFERROR(IF(Doubling_rate_modelled="Combined",
IF(A35&lt;='Patient Calc Assumptions'!$J$20,
2^(A35/('Patient Calc Assumptions'!$F$20/7)),
(2^((A35-'Patient Calc Assumptions'!$J$20)/('Patient Calc Assumptions'!$H$20/7)))*(2^('Patient Calc Assumptions'!$J$20/('Patient Calc Assumptions'!$F$20/7)))),
2^(A35/(VLOOKUP(Doubling_rate_modelled,'Patient Calc Assumptions'!$B$15:$C$25,2,FALSE)/7))),"")))</f>
        <v/>
      </c>
      <c r="C35" s="191" t="str">
        <f t="shared" si="18"/>
        <v/>
      </c>
      <c r="D35" s="190" t="str">
        <f t="shared" si="19"/>
        <v/>
      </c>
      <c r="E35" s="191" t="str">
        <f t="shared" si="20"/>
        <v/>
      </c>
      <c r="F35" s="190" t="str">
        <f t="shared" si="21"/>
        <v/>
      </c>
      <c r="G35" s="191" t="str">
        <f t="shared" si="22"/>
        <v/>
      </c>
      <c r="H35" s="190" t="str">
        <f t="shared" si="23"/>
        <v/>
      </c>
      <c r="I35" s="191" t="str">
        <f t="shared" si="24"/>
        <v/>
      </c>
      <c r="J35" s="190" t="str">
        <f t="shared" ca="1" si="25"/>
        <v/>
      </c>
      <c r="K35" s="191" t="str">
        <f t="shared" ca="1" si="26"/>
        <v/>
      </c>
      <c r="L35" s="190" t="str">
        <f t="shared" ca="1" si="27"/>
        <v/>
      </c>
      <c r="M35" s="191" t="str">
        <f t="shared" ca="1" si="28"/>
        <v/>
      </c>
      <c r="N35" s="190" t="str">
        <f t="shared" ca="1" si="29"/>
        <v/>
      </c>
      <c r="O35" s="191" t="str">
        <f t="shared" ca="1" si="30"/>
        <v/>
      </c>
      <c r="P35" s="190" t="str">
        <f t="shared" ca="1" si="15"/>
        <v/>
      </c>
      <c r="Q35" s="192" t="str">
        <f t="shared" ca="1" si="16"/>
        <v/>
      </c>
      <c r="R35" s="191" t="str">
        <f t="shared" ca="1" si="17"/>
        <v/>
      </c>
      <c r="S35" s="190" t="str">
        <f t="shared" si="31"/>
        <v/>
      </c>
      <c r="T35" s="191" t="str">
        <f t="shared" si="32"/>
        <v/>
      </c>
      <c r="U35" s="190" t="str">
        <f>IFERROR((Tests_MildOrSuspected*'Automated Patient Calcs'!D35)+(Tests_SevereOrCritical*('Automated Patient Calcs'!F35+'Automated Patient Calcs'!H35))+S35,"")</f>
        <v/>
      </c>
      <c r="V35" s="191" t="str">
        <f>IFERROR((Tests_MildOrSuspected*'Automated Patient Calcs'!E35)+(Tests_SevereOrCritical*('Automated Patient Calcs'!G35+'Automated Patient Calcs'!I35))+T35,"")</f>
        <v/>
      </c>
    </row>
    <row r="36" spans="1:22" x14ac:dyDescent="0.25">
      <c r="A36" s="189" t="str">
        <f>IF('User Dashboard'!F$18="Manual Entry",'Manual Patient Calcs'!A36,IFERROR(IF(Doubling_rate_modelled="Combined",
IF(A35+1&gt;ROUNDUP('Patient Calc Assumptions'!$E$41,0),"",A35+1),
IF(A35+1&gt;ROUNDUP('Patient Calc Assumptions'!$C$40,0),"",A35+1)),""))</f>
        <v/>
      </c>
      <c r="B36" s="190" t="str">
        <f>IF(AND(IF('User Dashboard'!F$18="Manual Entry",IF('Manual Patient Calcs'!C36="","",'Manual Patient Calcs'!C36),IFERROR(IF(Doubling_rate_modelled="Combined",
IF(A36&lt;='Patient Calc Assumptions'!$J$20,
2^(A36/('Patient Calc Assumptions'!$F$20/7)),
(2^((A36-'Patient Calc Assumptions'!$J$20)/('Patient Calc Assumptions'!$H$20/7)))*(2^('Patient Calc Assumptions'!$J$20/('Patient Calc Assumptions'!$F$20/7)))),
2^(A36/(VLOOKUP(Doubling_rate_modelled,'Patient Calc Assumptions'!$B$15:$C$25,2,FALSE)/7))),""))&gt;'Patient Calc Assumptions'!$C$36,A36&lt;&gt;""),'Patient Calc Assumptions'!$C$36,IF('User Dashboard'!F$18="Manual Entry",IF('Manual Patient Calcs'!C36="","",'Manual Patient Calcs'!C36),IFERROR(IF(Doubling_rate_modelled="Combined",
IF(A36&lt;='Patient Calc Assumptions'!$J$20,
2^(A36/('Patient Calc Assumptions'!$F$20/7)),
(2^((A36-'Patient Calc Assumptions'!$J$20)/('Patient Calc Assumptions'!$H$20/7)))*(2^('Patient Calc Assumptions'!$J$20/('Patient Calc Assumptions'!$F$20/7)))),
2^(A36/(VLOOKUP(Doubling_rate_modelled,'Patient Calc Assumptions'!$B$15:$C$25,2,FALSE)/7))),"")))</f>
        <v/>
      </c>
      <c r="C36" s="191" t="str">
        <f t="shared" si="18"/>
        <v/>
      </c>
      <c r="D36" s="190" t="str">
        <f t="shared" si="19"/>
        <v/>
      </c>
      <c r="E36" s="191" t="str">
        <f t="shared" si="20"/>
        <v/>
      </c>
      <c r="F36" s="190" t="str">
        <f t="shared" si="21"/>
        <v/>
      </c>
      <c r="G36" s="191" t="str">
        <f t="shared" si="22"/>
        <v/>
      </c>
      <c r="H36" s="190" t="str">
        <f t="shared" si="23"/>
        <v/>
      </c>
      <c r="I36" s="191" t="str">
        <f t="shared" si="24"/>
        <v/>
      </c>
      <c r="J36" s="190" t="str">
        <f t="shared" ca="1" si="25"/>
        <v/>
      </c>
      <c r="K36" s="191" t="str">
        <f t="shared" ca="1" si="26"/>
        <v/>
      </c>
      <c r="L36" s="190" t="str">
        <f t="shared" ca="1" si="27"/>
        <v/>
      </c>
      <c r="M36" s="191" t="str">
        <f t="shared" ca="1" si="28"/>
        <v/>
      </c>
      <c r="N36" s="190" t="str">
        <f t="shared" ca="1" si="29"/>
        <v/>
      </c>
      <c r="O36" s="191" t="str">
        <f t="shared" ca="1" si="30"/>
        <v/>
      </c>
      <c r="P36" s="190" t="str">
        <f t="shared" ca="1" si="15"/>
        <v/>
      </c>
      <c r="Q36" s="192" t="str">
        <f t="shared" ca="1" si="16"/>
        <v/>
      </c>
      <c r="R36" s="191" t="str">
        <f t="shared" ca="1" si="17"/>
        <v/>
      </c>
      <c r="S36" s="190" t="str">
        <f t="shared" si="31"/>
        <v/>
      </c>
      <c r="T36" s="191" t="str">
        <f t="shared" si="32"/>
        <v/>
      </c>
      <c r="U36" s="190" t="str">
        <f>IFERROR((Tests_MildOrSuspected*'Automated Patient Calcs'!D36)+(Tests_SevereOrCritical*('Automated Patient Calcs'!F36+'Automated Patient Calcs'!H36))+S36,"")</f>
        <v/>
      </c>
      <c r="V36" s="191" t="str">
        <f>IFERROR((Tests_MildOrSuspected*'Automated Patient Calcs'!E36)+(Tests_SevereOrCritical*('Automated Patient Calcs'!G36+'Automated Patient Calcs'!I36))+T36,"")</f>
        <v/>
      </c>
    </row>
    <row r="37" spans="1:22" x14ac:dyDescent="0.25">
      <c r="A37" s="189" t="str">
        <f>IF('User Dashboard'!F$18="Manual Entry",'Manual Patient Calcs'!A37,IFERROR(IF(Doubling_rate_modelled="Combined",
IF(A36+1&gt;ROUNDUP('Patient Calc Assumptions'!$E$41,0),"",A36+1),
IF(A36+1&gt;ROUNDUP('Patient Calc Assumptions'!$C$40,0),"",A36+1)),""))</f>
        <v/>
      </c>
      <c r="B37" s="190" t="str">
        <f>IF(AND(IF('User Dashboard'!F$18="Manual Entry",IF('Manual Patient Calcs'!C37="","",'Manual Patient Calcs'!C37),IFERROR(IF(Doubling_rate_modelled="Combined",
IF(A37&lt;='Patient Calc Assumptions'!$J$20,
2^(A37/('Patient Calc Assumptions'!$F$20/7)),
(2^((A37-'Patient Calc Assumptions'!$J$20)/('Patient Calc Assumptions'!$H$20/7)))*(2^('Patient Calc Assumptions'!$J$20/('Patient Calc Assumptions'!$F$20/7)))),
2^(A37/(VLOOKUP(Doubling_rate_modelled,'Patient Calc Assumptions'!$B$15:$C$25,2,FALSE)/7))),""))&gt;'Patient Calc Assumptions'!$C$36,A37&lt;&gt;""),'Patient Calc Assumptions'!$C$36,IF('User Dashboard'!F$18="Manual Entry",IF('Manual Patient Calcs'!C37="","",'Manual Patient Calcs'!C37),IFERROR(IF(Doubling_rate_modelled="Combined",
IF(A37&lt;='Patient Calc Assumptions'!$J$20,
2^(A37/('Patient Calc Assumptions'!$F$20/7)),
(2^((A37-'Patient Calc Assumptions'!$J$20)/('Patient Calc Assumptions'!$H$20/7)))*(2^('Patient Calc Assumptions'!$J$20/('Patient Calc Assumptions'!$F$20/7)))),
2^(A37/(VLOOKUP(Doubling_rate_modelled,'Patient Calc Assumptions'!$B$15:$C$25,2,FALSE)/7))),"")))</f>
        <v/>
      </c>
      <c r="C37" s="191" t="str">
        <f t="shared" si="18"/>
        <v/>
      </c>
      <c r="D37" s="190" t="str">
        <f t="shared" si="19"/>
        <v/>
      </c>
      <c r="E37" s="191" t="str">
        <f t="shared" si="20"/>
        <v/>
      </c>
      <c r="F37" s="190" t="str">
        <f t="shared" si="21"/>
        <v/>
      </c>
      <c r="G37" s="191" t="str">
        <f t="shared" si="22"/>
        <v/>
      </c>
      <c r="H37" s="190" t="str">
        <f t="shared" si="23"/>
        <v/>
      </c>
      <c r="I37" s="191" t="str">
        <f t="shared" si="24"/>
        <v/>
      </c>
      <c r="J37" s="190" t="str">
        <f t="shared" ca="1" si="25"/>
        <v/>
      </c>
      <c r="K37" s="191" t="str">
        <f t="shared" ca="1" si="26"/>
        <v/>
      </c>
      <c r="L37" s="190" t="str">
        <f t="shared" ca="1" si="27"/>
        <v/>
      </c>
      <c r="M37" s="191" t="str">
        <f t="shared" ca="1" si="28"/>
        <v/>
      </c>
      <c r="N37" s="190" t="str">
        <f t="shared" ca="1" si="29"/>
        <v/>
      </c>
      <c r="O37" s="191" t="str">
        <f t="shared" ca="1" si="30"/>
        <v/>
      </c>
      <c r="P37" s="190" t="str">
        <f t="shared" ca="1" si="15"/>
        <v/>
      </c>
      <c r="Q37" s="192" t="str">
        <f t="shared" ca="1" si="16"/>
        <v/>
      </c>
      <c r="R37" s="191" t="str">
        <f t="shared" ca="1" si="17"/>
        <v/>
      </c>
      <c r="S37" s="190" t="str">
        <f t="shared" si="31"/>
        <v/>
      </c>
      <c r="T37" s="191" t="str">
        <f t="shared" si="32"/>
        <v/>
      </c>
      <c r="U37" s="190" t="str">
        <f>IFERROR((Tests_MildOrSuspected*'Automated Patient Calcs'!D37)+(Tests_SevereOrCritical*('Automated Patient Calcs'!F37+'Automated Patient Calcs'!H37))+S37,"")</f>
        <v/>
      </c>
      <c r="V37" s="191" t="str">
        <f>IFERROR((Tests_MildOrSuspected*'Automated Patient Calcs'!E37)+(Tests_SevereOrCritical*('Automated Patient Calcs'!G37+'Automated Patient Calcs'!I37))+T37,"")</f>
        <v/>
      </c>
    </row>
    <row r="38" spans="1:22" x14ac:dyDescent="0.25">
      <c r="A38" s="189" t="str">
        <f>IF('User Dashboard'!F$18="Manual Entry",'Manual Patient Calcs'!A38,IFERROR(IF(Doubling_rate_modelled="Combined",
IF(A37+1&gt;ROUNDUP('Patient Calc Assumptions'!$E$41,0),"",A37+1),
IF(A37+1&gt;ROUNDUP('Patient Calc Assumptions'!$C$40,0),"",A37+1)),""))</f>
        <v/>
      </c>
      <c r="B38" s="190" t="str">
        <f>IF(AND(IF('User Dashboard'!F$18="Manual Entry",IF('Manual Patient Calcs'!C38="","",'Manual Patient Calcs'!C38),IFERROR(IF(Doubling_rate_modelled="Combined",
IF(A38&lt;='Patient Calc Assumptions'!$J$20,
2^(A38/('Patient Calc Assumptions'!$F$20/7)),
(2^((A38-'Patient Calc Assumptions'!$J$20)/('Patient Calc Assumptions'!$H$20/7)))*(2^('Patient Calc Assumptions'!$J$20/('Patient Calc Assumptions'!$F$20/7)))),
2^(A38/(VLOOKUP(Doubling_rate_modelled,'Patient Calc Assumptions'!$B$15:$C$25,2,FALSE)/7))),""))&gt;'Patient Calc Assumptions'!$C$36,A38&lt;&gt;""),'Patient Calc Assumptions'!$C$36,IF('User Dashboard'!F$18="Manual Entry",IF('Manual Patient Calcs'!C38="","",'Manual Patient Calcs'!C38),IFERROR(IF(Doubling_rate_modelled="Combined",
IF(A38&lt;='Patient Calc Assumptions'!$J$20,
2^(A38/('Patient Calc Assumptions'!$F$20/7)),
(2^((A38-'Patient Calc Assumptions'!$J$20)/('Patient Calc Assumptions'!$H$20/7)))*(2^('Patient Calc Assumptions'!$J$20/('Patient Calc Assumptions'!$F$20/7)))),
2^(A38/(VLOOKUP(Doubling_rate_modelled,'Patient Calc Assumptions'!$B$15:$C$25,2,FALSE)/7))),"")))</f>
        <v/>
      </c>
      <c r="C38" s="191" t="str">
        <f t="shared" si="18"/>
        <v/>
      </c>
      <c r="D38" s="190" t="str">
        <f t="shared" si="19"/>
        <v/>
      </c>
      <c r="E38" s="191" t="str">
        <f t="shared" si="20"/>
        <v/>
      </c>
      <c r="F38" s="190" t="str">
        <f t="shared" si="21"/>
        <v/>
      </c>
      <c r="G38" s="191" t="str">
        <f t="shared" si="22"/>
        <v/>
      </c>
      <c r="H38" s="190" t="str">
        <f t="shared" si="23"/>
        <v/>
      </c>
      <c r="I38" s="191" t="str">
        <f t="shared" si="24"/>
        <v/>
      </c>
      <c r="J38" s="190" t="str">
        <f t="shared" ca="1" si="25"/>
        <v/>
      </c>
      <c r="K38" s="191" t="str">
        <f t="shared" ca="1" si="26"/>
        <v/>
      </c>
      <c r="L38" s="190" t="str">
        <f t="shared" ca="1" si="27"/>
        <v/>
      </c>
      <c r="M38" s="191" t="str">
        <f t="shared" ca="1" si="28"/>
        <v/>
      </c>
      <c r="N38" s="190" t="str">
        <f t="shared" ca="1" si="29"/>
        <v/>
      </c>
      <c r="O38" s="191" t="str">
        <f t="shared" ca="1" si="30"/>
        <v/>
      </c>
      <c r="P38" s="190" t="str">
        <f t="shared" ca="1" si="15"/>
        <v/>
      </c>
      <c r="Q38" s="192" t="str">
        <f t="shared" ca="1" si="16"/>
        <v/>
      </c>
      <c r="R38" s="191" t="str">
        <f t="shared" ca="1" si="17"/>
        <v/>
      </c>
      <c r="S38" s="190" t="str">
        <f t="shared" si="31"/>
        <v/>
      </c>
      <c r="T38" s="191" t="str">
        <f t="shared" si="32"/>
        <v/>
      </c>
      <c r="U38" s="190" t="str">
        <f>IFERROR((Tests_MildOrSuspected*'Automated Patient Calcs'!D38)+(Tests_SevereOrCritical*('Automated Patient Calcs'!F38+'Automated Patient Calcs'!H38))+S38,"")</f>
        <v/>
      </c>
      <c r="V38" s="191" t="str">
        <f>IFERROR((Tests_MildOrSuspected*'Automated Patient Calcs'!E38)+(Tests_SevereOrCritical*('Automated Patient Calcs'!G38+'Automated Patient Calcs'!I38))+T38,"")</f>
        <v/>
      </c>
    </row>
    <row r="39" spans="1:22" x14ac:dyDescent="0.25">
      <c r="A39" s="189" t="str">
        <f>IF('User Dashboard'!F$18="Manual Entry",'Manual Patient Calcs'!A39,IFERROR(IF(Doubling_rate_modelled="Combined",
IF(A38+1&gt;ROUNDUP('Patient Calc Assumptions'!$E$41,0),"",A38+1),
IF(A38+1&gt;ROUNDUP('Patient Calc Assumptions'!$C$40,0),"",A38+1)),""))</f>
        <v/>
      </c>
      <c r="B39" s="190" t="str">
        <f>IF(AND(IF('User Dashboard'!F$18="Manual Entry",IF('Manual Patient Calcs'!C39="","",'Manual Patient Calcs'!C39),IFERROR(IF(Doubling_rate_modelled="Combined",
IF(A39&lt;='Patient Calc Assumptions'!$J$20,
2^(A39/('Patient Calc Assumptions'!$F$20/7)),
(2^((A39-'Patient Calc Assumptions'!$J$20)/('Patient Calc Assumptions'!$H$20/7)))*(2^('Patient Calc Assumptions'!$J$20/('Patient Calc Assumptions'!$F$20/7)))),
2^(A39/(VLOOKUP(Doubling_rate_modelled,'Patient Calc Assumptions'!$B$15:$C$25,2,FALSE)/7))),""))&gt;'Patient Calc Assumptions'!$C$36,A39&lt;&gt;""),'Patient Calc Assumptions'!$C$36,IF('User Dashboard'!F$18="Manual Entry",IF('Manual Patient Calcs'!C39="","",'Manual Patient Calcs'!C39),IFERROR(IF(Doubling_rate_modelled="Combined",
IF(A39&lt;='Patient Calc Assumptions'!$J$20,
2^(A39/('Patient Calc Assumptions'!$F$20/7)),
(2^((A39-'Patient Calc Assumptions'!$J$20)/('Patient Calc Assumptions'!$H$20/7)))*(2^('Patient Calc Assumptions'!$J$20/('Patient Calc Assumptions'!$F$20/7)))),
2^(A39/(VLOOKUP(Doubling_rate_modelled,'Patient Calc Assumptions'!$B$15:$C$25,2,FALSE)/7))),"")))</f>
        <v/>
      </c>
      <c r="C39" s="191" t="str">
        <f t="shared" si="18"/>
        <v/>
      </c>
      <c r="D39" s="190" t="str">
        <f t="shared" si="19"/>
        <v/>
      </c>
      <c r="E39" s="191" t="str">
        <f t="shared" si="20"/>
        <v/>
      </c>
      <c r="F39" s="190" t="str">
        <f t="shared" si="21"/>
        <v/>
      </c>
      <c r="G39" s="191" t="str">
        <f t="shared" si="22"/>
        <v/>
      </c>
      <c r="H39" s="190" t="str">
        <f t="shared" si="23"/>
        <v/>
      </c>
      <c r="I39" s="191" t="str">
        <f t="shared" si="24"/>
        <v/>
      </c>
      <c r="J39" s="190" t="str">
        <f t="shared" ca="1" si="25"/>
        <v/>
      </c>
      <c r="K39" s="191" t="str">
        <f t="shared" ca="1" si="26"/>
        <v/>
      </c>
      <c r="L39" s="190" t="str">
        <f t="shared" ca="1" si="27"/>
        <v/>
      </c>
      <c r="M39" s="191" t="str">
        <f t="shared" ca="1" si="28"/>
        <v/>
      </c>
      <c r="N39" s="190" t="str">
        <f t="shared" ca="1" si="29"/>
        <v/>
      </c>
      <c r="O39" s="191" t="str">
        <f t="shared" ca="1" si="30"/>
        <v/>
      </c>
      <c r="P39" s="190" t="str">
        <f t="shared" ca="1" si="15"/>
        <v/>
      </c>
      <c r="Q39" s="192" t="str">
        <f t="shared" ca="1" si="16"/>
        <v/>
      </c>
      <c r="R39" s="191" t="str">
        <f t="shared" ca="1" si="17"/>
        <v/>
      </c>
      <c r="S39" s="190" t="str">
        <f t="shared" si="31"/>
        <v/>
      </c>
      <c r="T39" s="191" t="str">
        <f t="shared" si="32"/>
        <v/>
      </c>
      <c r="U39" s="190" t="str">
        <f>IFERROR((Tests_MildOrSuspected*'Automated Patient Calcs'!D39)+(Tests_SevereOrCritical*('Automated Patient Calcs'!F39+'Automated Patient Calcs'!H39))+S39,"")</f>
        <v/>
      </c>
      <c r="V39" s="191" t="str">
        <f>IFERROR((Tests_MildOrSuspected*'Automated Patient Calcs'!E39)+(Tests_SevereOrCritical*('Automated Patient Calcs'!G39+'Automated Patient Calcs'!I39))+T39,"")</f>
        <v/>
      </c>
    </row>
    <row r="40" spans="1:22" x14ac:dyDescent="0.25">
      <c r="A40" s="189" t="str">
        <f>IF('User Dashboard'!F$18="Manual Entry",'Manual Patient Calcs'!A40,IFERROR(IF(Doubling_rate_modelled="Combined",
IF(A39+1&gt;ROUNDUP('Patient Calc Assumptions'!$E$41,0),"",A39+1),
IF(A39+1&gt;ROUNDUP('Patient Calc Assumptions'!$C$40,0),"",A39+1)),""))</f>
        <v/>
      </c>
      <c r="B40" s="190" t="str">
        <f>IF(AND(IF('User Dashboard'!F$18="Manual Entry",IF('Manual Patient Calcs'!C40="","",'Manual Patient Calcs'!C40),IFERROR(IF(Doubling_rate_modelled="Combined",
IF(A40&lt;='Patient Calc Assumptions'!$J$20,
2^(A40/('Patient Calc Assumptions'!$F$20/7)),
(2^((A40-'Patient Calc Assumptions'!$J$20)/('Patient Calc Assumptions'!$H$20/7)))*(2^('Patient Calc Assumptions'!$J$20/('Patient Calc Assumptions'!$F$20/7)))),
2^(A40/(VLOOKUP(Doubling_rate_modelled,'Patient Calc Assumptions'!$B$15:$C$25,2,FALSE)/7))),""))&gt;'Patient Calc Assumptions'!$C$36,A40&lt;&gt;""),'Patient Calc Assumptions'!$C$36,IF('User Dashboard'!F$18="Manual Entry",IF('Manual Patient Calcs'!C40="","",'Manual Patient Calcs'!C40),IFERROR(IF(Doubling_rate_modelled="Combined",
IF(A40&lt;='Patient Calc Assumptions'!$J$20,
2^(A40/('Patient Calc Assumptions'!$F$20/7)),
(2^((A40-'Patient Calc Assumptions'!$J$20)/('Patient Calc Assumptions'!$H$20/7)))*(2^('Patient Calc Assumptions'!$J$20/('Patient Calc Assumptions'!$F$20/7)))),
2^(A40/(VLOOKUP(Doubling_rate_modelled,'Patient Calc Assumptions'!$B$15:$C$25,2,FALSE)/7))),"")))</f>
        <v/>
      </c>
      <c r="C40" s="191" t="str">
        <f t="shared" si="18"/>
        <v/>
      </c>
      <c r="D40" s="190" t="str">
        <f t="shared" si="19"/>
        <v/>
      </c>
      <c r="E40" s="191" t="str">
        <f t="shared" si="20"/>
        <v/>
      </c>
      <c r="F40" s="190" t="str">
        <f t="shared" si="21"/>
        <v/>
      </c>
      <c r="G40" s="191" t="str">
        <f t="shared" si="22"/>
        <v/>
      </c>
      <c r="H40" s="190" t="str">
        <f t="shared" si="23"/>
        <v/>
      </c>
      <c r="I40" s="191" t="str">
        <f t="shared" si="24"/>
        <v/>
      </c>
      <c r="J40" s="190" t="str">
        <f t="shared" ca="1" si="25"/>
        <v/>
      </c>
      <c r="K40" s="191" t="str">
        <f t="shared" ca="1" si="26"/>
        <v/>
      </c>
      <c r="L40" s="190" t="str">
        <f t="shared" ca="1" si="27"/>
        <v/>
      </c>
      <c r="M40" s="191" t="str">
        <f t="shared" ca="1" si="28"/>
        <v/>
      </c>
      <c r="N40" s="190" t="str">
        <f t="shared" ca="1" si="29"/>
        <v/>
      </c>
      <c r="O40" s="191" t="str">
        <f t="shared" ca="1" si="30"/>
        <v/>
      </c>
      <c r="P40" s="190" t="str">
        <f t="shared" ca="1" si="15"/>
        <v/>
      </c>
      <c r="Q40" s="192" t="str">
        <f t="shared" ca="1" si="16"/>
        <v/>
      </c>
      <c r="R40" s="191" t="str">
        <f t="shared" ca="1" si="17"/>
        <v/>
      </c>
      <c r="S40" s="190" t="str">
        <f t="shared" si="31"/>
        <v/>
      </c>
      <c r="T40" s="191" t="str">
        <f t="shared" si="32"/>
        <v/>
      </c>
      <c r="U40" s="190" t="str">
        <f>IFERROR((Tests_MildOrSuspected*'Automated Patient Calcs'!D40)+(Tests_SevereOrCritical*('Automated Patient Calcs'!F40+'Automated Patient Calcs'!H40))+S40,"")</f>
        <v/>
      </c>
      <c r="V40" s="191" t="str">
        <f>IFERROR((Tests_MildOrSuspected*'Automated Patient Calcs'!E40)+(Tests_SevereOrCritical*('Automated Patient Calcs'!G40+'Automated Patient Calcs'!I40))+T40,"")</f>
        <v/>
      </c>
    </row>
    <row r="41" spans="1:22" x14ac:dyDescent="0.25">
      <c r="A41" s="189" t="str">
        <f>IF('User Dashboard'!F$18="Manual Entry",'Manual Patient Calcs'!A41,IFERROR(IF(Doubling_rate_modelled="Combined",
IF(A40+1&gt;ROUNDUP('Patient Calc Assumptions'!$E$41,0),"",A40+1),
IF(A40+1&gt;ROUNDUP('Patient Calc Assumptions'!$C$40,0),"",A40+1)),""))</f>
        <v/>
      </c>
      <c r="B41" s="190" t="str">
        <f>IF(AND(IF('User Dashboard'!F$18="Manual Entry",IF('Manual Patient Calcs'!C41="","",'Manual Patient Calcs'!C41),IFERROR(IF(Doubling_rate_modelled="Combined",
IF(A41&lt;='Patient Calc Assumptions'!$J$20,
2^(A41/('Patient Calc Assumptions'!$F$20/7)),
(2^((A41-'Patient Calc Assumptions'!$J$20)/('Patient Calc Assumptions'!$H$20/7)))*(2^('Patient Calc Assumptions'!$J$20/('Patient Calc Assumptions'!$F$20/7)))),
2^(A41/(VLOOKUP(Doubling_rate_modelled,'Patient Calc Assumptions'!$B$15:$C$25,2,FALSE)/7))),""))&gt;'Patient Calc Assumptions'!$C$36,A41&lt;&gt;""),'Patient Calc Assumptions'!$C$36,IF('User Dashboard'!F$18="Manual Entry",IF('Manual Patient Calcs'!C41="","",'Manual Patient Calcs'!C41),IFERROR(IF(Doubling_rate_modelled="Combined",
IF(A41&lt;='Patient Calc Assumptions'!$J$20,
2^(A41/('Patient Calc Assumptions'!$F$20/7)),
(2^((A41-'Patient Calc Assumptions'!$J$20)/('Patient Calc Assumptions'!$H$20/7)))*(2^('Patient Calc Assumptions'!$J$20/('Patient Calc Assumptions'!$F$20/7)))),
2^(A41/(VLOOKUP(Doubling_rate_modelled,'Patient Calc Assumptions'!$B$15:$C$25,2,FALSE)/7))),"")))</f>
        <v/>
      </c>
      <c r="C41" s="191" t="str">
        <f t="shared" si="18"/>
        <v/>
      </c>
      <c r="D41" s="190" t="str">
        <f t="shared" si="19"/>
        <v/>
      </c>
      <c r="E41" s="191" t="str">
        <f t="shared" si="20"/>
        <v/>
      </c>
      <c r="F41" s="190" t="str">
        <f t="shared" si="21"/>
        <v/>
      </c>
      <c r="G41" s="191" t="str">
        <f t="shared" si="22"/>
        <v/>
      </c>
      <c r="H41" s="190" t="str">
        <f t="shared" si="23"/>
        <v/>
      </c>
      <c r="I41" s="191" t="str">
        <f t="shared" si="24"/>
        <v/>
      </c>
      <c r="J41" s="190" t="str">
        <f t="shared" ca="1" si="25"/>
        <v/>
      </c>
      <c r="K41" s="191" t="str">
        <f t="shared" ca="1" si="26"/>
        <v/>
      </c>
      <c r="L41" s="190" t="str">
        <f t="shared" ca="1" si="27"/>
        <v/>
      </c>
      <c r="M41" s="191" t="str">
        <f t="shared" ca="1" si="28"/>
        <v/>
      </c>
      <c r="N41" s="190" t="str">
        <f t="shared" ca="1" si="29"/>
        <v/>
      </c>
      <c r="O41" s="191" t="str">
        <f t="shared" ca="1" si="30"/>
        <v/>
      </c>
      <c r="P41" s="190" t="str">
        <f t="shared" ca="1" si="15"/>
        <v/>
      </c>
      <c r="Q41" s="192" t="str">
        <f t="shared" ca="1" si="16"/>
        <v/>
      </c>
      <c r="R41" s="191" t="str">
        <f t="shared" ca="1" si="17"/>
        <v/>
      </c>
      <c r="S41" s="190" t="str">
        <f t="shared" si="31"/>
        <v/>
      </c>
      <c r="T41" s="191" t="str">
        <f t="shared" si="32"/>
        <v/>
      </c>
      <c r="U41" s="190" t="str">
        <f>IFERROR((Tests_MildOrSuspected*'Automated Patient Calcs'!D41)+(Tests_SevereOrCritical*('Automated Patient Calcs'!F41+'Automated Patient Calcs'!H41))+S41,"")</f>
        <v/>
      </c>
      <c r="V41" s="191" t="str">
        <f>IFERROR((Tests_MildOrSuspected*'Automated Patient Calcs'!E41)+(Tests_SevereOrCritical*('Automated Patient Calcs'!G41+'Automated Patient Calcs'!I41))+T41,"")</f>
        <v/>
      </c>
    </row>
    <row r="42" spans="1:22" x14ac:dyDescent="0.25">
      <c r="A42" s="189" t="str">
        <f>IF('User Dashboard'!F$18="Manual Entry",'Manual Patient Calcs'!A42,IFERROR(IF(Doubling_rate_modelled="Combined",
IF(A41+1&gt;ROUNDUP('Patient Calc Assumptions'!$E$41,0),"",A41+1),
IF(A41+1&gt;ROUNDUP('Patient Calc Assumptions'!$C$40,0),"",A41+1)),""))</f>
        <v/>
      </c>
      <c r="B42" s="190" t="str">
        <f>IF(AND(IF('User Dashboard'!F$18="Manual Entry",IF('Manual Patient Calcs'!C42="","",'Manual Patient Calcs'!C42),IFERROR(IF(Doubling_rate_modelled="Combined",
IF(A42&lt;='Patient Calc Assumptions'!$J$20,
2^(A42/('Patient Calc Assumptions'!$F$20/7)),
(2^((A42-'Patient Calc Assumptions'!$J$20)/('Patient Calc Assumptions'!$H$20/7)))*(2^('Patient Calc Assumptions'!$J$20/('Patient Calc Assumptions'!$F$20/7)))),
2^(A42/(VLOOKUP(Doubling_rate_modelled,'Patient Calc Assumptions'!$B$15:$C$25,2,FALSE)/7))),""))&gt;'Patient Calc Assumptions'!$C$36,A42&lt;&gt;""),'Patient Calc Assumptions'!$C$36,IF('User Dashboard'!F$18="Manual Entry",IF('Manual Patient Calcs'!C42="","",'Manual Patient Calcs'!C42),IFERROR(IF(Doubling_rate_modelled="Combined",
IF(A42&lt;='Patient Calc Assumptions'!$J$20,
2^(A42/('Patient Calc Assumptions'!$F$20/7)),
(2^((A42-'Patient Calc Assumptions'!$J$20)/('Patient Calc Assumptions'!$H$20/7)))*(2^('Patient Calc Assumptions'!$J$20/('Patient Calc Assumptions'!$F$20/7)))),
2^(A42/(VLOOKUP(Doubling_rate_modelled,'Patient Calc Assumptions'!$B$15:$C$25,2,FALSE)/7))),"")))</f>
        <v/>
      </c>
      <c r="C42" s="191" t="str">
        <f t="shared" si="18"/>
        <v/>
      </c>
      <c r="D42" s="190" t="str">
        <f t="shared" si="19"/>
        <v/>
      </c>
      <c r="E42" s="191" t="str">
        <f t="shared" si="20"/>
        <v/>
      </c>
      <c r="F42" s="190" t="str">
        <f t="shared" si="21"/>
        <v/>
      </c>
      <c r="G42" s="191" t="str">
        <f t="shared" si="22"/>
        <v/>
      </c>
      <c r="H42" s="190" t="str">
        <f t="shared" si="23"/>
        <v/>
      </c>
      <c r="I42" s="191" t="str">
        <f t="shared" si="24"/>
        <v/>
      </c>
      <c r="J42" s="190" t="str">
        <f t="shared" ca="1" si="25"/>
        <v/>
      </c>
      <c r="K42" s="191" t="str">
        <f t="shared" ca="1" si="26"/>
        <v/>
      </c>
      <c r="L42" s="190" t="str">
        <f t="shared" ca="1" si="27"/>
        <v/>
      </c>
      <c r="M42" s="191" t="str">
        <f t="shared" ca="1" si="28"/>
        <v/>
      </c>
      <c r="N42" s="190" t="str">
        <f t="shared" ca="1" si="29"/>
        <v/>
      </c>
      <c r="O42" s="191" t="str">
        <f t="shared" ca="1" si="30"/>
        <v/>
      </c>
      <c r="P42" s="190" t="str">
        <f t="shared" ca="1" si="15"/>
        <v/>
      </c>
      <c r="Q42" s="192" t="str">
        <f t="shared" ca="1" si="16"/>
        <v/>
      </c>
      <c r="R42" s="191" t="str">
        <f t="shared" ca="1" si="17"/>
        <v/>
      </c>
      <c r="S42" s="190" t="str">
        <f t="shared" si="31"/>
        <v/>
      </c>
      <c r="T42" s="191" t="str">
        <f t="shared" si="32"/>
        <v/>
      </c>
      <c r="U42" s="190" t="str">
        <f>IFERROR((Tests_MildOrSuspected*'Automated Patient Calcs'!D42)+(Tests_SevereOrCritical*('Automated Patient Calcs'!F42+'Automated Patient Calcs'!H42))+S42,"")</f>
        <v/>
      </c>
      <c r="V42" s="191" t="str">
        <f>IFERROR((Tests_MildOrSuspected*'Automated Patient Calcs'!E42)+(Tests_SevereOrCritical*('Automated Patient Calcs'!G42+'Automated Patient Calcs'!I42))+T42,"")</f>
        <v/>
      </c>
    </row>
    <row r="43" spans="1:22" x14ac:dyDescent="0.25">
      <c r="A43" s="189" t="str">
        <f>IF('User Dashboard'!F$18="Manual Entry",'Manual Patient Calcs'!A43,IFERROR(IF(Doubling_rate_modelled="Combined",
IF(A42+1&gt;ROUNDUP('Patient Calc Assumptions'!$E$41,0),"",A42+1),
IF(A42+1&gt;ROUNDUP('Patient Calc Assumptions'!$C$40,0),"",A42+1)),""))</f>
        <v/>
      </c>
      <c r="B43" s="190" t="str">
        <f>IF(AND(IF('User Dashboard'!F$18="Manual Entry",IF('Manual Patient Calcs'!C43="","",'Manual Patient Calcs'!C43),IFERROR(IF(Doubling_rate_modelled="Combined",
IF(A43&lt;='Patient Calc Assumptions'!$J$20,
2^(A43/('Patient Calc Assumptions'!$F$20/7)),
(2^((A43-'Patient Calc Assumptions'!$J$20)/('Patient Calc Assumptions'!$H$20/7)))*(2^('Patient Calc Assumptions'!$J$20/('Patient Calc Assumptions'!$F$20/7)))),
2^(A43/(VLOOKUP(Doubling_rate_modelled,'Patient Calc Assumptions'!$B$15:$C$25,2,FALSE)/7))),""))&gt;'Patient Calc Assumptions'!$C$36,A43&lt;&gt;""),'Patient Calc Assumptions'!$C$36,IF('User Dashboard'!F$18="Manual Entry",IF('Manual Patient Calcs'!C43="","",'Manual Patient Calcs'!C43),IFERROR(IF(Doubling_rate_modelled="Combined",
IF(A43&lt;='Patient Calc Assumptions'!$J$20,
2^(A43/('Patient Calc Assumptions'!$F$20/7)),
(2^((A43-'Patient Calc Assumptions'!$J$20)/('Patient Calc Assumptions'!$H$20/7)))*(2^('Patient Calc Assumptions'!$J$20/('Patient Calc Assumptions'!$F$20/7)))),
2^(A43/(VLOOKUP(Doubling_rate_modelled,'Patient Calc Assumptions'!$B$15:$C$25,2,FALSE)/7))),"")))</f>
        <v/>
      </c>
      <c r="C43" s="191" t="str">
        <f t="shared" si="18"/>
        <v/>
      </c>
      <c r="D43" s="190" t="str">
        <f t="shared" si="19"/>
        <v/>
      </c>
      <c r="E43" s="191" t="str">
        <f t="shared" si="20"/>
        <v/>
      </c>
      <c r="F43" s="190" t="str">
        <f t="shared" si="21"/>
        <v/>
      </c>
      <c r="G43" s="191" t="str">
        <f t="shared" si="22"/>
        <v/>
      </c>
      <c r="H43" s="190" t="str">
        <f t="shared" si="23"/>
        <v/>
      </c>
      <c r="I43" s="191" t="str">
        <f t="shared" si="24"/>
        <v/>
      </c>
      <c r="J43" s="190" t="str">
        <f t="shared" ca="1" si="25"/>
        <v/>
      </c>
      <c r="K43" s="191" t="str">
        <f t="shared" ca="1" si="26"/>
        <v/>
      </c>
      <c r="L43" s="190" t="str">
        <f t="shared" ca="1" si="27"/>
        <v/>
      </c>
      <c r="M43" s="191" t="str">
        <f t="shared" ca="1" si="28"/>
        <v/>
      </c>
      <c r="N43" s="190" t="str">
        <f t="shared" ca="1" si="29"/>
        <v/>
      </c>
      <c r="O43" s="191" t="str">
        <f t="shared" ca="1" si="30"/>
        <v/>
      </c>
      <c r="P43" s="190" t="str">
        <f t="shared" ca="1" si="15"/>
        <v/>
      </c>
      <c r="Q43" s="192" t="str">
        <f t="shared" ca="1" si="16"/>
        <v/>
      </c>
      <c r="R43" s="191" t="str">
        <f t="shared" ca="1" si="17"/>
        <v/>
      </c>
      <c r="S43" s="190" t="str">
        <f t="shared" si="31"/>
        <v/>
      </c>
      <c r="T43" s="191" t="str">
        <f t="shared" si="32"/>
        <v/>
      </c>
      <c r="U43" s="190" t="str">
        <f>IFERROR((Tests_MildOrSuspected*'Automated Patient Calcs'!D43)+(Tests_SevereOrCritical*('Automated Patient Calcs'!F43+'Automated Patient Calcs'!H43))+S43,"")</f>
        <v/>
      </c>
      <c r="V43" s="191" t="str">
        <f>IFERROR((Tests_MildOrSuspected*'Automated Patient Calcs'!E43)+(Tests_SevereOrCritical*('Automated Patient Calcs'!G43+'Automated Patient Calcs'!I43))+T43,"")</f>
        <v/>
      </c>
    </row>
    <row r="44" spans="1:22" x14ac:dyDescent="0.25">
      <c r="A44" s="189" t="str">
        <f>IF('User Dashboard'!F$18="Manual Entry",'Manual Patient Calcs'!A44,IFERROR(IF(Doubling_rate_modelled="Combined",
IF(A43+1&gt;ROUNDUP('Patient Calc Assumptions'!$E$41,0),"",A43+1),
IF(A43+1&gt;ROUNDUP('Patient Calc Assumptions'!$C$40,0),"",A43+1)),""))</f>
        <v/>
      </c>
      <c r="B44" s="190" t="str">
        <f>IF(AND(IF('User Dashboard'!F$18="Manual Entry",IF('Manual Patient Calcs'!C44="","",'Manual Patient Calcs'!C44),IFERROR(IF(Doubling_rate_modelled="Combined",
IF(A44&lt;='Patient Calc Assumptions'!$J$20,
2^(A44/('Patient Calc Assumptions'!$F$20/7)),
(2^((A44-'Patient Calc Assumptions'!$J$20)/('Patient Calc Assumptions'!$H$20/7)))*(2^('Patient Calc Assumptions'!$J$20/('Patient Calc Assumptions'!$F$20/7)))),
2^(A44/(VLOOKUP(Doubling_rate_modelled,'Patient Calc Assumptions'!$B$15:$C$25,2,FALSE)/7))),""))&gt;'Patient Calc Assumptions'!$C$36,A44&lt;&gt;""),'Patient Calc Assumptions'!$C$36,IF('User Dashboard'!F$18="Manual Entry",IF('Manual Patient Calcs'!C44="","",'Manual Patient Calcs'!C44),IFERROR(IF(Doubling_rate_modelled="Combined",
IF(A44&lt;='Patient Calc Assumptions'!$J$20,
2^(A44/('Patient Calc Assumptions'!$F$20/7)),
(2^((A44-'Patient Calc Assumptions'!$J$20)/('Patient Calc Assumptions'!$H$20/7)))*(2^('Patient Calc Assumptions'!$J$20/('Patient Calc Assumptions'!$F$20/7)))),
2^(A44/(VLOOKUP(Doubling_rate_modelled,'Patient Calc Assumptions'!$B$15:$C$25,2,FALSE)/7))),"")))</f>
        <v/>
      </c>
      <c r="C44" s="191" t="str">
        <f t="shared" si="18"/>
        <v/>
      </c>
      <c r="D44" s="190" t="str">
        <f t="shared" si="19"/>
        <v/>
      </c>
      <c r="E44" s="191" t="str">
        <f t="shared" si="20"/>
        <v/>
      </c>
      <c r="F44" s="190" t="str">
        <f t="shared" si="21"/>
        <v/>
      </c>
      <c r="G44" s="191" t="str">
        <f t="shared" si="22"/>
        <v/>
      </c>
      <c r="H44" s="190" t="str">
        <f t="shared" si="23"/>
        <v/>
      </c>
      <c r="I44" s="191" t="str">
        <f t="shared" si="24"/>
        <v/>
      </c>
      <c r="J44" s="190" t="str">
        <f t="shared" ca="1" si="25"/>
        <v/>
      </c>
      <c r="K44" s="191" t="str">
        <f t="shared" ca="1" si="26"/>
        <v/>
      </c>
      <c r="L44" s="190" t="str">
        <f t="shared" ca="1" si="27"/>
        <v/>
      </c>
      <c r="M44" s="191" t="str">
        <f t="shared" ca="1" si="28"/>
        <v/>
      </c>
      <c r="N44" s="190" t="str">
        <f t="shared" ca="1" si="29"/>
        <v/>
      </c>
      <c r="O44" s="191" t="str">
        <f t="shared" ca="1" si="30"/>
        <v/>
      </c>
      <c r="P44" s="190" t="str">
        <f t="shared" ca="1" si="15"/>
        <v/>
      </c>
      <c r="Q44" s="192" t="str">
        <f t="shared" ca="1" si="16"/>
        <v/>
      </c>
      <c r="R44" s="191" t="str">
        <f t="shared" ca="1" si="17"/>
        <v/>
      </c>
      <c r="S44" s="190" t="str">
        <f t="shared" si="31"/>
        <v/>
      </c>
      <c r="T44" s="191" t="str">
        <f t="shared" si="32"/>
        <v/>
      </c>
      <c r="U44" s="190" t="str">
        <f>IFERROR((Tests_MildOrSuspected*'Automated Patient Calcs'!D44)+(Tests_SevereOrCritical*('Automated Patient Calcs'!F44+'Automated Patient Calcs'!H44))+S44,"")</f>
        <v/>
      </c>
      <c r="V44" s="191" t="str">
        <f>IFERROR((Tests_MildOrSuspected*'Automated Patient Calcs'!E44)+(Tests_SevereOrCritical*('Automated Patient Calcs'!G44+'Automated Patient Calcs'!I44))+T44,"")</f>
        <v/>
      </c>
    </row>
    <row r="45" spans="1:22" x14ac:dyDescent="0.25">
      <c r="A45" s="189" t="str">
        <f>IF('User Dashboard'!F$18="Manual Entry",'Manual Patient Calcs'!A45,IFERROR(IF(Doubling_rate_modelled="Combined",
IF(A44+1&gt;ROUNDUP('Patient Calc Assumptions'!$E$41,0),"",A44+1),
IF(A44+1&gt;ROUNDUP('Patient Calc Assumptions'!$C$40,0),"",A44+1)),""))</f>
        <v/>
      </c>
      <c r="B45" s="190" t="str">
        <f>IF(AND(IF('User Dashboard'!F$18="Manual Entry",IF('Manual Patient Calcs'!C45="","",'Manual Patient Calcs'!C45),IFERROR(IF(Doubling_rate_modelled="Combined",
IF(A45&lt;='Patient Calc Assumptions'!$J$20,
2^(A45/('Patient Calc Assumptions'!$F$20/7)),
(2^((A45-'Patient Calc Assumptions'!$J$20)/('Patient Calc Assumptions'!$H$20/7)))*(2^('Patient Calc Assumptions'!$J$20/('Patient Calc Assumptions'!$F$20/7)))),
2^(A45/(VLOOKUP(Doubling_rate_modelled,'Patient Calc Assumptions'!$B$15:$C$25,2,FALSE)/7))),""))&gt;'Patient Calc Assumptions'!$C$36,A45&lt;&gt;""),'Patient Calc Assumptions'!$C$36,IF('User Dashboard'!F$18="Manual Entry",IF('Manual Patient Calcs'!C45="","",'Manual Patient Calcs'!C45),IFERROR(IF(Doubling_rate_modelled="Combined",
IF(A45&lt;='Patient Calc Assumptions'!$J$20,
2^(A45/('Patient Calc Assumptions'!$F$20/7)),
(2^((A45-'Patient Calc Assumptions'!$J$20)/('Patient Calc Assumptions'!$H$20/7)))*(2^('Patient Calc Assumptions'!$J$20/('Patient Calc Assumptions'!$F$20/7)))),
2^(A45/(VLOOKUP(Doubling_rate_modelled,'Patient Calc Assumptions'!$B$15:$C$25,2,FALSE)/7))),"")))</f>
        <v/>
      </c>
      <c r="C45" s="191" t="str">
        <f t="shared" si="18"/>
        <v/>
      </c>
      <c r="D45" s="190" t="str">
        <f t="shared" si="19"/>
        <v/>
      </c>
      <c r="E45" s="191" t="str">
        <f t="shared" si="20"/>
        <v/>
      </c>
      <c r="F45" s="190" t="str">
        <f t="shared" si="21"/>
        <v/>
      </c>
      <c r="G45" s="191" t="str">
        <f t="shared" si="22"/>
        <v/>
      </c>
      <c r="H45" s="190" t="str">
        <f t="shared" si="23"/>
        <v/>
      </c>
      <c r="I45" s="191" t="str">
        <f t="shared" si="24"/>
        <v/>
      </c>
      <c r="J45" s="190" t="str">
        <f t="shared" ca="1" si="25"/>
        <v/>
      </c>
      <c r="K45" s="191" t="str">
        <f t="shared" ca="1" si="26"/>
        <v/>
      </c>
      <c r="L45" s="190" t="str">
        <f t="shared" ca="1" si="27"/>
        <v/>
      </c>
      <c r="M45" s="191" t="str">
        <f t="shared" ca="1" si="28"/>
        <v/>
      </c>
      <c r="N45" s="190" t="str">
        <f t="shared" ca="1" si="29"/>
        <v/>
      </c>
      <c r="O45" s="191" t="str">
        <f t="shared" ca="1" si="30"/>
        <v/>
      </c>
      <c r="P45" s="190" t="str">
        <f t="shared" ca="1" si="15"/>
        <v/>
      </c>
      <c r="Q45" s="192" t="str">
        <f t="shared" ca="1" si="16"/>
        <v/>
      </c>
      <c r="R45" s="191" t="str">
        <f t="shared" ca="1" si="17"/>
        <v/>
      </c>
      <c r="S45" s="190" t="str">
        <f t="shared" si="31"/>
        <v/>
      </c>
      <c r="T45" s="191" t="str">
        <f t="shared" si="32"/>
        <v/>
      </c>
      <c r="U45" s="190" t="str">
        <f>IFERROR((Tests_MildOrSuspected*'Automated Patient Calcs'!D45)+(Tests_SevereOrCritical*('Automated Patient Calcs'!F45+'Automated Patient Calcs'!H45))+S45,"")</f>
        <v/>
      </c>
      <c r="V45" s="191" t="str">
        <f>IFERROR((Tests_MildOrSuspected*'Automated Patient Calcs'!E45)+(Tests_SevereOrCritical*('Automated Patient Calcs'!G45+'Automated Patient Calcs'!I45))+T45,"")</f>
        <v/>
      </c>
    </row>
    <row r="46" spans="1:22" x14ac:dyDescent="0.25">
      <c r="A46" s="189" t="str">
        <f>IF('User Dashboard'!F$18="Manual Entry",'Manual Patient Calcs'!A46,IFERROR(IF(Doubling_rate_modelled="Combined",
IF(A45+1&gt;ROUNDUP('Patient Calc Assumptions'!$E$41,0),"",A45+1),
IF(A45+1&gt;ROUNDUP('Patient Calc Assumptions'!$C$40,0),"",A45+1)),""))</f>
        <v/>
      </c>
      <c r="B46" s="190" t="str">
        <f>IF(AND(IF('User Dashboard'!F$18="Manual Entry",IF('Manual Patient Calcs'!C46="","",'Manual Patient Calcs'!C46),IFERROR(IF(Doubling_rate_modelled="Combined",
IF(A46&lt;='Patient Calc Assumptions'!$J$20,
2^(A46/('Patient Calc Assumptions'!$F$20/7)),
(2^((A46-'Patient Calc Assumptions'!$J$20)/('Patient Calc Assumptions'!$H$20/7)))*(2^('Patient Calc Assumptions'!$J$20/('Patient Calc Assumptions'!$F$20/7)))),
2^(A46/(VLOOKUP(Doubling_rate_modelled,'Patient Calc Assumptions'!$B$15:$C$25,2,FALSE)/7))),""))&gt;'Patient Calc Assumptions'!$C$36,A46&lt;&gt;""),'Patient Calc Assumptions'!$C$36,IF('User Dashboard'!F$18="Manual Entry",IF('Manual Patient Calcs'!C46="","",'Manual Patient Calcs'!C46),IFERROR(IF(Doubling_rate_modelled="Combined",
IF(A46&lt;='Patient Calc Assumptions'!$J$20,
2^(A46/('Patient Calc Assumptions'!$F$20/7)),
(2^((A46-'Patient Calc Assumptions'!$J$20)/('Patient Calc Assumptions'!$H$20/7)))*(2^('Patient Calc Assumptions'!$J$20/('Patient Calc Assumptions'!$F$20/7)))),
2^(A46/(VLOOKUP(Doubling_rate_modelled,'Patient Calc Assumptions'!$B$15:$C$25,2,FALSE)/7))),"")))</f>
        <v/>
      </c>
      <c r="C46" s="191" t="str">
        <f t="shared" si="18"/>
        <v/>
      </c>
      <c r="D46" s="190" t="str">
        <f t="shared" si="19"/>
        <v/>
      </c>
      <c r="E46" s="191" t="str">
        <f t="shared" si="20"/>
        <v/>
      </c>
      <c r="F46" s="190" t="str">
        <f t="shared" si="21"/>
        <v/>
      </c>
      <c r="G46" s="191" t="str">
        <f t="shared" si="22"/>
        <v/>
      </c>
      <c r="H46" s="190" t="str">
        <f t="shared" si="23"/>
        <v/>
      </c>
      <c r="I46" s="191" t="str">
        <f t="shared" si="24"/>
        <v/>
      </c>
      <c r="J46" s="190" t="str">
        <f t="shared" ca="1" si="25"/>
        <v/>
      </c>
      <c r="K46" s="191" t="str">
        <f t="shared" ca="1" si="26"/>
        <v/>
      </c>
      <c r="L46" s="190" t="str">
        <f t="shared" ca="1" si="27"/>
        <v/>
      </c>
      <c r="M46" s="191" t="str">
        <f t="shared" ca="1" si="28"/>
        <v/>
      </c>
      <c r="N46" s="190" t="str">
        <f t="shared" ca="1" si="29"/>
        <v/>
      </c>
      <c r="O46" s="191" t="str">
        <f t="shared" ca="1" si="30"/>
        <v/>
      </c>
      <c r="P46" s="190" t="str">
        <f t="shared" ca="1" si="15"/>
        <v/>
      </c>
      <c r="Q46" s="192" t="str">
        <f t="shared" ca="1" si="16"/>
        <v/>
      </c>
      <c r="R46" s="191" t="str">
        <f t="shared" ca="1" si="17"/>
        <v/>
      </c>
      <c r="S46" s="190" t="str">
        <f t="shared" si="31"/>
        <v/>
      </c>
      <c r="T46" s="191" t="str">
        <f t="shared" si="32"/>
        <v/>
      </c>
      <c r="U46" s="190" t="str">
        <f>IFERROR((Tests_MildOrSuspected*'Automated Patient Calcs'!D46)+(Tests_SevereOrCritical*('Automated Patient Calcs'!F46+'Automated Patient Calcs'!H46))+S46,"")</f>
        <v/>
      </c>
      <c r="V46" s="191" t="str">
        <f>IFERROR((Tests_MildOrSuspected*'Automated Patient Calcs'!E46)+(Tests_SevereOrCritical*('Automated Patient Calcs'!G46+'Automated Patient Calcs'!I46))+T46,"")</f>
        <v/>
      </c>
    </row>
    <row r="47" spans="1:22" x14ac:dyDescent="0.25">
      <c r="A47" s="189" t="str">
        <f>IF('User Dashboard'!F$18="Manual Entry",'Manual Patient Calcs'!A47,IFERROR(IF(Doubling_rate_modelled="Combined",
IF(A46+1&gt;ROUNDUP('Patient Calc Assumptions'!$E$41,0),"",A46+1),
IF(A46+1&gt;ROUNDUP('Patient Calc Assumptions'!$C$40,0),"",A46+1)),""))</f>
        <v/>
      </c>
      <c r="B47" s="190" t="str">
        <f>IF(AND(IF('User Dashboard'!F$18="Manual Entry",IF('Manual Patient Calcs'!C47="","",'Manual Patient Calcs'!C47),IFERROR(IF(Doubling_rate_modelled="Combined",
IF(A47&lt;='Patient Calc Assumptions'!$J$20,
2^(A47/('Patient Calc Assumptions'!$F$20/7)),
(2^((A47-'Patient Calc Assumptions'!$J$20)/('Patient Calc Assumptions'!$H$20/7)))*(2^('Patient Calc Assumptions'!$J$20/('Patient Calc Assumptions'!$F$20/7)))),
2^(A47/(VLOOKUP(Doubling_rate_modelled,'Patient Calc Assumptions'!$B$15:$C$25,2,FALSE)/7))),""))&gt;'Patient Calc Assumptions'!$C$36,A47&lt;&gt;""),'Patient Calc Assumptions'!$C$36,IF('User Dashboard'!F$18="Manual Entry",IF('Manual Patient Calcs'!C47="","",'Manual Patient Calcs'!C47),IFERROR(IF(Doubling_rate_modelled="Combined",
IF(A47&lt;='Patient Calc Assumptions'!$J$20,
2^(A47/('Patient Calc Assumptions'!$F$20/7)),
(2^((A47-'Patient Calc Assumptions'!$J$20)/('Patient Calc Assumptions'!$H$20/7)))*(2^('Patient Calc Assumptions'!$J$20/('Patient Calc Assumptions'!$F$20/7)))),
2^(A47/(VLOOKUP(Doubling_rate_modelled,'Patient Calc Assumptions'!$B$15:$C$25,2,FALSE)/7))),"")))</f>
        <v/>
      </c>
      <c r="C47" s="191" t="str">
        <f t="shared" si="18"/>
        <v/>
      </c>
      <c r="D47" s="190" t="str">
        <f t="shared" si="19"/>
        <v/>
      </c>
      <c r="E47" s="191" t="str">
        <f t="shared" si="20"/>
        <v/>
      </c>
      <c r="F47" s="190" t="str">
        <f t="shared" si="21"/>
        <v/>
      </c>
      <c r="G47" s="191" t="str">
        <f t="shared" si="22"/>
        <v/>
      </c>
      <c r="H47" s="190" t="str">
        <f t="shared" si="23"/>
        <v/>
      </c>
      <c r="I47" s="191" t="str">
        <f t="shared" si="24"/>
        <v/>
      </c>
      <c r="J47" s="190" t="str">
        <f t="shared" ca="1" si="25"/>
        <v/>
      </c>
      <c r="K47" s="191" t="str">
        <f t="shared" ca="1" si="26"/>
        <v/>
      </c>
      <c r="L47" s="190" t="str">
        <f t="shared" ca="1" si="27"/>
        <v/>
      </c>
      <c r="M47" s="191" t="str">
        <f t="shared" ca="1" si="28"/>
        <v/>
      </c>
      <c r="N47" s="190" t="str">
        <f t="shared" ca="1" si="29"/>
        <v/>
      </c>
      <c r="O47" s="191" t="str">
        <f t="shared" ca="1" si="30"/>
        <v/>
      </c>
      <c r="P47" s="190" t="str">
        <f t="shared" ca="1" si="15"/>
        <v/>
      </c>
      <c r="Q47" s="192" t="str">
        <f t="shared" ca="1" si="16"/>
        <v/>
      </c>
      <c r="R47" s="191" t="str">
        <f t="shared" ca="1" si="17"/>
        <v/>
      </c>
      <c r="S47" s="190" t="str">
        <f t="shared" si="31"/>
        <v/>
      </c>
      <c r="T47" s="191" t="str">
        <f t="shared" si="32"/>
        <v/>
      </c>
      <c r="U47" s="190" t="str">
        <f>IFERROR((Tests_MildOrSuspected*'Automated Patient Calcs'!D47)+(Tests_SevereOrCritical*('Automated Patient Calcs'!F47+'Automated Patient Calcs'!H47))+S47,"")</f>
        <v/>
      </c>
      <c r="V47" s="191" t="str">
        <f>IFERROR((Tests_MildOrSuspected*'Automated Patient Calcs'!E47)+(Tests_SevereOrCritical*('Automated Patient Calcs'!G47+'Automated Patient Calcs'!I47))+T47,"")</f>
        <v/>
      </c>
    </row>
    <row r="48" spans="1:22" x14ac:dyDescent="0.25">
      <c r="A48" s="189" t="str">
        <f>IF('User Dashboard'!F$18="Manual Entry",'Manual Patient Calcs'!A48,IFERROR(IF(Doubling_rate_modelled="Combined",
IF(A47+1&gt;ROUNDUP('Patient Calc Assumptions'!$E$41,0),"",A47+1),
IF(A47+1&gt;ROUNDUP('Patient Calc Assumptions'!$C$40,0),"",A47+1)),""))</f>
        <v/>
      </c>
      <c r="B48" s="190" t="str">
        <f>IF(AND(IF('User Dashboard'!F$18="Manual Entry",IF('Manual Patient Calcs'!C48="","",'Manual Patient Calcs'!C48),IFERROR(IF(Doubling_rate_modelled="Combined",
IF(A48&lt;='Patient Calc Assumptions'!$J$20,
2^(A48/('Patient Calc Assumptions'!$F$20/7)),
(2^((A48-'Patient Calc Assumptions'!$J$20)/('Patient Calc Assumptions'!$H$20/7)))*(2^('Patient Calc Assumptions'!$J$20/('Patient Calc Assumptions'!$F$20/7)))),
2^(A48/(VLOOKUP(Doubling_rate_modelled,'Patient Calc Assumptions'!$B$15:$C$25,2,FALSE)/7))),""))&gt;'Patient Calc Assumptions'!$C$36,A48&lt;&gt;""),'Patient Calc Assumptions'!$C$36,IF('User Dashboard'!F$18="Manual Entry",IF('Manual Patient Calcs'!C48="","",'Manual Patient Calcs'!C48),IFERROR(IF(Doubling_rate_modelled="Combined",
IF(A48&lt;='Patient Calc Assumptions'!$J$20,
2^(A48/('Patient Calc Assumptions'!$F$20/7)),
(2^((A48-'Patient Calc Assumptions'!$J$20)/('Patient Calc Assumptions'!$H$20/7)))*(2^('Patient Calc Assumptions'!$J$20/('Patient Calc Assumptions'!$F$20/7)))),
2^(A48/(VLOOKUP(Doubling_rate_modelled,'Patient Calc Assumptions'!$B$15:$C$25,2,FALSE)/7))),"")))</f>
        <v/>
      </c>
      <c r="C48" s="191" t="str">
        <f t="shared" si="18"/>
        <v/>
      </c>
      <c r="D48" s="190" t="str">
        <f t="shared" si="19"/>
        <v/>
      </c>
      <c r="E48" s="191" t="str">
        <f t="shared" si="20"/>
        <v/>
      </c>
      <c r="F48" s="190" t="str">
        <f t="shared" si="21"/>
        <v/>
      </c>
      <c r="G48" s="191" t="str">
        <f t="shared" si="22"/>
        <v/>
      </c>
      <c r="H48" s="190" t="str">
        <f t="shared" si="23"/>
        <v/>
      </c>
      <c r="I48" s="191" t="str">
        <f t="shared" si="24"/>
        <v/>
      </c>
      <c r="J48" s="190" t="str">
        <f t="shared" ca="1" si="25"/>
        <v/>
      </c>
      <c r="K48" s="191" t="str">
        <f t="shared" ca="1" si="26"/>
        <v/>
      </c>
      <c r="L48" s="190" t="str">
        <f t="shared" ca="1" si="27"/>
        <v/>
      </c>
      <c r="M48" s="191" t="str">
        <f t="shared" ca="1" si="28"/>
        <v/>
      </c>
      <c r="N48" s="190" t="str">
        <f t="shared" ca="1" si="29"/>
        <v/>
      </c>
      <c r="O48" s="191" t="str">
        <f t="shared" ca="1" si="30"/>
        <v/>
      </c>
      <c r="P48" s="190" t="str">
        <f t="shared" ca="1" si="15"/>
        <v/>
      </c>
      <c r="Q48" s="192" t="str">
        <f t="shared" ca="1" si="16"/>
        <v/>
      </c>
      <c r="R48" s="191" t="str">
        <f t="shared" ca="1" si="17"/>
        <v/>
      </c>
      <c r="S48" s="190" t="str">
        <f t="shared" si="31"/>
        <v/>
      </c>
      <c r="T48" s="191" t="str">
        <f t="shared" si="32"/>
        <v/>
      </c>
      <c r="U48" s="190" t="str">
        <f>IFERROR((Tests_MildOrSuspected*'Automated Patient Calcs'!D48)+(Tests_SevereOrCritical*('Automated Patient Calcs'!F48+'Automated Patient Calcs'!H48))+S48,"")</f>
        <v/>
      </c>
      <c r="V48" s="191" t="str">
        <f>IFERROR((Tests_MildOrSuspected*'Automated Patient Calcs'!E48)+(Tests_SevereOrCritical*('Automated Patient Calcs'!G48+'Automated Patient Calcs'!I48))+T48,"")</f>
        <v/>
      </c>
    </row>
    <row r="49" spans="1:22" x14ac:dyDescent="0.25">
      <c r="A49" s="189" t="str">
        <f>IF('User Dashboard'!F$18="Manual Entry",'Manual Patient Calcs'!A49,IFERROR(IF(Doubling_rate_modelled="Combined",
IF(A48+1&gt;ROUNDUP('Patient Calc Assumptions'!$E$41,0),"",A48+1),
IF(A48+1&gt;ROUNDUP('Patient Calc Assumptions'!$C$40,0),"",A48+1)),""))</f>
        <v/>
      </c>
      <c r="B49" s="190" t="str">
        <f>IF(AND(IF('User Dashboard'!F$18="Manual Entry",IF('Manual Patient Calcs'!C49="","",'Manual Patient Calcs'!C49),IFERROR(IF(Doubling_rate_modelled="Combined",
IF(A49&lt;='Patient Calc Assumptions'!$J$20,
2^(A49/('Patient Calc Assumptions'!$F$20/7)),
(2^((A49-'Patient Calc Assumptions'!$J$20)/('Patient Calc Assumptions'!$H$20/7)))*(2^('Patient Calc Assumptions'!$J$20/('Patient Calc Assumptions'!$F$20/7)))),
2^(A49/(VLOOKUP(Doubling_rate_modelled,'Patient Calc Assumptions'!$B$15:$C$25,2,FALSE)/7))),""))&gt;'Patient Calc Assumptions'!$C$36,A49&lt;&gt;""),'Patient Calc Assumptions'!$C$36,IF('User Dashboard'!F$18="Manual Entry",IF('Manual Patient Calcs'!C49="","",'Manual Patient Calcs'!C49),IFERROR(IF(Doubling_rate_modelled="Combined",
IF(A49&lt;='Patient Calc Assumptions'!$J$20,
2^(A49/('Patient Calc Assumptions'!$F$20/7)),
(2^((A49-'Patient Calc Assumptions'!$J$20)/('Patient Calc Assumptions'!$H$20/7)))*(2^('Patient Calc Assumptions'!$J$20/('Patient Calc Assumptions'!$F$20/7)))),
2^(A49/(VLOOKUP(Doubling_rate_modelled,'Patient Calc Assumptions'!$B$15:$C$25,2,FALSE)/7))),"")))</f>
        <v/>
      </c>
      <c r="C49" s="191" t="str">
        <f t="shared" si="18"/>
        <v/>
      </c>
      <c r="D49" s="190" t="str">
        <f t="shared" si="19"/>
        <v/>
      </c>
      <c r="E49" s="191" t="str">
        <f t="shared" si="20"/>
        <v/>
      </c>
      <c r="F49" s="190" t="str">
        <f t="shared" si="21"/>
        <v/>
      </c>
      <c r="G49" s="191" t="str">
        <f t="shared" si="22"/>
        <v/>
      </c>
      <c r="H49" s="190" t="str">
        <f t="shared" si="23"/>
        <v/>
      </c>
      <c r="I49" s="191" t="str">
        <f t="shared" si="24"/>
        <v/>
      </c>
      <c r="J49" s="190" t="str">
        <f t="shared" ca="1" si="25"/>
        <v/>
      </c>
      <c r="K49" s="191" t="str">
        <f t="shared" ca="1" si="26"/>
        <v/>
      </c>
      <c r="L49" s="190" t="str">
        <f t="shared" ca="1" si="27"/>
        <v/>
      </c>
      <c r="M49" s="191" t="str">
        <f t="shared" ca="1" si="28"/>
        <v/>
      </c>
      <c r="N49" s="190" t="str">
        <f t="shared" ca="1" si="29"/>
        <v/>
      </c>
      <c r="O49" s="191" t="str">
        <f t="shared" ca="1" si="30"/>
        <v/>
      </c>
      <c r="P49" s="190" t="str">
        <f t="shared" ca="1" si="15"/>
        <v/>
      </c>
      <c r="Q49" s="192" t="str">
        <f t="shared" ca="1" si="16"/>
        <v/>
      </c>
      <c r="R49" s="191" t="str">
        <f t="shared" ca="1" si="17"/>
        <v/>
      </c>
      <c r="S49" s="190" t="str">
        <f t="shared" si="31"/>
        <v/>
      </c>
      <c r="T49" s="191" t="str">
        <f t="shared" si="32"/>
        <v/>
      </c>
      <c r="U49" s="190" t="str">
        <f>IFERROR((Tests_MildOrSuspected*'Automated Patient Calcs'!D49)+(Tests_SevereOrCritical*('Automated Patient Calcs'!F49+'Automated Patient Calcs'!H49))+S49,"")</f>
        <v/>
      </c>
      <c r="V49" s="191" t="str">
        <f>IFERROR((Tests_MildOrSuspected*'Automated Patient Calcs'!E49)+(Tests_SevereOrCritical*('Automated Patient Calcs'!G49+'Automated Patient Calcs'!I49))+T49,"")</f>
        <v/>
      </c>
    </row>
    <row r="50" spans="1:22" x14ac:dyDescent="0.25">
      <c r="A50" s="189" t="str">
        <f>IF('User Dashboard'!F$18="Manual Entry",'Manual Patient Calcs'!A50,IFERROR(IF(Doubling_rate_modelled="Combined",
IF(A49+1&gt;ROUNDUP('Patient Calc Assumptions'!$E$41,0),"",A49+1),
IF(A49+1&gt;ROUNDUP('Patient Calc Assumptions'!$C$40,0),"",A49+1)),""))</f>
        <v/>
      </c>
      <c r="B50" s="190" t="str">
        <f>IF(AND(IF('User Dashboard'!F$18="Manual Entry",IF('Manual Patient Calcs'!C50="","",'Manual Patient Calcs'!C50),IFERROR(IF(Doubling_rate_modelled="Combined",
IF(A50&lt;='Patient Calc Assumptions'!$J$20,
2^(A50/('Patient Calc Assumptions'!$F$20/7)),
(2^((A50-'Patient Calc Assumptions'!$J$20)/('Patient Calc Assumptions'!$H$20/7)))*(2^('Patient Calc Assumptions'!$J$20/('Patient Calc Assumptions'!$F$20/7)))),
2^(A50/(VLOOKUP(Doubling_rate_modelled,'Patient Calc Assumptions'!$B$15:$C$25,2,FALSE)/7))),""))&gt;'Patient Calc Assumptions'!$C$36,A50&lt;&gt;""),'Patient Calc Assumptions'!$C$36,IF('User Dashboard'!F$18="Manual Entry",IF('Manual Patient Calcs'!C50="","",'Manual Patient Calcs'!C50),IFERROR(IF(Doubling_rate_modelled="Combined",
IF(A50&lt;='Patient Calc Assumptions'!$J$20,
2^(A50/('Patient Calc Assumptions'!$F$20/7)),
(2^((A50-'Patient Calc Assumptions'!$J$20)/('Patient Calc Assumptions'!$H$20/7)))*(2^('Patient Calc Assumptions'!$J$20/('Patient Calc Assumptions'!$F$20/7)))),
2^(A50/(VLOOKUP(Doubling_rate_modelled,'Patient Calc Assumptions'!$B$15:$C$25,2,FALSE)/7))),"")))</f>
        <v/>
      </c>
      <c r="C50" s="191" t="str">
        <f t="shared" si="18"/>
        <v/>
      </c>
      <c r="D50" s="190" t="str">
        <f t="shared" si="19"/>
        <v/>
      </c>
      <c r="E50" s="191" t="str">
        <f t="shared" si="20"/>
        <v/>
      </c>
      <c r="F50" s="190" t="str">
        <f t="shared" si="21"/>
        <v/>
      </c>
      <c r="G50" s="191" t="str">
        <f t="shared" si="22"/>
        <v/>
      </c>
      <c r="H50" s="190" t="str">
        <f t="shared" si="23"/>
        <v/>
      </c>
      <c r="I50" s="191" t="str">
        <f t="shared" si="24"/>
        <v/>
      </c>
      <c r="J50" s="190" t="str">
        <f t="shared" ca="1" si="25"/>
        <v/>
      </c>
      <c r="K50" s="191" t="str">
        <f t="shared" ca="1" si="26"/>
        <v/>
      </c>
      <c r="L50" s="190" t="str">
        <f t="shared" ca="1" si="27"/>
        <v/>
      </c>
      <c r="M50" s="191" t="str">
        <f t="shared" ca="1" si="28"/>
        <v/>
      </c>
      <c r="N50" s="190" t="str">
        <f t="shared" ca="1" si="29"/>
        <v/>
      </c>
      <c r="O50" s="191" t="str">
        <f t="shared" ca="1" si="30"/>
        <v/>
      </c>
      <c r="P50" s="190" t="str">
        <f t="shared" ca="1" si="15"/>
        <v/>
      </c>
      <c r="Q50" s="192" t="str">
        <f t="shared" ca="1" si="16"/>
        <v/>
      </c>
      <c r="R50" s="191" t="str">
        <f t="shared" ca="1" si="17"/>
        <v/>
      </c>
      <c r="S50" s="190" t="str">
        <f t="shared" si="31"/>
        <v/>
      </c>
      <c r="T50" s="191" t="str">
        <f t="shared" si="32"/>
        <v/>
      </c>
      <c r="U50" s="190" t="str">
        <f>IFERROR((Tests_MildOrSuspected*'Automated Patient Calcs'!D50)+(Tests_SevereOrCritical*('Automated Patient Calcs'!F50+'Automated Patient Calcs'!H50))+S50,"")</f>
        <v/>
      </c>
      <c r="V50" s="191" t="str">
        <f>IFERROR((Tests_MildOrSuspected*'Automated Patient Calcs'!E50)+(Tests_SevereOrCritical*('Automated Patient Calcs'!G50+'Automated Patient Calcs'!I50))+T50,"")</f>
        <v/>
      </c>
    </row>
    <row r="51" spans="1:22" x14ac:dyDescent="0.25">
      <c r="A51" s="189" t="str">
        <f>IF('User Dashboard'!F$18="Manual Entry",'Manual Patient Calcs'!A51,IFERROR(IF(Doubling_rate_modelled="Combined",
IF(A50+1&gt;ROUNDUP('Patient Calc Assumptions'!$E$41,0),"",A50+1),
IF(A50+1&gt;ROUNDUP('Patient Calc Assumptions'!$C$40,0),"",A50+1)),""))</f>
        <v/>
      </c>
      <c r="B51" s="190" t="str">
        <f>IF(AND(IF('User Dashboard'!F$18="Manual Entry",IF('Manual Patient Calcs'!C51="","",'Manual Patient Calcs'!C51),IFERROR(IF(Doubling_rate_modelled="Combined",
IF(A51&lt;='Patient Calc Assumptions'!$J$20,
2^(A51/('Patient Calc Assumptions'!$F$20/7)),
(2^((A51-'Patient Calc Assumptions'!$J$20)/('Patient Calc Assumptions'!$H$20/7)))*(2^('Patient Calc Assumptions'!$J$20/('Patient Calc Assumptions'!$F$20/7)))),
2^(A51/(VLOOKUP(Doubling_rate_modelled,'Patient Calc Assumptions'!$B$15:$C$25,2,FALSE)/7))),""))&gt;'Patient Calc Assumptions'!$C$36,A51&lt;&gt;""),'Patient Calc Assumptions'!$C$36,IF('User Dashboard'!F$18="Manual Entry",IF('Manual Patient Calcs'!C51="","",'Manual Patient Calcs'!C51),IFERROR(IF(Doubling_rate_modelled="Combined",
IF(A51&lt;='Patient Calc Assumptions'!$J$20,
2^(A51/('Patient Calc Assumptions'!$F$20/7)),
(2^((A51-'Patient Calc Assumptions'!$J$20)/('Patient Calc Assumptions'!$H$20/7)))*(2^('Patient Calc Assumptions'!$J$20/('Patient Calc Assumptions'!$F$20/7)))),
2^(A51/(VLOOKUP(Doubling_rate_modelled,'Patient Calc Assumptions'!$B$15:$C$25,2,FALSE)/7))),"")))</f>
        <v/>
      </c>
      <c r="C51" s="191" t="str">
        <f t="shared" si="18"/>
        <v/>
      </c>
      <c r="D51" s="190" t="str">
        <f t="shared" si="19"/>
        <v/>
      </c>
      <c r="E51" s="191" t="str">
        <f t="shared" si="20"/>
        <v/>
      </c>
      <c r="F51" s="190" t="str">
        <f t="shared" si="21"/>
        <v/>
      </c>
      <c r="G51" s="191" t="str">
        <f t="shared" si="22"/>
        <v/>
      </c>
      <c r="H51" s="190" t="str">
        <f t="shared" si="23"/>
        <v/>
      </c>
      <c r="I51" s="191" t="str">
        <f t="shared" si="24"/>
        <v/>
      </c>
      <c r="J51" s="190" t="str">
        <f t="shared" ca="1" si="25"/>
        <v/>
      </c>
      <c r="K51" s="191" t="str">
        <f t="shared" ca="1" si="26"/>
        <v/>
      </c>
      <c r="L51" s="190" t="str">
        <f t="shared" ca="1" si="27"/>
        <v/>
      </c>
      <c r="M51" s="191" t="str">
        <f t="shared" ca="1" si="28"/>
        <v/>
      </c>
      <c r="N51" s="190" t="str">
        <f t="shared" ca="1" si="29"/>
        <v/>
      </c>
      <c r="O51" s="191" t="str">
        <f t="shared" ca="1" si="30"/>
        <v/>
      </c>
      <c r="P51" s="190" t="str">
        <f t="shared" ca="1" si="15"/>
        <v/>
      </c>
      <c r="Q51" s="192" t="str">
        <f t="shared" ca="1" si="16"/>
        <v/>
      </c>
      <c r="R51" s="191" t="str">
        <f t="shared" ca="1" si="17"/>
        <v/>
      </c>
      <c r="S51" s="190" t="str">
        <f t="shared" si="31"/>
        <v/>
      </c>
      <c r="T51" s="191" t="str">
        <f t="shared" si="32"/>
        <v/>
      </c>
      <c r="U51" s="190" t="str">
        <f>IFERROR((Tests_MildOrSuspected*'Automated Patient Calcs'!D51)+(Tests_SevereOrCritical*('Automated Patient Calcs'!F51+'Automated Patient Calcs'!H51))+S51,"")</f>
        <v/>
      </c>
      <c r="V51" s="191" t="str">
        <f>IFERROR((Tests_MildOrSuspected*'Automated Patient Calcs'!E51)+(Tests_SevereOrCritical*('Automated Patient Calcs'!G51+'Automated Patient Calcs'!I51))+T51,"")</f>
        <v/>
      </c>
    </row>
    <row r="52" spans="1:22" x14ac:dyDescent="0.25">
      <c r="A52" s="189" t="str">
        <f>IF('User Dashboard'!F$18="Manual Entry",'Manual Patient Calcs'!A52,IFERROR(IF(Doubling_rate_modelled="Combined",
IF(A51+1&gt;ROUNDUP('Patient Calc Assumptions'!$E$41,0),"",A51+1),
IF(A51+1&gt;ROUNDUP('Patient Calc Assumptions'!$C$40,0),"",A51+1)),""))</f>
        <v/>
      </c>
      <c r="B52" s="190" t="str">
        <f>IF(AND(IF('User Dashboard'!F$18="Manual Entry",IF('Manual Patient Calcs'!C52="","",'Manual Patient Calcs'!C52),IFERROR(IF(Doubling_rate_modelled="Combined",
IF(A52&lt;='Patient Calc Assumptions'!$J$20,
2^(A52/('Patient Calc Assumptions'!$F$20/7)),
(2^((A52-'Patient Calc Assumptions'!$J$20)/('Patient Calc Assumptions'!$H$20/7)))*(2^('Patient Calc Assumptions'!$J$20/('Patient Calc Assumptions'!$F$20/7)))),
2^(A52/(VLOOKUP(Doubling_rate_modelled,'Patient Calc Assumptions'!$B$15:$C$25,2,FALSE)/7))),""))&gt;'Patient Calc Assumptions'!$C$36,A52&lt;&gt;""),'Patient Calc Assumptions'!$C$36,IF('User Dashboard'!F$18="Manual Entry",IF('Manual Patient Calcs'!C52="","",'Manual Patient Calcs'!C52),IFERROR(IF(Doubling_rate_modelled="Combined",
IF(A52&lt;='Patient Calc Assumptions'!$J$20,
2^(A52/('Patient Calc Assumptions'!$F$20/7)),
(2^((A52-'Patient Calc Assumptions'!$J$20)/('Patient Calc Assumptions'!$H$20/7)))*(2^('Patient Calc Assumptions'!$J$20/('Patient Calc Assumptions'!$F$20/7)))),
2^(A52/(VLOOKUP(Doubling_rate_modelled,'Patient Calc Assumptions'!$B$15:$C$25,2,FALSE)/7))),"")))</f>
        <v/>
      </c>
      <c r="C52" s="191" t="str">
        <f t="shared" si="18"/>
        <v/>
      </c>
      <c r="D52" s="190" t="str">
        <f t="shared" si="19"/>
        <v/>
      </c>
      <c r="E52" s="191" t="str">
        <f t="shared" si="20"/>
        <v/>
      </c>
      <c r="F52" s="190" t="str">
        <f t="shared" si="21"/>
        <v/>
      </c>
      <c r="G52" s="191" t="str">
        <f t="shared" si="22"/>
        <v/>
      </c>
      <c r="H52" s="190" t="str">
        <f t="shared" si="23"/>
        <v/>
      </c>
      <c r="I52" s="191" t="str">
        <f t="shared" si="24"/>
        <v/>
      </c>
      <c r="J52" s="190" t="str">
        <f t="shared" ca="1" si="25"/>
        <v/>
      </c>
      <c r="K52" s="191" t="str">
        <f t="shared" ca="1" si="26"/>
        <v/>
      </c>
      <c r="L52" s="190" t="str">
        <f t="shared" ca="1" si="27"/>
        <v/>
      </c>
      <c r="M52" s="191" t="str">
        <f t="shared" ca="1" si="28"/>
        <v/>
      </c>
      <c r="N52" s="190" t="str">
        <f t="shared" ca="1" si="29"/>
        <v/>
      </c>
      <c r="O52" s="191" t="str">
        <f t="shared" ca="1" si="30"/>
        <v/>
      </c>
      <c r="P52" s="190" t="str">
        <f t="shared" ca="1" si="15"/>
        <v/>
      </c>
      <c r="Q52" s="192" t="str">
        <f t="shared" ca="1" si="16"/>
        <v/>
      </c>
      <c r="R52" s="191" t="str">
        <f t="shared" ca="1" si="17"/>
        <v/>
      </c>
      <c r="S52" s="190" t="str">
        <f t="shared" si="31"/>
        <v/>
      </c>
      <c r="T52" s="191" t="str">
        <f t="shared" si="32"/>
        <v/>
      </c>
      <c r="U52" s="190" t="str">
        <f>IFERROR((Tests_MildOrSuspected*'Automated Patient Calcs'!D52)+(Tests_SevereOrCritical*('Automated Patient Calcs'!F52+'Automated Patient Calcs'!H52))+S52,"")</f>
        <v/>
      </c>
      <c r="V52" s="191" t="str">
        <f>IFERROR((Tests_MildOrSuspected*'Automated Patient Calcs'!E52)+(Tests_SevereOrCritical*('Automated Patient Calcs'!G52+'Automated Patient Calcs'!I52))+T52,"")</f>
        <v/>
      </c>
    </row>
    <row r="53" spans="1:22" x14ac:dyDescent="0.25">
      <c r="A53" s="189" t="str">
        <f>IF('User Dashboard'!F$18="Manual Entry",'Manual Patient Calcs'!A53,IFERROR(IF(Doubling_rate_modelled="Combined",
IF(A52+1&gt;ROUNDUP('Patient Calc Assumptions'!$E$41,0),"",A52+1),
IF(A52+1&gt;ROUNDUP('Patient Calc Assumptions'!$C$40,0),"",A52+1)),""))</f>
        <v/>
      </c>
      <c r="B53" s="190" t="str">
        <f>IF(AND(IF('User Dashboard'!F$18="Manual Entry",IF('Manual Patient Calcs'!C53="","",'Manual Patient Calcs'!C53),IFERROR(IF(Doubling_rate_modelled="Combined",
IF(A53&lt;='Patient Calc Assumptions'!$J$20,
2^(A53/('Patient Calc Assumptions'!$F$20/7)),
(2^((A53-'Patient Calc Assumptions'!$J$20)/('Patient Calc Assumptions'!$H$20/7)))*(2^('Patient Calc Assumptions'!$J$20/('Patient Calc Assumptions'!$F$20/7)))),
2^(A53/(VLOOKUP(Doubling_rate_modelled,'Patient Calc Assumptions'!$B$15:$C$25,2,FALSE)/7))),""))&gt;'Patient Calc Assumptions'!$C$36,A53&lt;&gt;""),'Patient Calc Assumptions'!$C$36,IF('User Dashboard'!F$18="Manual Entry",IF('Manual Patient Calcs'!C53="","",'Manual Patient Calcs'!C53),IFERROR(IF(Doubling_rate_modelled="Combined",
IF(A53&lt;='Patient Calc Assumptions'!$J$20,
2^(A53/('Patient Calc Assumptions'!$F$20/7)),
(2^((A53-'Patient Calc Assumptions'!$J$20)/('Patient Calc Assumptions'!$H$20/7)))*(2^('Patient Calc Assumptions'!$J$20/('Patient Calc Assumptions'!$F$20/7)))),
2^(A53/(VLOOKUP(Doubling_rate_modelled,'Patient Calc Assumptions'!$B$15:$C$25,2,FALSE)/7))),"")))</f>
        <v/>
      </c>
      <c r="C53" s="191" t="str">
        <f t="shared" si="18"/>
        <v/>
      </c>
      <c r="D53" s="190" t="str">
        <f t="shared" si="19"/>
        <v/>
      </c>
      <c r="E53" s="191" t="str">
        <f t="shared" si="20"/>
        <v/>
      </c>
      <c r="F53" s="190" t="str">
        <f t="shared" si="21"/>
        <v/>
      </c>
      <c r="G53" s="191" t="str">
        <f t="shared" si="22"/>
        <v/>
      </c>
      <c r="H53" s="190" t="str">
        <f t="shared" si="23"/>
        <v/>
      </c>
      <c r="I53" s="191" t="str">
        <f t="shared" si="24"/>
        <v/>
      </c>
      <c r="J53" s="190" t="str">
        <f t="shared" ca="1" si="25"/>
        <v/>
      </c>
      <c r="K53" s="191" t="str">
        <f t="shared" ca="1" si="26"/>
        <v/>
      </c>
      <c r="L53" s="190" t="str">
        <f t="shared" ca="1" si="27"/>
        <v/>
      </c>
      <c r="M53" s="191" t="str">
        <f t="shared" ca="1" si="28"/>
        <v/>
      </c>
      <c r="N53" s="190" t="str">
        <f t="shared" ca="1" si="29"/>
        <v/>
      </c>
      <c r="O53" s="191" t="str">
        <f t="shared" ca="1" si="30"/>
        <v/>
      </c>
      <c r="P53" s="190" t="str">
        <f t="shared" ca="1" si="15"/>
        <v/>
      </c>
      <c r="Q53" s="192" t="str">
        <f t="shared" ca="1" si="16"/>
        <v/>
      </c>
      <c r="R53" s="191" t="str">
        <f t="shared" ca="1" si="17"/>
        <v/>
      </c>
      <c r="S53" s="190" t="str">
        <f t="shared" si="31"/>
        <v/>
      </c>
      <c r="T53" s="191" t="str">
        <f t="shared" si="32"/>
        <v/>
      </c>
      <c r="U53" s="190" t="str">
        <f>IFERROR((Tests_MildOrSuspected*'Automated Patient Calcs'!D53)+(Tests_SevereOrCritical*('Automated Patient Calcs'!F53+'Automated Patient Calcs'!H53))+S53,"")</f>
        <v/>
      </c>
      <c r="V53" s="191" t="str">
        <f>IFERROR((Tests_MildOrSuspected*'Automated Patient Calcs'!E53)+(Tests_SevereOrCritical*('Automated Patient Calcs'!G53+'Automated Patient Calcs'!I53))+T53,"")</f>
        <v/>
      </c>
    </row>
    <row r="54" spans="1:22" x14ac:dyDescent="0.25">
      <c r="A54" s="189" t="str">
        <f>IF('User Dashboard'!F$18="Manual Entry",'Manual Patient Calcs'!A54,IFERROR(IF(Doubling_rate_modelled="Combined",
IF(A53+1&gt;ROUNDUP('Patient Calc Assumptions'!$E$41,0),"",A53+1),
IF(A53+1&gt;ROUNDUP('Patient Calc Assumptions'!$C$40,0),"",A53+1)),""))</f>
        <v/>
      </c>
      <c r="B54" s="190" t="str">
        <f>IF(AND(IF('User Dashboard'!F$18="Manual Entry",IF('Manual Patient Calcs'!C54="","",'Manual Patient Calcs'!C54),IFERROR(IF(Doubling_rate_modelled="Combined",
IF(A54&lt;='Patient Calc Assumptions'!$J$20,
2^(A54/('Patient Calc Assumptions'!$F$20/7)),
(2^((A54-'Patient Calc Assumptions'!$J$20)/('Patient Calc Assumptions'!$H$20/7)))*(2^('Patient Calc Assumptions'!$J$20/('Patient Calc Assumptions'!$F$20/7)))),
2^(A54/(VLOOKUP(Doubling_rate_modelled,'Patient Calc Assumptions'!$B$15:$C$25,2,FALSE)/7))),""))&gt;'Patient Calc Assumptions'!$C$36,A54&lt;&gt;""),'Patient Calc Assumptions'!$C$36,IF('User Dashboard'!F$18="Manual Entry",IF('Manual Patient Calcs'!C54="","",'Manual Patient Calcs'!C54),IFERROR(IF(Doubling_rate_modelled="Combined",
IF(A54&lt;='Patient Calc Assumptions'!$J$20,
2^(A54/('Patient Calc Assumptions'!$F$20/7)),
(2^((A54-'Patient Calc Assumptions'!$J$20)/('Patient Calc Assumptions'!$H$20/7)))*(2^('Patient Calc Assumptions'!$J$20/('Patient Calc Assumptions'!$F$20/7)))),
2^(A54/(VLOOKUP(Doubling_rate_modelled,'Patient Calc Assumptions'!$B$15:$C$25,2,FALSE)/7))),"")))</f>
        <v/>
      </c>
      <c r="C54" s="191" t="str">
        <f t="shared" si="18"/>
        <v/>
      </c>
      <c r="D54" s="190" t="str">
        <f t="shared" si="19"/>
        <v/>
      </c>
      <c r="E54" s="191" t="str">
        <f t="shared" si="20"/>
        <v/>
      </c>
      <c r="F54" s="190" t="str">
        <f t="shared" si="21"/>
        <v/>
      </c>
      <c r="G54" s="191" t="str">
        <f t="shared" si="22"/>
        <v/>
      </c>
      <c r="H54" s="190" t="str">
        <f t="shared" si="23"/>
        <v/>
      </c>
      <c r="I54" s="191" t="str">
        <f t="shared" si="24"/>
        <v/>
      </c>
      <c r="J54" s="190" t="str">
        <f t="shared" ca="1" si="25"/>
        <v/>
      </c>
      <c r="K54" s="191" t="str">
        <f t="shared" ca="1" si="26"/>
        <v/>
      </c>
      <c r="L54" s="190" t="str">
        <f t="shared" ca="1" si="27"/>
        <v/>
      </c>
      <c r="M54" s="191" t="str">
        <f t="shared" ca="1" si="28"/>
        <v/>
      </c>
      <c r="N54" s="190" t="str">
        <f t="shared" ca="1" si="29"/>
        <v/>
      </c>
      <c r="O54" s="191" t="str">
        <f t="shared" ca="1" si="30"/>
        <v/>
      </c>
      <c r="P54" s="190" t="str">
        <f t="shared" ca="1" si="15"/>
        <v/>
      </c>
      <c r="Q54" s="192" t="str">
        <f t="shared" ca="1" si="16"/>
        <v/>
      </c>
      <c r="R54" s="191" t="str">
        <f t="shared" ca="1" si="17"/>
        <v/>
      </c>
      <c r="S54" s="190" t="str">
        <f t="shared" si="31"/>
        <v/>
      </c>
      <c r="T54" s="191" t="str">
        <f t="shared" si="32"/>
        <v/>
      </c>
      <c r="U54" s="190" t="str">
        <f>IFERROR((Tests_MildOrSuspected*'Automated Patient Calcs'!D54)+(Tests_SevereOrCritical*('Automated Patient Calcs'!F54+'Automated Patient Calcs'!H54))+S54,"")</f>
        <v/>
      </c>
      <c r="V54" s="191" t="str">
        <f>IFERROR((Tests_MildOrSuspected*'Automated Patient Calcs'!E54)+(Tests_SevereOrCritical*('Automated Patient Calcs'!G54+'Automated Patient Calcs'!I54))+T54,"")</f>
        <v/>
      </c>
    </row>
    <row r="55" spans="1:22" x14ac:dyDescent="0.25">
      <c r="A55" s="189" t="str">
        <f>IF('User Dashboard'!F$18="Manual Entry",'Manual Patient Calcs'!A55,IFERROR(IF(Doubling_rate_modelled="Combined",
IF(A54+1&gt;ROUNDUP('Patient Calc Assumptions'!$E$41,0),"",A54+1),
IF(A54+1&gt;ROUNDUP('Patient Calc Assumptions'!$C$40,0),"",A54+1)),""))</f>
        <v/>
      </c>
      <c r="B55" s="190"/>
      <c r="K55" s="191" t="str">
        <f t="shared" ca="1" si="26"/>
        <v/>
      </c>
      <c r="L55" s="190" t="str">
        <f t="shared" ca="1" si="27"/>
        <v/>
      </c>
      <c r="M55" s="191" t="str">
        <f t="shared" ca="1" si="28"/>
        <v/>
      </c>
      <c r="N55" s="190" t="str">
        <f t="shared" ca="1" si="29"/>
        <v/>
      </c>
      <c r="O55" s="191" t="str">
        <f t="shared" ca="1" si="30"/>
        <v/>
      </c>
      <c r="P55" s="190"/>
    </row>
    <row r="56" spans="1:22" x14ac:dyDescent="0.25">
      <c r="A56" s="189" t="str">
        <f>IF('User Dashboard'!F$18="Manual Entry",'Manual Patient Calcs'!A56,IFERROR(IF(Doubling_rate_modelled="Combined",
IF(A55+1&gt;ROUNDUP('Patient Calc Assumptions'!$E$41,0),"",A55+1),
IF(A55+1&gt;ROUNDUP('Patient Calc Assumptions'!$C$40,0),"",A55+1)),""))</f>
        <v/>
      </c>
      <c r="B56" s="190"/>
      <c r="K56" s="191" t="str">
        <f t="shared" ca="1" si="26"/>
        <v/>
      </c>
      <c r="L56" s="190" t="str">
        <f t="shared" ca="1" si="27"/>
        <v/>
      </c>
      <c r="M56" s="191" t="str">
        <f t="shared" ca="1" si="28"/>
        <v/>
      </c>
      <c r="N56" s="190" t="str">
        <f t="shared" ca="1" si="29"/>
        <v/>
      </c>
      <c r="O56" s="191" t="str">
        <f t="shared" ca="1" si="30"/>
        <v/>
      </c>
      <c r="P56" s="190"/>
    </row>
    <row r="57" spans="1:22" x14ac:dyDescent="0.25">
      <c r="A57" s="189" t="str">
        <f>IF('User Dashboard'!F$18="Manual Entry",'Manual Patient Calcs'!A57,IFERROR(IF(Doubling_rate_modelled="Combined",
IF(A56+1&gt;ROUNDUP('Patient Calc Assumptions'!$E$41,0),"",A56+1),
IF(A56+1&gt;ROUNDUP('Patient Calc Assumptions'!$C$40,0),"",A56+1)),""))</f>
        <v/>
      </c>
      <c r="B57" s="190"/>
      <c r="K57" s="191" t="str">
        <f t="shared" ca="1" si="26"/>
        <v/>
      </c>
      <c r="L57" s="190" t="str">
        <f t="shared" ca="1" si="27"/>
        <v/>
      </c>
      <c r="M57" s="191" t="str">
        <f t="shared" ca="1" si="28"/>
        <v/>
      </c>
      <c r="N57" s="190" t="str">
        <f t="shared" ca="1" si="29"/>
        <v/>
      </c>
      <c r="O57" s="191" t="str">
        <f t="shared" ca="1" si="30"/>
        <v/>
      </c>
      <c r="P57" s="190"/>
    </row>
    <row r="58" spans="1:22" x14ac:dyDescent="0.25">
      <c r="A58" s="189" t="str">
        <f>IF('User Dashboard'!F$18="Manual Entry",'Manual Patient Calcs'!A58,IFERROR(IF(Doubling_rate_modelled="Combined",
IF(A57+1&gt;ROUNDUP('Patient Calc Assumptions'!$E$41,0),"",A57+1),
IF(A57+1&gt;ROUNDUP('Patient Calc Assumptions'!$C$40,0),"",A57+1)),""))</f>
        <v/>
      </c>
      <c r="B58" s="190"/>
      <c r="K58" s="191" t="str">
        <f t="shared" ca="1" si="26"/>
        <v/>
      </c>
      <c r="L58" s="190" t="str">
        <f t="shared" ca="1" si="27"/>
        <v/>
      </c>
      <c r="M58" s="191" t="str">
        <f t="shared" ca="1" si="28"/>
        <v/>
      </c>
      <c r="N58" s="190" t="str">
        <f t="shared" ca="1" si="29"/>
        <v/>
      </c>
      <c r="O58" s="191" t="str">
        <f t="shared" ca="1" si="30"/>
        <v/>
      </c>
      <c r="P58" s="190"/>
    </row>
    <row r="59" spans="1:22" x14ac:dyDescent="0.25">
      <c r="A59" s="189" t="str">
        <f>IF('User Dashboard'!F$18="Manual Entry",'Manual Patient Calcs'!A59,IFERROR(IF(Doubling_rate_modelled="Combined",
IF(A58+1&gt;ROUNDUP('Patient Calc Assumptions'!$E$41,0),"",A58+1),
IF(A58+1&gt;ROUNDUP('Patient Calc Assumptions'!$C$40,0),"",A58+1)),""))</f>
        <v/>
      </c>
      <c r="B59" s="190"/>
      <c r="K59" s="191" t="str">
        <f t="shared" ca="1" si="26"/>
        <v/>
      </c>
      <c r="L59" s="190" t="str">
        <f t="shared" ca="1" si="27"/>
        <v/>
      </c>
      <c r="M59" s="191" t="str">
        <f t="shared" ca="1" si="28"/>
        <v/>
      </c>
      <c r="N59" s="190" t="str">
        <f t="shared" ca="1" si="29"/>
        <v/>
      </c>
      <c r="O59" s="191" t="str">
        <f t="shared" ca="1" si="30"/>
        <v/>
      </c>
      <c r="P59" s="190"/>
    </row>
    <row r="60" spans="1:22" x14ac:dyDescent="0.25">
      <c r="A60" s="189" t="str">
        <f>IF('User Dashboard'!F$18="Manual Entry",'Manual Patient Calcs'!A60,IFERROR(IF(Doubling_rate_modelled="Combined",
IF(A59+1&gt;ROUNDUP('Patient Calc Assumptions'!$E$41,0),"",A59+1),
IF(A59+1&gt;ROUNDUP('Patient Calc Assumptions'!$C$40,0),"",A59+1)),""))</f>
        <v/>
      </c>
      <c r="B60" s="190"/>
      <c r="K60" s="191" t="str">
        <f t="shared" ca="1" si="26"/>
        <v/>
      </c>
      <c r="L60" s="190" t="str">
        <f t="shared" ca="1" si="27"/>
        <v/>
      </c>
      <c r="M60" s="191" t="str">
        <f t="shared" ca="1" si="28"/>
        <v/>
      </c>
      <c r="N60" s="190" t="str">
        <f t="shared" ca="1" si="29"/>
        <v/>
      </c>
      <c r="O60" s="191" t="str">
        <f t="shared" ca="1" si="30"/>
        <v/>
      </c>
      <c r="P60" s="190"/>
    </row>
    <row r="61" spans="1:22" x14ac:dyDescent="0.25">
      <c r="A61" s="189" t="str">
        <f>IF('User Dashboard'!F$18="Manual Entry",'Manual Patient Calcs'!A61,IFERROR(IF(Doubling_rate_modelled="Combined",
IF(A60+1&gt;ROUNDUP('Patient Calc Assumptions'!$E$41,0),"",A60+1),
IF(A60+1&gt;ROUNDUP('Patient Calc Assumptions'!$C$40,0),"",A60+1)),""))</f>
        <v/>
      </c>
      <c r="B61" s="190"/>
      <c r="K61" s="191" t="str">
        <f t="shared" ca="1" si="26"/>
        <v/>
      </c>
      <c r="L61" s="190" t="str">
        <f t="shared" ca="1" si="27"/>
        <v/>
      </c>
      <c r="M61" s="191" t="str">
        <f t="shared" ca="1" si="28"/>
        <v/>
      </c>
      <c r="N61" s="190" t="str">
        <f t="shared" ca="1" si="29"/>
        <v/>
      </c>
      <c r="O61" s="191" t="str">
        <f t="shared" ca="1" si="30"/>
        <v/>
      </c>
      <c r="P61" s="190"/>
    </row>
    <row r="62" spans="1:22" x14ac:dyDescent="0.25">
      <c r="A62" s="189" t="str">
        <f>IF('User Dashboard'!F$18="Manual Entry",'Manual Patient Calcs'!A62,IFERROR(IF(Doubling_rate_modelled="Combined",
IF(A61+1&gt;ROUNDUP('Patient Calc Assumptions'!$E$41,0),"",A61+1),
IF(A61+1&gt;ROUNDUP('Patient Calc Assumptions'!$C$40,0),"",A61+1)),""))</f>
        <v/>
      </c>
      <c r="B62" s="190"/>
      <c r="L62" s="190" t="str">
        <f t="shared" ca="1" si="27"/>
        <v/>
      </c>
      <c r="M62" s="191" t="str">
        <f t="shared" ca="1" si="28"/>
        <v/>
      </c>
      <c r="N62" s="190" t="str">
        <f t="shared" ca="1" si="29"/>
        <v/>
      </c>
      <c r="O62" s="191" t="str">
        <f t="shared" ca="1" si="30"/>
        <v/>
      </c>
      <c r="P62" s="190"/>
    </row>
    <row r="63" spans="1:22" x14ac:dyDescent="0.25">
      <c r="B63" s="190"/>
      <c r="L63" s="190" t="str">
        <f t="shared" ca="1" si="27"/>
        <v/>
      </c>
      <c r="M63" s="191" t="str">
        <f t="shared" ca="1" si="28"/>
        <v/>
      </c>
      <c r="N63" s="190" t="str">
        <f t="shared" ca="1" si="29"/>
        <v/>
      </c>
      <c r="O63" s="191" t="str">
        <f t="shared" ca="1" si="30"/>
        <v/>
      </c>
      <c r="P63" s="190"/>
    </row>
    <row r="64" spans="1:22" x14ac:dyDescent="0.25">
      <c r="B64" s="190"/>
      <c r="L64" s="190" t="str">
        <f t="shared" ca="1" si="27"/>
        <v/>
      </c>
      <c r="M64" s="191" t="str">
        <f t="shared" ca="1" si="28"/>
        <v/>
      </c>
      <c r="N64" s="190" t="str">
        <f t="shared" ca="1" si="29"/>
        <v/>
      </c>
      <c r="O64" s="191" t="str">
        <f t="shared" ca="1" si="30"/>
        <v/>
      </c>
      <c r="P64" s="190"/>
    </row>
    <row r="65" spans="2:16" x14ac:dyDescent="0.25">
      <c r="B65" s="190"/>
      <c r="L65" s="190" t="str">
        <f t="shared" ca="1" si="27"/>
        <v/>
      </c>
      <c r="M65" s="191" t="str">
        <f t="shared" ca="1" si="28"/>
        <v/>
      </c>
      <c r="N65" s="190" t="str">
        <f t="shared" ca="1" si="29"/>
        <v/>
      </c>
      <c r="O65" s="191" t="str">
        <f t="shared" ca="1" si="30"/>
        <v/>
      </c>
      <c r="P65" s="190"/>
    </row>
    <row r="66" spans="2:16" x14ac:dyDescent="0.25">
      <c r="B66" s="190"/>
      <c r="L66" s="190" t="str">
        <f t="shared" ca="1" si="27"/>
        <v/>
      </c>
      <c r="M66" s="191" t="str">
        <f t="shared" ca="1" si="28"/>
        <v/>
      </c>
      <c r="N66" s="190" t="str">
        <f t="shared" ca="1" si="29"/>
        <v/>
      </c>
      <c r="O66" s="191" t="str">
        <f t="shared" ca="1" si="30"/>
        <v/>
      </c>
      <c r="P66" s="190"/>
    </row>
    <row r="67" spans="2:16" x14ac:dyDescent="0.25">
      <c r="B67" s="190"/>
      <c r="L67" s="190" t="str">
        <f t="shared" ca="1" si="27"/>
        <v/>
      </c>
      <c r="N67" s="190" t="str">
        <f t="shared" ca="1" si="29"/>
        <v/>
      </c>
      <c r="O67" s="191" t="str">
        <f t="shared" ca="1" si="30"/>
        <v/>
      </c>
      <c r="P67" s="190"/>
    </row>
    <row r="68" spans="2:16" x14ac:dyDescent="0.25">
      <c r="B68" s="190"/>
      <c r="O68" s="191" t="str">
        <f t="shared" ca="1" si="30"/>
        <v/>
      </c>
    </row>
  </sheetData>
  <sheetProtection algorithmName="SHA-512" hashValue="3YRmgEoEcsuEUpJVdP9fVaoB/OxxgJrg76C8RR55CNO8qTbuTrUAjcTw/rZHAiZxKQnqhySloKKtk4kwJNvTfQ==" saltValue="oP7L3mnYelj5vVt2WQv4Pg==" spinCount="100000" sheet="1" objects="1" scenarios="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V68"/>
  <sheetViews>
    <sheetView showGridLines="0" zoomScale="70" zoomScaleNormal="70" workbookViewId="0">
      <selection activeCell="D7" sqref="D7"/>
    </sheetView>
  </sheetViews>
  <sheetFormatPr defaultColWidth="16.28515625" defaultRowHeight="15" x14ac:dyDescent="0.25"/>
  <cols>
    <col min="1" max="1" width="16.28515625" style="138"/>
    <col min="2" max="4" width="42.5703125" style="138" customWidth="1"/>
    <col min="5" max="6" width="23.28515625" style="138" bestFit="1" customWidth="1"/>
    <col min="7" max="9" width="22.28515625" style="138" bestFit="1" customWidth="1"/>
    <col min="10" max="10" width="16.28515625" style="2"/>
    <col min="11" max="16" width="16.28515625" style="138"/>
    <col min="17" max="17" width="20.5703125" style="138" customWidth="1"/>
    <col min="18" max="18" width="17.5703125" style="138" customWidth="1"/>
    <col min="19" max="21" width="24.28515625" style="138" bestFit="1" customWidth="1"/>
    <col min="22" max="22" width="23.28515625" style="138" bestFit="1" customWidth="1"/>
    <col min="23" max="16384" width="16.28515625" style="138"/>
  </cols>
  <sheetData>
    <row r="1" spans="1:22" s="1" customFormat="1" ht="41.1" customHeight="1" thickBot="1" x14ac:dyDescent="0.3">
      <c r="A1" s="186" t="s">
        <v>991</v>
      </c>
      <c r="B1" s="186" t="s">
        <v>1000</v>
      </c>
      <c r="C1" s="186" t="s">
        <v>1001</v>
      </c>
      <c r="D1" s="758" t="s">
        <v>1002</v>
      </c>
      <c r="E1" s="689"/>
      <c r="F1" s="689"/>
      <c r="J1" s="173"/>
    </row>
    <row r="2" spans="1:22" ht="30.75" thickBot="1" x14ac:dyDescent="0.3">
      <c r="A2" s="185">
        <v>0</v>
      </c>
      <c r="B2" s="672">
        <f>IFERROR(IF(Doubling_rate_modelled="Combined",
IF(A2&lt;='Patient Calc Assumptions'!$J$20,
2^(A2/('Patient Calc Assumptions'!$F$20/7)),
(2^((A2-'Patient Calc Assumptions'!$J$20)/('Patient Calc Assumptions'!$H$20/7)))*(2^('Patient Calc Assumptions'!$J$20/('Patient Calc Assumptions'!$F$20/7)))),
2^(A2/(VLOOKUP(Doubling_rate_modelled,'Patient Calc Assumptions'!$B$15:$C$21,2,FALSE)/7))),"")</f>
        <v>1</v>
      </c>
      <c r="C2" s="671">
        <f>B2</f>
        <v>1</v>
      </c>
      <c r="D2" s="173" t="s">
        <v>1003</v>
      </c>
      <c r="E2" s="149">
        <f>'User Dashboard'!$I$18+Start_week_for_forecasting</f>
        <v>14</v>
      </c>
      <c r="F2" s="2"/>
      <c r="G2" s="2"/>
      <c r="H2" s="2"/>
      <c r="I2" s="2"/>
      <c r="K2" s="2"/>
      <c r="L2" s="2"/>
      <c r="M2" s="2"/>
      <c r="N2" s="2"/>
      <c r="O2" s="2"/>
      <c r="P2" s="2"/>
      <c r="Q2" s="2"/>
      <c r="R2" s="2"/>
      <c r="S2" s="2"/>
      <c r="T2" s="2"/>
      <c r="U2" s="2"/>
      <c r="V2" s="2"/>
    </row>
    <row r="3" spans="1:22" x14ac:dyDescent="0.25">
      <c r="A3" s="5">
        <v>1</v>
      </c>
      <c r="B3" s="672">
        <f>IFERROR(IF(Doubling_rate_modelled="Combined",
IF(A3&lt;='Patient Calc Assumptions'!$J$20,
2^(A3/('Patient Calc Assumptions'!$F$20/7)),
(2^((A3-'Patient Calc Assumptions'!$J$20)/('Patient Calc Assumptions'!$H$20/7)))*(2^('Patient Calc Assumptions'!$J$20/('Patient Calc Assumptions'!$F$20/7)))),
2^(A3/(VLOOKUP(Doubling_rate_modelled,'Patient Calc Assumptions'!$B$15:$C$21,2,FALSE)/7))),"")</f>
        <v>3.363585661014858</v>
      </c>
      <c r="C3" s="671">
        <f t="shared" ref="C3:C54" si="0">B3</f>
        <v>3.363585661014858</v>
      </c>
      <c r="D3" s="759" t="s">
        <v>1590</v>
      </c>
      <c r="E3" s="760"/>
      <c r="F3" s="760"/>
      <c r="G3" s="760"/>
      <c r="H3" s="2"/>
      <c r="I3" s="2"/>
      <c r="K3" s="2"/>
      <c r="L3" s="2"/>
      <c r="M3" s="2"/>
      <c r="N3" s="2"/>
      <c r="O3" s="2"/>
      <c r="P3" s="2"/>
      <c r="Q3" s="2"/>
      <c r="R3" s="2"/>
      <c r="S3" s="2"/>
      <c r="T3" s="2"/>
      <c r="U3" s="2"/>
      <c r="V3" s="2"/>
    </row>
    <row r="4" spans="1:22" x14ac:dyDescent="0.25">
      <c r="A4" s="5">
        <v>2</v>
      </c>
      <c r="B4" s="672">
        <f>IFERROR(IF(Doubling_rate_modelled="Combined",
IF(A4&lt;='Patient Calc Assumptions'!$J$20,
2^(A4/('Patient Calc Assumptions'!$F$20/7)),
(2^((A4-'Patient Calc Assumptions'!$J$20)/('Patient Calc Assumptions'!$H$20/7)))*(2^('Patient Calc Assumptions'!$J$20/('Patient Calc Assumptions'!$F$20/7)))),
2^(A4/(VLOOKUP(Doubling_rate_modelled,'Patient Calc Assumptions'!$B$15:$C$21,2,FALSE)/7))),"")</f>
        <v>11.313708498984759</v>
      </c>
      <c r="C4" s="671">
        <f t="shared" si="0"/>
        <v>11.313708498984759</v>
      </c>
      <c r="D4" s="759"/>
      <c r="E4" s="760"/>
      <c r="F4" s="760"/>
      <c r="G4" s="760"/>
      <c r="H4" s="2"/>
      <c r="I4" s="2"/>
      <c r="K4" s="2"/>
      <c r="L4" s="2"/>
      <c r="M4" s="2"/>
      <c r="N4" s="2"/>
      <c r="O4" s="2"/>
      <c r="P4" s="2"/>
      <c r="Q4" s="2"/>
      <c r="R4" s="2"/>
      <c r="S4" s="2"/>
      <c r="T4" s="2"/>
      <c r="U4" s="2"/>
      <c r="V4" s="2"/>
    </row>
    <row r="5" spans="1:22" x14ac:dyDescent="0.25">
      <c r="A5" s="5">
        <v>3</v>
      </c>
      <c r="B5" s="672">
        <f>IFERROR(IF(Doubling_rate_modelled="Combined",
IF(A5&lt;='Patient Calc Assumptions'!$J$20,
2^(A5/('Patient Calc Assumptions'!$F$20/7)),
(2^((A5-'Patient Calc Assumptions'!$J$20)/('Patient Calc Assumptions'!$H$20/7)))*(2^('Patient Calc Assumptions'!$J$20/('Patient Calc Assumptions'!$F$20/7)))),
2^(A5/(VLOOKUP(Doubling_rate_modelled,'Patient Calc Assumptions'!$B$15:$C$21,2,FALSE)/7))),"")</f>
        <v>38.054627680087073</v>
      </c>
      <c r="C5" s="671">
        <f t="shared" si="0"/>
        <v>38.054627680087073</v>
      </c>
      <c r="D5" s="2"/>
      <c r="E5" s="2"/>
      <c r="F5" s="2"/>
      <c r="G5" s="2"/>
      <c r="H5" s="2"/>
      <c r="I5" s="2"/>
      <c r="K5" s="2"/>
      <c r="L5" s="2"/>
      <c r="M5" s="2"/>
      <c r="N5" s="2"/>
      <c r="O5" s="2"/>
      <c r="P5" s="2"/>
      <c r="Q5" s="2"/>
      <c r="R5" s="2"/>
      <c r="S5" s="2"/>
      <c r="T5" s="2"/>
      <c r="U5" s="2"/>
      <c r="V5" s="2"/>
    </row>
    <row r="6" spans="1:22" x14ac:dyDescent="0.25">
      <c r="A6" s="5">
        <v>4</v>
      </c>
      <c r="B6" s="672">
        <f>IFERROR(IF(Doubling_rate_modelled="Combined",
IF(A6&lt;='Patient Calc Assumptions'!$J$20,
2^(A6/('Patient Calc Assumptions'!$F$20/7)),
(2^((A6-'Patient Calc Assumptions'!$J$20)/('Patient Calc Assumptions'!$H$20/7)))*(2^('Patient Calc Assumptions'!$J$20/('Patient Calc Assumptions'!$F$20/7)))),
2^(A6/(VLOOKUP(Doubling_rate_modelled,'Patient Calc Assumptions'!$B$15:$C$21,2,FALSE)/7))),"")</f>
        <v>128</v>
      </c>
      <c r="C6" s="671">
        <f t="shared" si="0"/>
        <v>128</v>
      </c>
      <c r="D6" s="2"/>
      <c r="E6" s="2"/>
      <c r="F6" s="2"/>
      <c r="G6" s="2"/>
      <c r="H6" s="2"/>
      <c r="I6" s="2"/>
      <c r="K6" s="2"/>
      <c r="L6" s="2"/>
      <c r="M6" s="2"/>
      <c r="N6" s="2"/>
      <c r="O6" s="2"/>
      <c r="P6" s="2"/>
      <c r="Q6" s="2"/>
      <c r="R6" s="2"/>
      <c r="S6" s="2"/>
      <c r="T6" s="2"/>
      <c r="U6" s="2"/>
      <c r="V6" s="2"/>
    </row>
    <row r="7" spans="1:22" x14ac:dyDescent="0.25">
      <c r="A7" s="5">
        <v>5</v>
      </c>
      <c r="B7" s="672">
        <f>IFERROR(IF(Doubling_rate_modelled="Combined",
IF(A7&lt;='Patient Calc Assumptions'!$J$20,
2^(A7/('Patient Calc Assumptions'!$F$20/7)),
(2^((A7-'Patient Calc Assumptions'!$J$20)/('Patient Calc Assumptions'!$H$20/7)))*(2^('Patient Calc Assumptions'!$J$20/('Patient Calc Assumptions'!$F$20/7)))),
2^(A7/(VLOOKUP(Doubling_rate_modelled,'Patient Calc Assumptions'!$B$15:$C$21,2,FALSE)/7))),"")</f>
        <v>430.5389646099016</v>
      </c>
      <c r="C7" s="671">
        <f t="shared" si="0"/>
        <v>430.5389646099016</v>
      </c>
      <c r="D7" s="2"/>
      <c r="E7" s="2"/>
      <c r="F7" s="2"/>
      <c r="G7" s="2"/>
      <c r="H7" s="2"/>
      <c r="I7" s="2"/>
      <c r="K7" s="2"/>
      <c r="L7" s="2"/>
      <c r="M7" s="2"/>
      <c r="N7" s="2"/>
      <c r="O7" s="2"/>
      <c r="P7" s="2"/>
      <c r="Q7" s="2"/>
      <c r="R7" s="2"/>
      <c r="S7" s="2"/>
      <c r="T7" s="2"/>
      <c r="U7" s="2"/>
      <c r="V7" s="2"/>
    </row>
    <row r="8" spans="1:22" x14ac:dyDescent="0.25">
      <c r="A8" s="5">
        <v>6</v>
      </c>
      <c r="B8" s="672">
        <f>IFERROR(IF(Doubling_rate_modelled="Combined",
IF(A8&lt;='Patient Calc Assumptions'!$J$20,
2^(A8/('Patient Calc Assumptions'!$F$20/7)),
(2^((A8-'Patient Calc Assumptions'!$J$20)/('Patient Calc Assumptions'!$H$20/7)))*(2^('Patient Calc Assumptions'!$J$20/('Patient Calc Assumptions'!$F$20/7)))),
2^(A8/(VLOOKUP(Doubling_rate_modelled,'Patient Calc Assumptions'!$B$15:$C$21,2,FALSE)/7))),"")</f>
        <v>1448.1546878700494</v>
      </c>
      <c r="C8" s="671">
        <f t="shared" si="0"/>
        <v>1448.1546878700494</v>
      </c>
      <c r="D8" s="2"/>
      <c r="E8" s="2"/>
      <c r="F8" s="2"/>
      <c r="G8" s="2"/>
      <c r="H8" s="2"/>
      <c r="I8" s="2"/>
      <c r="K8" s="2"/>
      <c r="L8" s="2"/>
      <c r="M8" s="2"/>
      <c r="N8" s="2"/>
      <c r="O8" s="2"/>
      <c r="P8" s="2"/>
      <c r="Q8" s="2"/>
      <c r="R8" s="2"/>
      <c r="S8" s="2"/>
      <c r="T8" s="2"/>
      <c r="U8" s="2"/>
      <c r="V8" s="2"/>
    </row>
    <row r="9" spans="1:22" x14ac:dyDescent="0.25">
      <c r="A9" s="5">
        <v>7</v>
      </c>
      <c r="B9" s="672">
        <f>IFERROR(IF(Doubling_rate_modelled="Combined",
IF(A9&lt;='Patient Calc Assumptions'!$J$20,
2^(A9/('Patient Calc Assumptions'!$F$20/7)),
(2^((A9-'Patient Calc Assumptions'!$J$20)/('Patient Calc Assumptions'!$H$20/7)))*(2^('Patient Calc Assumptions'!$J$20/('Patient Calc Assumptions'!$F$20/7)))),
2^(A9/(VLOOKUP(Doubling_rate_modelled,'Patient Calc Assumptions'!$B$15:$C$21,2,FALSE)/7))),"")</f>
        <v>4870.9923430511444</v>
      </c>
      <c r="C9" s="671">
        <f t="shared" si="0"/>
        <v>4870.9923430511444</v>
      </c>
      <c r="D9" s="2"/>
      <c r="E9" s="2"/>
      <c r="F9" s="2"/>
      <c r="G9" s="2"/>
      <c r="H9" s="2"/>
      <c r="I9" s="2"/>
      <c r="K9" s="2"/>
      <c r="L9" s="2"/>
      <c r="M9" s="2"/>
      <c r="N9" s="2"/>
      <c r="O9" s="2"/>
      <c r="P9" s="2"/>
      <c r="Q9" s="2"/>
      <c r="R9" s="2"/>
      <c r="S9" s="2"/>
      <c r="T9" s="2"/>
      <c r="U9" s="2"/>
      <c r="V9" s="2"/>
    </row>
    <row r="10" spans="1:22" x14ac:dyDescent="0.25">
      <c r="A10" s="5">
        <v>8</v>
      </c>
      <c r="B10" s="672">
        <f>IFERROR(IF(Doubling_rate_modelled="Combined",
IF(A10&lt;='Patient Calc Assumptions'!$J$20,
2^(A10/('Patient Calc Assumptions'!$F$20/7)),
(2^((A10-'Patient Calc Assumptions'!$J$20)/('Patient Calc Assumptions'!$H$20/7)))*(2^('Patient Calc Assumptions'!$J$20/('Patient Calc Assumptions'!$F$20/7)))),
2^(A10/(VLOOKUP(Doubling_rate_modelled,'Patient Calc Assumptions'!$B$15:$C$21,2,FALSE)/7))),"")</f>
        <v>16384</v>
      </c>
      <c r="C10" s="671">
        <f t="shared" si="0"/>
        <v>16384</v>
      </c>
      <c r="D10" s="2"/>
      <c r="E10" s="2"/>
      <c r="F10" s="2"/>
      <c r="G10" s="2"/>
      <c r="H10" s="2"/>
      <c r="I10" s="2"/>
      <c r="K10" s="2"/>
      <c r="L10" s="2"/>
      <c r="M10" s="2"/>
      <c r="N10" s="2"/>
      <c r="O10" s="2"/>
      <c r="P10" s="2"/>
      <c r="Q10" s="2"/>
      <c r="R10" s="2"/>
      <c r="S10" s="2"/>
      <c r="T10" s="2"/>
      <c r="U10" s="2"/>
      <c r="V10" s="2"/>
    </row>
    <row r="11" spans="1:22" x14ac:dyDescent="0.25">
      <c r="A11" s="5">
        <v>9</v>
      </c>
      <c r="B11" s="672">
        <f>IFERROR(IF(Doubling_rate_modelled="Combined",
IF(A11&lt;='Patient Calc Assumptions'!$J$20,
2^(A11/('Patient Calc Assumptions'!$F$20/7)),
(2^((A11-'Patient Calc Assumptions'!$J$20)/('Patient Calc Assumptions'!$H$20/7)))*(2^('Patient Calc Assumptions'!$J$20/('Patient Calc Assumptions'!$F$20/7)))),
2^(A11/(VLOOKUP(Doubling_rate_modelled,'Patient Calc Assumptions'!$B$15:$C$21,2,FALSE)/7))),"")</f>
        <v>55108.98747006739</v>
      </c>
      <c r="C11" s="671">
        <f t="shared" si="0"/>
        <v>55108.98747006739</v>
      </c>
      <c r="D11" s="2"/>
      <c r="E11" s="2"/>
      <c r="F11" s="2"/>
      <c r="G11" s="2"/>
      <c r="H11" s="2"/>
      <c r="I11" s="2"/>
      <c r="K11" s="2"/>
      <c r="L11" s="2"/>
      <c r="M11" s="2"/>
      <c r="N11" s="2"/>
      <c r="O11" s="2"/>
      <c r="P11" s="2"/>
      <c r="Q11" s="2"/>
      <c r="R11" s="2"/>
      <c r="S11" s="2"/>
      <c r="T11" s="2"/>
      <c r="U11" s="2"/>
      <c r="V11" s="2"/>
    </row>
    <row r="12" spans="1:22" x14ac:dyDescent="0.25">
      <c r="A12" s="5">
        <v>10</v>
      </c>
      <c r="B12" s="672">
        <f>IFERROR(IF(Doubling_rate_modelled="Combined",
IF(A12&lt;='Patient Calc Assumptions'!$J$20,
2^(A12/('Patient Calc Assumptions'!$F$20/7)),
(2^((A12-'Patient Calc Assumptions'!$J$20)/('Patient Calc Assumptions'!$H$20/7)))*(2^('Patient Calc Assumptions'!$J$20/('Patient Calc Assumptions'!$F$20/7)))),
2^(A12/(VLOOKUP(Doubling_rate_modelled,'Patient Calc Assumptions'!$B$15:$C$21,2,FALSE)/7))),"")</f>
        <v>185363.80004736609</v>
      </c>
      <c r="C12" s="671">
        <f t="shared" si="0"/>
        <v>185363.80004736609</v>
      </c>
      <c r="D12" s="2"/>
      <c r="E12" s="2"/>
      <c r="F12" s="2"/>
      <c r="G12" s="2"/>
      <c r="H12" s="2"/>
      <c r="I12" s="2"/>
      <c r="K12" s="2"/>
      <c r="L12" s="2"/>
      <c r="M12" s="2"/>
      <c r="N12" s="2"/>
      <c r="O12" s="2"/>
      <c r="P12" s="2"/>
      <c r="Q12" s="2"/>
      <c r="R12" s="2"/>
      <c r="S12" s="2"/>
      <c r="T12" s="2"/>
      <c r="U12" s="2"/>
      <c r="V12" s="2"/>
    </row>
    <row r="13" spans="1:22" x14ac:dyDescent="0.25">
      <c r="A13" s="5">
        <v>11</v>
      </c>
      <c r="B13" s="672">
        <f>IFERROR(IF(Doubling_rate_modelled="Combined",
IF(A13&lt;='Patient Calc Assumptions'!$J$20,
2^(A13/('Patient Calc Assumptions'!$F$20/7)),
(2^((A13-'Patient Calc Assumptions'!$J$20)/('Patient Calc Assumptions'!$H$20/7)))*(2^('Patient Calc Assumptions'!$J$20/('Patient Calc Assumptions'!$F$20/7)))),
2^(A13/(VLOOKUP(Doubling_rate_modelled,'Patient Calc Assumptions'!$B$15:$C$21,2,FALSE)/7))),"")</f>
        <v>623487.01991054683</v>
      </c>
      <c r="C13" s="671">
        <f t="shared" si="0"/>
        <v>623487.01991054683</v>
      </c>
      <c r="D13" s="2"/>
      <c r="E13" s="2"/>
      <c r="F13" s="2"/>
      <c r="G13" s="2"/>
      <c r="H13" s="2"/>
      <c r="I13" s="2"/>
      <c r="K13" s="2"/>
      <c r="L13" s="2"/>
      <c r="M13" s="2"/>
      <c r="N13" s="2"/>
      <c r="O13" s="2"/>
      <c r="P13" s="2"/>
      <c r="Q13" s="2"/>
      <c r="R13" s="2"/>
      <c r="S13" s="2"/>
      <c r="T13" s="2"/>
      <c r="U13" s="2"/>
      <c r="V13" s="2"/>
    </row>
    <row r="14" spans="1:22" x14ac:dyDescent="0.25">
      <c r="A14" s="5">
        <v>12</v>
      </c>
      <c r="B14" s="672">
        <f>IFERROR(IF(Doubling_rate_modelled="Combined",
IF(A14&lt;='Patient Calc Assumptions'!$J$20,
2^(A14/('Patient Calc Assumptions'!$F$20/7)),
(2^((A14-'Patient Calc Assumptions'!$J$20)/('Patient Calc Assumptions'!$H$20/7)))*(2^('Patient Calc Assumptions'!$J$20/('Patient Calc Assumptions'!$F$20/7)))),
2^(A14/(VLOOKUP(Doubling_rate_modelled,'Patient Calc Assumptions'!$B$15:$C$21,2,FALSE)/7))),"")</f>
        <v>2097152</v>
      </c>
      <c r="C14" s="671">
        <f t="shared" si="0"/>
        <v>2097152</v>
      </c>
      <c r="D14" s="2"/>
      <c r="E14" s="2"/>
      <c r="F14" s="2"/>
      <c r="G14" s="2"/>
      <c r="H14" s="2"/>
      <c r="I14" s="2"/>
      <c r="K14" s="2"/>
      <c r="L14" s="2"/>
      <c r="M14" s="2"/>
      <c r="N14" s="2"/>
      <c r="O14" s="2"/>
      <c r="P14" s="2"/>
      <c r="Q14" s="2"/>
      <c r="R14" s="2"/>
      <c r="S14" s="2"/>
      <c r="T14" s="2"/>
      <c r="U14" s="2"/>
      <c r="V14" s="2"/>
    </row>
    <row r="15" spans="1:22" x14ac:dyDescent="0.25">
      <c r="A15" s="5">
        <v>13</v>
      </c>
      <c r="B15" s="672">
        <f>IFERROR(IF(Doubling_rate_modelled="Combined",
IF(A15&lt;='Patient Calc Assumptions'!$J$20,
2^(A15/('Patient Calc Assumptions'!$F$20/7)),
(2^((A15-'Patient Calc Assumptions'!$J$20)/('Patient Calc Assumptions'!$H$20/7)))*(2^('Patient Calc Assumptions'!$J$20/('Patient Calc Assumptions'!$F$20/7)))),
2^(A15/(VLOOKUP(Doubling_rate_modelled,'Patient Calc Assumptions'!$B$15:$C$21,2,FALSE)/7))),"")</f>
        <v>7053950.3961686306</v>
      </c>
      <c r="C15" s="671">
        <f t="shared" si="0"/>
        <v>7053950.3961686306</v>
      </c>
      <c r="D15" s="2"/>
      <c r="E15" s="2"/>
      <c r="F15" s="2"/>
      <c r="G15" s="2"/>
      <c r="H15" s="2"/>
      <c r="I15" s="2"/>
      <c r="K15" s="2"/>
      <c r="L15" s="2"/>
      <c r="M15" s="2"/>
      <c r="N15" s="2"/>
      <c r="O15" s="2"/>
      <c r="P15" s="2"/>
      <c r="Q15" s="2"/>
      <c r="R15" s="2"/>
      <c r="S15" s="2"/>
      <c r="T15" s="2"/>
      <c r="U15" s="2"/>
      <c r="V15" s="2"/>
    </row>
    <row r="16" spans="1:22" x14ac:dyDescent="0.25">
      <c r="A16" s="5">
        <v>14</v>
      </c>
      <c r="B16" s="672">
        <f>IFERROR(IF(Doubling_rate_modelled="Combined",
IF(A16&lt;='Patient Calc Assumptions'!$J$20,
2^(A16/('Patient Calc Assumptions'!$F$20/7)),
(2^((A16-'Patient Calc Assumptions'!$J$20)/('Patient Calc Assumptions'!$H$20/7)))*(2^('Patient Calc Assumptions'!$J$20/('Patient Calc Assumptions'!$F$20/7)))),
2^(A16/(VLOOKUP(Doubling_rate_modelled,'Patient Calc Assumptions'!$B$15:$C$21,2,FALSE)/7))),"")</f>
        <v>23726566.406062875</v>
      </c>
      <c r="C16" s="671">
        <f t="shared" si="0"/>
        <v>23726566.406062875</v>
      </c>
      <c r="D16" s="2"/>
      <c r="E16" s="2"/>
      <c r="F16" s="2"/>
      <c r="G16" s="2"/>
      <c r="H16" s="2"/>
      <c r="I16" s="2"/>
      <c r="K16" s="2"/>
      <c r="L16" s="2"/>
      <c r="M16" s="2"/>
      <c r="N16" s="2"/>
      <c r="O16" s="2"/>
      <c r="P16" s="2"/>
      <c r="Q16" s="2"/>
      <c r="R16" s="2"/>
      <c r="S16" s="2"/>
      <c r="T16" s="2"/>
      <c r="U16" s="2"/>
      <c r="V16" s="2"/>
    </row>
    <row r="17" spans="1:22" x14ac:dyDescent="0.25">
      <c r="A17" s="5">
        <v>15</v>
      </c>
      <c r="B17" s="672">
        <f>IFERROR(IF(Doubling_rate_modelled="Combined",
IF(A17&lt;='Patient Calc Assumptions'!$J$20,
2^(A17/('Patient Calc Assumptions'!$F$20/7)),
(2^((A17-'Patient Calc Assumptions'!$J$20)/('Patient Calc Assumptions'!$H$20/7)))*(2^('Patient Calc Assumptions'!$J$20/('Patient Calc Assumptions'!$F$20/7)))),
2^(A17/(VLOOKUP(Doubling_rate_modelled,'Patient Calc Assumptions'!$B$15:$C$21,2,FALSE)/7))),"")</f>
        <v>79806338.548549905</v>
      </c>
      <c r="C17" s="671">
        <f t="shared" si="0"/>
        <v>79806338.548549905</v>
      </c>
      <c r="D17" s="2"/>
      <c r="E17" s="2"/>
      <c r="F17" s="2"/>
      <c r="G17" s="2"/>
      <c r="H17" s="2"/>
      <c r="I17" s="2"/>
      <c r="K17" s="2"/>
      <c r="L17" s="2"/>
      <c r="M17" s="2"/>
      <c r="N17" s="2"/>
      <c r="O17" s="2"/>
      <c r="P17" s="2"/>
      <c r="Q17" s="2"/>
      <c r="R17" s="2"/>
      <c r="S17" s="2"/>
      <c r="T17" s="2"/>
      <c r="U17" s="2"/>
      <c r="V17" s="2"/>
    </row>
    <row r="18" spans="1:22" x14ac:dyDescent="0.25">
      <c r="A18" s="5">
        <v>16</v>
      </c>
      <c r="B18" s="672">
        <f>IFERROR(IF(Doubling_rate_modelled="Combined",
IF(A18&lt;='Patient Calc Assumptions'!$J$20,
2^(A18/('Patient Calc Assumptions'!$F$20/7)),
(2^((A18-'Patient Calc Assumptions'!$J$20)/('Patient Calc Assumptions'!$H$20/7)))*(2^('Patient Calc Assumptions'!$J$20/('Patient Calc Assumptions'!$F$20/7)))),
2^(A18/(VLOOKUP(Doubling_rate_modelled,'Patient Calc Assumptions'!$B$15:$C$21,2,FALSE)/7))),"")</f>
        <v>268435456</v>
      </c>
      <c r="C18" s="671">
        <f t="shared" si="0"/>
        <v>268435456</v>
      </c>
      <c r="D18" s="2"/>
      <c r="E18" s="2"/>
      <c r="F18" s="2"/>
      <c r="G18" s="2"/>
      <c r="H18" s="2"/>
      <c r="I18" s="2"/>
      <c r="K18" s="2"/>
      <c r="L18" s="2"/>
      <c r="M18" s="2"/>
      <c r="N18" s="2"/>
      <c r="O18" s="2"/>
      <c r="P18" s="2"/>
      <c r="Q18" s="2"/>
      <c r="R18" s="2"/>
      <c r="S18" s="2"/>
      <c r="T18" s="2"/>
      <c r="U18" s="2"/>
      <c r="V18" s="2"/>
    </row>
    <row r="19" spans="1:22" x14ac:dyDescent="0.25">
      <c r="A19" s="5">
        <v>17</v>
      </c>
      <c r="B19" s="672">
        <f>IFERROR(IF(Doubling_rate_modelled="Combined",
IF(A19&lt;='Patient Calc Assumptions'!$J$20,
2^(A19/('Patient Calc Assumptions'!$F$20/7)),
(2^((A19-'Patient Calc Assumptions'!$J$20)/('Patient Calc Assumptions'!$H$20/7)))*(2^('Patient Calc Assumptions'!$J$20/('Patient Calc Assumptions'!$F$20/7)))),
2^(A19/(VLOOKUP(Doubling_rate_modelled,'Patient Calc Assumptions'!$B$15:$C$21,2,FALSE)/7))),"")</f>
        <v>902905650.70958364</v>
      </c>
      <c r="C19" s="671">
        <f t="shared" si="0"/>
        <v>902905650.70958364</v>
      </c>
      <c r="D19" s="2"/>
      <c r="E19" s="2"/>
      <c r="F19" s="2"/>
      <c r="G19" s="2"/>
      <c r="H19" s="2"/>
      <c r="I19" s="2"/>
      <c r="K19" s="2"/>
      <c r="L19" s="2"/>
      <c r="M19" s="2"/>
      <c r="N19" s="2"/>
      <c r="O19" s="2"/>
      <c r="P19" s="2"/>
      <c r="Q19" s="2"/>
      <c r="R19" s="2"/>
      <c r="S19" s="2"/>
      <c r="T19" s="2"/>
      <c r="U19" s="2"/>
      <c r="V19" s="2"/>
    </row>
    <row r="20" spans="1:22" x14ac:dyDescent="0.25">
      <c r="A20" s="5">
        <v>18</v>
      </c>
      <c r="B20" s="672">
        <f>IFERROR(IF(Doubling_rate_modelled="Combined",
IF(A20&lt;='Patient Calc Assumptions'!$J$20,
2^(A20/('Patient Calc Assumptions'!$F$20/7)),
(2^((A20-'Patient Calc Assumptions'!$J$20)/('Patient Calc Assumptions'!$H$20/7)))*(2^('Patient Calc Assumptions'!$J$20/('Patient Calc Assumptions'!$F$20/7)))),
2^(A20/(VLOOKUP(Doubling_rate_modelled,'Patient Calc Assumptions'!$B$15:$C$21,2,FALSE)/7))),"")</f>
        <v>3037000499.9760447</v>
      </c>
      <c r="C20" s="671">
        <f t="shared" si="0"/>
        <v>3037000499.9760447</v>
      </c>
      <c r="D20" s="2"/>
      <c r="E20" s="2"/>
      <c r="F20" s="2"/>
      <c r="G20" s="2"/>
      <c r="H20" s="2"/>
      <c r="I20" s="2"/>
      <c r="K20" s="2"/>
      <c r="L20" s="2"/>
      <c r="M20" s="2"/>
      <c r="N20" s="2"/>
      <c r="O20" s="2"/>
      <c r="P20" s="2"/>
      <c r="Q20" s="2"/>
      <c r="R20" s="2"/>
      <c r="S20" s="2"/>
      <c r="T20" s="2"/>
      <c r="U20" s="2"/>
      <c r="V20" s="2"/>
    </row>
    <row r="21" spans="1:22" x14ac:dyDescent="0.25">
      <c r="A21" s="5">
        <v>19</v>
      </c>
      <c r="B21" s="672">
        <f>IFERROR(IF(Doubling_rate_modelled="Combined",
IF(A21&lt;='Patient Calc Assumptions'!$J$20,
2^(A21/('Patient Calc Assumptions'!$F$20/7)),
(2^((A21-'Patient Calc Assumptions'!$J$20)/('Patient Calc Assumptions'!$H$20/7)))*(2^('Patient Calc Assumptions'!$J$20/('Patient Calc Assumptions'!$F$20/7)))),
2^(A21/(VLOOKUP(Doubling_rate_modelled,'Patient Calc Assumptions'!$B$15:$C$21,2,FALSE)/7))),"")</f>
        <v>10215211334.214376</v>
      </c>
      <c r="C21" s="671">
        <f t="shared" si="0"/>
        <v>10215211334.214376</v>
      </c>
      <c r="D21" s="2"/>
      <c r="E21" s="2"/>
      <c r="F21" s="2"/>
      <c r="G21" s="2"/>
      <c r="H21" s="2"/>
      <c r="I21" s="2"/>
      <c r="K21" s="2"/>
      <c r="L21" s="2"/>
      <c r="M21" s="2"/>
      <c r="N21" s="2"/>
      <c r="O21" s="2"/>
      <c r="P21" s="2"/>
      <c r="Q21" s="2"/>
      <c r="R21" s="2"/>
      <c r="S21" s="2"/>
      <c r="T21" s="2"/>
      <c r="U21" s="2"/>
      <c r="V21" s="2"/>
    </row>
    <row r="22" spans="1:22" x14ac:dyDescent="0.25">
      <c r="A22" s="5">
        <v>20</v>
      </c>
      <c r="B22" s="672">
        <f>IFERROR(IF(Doubling_rate_modelled="Combined",
IF(A22&lt;='Patient Calc Assumptions'!$J$20,
2^(A22/('Patient Calc Assumptions'!$F$20/7)),
(2^((A22-'Patient Calc Assumptions'!$J$20)/('Patient Calc Assumptions'!$H$20/7)))*(2^('Patient Calc Assumptions'!$J$20/('Patient Calc Assumptions'!$F$20/7)))),
2^(A22/(VLOOKUP(Doubling_rate_modelled,'Patient Calc Assumptions'!$B$15:$C$21,2,FALSE)/7))),"")</f>
        <v>34359738368</v>
      </c>
      <c r="C22" s="671">
        <f t="shared" si="0"/>
        <v>34359738368</v>
      </c>
      <c r="D22" s="2"/>
      <c r="E22" s="2"/>
      <c r="F22" s="2"/>
      <c r="G22" s="2"/>
      <c r="H22" s="2"/>
      <c r="I22" s="2"/>
      <c r="K22" s="2"/>
      <c r="L22" s="2"/>
      <c r="M22" s="2"/>
      <c r="N22" s="2"/>
      <c r="O22" s="2"/>
      <c r="P22" s="2"/>
      <c r="Q22" s="2"/>
      <c r="R22" s="2"/>
      <c r="S22" s="2"/>
      <c r="T22" s="2"/>
      <c r="U22" s="2"/>
      <c r="V22" s="2"/>
    </row>
    <row r="23" spans="1:22" x14ac:dyDescent="0.25">
      <c r="A23" s="5">
        <v>21</v>
      </c>
      <c r="B23" s="672">
        <f>IFERROR(IF(Doubling_rate_modelled="Combined",
IF(A23&lt;='Patient Calc Assumptions'!$J$20,
2^(A23/('Patient Calc Assumptions'!$F$20/7)),
(2^((A23-'Patient Calc Assumptions'!$J$20)/('Patient Calc Assumptions'!$H$20/7)))*(2^('Patient Calc Assumptions'!$J$20/('Patient Calc Assumptions'!$F$20/7)))),
2^(A23/(VLOOKUP(Doubling_rate_modelled,'Patient Calc Assumptions'!$B$15:$C$21,2,FALSE)/7))),"")</f>
        <v>115571923290.82657</v>
      </c>
      <c r="C23" s="671">
        <f t="shared" si="0"/>
        <v>115571923290.82657</v>
      </c>
      <c r="D23" s="2"/>
      <c r="E23" s="2"/>
      <c r="F23" s="2"/>
      <c r="G23" s="2"/>
      <c r="H23" s="2"/>
      <c r="I23" s="2"/>
      <c r="K23" s="2"/>
      <c r="L23" s="2"/>
      <c r="M23" s="2"/>
      <c r="N23" s="2"/>
      <c r="O23" s="2"/>
      <c r="P23" s="2"/>
      <c r="Q23" s="2"/>
      <c r="R23" s="2"/>
      <c r="S23" s="2"/>
      <c r="T23" s="2"/>
      <c r="U23" s="2"/>
      <c r="V23" s="2"/>
    </row>
    <row r="24" spans="1:22" x14ac:dyDescent="0.25">
      <c r="A24" s="5">
        <v>22</v>
      </c>
      <c r="B24" s="672">
        <f>IFERROR(IF(Doubling_rate_modelled="Combined",
IF(A24&lt;='Patient Calc Assumptions'!$J$20,
2^(A24/('Patient Calc Assumptions'!$F$20/7)),
(2^((A24-'Patient Calc Assumptions'!$J$20)/('Patient Calc Assumptions'!$H$20/7)))*(2^('Patient Calc Assumptions'!$J$20/('Patient Calc Assumptions'!$F$20/7)))),
2^(A24/(VLOOKUP(Doubling_rate_modelled,'Patient Calc Assumptions'!$B$15:$C$21,2,FALSE)/7))),"")</f>
        <v>388736063996.93463</v>
      </c>
      <c r="C24" s="671">
        <f t="shared" si="0"/>
        <v>388736063996.93463</v>
      </c>
      <c r="D24" s="2"/>
      <c r="E24" s="2"/>
      <c r="F24" s="2"/>
      <c r="G24" s="2"/>
      <c r="H24" s="2"/>
      <c r="I24" s="2"/>
      <c r="K24" s="2"/>
      <c r="L24" s="2"/>
      <c r="M24" s="2"/>
      <c r="N24" s="2"/>
      <c r="O24" s="2"/>
      <c r="P24" s="2"/>
      <c r="Q24" s="2"/>
      <c r="R24" s="2"/>
      <c r="S24" s="2"/>
      <c r="T24" s="2"/>
      <c r="U24" s="2"/>
      <c r="V24" s="2"/>
    </row>
    <row r="25" spans="1:22" x14ac:dyDescent="0.25">
      <c r="A25" s="5">
        <v>23</v>
      </c>
      <c r="B25" s="672">
        <f>IFERROR(IF(Doubling_rate_modelled="Combined",
IF(A25&lt;='Patient Calc Assumptions'!$J$20,
2^(A25/('Patient Calc Assumptions'!$F$20/7)),
(2^((A25-'Patient Calc Assumptions'!$J$20)/('Patient Calc Assumptions'!$H$20/7)))*(2^('Patient Calc Assumptions'!$J$20/('Patient Calc Assumptions'!$F$20/7)))),
2^(A25/(VLOOKUP(Doubling_rate_modelled,'Patient Calc Assumptions'!$B$15:$C$21,2,FALSE)/7))),"")</f>
        <v>1307547050779.4431</v>
      </c>
      <c r="C25" s="671">
        <f t="shared" si="0"/>
        <v>1307547050779.4431</v>
      </c>
      <c r="D25" s="2"/>
      <c r="E25" s="2"/>
      <c r="F25" s="2"/>
      <c r="G25" s="2"/>
      <c r="H25" s="2"/>
      <c r="I25" s="2"/>
      <c r="K25" s="2"/>
      <c r="L25" s="2"/>
      <c r="M25" s="2"/>
      <c r="N25" s="2"/>
      <c r="O25" s="2"/>
      <c r="P25" s="2"/>
      <c r="Q25" s="2"/>
      <c r="R25" s="2"/>
      <c r="S25" s="2"/>
      <c r="T25" s="2"/>
      <c r="U25" s="2"/>
      <c r="V25" s="2"/>
    </row>
    <row r="26" spans="1:22" x14ac:dyDescent="0.25">
      <c r="A26" s="5">
        <v>24</v>
      </c>
      <c r="B26" s="672">
        <f>IFERROR(IF(Doubling_rate_modelled="Combined",
IF(A26&lt;='Patient Calc Assumptions'!$J$20,
2^(A26/('Patient Calc Assumptions'!$F$20/7)),
(2^((A26-'Patient Calc Assumptions'!$J$20)/('Patient Calc Assumptions'!$H$20/7)))*(2^('Patient Calc Assumptions'!$J$20/('Patient Calc Assumptions'!$F$20/7)))),
2^(A26/(VLOOKUP(Doubling_rate_modelled,'Patient Calc Assumptions'!$B$15:$C$21,2,FALSE)/7))),"")</f>
        <v>4398046511104</v>
      </c>
      <c r="C26" s="671">
        <f t="shared" si="0"/>
        <v>4398046511104</v>
      </c>
      <c r="D26" s="2"/>
      <c r="E26" s="2"/>
      <c r="F26" s="2"/>
      <c r="G26" s="2"/>
      <c r="H26" s="2"/>
      <c r="I26" s="2"/>
      <c r="K26" s="2"/>
      <c r="L26" s="2"/>
      <c r="M26" s="2"/>
      <c r="N26" s="2"/>
      <c r="O26" s="2"/>
      <c r="P26" s="2"/>
      <c r="Q26" s="2"/>
      <c r="R26" s="2"/>
      <c r="S26" s="2"/>
      <c r="T26" s="2"/>
      <c r="U26" s="2"/>
      <c r="V26" s="2"/>
    </row>
    <row r="27" spans="1:22" x14ac:dyDescent="0.25">
      <c r="A27" s="5">
        <v>25</v>
      </c>
      <c r="B27" s="672">
        <f>IFERROR(IF(Doubling_rate_modelled="Combined",
IF(A27&lt;='Patient Calc Assumptions'!$J$20,
2^(A27/('Patient Calc Assumptions'!$F$20/7)),
(2^((A27-'Patient Calc Assumptions'!$J$20)/('Patient Calc Assumptions'!$H$20/7)))*(2^('Patient Calc Assumptions'!$J$20/('Patient Calc Assumptions'!$F$20/7)))),
2^(A27/(VLOOKUP(Doubling_rate_modelled,'Patient Calc Assumptions'!$B$15:$C$21,2,FALSE)/7))),"")</f>
        <v>14793206181225.836</v>
      </c>
      <c r="C27" s="671">
        <f t="shared" si="0"/>
        <v>14793206181225.836</v>
      </c>
      <c r="D27" s="2"/>
      <c r="E27" s="2"/>
      <c r="F27" s="2"/>
      <c r="G27" s="2"/>
      <c r="H27" s="2"/>
      <c r="I27" s="2"/>
      <c r="K27" s="2"/>
      <c r="L27" s="2"/>
      <c r="M27" s="2"/>
      <c r="N27" s="2"/>
      <c r="O27" s="2"/>
      <c r="P27" s="2"/>
      <c r="Q27" s="2"/>
      <c r="R27" s="2"/>
      <c r="S27" s="2"/>
      <c r="T27" s="2"/>
      <c r="U27" s="2"/>
      <c r="V27" s="2"/>
    </row>
    <row r="28" spans="1:22" x14ac:dyDescent="0.25">
      <c r="A28" s="5">
        <v>26</v>
      </c>
      <c r="B28" s="672">
        <f>IFERROR(IF(Doubling_rate_modelled="Combined",
IF(A28&lt;='Patient Calc Assumptions'!$J$20,
2^(A28/('Patient Calc Assumptions'!$F$20/7)),
(2^((A28-'Patient Calc Assumptions'!$J$20)/('Patient Calc Assumptions'!$H$20/7)))*(2^('Patient Calc Assumptions'!$J$20/('Patient Calc Assumptions'!$F$20/7)))),
2^(A28/(VLOOKUP(Doubling_rate_modelled,'Patient Calc Assumptions'!$B$15:$C$21,2,FALSE)/7))),"")</f>
        <v>49758216191607.578</v>
      </c>
      <c r="C28" s="671">
        <f t="shared" si="0"/>
        <v>49758216191607.578</v>
      </c>
      <c r="D28" s="2"/>
      <c r="E28" s="2"/>
      <c r="F28" s="2"/>
      <c r="G28" s="2"/>
      <c r="H28" s="2"/>
      <c r="I28" s="2"/>
      <c r="K28" s="2"/>
      <c r="L28" s="2"/>
      <c r="M28" s="2"/>
      <c r="N28" s="2"/>
      <c r="O28" s="2"/>
      <c r="P28" s="2"/>
      <c r="Q28" s="2"/>
      <c r="R28" s="2"/>
      <c r="S28" s="2"/>
      <c r="T28" s="2"/>
      <c r="U28" s="2"/>
      <c r="V28" s="2"/>
    </row>
    <row r="29" spans="1:22" x14ac:dyDescent="0.25">
      <c r="A29" s="5">
        <v>27</v>
      </c>
      <c r="B29" s="672">
        <f>IFERROR(IF(Doubling_rate_modelled="Combined",
IF(A29&lt;='Patient Calc Assumptions'!$J$20,
2^(A29/('Patient Calc Assumptions'!$F$20/7)),
(2^((A29-'Patient Calc Assumptions'!$J$20)/('Patient Calc Assumptions'!$H$20/7)))*(2^('Patient Calc Assumptions'!$J$20/('Patient Calc Assumptions'!$F$20/7)))),
2^(A29/(VLOOKUP(Doubling_rate_modelled,'Patient Calc Assumptions'!$B$15:$C$21,2,FALSE)/7))),"")</f>
        <v>167366022499767.94</v>
      </c>
      <c r="C29" s="671">
        <f t="shared" si="0"/>
        <v>167366022499767.94</v>
      </c>
      <c r="D29" s="2"/>
      <c r="E29" s="2"/>
      <c r="F29" s="2"/>
      <c r="G29" s="2"/>
      <c r="H29" s="2"/>
      <c r="I29" s="2"/>
      <c r="K29" s="2"/>
      <c r="L29" s="2"/>
      <c r="M29" s="2"/>
      <c r="N29" s="2"/>
      <c r="O29" s="2"/>
      <c r="P29" s="2"/>
      <c r="Q29" s="2"/>
      <c r="R29" s="2"/>
      <c r="S29" s="2"/>
      <c r="T29" s="2"/>
      <c r="U29" s="2"/>
      <c r="V29" s="2"/>
    </row>
    <row r="30" spans="1:22" x14ac:dyDescent="0.25">
      <c r="A30" s="5">
        <v>28</v>
      </c>
      <c r="B30" s="672">
        <f>IFERROR(IF(Doubling_rate_modelled="Combined",
IF(A30&lt;='Patient Calc Assumptions'!$J$20,
2^(A30/('Patient Calc Assumptions'!$F$20/7)),
(2^((A30-'Patient Calc Assumptions'!$J$20)/('Patient Calc Assumptions'!$H$20/7)))*(2^('Patient Calc Assumptions'!$J$20/('Patient Calc Assumptions'!$F$20/7)))),
2^(A30/(VLOOKUP(Doubling_rate_modelled,'Patient Calc Assumptions'!$B$15:$C$21,2,FALSE)/7))),"")</f>
        <v>562949953421312</v>
      </c>
      <c r="C30" s="671">
        <f t="shared" si="0"/>
        <v>562949953421312</v>
      </c>
      <c r="D30" s="2"/>
      <c r="E30" s="2"/>
      <c r="F30" s="2"/>
      <c r="G30" s="2"/>
      <c r="H30" s="2"/>
      <c r="I30" s="2"/>
      <c r="K30" s="2"/>
      <c r="L30" s="2"/>
      <c r="M30" s="2"/>
      <c r="N30" s="2"/>
      <c r="O30" s="2"/>
      <c r="P30" s="2"/>
      <c r="Q30" s="2"/>
      <c r="R30" s="2"/>
      <c r="S30" s="2"/>
      <c r="T30" s="2"/>
      <c r="U30" s="2"/>
      <c r="V30" s="2"/>
    </row>
    <row r="31" spans="1:22" x14ac:dyDescent="0.25">
      <c r="A31" s="5">
        <v>29</v>
      </c>
      <c r="B31" s="672">
        <f>IFERROR(IF(Doubling_rate_modelled="Combined",
IF(A31&lt;='Patient Calc Assumptions'!$J$20,
2^(A31/('Patient Calc Assumptions'!$F$20/7)),
(2^((A31-'Patient Calc Assumptions'!$J$20)/('Patient Calc Assumptions'!$H$20/7)))*(2^('Patient Calc Assumptions'!$J$20/('Patient Calc Assumptions'!$F$20/7)))),
2^(A31/(VLOOKUP(Doubling_rate_modelled,'Patient Calc Assumptions'!$B$15:$C$21,2,FALSE)/7))),"")</f>
        <v>1893530391196911.5</v>
      </c>
      <c r="C31" s="671">
        <f t="shared" si="0"/>
        <v>1893530391196911.5</v>
      </c>
      <c r="D31" s="2"/>
      <c r="E31" s="2"/>
      <c r="F31" s="2"/>
      <c r="G31" s="2"/>
      <c r="H31" s="2"/>
      <c r="I31" s="2"/>
      <c r="K31" s="2"/>
      <c r="L31" s="2"/>
      <c r="M31" s="2"/>
      <c r="N31" s="2"/>
      <c r="O31" s="2"/>
      <c r="P31" s="2"/>
      <c r="Q31" s="2"/>
      <c r="R31" s="2"/>
      <c r="S31" s="2"/>
      <c r="T31" s="2"/>
      <c r="U31" s="2"/>
      <c r="V31" s="2"/>
    </row>
    <row r="32" spans="1:22" x14ac:dyDescent="0.25">
      <c r="A32" s="5">
        <v>30</v>
      </c>
      <c r="B32" s="672">
        <f>IFERROR(IF(Doubling_rate_modelled="Combined",
IF(A32&lt;='Patient Calc Assumptions'!$J$20,
2^(A32/('Patient Calc Assumptions'!$F$20/7)),
(2^((A32-'Patient Calc Assumptions'!$J$20)/('Patient Calc Assumptions'!$H$20/7)))*(2^('Patient Calc Assumptions'!$J$20/('Patient Calc Assumptions'!$F$20/7)))),
2^(A32/(VLOOKUP(Doubling_rate_modelled,'Patient Calc Assumptions'!$B$15:$C$21,2,FALSE)/7))),"")</f>
        <v>6369051672525762</v>
      </c>
      <c r="C32" s="671">
        <f t="shared" si="0"/>
        <v>6369051672525762</v>
      </c>
      <c r="D32" s="2"/>
      <c r="E32" s="2"/>
      <c r="F32" s="2"/>
      <c r="G32" s="2"/>
      <c r="H32" s="2"/>
      <c r="I32" s="2"/>
      <c r="K32" s="2"/>
      <c r="L32" s="2"/>
      <c r="M32" s="2"/>
      <c r="N32" s="2"/>
      <c r="O32" s="2"/>
      <c r="P32" s="2"/>
      <c r="Q32" s="2"/>
      <c r="R32" s="2"/>
      <c r="S32" s="2"/>
      <c r="T32" s="2"/>
      <c r="U32" s="2"/>
      <c r="V32" s="2"/>
    </row>
    <row r="33" spans="1:22" x14ac:dyDescent="0.25">
      <c r="A33" s="5">
        <v>31</v>
      </c>
      <c r="B33" s="672">
        <f>IFERROR(IF(Doubling_rate_modelled="Combined",
IF(A33&lt;='Patient Calc Assumptions'!$J$20,
2^(A33/('Patient Calc Assumptions'!$F$20/7)),
(2^((A33-'Patient Calc Assumptions'!$J$20)/('Patient Calc Assumptions'!$H$20/7)))*(2^('Patient Calc Assumptions'!$J$20/('Patient Calc Assumptions'!$F$20/7)))),
2^(A33/(VLOOKUP(Doubling_rate_modelled,'Patient Calc Assumptions'!$B$15:$C$21,2,FALSE)/7))),"")</f>
        <v>2.1422850879970424E+16</v>
      </c>
      <c r="C33" s="671">
        <f t="shared" si="0"/>
        <v>2.1422850879970424E+16</v>
      </c>
      <c r="D33" s="2"/>
      <c r="E33" s="2"/>
      <c r="F33" s="2"/>
      <c r="G33" s="2"/>
      <c r="H33" s="2"/>
      <c r="I33" s="2"/>
      <c r="K33" s="2"/>
      <c r="L33" s="2"/>
      <c r="M33" s="2"/>
      <c r="N33" s="2"/>
      <c r="O33" s="2"/>
      <c r="P33" s="2"/>
      <c r="Q33" s="2"/>
      <c r="R33" s="2"/>
      <c r="S33" s="2"/>
      <c r="T33" s="2"/>
      <c r="U33" s="2"/>
      <c r="V33" s="2"/>
    </row>
    <row r="34" spans="1:22" x14ac:dyDescent="0.25">
      <c r="A34" s="5">
        <v>32</v>
      </c>
      <c r="B34" s="672">
        <f>IFERROR(IF(Doubling_rate_modelled="Combined",
IF(A34&lt;='Patient Calc Assumptions'!$J$20,
2^(A34/('Patient Calc Assumptions'!$F$20/7)),
(2^((A34-'Patient Calc Assumptions'!$J$20)/('Patient Calc Assumptions'!$H$20/7)))*(2^('Patient Calc Assumptions'!$J$20/('Patient Calc Assumptions'!$F$20/7)))),
2^(A34/(VLOOKUP(Doubling_rate_modelled,'Patient Calc Assumptions'!$B$15:$C$21,2,FALSE)/7))),"")</f>
        <v>7.2057594037927936E+16</v>
      </c>
      <c r="C34" s="671">
        <f t="shared" si="0"/>
        <v>7.2057594037927936E+16</v>
      </c>
      <c r="D34" s="2"/>
      <c r="E34" s="2"/>
      <c r="F34" s="2"/>
      <c r="G34" s="2"/>
      <c r="H34" s="2"/>
      <c r="I34" s="2"/>
      <c r="K34" s="2"/>
      <c r="L34" s="2"/>
      <c r="M34" s="2"/>
      <c r="N34" s="2"/>
      <c r="O34" s="2"/>
      <c r="P34" s="2"/>
      <c r="Q34" s="2"/>
      <c r="R34" s="2"/>
      <c r="S34" s="2"/>
      <c r="T34" s="2"/>
      <c r="U34" s="2"/>
      <c r="V34" s="2"/>
    </row>
    <row r="35" spans="1:22" x14ac:dyDescent="0.25">
      <c r="A35" s="5">
        <v>33</v>
      </c>
      <c r="B35" s="672">
        <f>IFERROR(IF(Doubling_rate_modelled="Combined",
IF(A35&lt;='Patient Calc Assumptions'!$J$20,
2^(A35/('Patient Calc Assumptions'!$F$20/7)),
(2^((A35-'Patient Calc Assumptions'!$J$20)/('Patient Calc Assumptions'!$H$20/7)))*(2^('Patient Calc Assumptions'!$J$20/('Patient Calc Assumptions'!$F$20/7)))),
2^(A35/(VLOOKUP(Doubling_rate_modelled,'Patient Calc Assumptions'!$B$15:$C$21,2,FALSE)/7))),"")</f>
        <v>2.4237189007320442E+17</v>
      </c>
      <c r="C35" s="671">
        <f t="shared" si="0"/>
        <v>2.4237189007320442E+17</v>
      </c>
      <c r="D35" s="2"/>
      <c r="E35" s="2"/>
      <c r="F35" s="2"/>
      <c r="G35" s="2"/>
      <c r="H35" s="2"/>
      <c r="I35" s="2"/>
      <c r="K35" s="2"/>
      <c r="L35" s="2"/>
      <c r="M35" s="2"/>
      <c r="N35" s="2"/>
      <c r="O35" s="2"/>
      <c r="P35" s="2"/>
      <c r="Q35" s="2"/>
      <c r="R35" s="2"/>
      <c r="S35" s="2"/>
      <c r="T35" s="2"/>
      <c r="U35" s="2"/>
      <c r="V35" s="2"/>
    </row>
    <row r="36" spans="1:22" x14ac:dyDescent="0.25">
      <c r="A36" s="5">
        <v>34</v>
      </c>
      <c r="B36" s="672">
        <f>IFERROR(IF(Doubling_rate_modelled="Combined",
IF(A36&lt;='Patient Calc Assumptions'!$J$20,
2^(A36/('Patient Calc Assumptions'!$F$20/7)),
(2^((A36-'Patient Calc Assumptions'!$J$20)/('Patient Calc Assumptions'!$H$20/7)))*(2^('Patient Calc Assumptions'!$J$20/('Patient Calc Assumptions'!$F$20/7)))),
2^(A36/(VLOOKUP(Doubling_rate_modelled,'Patient Calc Assumptions'!$B$15:$C$21,2,FALSE)/7))),"")</f>
        <v>8.1523861408329664E+17</v>
      </c>
      <c r="C36" s="671">
        <f t="shared" si="0"/>
        <v>8.1523861408329664E+17</v>
      </c>
      <c r="D36" s="2"/>
      <c r="E36" s="2"/>
      <c r="F36" s="2"/>
      <c r="G36" s="2"/>
      <c r="H36" s="2"/>
      <c r="I36" s="2"/>
      <c r="K36" s="2"/>
      <c r="L36" s="2"/>
      <c r="M36" s="2"/>
      <c r="N36" s="2"/>
      <c r="O36" s="2"/>
      <c r="P36" s="2"/>
      <c r="Q36" s="2"/>
      <c r="R36" s="2"/>
      <c r="S36" s="2"/>
      <c r="T36" s="2"/>
      <c r="U36" s="2"/>
      <c r="V36" s="2"/>
    </row>
    <row r="37" spans="1:22" x14ac:dyDescent="0.25">
      <c r="A37" s="5">
        <v>35</v>
      </c>
      <c r="B37" s="672">
        <f>IFERROR(IF(Doubling_rate_modelled="Combined",
IF(A37&lt;='Patient Calc Assumptions'!$J$20,
2^(A37/('Patient Calc Assumptions'!$F$20/7)),
(2^((A37-'Patient Calc Assumptions'!$J$20)/('Patient Calc Assumptions'!$H$20/7)))*(2^('Patient Calc Assumptions'!$J$20/('Patient Calc Assumptions'!$F$20/7)))),
2^(A37/(VLOOKUP(Doubling_rate_modelled,'Patient Calc Assumptions'!$B$15:$C$21,2,FALSE)/7))),"")</f>
        <v>2.7421249126362112E+18</v>
      </c>
      <c r="C37" s="671">
        <f t="shared" si="0"/>
        <v>2.7421249126362112E+18</v>
      </c>
      <c r="D37" s="2"/>
      <c r="E37" s="2"/>
      <c r="F37" s="2"/>
      <c r="G37" s="2"/>
      <c r="H37" s="2"/>
      <c r="I37" s="2"/>
      <c r="K37" s="2"/>
      <c r="L37" s="2"/>
      <c r="M37" s="2"/>
      <c r="N37" s="2"/>
      <c r="O37" s="2"/>
      <c r="P37" s="2"/>
      <c r="Q37" s="2"/>
      <c r="R37" s="2"/>
      <c r="S37" s="2"/>
      <c r="T37" s="2"/>
      <c r="U37" s="2"/>
      <c r="V37" s="2"/>
    </row>
    <row r="38" spans="1:22" x14ac:dyDescent="0.25">
      <c r="A38" s="5">
        <v>36</v>
      </c>
      <c r="B38" s="672">
        <f>IFERROR(IF(Doubling_rate_modelled="Combined",
IF(A38&lt;='Patient Calc Assumptions'!$J$20,
2^(A38/('Patient Calc Assumptions'!$F$20/7)),
(2^((A38-'Patient Calc Assumptions'!$J$20)/('Patient Calc Assumptions'!$H$20/7)))*(2^('Patient Calc Assumptions'!$J$20/('Patient Calc Assumptions'!$F$20/7)))),
2^(A38/(VLOOKUP(Doubling_rate_modelled,'Patient Calc Assumptions'!$B$15:$C$21,2,FALSE)/7))),"")</f>
        <v>9.2233720368547758E+18</v>
      </c>
      <c r="C38" s="671">
        <f t="shared" si="0"/>
        <v>9.2233720368547758E+18</v>
      </c>
      <c r="D38" s="2"/>
      <c r="E38" s="2"/>
      <c r="F38" s="2"/>
      <c r="G38" s="2"/>
      <c r="H38" s="2"/>
      <c r="I38" s="2"/>
      <c r="K38" s="2"/>
      <c r="L38" s="2"/>
      <c r="M38" s="2"/>
      <c r="N38" s="2"/>
      <c r="O38" s="2"/>
      <c r="P38" s="2"/>
      <c r="Q38" s="2"/>
      <c r="R38" s="2"/>
      <c r="S38" s="2"/>
      <c r="T38" s="2"/>
      <c r="U38" s="2"/>
      <c r="V38" s="2"/>
    </row>
    <row r="39" spans="1:22" x14ac:dyDescent="0.25">
      <c r="A39" s="5">
        <v>37</v>
      </c>
      <c r="B39" s="672">
        <f>IFERROR(IF(Doubling_rate_modelled="Combined",
IF(A39&lt;='Patient Calc Assumptions'!$J$20,
2^(A39/('Patient Calc Assumptions'!$F$20/7)),
(2^((A39-'Patient Calc Assumptions'!$J$20)/('Patient Calc Assumptions'!$H$20/7)))*(2^('Patient Calc Assumptions'!$J$20/('Patient Calc Assumptions'!$F$20/7)))),
2^(A39/(VLOOKUP(Doubling_rate_modelled,'Patient Calc Assumptions'!$B$15:$C$21,2,FALSE)/7))),"")</f>
        <v>3.1023601929370128E+19</v>
      </c>
      <c r="C39" s="671">
        <f t="shared" si="0"/>
        <v>3.1023601929370128E+19</v>
      </c>
      <c r="D39" s="2"/>
      <c r="E39" s="2"/>
      <c r="F39" s="2"/>
      <c r="G39" s="2"/>
      <c r="H39" s="2"/>
      <c r="I39" s="2"/>
      <c r="K39" s="2"/>
      <c r="L39" s="2"/>
      <c r="M39" s="2"/>
      <c r="N39" s="2"/>
      <c r="O39" s="2"/>
      <c r="P39" s="2"/>
      <c r="Q39" s="2"/>
      <c r="R39" s="2"/>
      <c r="S39" s="2"/>
      <c r="T39" s="2"/>
      <c r="U39" s="2"/>
      <c r="V39" s="2"/>
    </row>
    <row r="40" spans="1:22" x14ac:dyDescent="0.25">
      <c r="A40" s="5">
        <v>38</v>
      </c>
      <c r="B40" s="672">
        <f>IFERROR(IF(Doubling_rate_modelled="Combined",
IF(A40&lt;='Patient Calc Assumptions'!$J$20,
2^(A40/('Patient Calc Assumptions'!$F$20/7)),
(2^((A40-'Patient Calc Assumptions'!$J$20)/('Patient Calc Assumptions'!$H$20/7)))*(2^('Patient Calc Assumptions'!$J$20/('Patient Calc Assumptions'!$F$20/7)))),
2^(A40/(VLOOKUP(Doubling_rate_modelled,'Patient Calc Assumptions'!$B$15:$C$21,2,FALSE)/7))),"")</f>
        <v>1.0435054260266186E+20</v>
      </c>
      <c r="C40" s="671">
        <f t="shared" si="0"/>
        <v>1.0435054260266186E+20</v>
      </c>
      <c r="D40" s="2"/>
      <c r="E40" s="2"/>
      <c r="F40" s="2"/>
      <c r="G40" s="2"/>
      <c r="H40" s="2"/>
      <c r="I40" s="2"/>
      <c r="K40" s="2"/>
      <c r="L40" s="2"/>
      <c r="M40" s="2"/>
      <c r="N40" s="2"/>
      <c r="O40" s="2"/>
      <c r="P40" s="2"/>
      <c r="Q40" s="2"/>
      <c r="R40" s="2"/>
      <c r="S40" s="2"/>
      <c r="T40" s="2"/>
      <c r="U40" s="2"/>
      <c r="V40" s="2"/>
    </row>
    <row r="41" spans="1:22" x14ac:dyDescent="0.25">
      <c r="A41" s="5">
        <v>39</v>
      </c>
      <c r="B41" s="672">
        <f>IFERROR(IF(Doubling_rate_modelled="Combined",
IF(A41&lt;='Patient Calc Assumptions'!$J$20,
2^(A41/('Patient Calc Assumptions'!$F$20/7)),
(2^((A41-'Patient Calc Assumptions'!$J$20)/('Patient Calc Assumptions'!$H$20/7)))*(2^('Patient Calc Assumptions'!$J$20/('Patient Calc Assumptions'!$F$20/7)))),
2^(A41/(VLOOKUP(Doubling_rate_modelled,'Patient Calc Assumptions'!$B$15:$C$21,2,FALSE)/7))),"")</f>
        <v>3.5099198881743464E+20</v>
      </c>
      <c r="C41" s="671">
        <f t="shared" si="0"/>
        <v>3.5099198881743464E+20</v>
      </c>
      <c r="D41" s="2"/>
      <c r="E41" s="2"/>
      <c r="F41" s="2"/>
      <c r="G41" s="2"/>
      <c r="H41" s="2"/>
      <c r="I41" s="2"/>
      <c r="K41" s="2"/>
      <c r="L41" s="2"/>
      <c r="M41" s="2"/>
      <c r="N41" s="2"/>
      <c r="O41" s="2"/>
      <c r="P41" s="2"/>
      <c r="Q41" s="2"/>
      <c r="R41" s="2"/>
      <c r="S41" s="2"/>
      <c r="T41" s="2"/>
      <c r="U41" s="2"/>
      <c r="V41" s="2"/>
    </row>
    <row r="42" spans="1:22" x14ac:dyDescent="0.25">
      <c r="A42" s="5">
        <v>40</v>
      </c>
      <c r="B42" s="672">
        <f>IFERROR(IF(Doubling_rate_modelled="Combined",
IF(A42&lt;='Patient Calc Assumptions'!$J$20,
2^(A42/('Patient Calc Assumptions'!$F$20/7)),
(2^((A42-'Patient Calc Assumptions'!$J$20)/('Patient Calc Assumptions'!$H$20/7)))*(2^('Patient Calc Assumptions'!$J$20/('Patient Calc Assumptions'!$F$20/7)))),
2^(A42/(VLOOKUP(Doubling_rate_modelled,'Patient Calc Assumptions'!$B$15:$C$21,2,FALSE)/7))),"")</f>
        <v>1.1805916207174113E+21</v>
      </c>
      <c r="C42" s="671">
        <f t="shared" si="0"/>
        <v>1.1805916207174113E+21</v>
      </c>
      <c r="D42" s="2"/>
      <c r="E42" s="2"/>
      <c r="F42" s="2"/>
      <c r="G42" s="2"/>
      <c r="H42" s="2"/>
      <c r="I42" s="2"/>
      <c r="K42" s="2"/>
      <c r="L42" s="2"/>
      <c r="M42" s="2"/>
      <c r="N42" s="2"/>
      <c r="O42" s="2"/>
      <c r="P42" s="2"/>
      <c r="Q42" s="2"/>
      <c r="R42" s="2"/>
      <c r="S42" s="2"/>
      <c r="T42" s="2"/>
      <c r="U42" s="2"/>
      <c r="V42" s="2"/>
    </row>
    <row r="43" spans="1:22" x14ac:dyDescent="0.25">
      <c r="A43" s="5">
        <v>41</v>
      </c>
      <c r="B43" s="672">
        <f>IFERROR(IF(Doubling_rate_modelled="Combined",
IF(A43&lt;='Patient Calc Assumptions'!$J$20,
2^(A43/('Patient Calc Assumptions'!$F$20/7)),
(2^((A43-'Patient Calc Assumptions'!$J$20)/('Patient Calc Assumptions'!$H$20/7)))*(2^('Patient Calc Assumptions'!$J$20/('Patient Calc Assumptions'!$F$20/7)))),
2^(A43/(VLOOKUP(Doubling_rate_modelled,'Patient Calc Assumptions'!$B$15:$C$21,2,FALSE)/7))),"")</f>
        <v>3.9710210469593717E+21</v>
      </c>
      <c r="C43" s="671">
        <f t="shared" si="0"/>
        <v>3.9710210469593717E+21</v>
      </c>
      <c r="D43" s="2"/>
      <c r="E43" s="2"/>
      <c r="F43" s="2"/>
      <c r="G43" s="2"/>
      <c r="H43" s="2"/>
      <c r="I43" s="2"/>
      <c r="K43" s="2"/>
      <c r="L43" s="2"/>
      <c r="M43" s="2"/>
      <c r="N43" s="2"/>
      <c r="O43" s="2"/>
      <c r="P43" s="2"/>
      <c r="Q43" s="2"/>
      <c r="R43" s="2"/>
      <c r="S43" s="2"/>
      <c r="T43" s="2"/>
      <c r="U43" s="2"/>
      <c r="V43" s="2"/>
    </row>
    <row r="44" spans="1:22" x14ac:dyDescent="0.25">
      <c r="A44" s="5">
        <v>42</v>
      </c>
      <c r="B44" s="672">
        <f>IFERROR(IF(Doubling_rate_modelled="Combined",
IF(A44&lt;='Patient Calc Assumptions'!$J$20,
2^(A44/('Patient Calc Assumptions'!$F$20/7)),
(2^((A44-'Patient Calc Assumptions'!$J$20)/('Patient Calc Assumptions'!$H$20/7)))*(2^('Patient Calc Assumptions'!$J$20/('Patient Calc Assumptions'!$F$20/7)))),
2^(A44/(VLOOKUP(Doubling_rate_modelled,'Patient Calc Assumptions'!$B$15:$C$21,2,FALSE)/7))),"")</f>
        <v>1.3356869453140701E+22</v>
      </c>
      <c r="C44" s="671">
        <f t="shared" si="0"/>
        <v>1.3356869453140701E+22</v>
      </c>
      <c r="D44" s="2"/>
      <c r="E44" s="2"/>
      <c r="F44" s="2"/>
      <c r="G44" s="2"/>
      <c r="H44" s="2"/>
      <c r="I44" s="2"/>
      <c r="K44" s="2"/>
      <c r="L44" s="2"/>
      <c r="M44" s="2"/>
      <c r="N44" s="2"/>
      <c r="O44" s="2"/>
      <c r="P44" s="2"/>
      <c r="Q44" s="2"/>
      <c r="R44" s="2"/>
      <c r="S44" s="2"/>
      <c r="T44" s="2"/>
      <c r="U44" s="2"/>
      <c r="V44" s="2"/>
    </row>
    <row r="45" spans="1:22" x14ac:dyDescent="0.25">
      <c r="A45" s="5">
        <v>43</v>
      </c>
      <c r="B45" s="672">
        <f>IFERROR(IF(Doubling_rate_modelled="Combined",
IF(A45&lt;='Patient Calc Assumptions'!$J$20,
2^(A45/('Patient Calc Assumptions'!$F$20/7)),
(2^((A45-'Patient Calc Assumptions'!$J$20)/('Patient Calc Assumptions'!$H$20/7)))*(2^('Patient Calc Assumptions'!$J$20/('Patient Calc Assumptions'!$F$20/7)))),
2^(A45/(VLOOKUP(Doubling_rate_modelled,'Patient Calc Assumptions'!$B$15:$C$21,2,FALSE)/7))),"")</f>
        <v>4.4926974568631575E+22</v>
      </c>
      <c r="C45" s="671">
        <f t="shared" si="0"/>
        <v>4.4926974568631575E+22</v>
      </c>
      <c r="D45" s="2"/>
      <c r="E45" s="2"/>
      <c r="F45" s="2"/>
      <c r="G45" s="2"/>
      <c r="H45" s="2"/>
      <c r="I45" s="2"/>
      <c r="K45" s="2"/>
      <c r="L45" s="2"/>
      <c r="M45" s="2"/>
      <c r="N45" s="2"/>
      <c r="O45" s="2"/>
      <c r="P45" s="2"/>
      <c r="Q45" s="2"/>
      <c r="R45" s="2"/>
      <c r="S45" s="2"/>
      <c r="T45" s="2"/>
      <c r="U45" s="2"/>
      <c r="V45" s="2"/>
    </row>
    <row r="46" spans="1:22" x14ac:dyDescent="0.25">
      <c r="A46" s="5">
        <v>44</v>
      </c>
      <c r="B46" s="672">
        <f>IFERROR(IF(Doubling_rate_modelled="Combined",
IF(A46&lt;='Patient Calc Assumptions'!$J$20,
2^(A46/('Patient Calc Assumptions'!$F$20/7)),
(2^((A46-'Patient Calc Assumptions'!$J$20)/('Patient Calc Assumptions'!$H$20/7)))*(2^('Patient Calc Assumptions'!$J$20/('Patient Calc Assumptions'!$F$20/7)))),
2^(A46/(VLOOKUP(Doubling_rate_modelled,'Patient Calc Assumptions'!$B$15:$C$21,2,FALSE)/7))),"")</f>
        <v>1.5111572745182865E+23</v>
      </c>
      <c r="C46" s="671">
        <f t="shared" si="0"/>
        <v>1.5111572745182865E+23</v>
      </c>
      <c r="D46" s="2"/>
      <c r="E46" s="2"/>
      <c r="F46" s="2"/>
      <c r="G46" s="2"/>
      <c r="H46" s="2"/>
      <c r="I46" s="2"/>
      <c r="K46" s="2"/>
      <c r="L46" s="2"/>
      <c r="M46" s="2"/>
      <c r="N46" s="2"/>
      <c r="O46" s="2"/>
      <c r="P46" s="2"/>
      <c r="Q46" s="2"/>
      <c r="R46" s="2"/>
      <c r="S46" s="2"/>
      <c r="T46" s="2"/>
      <c r="U46" s="2"/>
      <c r="V46" s="2"/>
    </row>
    <row r="47" spans="1:22" x14ac:dyDescent="0.25">
      <c r="A47" s="5">
        <v>45</v>
      </c>
      <c r="B47" s="672">
        <f>IFERROR(IF(Doubling_rate_modelled="Combined",
IF(A47&lt;='Patient Calc Assumptions'!$J$20,
2^(A47/('Patient Calc Assumptions'!$F$20/7)),
(2^((A47-'Patient Calc Assumptions'!$J$20)/('Patient Calc Assumptions'!$H$20/7)))*(2^('Patient Calc Assumptions'!$J$20/('Patient Calc Assumptions'!$F$20/7)))),
2^(A47/(VLOOKUP(Doubling_rate_modelled,'Patient Calc Assumptions'!$B$15:$C$21,2,FALSE)/7))),"")</f>
        <v>5.0829069401079898E+23</v>
      </c>
      <c r="C47" s="671">
        <f t="shared" si="0"/>
        <v>5.0829069401079898E+23</v>
      </c>
      <c r="D47" s="2"/>
      <c r="E47" s="2"/>
      <c r="F47" s="2"/>
      <c r="G47" s="2"/>
      <c r="H47" s="2"/>
      <c r="I47" s="2"/>
      <c r="K47" s="2"/>
      <c r="L47" s="2"/>
      <c r="M47" s="2"/>
      <c r="N47" s="2"/>
      <c r="O47" s="2"/>
      <c r="P47" s="2"/>
      <c r="Q47" s="2"/>
      <c r="R47" s="2"/>
      <c r="S47" s="2"/>
      <c r="T47" s="2"/>
      <c r="U47" s="2"/>
      <c r="V47" s="2"/>
    </row>
    <row r="48" spans="1:22" x14ac:dyDescent="0.25">
      <c r="A48" s="5">
        <v>46</v>
      </c>
      <c r="B48" s="672">
        <f>IFERROR(IF(Doubling_rate_modelled="Combined",
IF(A48&lt;='Patient Calc Assumptions'!$J$20,
2^(A48/('Patient Calc Assumptions'!$F$20/7)),
(2^((A48-'Patient Calc Assumptions'!$J$20)/('Patient Calc Assumptions'!$H$20/7)))*(2^('Patient Calc Assumptions'!$J$20/('Patient Calc Assumptions'!$F$20/7)))),
2^(A48/(VLOOKUP(Doubling_rate_modelled,'Patient Calc Assumptions'!$B$15:$C$21,2,FALSE)/7))),"")</f>
        <v>1.7096792900020199E+24</v>
      </c>
      <c r="C48" s="671">
        <f t="shared" si="0"/>
        <v>1.7096792900020199E+24</v>
      </c>
      <c r="D48" s="2"/>
      <c r="E48" s="2"/>
      <c r="F48" s="2"/>
      <c r="G48" s="2"/>
      <c r="H48" s="2"/>
      <c r="I48" s="2"/>
      <c r="K48" s="2"/>
      <c r="L48" s="2"/>
      <c r="M48" s="2"/>
      <c r="N48" s="2"/>
      <c r="O48" s="2"/>
      <c r="P48" s="2"/>
      <c r="Q48" s="2"/>
      <c r="R48" s="2"/>
      <c r="S48" s="2"/>
      <c r="T48" s="2"/>
      <c r="U48" s="2"/>
      <c r="V48" s="2"/>
    </row>
    <row r="49" spans="1:22" x14ac:dyDescent="0.25">
      <c r="A49" s="5">
        <v>47</v>
      </c>
      <c r="B49" s="672">
        <f>IFERROR(IF(Doubling_rate_modelled="Combined",
IF(A49&lt;='Patient Calc Assumptions'!$J$20,
2^(A49/('Patient Calc Assumptions'!$F$20/7)),
(2^((A49-'Patient Calc Assumptions'!$J$20)/('Patient Calc Assumptions'!$H$20/7)))*(2^('Patient Calc Assumptions'!$J$20/('Patient Calc Assumptions'!$F$20/7)))),
2^(A49/(VLOOKUP(Doubling_rate_modelled,'Patient Calc Assumptions'!$B$15:$C$21,2,FALSE)/7))),"")</f>
        <v>5.7506527447848352E+24</v>
      </c>
      <c r="C49" s="671">
        <f t="shared" si="0"/>
        <v>5.7506527447848352E+24</v>
      </c>
      <c r="D49" s="2"/>
      <c r="E49" s="2"/>
      <c r="F49" s="2"/>
      <c r="G49" s="2"/>
      <c r="H49" s="2"/>
      <c r="I49" s="2"/>
      <c r="K49" s="2"/>
      <c r="L49" s="2"/>
      <c r="M49" s="2"/>
      <c r="N49" s="2"/>
      <c r="O49" s="2"/>
      <c r="P49" s="2"/>
      <c r="Q49" s="2"/>
      <c r="R49" s="2"/>
      <c r="S49" s="2"/>
      <c r="T49" s="2"/>
      <c r="U49" s="2"/>
      <c r="V49" s="2"/>
    </row>
    <row r="50" spans="1:22" x14ac:dyDescent="0.25">
      <c r="A50" s="5">
        <v>48</v>
      </c>
      <c r="B50" s="672">
        <f>IFERROR(IF(Doubling_rate_modelled="Combined",
IF(A50&lt;='Patient Calc Assumptions'!$J$20,
2^(A50/('Patient Calc Assumptions'!$F$20/7)),
(2^((A50-'Patient Calc Assumptions'!$J$20)/('Patient Calc Assumptions'!$H$20/7)))*(2^('Patient Calc Assumptions'!$J$20/('Patient Calc Assumptions'!$F$20/7)))),
2^(A50/(VLOOKUP(Doubling_rate_modelled,'Patient Calc Assumptions'!$B$15:$C$21,2,FALSE)/7))),"")</f>
        <v>1.9342813113834067E+25</v>
      </c>
      <c r="C50" s="671">
        <f t="shared" si="0"/>
        <v>1.9342813113834067E+25</v>
      </c>
      <c r="D50" s="2"/>
      <c r="E50" s="2"/>
      <c r="F50" s="2"/>
      <c r="G50" s="2"/>
      <c r="H50" s="2"/>
      <c r="I50" s="2"/>
      <c r="K50" s="2"/>
      <c r="L50" s="2"/>
      <c r="M50" s="2"/>
      <c r="N50" s="2"/>
      <c r="O50" s="2"/>
      <c r="P50" s="2"/>
      <c r="Q50" s="2"/>
      <c r="R50" s="2"/>
      <c r="S50" s="2"/>
      <c r="T50" s="2"/>
      <c r="U50" s="2"/>
      <c r="V50" s="2"/>
    </row>
    <row r="51" spans="1:22" x14ac:dyDescent="0.25">
      <c r="A51" s="5">
        <v>49</v>
      </c>
      <c r="B51" s="672">
        <f>IFERROR(IF(Doubling_rate_modelled="Combined",
IF(A51&lt;='Patient Calc Assumptions'!$J$20,
2^(A51/('Patient Calc Assumptions'!$F$20/7)),
(2^((A51-'Patient Calc Assumptions'!$J$20)/('Patient Calc Assumptions'!$H$20/7)))*(2^('Patient Calc Assumptions'!$J$20/('Patient Calc Assumptions'!$F$20/7)))),
2^(A51/(VLOOKUP(Doubling_rate_modelled,'Patient Calc Assumptions'!$B$15:$C$21,2,FALSE)/7))),"")</f>
        <v>6.5061208833382192E+25</v>
      </c>
      <c r="C51" s="671">
        <f t="shared" si="0"/>
        <v>6.5061208833382192E+25</v>
      </c>
      <c r="D51" s="2"/>
      <c r="E51" s="2"/>
      <c r="F51" s="2"/>
      <c r="G51" s="2"/>
      <c r="H51" s="2"/>
      <c r="I51" s="2"/>
      <c r="K51" s="2"/>
      <c r="L51" s="2"/>
      <c r="M51" s="2"/>
      <c r="N51" s="2"/>
      <c r="O51" s="2"/>
      <c r="P51" s="2"/>
      <c r="Q51" s="2"/>
      <c r="R51" s="2"/>
      <c r="S51" s="2"/>
      <c r="T51" s="2"/>
      <c r="U51" s="2"/>
      <c r="V51" s="2"/>
    </row>
    <row r="52" spans="1:22" x14ac:dyDescent="0.25">
      <c r="A52" s="5">
        <v>50</v>
      </c>
      <c r="B52" s="672">
        <f>IFERROR(IF(Doubling_rate_modelled="Combined",
IF(A52&lt;='Patient Calc Assumptions'!$J$20,
2^(A52/('Patient Calc Assumptions'!$F$20/7)),
(2^((A52-'Patient Calc Assumptions'!$J$20)/('Patient Calc Assumptions'!$H$20/7)))*(2^('Patient Calc Assumptions'!$J$20/('Patient Calc Assumptions'!$F$20/7)))),
2^(A52/(VLOOKUP(Doubling_rate_modelled,'Patient Calc Assumptions'!$B$15:$C$21,2,FALSE)/7))),"")</f>
        <v>2.1883894912025831E+26</v>
      </c>
      <c r="C52" s="671">
        <f t="shared" si="0"/>
        <v>2.1883894912025831E+26</v>
      </c>
      <c r="D52" s="2"/>
      <c r="E52" s="2"/>
      <c r="F52" s="2"/>
      <c r="G52" s="2"/>
      <c r="H52" s="2"/>
      <c r="I52" s="2"/>
      <c r="K52" s="2"/>
      <c r="L52" s="2"/>
      <c r="M52" s="2"/>
      <c r="N52" s="2"/>
      <c r="O52" s="2"/>
      <c r="P52" s="2"/>
      <c r="Q52" s="2"/>
      <c r="R52" s="2"/>
      <c r="S52" s="2"/>
      <c r="T52" s="2"/>
      <c r="U52" s="2"/>
      <c r="V52" s="2"/>
    </row>
    <row r="53" spans="1:22" x14ac:dyDescent="0.25">
      <c r="A53" s="5">
        <v>51</v>
      </c>
      <c r="B53" s="672">
        <f>IFERROR(IF(Doubling_rate_modelled="Combined",
IF(A53&lt;='Patient Calc Assumptions'!$J$20,
2^(A53/('Patient Calc Assumptions'!$F$20/7)),
(2^((A53-'Patient Calc Assumptions'!$J$20)/('Patient Calc Assumptions'!$H$20/7)))*(2^('Patient Calc Assumptions'!$J$20/('Patient Calc Assumptions'!$F$20/7)))),
2^(A53/(VLOOKUP(Doubling_rate_modelled,'Patient Calc Assumptions'!$B$15:$C$21,2,FALSE)/7))),"")</f>
        <v>7.3608355133245808E+26</v>
      </c>
      <c r="C53" s="671">
        <f t="shared" si="0"/>
        <v>7.3608355133245808E+26</v>
      </c>
      <c r="D53" s="2"/>
      <c r="E53" s="2"/>
      <c r="F53" s="2"/>
      <c r="G53" s="2"/>
      <c r="H53" s="2"/>
      <c r="I53" s="2"/>
      <c r="K53" s="2"/>
      <c r="L53" s="2"/>
      <c r="M53" s="2"/>
      <c r="N53" s="2"/>
      <c r="O53" s="2"/>
      <c r="P53" s="2"/>
      <c r="Q53" s="2"/>
      <c r="R53" s="2"/>
      <c r="S53" s="2"/>
      <c r="T53" s="2"/>
      <c r="U53" s="2"/>
      <c r="V53" s="2"/>
    </row>
    <row r="54" spans="1:22" x14ac:dyDescent="0.25">
      <c r="A54" s="5">
        <v>52</v>
      </c>
      <c r="B54" s="672">
        <f>IFERROR(IF(Doubling_rate_modelled="Combined",
IF(A54&lt;='Patient Calc Assumptions'!$J$20,
2^(A54/('Patient Calc Assumptions'!$F$20/7)),
(2^((A54-'Patient Calc Assumptions'!$J$20)/('Patient Calc Assumptions'!$H$20/7)))*(2^('Patient Calc Assumptions'!$J$20/('Patient Calc Assumptions'!$F$20/7)))),
2^(A54/(VLOOKUP(Doubling_rate_modelled,'Patient Calc Assumptions'!$B$15:$C$21,2,FALSE)/7))),"")</f>
        <v>2.4758800785707605E+27</v>
      </c>
      <c r="C54" s="671">
        <f t="shared" si="0"/>
        <v>2.4758800785707605E+27</v>
      </c>
      <c r="D54" s="2"/>
      <c r="E54" s="2"/>
      <c r="F54" s="2"/>
      <c r="G54" s="2"/>
      <c r="H54" s="2"/>
      <c r="I54" s="2"/>
      <c r="K54" s="2"/>
      <c r="L54" s="2"/>
      <c r="M54" s="2"/>
      <c r="N54" s="2"/>
      <c r="O54" s="2"/>
      <c r="P54" s="2"/>
      <c r="Q54" s="2"/>
      <c r="R54" s="2"/>
      <c r="S54" s="2"/>
      <c r="T54" s="2"/>
      <c r="U54" s="2"/>
      <c r="V54" s="2"/>
    </row>
    <row r="55" spans="1:22" x14ac:dyDescent="0.25">
      <c r="K55" s="2"/>
      <c r="L55" s="2"/>
      <c r="M55" s="2"/>
      <c r="N55" s="2"/>
      <c r="O55" s="2"/>
      <c r="P55" s="2"/>
    </row>
    <row r="56" spans="1:22" x14ac:dyDescent="0.25">
      <c r="K56" s="2"/>
      <c r="L56" s="2"/>
      <c r="M56" s="2"/>
      <c r="N56" s="2"/>
      <c r="O56" s="2"/>
      <c r="P56" s="2"/>
    </row>
    <row r="57" spans="1:22" x14ac:dyDescent="0.25">
      <c r="K57" s="2"/>
      <c r="L57" s="2"/>
      <c r="M57" s="2"/>
      <c r="N57" s="2"/>
      <c r="O57" s="2"/>
      <c r="P57" s="2"/>
    </row>
    <row r="58" spans="1:22" x14ac:dyDescent="0.25">
      <c r="K58" s="2"/>
      <c r="L58" s="2"/>
      <c r="M58" s="2"/>
      <c r="N58" s="2"/>
      <c r="O58" s="2"/>
      <c r="P58" s="2"/>
    </row>
    <row r="59" spans="1:22" x14ac:dyDescent="0.25">
      <c r="K59" s="2"/>
      <c r="L59" s="2"/>
      <c r="M59" s="2"/>
      <c r="N59" s="2"/>
      <c r="O59" s="2"/>
      <c r="P59" s="2"/>
    </row>
    <row r="60" spans="1:22" x14ac:dyDescent="0.25">
      <c r="K60" s="2"/>
      <c r="L60" s="2"/>
      <c r="M60" s="2"/>
      <c r="N60" s="2"/>
      <c r="O60" s="2"/>
      <c r="P60" s="2"/>
    </row>
    <row r="61" spans="1:22" x14ac:dyDescent="0.25">
      <c r="K61" s="2"/>
      <c r="L61" s="2"/>
      <c r="M61" s="2"/>
      <c r="N61" s="2"/>
      <c r="O61" s="2"/>
      <c r="P61" s="2"/>
    </row>
    <row r="62" spans="1:22" x14ac:dyDescent="0.25">
      <c r="L62" s="2"/>
      <c r="M62" s="2"/>
      <c r="N62" s="2"/>
      <c r="O62" s="2"/>
      <c r="P62" s="2"/>
    </row>
    <row r="63" spans="1:22" x14ac:dyDescent="0.25">
      <c r="L63" s="2"/>
      <c r="M63" s="2"/>
      <c r="N63" s="2"/>
      <c r="O63" s="2"/>
      <c r="P63" s="2"/>
    </row>
    <row r="64" spans="1:22" x14ac:dyDescent="0.25">
      <c r="L64" s="2"/>
      <c r="M64" s="2"/>
      <c r="N64" s="2"/>
      <c r="O64" s="2"/>
      <c r="P64" s="2"/>
    </row>
    <row r="65" spans="12:16" x14ac:dyDescent="0.25">
      <c r="L65" s="2"/>
      <c r="M65" s="2"/>
      <c r="N65" s="2"/>
      <c r="O65" s="2"/>
      <c r="P65" s="2"/>
    </row>
    <row r="66" spans="12:16" x14ac:dyDescent="0.25">
      <c r="L66" s="2"/>
      <c r="M66" s="2"/>
      <c r="N66" s="2"/>
      <c r="O66" s="2"/>
      <c r="P66" s="2"/>
    </row>
    <row r="67" spans="12:16" x14ac:dyDescent="0.25">
      <c r="L67" s="2"/>
      <c r="N67" s="2"/>
      <c r="O67" s="2"/>
      <c r="P67" s="2"/>
    </row>
    <row r="68" spans="12:16" x14ac:dyDescent="0.25">
      <c r="O68" s="2"/>
    </row>
  </sheetData>
  <sheetProtection algorithmName="SHA-512" hashValue="0meLH7sroihoF9aO5UirJDqytc0EEiWq58oEaUKZBouqNFTrtuPQ8779Ku5BLz1s3Pg68Rtc9EvYAgnnSx2GLA==" saltValue="qeGGu8m0WPDYYXsgLGZsAA==" spinCount="100000" sheet="1" objects="1" scenarios="1"/>
  <mergeCells count="2">
    <mergeCell ref="D1:F1"/>
    <mergeCell ref="D3:G4"/>
  </mergeCells>
  <dataValidations count="2">
    <dataValidation type="whole" operator="greaterThanOrEqual" allowBlank="1" showInputMessage="1" showErrorMessage="1" sqref="C2">
      <formula1>0</formula1>
    </dataValidation>
    <dataValidation type="whole" operator="greaterThanOrEqual" allowBlank="1" showInputMessage="1" showErrorMessage="1" errorTitle="Cumulative cases to be entered" error="Please enter a value greater than or equal to the cell above. These numbers should be cumulative cases, covering mild, severe and critical case numbers." sqref="C3:C54">
      <formula1>C2</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2"/>
  <sheetViews>
    <sheetView showGridLines="0" zoomScaleNormal="100" workbookViewId="0"/>
  </sheetViews>
  <sheetFormatPr defaultRowHeight="15" x14ac:dyDescent="0.25"/>
  <sheetData>
    <row r="2" spans="2:2" x14ac:dyDescent="0.25">
      <c r="B2" s="31" t="s">
        <v>774</v>
      </c>
    </row>
  </sheetData>
  <sheetProtection algorithmName="SHA-512" hashValue="WeTTF2qKVmo/64ZRvNmdwsC825vtpjYJES3ED315hWfDv1fWypK8UsnUlr0uJpJqxeyDtIUcl+KRXWcP0mkrog==" saltValue="QhchXvPI5q2U2vU9iYqPk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7FB8"/>
    <pageSetUpPr autoPageBreaks="0"/>
  </sheetPr>
  <dimension ref="A1:G80"/>
  <sheetViews>
    <sheetView showGridLines="0" zoomScale="85" zoomScaleNormal="85" workbookViewId="0">
      <selection activeCell="D3" sqref="D3"/>
    </sheetView>
  </sheetViews>
  <sheetFormatPr defaultColWidth="8.5703125" defaultRowHeight="15" x14ac:dyDescent="0.25"/>
  <cols>
    <col min="1" max="1" width="2.5703125" style="138" customWidth="1"/>
    <col min="2" max="2" width="3.5703125" style="138" customWidth="1"/>
    <col min="3" max="3" width="25.5703125" style="138" customWidth="1"/>
    <col min="4" max="4" width="4.5703125" style="138" customWidth="1"/>
    <col min="5" max="6" width="3.42578125" style="138" customWidth="1"/>
    <col min="7" max="7" width="136" style="138" customWidth="1"/>
    <col min="8" max="16384" width="8.5703125" style="138"/>
  </cols>
  <sheetData>
    <row r="1" spans="1:7" ht="8.1" customHeight="1" x14ac:dyDescent="0.25">
      <c r="B1" s="4"/>
      <c r="C1" s="4"/>
    </row>
    <row r="2" spans="1:7" s="147" customFormat="1" ht="39" customHeight="1" x14ac:dyDescent="0.3">
      <c r="C2" s="148"/>
      <c r="D2" s="148" t="s">
        <v>1591</v>
      </c>
      <c r="E2" s="148"/>
    </row>
    <row r="3" spans="1:7" x14ac:dyDescent="0.25">
      <c r="A3" s="157"/>
      <c r="B3" s="157" t="s">
        <v>1592</v>
      </c>
    </row>
    <row r="4" spans="1:7" ht="15.75" thickBot="1" x14ac:dyDescent="0.3">
      <c r="B4" s="157"/>
    </row>
    <row r="5" spans="1:7" ht="23.1" customHeight="1" thickBot="1" x14ac:dyDescent="0.3">
      <c r="B5" s="693" t="s">
        <v>1338</v>
      </c>
      <c r="C5" s="694"/>
      <c r="D5" s="694"/>
      <c r="E5" s="694"/>
      <c r="F5" s="694"/>
      <c r="G5" s="695"/>
    </row>
    <row r="6" spans="1:7" ht="122.1" customHeight="1" thickBot="1" x14ac:dyDescent="0.3">
      <c r="B6" s="696" t="s">
        <v>1379</v>
      </c>
      <c r="C6" s="697"/>
      <c r="D6" s="697"/>
      <c r="E6" s="697"/>
      <c r="F6" s="697"/>
      <c r="G6" s="698"/>
    </row>
    <row r="8" spans="1:7" ht="15.75" x14ac:dyDescent="0.25">
      <c r="B8" s="690" t="s">
        <v>1253</v>
      </c>
      <c r="C8" s="691"/>
      <c r="D8" s="691"/>
      <c r="E8" s="691"/>
      <c r="F8" s="691"/>
      <c r="G8" s="692"/>
    </row>
    <row r="9" spans="1:7" ht="6.6" customHeight="1" x14ac:dyDescent="0.25"/>
    <row r="10" spans="1:7" x14ac:dyDescent="0.25">
      <c r="B10" s="138" t="s">
        <v>1254</v>
      </c>
    </row>
    <row r="11" spans="1:7" ht="6" customHeight="1" x14ac:dyDescent="0.25"/>
    <row r="12" spans="1:7" x14ac:dyDescent="0.25">
      <c r="B12" s="699" t="s">
        <v>897</v>
      </c>
      <c r="C12" s="699"/>
      <c r="D12" s="699"/>
      <c r="F12" s="699" t="s">
        <v>878</v>
      </c>
      <c r="G12" s="699"/>
    </row>
    <row r="13" spans="1:7" ht="20.100000000000001" customHeight="1" x14ac:dyDescent="0.25">
      <c r="B13" s="150">
        <v>1</v>
      </c>
      <c r="C13" s="151" t="s">
        <v>894</v>
      </c>
      <c r="D13" s="260"/>
      <c r="F13" s="150">
        <v>1</v>
      </c>
      <c r="G13" s="260" t="s">
        <v>1019</v>
      </c>
    </row>
    <row r="14" spans="1:7" ht="16.899999999999999" customHeight="1" x14ac:dyDescent="0.25">
      <c r="G14" s="373" t="s">
        <v>1255</v>
      </c>
    </row>
    <row r="15" spans="1:7" ht="19.899999999999999" customHeight="1" x14ac:dyDescent="0.25">
      <c r="B15" s="150">
        <v>2</v>
      </c>
      <c r="C15" s="261" t="s">
        <v>1020</v>
      </c>
      <c r="D15" s="260"/>
      <c r="F15" s="150">
        <v>2</v>
      </c>
      <c r="G15" s="260" t="s">
        <v>1274</v>
      </c>
    </row>
    <row r="16" spans="1:7" ht="20.100000000000001" customHeight="1" x14ac:dyDescent="0.25">
      <c r="C16" s="153"/>
      <c r="D16" s="260"/>
      <c r="G16" s="262" t="s">
        <v>1021</v>
      </c>
    </row>
    <row r="17" spans="2:7" ht="48" customHeight="1" x14ac:dyDescent="0.25">
      <c r="B17" s="152"/>
      <c r="C17" s="260"/>
      <c r="D17" s="260"/>
      <c r="F17" s="158"/>
      <c r="G17" s="159" t="s">
        <v>1256</v>
      </c>
    </row>
    <row r="18" spans="2:7" ht="135" x14ac:dyDescent="0.25">
      <c r="B18" s="152"/>
      <c r="C18" s="260"/>
      <c r="D18" s="260"/>
      <c r="F18" s="152"/>
      <c r="G18" s="158" t="s">
        <v>1337</v>
      </c>
    </row>
    <row r="19" spans="2:7" ht="93.6" customHeight="1" x14ac:dyDescent="0.25">
      <c r="B19" s="152"/>
      <c r="C19" s="260"/>
      <c r="D19" s="260"/>
      <c r="F19" s="152"/>
      <c r="G19" s="158" t="s">
        <v>1336</v>
      </c>
    </row>
    <row r="20" spans="2:7" ht="45" x14ac:dyDescent="0.25">
      <c r="C20" s="153"/>
      <c r="D20" s="260"/>
      <c r="E20" s="154"/>
      <c r="G20" s="521" t="s">
        <v>1547</v>
      </c>
    </row>
    <row r="21" spans="2:7" ht="23.1" customHeight="1" x14ac:dyDescent="0.25">
      <c r="B21" s="150">
        <v>3</v>
      </c>
      <c r="C21" s="153" t="s">
        <v>1022</v>
      </c>
      <c r="D21" s="260"/>
      <c r="F21" s="150">
        <v>3</v>
      </c>
      <c r="G21" s="263" t="s">
        <v>1023</v>
      </c>
    </row>
    <row r="22" spans="2:7" ht="15" customHeight="1" x14ac:dyDescent="0.25">
      <c r="B22" s="152"/>
      <c r="C22" s="260"/>
      <c r="D22" s="260"/>
      <c r="F22" s="158"/>
      <c r="G22" s="264" t="s">
        <v>1358</v>
      </c>
    </row>
    <row r="23" spans="2:7" ht="30" x14ac:dyDescent="0.25">
      <c r="B23" s="154"/>
      <c r="C23" s="260"/>
      <c r="D23" s="260"/>
      <c r="E23" s="154"/>
      <c r="F23" s="154"/>
      <c r="G23" s="264" t="s">
        <v>1359</v>
      </c>
    </row>
    <row r="24" spans="2:7" ht="30" x14ac:dyDescent="0.25">
      <c r="B24" s="154"/>
      <c r="C24" s="260"/>
      <c r="D24" s="260"/>
      <c r="E24" s="154"/>
      <c r="F24" s="154"/>
      <c r="G24" s="264" t="s">
        <v>1582</v>
      </c>
    </row>
    <row r="25" spans="2:7" x14ac:dyDescent="0.25">
      <c r="B25" s="154"/>
      <c r="C25" s="260"/>
      <c r="D25" s="260"/>
      <c r="E25" s="154"/>
      <c r="F25" s="154"/>
      <c r="G25" s="263"/>
    </row>
    <row r="26" spans="2:7" ht="15.75" x14ac:dyDescent="0.25">
      <c r="B26" s="150">
        <v>4</v>
      </c>
      <c r="C26" s="153" t="s">
        <v>1350</v>
      </c>
      <c r="D26" s="260"/>
      <c r="F26" s="150">
        <v>4</v>
      </c>
      <c r="G26" s="263" t="s">
        <v>1351</v>
      </c>
    </row>
    <row r="27" spans="2:7" ht="45" x14ac:dyDescent="0.25">
      <c r="B27" s="154"/>
      <c r="C27" s="260"/>
      <c r="D27" s="260"/>
      <c r="E27" s="154"/>
      <c r="F27" s="154"/>
      <c r="G27" s="262" t="s">
        <v>1390</v>
      </c>
    </row>
    <row r="28" spans="2:7" x14ac:dyDescent="0.25">
      <c r="B28" s="154"/>
      <c r="C28" s="260"/>
      <c r="D28" s="260"/>
      <c r="E28" s="154"/>
      <c r="F28" s="154"/>
      <c r="G28" s="262" t="s">
        <v>1352</v>
      </c>
    </row>
    <row r="29" spans="2:7" x14ac:dyDescent="0.25">
      <c r="B29" s="154"/>
      <c r="C29" s="260"/>
      <c r="D29" s="260"/>
      <c r="E29" s="154"/>
      <c r="F29" s="154"/>
      <c r="G29" s="262" t="s">
        <v>1353</v>
      </c>
    </row>
    <row r="30" spans="2:7" x14ac:dyDescent="0.25">
      <c r="B30" s="154"/>
      <c r="C30" s="260"/>
      <c r="D30" s="260"/>
      <c r="E30" s="154"/>
      <c r="F30" s="154"/>
      <c r="G30" s="405" t="s">
        <v>1354</v>
      </c>
    </row>
    <row r="31" spans="2:7" x14ac:dyDescent="0.25">
      <c r="B31" s="154"/>
      <c r="C31" s="260"/>
      <c r="D31" s="260"/>
      <c r="E31" s="154"/>
      <c r="F31" s="154"/>
      <c r="G31" s="262"/>
    </row>
    <row r="32" spans="2:7" ht="15.75" x14ac:dyDescent="0.25">
      <c r="B32" s="150">
        <v>5</v>
      </c>
      <c r="C32" s="153" t="s">
        <v>1273</v>
      </c>
      <c r="D32" s="260"/>
      <c r="E32" s="154"/>
      <c r="F32" s="150">
        <v>5</v>
      </c>
      <c r="G32" s="265" t="s">
        <v>1355</v>
      </c>
    </row>
    <row r="33" spans="2:7" ht="45" x14ac:dyDescent="0.25">
      <c r="C33" s="153"/>
      <c r="D33" s="260"/>
      <c r="E33" s="154"/>
      <c r="G33" s="406" t="s">
        <v>1166</v>
      </c>
    </row>
    <row r="34" spans="2:7" ht="30" x14ac:dyDescent="0.25">
      <c r="C34" s="153"/>
      <c r="D34" s="260"/>
      <c r="E34" s="154"/>
      <c r="G34" s="407" t="s">
        <v>1583</v>
      </c>
    </row>
    <row r="35" spans="2:7" x14ac:dyDescent="0.25">
      <c r="B35" s="154"/>
      <c r="C35" s="260"/>
      <c r="D35" s="260"/>
      <c r="E35" s="154"/>
      <c r="F35" s="154"/>
      <c r="G35" s="263"/>
    </row>
    <row r="36" spans="2:7" ht="15.75" x14ac:dyDescent="0.25">
      <c r="B36" s="690" t="s">
        <v>1024</v>
      </c>
      <c r="C36" s="691"/>
      <c r="D36" s="691"/>
      <c r="E36" s="691"/>
      <c r="F36" s="691"/>
      <c r="G36" s="692"/>
    </row>
    <row r="37" spans="2:7" ht="6.6" customHeight="1" x14ac:dyDescent="0.25"/>
    <row r="38" spans="2:7" x14ac:dyDescent="0.25">
      <c r="B38" s="688" t="s">
        <v>1257</v>
      </c>
      <c r="C38" s="688"/>
      <c r="D38" s="688"/>
      <c r="E38" s="688"/>
      <c r="F38" s="688"/>
      <c r="G38" s="688"/>
    </row>
    <row r="39" spans="2:7" ht="16.350000000000001" customHeight="1" x14ac:dyDescent="0.25">
      <c r="B39" s="689" t="s">
        <v>1258</v>
      </c>
      <c r="C39" s="689"/>
      <c r="D39" s="689"/>
      <c r="E39" s="689"/>
      <c r="F39" s="689"/>
      <c r="G39" s="689"/>
    </row>
    <row r="40" spans="2:7" ht="23.1" customHeight="1" x14ac:dyDescent="0.25">
      <c r="B40" s="403" t="s">
        <v>1395</v>
      </c>
      <c r="D40" s="402"/>
      <c r="E40" s="402"/>
      <c r="F40" s="402"/>
      <c r="G40" s="402"/>
    </row>
    <row r="41" spans="2:7" x14ac:dyDescent="0.25">
      <c r="B41" s="266" t="s">
        <v>1385</v>
      </c>
      <c r="D41" s="402"/>
      <c r="E41" s="402"/>
      <c r="F41" s="402"/>
      <c r="G41" s="402"/>
    </row>
    <row r="42" spans="2:7" x14ac:dyDescent="0.25">
      <c r="B42" s="266" t="s">
        <v>1386</v>
      </c>
      <c r="D42" s="402"/>
      <c r="E42" s="402"/>
      <c r="F42" s="402"/>
      <c r="G42" s="402"/>
    </row>
    <row r="43" spans="2:7" x14ac:dyDescent="0.25">
      <c r="B43" s="266" t="s">
        <v>899</v>
      </c>
      <c r="D43" s="402"/>
      <c r="E43" s="402"/>
      <c r="F43" s="402"/>
      <c r="G43" s="402"/>
    </row>
    <row r="44" spans="2:7" x14ac:dyDescent="0.25">
      <c r="B44" s="266" t="s">
        <v>1387</v>
      </c>
      <c r="D44" s="402"/>
      <c r="E44" s="402"/>
      <c r="F44" s="402"/>
      <c r="G44" s="402"/>
    </row>
    <row r="45" spans="2:7" x14ac:dyDescent="0.25">
      <c r="B45" s="266" t="s">
        <v>898</v>
      </c>
      <c r="D45" s="402"/>
      <c r="E45" s="402"/>
      <c r="F45" s="402"/>
      <c r="G45" s="402"/>
    </row>
    <row r="46" spans="2:7" x14ac:dyDescent="0.25">
      <c r="B46" s="266" t="s">
        <v>900</v>
      </c>
      <c r="D46" s="402"/>
      <c r="E46" s="402"/>
      <c r="F46" s="402"/>
      <c r="G46" s="402"/>
    </row>
    <row r="48" spans="2:7" ht="15.75" x14ac:dyDescent="0.25">
      <c r="B48" s="690" t="s">
        <v>1025</v>
      </c>
      <c r="C48" s="691"/>
      <c r="D48" s="691"/>
      <c r="E48" s="691"/>
      <c r="F48" s="691"/>
      <c r="G48" s="692"/>
    </row>
    <row r="49" spans="2:2" x14ac:dyDescent="0.25">
      <c r="B49" s="138" t="s">
        <v>1357</v>
      </c>
    </row>
    <row r="51" spans="2:2" x14ac:dyDescent="0.25">
      <c r="B51" s="4" t="s">
        <v>1259</v>
      </c>
    </row>
    <row r="52" spans="2:2" x14ac:dyDescent="0.25">
      <c r="B52" s="138" t="s">
        <v>1260</v>
      </c>
    </row>
    <row r="53" spans="2:2" x14ac:dyDescent="0.25">
      <c r="B53" s="267" t="s">
        <v>1261</v>
      </c>
    </row>
    <row r="54" spans="2:2" x14ac:dyDescent="0.25">
      <c r="B54" s="138" t="s">
        <v>1262</v>
      </c>
    </row>
    <row r="56" spans="2:2" x14ac:dyDescent="0.25">
      <c r="B56" s="4" t="s">
        <v>1026</v>
      </c>
    </row>
    <row r="57" spans="2:2" x14ac:dyDescent="0.25">
      <c r="B57" s="138" t="s">
        <v>1263</v>
      </c>
    </row>
    <row r="58" spans="2:2" x14ac:dyDescent="0.25">
      <c r="B58" s="138" t="s">
        <v>1264</v>
      </c>
    </row>
    <row r="59" spans="2:2" x14ac:dyDescent="0.25">
      <c r="B59" s="138" t="s">
        <v>1265</v>
      </c>
    </row>
    <row r="60" spans="2:2" x14ac:dyDescent="0.25">
      <c r="B60" s="267" t="s">
        <v>1266</v>
      </c>
    </row>
    <row r="62" spans="2:2" x14ac:dyDescent="0.25">
      <c r="B62" s="4" t="s">
        <v>1267</v>
      </c>
    </row>
    <row r="63" spans="2:2" x14ac:dyDescent="0.25">
      <c r="B63" s="138" t="s">
        <v>1282</v>
      </c>
    </row>
    <row r="64" spans="2:2" x14ac:dyDescent="0.25">
      <c r="B64" s="267" t="s">
        <v>1283</v>
      </c>
    </row>
    <row r="65" spans="2:2" x14ac:dyDescent="0.25">
      <c r="B65" s="267" t="s">
        <v>1284</v>
      </c>
    </row>
    <row r="66" spans="2:2" x14ac:dyDescent="0.25">
      <c r="B66" s="267"/>
    </row>
    <row r="67" spans="2:2" x14ac:dyDescent="0.25">
      <c r="B67" s="4" t="s">
        <v>1171</v>
      </c>
    </row>
    <row r="68" spans="2:2" x14ac:dyDescent="0.25">
      <c r="B68" s="267" t="s">
        <v>1393</v>
      </c>
    </row>
    <row r="69" spans="2:2" x14ac:dyDescent="0.25">
      <c r="B69" s="267" t="s">
        <v>1268</v>
      </c>
    </row>
    <row r="70" spans="2:2" x14ac:dyDescent="0.25">
      <c r="B70" s="267" t="s">
        <v>1269</v>
      </c>
    </row>
    <row r="72" spans="2:2" x14ac:dyDescent="0.25">
      <c r="B72" s="4" t="s">
        <v>1270</v>
      </c>
    </row>
    <row r="73" spans="2:2" x14ac:dyDescent="0.25">
      <c r="B73" s="267" t="s">
        <v>1291</v>
      </c>
    </row>
    <row r="74" spans="2:2" x14ac:dyDescent="0.25">
      <c r="B74" s="267" t="s">
        <v>1290</v>
      </c>
    </row>
    <row r="75" spans="2:2" x14ac:dyDescent="0.25">
      <c r="B75" s="267" t="s">
        <v>1340</v>
      </c>
    </row>
    <row r="76" spans="2:2" x14ac:dyDescent="0.25">
      <c r="B76" s="267" t="s">
        <v>1286</v>
      </c>
    </row>
    <row r="77" spans="2:2" x14ac:dyDescent="0.25">
      <c r="B77" s="267" t="s">
        <v>1285</v>
      </c>
    </row>
    <row r="78" spans="2:2" x14ac:dyDescent="0.25">
      <c r="B78" s="267" t="s">
        <v>1271</v>
      </c>
    </row>
    <row r="79" spans="2:2" x14ac:dyDescent="0.25">
      <c r="B79" s="267" t="s">
        <v>1272</v>
      </c>
    </row>
    <row r="80" spans="2:2" x14ac:dyDescent="0.25">
      <c r="B80" s="267" t="s">
        <v>1027</v>
      </c>
    </row>
  </sheetData>
  <sheetProtection algorithmName="SHA-512" hashValue="ph42XvjmrmsfVYq0qfCghjoj+pyBpwNLd1bNgwJpe5Deq0eT7GtZbgF4WAiU87aDM2CEiWxN+tLAfg/pUnV8DA==" saltValue="DtaUrkYXhTZ4dDXMnoNhaA==" spinCount="100000" sheet="1" objects="1" scenarios="1"/>
  <mergeCells count="9">
    <mergeCell ref="B38:G38"/>
    <mergeCell ref="B39:G39"/>
    <mergeCell ref="B48:G48"/>
    <mergeCell ref="B5:G5"/>
    <mergeCell ref="B6:G6"/>
    <mergeCell ref="B8:G8"/>
    <mergeCell ref="B12:D12"/>
    <mergeCell ref="F12:G12"/>
    <mergeCell ref="B36:G36"/>
  </mergeCells>
  <hyperlinks>
    <hyperlink ref="G20" r:id="rId1" display="https://apps.who.int/iris/bitstream/handle/10665/331509/WHO-COVID-19-lab_testing-2020.1-eng.pdf"/>
  </hyperlinks>
  <pageMargins left="0.7" right="0.7" top="0.75" bottom="0.75" header="0.3" footer="0.3"/>
  <pageSetup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2:AE75"/>
  <sheetViews>
    <sheetView showGridLines="0" zoomScale="70" zoomScaleNormal="70" workbookViewId="0">
      <pane ySplit="16" topLeftCell="A60" activePane="bottomLeft" state="frozen"/>
      <selection pane="bottomLeft" activeCell="D61" sqref="D61"/>
    </sheetView>
  </sheetViews>
  <sheetFormatPr defaultColWidth="8.5703125" defaultRowHeight="15" x14ac:dyDescent="0.25"/>
  <cols>
    <col min="1" max="1" width="2.42578125" customWidth="1"/>
    <col min="2" max="2" width="16.7109375" customWidth="1"/>
    <col min="3" max="3" width="20.28515625" bestFit="1" customWidth="1"/>
    <col min="4" max="4" width="64.42578125" customWidth="1"/>
    <col min="5" max="5" width="10.5703125" customWidth="1"/>
    <col min="6" max="6" width="39.5703125" customWidth="1"/>
    <col min="7" max="7" width="15.7109375" customWidth="1"/>
    <col min="9" max="9" width="53" customWidth="1"/>
  </cols>
  <sheetData>
    <row r="2" spans="1:31" s="29" customFormat="1" ht="18.75" x14ac:dyDescent="0.3">
      <c r="B2" s="29" t="s">
        <v>1392</v>
      </c>
    </row>
    <row r="4" spans="1:31" x14ac:dyDescent="0.25">
      <c r="A4" s="16"/>
      <c r="B4" s="15" t="s">
        <v>286</v>
      </c>
      <c r="C4" s="15"/>
      <c r="D4" s="15"/>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31" x14ac:dyDescent="0.25">
      <c r="B5" t="s">
        <v>287</v>
      </c>
      <c r="E5" s="12"/>
      <c r="F5" s="89"/>
    </row>
    <row r="6" spans="1:31" x14ac:dyDescent="0.25">
      <c r="B6" t="s">
        <v>288</v>
      </c>
      <c r="E6" s="13"/>
      <c r="F6" s="89"/>
    </row>
    <row r="7" spans="1:31" x14ac:dyDescent="0.25">
      <c r="B7" s="6" t="s">
        <v>289</v>
      </c>
      <c r="C7" s="6"/>
      <c r="D7" s="6"/>
      <c r="E7" s="14"/>
      <c r="F7" s="89"/>
      <c r="N7" s="89"/>
      <c r="O7" s="89"/>
      <c r="P7" s="89"/>
      <c r="Q7" s="89"/>
      <c r="R7" s="89"/>
      <c r="S7" s="89"/>
      <c r="T7" s="89"/>
      <c r="U7" s="89"/>
      <c r="V7" s="89"/>
      <c r="W7" s="89"/>
      <c r="X7" s="89"/>
      <c r="Y7" s="89"/>
      <c r="Z7" s="89"/>
      <c r="AA7" s="89"/>
      <c r="AB7" s="89"/>
      <c r="AC7" s="89"/>
      <c r="AD7" s="89"/>
      <c r="AE7" s="89"/>
    </row>
    <row r="8" spans="1:31" x14ac:dyDescent="0.25">
      <c r="N8" s="89"/>
      <c r="O8" s="89"/>
      <c r="P8" s="89"/>
      <c r="Q8" s="89"/>
      <c r="R8" s="89"/>
      <c r="S8" s="89"/>
      <c r="T8" s="89"/>
      <c r="U8" s="89"/>
      <c r="V8" s="89"/>
      <c r="W8" s="89"/>
      <c r="X8" s="89"/>
      <c r="Y8" s="89"/>
      <c r="Z8" s="89"/>
      <c r="AA8" s="89"/>
      <c r="AB8" s="89"/>
      <c r="AC8" s="89"/>
      <c r="AD8" s="89"/>
      <c r="AE8" s="89"/>
    </row>
    <row r="9" spans="1:31" x14ac:dyDescent="0.25">
      <c r="A9" s="16"/>
      <c r="B9" s="15" t="s">
        <v>769</v>
      </c>
      <c r="C9" s="15"/>
      <c r="D9" s="15"/>
      <c r="E9" s="16"/>
      <c r="F9" s="16"/>
      <c r="G9" s="16"/>
      <c r="H9" s="16"/>
      <c r="I9" s="16"/>
      <c r="J9" s="16"/>
      <c r="K9" s="16"/>
      <c r="L9" s="16"/>
      <c r="M9" s="16"/>
      <c r="N9" s="16"/>
      <c r="O9" s="16"/>
      <c r="P9" s="16"/>
      <c r="Q9" s="16"/>
      <c r="R9" s="16"/>
      <c r="S9" s="16"/>
      <c r="T9" s="16"/>
      <c r="U9" s="16"/>
      <c r="V9" s="16"/>
      <c r="W9" s="16"/>
      <c r="X9" s="16"/>
      <c r="Y9" s="16"/>
      <c r="Z9" s="16"/>
      <c r="AA9" s="16"/>
      <c r="AB9" s="16"/>
      <c r="AC9" s="16"/>
      <c r="AD9" s="16"/>
      <c r="AE9" s="16"/>
    </row>
    <row r="10" spans="1:31" x14ac:dyDescent="0.25">
      <c r="B10" s="31" t="s">
        <v>770</v>
      </c>
      <c r="E10" s="8"/>
      <c r="F10" s="89"/>
    </row>
    <row r="11" spans="1:31" x14ac:dyDescent="0.25">
      <c r="B11" s="31" t="s">
        <v>771</v>
      </c>
      <c r="E11" s="8"/>
      <c r="F11" s="89"/>
    </row>
    <row r="12" spans="1:31" s="138" customFormat="1" x14ac:dyDescent="0.25">
      <c r="B12" s="31"/>
      <c r="E12" s="8"/>
      <c r="F12" s="89"/>
    </row>
    <row r="13" spans="1:31" s="663" customFormat="1" x14ac:dyDescent="0.25">
      <c r="B13" s="664" t="s">
        <v>1400</v>
      </c>
      <c r="E13" s="665"/>
      <c r="F13" s="91"/>
    </row>
    <row r="14" spans="1:31" x14ac:dyDescent="0.25">
      <c r="B14" s="6"/>
      <c r="C14" s="6"/>
      <c r="D14" s="6"/>
      <c r="E14" s="8"/>
      <c r="F14" s="89"/>
      <c r="N14" s="89"/>
      <c r="O14" s="89"/>
      <c r="P14" s="89"/>
      <c r="Q14" s="89"/>
      <c r="R14" s="89"/>
      <c r="S14" s="89"/>
      <c r="T14" s="89"/>
      <c r="U14" s="89"/>
      <c r="V14" s="89"/>
      <c r="W14" s="89"/>
      <c r="X14" s="89"/>
      <c r="Y14" s="89"/>
      <c r="Z14" s="89"/>
      <c r="AA14" s="89"/>
      <c r="AB14" s="89"/>
      <c r="AC14" s="89"/>
      <c r="AD14" s="89"/>
      <c r="AE14" s="89"/>
    </row>
    <row r="15" spans="1:31" x14ac:dyDescent="0.25">
      <c r="A15" s="16"/>
      <c r="B15" s="15" t="s">
        <v>772</v>
      </c>
      <c r="C15" s="15"/>
      <c r="D15" s="15"/>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row>
    <row r="16" spans="1:31" ht="30" x14ac:dyDescent="0.25">
      <c r="B16" s="380" t="s">
        <v>327</v>
      </c>
      <c r="C16" s="380" t="s">
        <v>329</v>
      </c>
      <c r="D16" s="380" t="s">
        <v>328</v>
      </c>
      <c r="E16" s="380" t="s">
        <v>279</v>
      </c>
      <c r="F16" s="381" t="s">
        <v>1281</v>
      </c>
      <c r="G16" s="655" t="s">
        <v>1585</v>
      </c>
      <c r="H16" s="7"/>
      <c r="I16" s="7"/>
    </row>
    <row r="17" spans="2:9" x14ac:dyDescent="0.25">
      <c r="B17" s="185" t="s">
        <v>330</v>
      </c>
      <c r="C17" s="185" t="s">
        <v>332</v>
      </c>
      <c r="D17" s="378" t="s">
        <v>333</v>
      </c>
      <c r="E17" s="379" t="s">
        <v>806</v>
      </c>
      <c r="F17" s="5"/>
      <c r="G17" s="673">
        <v>3.5</v>
      </c>
      <c r="H17" s="7"/>
      <c r="I17" s="139"/>
    </row>
    <row r="18" spans="2:9" x14ac:dyDescent="0.25">
      <c r="B18" s="5" t="s">
        <v>330</v>
      </c>
      <c r="C18" s="5" t="s">
        <v>332</v>
      </c>
      <c r="D18" s="374" t="s">
        <v>268</v>
      </c>
      <c r="E18" s="375" t="s">
        <v>806</v>
      </c>
      <c r="F18" s="5"/>
      <c r="G18" s="673">
        <v>8.3000000000000007</v>
      </c>
      <c r="H18" s="7"/>
      <c r="I18" s="139"/>
    </row>
    <row r="19" spans="2:9" x14ac:dyDescent="0.25">
      <c r="B19" s="5" t="s">
        <v>330</v>
      </c>
      <c r="C19" s="5" t="s">
        <v>332</v>
      </c>
      <c r="D19" s="374" t="s">
        <v>275</v>
      </c>
      <c r="E19" s="375" t="s">
        <v>806</v>
      </c>
      <c r="F19" s="5"/>
      <c r="G19" s="673">
        <v>0.9</v>
      </c>
      <c r="H19" s="7"/>
      <c r="I19" s="139"/>
    </row>
    <row r="20" spans="2:9" x14ac:dyDescent="0.25">
      <c r="B20" s="5" t="s">
        <v>330</v>
      </c>
      <c r="C20" s="5" t="s">
        <v>264</v>
      </c>
      <c r="D20" s="374" t="s">
        <v>337</v>
      </c>
      <c r="E20" s="375" t="s">
        <v>806</v>
      </c>
      <c r="F20" s="5"/>
      <c r="G20" s="673">
        <v>0.8</v>
      </c>
      <c r="H20" s="7"/>
      <c r="I20" s="139"/>
    </row>
    <row r="21" spans="2:9" x14ac:dyDescent="0.25">
      <c r="B21" s="5" t="s">
        <v>330</v>
      </c>
      <c r="C21" s="5" t="s">
        <v>264</v>
      </c>
      <c r="D21" s="374" t="s">
        <v>266</v>
      </c>
      <c r="E21" s="375" t="s">
        <v>805</v>
      </c>
      <c r="F21" s="5"/>
      <c r="G21" s="673">
        <v>2.6</v>
      </c>
      <c r="H21" s="7"/>
      <c r="I21" s="139"/>
    </row>
    <row r="22" spans="2:9" x14ac:dyDescent="0.25">
      <c r="B22" s="5" t="s">
        <v>330</v>
      </c>
      <c r="C22" s="5" t="s">
        <v>264</v>
      </c>
      <c r="D22" s="374" t="s">
        <v>267</v>
      </c>
      <c r="E22" s="375" t="s">
        <v>805</v>
      </c>
      <c r="F22" s="5"/>
      <c r="G22" s="673">
        <v>2.6</v>
      </c>
      <c r="H22" s="7"/>
      <c r="I22" s="139"/>
    </row>
    <row r="23" spans="2:9" x14ac:dyDescent="0.25">
      <c r="B23" s="5" t="s">
        <v>330</v>
      </c>
      <c r="C23" s="5" t="s">
        <v>264</v>
      </c>
      <c r="D23" s="374" t="s">
        <v>336</v>
      </c>
      <c r="E23" s="375" t="s">
        <v>806</v>
      </c>
      <c r="F23" s="5"/>
      <c r="G23" s="673">
        <v>0.2</v>
      </c>
      <c r="H23" s="7"/>
      <c r="I23" s="139"/>
    </row>
    <row r="24" spans="2:9" x14ac:dyDescent="0.25">
      <c r="B24" s="5" t="s">
        <v>330</v>
      </c>
      <c r="C24" s="5" t="s">
        <v>264</v>
      </c>
      <c r="D24" s="374" t="s">
        <v>326</v>
      </c>
      <c r="E24" s="375" t="s">
        <v>805</v>
      </c>
      <c r="F24" s="5"/>
      <c r="G24" s="673">
        <v>4</v>
      </c>
      <c r="H24" s="7"/>
      <c r="I24" s="139"/>
    </row>
    <row r="25" spans="2:9" x14ac:dyDescent="0.25">
      <c r="B25" s="5" t="s">
        <v>330</v>
      </c>
      <c r="C25" s="5" t="s">
        <v>264</v>
      </c>
      <c r="D25" s="374" t="s">
        <v>270</v>
      </c>
      <c r="E25" s="375" t="s">
        <v>805</v>
      </c>
      <c r="F25" s="5"/>
      <c r="G25" s="673">
        <v>4.5999999999999996</v>
      </c>
      <c r="H25" s="7"/>
      <c r="I25" s="139"/>
    </row>
    <row r="26" spans="2:9" x14ac:dyDescent="0.25">
      <c r="B26" s="5" t="s">
        <v>330</v>
      </c>
      <c r="C26" s="5" t="s">
        <v>263</v>
      </c>
      <c r="D26" s="374" t="s">
        <v>261</v>
      </c>
      <c r="E26" s="375" t="s">
        <v>805</v>
      </c>
      <c r="F26" s="5"/>
      <c r="G26" s="673">
        <v>30</v>
      </c>
      <c r="H26" s="7"/>
      <c r="I26" s="139"/>
    </row>
    <row r="27" spans="2:9" ht="15" customHeight="1" x14ac:dyDescent="0.25">
      <c r="B27" s="5" t="s">
        <v>330</v>
      </c>
      <c r="C27" s="5" t="s">
        <v>263</v>
      </c>
      <c r="D27" s="374" t="s">
        <v>262</v>
      </c>
      <c r="E27" s="375" t="s">
        <v>805</v>
      </c>
      <c r="F27" s="5"/>
      <c r="G27" s="673">
        <v>0.7</v>
      </c>
      <c r="H27" s="7"/>
      <c r="I27" s="139"/>
    </row>
    <row r="28" spans="2:9" x14ac:dyDescent="0.25">
      <c r="B28" s="5" t="s">
        <v>330</v>
      </c>
      <c r="C28" s="5" t="s">
        <v>263</v>
      </c>
      <c r="D28" s="374" t="s">
        <v>334</v>
      </c>
      <c r="E28" s="375" t="s">
        <v>805</v>
      </c>
      <c r="F28" s="5"/>
      <c r="G28" s="673">
        <v>0.8</v>
      </c>
      <c r="H28" s="7"/>
      <c r="I28" s="139"/>
    </row>
    <row r="29" spans="2:9" x14ac:dyDescent="0.25">
      <c r="B29" s="376" t="s">
        <v>330</v>
      </c>
      <c r="C29" s="5" t="s">
        <v>263</v>
      </c>
      <c r="D29" s="374" t="s">
        <v>732</v>
      </c>
      <c r="E29" s="375" t="s">
        <v>806</v>
      </c>
      <c r="F29" s="5"/>
      <c r="G29" s="673">
        <v>960</v>
      </c>
      <c r="H29" s="7"/>
      <c r="I29" s="139"/>
    </row>
    <row r="30" spans="2:9" x14ac:dyDescent="0.25">
      <c r="B30" s="376" t="s">
        <v>330</v>
      </c>
      <c r="C30" s="5" t="s">
        <v>263</v>
      </c>
      <c r="D30" s="374" t="s">
        <v>731</v>
      </c>
      <c r="E30" s="375" t="s">
        <v>806</v>
      </c>
      <c r="F30" s="5"/>
      <c r="G30" s="673">
        <v>140</v>
      </c>
      <c r="H30" s="7"/>
      <c r="I30" s="139"/>
    </row>
    <row r="31" spans="2:9" x14ac:dyDescent="0.25">
      <c r="B31" s="376" t="s">
        <v>330</v>
      </c>
      <c r="C31" s="5" t="s">
        <v>263</v>
      </c>
      <c r="D31" s="374" t="s">
        <v>733</v>
      </c>
      <c r="E31" s="375" t="s">
        <v>806</v>
      </c>
      <c r="F31" s="5"/>
      <c r="G31" s="673">
        <v>80</v>
      </c>
      <c r="H31" s="7"/>
      <c r="I31" s="139"/>
    </row>
    <row r="32" spans="2:9" x14ac:dyDescent="0.25">
      <c r="B32" s="376" t="s">
        <v>330</v>
      </c>
      <c r="C32" s="376" t="s">
        <v>263</v>
      </c>
      <c r="D32" s="374" t="s">
        <v>734</v>
      </c>
      <c r="E32" s="375" t="s">
        <v>806</v>
      </c>
      <c r="F32" s="5"/>
      <c r="G32" s="673">
        <v>260</v>
      </c>
      <c r="H32" s="7"/>
      <c r="I32" s="139"/>
    </row>
    <row r="33" spans="2:9" x14ac:dyDescent="0.25">
      <c r="B33" s="5" t="s">
        <v>330</v>
      </c>
      <c r="C33" s="5" t="s">
        <v>332</v>
      </c>
      <c r="D33" s="374" t="s">
        <v>269</v>
      </c>
      <c r="E33" s="375" t="s">
        <v>806</v>
      </c>
      <c r="F33" s="5"/>
      <c r="G33" s="673">
        <v>0.15</v>
      </c>
      <c r="H33" s="7"/>
      <c r="I33" s="139"/>
    </row>
    <row r="34" spans="2:9" x14ac:dyDescent="0.25">
      <c r="B34" s="5" t="s">
        <v>330</v>
      </c>
      <c r="C34" s="5" t="s">
        <v>264</v>
      </c>
      <c r="D34" s="374" t="s">
        <v>331</v>
      </c>
      <c r="E34" s="375" t="s">
        <v>805</v>
      </c>
      <c r="F34" s="5"/>
      <c r="G34" s="673">
        <v>1.8</v>
      </c>
      <c r="H34" s="7"/>
      <c r="I34" s="139"/>
    </row>
    <row r="35" spans="2:9" x14ac:dyDescent="0.25">
      <c r="B35" s="5" t="s">
        <v>330</v>
      </c>
      <c r="C35" s="5" t="s">
        <v>264</v>
      </c>
      <c r="D35" s="374" t="s">
        <v>316</v>
      </c>
      <c r="E35" s="375" t="s">
        <v>806</v>
      </c>
      <c r="F35" s="5"/>
      <c r="G35" s="673">
        <v>0.06</v>
      </c>
      <c r="H35" s="7"/>
      <c r="I35" s="139"/>
    </row>
    <row r="36" spans="2:9" x14ac:dyDescent="0.25">
      <c r="B36" s="5" t="s">
        <v>330</v>
      </c>
      <c r="C36" s="5" t="s">
        <v>264</v>
      </c>
      <c r="D36" s="374" t="s">
        <v>278</v>
      </c>
      <c r="E36" s="375" t="s">
        <v>806</v>
      </c>
      <c r="F36" s="5"/>
      <c r="G36" s="673">
        <v>0.4</v>
      </c>
      <c r="H36" s="7"/>
      <c r="I36" s="139"/>
    </row>
    <row r="37" spans="2:9" x14ac:dyDescent="0.25">
      <c r="B37" s="5" t="s">
        <v>330</v>
      </c>
      <c r="C37" s="5" t="s">
        <v>264</v>
      </c>
      <c r="D37" s="374" t="s">
        <v>325</v>
      </c>
      <c r="E37" s="375" t="s">
        <v>805</v>
      </c>
      <c r="F37" s="5"/>
      <c r="G37" s="673">
        <v>2.8</v>
      </c>
      <c r="H37" s="7"/>
      <c r="I37" s="139"/>
    </row>
    <row r="38" spans="2:9" x14ac:dyDescent="0.25">
      <c r="B38" s="5" t="s">
        <v>330</v>
      </c>
      <c r="C38" s="5" t="s">
        <v>264</v>
      </c>
      <c r="D38" s="374" t="s">
        <v>265</v>
      </c>
      <c r="E38" s="375" t="s">
        <v>806</v>
      </c>
      <c r="F38" s="5"/>
      <c r="G38" s="673">
        <v>0.6</v>
      </c>
      <c r="H38" s="7"/>
      <c r="I38" s="139"/>
    </row>
    <row r="39" spans="2:9" x14ac:dyDescent="0.25">
      <c r="B39" s="5" t="s">
        <v>330</v>
      </c>
      <c r="C39" s="5" t="s">
        <v>264</v>
      </c>
      <c r="D39" s="374" t="s">
        <v>335</v>
      </c>
      <c r="E39" s="375" t="s">
        <v>806</v>
      </c>
      <c r="F39" s="5"/>
      <c r="G39" s="673">
        <v>1.5</v>
      </c>
      <c r="H39" s="7"/>
      <c r="I39" s="139"/>
    </row>
    <row r="40" spans="2:9" x14ac:dyDescent="0.25">
      <c r="B40" s="5" t="s">
        <v>330</v>
      </c>
      <c r="C40" s="5" t="s">
        <v>264</v>
      </c>
      <c r="D40" s="374" t="s">
        <v>323</v>
      </c>
      <c r="E40" s="375" t="s">
        <v>806</v>
      </c>
      <c r="F40" s="5"/>
      <c r="G40" s="673">
        <v>0.7</v>
      </c>
      <c r="H40" s="7"/>
      <c r="I40" s="139"/>
    </row>
    <row r="41" spans="2:9" x14ac:dyDescent="0.25">
      <c r="B41" s="5" t="s">
        <v>330</v>
      </c>
      <c r="C41" s="5" t="s">
        <v>264</v>
      </c>
      <c r="D41" s="374" t="s">
        <v>322</v>
      </c>
      <c r="E41" s="375" t="s">
        <v>806</v>
      </c>
      <c r="F41" s="5"/>
      <c r="G41" s="674">
        <f>G40</f>
        <v>0.7</v>
      </c>
      <c r="H41" s="7"/>
      <c r="I41" s="139"/>
    </row>
    <row r="42" spans="2:9" s="138" customFormat="1" x14ac:dyDescent="0.25">
      <c r="B42" s="376" t="s">
        <v>338</v>
      </c>
      <c r="C42" s="376" t="s">
        <v>923</v>
      </c>
      <c r="D42" s="377" t="s">
        <v>937</v>
      </c>
      <c r="E42" s="375" t="s">
        <v>806</v>
      </c>
      <c r="F42" s="5"/>
      <c r="G42" s="673">
        <v>8000</v>
      </c>
      <c r="H42" s="7"/>
      <c r="I42" s="139"/>
    </row>
    <row r="43" spans="2:9" s="138" customFormat="1" x14ac:dyDescent="0.25">
      <c r="B43" s="376" t="s">
        <v>338</v>
      </c>
      <c r="C43" s="376" t="s">
        <v>923</v>
      </c>
      <c r="D43" s="377" t="s">
        <v>938</v>
      </c>
      <c r="E43" s="375" t="s">
        <v>806</v>
      </c>
      <c r="F43" s="5"/>
      <c r="G43" s="673">
        <v>1800</v>
      </c>
      <c r="H43" s="7"/>
      <c r="I43" s="139"/>
    </row>
    <row r="44" spans="2:9" ht="113.65" customHeight="1" x14ac:dyDescent="0.25">
      <c r="B44" s="382" t="s">
        <v>338</v>
      </c>
      <c r="C44" s="382" t="s">
        <v>873</v>
      </c>
      <c r="D44" s="374" t="s">
        <v>1305</v>
      </c>
      <c r="E44" s="383"/>
      <c r="F44" s="519" t="s">
        <v>1360</v>
      </c>
      <c r="G44" s="673">
        <v>2990</v>
      </c>
      <c r="H44" s="7"/>
      <c r="I44" s="139"/>
    </row>
    <row r="45" spans="2:9" x14ac:dyDescent="0.25">
      <c r="B45" s="382" t="s">
        <v>338</v>
      </c>
      <c r="C45" s="382" t="s">
        <v>873</v>
      </c>
      <c r="D45" s="374" t="s">
        <v>1306</v>
      </c>
      <c r="E45" s="383"/>
      <c r="F45" s="518"/>
      <c r="G45" s="673">
        <v>25</v>
      </c>
      <c r="H45" s="7"/>
      <c r="I45" s="139"/>
    </row>
    <row r="46" spans="2:9" ht="45" x14ac:dyDescent="0.25">
      <c r="B46" s="382" t="s">
        <v>338</v>
      </c>
      <c r="C46" s="382" t="s">
        <v>873</v>
      </c>
      <c r="D46" s="374" t="s">
        <v>1307</v>
      </c>
      <c r="E46" s="383"/>
      <c r="F46" s="519" t="s">
        <v>1361</v>
      </c>
      <c r="G46" s="673">
        <v>1600</v>
      </c>
      <c r="H46" s="7"/>
      <c r="I46" s="139"/>
    </row>
    <row r="47" spans="2:9" s="138" customFormat="1" x14ac:dyDescent="0.25">
      <c r="B47" s="382" t="s">
        <v>338</v>
      </c>
      <c r="C47" s="382" t="s">
        <v>873</v>
      </c>
      <c r="D47" s="374" t="s">
        <v>1308</v>
      </c>
      <c r="E47" s="383"/>
      <c r="F47" s="518"/>
      <c r="G47" s="673">
        <v>0</v>
      </c>
      <c r="H47" s="7"/>
      <c r="I47" s="139"/>
    </row>
    <row r="48" spans="2:9" s="138" customFormat="1" x14ac:dyDescent="0.25">
      <c r="B48" s="382" t="s">
        <v>338</v>
      </c>
      <c r="C48" s="382" t="s">
        <v>873</v>
      </c>
      <c r="D48" s="374" t="s">
        <v>1309</v>
      </c>
      <c r="E48" s="383"/>
      <c r="F48" s="519" t="s">
        <v>1275</v>
      </c>
      <c r="G48" s="673">
        <v>250</v>
      </c>
      <c r="H48" s="7"/>
      <c r="I48" s="139"/>
    </row>
    <row r="49" spans="2:9" ht="60" x14ac:dyDescent="0.25">
      <c r="B49" s="382" t="s">
        <v>338</v>
      </c>
      <c r="C49" s="382" t="s">
        <v>873</v>
      </c>
      <c r="D49" s="374" t="s">
        <v>1310</v>
      </c>
      <c r="E49" s="383"/>
      <c r="F49" s="519" t="s">
        <v>1362</v>
      </c>
      <c r="G49" s="673">
        <v>1800</v>
      </c>
      <c r="H49" s="7"/>
      <c r="I49" s="139"/>
    </row>
    <row r="50" spans="2:9" x14ac:dyDescent="0.25">
      <c r="B50" s="382" t="s">
        <v>338</v>
      </c>
      <c r="C50" s="382" t="s">
        <v>873</v>
      </c>
      <c r="D50" s="374" t="s">
        <v>1311</v>
      </c>
      <c r="E50" s="383"/>
      <c r="F50" s="518"/>
      <c r="G50" s="673">
        <v>2500</v>
      </c>
      <c r="H50" s="7"/>
      <c r="I50" s="139"/>
    </row>
    <row r="51" spans="2:9" ht="30" x14ac:dyDescent="0.25">
      <c r="B51" s="382" t="s">
        <v>338</v>
      </c>
      <c r="C51" s="382" t="s">
        <v>873</v>
      </c>
      <c r="D51" s="374" t="s">
        <v>1314</v>
      </c>
      <c r="E51" s="383"/>
      <c r="F51" s="519" t="s">
        <v>1363</v>
      </c>
      <c r="G51" s="673">
        <v>2800</v>
      </c>
      <c r="H51" s="7"/>
      <c r="I51" s="139"/>
    </row>
    <row r="52" spans="2:9" x14ac:dyDescent="0.25">
      <c r="B52" s="382" t="s">
        <v>338</v>
      </c>
      <c r="C52" s="382" t="s">
        <v>873</v>
      </c>
      <c r="D52" s="374" t="s">
        <v>1312</v>
      </c>
      <c r="E52" s="383"/>
      <c r="F52" s="518"/>
      <c r="G52" s="673">
        <v>0</v>
      </c>
      <c r="H52" s="7"/>
      <c r="I52" s="139"/>
    </row>
    <row r="53" spans="2:9" ht="30" x14ac:dyDescent="0.25">
      <c r="B53" s="382" t="s">
        <v>338</v>
      </c>
      <c r="C53" s="382" t="s">
        <v>873</v>
      </c>
      <c r="D53" s="374" t="s">
        <v>1576</v>
      </c>
      <c r="E53" s="383"/>
      <c r="F53" s="519" t="s">
        <v>1364</v>
      </c>
      <c r="G53" s="673">
        <v>480</v>
      </c>
      <c r="H53" s="7"/>
      <c r="I53" s="139"/>
    </row>
    <row r="54" spans="2:9" ht="135" x14ac:dyDescent="0.25">
      <c r="B54" s="382" t="s">
        <v>338</v>
      </c>
      <c r="C54" s="382" t="s">
        <v>873</v>
      </c>
      <c r="D54" s="374" t="s">
        <v>1313</v>
      </c>
      <c r="E54" s="383"/>
      <c r="F54" s="519" t="s">
        <v>1365</v>
      </c>
      <c r="G54" s="673">
        <v>9200</v>
      </c>
      <c r="H54" s="7"/>
      <c r="I54" s="139"/>
    </row>
    <row r="55" spans="2:9" ht="195" x14ac:dyDescent="0.25">
      <c r="B55" s="382" t="s">
        <v>338</v>
      </c>
      <c r="C55" s="382" t="s">
        <v>873</v>
      </c>
      <c r="D55" s="374" t="s">
        <v>1315</v>
      </c>
      <c r="E55" s="383"/>
      <c r="F55" s="519" t="s">
        <v>1276</v>
      </c>
      <c r="G55" s="673">
        <v>550</v>
      </c>
      <c r="H55" s="7"/>
      <c r="I55" s="139"/>
    </row>
    <row r="56" spans="2:9" ht="135" x14ac:dyDescent="0.25">
      <c r="B56" s="382" t="s">
        <v>338</v>
      </c>
      <c r="C56" s="382" t="s">
        <v>873</v>
      </c>
      <c r="D56" s="374" t="s">
        <v>1316</v>
      </c>
      <c r="E56" s="383"/>
      <c r="F56" s="519" t="s">
        <v>1366</v>
      </c>
      <c r="G56" s="673">
        <v>80</v>
      </c>
      <c r="H56" s="7"/>
      <c r="I56" s="139"/>
    </row>
    <row r="57" spans="2:9" ht="105" x14ac:dyDescent="0.25">
      <c r="B57" s="382" t="s">
        <v>338</v>
      </c>
      <c r="C57" s="382" t="s">
        <v>873</v>
      </c>
      <c r="D57" s="374" t="s">
        <v>1317</v>
      </c>
      <c r="E57" s="383"/>
      <c r="F57" s="519" t="s">
        <v>1367</v>
      </c>
      <c r="G57" s="673">
        <v>120</v>
      </c>
      <c r="H57" s="7"/>
      <c r="I57" s="139"/>
    </row>
    <row r="58" spans="2:9" ht="135" x14ac:dyDescent="0.25">
      <c r="B58" s="382" t="s">
        <v>338</v>
      </c>
      <c r="C58" s="382" t="s">
        <v>873</v>
      </c>
      <c r="D58" s="374" t="s">
        <v>1318</v>
      </c>
      <c r="E58" s="383"/>
      <c r="F58" s="519" t="s">
        <v>1277</v>
      </c>
      <c r="G58" s="673">
        <v>65</v>
      </c>
      <c r="H58" s="7"/>
      <c r="I58" s="139"/>
    </row>
    <row r="59" spans="2:9" ht="120" x14ac:dyDescent="0.25">
      <c r="B59" s="382" t="s">
        <v>338</v>
      </c>
      <c r="C59" s="382" t="s">
        <v>873</v>
      </c>
      <c r="D59" s="374" t="s">
        <v>1319</v>
      </c>
      <c r="E59" s="383"/>
      <c r="F59" s="519" t="s">
        <v>1278</v>
      </c>
      <c r="G59" s="673">
        <v>20</v>
      </c>
      <c r="H59" s="7"/>
      <c r="I59" s="139"/>
    </row>
    <row r="60" spans="2:9" x14ac:dyDescent="0.25">
      <c r="B60" s="382" t="s">
        <v>338</v>
      </c>
      <c r="C60" s="382" t="s">
        <v>873</v>
      </c>
      <c r="D60" s="374" t="s">
        <v>349</v>
      </c>
      <c r="E60" s="383"/>
      <c r="F60" s="518"/>
      <c r="G60" s="673">
        <v>15</v>
      </c>
      <c r="H60" s="7"/>
      <c r="I60" s="139"/>
    </row>
    <row r="61" spans="2:9" x14ac:dyDescent="0.25">
      <c r="B61" s="382" t="s">
        <v>338</v>
      </c>
      <c r="C61" s="382" t="s">
        <v>873</v>
      </c>
      <c r="D61" s="374" t="s">
        <v>1314</v>
      </c>
      <c r="E61" s="383"/>
      <c r="F61" s="518"/>
      <c r="G61" s="673">
        <v>2800</v>
      </c>
      <c r="H61" s="7"/>
      <c r="I61" s="139"/>
    </row>
    <row r="62" spans="2:9" ht="30" x14ac:dyDescent="0.25">
      <c r="B62" s="382" t="s">
        <v>338</v>
      </c>
      <c r="C62" s="382" t="s">
        <v>873</v>
      </c>
      <c r="D62" s="374" t="s">
        <v>1320</v>
      </c>
      <c r="E62" s="383"/>
      <c r="F62" s="519" t="s">
        <v>1279</v>
      </c>
      <c r="G62" s="673">
        <v>7500</v>
      </c>
      <c r="H62" s="7"/>
      <c r="I62" s="139"/>
    </row>
    <row r="63" spans="2:9" x14ac:dyDescent="0.25">
      <c r="B63" s="382" t="s">
        <v>338</v>
      </c>
      <c r="C63" s="382" t="s">
        <v>873</v>
      </c>
      <c r="D63" s="374" t="s">
        <v>1321</v>
      </c>
      <c r="E63" s="383"/>
      <c r="F63" s="518"/>
      <c r="G63" s="673">
        <v>30</v>
      </c>
      <c r="H63" s="7"/>
      <c r="I63" s="139"/>
    </row>
    <row r="64" spans="2:9" ht="60" x14ac:dyDescent="0.25">
      <c r="B64" s="382" t="s">
        <v>338</v>
      </c>
      <c r="C64" s="382" t="s">
        <v>873</v>
      </c>
      <c r="D64" s="374" t="s">
        <v>1322</v>
      </c>
      <c r="E64" s="383"/>
      <c r="F64" s="519" t="s">
        <v>1368</v>
      </c>
      <c r="G64" s="673">
        <v>1800</v>
      </c>
      <c r="H64" s="7"/>
      <c r="I64" s="139"/>
    </row>
    <row r="65" spans="2:9" x14ac:dyDescent="0.25">
      <c r="B65" s="382" t="s">
        <v>338</v>
      </c>
      <c r="C65" s="382" t="s">
        <v>873</v>
      </c>
      <c r="D65" s="374" t="s">
        <v>1323</v>
      </c>
      <c r="E65" s="383"/>
      <c r="F65" s="518"/>
      <c r="G65" s="673">
        <v>1000</v>
      </c>
      <c r="H65" s="7"/>
      <c r="I65" s="139"/>
    </row>
    <row r="66" spans="2:9" ht="30" x14ac:dyDescent="0.25">
      <c r="B66" s="382" t="s">
        <v>338</v>
      </c>
      <c r="C66" s="382" t="s">
        <v>873</v>
      </c>
      <c r="D66" s="374" t="s">
        <v>1324</v>
      </c>
      <c r="E66" s="383"/>
      <c r="F66" s="519" t="s">
        <v>1280</v>
      </c>
      <c r="G66" s="673">
        <v>850</v>
      </c>
      <c r="H66" s="7"/>
      <c r="I66" s="139"/>
    </row>
    <row r="67" spans="2:9" x14ac:dyDescent="0.25">
      <c r="B67" s="382" t="s">
        <v>338</v>
      </c>
      <c r="C67" s="382" t="s">
        <v>873</v>
      </c>
      <c r="D67" s="374" t="s">
        <v>1325</v>
      </c>
      <c r="E67" s="383"/>
      <c r="F67" s="518"/>
      <c r="G67" s="673">
        <v>4600</v>
      </c>
      <c r="H67" s="7"/>
      <c r="I67" s="139"/>
    </row>
    <row r="68" spans="2:9" ht="60" x14ac:dyDescent="0.25">
      <c r="B68" s="382" t="s">
        <v>338</v>
      </c>
      <c r="C68" s="382" t="s">
        <v>873</v>
      </c>
      <c r="D68" s="374" t="s">
        <v>1326</v>
      </c>
      <c r="E68" s="383"/>
      <c r="F68" s="519" t="s">
        <v>1369</v>
      </c>
      <c r="G68" s="673">
        <v>1450</v>
      </c>
      <c r="H68" s="7"/>
      <c r="I68" s="139"/>
    </row>
    <row r="69" spans="2:9" ht="60" x14ac:dyDescent="0.25">
      <c r="B69" s="382" t="s">
        <v>338</v>
      </c>
      <c r="C69" s="382" t="s">
        <v>873</v>
      </c>
      <c r="D69" s="374" t="s">
        <v>1376</v>
      </c>
      <c r="E69" s="383"/>
      <c r="F69" s="519" t="s">
        <v>1370</v>
      </c>
      <c r="G69" s="673">
        <v>8000</v>
      </c>
      <c r="H69" s="7"/>
      <c r="I69" s="139"/>
    </row>
    <row r="70" spans="2:9" x14ac:dyDescent="0.25">
      <c r="B70" s="382" t="s">
        <v>338</v>
      </c>
      <c r="C70" s="382" t="s">
        <v>873</v>
      </c>
      <c r="D70" s="374" t="s">
        <v>350</v>
      </c>
      <c r="E70" s="383"/>
      <c r="F70" s="518"/>
      <c r="G70" s="673">
        <v>3500</v>
      </c>
      <c r="H70" s="7"/>
      <c r="I70" s="139"/>
    </row>
    <row r="71" spans="2:9" x14ac:dyDescent="0.25">
      <c r="B71" s="382" t="s">
        <v>338</v>
      </c>
      <c r="C71" s="382" t="s">
        <v>873</v>
      </c>
      <c r="D71" s="374" t="s">
        <v>1327</v>
      </c>
      <c r="E71" s="383"/>
      <c r="F71" s="518"/>
      <c r="G71" s="673">
        <v>100</v>
      </c>
      <c r="H71" s="7"/>
      <c r="I71" s="140"/>
    </row>
    <row r="72" spans="2:9" x14ac:dyDescent="0.25">
      <c r="B72" s="382" t="s">
        <v>338</v>
      </c>
      <c r="C72" s="382" t="s">
        <v>873</v>
      </c>
      <c r="D72" s="374" t="s">
        <v>1328</v>
      </c>
      <c r="E72" s="383"/>
      <c r="F72" s="518"/>
      <c r="G72" s="673">
        <v>100</v>
      </c>
      <c r="H72" s="7"/>
      <c r="I72" s="140"/>
    </row>
    <row r="73" spans="2:9" x14ac:dyDescent="0.25">
      <c r="B73" s="382" t="s">
        <v>338</v>
      </c>
      <c r="C73" s="382" t="s">
        <v>873</v>
      </c>
      <c r="D73" s="374" t="s">
        <v>1329</v>
      </c>
      <c r="E73" s="383"/>
      <c r="F73" s="518"/>
      <c r="G73" s="673">
        <v>500</v>
      </c>
      <c r="H73" s="7"/>
      <c r="I73" s="140"/>
    </row>
    <row r="74" spans="2:9" x14ac:dyDescent="0.25">
      <c r="B74" s="382" t="s">
        <v>338</v>
      </c>
      <c r="C74" s="382" t="s">
        <v>873</v>
      </c>
      <c r="D74" s="374" t="s">
        <v>1330</v>
      </c>
      <c r="E74" s="383"/>
      <c r="F74" s="518"/>
      <c r="G74" s="673">
        <v>1200</v>
      </c>
      <c r="H74" s="7"/>
      <c r="I74" s="140"/>
    </row>
    <row r="75" spans="2:9" x14ac:dyDescent="0.25">
      <c r="F75" s="524"/>
      <c r="G75" s="523"/>
    </row>
  </sheetData>
  <sheetProtection algorithmName="SHA-512" hashValue="aM1lleRG/09RpjiZy50zaV9x3wWST5YKsa2ryhnOeFMZwW5kyEFt7xmKaKWlPYSyDvlT2L0ezHBv/AOcsXYR2A==" saltValue="H216Jj6xCh1NZq3UhFSTUg==" spinCount="100000" sheet="1" objects="1" scenarios="1"/>
  <autoFilter ref="B16:F74"/>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E104"/>
  <sheetViews>
    <sheetView showGridLines="0" zoomScale="70" zoomScaleNormal="70" workbookViewId="0"/>
  </sheetViews>
  <sheetFormatPr defaultColWidth="8.5703125" defaultRowHeight="12.75" x14ac:dyDescent="0.2"/>
  <cols>
    <col min="1" max="1" width="3.5703125" style="208" customWidth="1"/>
    <col min="2" max="2" width="11.5703125" style="314" customWidth="1"/>
    <col min="3" max="3" width="63.5703125" style="208" customWidth="1"/>
    <col min="4" max="5" width="20.5703125" style="208" customWidth="1"/>
    <col min="6" max="6" width="31.42578125" style="208" customWidth="1"/>
    <col min="7" max="16384" width="8.5703125" style="208"/>
  </cols>
  <sheetData>
    <row r="1" spans="1:31" s="138" customFormat="1" ht="15" x14ac:dyDescent="0.25">
      <c r="A1" s="89"/>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row>
    <row r="2" spans="1:31" s="138" customFormat="1" ht="18.75" x14ac:dyDescent="0.3">
      <c r="A2" s="29"/>
      <c r="B2" s="29" t="s">
        <v>1179</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38" customFormat="1" ht="15" x14ac:dyDescent="0.25">
      <c r="F3" s="89"/>
    </row>
    <row r="4" spans="1:31" s="138" customFormat="1" ht="15" x14ac:dyDescent="0.25">
      <c r="A4" s="16"/>
      <c r="B4" s="15" t="s">
        <v>286</v>
      </c>
      <c r="C4" s="15"/>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31" s="138" customFormat="1" ht="15" x14ac:dyDescent="0.25">
      <c r="B5" s="138" t="s">
        <v>287</v>
      </c>
      <c r="D5" s="12"/>
      <c r="E5" s="8"/>
      <c r="F5" s="89"/>
    </row>
    <row r="6" spans="1:31" s="138" customFormat="1" ht="15" x14ac:dyDescent="0.25">
      <c r="B6" s="138" t="s">
        <v>288</v>
      </c>
      <c r="D6" s="13"/>
      <c r="E6" s="8"/>
      <c r="F6" s="89"/>
    </row>
    <row r="7" spans="1:31" s="138" customFormat="1" ht="15" x14ac:dyDescent="0.25">
      <c r="B7" s="6" t="s">
        <v>289</v>
      </c>
      <c r="C7" s="6"/>
      <c r="D7" s="14"/>
      <c r="E7" s="8"/>
      <c r="F7" s="89"/>
      <c r="N7" s="89"/>
      <c r="O7" s="89"/>
      <c r="P7" s="89"/>
      <c r="Q7" s="89"/>
      <c r="R7" s="89"/>
      <c r="S7" s="89"/>
      <c r="T7" s="89"/>
      <c r="U7" s="89"/>
      <c r="V7" s="89"/>
      <c r="W7" s="89"/>
      <c r="X7" s="89"/>
      <c r="Y7" s="89"/>
      <c r="Z7" s="89"/>
      <c r="AA7" s="89"/>
      <c r="AB7" s="89"/>
      <c r="AC7" s="89"/>
      <c r="AD7" s="89"/>
      <c r="AE7" s="89"/>
    </row>
    <row r="8" spans="1:31" s="138" customFormat="1" ht="15" x14ac:dyDescent="0.25">
      <c r="E8" s="8"/>
      <c r="N8" s="89"/>
      <c r="O8" s="89"/>
      <c r="P8" s="89"/>
      <c r="Q8" s="89"/>
      <c r="R8" s="89"/>
      <c r="S8" s="89"/>
      <c r="T8" s="89"/>
      <c r="U8" s="89"/>
      <c r="V8" s="89"/>
      <c r="W8" s="89"/>
      <c r="X8" s="89"/>
      <c r="Y8" s="89"/>
      <c r="Z8" s="89"/>
      <c r="AA8" s="89"/>
      <c r="AB8" s="89"/>
      <c r="AC8" s="89"/>
      <c r="AD8" s="89"/>
      <c r="AE8" s="89"/>
    </row>
    <row r="9" spans="1:31" s="138" customFormat="1" ht="15" x14ac:dyDescent="0.25">
      <c r="A9" s="16"/>
      <c r="B9" s="15" t="s">
        <v>1159</v>
      </c>
      <c r="C9" s="15"/>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row>
    <row r="10" spans="1:31" ht="13.5" thickBot="1" x14ac:dyDescent="0.25"/>
    <row r="11" spans="1:31" ht="38.25" x14ac:dyDescent="0.2">
      <c r="B11" s="329" t="s">
        <v>328</v>
      </c>
      <c r="C11" s="315" t="s">
        <v>1127</v>
      </c>
      <c r="D11" s="315" t="s">
        <v>1160</v>
      </c>
      <c r="E11" s="321" t="s">
        <v>1161</v>
      </c>
      <c r="F11" s="316" t="s">
        <v>1035</v>
      </c>
    </row>
    <row r="12" spans="1:31" x14ac:dyDescent="0.2">
      <c r="B12" s="330">
        <v>1</v>
      </c>
      <c r="C12" s="318" t="s">
        <v>1036</v>
      </c>
      <c r="D12" s="322">
        <v>30</v>
      </c>
      <c r="E12" s="328">
        <f>D12*'User Dashboard'!$F$123</f>
        <v>217.22320318050743</v>
      </c>
      <c r="F12" s="331"/>
    </row>
    <row r="13" spans="1:31" x14ac:dyDescent="0.2">
      <c r="B13" s="330">
        <v>2</v>
      </c>
      <c r="C13" s="320" t="s">
        <v>1037</v>
      </c>
      <c r="D13" s="322">
        <v>200</v>
      </c>
      <c r="E13" s="328">
        <f>D13*'User Dashboard'!$F$123</f>
        <v>1448.1546878700494</v>
      </c>
      <c r="F13" s="331"/>
    </row>
    <row r="14" spans="1:31" x14ac:dyDescent="0.2">
      <c r="B14" s="330">
        <v>3</v>
      </c>
      <c r="C14" s="318" t="s">
        <v>1038</v>
      </c>
      <c r="D14" s="322">
        <v>100</v>
      </c>
      <c r="E14" s="328">
        <f>D14*'User Dashboard'!$F$123</f>
        <v>724.07734393502471</v>
      </c>
      <c r="F14" s="331"/>
    </row>
    <row r="15" spans="1:31" x14ac:dyDescent="0.2">
      <c r="B15" s="330">
        <v>4</v>
      </c>
      <c r="C15" s="318" t="s">
        <v>1039</v>
      </c>
      <c r="D15" s="322">
        <v>30</v>
      </c>
      <c r="E15" s="328">
        <f>D15*'User Dashboard'!$F$123</f>
        <v>217.22320318050743</v>
      </c>
      <c r="F15" s="331"/>
    </row>
    <row r="16" spans="1:31" x14ac:dyDescent="0.2">
      <c r="B16" s="330">
        <v>5</v>
      </c>
      <c r="C16" s="318" t="s">
        <v>1040</v>
      </c>
      <c r="D16" s="322">
        <v>100</v>
      </c>
      <c r="E16" s="328">
        <f>D16*'User Dashboard'!$F$123</f>
        <v>724.07734393502471</v>
      </c>
      <c r="F16" s="331"/>
    </row>
    <row r="17" spans="2:6" x14ac:dyDescent="0.2">
      <c r="B17" s="330">
        <v>6</v>
      </c>
      <c r="C17" s="318" t="s">
        <v>1041</v>
      </c>
      <c r="D17" s="322">
        <v>400</v>
      </c>
      <c r="E17" s="328">
        <f>D17*'User Dashboard'!$F$123</f>
        <v>2896.3093757400989</v>
      </c>
      <c r="F17" s="331"/>
    </row>
    <row r="18" spans="2:6" x14ac:dyDescent="0.2">
      <c r="B18" s="330">
        <v>7</v>
      </c>
      <c r="C18" s="318" t="s">
        <v>1042</v>
      </c>
      <c r="D18" s="322">
        <v>400</v>
      </c>
      <c r="E18" s="328">
        <f>D18*'User Dashboard'!$F$123</f>
        <v>2896.3093757400989</v>
      </c>
      <c r="F18" s="331"/>
    </row>
    <row r="19" spans="2:6" x14ac:dyDescent="0.2">
      <c r="B19" s="330">
        <v>8</v>
      </c>
      <c r="C19" s="318" t="s">
        <v>1043</v>
      </c>
      <c r="D19" s="322">
        <v>2000</v>
      </c>
      <c r="E19" s="328">
        <f>D19*'User Dashboard'!$F$123</f>
        <v>14481.546878700496</v>
      </c>
      <c r="F19" s="331"/>
    </row>
    <row r="20" spans="2:6" x14ac:dyDescent="0.2">
      <c r="B20" s="330">
        <v>9</v>
      </c>
      <c r="C20" s="318" t="s">
        <v>1044</v>
      </c>
      <c r="D20" s="322">
        <v>500</v>
      </c>
      <c r="E20" s="328">
        <f>D20*'User Dashboard'!$F$123</f>
        <v>3620.3867196751239</v>
      </c>
      <c r="F20" s="331"/>
    </row>
    <row r="21" spans="2:6" x14ac:dyDescent="0.2">
      <c r="B21" s="330">
        <v>10</v>
      </c>
      <c r="C21" s="318" t="s">
        <v>1045</v>
      </c>
      <c r="D21" s="322">
        <v>200</v>
      </c>
      <c r="E21" s="328">
        <f>D21*'User Dashboard'!$F$123</f>
        <v>1448.1546878700494</v>
      </c>
      <c r="F21" s="331"/>
    </row>
    <row r="22" spans="2:6" x14ac:dyDescent="0.2">
      <c r="B22" s="330">
        <v>11</v>
      </c>
      <c r="C22" s="318" t="s">
        <v>1046</v>
      </c>
      <c r="D22" s="322">
        <v>400</v>
      </c>
      <c r="E22" s="328">
        <f>D22*'User Dashboard'!$F$123</f>
        <v>2896.3093757400989</v>
      </c>
      <c r="F22" s="331"/>
    </row>
    <row r="23" spans="2:6" x14ac:dyDescent="0.2">
      <c r="B23" s="330">
        <v>12</v>
      </c>
      <c r="C23" s="318" t="s">
        <v>1047</v>
      </c>
      <c r="D23" s="322">
        <v>200</v>
      </c>
      <c r="E23" s="328">
        <f>D23*'User Dashboard'!$F$123</f>
        <v>1448.1546878700494</v>
      </c>
      <c r="F23" s="331"/>
    </row>
    <row r="24" spans="2:6" x14ac:dyDescent="0.2">
      <c r="B24" s="330">
        <v>13</v>
      </c>
      <c r="C24" s="318" t="s">
        <v>1048</v>
      </c>
      <c r="D24" s="322">
        <v>40</v>
      </c>
      <c r="E24" s="328">
        <f>D24*'User Dashboard'!$F$123</f>
        <v>289.63093757400992</v>
      </c>
      <c r="F24" s="331"/>
    </row>
    <row r="25" spans="2:6" x14ac:dyDescent="0.2">
      <c r="B25" s="330">
        <v>14</v>
      </c>
      <c r="C25" s="318" t="s">
        <v>1049</v>
      </c>
      <c r="D25" s="322">
        <v>100</v>
      </c>
      <c r="E25" s="328">
        <f>D25*'User Dashboard'!$F$123</f>
        <v>724.07734393502471</v>
      </c>
      <c r="F25" s="331"/>
    </row>
    <row r="26" spans="2:6" x14ac:dyDescent="0.2">
      <c r="B26" s="330">
        <v>15</v>
      </c>
      <c r="C26" s="318" t="s">
        <v>1050</v>
      </c>
      <c r="D26" s="322">
        <v>200</v>
      </c>
      <c r="E26" s="328">
        <f>D26*'User Dashboard'!$F$123</f>
        <v>1448.1546878700494</v>
      </c>
      <c r="F26" s="331"/>
    </row>
    <row r="27" spans="2:6" x14ac:dyDescent="0.2">
      <c r="B27" s="330">
        <v>16</v>
      </c>
      <c r="C27" s="318" t="s">
        <v>1051</v>
      </c>
      <c r="D27" s="322">
        <v>400</v>
      </c>
      <c r="E27" s="328">
        <f>D27*'User Dashboard'!$F$123</f>
        <v>2896.3093757400989</v>
      </c>
      <c r="F27" s="331"/>
    </row>
    <row r="28" spans="2:6" x14ac:dyDescent="0.2">
      <c r="B28" s="330">
        <v>17</v>
      </c>
      <c r="C28" s="318" t="s">
        <v>1052</v>
      </c>
      <c r="D28" s="322">
        <v>200</v>
      </c>
      <c r="E28" s="328">
        <f>D28*'User Dashboard'!$F$123</f>
        <v>1448.1546878700494</v>
      </c>
      <c r="F28" s="331"/>
    </row>
    <row r="29" spans="2:6" x14ac:dyDescent="0.2">
      <c r="B29" s="330">
        <v>18</v>
      </c>
      <c r="C29" s="318" t="s">
        <v>1053</v>
      </c>
      <c r="D29" s="322">
        <v>50</v>
      </c>
      <c r="E29" s="328">
        <f>D29*'User Dashboard'!$F$123</f>
        <v>362.03867196751236</v>
      </c>
      <c r="F29" s="331"/>
    </row>
    <row r="30" spans="2:6" x14ac:dyDescent="0.2">
      <c r="B30" s="330">
        <v>19</v>
      </c>
      <c r="C30" s="318" t="s">
        <v>1054</v>
      </c>
      <c r="D30" s="322">
        <v>400</v>
      </c>
      <c r="E30" s="328">
        <f>D30*'User Dashboard'!$F$123</f>
        <v>2896.3093757400989</v>
      </c>
      <c r="F30" s="331"/>
    </row>
    <row r="31" spans="2:6" x14ac:dyDescent="0.2">
      <c r="B31" s="330">
        <v>20</v>
      </c>
      <c r="C31" s="318" t="s">
        <v>1055</v>
      </c>
      <c r="D31" s="322">
        <v>1000</v>
      </c>
      <c r="E31" s="328">
        <f>D31*'User Dashboard'!$F$123</f>
        <v>7240.7734393502478</v>
      </c>
      <c r="F31" s="331"/>
    </row>
    <row r="32" spans="2:6" x14ac:dyDescent="0.2">
      <c r="B32" s="330">
        <v>21</v>
      </c>
      <c r="C32" s="318" t="s">
        <v>1056</v>
      </c>
      <c r="D32" s="322">
        <v>500</v>
      </c>
      <c r="E32" s="328">
        <f>D32*'User Dashboard'!$F$123</f>
        <v>3620.3867196751239</v>
      </c>
      <c r="F32" s="331"/>
    </row>
    <row r="33" spans="2:6" x14ac:dyDescent="0.2">
      <c r="B33" s="330">
        <v>22</v>
      </c>
      <c r="C33" s="318" t="s">
        <v>1057</v>
      </c>
      <c r="D33" s="322">
        <v>100</v>
      </c>
      <c r="E33" s="328">
        <f>D33*'User Dashboard'!$F$123</f>
        <v>724.07734393502471</v>
      </c>
      <c r="F33" s="331"/>
    </row>
    <row r="34" spans="2:6" x14ac:dyDescent="0.2">
      <c r="B34" s="330">
        <v>23</v>
      </c>
      <c r="C34" s="318" t="s">
        <v>1058</v>
      </c>
      <c r="D34" s="322">
        <v>200</v>
      </c>
      <c r="E34" s="328">
        <f>D34*'User Dashboard'!$F$123</f>
        <v>1448.1546878700494</v>
      </c>
      <c r="F34" s="331"/>
    </row>
    <row r="35" spans="2:6" x14ac:dyDescent="0.2">
      <c r="B35" s="330">
        <v>24</v>
      </c>
      <c r="C35" s="318" t="s">
        <v>1059</v>
      </c>
      <c r="D35" s="322">
        <v>600</v>
      </c>
      <c r="E35" s="328">
        <f>D35*'User Dashboard'!$F$123</f>
        <v>4344.4640636101485</v>
      </c>
      <c r="F35" s="331"/>
    </row>
    <row r="36" spans="2:6" x14ac:dyDescent="0.2">
      <c r="B36" s="330">
        <v>25</v>
      </c>
      <c r="C36" s="318" t="s">
        <v>1060</v>
      </c>
      <c r="D36" s="322">
        <v>200</v>
      </c>
      <c r="E36" s="328">
        <f>D36*'User Dashboard'!$F$123</f>
        <v>1448.1546878700494</v>
      </c>
      <c r="F36" s="331"/>
    </row>
    <row r="37" spans="2:6" x14ac:dyDescent="0.2">
      <c r="B37" s="330">
        <v>26</v>
      </c>
      <c r="C37" s="318" t="s">
        <v>1061</v>
      </c>
      <c r="D37" s="322">
        <v>400</v>
      </c>
      <c r="E37" s="328">
        <f>D37*'User Dashboard'!$F$123</f>
        <v>2896.3093757400989</v>
      </c>
      <c r="F37" s="331"/>
    </row>
    <row r="38" spans="2:6" x14ac:dyDescent="0.2">
      <c r="B38" s="330">
        <v>27</v>
      </c>
      <c r="C38" s="318" t="s">
        <v>1062</v>
      </c>
      <c r="D38" s="322">
        <v>60</v>
      </c>
      <c r="E38" s="328">
        <f>D38*'User Dashboard'!$F$123</f>
        <v>434.44640636101485</v>
      </c>
      <c r="F38" s="331"/>
    </row>
    <row r="39" spans="2:6" x14ac:dyDescent="0.2">
      <c r="B39" s="330">
        <v>28</v>
      </c>
      <c r="C39" s="318" t="s">
        <v>1063</v>
      </c>
      <c r="D39" s="322">
        <v>100</v>
      </c>
      <c r="E39" s="328">
        <f>D39*'User Dashboard'!$F$123</f>
        <v>724.07734393502471</v>
      </c>
      <c r="F39" s="331"/>
    </row>
    <row r="40" spans="2:6" x14ac:dyDescent="0.2">
      <c r="B40" s="330">
        <v>29</v>
      </c>
      <c r="C40" s="318" t="s">
        <v>1064</v>
      </c>
      <c r="D40" s="322">
        <v>40</v>
      </c>
      <c r="E40" s="328">
        <f>D40*'User Dashboard'!$F$123</f>
        <v>289.63093757400992</v>
      </c>
      <c r="F40" s="331"/>
    </row>
    <row r="41" spans="2:6" x14ac:dyDescent="0.2">
      <c r="B41" s="330">
        <v>30</v>
      </c>
      <c r="C41" s="318" t="s">
        <v>1065</v>
      </c>
      <c r="D41" s="322">
        <v>600</v>
      </c>
      <c r="E41" s="328">
        <f>D41*'User Dashboard'!$F$123</f>
        <v>4344.4640636101485</v>
      </c>
      <c r="F41" s="331"/>
    </row>
    <row r="42" spans="2:6" x14ac:dyDescent="0.2">
      <c r="B42" s="330">
        <v>31</v>
      </c>
      <c r="C42" s="318" t="s">
        <v>1066</v>
      </c>
      <c r="D42" s="322">
        <v>200</v>
      </c>
      <c r="E42" s="328">
        <f>D42*'User Dashboard'!$F$123</f>
        <v>1448.1546878700494</v>
      </c>
      <c r="F42" s="331"/>
    </row>
    <row r="43" spans="2:6" x14ac:dyDescent="0.2">
      <c r="B43" s="330">
        <v>32</v>
      </c>
      <c r="C43" s="318" t="s">
        <v>1067</v>
      </c>
      <c r="D43" s="322">
        <v>30</v>
      </c>
      <c r="E43" s="328">
        <f>D43*'User Dashboard'!$F$123</f>
        <v>217.22320318050743</v>
      </c>
      <c r="F43" s="331"/>
    </row>
    <row r="44" spans="2:6" x14ac:dyDescent="0.2">
      <c r="B44" s="330">
        <v>33</v>
      </c>
      <c r="C44" s="318" t="s">
        <v>1068</v>
      </c>
      <c r="D44" s="322">
        <v>200</v>
      </c>
      <c r="E44" s="328">
        <f>D44*'User Dashboard'!$F$123</f>
        <v>1448.1546878700494</v>
      </c>
      <c r="F44" s="331"/>
    </row>
    <row r="45" spans="2:6" x14ac:dyDescent="0.2">
      <c r="B45" s="330">
        <v>34</v>
      </c>
      <c r="C45" s="318" t="s">
        <v>1069</v>
      </c>
      <c r="D45" s="322">
        <v>200</v>
      </c>
      <c r="E45" s="328">
        <f>D45*'User Dashboard'!$F$123</f>
        <v>1448.1546878700494</v>
      </c>
      <c r="F45" s="331"/>
    </row>
    <row r="46" spans="2:6" x14ac:dyDescent="0.2">
      <c r="B46" s="330">
        <v>35</v>
      </c>
      <c r="C46" s="318" t="s">
        <v>1070</v>
      </c>
      <c r="D46" s="322">
        <v>40</v>
      </c>
      <c r="E46" s="328">
        <f>D46*'User Dashboard'!$F$123</f>
        <v>289.63093757400992</v>
      </c>
      <c r="F46" s="331"/>
    </row>
    <row r="47" spans="2:6" x14ac:dyDescent="0.2">
      <c r="B47" s="330">
        <v>36</v>
      </c>
      <c r="C47" s="318" t="s">
        <v>1071</v>
      </c>
      <c r="D47" s="322">
        <v>200</v>
      </c>
      <c r="E47" s="328">
        <f>D47*'User Dashboard'!$F$123</f>
        <v>1448.1546878700494</v>
      </c>
      <c r="F47" s="331"/>
    </row>
    <row r="48" spans="2:6" x14ac:dyDescent="0.2">
      <c r="B48" s="330">
        <v>37</v>
      </c>
      <c r="C48" s="318" t="s">
        <v>1072</v>
      </c>
      <c r="D48" s="322">
        <v>30</v>
      </c>
      <c r="E48" s="328">
        <f>D48*'User Dashboard'!$F$123</f>
        <v>217.22320318050743</v>
      </c>
      <c r="F48" s="331"/>
    </row>
    <row r="49" spans="2:6" x14ac:dyDescent="0.2">
      <c r="B49" s="330">
        <v>38</v>
      </c>
      <c r="C49" s="318" t="s">
        <v>1073</v>
      </c>
      <c r="D49" s="322">
        <v>80</v>
      </c>
      <c r="E49" s="328">
        <f>D49*'User Dashboard'!$F$123</f>
        <v>579.26187514801984</v>
      </c>
      <c r="F49" s="331"/>
    </row>
    <row r="50" spans="2:6" x14ac:dyDescent="0.2">
      <c r="B50" s="330">
        <v>39</v>
      </c>
      <c r="C50" s="318" t="s">
        <v>1074</v>
      </c>
      <c r="D50" s="322">
        <v>200</v>
      </c>
      <c r="E50" s="328">
        <f>D50*'User Dashboard'!$F$123</f>
        <v>1448.1546878700494</v>
      </c>
      <c r="F50" s="331"/>
    </row>
    <row r="51" spans="2:6" x14ac:dyDescent="0.2">
      <c r="B51" s="330">
        <v>40</v>
      </c>
      <c r="C51" s="318" t="s">
        <v>1075</v>
      </c>
      <c r="D51" s="322">
        <v>200</v>
      </c>
      <c r="E51" s="328">
        <f>D51*'User Dashboard'!$F$123</f>
        <v>1448.1546878700494</v>
      </c>
      <c r="F51" s="331"/>
    </row>
    <row r="52" spans="2:6" x14ac:dyDescent="0.2">
      <c r="B52" s="330">
        <v>41</v>
      </c>
      <c r="C52" s="318" t="s">
        <v>1076</v>
      </c>
      <c r="D52" s="322">
        <v>400</v>
      </c>
      <c r="E52" s="328">
        <f>D52*'User Dashboard'!$F$123</f>
        <v>2896.3093757400989</v>
      </c>
      <c r="F52" s="331"/>
    </row>
    <row r="53" spans="2:6" x14ac:dyDescent="0.2">
      <c r="B53" s="330">
        <v>42</v>
      </c>
      <c r="C53" s="318" t="s">
        <v>1077</v>
      </c>
      <c r="D53" s="322">
        <v>200</v>
      </c>
      <c r="E53" s="328">
        <f>D53*'User Dashboard'!$F$123</f>
        <v>1448.1546878700494</v>
      </c>
      <c r="F53" s="331"/>
    </row>
    <row r="54" spans="2:6" x14ac:dyDescent="0.2">
      <c r="B54" s="330">
        <v>43</v>
      </c>
      <c r="C54" s="318" t="s">
        <v>1078</v>
      </c>
      <c r="D54" s="322">
        <v>80</v>
      </c>
      <c r="E54" s="328">
        <f>D54*'User Dashboard'!$F$123</f>
        <v>579.26187514801984</v>
      </c>
      <c r="F54" s="331"/>
    </row>
    <row r="55" spans="2:6" x14ac:dyDescent="0.2">
      <c r="B55" s="330">
        <v>44</v>
      </c>
      <c r="C55" s="318" t="s">
        <v>1079</v>
      </c>
      <c r="D55" s="322">
        <v>1000</v>
      </c>
      <c r="E55" s="328">
        <f>D55*'User Dashboard'!$F$123</f>
        <v>7240.7734393502478</v>
      </c>
      <c r="F55" s="331"/>
    </row>
    <row r="56" spans="2:6" x14ac:dyDescent="0.2">
      <c r="B56" s="330">
        <v>45</v>
      </c>
      <c r="C56" s="318" t="s">
        <v>1080</v>
      </c>
      <c r="D56" s="322">
        <v>30</v>
      </c>
      <c r="E56" s="328">
        <f>D56*'User Dashboard'!$F$123</f>
        <v>217.22320318050743</v>
      </c>
      <c r="F56" s="331"/>
    </row>
    <row r="57" spans="2:6" x14ac:dyDescent="0.2">
      <c r="B57" s="330">
        <v>46</v>
      </c>
      <c r="C57" s="318" t="s">
        <v>1081</v>
      </c>
      <c r="D57" s="322">
        <v>200</v>
      </c>
      <c r="E57" s="328">
        <f>D57*'User Dashboard'!$F$123</f>
        <v>1448.1546878700494</v>
      </c>
      <c r="F57" s="331"/>
    </row>
    <row r="58" spans="2:6" x14ac:dyDescent="0.2">
      <c r="B58" s="330">
        <v>47</v>
      </c>
      <c r="C58" s="318" t="s">
        <v>1082</v>
      </c>
      <c r="D58" s="322">
        <v>400</v>
      </c>
      <c r="E58" s="328">
        <f>D58*'User Dashboard'!$F$123</f>
        <v>2896.3093757400989</v>
      </c>
      <c r="F58" s="331"/>
    </row>
    <row r="59" spans="2:6" x14ac:dyDescent="0.2">
      <c r="B59" s="330">
        <v>48</v>
      </c>
      <c r="C59" s="318" t="s">
        <v>1083</v>
      </c>
      <c r="D59" s="322">
        <v>100</v>
      </c>
      <c r="E59" s="328">
        <f>D59*'User Dashboard'!$F$123</f>
        <v>724.07734393502471</v>
      </c>
      <c r="F59" s="331"/>
    </row>
    <row r="60" spans="2:6" x14ac:dyDescent="0.2">
      <c r="B60" s="330">
        <v>49</v>
      </c>
      <c r="C60" s="318" t="s">
        <v>1084</v>
      </c>
      <c r="D60" s="322">
        <v>400</v>
      </c>
      <c r="E60" s="328">
        <f>D60*'User Dashboard'!$F$123</f>
        <v>2896.3093757400989</v>
      </c>
      <c r="F60" s="331"/>
    </row>
    <row r="61" spans="2:6" x14ac:dyDescent="0.2">
      <c r="B61" s="330">
        <v>50</v>
      </c>
      <c r="C61" s="318" t="s">
        <v>1085</v>
      </c>
      <c r="D61" s="322">
        <v>100</v>
      </c>
      <c r="E61" s="328">
        <f>D61*'User Dashboard'!$F$123</f>
        <v>724.07734393502471</v>
      </c>
      <c r="F61" s="331"/>
    </row>
    <row r="62" spans="2:6" x14ac:dyDescent="0.2">
      <c r="B62" s="330">
        <v>51</v>
      </c>
      <c r="C62" s="318" t="s">
        <v>1086</v>
      </c>
      <c r="D62" s="322">
        <v>200</v>
      </c>
      <c r="E62" s="328">
        <f>D62*'User Dashboard'!$F$123</f>
        <v>1448.1546878700494</v>
      </c>
      <c r="F62" s="331"/>
    </row>
    <row r="63" spans="2:6" x14ac:dyDescent="0.2">
      <c r="B63" s="330">
        <v>52</v>
      </c>
      <c r="C63" s="318" t="s">
        <v>1087</v>
      </c>
      <c r="D63" s="322">
        <v>200</v>
      </c>
      <c r="E63" s="328">
        <f>D63*'User Dashboard'!$F$123</f>
        <v>1448.1546878700494</v>
      </c>
      <c r="F63" s="331"/>
    </row>
    <row r="64" spans="2:6" x14ac:dyDescent="0.2">
      <c r="B64" s="330">
        <v>53</v>
      </c>
      <c r="C64" s="318" t="s">
        <v>1088</v>
      </c>
      <c r="D64" s="322">
        <v>100</v>
      </c>
      <c r="E64" s="328">
        <f>D64*'User Dashboard'!$F$123</f>
        <v>724.07734393502471</v>
      </c>
      <c r="F64" s="331"/>
    </row>
    <row r="65" spans="2:6" x14ac:dyDescent="0.2">
      <c r="B65" s="330">
        <v>54</v>
      </c>
      <c r="C65" s="318" t="s">
        <v>1089</v>
      </c>
      <c r="D65" s="322">
        <v>400</v>
      </c>
      <c r="E65" s="328">
        <f>D65*'User Dashboard'!$F$123</f>
        <v>2896.3093757400989</v>
      </c>
      <c r="F65" s="331"/>
    </row>
    <row r="66" spans="2:6" x14ac:dyDescent="0.2">
      <c r="B66" s="330">
        <v>55</v>
      </c>
      <c r="C66" s="318" t="s">
        <v>1090</v>
      </c>
      <c r="D66" s="322">
        <v>200</v>
      </c>
      <c r="E66" s="328">
        <f>D66*'User Dashboard'!$F$123</f>
        <v>1448.1546878700494</v>
      </c>
      <c r="F66" s="331"/>
    </row>
    <row r="67" spans="2:6" x14ac:dyDescent="0.2">
      <c r="B67" s="330">
        <v>56</v>
      </c>
      <c r="C67" s="318" t="s">
        <v>1091</v>
      </c>
      <c r="D67" s="322">
        <v>600</v>
      </c>
      <c r="E67" s="328">
        <f>D67*'User Dashboard'!$F$123</f>
        <v>4344.4640636101485</v>
      </c>
      <c r="F67" s="331"/>
    </row>
    <row r="68" spans="2:6" x14ac:dyDescent="0.2">
      <c r="B68" s="330">
        <v>57</v>
      </c>
      <c r="C68" s="318" t="s">
        <v>1092</v>
      </c>
      <c r="D68" s="322">
        <v>40</v>
      </c>
      <c r="E68" s="328">
        <f>D68*'User Dashboard'!$F$123</f>
        <v>289.63093757400992</v>
      </c>
      <c r="F68" s="331"/>
    </row>
    <row r="69" spans="2:6" x14ac:dyDescent="0.2">
      <c r="B69" s="330">
        <v>58</v>
      </c>
      <c r="C69" s="318" t="s">
        <v>1093</v>
      </c>
      <c r="D69" s="322">
        <v>160</v>
      </c>
      <c r="E69" s="328">
        <f>D69*'User Dashboard'!$F$123</f>
        <v>1158.5237502960397</v>
      </c>
      <c r="F69" s="331"/>
    </row>
    <row r="70" spans="2:6" x14ac:dyDescent="0.2">
      <c r="B70" s="330">
        <v>59</v>
      </c>
      <c r="C70" s="318" t="s">
        <v>1094</v>
      </c>
      <c r="D70" s="322">
        <v>160</v>
      </c>
      <c r="E70" s="328">
        <f>D70*'User Dashboard'!$F$123</f>
        <v>1158.5237502960397</v>
      </c>
      <c r="F70" s="331"/>
    </row>
    <row r="71" spans="2:6" x14ac:dyDescent="0.2">
      <c r="B71" s="330">
        <v>60</v>
      </c>
      <c r="C71" s="318" t="s">
        <v>1095</v>
      </c>
      <c r="D71" s="322">
        <v>4000</v>
      </c>
      <c r="E71" s="328">
        <f>D71*'User Dashboard'!$F$123</f>
        <v>28963.093757400991</v>
      </c>
      <c r="F71" s="331"/>
    </row>
    <row r="72" spans="2:6" x14ac:dyDescent="0.2">
      <c r="B72" s="330">
        <v>61</v>
      </c>
      <c r="C72" s="318" t="s">
        <v>1096</v>
      </c>
      <c r="D72" s="322">
        <v>900</v>
      </c>
      <c r="E72" s="328">
        <f>D72*'User Dashboard'!$F$123</f>
        <v>6516.6960954152228</v>
      </c>
      <c r="F72" s="331"/>
    </row>
    <row r="73" spans="2:6" x14ac:dyDescent="0.2">
      <c r="B73" s="330">
        <v>62</v>
      </c>
      <c r="C73" s="318" t="s">
        <v>1097</v>
      </c>
      <c r="D73" s="322">
        <v>200</v>
      </c>
      <c r="E73" s="328">
        <f>D73*'User Dashboard'!$F$123</f>
        <v>1448.1546878700494</v>
      </c>
      <c r="F73" s="331"/>
    </row>
    <row r="74" spans="2:6" x14ac:dyDescent="0.2">
      <c r="B74" s="330">
        <v>63</v>
      </c>
      <c r="C74" s="318" t="s">
        <v>1098</v>
      </c>
      <c r="D74" s="322">
        <v>200</v>
      </c>
      <c r="E74" s="328">
        <f>D74*'User Dashboard'!$F$123</f>
        <v>1448.1546878700494</v>
      </c>
      <c r="F74" s="331"/>
    </row>
    <row r="75" spans="2:6" x14ac:dyDescent="0.2">
      <c r="B75" s="330">
        <v>64</v>
      </c>
      <c r="C75" s="318" t="s">
        <v>1099</v>
      </c>
      <c r="D75" s="322">
        <v>2000</v>
      </c>
      <c r="E75" s="328">
        <f>D75*'User Dashboard'!$F$123</f>
        <v>14481.546878700496</v>
      </c>
      <c r="F75" s="331"/>
    </row>
    <row r="76" spans="2:6" x14ac:dyDescent="0.2">
      <c r="B76" s="330">
        <v>65</v>
      </c>
      <c r="C76" s="318" t="s">
        <v>1100</v>
      </c>
      <c r="D76" s="322">
        <v>150</v>
      </c>
      <c r="E76" s="328">
        <f>D76*'User Dashboard'!$F$123</f>
        <v>1086.1160159025371</v>
      </c>
      <c r="F76" s="331"/>
    </row>
    <row r="77" spans="2:6" x14ac:dyDescent="0.2">
      <c r="B77" s="330">
        <v>66</v>
      </c>
      <c r="C77" s="318" t="s">
        <v>1101</v>
      </c>
      <c r="D77" s="322">
        <v>800</v>
      </c>
      <c r="E77" s="328">
        <f>D77*'User Dashboard'!$F$123</f>
        <v>5792.6187514801977</v>
      </c>
      <c r="F77" s="331"/>
    </row>
    <row r="78" spans="2:6" x14ac:dyDescent="0.2">
      <c r="B78" s="330">
        <v>67</v>
      </c>
      <c r="C78" s="318" t="s">
        <v>1102</v>
      </c>
      <c r="D78" s="322">
        <v>100</v>
      </c>
      <c r="E78" s="328">
        <f>D78*'User Dashboard'!$F$123</f>
        <v>724.07734393502471</v>
      </c>
      <c r="F78" s="331"/>
    </row>
    <row r="79" spans="2:6" x14ac:dyDescent="0.2">
      <c r="B79" s="330">
        <v>68</v>
      </c>
      <c r="C79" s="318" t="s">
        <v>1103</v>
      </c>
      <c r="D79" s="322">
        <v>200</v>
      </c>
      <c r="E79" s="328">
        <f>D79*'User Dashboard'!$F$123</f>
        <v>1448.1546878700494</v>
      </c>
      <c r="F79" s="331"/>
    </row>
    <row r="80" spans="2:6" x14ac:dyDescent="0.2">
      <c r="B80" s="330">
        <v>69</v>
      </c>
      <c r="C80" s="318" t="s">
        <v>1104</v>
      </c>
      <c r="D80" s="322">
        <v>20</v>
      </c>
      <c r="E80" s="328">
        <f>D80*'User Dashboard'!$F$123</f>
        <v>144.81546878700496</v>
      </c>
      <c r="F80" s="331"/>
    </row>
    <row r="81" spans="2:9" x14ac:dyDescent="0.2">
      <c r="B81" s="330">
        <v>70</v>
      </c>
      <c r="C81" s="318" t="s">
        <v>1105</v>
      </c>
      <c r="D81" s="322">
        <v>200</v>
      </c>
      <c r="E81" s="328">
        <f>D81*'User Dashboard'!$F$123</f>
        <v>1448.1546878700494</v>
      </c>
      <c r="F81" s="331"/>
    </row>
    <row r="82" spans="2:9" x14ac:dyDescent="0.2">
      <c r="B82" s="330">
        <v>71</v>
      </c>
      <c r="C82" s="318" t="s">
        <v>1106</v>
      </c>
      <c r="D82" s="322">
        <v>50</v>
      </c>
      <c r="E82" s="328">
        <f>D82*'User Dashboard'!$F$123</f>
        <v>362.03867196751236</v>
      </c>
      <c r="F82" s="331"/>
    </row>
    <row r="83" spans="2:9" x14ac:dyDescent="0.2">
      <c r="B83" s="330">
        <v>72</v>
      </c>
      <c r="C83" s="318" t="s">
        <v>1107</v>
      </c>
      <c r="D83" s="322">
        <v>400</v>
      </c>
      <c r="E83" s="328">
        <f>D83*'User Dashboard'!$F$123</f>
        <v>2896.3093757400989</v>
      </c>
      <c r="F83" s="331"/>
    </row>
    <row r="84" spans="2:9" x14ac:dyDescent="0.2">
      <c r="B84" s="330">
        <v>73</v>
      </c>
      <c r="C84" s="318" t="s">
        <v>1108</v>
      </c>
      <c r="D84" s="322">
        <v>200</v>
      </c>
      <c r="E84" s="328">
        <f>D84*'User Dashboard'!$F$123</f>
        <v>1448.1546878700494</v>
      </c>
      <c r="F84" s="331"/>
    </row>
    <row r="85" spans="2:9" x14ac:dyDescent="0.2">
      <c r="B85" s="330">
        <v>74</v>
      </c>
      <c r="C85" s="318" t="s">
        <v>1109</v>
      </c>
      <c r="D85" s="322">
        <v>8000</v>
      </c>
      <c r="E85" s="328">
        <f>D85*'User Dashboard'!$F$123</f>
        <v>57926.187514801983</v>
      </c>
      <c r="F85" s="331"/>
    </row>
    <row r="86" spans="2:9" ht="13.5" thickBot="1" x14ac:dyDescent="0.25">
      <c r="B86" s="332">
        <v>75</v>
      </c>
      <c r="C86" s="333" t="s">
        <v>1110</v>
      </c>
      <c r="D86" s="334">
        <v>200</v>
      </c>
      <c r="E86" s="335">
        <f>D86*'User Dashboard'!$F$123</f>
        <v>1448.1546878700494</v>
      </c>
      <c r="F86" s="336"/>
    </row>
    <row r="87" spans="2:9" ht="13.5" thickBot="1" x14ac:dyDescent="0.25"/>
    <row r="88" spans="2:9" ht="38.25" x14ac:dyDescent="0.2">
      <c r="B88" s="337" t="s">
        <v>328</v>
      </c>
      <c r="C88" s="338" t="s">
        <v>1111</v>
      </c>
      <c r="D88" s="315" t="s">
        <v>1160</v>
      </c>
      <c r="E88" s="321" t="s">
        <v>1161</v>
      </c>
      <c r="F88" s="316" t="s">
        <v>1035</v>
      </c>
      <c r="G88" s="313"/>
      <c r="H88" s="313"/>
      <c r="I88" s="313"/>
    </row>
    <row r="89" spans="2:9" x14ac:dyDescent="0.2">
      <c r="B89" s="330">
        <v>1</v>
      </c>
      <c r="C89" s="318" t="s">
        <v>1112</v>
      </c>
      <c r="D89" s="322">
        <v>90</v>
      </c>
      <c r="E89" s="328">
        <f>D89*'User Dashboard'!$F$123</f>
        <v>651.66960954152228</v>
      </c>
      <c r="F89" s="331"/>
      <c r="G89" s="313"/>
      <c r="H89" s="313"/>
      <c r="I89" s="313"/>
    </row>
    <row r="90" spans="2:9" x14ac:dyDescent="0.2">
      <c r="B90" s="330">
        <v>2</v>
      </c>
      <c r="C90" s="318" t="s">
        <v>1113</v>
      </c>
      <c r="D90" s="322">
        <v>50</v>
      </c>
      <c r="E90" s="328">
        <f>D90*'User Dashboard'!$F$123</f>
        <v>362.03867196751236</v>
      </c>
      <c r="F90" s="331"/>
      <c r="G90" s="313"/>
      <c r="H90" s="313"/>
      <c r="I90" s="313"/>
    </row>
    <row r="91" spans="2:9" ht="13.5" thickBot="1" x14ac:dyDescent="0.25">
      <c r="B91" s="332">
        <v>3</v>
      </c>
      <c r="C91" s="333" t="s">
        <v>1114</v>
      </c>
      <c r="D91" s="334">
        <v>90</v>
      </c>
      <c r="E91" s="335">
        <f>D91*'User Dashboard'!$F$123</f>
        <v>651.66960954152228</v>
      </c>
      <c r="F91" s="336"/>
      <c r="G91" s="313"/>
      <c r="H91" s="313"/>
      <c r="I91" s="313"/>
    </row>
    <row r="92" spans="2:9" ht="13.5" thickBot="1" x14ac:dyDescent="0.25"/>
    <row r="93" spans="2:9" ht="38.25" x14ac:dyDescent="0.2">
      <c r="B93" s="337" t="s">
        <v>1115</v>
      </c>
      <c r="C93" s="338" t="s">
        <v>1164</v>
      </c>
      <c r="D93" s="315" t="s">
        <v>1160</v>
      </c>
      <c r="E93" s="321" t="s">
        <v>1161</v>
      </c>
      <c r="F93" s="339" t="s">
        <v>1035</v>
      </c>
    </row>
    <row r="94" spans="2:9" x14ac:dyDescent="0.2">
      <c r="B94" s="330">
        <v>1</v>
      </c>
      <c r="C94" s="318" t="s">
        <v>1116</v>
      </c>
      <c r="D94" s="322">
        <v>200</v>
      </c>
      <c r="E94" s="328">
        <f>D94*'User Dashboard'!$F$123</f>
        <v>1448.1546878700494</v>
      </c>
      <c r="F94" s="331"/>
    </row>
    <row r="95" spans="2:9" x14ac:dyDescent="0.2">
      <c r="B95" s="330">
        <f>B94+1</f>
        <v>2</v>
      </c>
      <c r="C95" s="318" t="s">
        <v>1117</v>
      </c>
      <c r="D95" s="322">
        <v>200</v>
      </c>
      <c r="E95" s="328">
        <f>D95*'User Dashboard'!$F$123</f>
        <v>1448.1546878700494</v>
      </c>
      <c r="F95" s="331"/>
    </row>
    <row r="96" spans="2:9" x14ac:dyDescent="0.2">
      <c r="B96" s="330">
        <f t="shared" ref="B96:B104" si="0">B95+1</f>
        <v>3</v>
      </c>
      <c r="C96" s="318" t="s">
        <v>1118</v>
      </c>
      <c r="D96" s="322">
        <v>100</v>
      </c>
      <c r="E96" s="328">
        <f>D96*'User Dashboard'!$F$123</f>
        <v>724.07734393502471</v>
      </c>
      <c r="F96" s="331"/>
    </row>
    <row r="97" spans="2:6" x14ac:dyDescent="0.2">
      <c r="B97" s="330">
        <f t="shared" si="0"/>
        <v>4</v>
      </c>
      <c r="C97" s="318" t="s">
        <v>1119</v>
      </c>
      <c r="D97" s="322">
        <v>100</v>
      </c>
      <c r="E97" s="328">
        <f>D97*'User Dashboard'!$F$123</f>
        <v>724.07734393502471</v>
      </c>
      <c r="F97" s="331"/>
    </row>
    <row r="98" spans="2:6" x14ac:dyDescent="0.2">
      <c r="B98" s="330">
        <f t="shared" si="0"/>
        <v>5</v>
      </c>
      <c r="C98" s="318" t="s">
        <v>1120</v>
      </c>
      <c r="D98" s="322">
        <v>400</v>
      </c>
      <c r="E98" s="328">
        <f>D98*'User Dashboard'!$F$123</f>
        <v>2896.3093757400989</v>
      </c>
      <c r="F98" s="331"/>
    </row>
    <row r="99" spans="2:6" x14ac:dyDescent="0.2">
      <c r="B99" s="330">
        <f t="shared" si="0"/>
        <v>6</v>
      </c>
      <c r="C99" s="318" t="s">
        <v>1121</v>
      </c>
      <c r="D99" s="322">
        <v>100</v>
      </c>
      <c r="E99" s="328">
        <f>D99*'User Dashboard'!$F$123</f>
        <v>724.07734393502471</v>
      </c>
      <c r="F99" s="331"/>
    </row>
    <row r="100" spans="2:6" x14ac:dyDescent="0.2">
      <c r="B100" s="330">
        <f t="shared" si="0"/>
        <v>7</v>
      </c>
      <c r="C100" s="318" t="s">
        <v>1122</v>
      </c>
      <c r="D100" s="322">
        <v>100</v>
      </c>
      <c r="E100" s="328">
        <f>D100*'User Dashboard'!$F$123</f>
        <v>724.07734393502471</v>
      </c>
      <c r="F100" s="331"/>
    </row>
    <row r="101" spans="2:6" x14ac:dyDescent="0.2">
      <c r="B101" s="330">
        <f t="shared" si="0"/>
        <v>8</v>
      </c>
      <c r="C101" s="318" t="s">
        <v>1123</v>
      </c>
      <c r="D101" s="322">
        <v>200</v>
      </c>
      <c r="E101" s="328">
        <f>D101*'User Dashboard'!$F$123</f>
        <v>1448.1546878700494</v>
      </c>
      <c r="F101" s="331"/>
    </row>
    <row r="102" spans="2:6" x14ac:dyDescent="0.2">
      <c r="B102" s="330">
        <f t="shared" si="0"/>
        <v>9</v>
      </c>
      <c r="C102" s="318" t="s">
        <v>1124</v>
      </c>
      <c r="D102" s="322">
        <v>200</v>
      </c>
      <c r="E102" s="328">
        <f>D102*'User Dashboard'!$F$123</f>
        <v>1448.1546878700494</v>
      </c>
      <c r="F102" s="331"/>
    </row>
    <row r="103" spans="2:6" x14ac:dyDescent="0.2">
      <c r="B103" s="330">
        <f t="shared" si="0"/>
        <v>10</v>
      </c>
      <c r="C103" s="318" t="s">
        <v>1125</v>
      </c>
      <c r="D103" s="322">
        <v>200</v>
      </c>
      <c r="E103" s="328">
        <f>D103*'User Dashboard'!$F$123</f>
        <v>1448.1546878700494</v>
      </c>
      <c r="F103" s="331"/>
    </row>
    <row r="104" spans="2:6" ht="13.5" thickBot="1" x14ac:dyDescent="0.25">
      <c r="B104" s="332">
        <f t="shared" si="0"/>
        <v>11</v>
      </c>
      <c r="C104" s="333" t="s">
        <v>1126</v>
      </c>
      <c r="D104" s="334">
        <v>200</v>
      </c>
      <c r="E104" s="335">
        <f>D104*'User Dashboard'!$F$123</f>
        <v>1448.1546878700494</v>
      </c>
      <c r="F104" s="336"/>
    </row>
  </sheetData>
  <sheetProtection algorithmName="SHA-512" hashValue="Fd2t1M4ex2sGb/E2Jxyk5exsm4WxA8RlOh7pSTm3nWh6HYQv22httfD8eh9GhlsS0hQDoCRS/4pDjmjbG1J24Q==" saltValue="uaT2pulqMMiU3703uKo5dw==" spinCount="100000" sheet="1" objects="1" scenarios="1"/>
  <autoFilter ref="B11:F33"/>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AE41"/>
  <sheetViews>
    <sheetView showGridLines="0" zoomScaleNormal="100" workbookViewId="0"/>
  </sheetViews>
  <sheetFormatPr defaultColWidth="8.5703125" defaultRowHeight="12.75" x14ac:dyDescent="0.2"/>
  <cols>
    <col min="1" max="1" width="3.5703125" style="208" customWidth="1"/>
    <col min="2" max="2" width="11.5703125" style="314" customWidth="1"/>
    <col min="3" max="3" width="63.5703125" style="208" customWidth="1"/>
    <col min="4" max="5" width="20.5703125" style="208" customWidth="1"/>
    <col min="6" max="6" width="31.42578125" style="208" customWidth="1"/>
    <col min="7" max="16384" width="8.5703125" style="208"/>
  </cols>
  <sheetData>
    <row r="1" spans="1:31" s="138" customFormat="1" ht="15" x14ac:dyDescent="0.25">
      <c r="A1" s="89"/>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row>
    <row r="2" spans="1:31" s="138" customFormat="1" ht="18.75" x14ac:dyDescent="0.3">
      <c r="A2" s="29"/>
      <c r="B2" s="29" t="s">
        <v>1180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31" s="138" customFormat="1" ht="15" x14ac:dyDescent="0.25">
      <c r="F3" s="89"/>
    </row>
    <row r="4" spans="1:31" s="138" customFormat="1" ht="15" x14ac:dyDescent="0.25">
      <c r="A4" s="16"/>
      <c r="B4" s="15" t="s">
        <v>286</v>
      </c>
      <c r="C4" s="15"/>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row>
    <row r="5" spans="1:31" s="138" customFormat="1" ht="15" x14ac:dyDescent="0.25">
      <c r="B5" s="138" t="s">
        <v>287</v>
      </c>
      <c r="D5" s="12"/>
      <c r="E5" s="8"/>
      <c r="F5" s="89"/>
    </row>
    <row r="6" spans="1:31" s="138" customFormat="1" ht="15" x14ac:dyDescent="0.25">
      <c r="B6" s="138" t="s">
        <v>288</v>
      </c>
      <c r="D6" s="13"/>
      <c r="E6" s="8"/>
      <c r="F6" s="89"/>
    </row>
    <row r="7" spans="1:31" s="138" customFormat="1" ht="15" x14ac:dyDescent="0.25">
      <c r="B7" s="6" t="s">
        <v>289</v>
      </c>
      <c r="C7" s="6"/>
      <c r="D7" s="14"/>
      <c r="E7" s="8"/>
      <c r="F7" s="89"/>
      <c r="N7" s="89"/>
      <c r="O7" s="89"/>
      <c r="P7" s="89"/>
      <c r="Q7" s="89"/>
      <c r="R7" s="89"/>
      <c r="S7" s="89"/>
      <c r="T7" s="89"/>
      <c r="U7" s="89"/>
      <c r="V7" s="89"/>
      <c r="W7" s="89"/>
      <c r="X7" s="89"/>
      <c r="Y7" s="89"/>
      <c r="Z7" s="89"/>
      <c r="AA7" s="89"/>
      <c r="AB7" s="89"/>
      <c r="AC7" s="89"/>
      <c r="AD7" s="89"/>
      <c r="AE7" s="89"/>
    </row>
    <row r="8" spans="1:31" s="138" customFormat="1" ht="15" x14ac:dyDescent="0.25">
      <c r="E8" s="8"/>
      <c r="N8" s="89"/>
      <c r="O8" s="89"/>
      <c r="P8" s="89"/>
      <c r="Q8" s="89"/>
      <c r="R8" s="89"/>
      <c r="S8" s="89"/>
      <c r="T8" s="89"/>
      <c r="U8" s="89"/>
      <c r="V8" s="89"/>
      <c r="W8" s="89"/>
      <c r="X8" s="89"/>
      <c r="Y8" s="89"/>
      <c r="Z8" s="89"/>
      <c r="AA8" s="89"/>
      <c r="AB8" s="89"/>
      <c r="AC8" s="89"/>
      <c r="AD8" s="89"/>
      <c r="AE8" s="89"/>
    </row>
    <row r="9" spans="1:31" s="138" customFormat="1" ht="15" x14ac:dyDescent="0.25">
      <c r="A9" s="16"/>
      <c r="B9" s="15" t="s">
        <v>1159</v>
      </c>
      <c r="C9" s="15"/>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row>
    <row r="10" spans="1:31" ht="13.5" thickBot="1" x14ac:dyDescent="0.25"/>
    <row r="11" spans="1:31" ht="38.25" x14ac:dyDescent="0.2">
      <c r="B11" s="315" t="s">
        <v>328</v>
      </c>
      <c r="C11" s="315" t="s">
        <v>1127</v>
      </c>
      <c r="D11" s="315" t="s">
        <v>1160</v>
      </c>
      <c r="E11" s="321" t="s">
        <v>1161</v>
      </c>
      <c r="F11" s="316" t="s">
        <v>1035</v>
      </c>
    </row>
    <row r="12" spans="1:31" x14ac:dyDescent="0.2">
      <c r="B12" s="317">
        <v>1</v>
      </c>
      <c r="C12" s="318" t="s">
        <v>1128</v>
      </c>
      <c r="D12" s="322">
        <v>4000</v>
      </c>
      <c r="E12" s="328">
        <f>D12*'User Dashboard'!$F$124</f>
        <v>28963.093757400991</v>
      </c>
      <c r="F12" s="319"/>
    </row>
    <row r="13" spans="1:31" ht="25.5" x14ac:dyDescent="0.2">
      <c r="B13" s="317">
        <f>B12+1</f>
        <v>2</v>
      </c>
      <c r="C13" s="320" t="s">
        <v>1129</v>
      </c>
      <c r="D13" s="322">
        <v>1000</v>
      </c>
      <c r="E13" s="328">
        <f>D13*'User Dashboard'!$F$124</f>
        <v>7240.7734393502478</v>
      </c>
      <c r="F13" s="319" t="s">
        <v>1130</v>
      </c>
    </row>
    <row r="14" spans="1:31" x14ac:dyDescent="0.2">
      <c r="B14" s="317">
        <f t="shared" ref="B14:B41" si="0">B13+1</f>
        <v>3</v>
      </c>
      <c r="C14" s="318" t="s">
        <v>1131</v>
      </c>
      <c r="D14" s="322">
        <v>400</v>
      </c>
      <c r="E14" s="328">
        <f>D14*'User Dashboard'!$F$124</f>
        <v>2896.3093757400989</v>
      </c>
      <c r="F14" s="319"/>
    </row>
    <row r="15" spans="1:31" x14ac:dyDescent="0.2">
      <c r="B15" s="317">
        <f t="shared" si="0"/>
        <v>4</v>
      </c>
      <c r="C15" s="318" t="s">
        <v>1132</v>
      </c>
      <c r="D15" s="322">
        <v>400</v>
      </c>
      <c r="E15" s="328">
        <f>D15*'User Dashboard'!$F$124</f>
        <v>2896.3093757400989</v>
      </c>
      <c r="F15" s="319"/>
    </row>
    <row r="16" spans="1:31" x14ac:dyDescent="0.2">
      <c r="B16" s="317">
        <f t="shared" si="0"/>
        <v>5</v>
      </c>
      <c r="C16" s="318" t="s">
        <v>1133</v>
      </c>
      <c r="D16" s="322">
        <v>400</v>
      </c>
      <c r="E16" s="328">
        <f>D16*'User Dashboard'!$F$124</f>
        <v>2896.3093757400989</v>
      </c>
      <c r="F16" s="319"/>
    </row>
    <row r="17" spans="2:6" x14ac:dyDescent="0.2">
      <c r="B17" s="317">
        <f t="shared" si="0"/>
        <v>6</v>
      </c>
      <c r="C17" s="318" t="s">
        <v>1134</v>
      </c>
      <c r="D17" s="322">
        <v>400</v>
      </c>
      <c r="E17" s="328">
        <f>D17*'User Dashboard'!$F$124</f>
        <v>2896.3093757400989</v>
      </c>
      <c r="F17" s="319"/>
    </row>
    <row r="18" spans="2:6" x14ac:dyDescent="0.2">
      <c r="B18" s="317">
        <f t="shared" si="0"/>
        <v>7</v>
      </c>
      <c r="C18" s="318" t="s">
        <v>1135</v>
      </c>
      <c r="D18" s="322">
        <v>400</v>
      </c>
      <c r="E18" s="328">
        <f>D18*'User Dashboard'!$F$124</f>
        <v>2896.3093757400989</v>
      </c>
      <c r="F18" s="319"/>
    </row>
    <row r="19" spans="2:6" x14ac:dyDescent="0.2">
      <c r="B19" s="317">
        <f t="shared" si="0"/>
        <v>8</v>
      </c>
      <c r="C19" s="318" t="s">
        <v>1136</v>
      </c>
      <c r="D19" s="322">
        <v>400</v>
      </c>
      <c r="E19" s="328">
        <f>D19*'User Dashboard'!$F$124</f>
        <v>2896.3093757400989</v>
      </c>
      <c r="F19" s="319"/>
    </row>
    <row r="20" spans="2:6" x14ac:dyDescent="0.2">
      <c r="B20" s="317">
        <f t="shared" si="0"/>
        <v>9</v>
      </c>
      <c r="C20" s="318" t="s">
        <v>1137</v>
      </c>
      <c r="D20" s="322">
        <v>400</v>
      </c>
      <c r="E20" s="328">
        <f>D20*'User Dashboard'!$F$124</f>
        <v>2896.3093757400989</v>
      </c>
      <c r="F20" s="319"/>
    </row>
    <row r="21" spans="2:6" x14ac:dyDescent="0.2">
      <c r="B21" s="317">
        <f t="shared" si="0"/>
        <v>10</v>
      </c>
      <c r="C21" s="318" t="s">
        <v>1138</v>
      </c>
      <c r="D21" s="322">
        <v>400</v>
      </c>
      <c r="E21" s="328">
        <f>D21*'User Dashboard'!$F$124</f>
        <v>2896.3093757400989</v>
      </c>
      <c r="F21" s="319"/>
    </row>
    <row r="22" spans="2:6" x14ac:dyDescent="0.2">
      <c r="B22" s="317">
        <f t="shared" si="0"/>
        <v>11</v>
      </c>
      <c r="C22" s="318" t="s">
        <v>1139</v>
      </c>
      <c r="D22" s="322">
        <v>400</v>
      </c>
      <c r="E22" s="328">
        <f>D22*'User Dashboard'!$F$124</f>
        <v>2896.3093757400989</v>
      </c>
      <c r="F22" s="319"/>
    </row>
    <row r="23" spans="2:6" x14ac:dyDescent="0.2">
      <c r="B23" s="317">
        <f t="shared" si="0"/>
        <v>12</v>
      </c>
      <c r="C23" s="318" t="s">
        <v>1140</v>
      </c>
      <c r="D23" s="322">
        <v>400</v>
      </c>
      <c r="E23" s="328">
        <f>D23*'User Dashboard'!$F$124</f>
        <v>2896.3093757400989</v>
      </c>
      <c r="F23" s="319"/>
    </row>
    <row r="24" spans="2:6" x14ac:dyDescent="0.2">
      <c r="B24" s="317">
        <f t="shared" si="0"/>
        <v>13</v>
      </c>
      <c r="C24" s="318" t="s">
        <v>1141</v>
      </c>
      <c r="D24" s="322">
        <v>400</v>
      </c>
      <c r="E24" s="328">
        <f>D24*'User Dashboard'!$F$124</f>
        <v>2896.3093757400989</v>
      </c>
      <c r="F24" s="319"/>
    </row>
    <row r="25" spans="2:6" x14ac:dyDescent="0.2">
      <c r="B25" s="317">
        <f t="shared" si="0"/>
        <v>14</v>
      </c>
      <c r="C25" s="318" t="s">
        <v>1142</v>
      </c>
      <c r="D25" s="322">
        <v>600</v>
      </c>
      <c r="E25" s="328">
        <f>D25*'User Dashboard'!$F$124</f>
        <v>4344.4640636101485</v>
      </c>
      <c r="F25" s="319"/>
    </row>
    <row r="26" spans="2:6" x14ac:dyDescent="0.2">
      <c r="B26" s="317">
        <f t="shared" si="0"/>
        <v>15</v>
      </c>
      <c r="C26" s="318" t="s">
        <v>1143</v>
      </c>
      <c r="D26" s="322">
        <v>400</v>
      </c>
      <c r="E26" s="328">
        <f>D26*'User Dashboard'!$F$124</f>
        <v>2896.3093757400989</v>
      </c>
      <c r="F26" s="319"/>
    </row>
    <row r="27" spans="2:6" x14ac:dyDescent="0.2">
      <c r="B27" s="317">
        <f t="shared" si="0"/>
        <v>16</v>
      </c>
      <c r="C27" s="318" t="s">
        <v>1144</v>
      </c>
      <c r="D27" s="322">
        <v>400</v>
      </c>
      <c r="E27" s="328">
        <f>D27*'User Dashboard'!$F$124</f>
        <v>2896.3093757400989</v>
      </c>
      <c r="F27" s="319"/>
    </row>
    <row r="28" spans="2:6" x14ac:dyDescent="0.2">
      <c r="B28" s="317">
        <f t="shared" si="0"/>
        <v>17</v>
      </c>
      <c r="C28" s="318" t="s">
        <v>1145</v>
      </c>
      <c r="D28" s="322">
        <v>200</v>
      </c>
      <c r="E28" s="328">
        <f>D28*'User Dashboard'!$F$124</f>
        <v>1448.1546878700494</v>
      </c>
      <c r="F28" s="319"/>
    </row>
    <row r="29" spans="2:6" x14ac:dyDescent="0.2">
      <c r="B29" s="317">
        <f t="shared" si="0"/>
        <v>18</v>
      </c>
      <c r="C29" s="318" t="s">
        <v>1146</v>
      </c>
      <c r="D29" s="322">
        <v>2000</v>
      </c>
      <c r="E29" s="328">
        <f>D29*'User Dashboard'!$F$124</f>
        <v>14481.546878700496</v>
      </c>
      <c r="F29" s="319"/>
    </row>
    <row r="30" spans="2:6" x14ac:dyDescent="0.2">
      <c r="B30" s="317">
        <f t="shared" si="0"/>
        <v>19</v>
      </c>
      <c r="C30" s="318" t="s">
        <v>1147</v>
      </c>
      <c r="D30" s="322">
        <v>2000</v>
      </c>
      <c r="E30" s="328">
        <f>D30*'User Dashboard'!$F$124</f>
        <v>14481.546878700496</v>
      </c>
      <c r="F30" s="319"/>
    </row>
    <row r="31" spans="2:6" x14ac:dyDescent="0.2">
      <c r="B31" s="317">
        <f t="shared" si="0"/>
        <v>20</v>
      </c>
      <c r="C31" s="318" t="s">
        <v>1148</v>
      </c>
      <c r="D31" s="322">
        <v>400</v>
      </c>
      <c r="E31" s="328">
        <f>D31*'User Dashboard'!$F$124</f>
        <v>2896.3093757400989</v>
      </c>
      <c r="F31" s="319"/>
    </row>
    <row r="32" spans="2:6" x14ac:dyDescent="0.2">
      <c r="B32" s="317">
        <f t="shared" si="0"/>
        <v>21</v>
      </c>
      <c r="C32" s="318" t="s">
        <v>1149</v>
      </c>
      <c r="D32" s="322">
        <v>40</v>
      </c>
      <c r="E32" s="328">
        <f>D32*'User Dashboard'!$F$124</f>
        <v>289.63093757400992</v>
      </c>
      <c r="F32" s="319"/>
    </row>
    <row r="33" spans="2:6" x14ac:dyDescent="0.2">
      <c r="B33" s="317">
        <f t="shared" si="0"/>
        <v>22</v>
      </c>
      <c r="C33" s="318" t="s">
        <v>1150</v>
      </c>
      <c r="D33" s="322">
        <v>40</v>
      </c>
      <c r="E33" s="328">
        <f>D33*'User Dashboard'!$F$124</f>
        <v>289.63093757400992</v>
      </c>
      <c r="F33" s="319"/>
    </row>
    <row r="34" spans="2:6" x14ac:dyDescent="0.2">
      <c r="B34" s="317">
        <f t="shared" si="0"/>
        <v>23</v>
      </c>
      <c r="C34" s="318" t="s">
        <v>1151</v>
      </c>
      <c r="D34" s="322">
        <v>40</v>
      </c>
      <c r="E34" s="328">
        <f>D34*'User Dashboard'!$F$124</f>
        <v>289.63093757400992</v>
      </c>
      <c r="F34" s="319"/>
    </row>
    <row r="35" spans="2:6" x14ac:dyDescent="0.2">
      <c r="B35" s="317">
        <f t="shared" si="0"/>
        <v>24</v>
      </c>
      <c r="C35" s="318" t="s">
        <v>1152</v>
      </c>
      <c r="D35" s="322">
        <v>20</v>
      </c>
      <c r="E35" s="328">
        <f>D35*'User Dashboard'!$F$124</f>
        <v>144.81546878700496</v>
      </c>
      <c r="F35" s="319"/>
    </row>
    <row r="36" spans="2:6" x14ac:dyDescent="0.2">
      <c r="B36" s="317">
        <f t="shared" si="0"/>
        <v>25</v>
      </c>
      <c r="C36" s="318" t="s">
        <v>1153</v>
      </c>
      <c r="D36" s="322">
        <v>40</v>
      </c>
      <c r="E36" s="328">
        <f>D36*'User Dashboard'!$F$124</f>
        <v>289.63093757400992</v>
      </c>
      <c r="F36" s="319"/>
    </row>
    <row r="37" spans="2:6" x14ac:dyDescent="0.2">
      <c r="B37" s="317">
        <f t="shared" si="0"/>
        <v>26</v>
      </c>
      <c r="C37" s="318" t="s">
        <v>1154</v>
      </c>
      <c r="D37" s="322">
        <v>200</v>
      </c>
      <c r="E37" s="328">
        <f>D37*'User Dashboard'!$F$124</f>
        <v>1448.1546878700494</v>
      </c>
      <c r="F37" s="319"/>
    </row>
    <row r="38" spans="2:6" x14ac:dyDescent="0.2">
      <c r="B38" s="317">
        <f t="shared" si="0"/>
        <v>27</v>
      </c>
      <c r="C38" s="318" t="s">
        <v>1155</v>
      </c>
      <c r="D38" s="322">
        <v>200</v>
      </c>
      <c r="E38" s="328">
        <f>D38*'User Dashboard'!$F$124</f>
        <v>1448.1546878700494</v>
      </c>
      <c r="F38" s="319"/>
    </row>
    <row r="39" spans="2:6" x14ac:dyDescent="0.2">
      <c r="B39" s="317">
        <f t="shared" si="0"/>
        <v>28</v>
      </c>
      <c r="C39" s="318" t="s">
        <v>1156</v>
      </c>
      <c r="D39" s="322">
        <v>30</v>
      </c>
      <c r="E39" s="328">
        <f>D39*'User Dashboard'!$F$124</f>
        <v>217.22320318050743</v>
      </c>
      <c r="F39" s="319"/>
    </row>
    <row r="40" spans="2:6" x14ac:dyDescent="0.2">
      <c r="B40" s="317">
        <f t="shared" si="0"/>
        <v>29</v>
      </c>
      <c r="C40" s="318" t="s">
        <v>1157</v>
      </c>
      <c r="D40" s="322">
        <v>40</v>
      </c>
      <c r="E40" s="328">
        <f>D40*'User Dashboard'!$F$124</f>
        <v>289.63093757400992</v>
      </c>
      <c r="F40" s="319"/>
    </row>
    <row r="41" spans="2:6" x14ac:dyDescent="0.2">
      <c r="B41" s="317">
        <f t="shared" si="0"/>
        <v>30</v>
      </c>
      <c r="C41" s="318" t="s">
        <v>1158</v>
      </c>
      <c r="D41" s="322">
        <v>50</v>
      </c>
      <c r="E41" s="328">
        <f>D41*'User Dashboard'!$F$124</f>
        <v>362.03867196751236</v>
      </c>
      <c r="F41" s="319"/>
    </row>
  </sheetData>
  <sheetProtection algorithmName="SHA-512" hashValue="438dgcEX8vUcL1zYOf18RomLjc9+SplHP8AjbyU8PMkL++l39YygszYbNsay0ePI+oQiCvJ+Z1oYxk/D9bm1bQ==" saltValue="wlxYfS78jJeKLUnpOch8Qw==" spinCount="100000" sheet="1" objects="1" scenarios="1"/>
  <autoFilter ref="B11:F33"/>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2"/>
  <sheetViews>
    <sheetView showGridLines="0" zoomScaleNormal="100" workbookViewId="0">
      <selection activeCell="M21" sqref="M21"/>
    </sheetView>
  </sheetViews>
  <sheetFormatPr defaultColWidth="8.5703125" defaultRowHeight="15" x14ac:dyDescent="0.25"/>
  <sheetData>
    <row r="2" spans="2:2" x14ac:dyDescent="0.25">
      <c r="B2" s="31" t="s">
        <v>774</v>
      </c>
    </row>
  </sheetData>
  <sheetProtection algorithmName="SHA-512" hashValue="wPkB8E2hKZo9f3DhIcOD7rfts87ZpCL7EWlc+kW/ujSSQMXqtNIF1G0oiTfzZAh147pPwpuZAyo8pNY+WcNXRQ==" saltValue="/RK4EFTQFC2G/nsAbbDxPw==" spinCount="100000" sheet="1" objects="1" scenarios="1"/>
  <pageMargins left="0.7" right="0.7" top="0.75" bottom="0.75" header="0.3" footer="0.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499984740745262"/>
  </sheetPr>
  <dimension ref="B2:Q279"/>
  <sheetViews>
    <sheetView showGridLines="0" zoomScale="85" zoomScaleNormal="85" workbookViewId="0"/>
  </sheetViews>
  <sheetFormatPr defaultColWidth="9.28515625" defaultRowHeight="15" outlineLevelCol="1" x14ac:dyDescent="0.25"/>
  <cols>
    <col min="1" max="1" width="3.28515625" style="138" customWidth="1"/>
    <col min="2" max="2" width="25.7109375" style="138" customWidth="1"/>
    <col min="3" max="3" width="13.28515625" style="138" bestFit="1" customWidth="1"/>
    <col min="4" max="4" width="13.28515625" style="138" customWidth="1" outlineLevel="1"/>
    <col min="5" max="6" width="9.28515625" style="138" customWidth="1" outlineLevel="1"/>
    <col min="7" max="8" width="17.42578125" style="138" customWidth="1" outlineLevel="1"/>
    <col min="9" max="11" width="18.7109375" style="138" customWidth="1" outlineLevel="1"/>
    <col min="12" max="12" width="9.28515625" style="138" customWidth="1" outlineLevel="1"/>
    <col min="13" max="13" width="16" style="138" customWidth="1" outlineLevel="1"/>
    <col min="14" max="14" width="11.5703125" style="138" bestFit="1" customWidth="1"/>
    <col min="15" max="15" width="12.42578125" style="138" customWidth="1"/>
    <col min="16" max="16" width="11.5703125" style="138" bestFit="1" customWidth="1"/>
    <col min="17" max="17" width="12.5703125" style="138" customWidth="1"/>
    <col min="18" max="16384" width="9.28515625" style="138"/>
  </cols>
  <sheetData>
    <row r="2" spans="2:17" s="73" customFormat="1" ht="18.75" x14ac:dyDescent="0.3">
      <c r="B2" s="73" t="s">
        <v>1300</v>
      </c>
      <c r="E2" s="74"/>
      <c r="F2" s="74"/>
      <c r="G2" s="74"/>
    </row>
    <row r="3" spans="2:17" s="75" customFormat="1" x14ac:dyDescent="0.25">
      <c r="B3" s="75" t="s">
        <v>1301</v>
      </c>
      <c r="E3" s="76"/>
      <c r="F3" s="76"/>
      <c r="G3" s="76"/>
    </row>
    <row r="4" spans="2:17" s="16" customFormat="1" x14ac:dyDescent="0.25">
      <c r="B4" s="16" t="s">
        <v>1341</v>
      </c>
    </row>
    <row r="6" spans="2:17" x14ac:dyDescent="0.25">
      <c r="Q6" s="344"/>
    </row>
    <row r="7" spans="2:17" x14ac:dyDescent="0.25">
      <c r="E7" s="761" t="s">
        <v>1185</v>
      </c>
      <c r="F7" s="761"/>
      <c r="G7" s="761" t="s">
        <v>1184</v>
      </c>
      <c r="H7" s="761"/>
      <c r="I7" s="761" t="s">
        <v>1183</v>
      </c>
      <c r="J7" s="761"/>
      <c r="K7" s="32" t="s">
        <v>280</v>
      </c>
      <c r="M7" s="32"/>
      <c r="N7" s="761" t="s">
        <v>1189</v>
      </c>
      <c r="O7" s="761"/>
      <c r="P7" s="761"/>
      <c r="Q7" s="761"/>
    </row>
    <row r="8" spans="2:17" ht="30" x14ac:dyDescent="0.25">
      <c r="B8" s="124" t="s">
        <v>683</v>
      </c>
      <c r="C8" s="124" t="s">
        <v>684</v>
      </c>
      <c r="D8" s="124" t="s">
        <v>1188</v>
      </c>
      <c r="E8" s="124" t="s">
        <v>1186</v>
      </c>
      <c r="F8" s="124" t="s">
        <v>1187</v>
      </c>
      <c r="G8" s="124" t="s">
        <v>1186</v>
      </c>
      <c r="H8" s="124" t="s">
        <v>1187</v>
      </c>
      <c r="I8" s="124" t="s">
        <v>1186</v>
      </c>
      <c r="J8" s="124" t="s">
        <v>1187</v>
      </c>
      <c r="K8" s="124" t="s">
        <v>1186</v>
      </c>
      <c r="L8" s="83"/>
      <c r="M8" s="124" t="s">
        <v>398</v>
      </c>
      <c r="N8" s="342" t="s">
        <v>1185</v>
      </c>
      <c r="O8" s="343" t="s">
        <v>1184</v>
      </c>
      <c r="P8" s="342" t="s">
        <v>1183</v>
      </c>
      <c r="Q8" s="341" t="s">
        <v>280</v>
      </c>
    </row>
    <row r="9" spans="2:17" x14ac:dyDescent="0.25">
      <c r="B9" s="138" t="s">
        <v>429</v>
      </c>
      <c r="C9" s="138" t="s">
        <v>430</v>
      </c>
      <c r="D9" s="138" t="s">
        <v>517</v>
      </c>
      <c r="E9" s="138">
        <f>INDEX('WB Physician Data'!$C$9:$BO$272,MATCH($C9,'WB Physician Data'!$C$9:$C$272,0),MATCH("Latest value",'WB Physician Data'!$C$8:$BO$8,0))</f>
        <v>1.1200000000000001</v>
      </c>
      <c r="F9" s="138">
        <f>INDEX('WB Physician Data'!$C$9:$BO$272,MATCH($C9,'WB Physician Data'!$C$9:$C$272,0),MATCH("Latest year",'WB Physician Data'!$C$8:$BO$8,0))</f>
        <v>1995</v>
      </c>
      <c r="G9" s="138">
        <f>INDEX('WB CHWs Data'!$C$10:$BP$274,MATCH($C9,'WB CHWs Data'!$C$10:$C$274,0),MATCH("Value",'WB CHWs Data'!$C$10:$BP$10,0))</f>
        <v>0.4</v>
      </c>
      <c r="H9" s="138" t="str">
        <f>'WB CHWs Data'!BO11</f>
        <v>No reported value</v>
      </c>
      <c r="I9" s="84" t="str">
        <f>'WB Nurses &amp; Midwives data'!BN9</f>
        <v>No reported value</v>
      </c>
      <c r="J9" s="84" t="str">
        <f>'WB Nurses &amp; Midwives data'!BO9</f>
        <v>No reported value</v>
      </c>
      <c r="K9" s="84">
        <f>IFERROR(INDEX('WHO Labs Data'!$C$7:$I$126,MATCH('HCW Summary Data'!$C9,'WHO Labs Data'!$C$7:$C$126,0),7),'WHO Labs Data'!$M$7)</f>
        <v>0.2276050738661016</v>
      </c>
      <c r="M9" s="78">
        <f>INDEX('Tabular Pop Data by Age'!$AN$8:$AN$271,MATCH($B9,'Tabular Pop Data by Age'!$B$8:$B$271,0))</f>
        <v>107000</v>
      </c>
      <c r="N9" s="79">
        <f>IFERROR($M9/1000*$E9,0)</f>
        <v>119.84000000000002</v>
      </c>
      <c r="O9" s="78">
        <f t="shared" ref="O9:O72" si="0">IFERROR($M9/1000*$G9,0)</f>
        <v>42.800000000000004</v>
      </c>
      <c r="P9" s="78">
        <f>IFERROR($M9/1000*$I9,0)</f>
        <v>0</v>
      </c>
      <c r="Q9" s="79">
        <f>$M9/1000*$K9</f>
        <v>24.35374290367287</v>
      </c>
    </row>
    <row r="10" spans="2:17" x14ac:dyDescent="0.25">
      <c r="B10" s="138" t="s">
        <v>230</v>
      </c>
      <c r="C10" s="138" t="s">
        <v>0</v>
      </c>
      <c r="D10" s="138" t="s">
        <v>664</v>
      </c>
      <c r="E10" s="138">
        <f>INDEX('WB Physician Data'!$C$9:$BO$272,MATCH($C10,'WB Physician Data'!$C$9:$C$272,0),MATCH("Latest value",'WB Physician Data'!$C$8:$BO$8,0))</f>
        <v>0.28399999999999997</v>
      </c>
      <c r="F10" s="138">
        <f>INDEX('WB Physician Data'!$C$9:$BO$272,MATCH($C10,'WB Physician Data'!$C$9:$C$272,0),MATCH("Latest year",'WB Physician Data'!$C$8:$BO$8,0))</f>
        <v>2016</v>
      </c>
      <c r="G10" s="138">
        <f>INDEX('WB CHWs Data'!$C$10:$BP$274,MATCH($C10,'WB CHWs Data'!$C$10:$C$274,0),MATCH("Value",'WB CHWs Data'!$C$10:$BP$10,0))</f>
        <v>0.4</v>
      </c>
      <c r="H10" s="138" t="str">
        <f>'WB CHWs Data'!BO12</f>
        <v>No reported value</v>
      </c>
      <c r="I10" s="84">
        <f>'WB Nurses &amp; Midwives data'!BN10</f>
        <v>0.32</v>
      </c>
      <c r="J10" s="84">
        <f>'WB Nurses &amp; Midwives data'!BO10</f>
        <v>2014</v>
      </c>
      <c r="K10" s="84">
        <f>IFERROR(INDEX('WHO Labs Data'!$C$7:$I$126,MATCH('HCW Summary Data'!$C10,'WHO Labs Data'!$C$7:$C$126,0),7),'WHO Labs Data'!$M$7)</f>
        <v>0.2276050738661016</v>
      </c>
      <c r="M10" s="78">
        <f>INDEX('Tabular Pop Data by Age'!$AN$8:$AN$271,MATCH($B10,'Tabular Pop Data by Age'!$B$8:$B$271,0))</f>
        <v>38928000</v>
      </c>
      <c r="N10" s="79">
        <f t="shared" ref="N10:N72" si="1">IFERROR($M10/1000*$E10,0)</f>
        <v>11055.552</v>
      </c>
      <c r="O10" s="78">
        <f t="shared" si="0"/>
        <v>15571.2</v>
      </c>
      <c r="P10" s="78">
        <f t="shared" ref="P10:P72" si="2">IFERROR($M10/1000*$I10,0)</f>
        <v>12456.960000000001</v>
      </c>
      <c r="Q10" s="79">
        <f t="shared" ref="Q10:Q72" si="3">$M10/1000*$K10</f>
        <v>8860.2103154596025</v>
      </c>
    </row>
    <row r="11" spans="2:17" x14ac:dyDescent="0.25">
      <c r="B11" s="138" t="s">
        <v>182</v>
      </c>
      <c r="C11" s="138" t="s">
        <v>165</v>
      </c>
      <c r="D11" s="138" t="s">
        <v>517</v>
      </c>
      <c r="E11" s="138">
        <f>INDEX('WB Physician Data'!$C$9:$BO$272,MATCH($C11,'WB Physician Data'!$C$9:$C$272,0),MATCH("Latest value",'WB Physician Data'!$C$8:$BO$8,0))</f>
        <v>0.21490000000000001</v>
      </c>
      <c r="F11" s="138">
        <f>INDEX('WB Physician Data'!$C$9:$BO$272,MATCH($C11,'WB Physician Data'!$C$9:$C$272,0),MATCH("Latest year",'WB Physician Data'!$C$8:$BO$8,0))</f>
        <v>2017</v>
      </c>
      <c r="G11" s="138">
        <f>INDEX('WB CHWs Data'!$C$10:$BP$274,MATCH($C11,'WB CHWs Data'!$C$10:$C$274,0),MATCH("Value",'WB CHWs Data'!$C$10:$BP$10,0))</f>
        <v>0.4</v>
      </c>
      <c r="H11" s="138" t="str">
        <f>'WB CHWs Data'!BO13</f>
        <v>No reported value</v>
      </c>
      <c r="I11" s="84">
        <f>'WB Nurses &amp; Midwives data'!BN11</f>
        <v>1.3123</v>
      </c>
      <c r="J11" s="84">
        <f>'WB Nurses &amp; Midwives data'!BO11</f>
        <v>2009</v>
      </c>
      <c r="K11" s="84">
        <f>IFERROR(INDEX('WHO Labs Data'!$C$7:$I$126,MATCH('HCW Summary Data'!$C11,'WHO Labs Data'!$C$7:$C$126,0),7),'WHO Labs Data'!$M$7)</f>
        <v>4.4661169404684141E-2</v>
      </c>
      <c r="M11" s="78">
        <f>INDEX('Tabular Pop Data by Age'!$AN$8:$AN$271,MATCH($B11,'Tabular Pop Data by Age'!$B$8:$B$271,0))</f>
        <v>32866000</v>
      </c>
      <c r="N11" s="79">
        <f t="shared" si="1"/>
        <v>7062.9034000000001</v>
      </c>
      <c r="O11" s="78">
        <f t="shared" si="0"/>
        <v>13146.400000000001</v>
      </c>
      <c r="P11" s="78">
        <f t="shared" si="2"/>
        <v>43130.051800000001</v>
      </c>
      <c r="Q11" s="79">
        <f t="shared" si="3"/>
        <v>1467.8339936543489</v>
      </c>
    </row>
    <row r="12" spans="2:17" x14ac:dyDescent="0.25">
      <c r="B12" s="138" t="s">
        <v>418</v>
      </c>
      <c r="C12" s="138" t="s">
        <v>419</v>
      </c>
      <c r="D12" s="138" t="s">
        <v>664</v>
      </c>
      <c r="E12" s="138">
        <f>INDEX('WB Physician Data'!$C$9:$BO$272,MATCH($C12,'WB Physician Data'!$C$9:$C$272,0),MATCH("Latest value",'WB Physician Data'!$C$8:$BO$8,0))</f>
        <v>1.1998</v>
      </c>
      <c r="F12" s="138">
        <f>INDEX('WB Physician Data'!$C$9:$BO$272,MATCH($C12,'WB Physician Data'!$C$9:$C$272,0),MATCH("Latest year",'WB Physician Data'!$C$8:$BO$8,0))</f>
        <v>2016</v>
      </c>
      <c r="G12" s="138">
        <f>INDEX('WB CHWs Data'!$C$10:$BP$274,MATCH($C12,'WB CHWs Data'!$C$10:$C$274,0),MATCH("Value",'WB CHWs Data'!$C$10:$BP$10,0))</f>
        <v>0.4</v>
      </c>
      <c r="H12" s="138" t="str">
        <f>'WB CHWs Data'!BO14</f>
        <v>No reported value</v>
      </c>
      <c r="I12" s="84">
        <f>'WB Nurses &amp; Midwives data'!BN12</f>
        <v>3.5998000000000001</v>
      </c>
      <c r="J12" s="84">
        <f>'WB Nurses &amp; Midwives data'!BO12</f>
        <v>2016</v>
      </c>
      <c r="K12" s="84">
        <f>IFERROR(INDEX('WHO Labs Data'!$C$7:$I$126,MATCH('HCW Summary Data'!$C12,'WHO Labs Data'!$C$7:$C$126,0),7),'WHO Labs Data'!$M$7)</f>
        <v>0.2276050738661016</v>
      </c>
      <c r="M12" s="78">
        <f>INDEX('Tabular Pop Data by Age'!$AN$8:$AN$271,MATCH($B12,'Tabular Pop Data by Age'!$B$8:$B$271,0))</f>
        <v>2867000</v>
      </c>
      <c r="N12" s="79">
        <f t="shared" si="1"/>
        <v>3439.8265999999999</v>
      </c>
      <c r="O12" s="78">
        <f t="shared" si="0"/>
        <v>1146.8</v>
      </c>
      <c r="P12" s="78">
        <f t="shared" si="2"/>
        <v>10320.6266</v>
      </c>
      <c r="Q12" s="79">
        <f t="shared" si="3"/>
        <v>652.54374677411329</v>
      </c>
    </row>
    <row r="13" spans="2:17" x14ac:dyDescent="0.25">
      <c r="B13" s="138" t="s">
        <v>422</v>
      </c>
      <c r="C13" s="138" t="s">
        <v>1</v>
      </c>
      <c r="D13" s="138" t="s">
        <v>561</v>
      </c>
      <c r="E13" s="138">
        <f>INDEX('WB Physician Data'!$C$9:$BO$272,MATCH($C13,'WB Physician Data'!$C$9:$C$272,0),MATCH("Latest value",'WB Physician Data'!$C$8:$BO$8,0))</f>
        <v>3.3332999999999999</v>
      </c>
      <c r="F13" s="138">
        <f>INDEX('WB Physician Data'!$C$9:$BO$272,MATCH($C13,'WB Physician Data'!$C$9:$C$272,0),MATCH("Latest year",'WB Physician Data'!$C$8:$BO$8,0))</f>
        <v>2003</v>
      </c>
      <c r="G13" s="138">
        <f>INDEX('WB CHWs Data'!$C$10:$BP$274,MATCH($C13,'WB CHWs Data'!$C$10:$C$274,0),MATCH("Value",'WB CHWs Data'!$C$10:$BP$10,0))</f>
        <v>0.4</v>
      </c>
      <c r="H13" s="138" t="str">
        <f>'WB CHWs Data'!BO15</f>
        <v>No reported value</v>
      </c>
      <c r="I13" s="84">
        <f>'WB Nurses &amp; Midwives data'!BN13</f>
        <v>4.0128000000000004</v>
      </c>
      <c r="J13" s="84">
        <f>'WB Nurses &amp; Midwives data'!BO13</f>
        <v>2015</v>
      </c>
      <c r="K13" s="84">
        <f>IFERROR(INDEX('WHO Labs Data'!$C$7:$I$126,MATCH('HCW Summary Data'!$C13,'WHO Labs Data'!$C$7:$C$126,0),7),'WHO Labs Data'!$M$7)</f>
        <v>0.2276050738661016</v>
      </c>
      <c r="M13" s="78">
        <f>INDEX('Tabular Pop Data by Age'!$AN$8:$AN$271,MATCH($B13,'Tabular Pop Data by Age'!$B$8:$B$271,0))</f>
        <v>77000</v>
      </c>
      <c r="N13" s="79">
        <f t="shared" si="1"/>
        <v>256.66410000000002</v>
      </c>
      <c r="O13" s="78">
        <f t="shared" si="0"/>
        <v>30.8</v>
      </c>
      <c r="P13" s="78">
        <f t="shared" si="2"/>
        <v>308.98560000000003</v>
      </c>
      <c r="Q13" s="79">
        <f t="shared" si="3"/>
        <v>17.525590687689824</v>
      </c>
    </row>
    <row r="14" spans="2:17" x14ac:dyDescent="0.25">
      <c r="B14" s="138" t="s">
        <v>425</v>
      </c>
      <c r="C14" s="138" t="s">
        <v>426</v>
      </c>
      <c r="D14" s="138" t="s">
        <v>1182</v>
      </c>
      <c r="E14" s="138">
        <f>INDEX('WB Physician Data'!$C$9:$BO$272,MATCH($C14,'WB Physician Data'!$C$9:$C$272,0),MATCH("Latest value",'WB Physician Data'!$C$8:$BO$8,0))</f>
        <v>1.0973025743985347</v>
      </c>
      <c r="F14" s="138">
        <f>INDEX('WB Physician Data'!$C$9:$BO$272,MATCH($C14,'WB Physician Data'!$C$9:$C$272,0),MATCH("Latest year",'WB Physician Data'!$C$8:$BO$8,0))</f>
        <v>2015</v>
      </c>
      <c r="G14" s="138">
        <f>INDEX('WB CHWs Data'!$C$10:$BP$274,MATCH($C14,'WB CHWs Data'!$C$10:$C$274,0),MATCH("Value",'WB CHWs Data'!$C$10:$BP$10,0))</f>
        <v>0.4</v>
      </c>
      <c r="H14" s="138" t="str">
        <f>'WB CHWs Data'!BO16</f>
        <v>No reported value</v>
      </c>
      <c r="I14" s="84">
        <f>'WB Nurses &amp; Midwives data'!BN14</f>
        <v>2.0922347500097929</v>
      </c>
      <c r="J14" s="84">
        <f>'WB Nurses &amp; Midwives data'!BO14</f>
        <v>2015</v>
      </c>
      <c r="K14" s="84">
        <f>IFERROR(INDEX('WHO Labs Data'!$C$7:$I$126,MATCH('HCW Summary Data'!$C14,'WHO Labs Data'!$C$7:$C$126,0),7),'WHO Labs Data'!$M$7)</f>
        <v>0.2276050738661016</v>
      </c>
      <c r="M14" s="78">
        <f>INDEX('Tabular Pop Data by Age'!$AN$8:$AN$271,MATCH($B14,'Tabular Pop Data by Age'!$B$8:$B$271,0))</f>
        <v>436091000</v>
      </c>
      <c r="N14" s="79">
        <f t="shared" si="1"/>
        <v>478523.7769720314</v>
      </c>
      <c r="O14" s="78">
        <f t="shared" si="0"/>
        <v>174436.40000000002</v>
      </c>
      <c r="P14" s="78">
        <f t="shared" si="2"/>
        <v>912404.74436652055</v>
      </c>
      <c r="Q14" s="79">
        <f t="shared" si="3"/>
        <v>99256.524267342116</v>
      </c>
    </row>
    <row r="15" spans="2:17" x14ac:dyDescent="0.25">
      <c r="B15" s="138" t="s">
        <v>661</v>
      </c>
      <c r="C15" s="138" t="s">
        <v>2</v>
      </c>
      <c r="D15" s="138" t="s">
        <v>517</v>
      </c>
      <c r="E15" s="138">
        <f>INDEX('WB Physician Data'!$C$9:$BO$272,MATCH($C15,'WB Physician Data'!$C$9:$C$272,0),MATCH("Latest value",'WB Physician Data'!$C$8:$BO$8,0))</f>
        <v>2.3944000000000001</v>
      </c>
      <c r="F15" s="138">
        <f>INDEX('WB Physician Data'!$C$9:$BO$272,MATCH($C15,'WB Physician Data'!$C$9:$C$272,0),MATCH("Latest year",'WB Physician Data'!$C$8:$BO$8,0))</f>
        <v>2016</v>
      </c>
      <c r="G15" s="138">
        <f>INDEX('WB CHWs Data'!$C$10:$BP$274,MATCH($C15,'WB CHWs Data'!$C$10:$C$274,0),MATCH("Value",'WB CHWs Data'!$C$10:$BP$10,0))</f>
        <v>0.4</v>
      </c>
      <c r="H15" s="138" t="str">
        <f>'WB CHWs Data'!BO17</f>
        <v>No reported value</v>
      </c>
      <c r="I15" s="84">
        <f>'WB Nurses &amp; Midwives data'!BN15</f>
        <v>5.5857000000000001</v>
      </c>
      <c r="J15" s="84">
        <f>'WB Nurses &amp; Midwives data'!BO15</f>
        <v>2016</v>
      </c>
      <c r="K15" s="84">
        <f>IFERROR(INDEX('WHO Labs Data'!$C$7:$I$126,MATCH('HCW Summary Data'!$C15,'WHO Labs Data'!$C$7:$C$126,0),7),'WHO Labs Data'!$M$7)</f>
        <v>0.2276050738661016</v>
      </c>
      <c r="M15" s="78">
        <f>INDEX('Tabular Pop Data by Age'!$AN$8:$AN$271,MATCH($B15,'Tabular Pop Data by Age'!$B$8:$B$271,0))</f>
        <v>9890000</v>
      </c>
      <c r="N15" s="79">
        <f t="shared" si="1"/>
        <v>23680.616000000002</v>
      </c>
      <c r="O15" s="78">
        <f t="shared" si="0"/>
        <v>3956</v>
      </c>
      <c r="P15" s="78">
        <f t="shared" si="2"/>
        <v>55242.573000000004</v>
      </c>
      <c r="Q15" s="79">
        <f t="shared" si="3"/>
        <v>2251.0141805357448</v>
      </c>
    </row>
    <row r="16" spans="2:17" x14ac:dyDescent="0.25">
      <c r="B16" s="138" t="s">
        <v>427</v>
      </c>
      <c r="C16" s="138" t="s">
        <v>428</v>
      </c>
      <c r="D16" s="138" t="s">
        <v>664</v>
      </c>
      <c r="E16" s="138">
        <f>INDEX('WB Physician Data'!$C$9:$BO$272,MATCH($C16,'WB Physician Data'!$C$9:$C$272,0),MATCH("Latest value",'WB Physician Data'!$C$8:$BO$8,0))</f>
        <v>3.96</v>
      </c>
      <c r="F16" s="138">
        <f>INDEX('WB Physician Data'!$C$9:$BO$272,MATCH($C16,'WB Physician Data'!$C$9:$C$272,0),MATCH("Latest year",'WB Physician Data'!$C$8:$BO$8,0))</f>
        <v>2017</v>
      </c>
      <c r="G16" s="138">
        <f>INDEX('WB CHWs Data'!$C$10:$BP$274,MATCH($C16,'WB CHWs Data'!$C$10:$C$274,0),MATCH("Value",'WB CHWs Data'!$C$10:$BP$10,0))</f>
        <v>0.4</v>
      </c>
      <c r="H16" s="138" t="str">
        <f>'WB CHWs Data'!BO18</f>
        <v>No reported value</v>
      </c>
      <c r="I16" s="84">
        <f>'WB Nurses &amp; Midwives data'!BN16</f>
        <v>2.58</v>
      </c>
      <c r="J16" s="84">
        <f>'WB Nurses &amp; Midwives data'!BO16</f>
        <v>2017</v>
      </c>
      <c r="K16" s="84">
        <f>IFERROR(INDEX('WHO Labs Data'!$C$7:$I$126,MATCH('HCW Summary Data'!$C16,'WHO Labs Data'!$C$7:$C$126,0),7),'WHO Labs Data'!$M$7)</f>
        <v>0.44115562862126201</v>
      </c>
      <c r="M16" s="78">
        <f>INDEX('Tabular Pop Data by Age'!$AN$8:$AN$271,MATCH($B16,'Tabular Pop Data by Age'!$B$8:$B$271,0))</f>
        <v>45303000</v>
      </c>
      <c r="N16" s="79">
        <f t="shared" si="1"/>
        <v>179399.88</v>
      </c>
      <c r="O16" s="78">
        <f t="shared" si="0"/>
        <v>18121.2</v>
      </c>
      <c r="P16" s="78">
        <f t="shared" si="2"/>
        <v>116881.74</v>
      </c>
      <c r="Q16" s="79">
        <f t="shared" si="3"/>
        <v>19985.673443429034</v>
      </c>
    </row>
    <row r="17" spans="2:17" x14ac:dyDescent="0.25">
      <c r="B17" s="138" t="s">
        <v>234</v>
      </c>
      <c r="C17" s="138" t="s">
        <v>3</v>
      </c>
      <c r="D17" s="138" t="s">
        <v>517</v>
      </c>
      <c r="E17" s="138">
        <f>INDEX('WB Physician Data'!$C$9:$BO$272,MATCH($C17,'WB Physician Data'!$C$9:$C$272,0),MATCH("Latest value",'WB Physician Data'!$C$8:$BO$8,0))</f>
        <v>2.899</v>
      </c>
      <c r="F17" s="138">
        <f>INDEX('WB Physician Data'!$C$9:$BO$272,MATCH($C17,'WB Physician Data'!$C$9:$C$272,0),MATCH("Latest year",'WB Physician Data'!$C$8:$BO$8,0))</f>
        <v>2014</v>
      </c>
      <c r="G17" s="138">
        <f>INDEX('WB CHWs Data'!$C$10:$BP$274,MATCH($C17,'WB CHWs Data'!$C$10:$C$274,0),MATCH("Value",'WB CHWs Data'!$C$10:$BP$10,0))</f>
        <v>0.4</v>
      </c>
      <c r="H17" s="138" t="str">
        <f>'WB CHWs Data'!BO19</f>
        <v>No reported value</v>
      </c>
      <c r="I17" s="84">
        <f>'WB Nurses &amp; Midwives data'!BN17</f>
        <v>5.6093999999999999</v>
      </c>
      <c r="J17" s="84">
        <f>'WB Nurses &amp; Midwives data'!BO17</f>
        <v>2014</v>
      </c>
      <c r="K17" s="84">
        <f>IFERROR(INDEX('WHO Labs Data'!$C$7:$I$126,MATCH('HCW Summary Data'!$C17,'WHO Labs Data'!$C$7:$C$126,0),7),'WHO Labs Data'!$M$7)</f>
        <v>0.2276050738661016</v>
      </c>
      <c r="M17" s="78">
        <f>INDEX('Tabular Pop Data by Age'!$AN$8:$AN$271,MATCH($B17,'Tabular Pop Data by Age'!$B$8:$B$271,0))</f>
        <v>2963000</v>
      </c>
      <c r="N17" s="79">
        <f t="shared" si="1"/>
        <v>8589.7369999999992</v>
      </c>
      <c r="O17" s="78">
        <f t="shared" si="0"/>
        <v>1185.2</v>
      </c>
      <c r="P17" s="78">
        <f t="shared" si="2"/>
        <v>16620.6522</v>
      </c>
      <c r="Q17" s="79">
        <f t="shared" si="3"/>
        <v>674.39383386525901</v>
      </c>
    </row>
    <row r="18" spans="2:17" x14ac:dyDescent="0.25">
      <c r="B18" s="138" t="s">
        <v>421</v>
      </c>
      <c r="C18" s="138" t="s">
        <v>193</v>
      </c>
      <c r="D18" s="138" t="s">
        <v>517</v>
      </c>
      <c r="E18" s="138">
        <f>INDEX('WB Physician Data'!$C$9:$BO$272,MATCH($C18,'WB Physician Data'!$C$9:$C$272,0),MATCH("Latest value",'WB Physician Data'!$C$8:$BO$8,0))</f>
        <v>0.78100000000000003</v>
      </c>
      <c r="F18" s="138">
        <f>INDEX('WB Physician Data'!$C$9:$BO$272,MATCH($C18,'WB Physician Data'!$C$9:$C$272,0),MATCH("Latest year",'WB Physician Data'!$C$8:$BO$8,0))</f>
        <v>1999</v>
      </c>
      <c r="G18" s="138">
        <f>INDEX('WB CHWs Data'!$C$10:$BP$274,MATCH($C18,'WB CHWs Data'!$C$10:$C$274,0),MATCH("Value",'WB CHWs Data'!$C$10:$BP$10,0))</f>
        <v>0.4</v>
      </c>
      <c r="H18" s="138" t="str">
        <f>'WB CHWs Data'!BO20</f>
        <v>No reported value</v>
      </c>
      <c r="I18" s="84" t="str">
        <f>'WB Nurses &amp; Midwives data'!BN18</f>
        <v>No reported value</v>
      </c>
      <c r="J18" s="84" t="str">
        <f>'WB Nurses &amp; Midwives data'!BO18</f>
        <v>No reported value</v>
      </c>
      <c r="K18" s="84">
        <f>IFERROR(INDEX('WHO Labs Data'!$C$7:$I$126,MATCH('HCW Summary Data'!$C18,'WHO Labs Data'!$C$7:$C$126,0),7),'WHO Labs Data'!$M$7)</f>
        <v>0.2276050738661016</v>
      </c>
      <c r="M18" s="78">
        <f>INDEX('Tabular Pop Data by Age'!$AN$8:$AN$271,MATCH($B18,'Tabular Pop Data by Age'!$B$8:$B$271,0))</f>
        <v>55000</v>
      </c>
      <c r="N18" s="79">
        <f t="shared" si="1"/>
        <v>42.954999999999998</v>
      </c>
      <c r="O18" s="78">
        <f t="shared" si="0"/>
        <v>22</v>
      </c>
      <c r="P18" s="78">
        <f t="shared" si="2"/>
        <v>0</v>
      </c>
      <c r="Q18" s="79">
        <f t="shared" si="3"/>
        <v>12.518279062635587</v>
      </c>
    </row>
    <row r="19" spans="2:17" x14ac:dyDescent="0.25">
      <c r="B19" s="138" t="s">
        <v>423</v>
      </c>
      <c r="C19" s="138" t="s">
        <v>424</v>
      </c>
      <c r="D19" s="138" t="s">
        <v>664</v>
      </c>
      <c r="E19" s="138">
        <f>INDEX('WB Physician Data'!$C$9:$BO$272,MATCH($C19,'WB Physician Data'!$C$9:$C$272,0),MATCH("Latest value",'WB Physician Data'!$C$8:$BO$8,0))</f>
        <v>2.7646999999999999</v>
      </c>
      <c r="F19" s="138">
        <f>INDEX('WB Physician Data'!$C$9:$BO$272,MATCH($C19,'WB Physician Data'!$C$9:$C$272,0),MATCH("Latest year",'WB Physician Data'!$C$8:$BO$8,0))</f>
        <v>2017</v>
      </c>
      <c r="G19" s="138">
        <f>INDEX('WB CHWs Data'!$C$10:$BP$274,MATCH($C19,'WB CHWs Data'!$C$10:$C$274,0),MATCH("Value",'WB CHWs Data'!$C$10:$BP$10,0))</f>
        <v>0.4</v>
      </c>
      <c r="H19" s="138" t="str">
        <f>'WB CHWs Data'!BO21</f>
        <v>No reported value</v>
      </c>
      <c r="I19" s="84">
        <f>'WB Nurses &amp; Midwives data'!BN19</f>
        <v>3.1175999999999999</v>
      </c>
      <c r="J19" s="84">
        <f>'WB Nurses &amp; Midwives data'!BO19</f>
        <v>2017</v>
      </c>
      <c r="K19" s="84">
        <f>IFERROR(INDEX('WHO Labs Data'!$C$7:$I$126,MATCH('HCW Summary Data'!$C19,'WHO Labs Data'!$C$7:$C$126,0),7),'WHO Labs Data'!$M$7)</f>
        <v>8.3085806867041936E-2</v>
      </c>
      <c r="M19" s="78">
        <f>INDEX('Tabular Pop Data by Age'!$AN$8:$AN$271,MATCH($B19,'Tabular Pop Data by Age'!$B$8:$B$271,0))</f>
        <v>98000</v>
      </c>
      <c r="N19" s="79">
        <f t="shared" si="1"/>
        <v>270.94060000000002</v>
      </c>
      <c r="O19" s="78">
        <f t="shared" si="0"/>
        <v>39.200000000000003</v>
      </c>
      <c r="P19" s="78">
        <f t="shared" si="2"/>
        <v>305.52479999999997</v>
      </c>
      <c r="Q19" s="79">
        <f t="shared" si="3"/>
        <v>8.1424090729701106</v>
      </c>
    </row>
    <row r="20" spans="2:17" x14ac:dyDescent="0.25">
      <c r="B20" s="138" t="s">
        <v>431</v>
      </c>
      <c r="C20" s="138" t="s">
        <v>4</v>
      </c>
      <c r="D20" s="138" t="s">
        <v>517</v>
      </c>
      <c r="E20" s="138">
        <f>INDEX('WB Physician Data'!$C$9:$BO$272,MATCH($C20,'WB Physician Data'!$C$9:$C$272,0),MATCH("Latest value",'WB Physician Data'!$C$8:$BO$8,0))</f>
        <v>3.5874000000000001</v>
      </c>
      <c r="F20" s="138">
        <f>INDEX('WB Physician Data'!$C$9:$BO$272,MATCH($C20,'WB Physician Data'!$C$9:$C$272,0),MATCH("Latest year",'WB Physician Data'!$C$8:$BO$8,0))</f>
        <v>2016</v>
      </c>
      <c r="G20" s="138">
        <f>INDEX('WB CHWs Data'!$C$10:$BP$274,MATCH($C20,'WB CHWs Data'!$C$10:$C$274,0),MATCH("Value",'WB CHWs Data'!$C$10:$BP$10,0))</f>
        <v>4.9000000000000002E-2</v>
      </c>
      <c r="H20" s="138">
        <f>'WB CHWs Data'!BO22</f>
        <v>2006</v>
      </c>
      <c r="I20" s="84">
        <f>'WB Nurses &amp; Midwives data'!BN20</f>
        <v>12.661199999999999</v>
      </c>
      <c r="J20" s="84">
        <f>'WB Nurses &amp; Midwives data'!BO20</f>
        <v>2016</v>
      </c>
      <c r="K20" s="84">
        <f>IFERROR(INDEX('WHO Labs Data'!$C$7:$I$126,MATCH('HCW Summary Data'!$C20,'WHO Labs Data'!$C$7:$C$126,0),7),'WHO Labs Data'!$M$7)</f>
        <v>0.2276050738661016</v>
      </c>
      <c r="M20" s="78">
        <f>INDEX('Tabular Pop Data by Age'!$AN$8:$AN$271,MATCH($B20,'Tabular Pop Data by Age'!$B$8:$B$271,0))</f>
        <v>25608000</v>
      </c>
      <c r="N20" s="79">
        <f t="shared" si="1"/>
        <v>91866.139200000005</v>
      </c>
      <c r="O20" s="78">
        <f t="shared" si="0"/>
        <v>1254.7920000000001</v>
      </c>
      <c r="P20" s="78">
        <f t="shared" si="2"/>
        <v>324228.00959999999</v>
      </c>
      <c r="Q20" s="79">
        <f t="shared" si="3"/>
        <v>5828.5107315631294</v>
      </c>
    </row>
    <row r="21" spans="2:17" x14ac:dyDescent="0.25">
      <c r="B21" s="138" t="s">
        <v>432</v>
      </c>
      <c r="C21" s="138" t="s">
        <v>5</v>
      </c>
      <c r="D21" s="138" t="s">
        <v>664</v>
      </c>
      <c r="E21" s="138">
        <f>INDEX('WB Physician Data'!$C$9:$BO$272,MATCH($C21,'WB Physician Data'!$C$9:$C$272,0),MATCH("Latest value",'WB Physician Data'!$C$8:$BO$8,0))</f>
        <v>5.1440999999999999</v>
      </c>
      <c r="F21" s="138">
        <f>INDEX('WB Physician Data'!$C$9:$BO$272,MATCH($C21,'WB Physician Data'!$C$9:$C$272,0),MATCH("Latest year",'WB Physician Data'!$C$8:$BO$8,0))</f>
        <v>2016</v>
      </c>
      <c r="G21" s="138">
        <f>INDEX('WB CHWs Data'!$C$10:$BP$274,MATCH($C21,'WB CHWs Data'!$C$10:$C$274,0),MATCH("Value",'WB CHWs Data'!$C$10:$BP$10,0))</f>
        <v>0.4</v>
      </c>
      <c r="H21" s="138" t="str">
        <f>'WB CHWs Data'!BO23</f>
        <v>No reported value</v>
      </c>
      <c r="I21" s="84">
        <f>'WB Nurses &amp; Midwives data'!BN21</f>
        <v>8.1777999999999995</v>
      </c>
      <c r="J21" s="84">
        <f>'WB Nurses &amp; Midwives data'!BO21</f>
        <v>2016</v>
      </c>
      <c r="K21" s="84">
        <f>IFERROR(INDEX('WHO Labs Data'!$C$7:$I$126,MATCH('HCW Summary Data'!$C21,'WHO Labs Data'!$C$7:$C$126,0),7),'WHO Labs Data'!$M$7)</f>
        <v>0.2276050738661016</v>
      </c>
      <c r="M21" s="78">
        <f>INDEX('Tabular Pop Data by Age'!$AN$8:$AN$271,MATCH($B21,'Tabular Pop Data by Age'!$B$8:$B$271,0))</f>
        <v>8883000</v>
      </c>
      <c r="N21" s="79">
        <f t="shared" si="1"/>
        <v>45695.040300000001</v>
      </c>
      <c r="O21" s="78">
        <f t="shared" si="0"/>
        <v>3553.2000000000003</v>
      </c>
      <c r="P21" s="78">
        <f t="shared" si="2"/>
        <v>72643.397400000002</v>
      </c>
      <c r="Q21" s="79">
        <f t="shared" si="3"/>
        <v>2021.8158711525805</v>
      </c>
    </row>
    <row r="22" spans="2:17" x14ac:dyDescent="0.25">
      <c r="B22" s="138" t="s">
        <v>235</v>
      </c>
      <c r="C22" s="138" t="s">
        <v>6</v>
      </c>
      <c r="D22" s="138" t="s">
        <v>517</v>
      </c>
      <c r="E22" s="138">
        <f>INDEX('WB Physician Data'!$C$9:$BO$272,MATCH($C22,'WB Physician Data'!$C$9:$C$272,0),MATCH("Latest value",'WB Physician Data'!$C$8:$BO$8,0))</f>
        <v>3.4466000000000001</v>
      </c>
      <c r="F22" s="138">
        <f>INDEX('WB Physician Data'!$C$9:$BO$272,MATCH($C22,'WB Physician Data'!$C$9:$C$272,0),MATCH("Latest year",'WB Physician Data'!$C$8:$BO$8,0))</f>
        <v>2014</v>
      </c>
      <c r="G22" s="138">
        <f>INDEX('WB CHWs Data'!$C$10:$BP$274,MATCH($C22,'WB CHWs Data'!$C$10:$C$274,0),MATCH("Value",'WB CHWs Data'!$C$10:$BP$10,0))</f>
        <v>0.4</v>
      </c>
      <c r="H22" s="138" t="str">
        <f>'WB CHWs Data'!BO24</f>
        <v>No reported value</v>
      </c>
      <c r="I22" s="84">
        <f>'WB Nurses &amp; Midwives data'!BN22</f>
        <v>6.9621000000000004</v>
      </c>
      <c r="J22" s="84">
        <f>'WB Nurses &amp; Midwives data'!BO22</f>
        <v>2014</v>
      </c>
      <c r="K22" s="84">
        <f>IFERROR(INDEX('WHO Labs Data'!$C$7:$I$126,MATCH('HCW Summary Data'!$C22,'WHO Labs Data'!$C$7:$C$126,0),7),'WHO Labs Data'!$M$7)</f>
        <v>0.2276050738661016</v>
      </c>
      <c r="M22" s="78">
        <f>INDEX('Tabular Pop Data by Age'!$AN$8:$AN$271,MATCH($B22,'Tabular Pop Data by Age'!$B$8:$B$271,0))</f>
        <v>10115000</v>
      </c>
      <c r="N22" s="79">
        <f t="shared" si="1"/>
        <v>34862.359000000004</v>
      </c>
      <c r="O22" s="78">
        <f t="shared" si="0"/>
        <v>4046</v>
      </c>
      <c r="P22" s="78">
        <f t="shared" si="2"/>
        <v>70421.641499999998</v>
      </c>
      <c r="Q22" s="79">
        <f t="shared" si="3"/>
        <v>2302.2253221556175</v>
      </c>
    </row>
    <row r="23" spans="2:17" x14ac:dyDescent="0.25">
      <c r="B23" s="138" t="s">
        <v>186</v>
      </c>
      <c r="C23" s="138" t="s">
        <v>7</v>
      </c>
      <c r="D23" s="138" t="s">
        <v>561</v>
      </c>
      <c r="E23" s="138">
        <f>INDEX('WB Physician Data'!$C$9:$BO$272,MATCH($C23,'WB Physician Data'!$C$9:$C$272,0),MATCH("Latest value",'WB Physician Data'!$C$8:$BO$8,0))</f>
        <v>0.05</v>
      </c>
      <c r="F23" s="138">
        <f>INDEX('WB Physician Data'!$C$9:$BO$272,MATCH($C23,'WB Physician Data'!$C$9:$C$272,0),MATCH("Latest year",'WB Physician Data'!$C$8:$BO$8,0))</f>
        <v>2016</v>
      </c>
      <c r="G23" s="138">
        <f>INDEX('WB CHWs Data'!$C$10:$BP$274,MATCH($C23,'WB CHWs Data'!$C$10:$C$274,0),MATCH("Value",'WB CHWs Data'!$C$10:$BP$10,0))</f>
        <v>7.1999999999999995E-2</v>
      </c>
      <c r="H23" s="138">
        <f>'WB CHWs Data'!BO25</f>
        <v>2004</v>
      </c>
      <c r="I23" s="84">
        <f>'WB Nurses &amp; Midwives data'!BN23</f>
        <v>0.68</v>
      </c>
      <c r="J23" s="84">
        <f>'WB Nurses &amp; Midwives data'!BO23</f>
        <v>2016</v>
      </c>
      <c r="K23" s="84">
        <f>IFERROR(INDEX('WHO Labs Data'!$C$7:$I$126,MATCH('HCW Summary Data'!$C23,'WHO Labs Data'!$C$7:$C$126,0),7),'WHO Labs Data'!$M$7)</f>
        <v>3.1408333570461772E-2</v>
      </c>
      <c r="M23" s="78">
        <f>INDEX('Tabular Pop Data by Age'!$AN$8:$AN$271,MATCH($B23,'Tabular Pop Data by Age'!$B$8:$B$271,0))</f>
        <v>11891000</v>
      </c>
      <c r="N23" s="79">
        <f t="shared" si="1"/>
        <v>594.55000000000007</v>
      </c>
      <c r="O23" s="78">
        <f t="shared" si="0"/>
        <v>856.15199999999993</v>
      </c>
      <c r="P23" s="78">
        <f t="shared" si="2"/>
        <v>8085.880000000001</v>
      </c>
      <c r="Q23" s="79">
        <f t="shared" si="3"/>
        <v>373.47649448636093</v>
      </c>
    </row>
    <row r="24" spans="2:17" x14ac:dyDescent="0.25">
      <c r="B24" s="138" t="s">
        <v>438</v>
      </c>
      <c r="C24" s="138" t="s">
        <v>8</v>
      </c>
      <c r="D24" s="138" t="s">
        <v>664</v>
      </c>
      <c r="E24" s="138">
        <f>INDEX('WB Physician Data'!$C$9:$BO$272,MATCH($C24,'WB Physician Data'!$C$9:$C$272,0),MATCH("Latest value",'WB Physician Data'!$C$8:$BO$8,0))</f>
        <v>3.3233999999999999</v>
      </c>
      <c r="F24" s="138">
        <f>INDEX('WB Physician Data'!$C$9:$BO$272,MATCH($C24,'WB Physician Data'!$C$9:$C$272,0),MATCH("Latest year",'WB Physician Data'!$C$8:$BO$8,0))</f>
        <v>2016</v>
      </c>
      <c r="G24" s="138">
        <f>INDEX('WB CHWs Data'!$C$10:$BP$274,MATCH($C24,'WB CHWs Data'!$C$10:$C$274,0),MATCH("Value",'WB CHWs Data'!$C$10:$BP$10,0))</f>
        <v>0.4</v>
      </c>
      <c r="H24" s="138" t="str">
        <f>'WB CHWs Data'!BO26</f>
        <v>No reported value</v>
      </c>
      <c r="I24" s="84">
        <f>'WB Nurses &amp; Midwives data'!BN24</f>
        <v>11.101100000000001</v>
      </c>
      <c r="J24" s="84">
        <f>'WB Nurses &amp; Midwives data'!BO24</f>
        <v>2016</v>
      </c>
      <c r="K24" s="84">
        <f>IFERROR(INDEX('WHO Labs Data'!$C$7:$I$126,MATCH('HCW Summary Data'!$C24,'WHO Labs Data'!$C$7:$C$126,0),7),'WHO Labs Data'!$M$7)</f>
        <v>0.2276050738661016</v>
      </c>
      <c r="M24" s="78">
        <f>INDEX('Tabular Pop Data by Age'!$AN$8:$AN$271,MATCH($B24,'Tabular Pop Data by Age'!$B$8:$B$271,0))</f>
        <v>11538000</v>
      </c>
      <c r="N24" s="79">
        <f t="shared" si="1"/>
        <v>38345.389199999998</v>
      </c>
      <c r="O24" s="78">
        <f t="shared" si="0"/>
        <v>4615.2</v>
      </c>
      <c r="P24" s="78">
        <f t="shared" si="2"/>
        <v>128084.4918</v>
      </c>
      <c r="Q24" s="79">
        <f t="shared" si="3"/>
        <v>2626.1073422670802</v>
      </c>
    </row>
    <row r="25" spans="2:17" x14ac:dyDescent="0.25">
      <c r="B25" s="138" t="s">
        <v>183</v>
      </c>
      <c r="C25" s="138" t="s">
        <v>9</v>
      </c>
      <c r="D25" s="138" t="s">
        <v>517</v>
      </c>
      <c r="E25" s="138">
        <f>INDEX('WB Physician Data'!$C$9:$BO$272,MATCH($C25,'WB Physician Data'!$C$9:$C$272,0),MATCH("Latest value",'WB Physician Data'!$C$8:$BO$8,0))</f>
        <v>0.15720000000000001</v>
      </c>
      <c r="F25" s="138">
        <f>INDEX('WB Physician Data'!$C$9:$BO$272,MATCH($C25,'WB Physician Data'!$C$9:$C$272,0),MATCH("Latest year",'WB Physician Data'!$C$8:$BO$8,0))</f>
        <v>2016</v>
      </c>
      <c r="G25" s="138">
        <f>INDEX('WB CHWs Data'!$C$10:$BP$274,MATCH($C25,'WB CHWs Data'!$C$10:$C$274,0),MATCH("Value",'WB CHWs Data'!$C$10:$BP$10,0))</f>
        <v>0.4</v>
      </c>
      <c r="H25" s="138" t="str">
        <f>'WB CHWs Data'!BO27</f>
        <v>No reported value</v>
      </c>
      <c r="I25" s="84">
        <f>'WB Nurses &amp; Midwives data'!BN25</f>
        <v>0.61450000000000005</v>
      </c>
      <c r="J25" s="84">
        <f>'WB Nurses &amp; Midwives data'!BO25</f>
        <v>2016</v>
      </c>
      <c r="K25" s="84">
        <f>IFERROR(INDEX('WHO Labs Data'!$C$7:$I$126,MATCH('HCW Summary Data'!$C25,'WHO Labs Data'!$C$7:$C$126,0),7),'WHO Labs Data'!$M$7)</f>
        <v>0.10152330229703874</v>
      </c>
      <c r="M25" s="78">
        <f>INDEX('Tabular Pop Data by Age'!$AN$8:$AN$271,MATCH($B25,'Tabular Pop Data by Age'!$B$8:$B$271,0))</f>
        <v>12123000</v>
      </c>
      <c r="N25" s="79">
        <f t="shared" si="1"/>
        <v>1905.7356</v>
      </c>
      <c r="O25" s="78">
        <f t="shared" si="0"/>
        <v>4849.2</v>
      </c>
      <c r="P25" s="78">
        <f t="shared" si="2"/>
        <v>7449.5835000000006</v>
      </c>
      <c r="Q25" s="79">
        <f t="shared" si="3"/>
        <v>1230.7669937470007</v>
      </c>
    </row>
    <row r="26" spans="2:17" x14ac:dyDescent="0.25">
      <c r="B26" s="138" t="s">
        <v>185</v>
      </c>
      <c r="C26" s="138" t="s">
        <v>10</v>
      </c>
      <c r="D26" s="138" t="s">
        <v>559</v>
      </c>
      <c r="E26" s="138">
        <f>INDEX('WB Physician Data'!$C$9:$BO$272,MATCH($C26,'WB Physician Data'!$C$9:$C$272,0),MATCH("Latest value",'WB Physician Data'!$C$8:$BO$8,0))</f>
        <v>0.06</v>
      </c>
      <c r="F26" s="138">
        <f>INDEX('WB Physician Data'!$C$9:$BO$272,MATCH($C26,'WB Physician Data'!$C$9:$C$272,0),MATCH("Latest year",'WB Physician Data'!$C$8:$BO$8,0))</f>
        <v>2016</v>
      </c>
      <c r="G26" s="138">
        <f>INDEX('WB CHWs Data'!$C$10:$BP$274,MATCH($C26,'WB CHWs Data'!$C$10:$C$274,0),MATCH("Value",'WB CHWs Data'!$C$10:$BP$10,0))</f>
        <v>0.127</v>
      </c>
      <c r="H26" s="138">
        <f>'WB CHWs Data'!BO28</f>
        <v>2012</v>
      </c>
      <c r="I26" s="84">
        <f>'WB Nurses &amp; Midwives data'!BN26</f>
        <v>0.5696</v>
      </c>
      <c r="J26" s="84">
        <f>'WB Nurses &amp; Midwives data'!BO26</f>
        <v>2016</v>
      </c>
      <c r="K26" s="84">
        <f>IFERROR(INDEX('WHO Labs Data'!$C$7:$I$126,MATCH('HCW Summary Data'!$C26,'WHO Labs Data'!$C$7:$C$126,0),7),'WHO Labs Data'!$M$7)</f>
        <v>2.3188071205605034E-2</v>
      </c>
      <c r="M26" s="78">
        <f>INDEX('Tabular Pop Data by Age'!$AN$8:$AN$271,MATCH($B26,'Tabular Pop Data by Age'!$B$8:$B$271,0))</f>
        <v>20903000</v>
      </c>
      <c r="N26" s="79">
        <f t="shared" si="1"/>
        <v>1254.18</v>
      </c>
      <c r="O26" s="78">
        <f t="shared" si="0"/>
        <v>2654.681</v>
      </c>
      <c r="P26" s="78">
        <f t="shared" si="2"/>
        <v>11906.3488</v>
      </c>
      <c r="Q26" s="79">
        <f t="shared" si="3"/>
        <v>484.700252410762</v>
      </c>
    </row>
    <row r="27" spans="2:17" x14ac:dyDescent="0.25">
      <c r="B27" s="138" t="s">
        <v>240</v>
      </c>
      <c r="C27" s="138" t="s">
        <v>11</v>
      </c>
      <c r="D27" s="138" t="s">
        <v>517</v>
      </c>
      <c r="E27" s="138">
        <f>INDEX('WB Physician Data'!$C$9:$BO$272,MATCH($C27,'WB Physician Data'!$C$9:$C$272,0),MATCH("Latest value",'WB Physician Data'!$C$8:$BO$8,0))</f>
        <v>0.52680000000000005</v>
      </c>
      <c r="F27" s="138">
        <f>INDEX('WB Physician Data'!$C$9:$BO$272,MATCH($C27,'WB Physician Data'!$C$9:$C$272,0),MATCH("Latest year",'WB Physician Data'!$C$8:$BO$8,0))</f>
        <v>2017</v>
      </c>
      <c r="G27" s="138">
        <f>INDEX('WB CHWs Data'!$C$10:$BP$274,MATCH($C27,'WB CHWs Data'!$C$10:$C$274,0),MATCH("Value",'WB CHWs Data'!$C$10:$BP$10,0))</f>
        <v>0.47599999999999998</v>
      </c>
      <c r="H27" s="138">
        <f>'WB CHWs Data'!BO29</f>
        <v>2012</v>
      </c>
      <c r="I27" s="84">
        <f>'WB Nurses &amp; Midwives data'!BN27</f>
        <v>0.30669999999999997</v>
      </c>
      <c r="J27" s="84">
        <f>'WB Nurses &amp; Midwives data'!BO27</f>
        <v>2017</v>
      </c>
      <c r="K27" s="84">
        <f>IFERROR(INDEX('WHO Labs Data'!$C$7:$I$126,MATCH('HCW Summary Data'!$C27,'WHO Labs Data'!$C$7:$C$126,0),7),'WHO Labs Data'!$M$7)</f>
        <v>4.0990098920313731E-2</v>
      </c>
      <c r="M27" s="78">
        <f>INDEX('Tabular Pop Data by Age'!$AN$8:$AN$271,MATCH($B27,'Tabular Pop Data by Age'!$B$8:$B$271,0))</f>
        <v>164689000</v>
      </c>
      <c r="N27" s="79">
        <f t="shared" si="1"/>
        <v>86758.165200000003</v>
      </c>
      <c r="O27" s="78">
        <f t="shared" si="0"/>
        <v>78391.963999999993</v>
      </c>
      <c r="P27" s="78">
        <f t="shared" si="2"/>
        <v>50510.116299999994</v>
      </c>
      <c r="Q27" s="79">
        <f t="shared" si="3"/>
        <v>6750.6184010875477</v>
      </c>
    </row>
    <row r="28" spans="2:17" x14ac:dyDescent="0.25">
      <c r="B28" s="138" t="s">
        <v>447</v>
      </c>
      <c r="C28" s="138" t="s">
        <v>12</v>
      </c>
      <c r="D28" s="138" t="s">
        <v>559</v>
      </c>
      <c r="E28" s="138">
        <f>INDEX('WB Physician Data'!$C$9:$BO$272,MATCH($C28,'WB Physician Data'!$C$9:$C$272,0),MATCH("Latest value",'WB Physician Data'!$C$8:$BO$8,0))</f>
        <v>3.9878999999999998</v>
      </c>
      <c r="F28" s="138">
        <f>INDEX('WB Physician Data'!$C$9:$BO$272,MATCH($C28,'WB Physician Data'!$C$9:$C$272,0),MATCH("Latest year",'WB Physician Data'!$C$8:$BO$8,0))</f>
        <v>2014</v>
      </c>
      <c r="G28" s="138">
        <f>INDEX('WB CHWs Data'!$C$10:$BP$274,MATCH($C28,'WB CHWs Data'!$C$10:$C$274,0),MATCH("Value",'WB CHWs Data'!$C$10:$BP$10,0))</f>
        <v>0.4</v>
      </c>
      <c r="H28" s="138" t="str">
        <f>'WB CHWs Data'!BO30</f>
        <v>No reported value</v>
      </c>
      <c r="I28" s="84">
        <f>'WB Nurses &amp; Midwives data'!BN28</f>
        <v>5.3029000000000002</v>
      </c>
      <c r="J28" s="84">
        <f>'WB Nurses &amp; Midwives data'!BO28</f>
        <v>2014</v>
      </c>
      <c r="K28" s="84">
        <f>IFERROR(INDEX('WHO Labs Data'!$C$7:$I$126,MATCH('HCW Summary Data'!$C28,'WHO Labs Data'!$C$7:$C$126,0),7),'WHO Labs Data'!$M$7)</f>
        <v>0.2276050738661016</v>
      </c>
      <c r="M28" s="78">
        <f>INDEX('Tabular Pop Data by Age'!$AN$8:$AN$271,MATCH($B28,'Tabular Pop Data by Age'!$B$8:$B$271,0))</f>
        <v>6916000</v>
      </c>
      <c r="N28" s="79">
        <f t="shared" si="1"/>
        <v>27580.3164</v>
      </c>
      <c r="O28" s="78">
        <f t="shared" si="0"/>
        <v>2766.4</v>
      </c>
      <c r="P28" s="78">
        <f t="shared" si="2"/>
        <v>36674.856400000004</v>
      </c>
      <c r="Q28" s="79">
        <f t="shared" si="3"/>
        <v>1574.1166908579587</v>
      </c>
    </row>
    <row r="29" spans="2:17" x14ac:dyDescent="0.25">
      <c r="B29" s="138" t="s">
        <v>434</v>
      </c>
      <c r="C29" s="138" t="s">
        <v>13</v>
      </c>
      <c r="D29" s="138" t="s">
        <v>561</v>
      </c>
      <c r="E29" s="138">
        <f>INDEX('WB Physician Data'!$C$9:$BO$272,MATCH($C29,'WB Physician Data'!$C$9:$C$272,0),MATCH("Latest value",'WB Physician Data'!$C$8:$BO$8,0))</f>
        <v>0.92569999999999997</v>
      </c>
      <c r="F29" s="138">
        <f>INDEX('WB Physician Data'!$C$9:$BO$272,MATCH($C29,'WB Physician Data'!$C$9:$C$272,0),MATCH("Latest year",'WB Physician Data'!$C$8:$BO$8,0))</f>
        <v>2015</v>
      </c>
      <c r="G29" s="138">
        <f>INDEX('WB CHWs Data'!$C$10:$BP$274,MATCH($C29,'WB CHWs Data'!$C$10:$C$274,0),MATCH("Value",'WB CHWs Data'!$C$10:$BP$10,0))</f>
        <v>0.4</v>
      </c>
      <c r="H29" s="138" t="str">
        <f>'WB CHWs Data'!BO31</f>
        <v>No reported value</v>
      </c>
      <c r="I29" s="84">
        <f>'WB Nurses &amp; Midwives data'!BN29</f>
        <v>2.4944000000000002</v>
      </c>
      <c r="J29" s="84">
        <f>'WB Nurses &amp; Midwives data'!BO29</f>
        <v>2015</v>
      </c>
      <c r="K29" s="84">
        <f>IFERROR(INDEX('WHO Labs Data'!$C$7:$I$126,MATCH('HCW Summary Data'!$C29,'WHO Labs Data'!$C$7:$C$126,0),7),'WHO Labs Data'!$M$7)</f>
        <v>0.18796525382636728</v>
      </c>
      <c r="M29" s="78">
        <f>INDEX('Tabular Pop Data by Age'!$AN$8:$AN$271,MATCH($B29,'Tabular Pop Data by Age'!$B$8:$B$271,0))</f>
        <v>1702000</v>
      </c>
      <c r="N29" s="79">
        <f t="shared" si="1"/>
        <v>1575.5413999999998</v>
      </c>
      <c r="O29" s="78">
        <f t="shared" si="0"/>
        <v>680.80000000000007</v>
      </c>
      <c r="P29" s="78">
        <f t="shared" si="2"/>
        <v>4245.4688000000006</v>
      </c>
      <c r="Q29" s="79">
        <f t="shared" si="3"/>
        <v>319.91686201247711</v>
      </c>
    </row>
    <row r="30" spans="2:17" x14ac:dyDescent="0.25">
      <c r="B30" s="138" t="s">
        <v>433</v>
      </c>
      <c r="C30" s="138" t="s">
        <v>14</v>
      </c>
      <c r="D30" s="138" t="s">
        <v>517</v>
      </c>
      <c r="E30" s="138">
        <f>INDEX('WB Physician Data'!$C$9:$BO$272,MATCH($C30,'WB Physician Data'!$C$9:$C$272,0),MATCH("Latest value",'WB Physician Data'!$C$8:$BO$8,0))</f>
        <v>1.9373</v>
      </c>
      <c r="F30" s="138">
        <f>INDEX('WB Physician Data'!$C$9:$BO$272,MATCH($C30,'WB Physician Data'!$C$9:$C$272,0),MATCH("Latest year",'WB Physician Data'!$C$8:$BO$8,0))</f>
        <v>2017</v>
      </c>
      <c r="G30" s="138">
        <f>INDEX('WB CHWs Data'!$C$10:$BP$274,MATCH($C30,'WB CHWs Data'!$C$10:$C$274,0),MATCH("Value",'WB CHWs Data'!$C$10:$BP$10,0))</f>
        <v>0.4</v>
      </c>
      <c r="H30" s="138" t="str">
        <f>'WB CHWs Data'!BO32</f>
        <v>No reported value</v>
      </c>
      <c r="I30" s="84">
        <f>'WB Nurses &amp; Midwives data'!BN30</f>
        <v>3.1385999999999998</v>
      </c>
      <c r="J30" s="84">
        <f>'WB Nurses &amp; Midwives data'!BO30</f>
        <v>2017</v>
      </c>
      <c r="K30" s="84">
        <f>IFERROR(INDEX('WHO Labs Data'!$C$7:$I$126,MATCH('HCW Summary Data'!$C30,'WHO Labs Data'!$C$7:$C$126,0),7),'WHO Labs Data'!$M$7)</f>
        <v>0.26968156830204337</v>
      </c>
      <c r="M30" s="78">
        <f>INDEX('Tabular Pop Data by Age'!$AN$8:$AN$271,MATCH($B30,'Tabular Pop Data by Age'!$B$8:$B$271,0))</f>
        <v>393000</v>
      </c>
      <c r="N30" s="79">
        <f t="shared" si="1"/>
        <v>761.35890000000006</v>
      </c>
      <c r="O30" s="78">
        <f t="shared" si="0"/>
        <v>157.20000000000002</v>
      </c>
      <c r="P30" s="78">
        <f t="shared" si="2"/>
        <v>1233.4697999999999</v>
      </c>
      <c r="Q30" s="79">
        <f t="shared" si="3"/>
        <v>105.98485634270304</v>
      </c>
    </row>
    <row r="31" spans="2:17" x14ac:dyDescent="0.25">
      <c r="B31" s="138" t="s">
        <v>442</v>
      </c>
      <c r="C31" s="138" t="s">
        <v>15</v>
      </c>
      <c r="D31" s="138" t="s">
        <v>664</v>
      </c>
      <c r="E31" s="138">
        <f>INDEX('WB Physician Data'!$C$9:$BO$272,MATCH($C31,'WB Physician Data'!$C$9:$C$272,0),MATCH("Latest value",'WB Physician Data'!$C$8:$BO$8,0))</f>
        <v>2.0003000000000002</v>
      </c>
      <c r="F31" s="138">
        <f>INDEX('WB Physician Data'!$C$9:$BO$272,MATCH($C31,'WB Physician Data'!$C$9:$C$272,0),MATCH("Latest year",'WB Physician Data'!$C$8:$BO$8,0))</f>
        <v>2013</v>
      </c>
      <c r="G31" s="138">
        <f>INDEX('WB CHWs Data'!$C$10:$BP$274,MATCH($C31,'WB CHWs Data'!$C$10:$C$274,0),MATCH("Value",'WB CHWs Data'!$C$10:$BP$10,0))</f>
        <v>0.4</v>
      </c>
      <c r="H31" s="138" t="str">
        <f>'WB CHWs Data'!BO33</f>
        <v>No reported value</v>
      </c>
      <c r="I31" s="84">
        <f>'WB Nurses &amp; Midwives data'!BN31</f>
        <v>6.2998000000000003</v>
      </c>
      <c r="J31" s="84">
        <f>'WB Nurses &amp; Midwives data'!BO31</f>
        <v>2014</v>
      </c>
      <c r="K31" s="84">
        <f>IFERROR(INDEX('WHO Labs Data'!$C$7:$I$126,MATCH('HCW Summary Data'!$C31,'WHO Labs Data'!$C$7:$C$126,0),7),'WHO Labs Data'!$M$7)</f>
        <v>0.2276050738661016</v>
      </c>
      <c r="M31" s="78">
        <f>INDEX('Tabular Pop Data by Age'!$AN$8:$AN$271,MATCH($B31,'Tabular Pop Data by Age'!$B$8:$B$271,0))</f>
        <v>3281000</v>
      </c>
      <c r="N31" s="79">
        <f t="shared" si="1"/>
        <v>6562.984300000001</v>
      </c>
      <c r="O31" s="78">
        <f t="shared" si="0"/>
        <v>1312.4</v>
      </c>
      <c r="P31" s="78">
        <f t="shared" si="2"/>
        <v>20669.643800000002</v>
      </c>
      <c r="Q31" s="79">
        <f t="shared" si="3"/>
        <v>746.77224735467939</v>
      </c>
    </row>
    <row r="32" spans="2:17" x14ac:dyDescent="0.25">
      <c r="B32" s="138" t="s">
        <v>437</v>
      </c>
      <c r="C32" s="138" t="s">
        <v>16</v>
      </c>
      <c r="D32" s="138" t="s">
        <v>517</v>
      </c>
      <c r="E32" s="138">
        <f>INDEX('WB Physician Data'!$C$9:$BO$272,MATCH($C32,'WB Physician Data'!$C$9:$C$272,0),MATCH("Latest value",'WB Physician Data'!$C$8:$BO$8,0))</f>
        <v>4.0772000000000004</v>
      </c>
      <c r="F32" s="138">
        <f>INDEX('WB Physician Data'!$C$9:$BO$272,MATCH($C32,'WB Physician Data'!$C$9:$C$272,0),MATCH("Latest year",'WB Physician Data'!$C$8:$BO$8,0))</f>
        <v>2014</v>
      </c>
      <c r="G32" s="138">
        <f>INDEX('WB CHWs Data'!$C$10:$BP$274,MATCH($C32,'WB CHWs Data'!$C$10:$C$274,0),MATCH("Value",'WB CHWs Data'!$C$10:$BP$10,0))</f>
        <v>0.4</v>
      </c>
      <c r="H32" s="138" t="str">
        <f>'WB CHWs Data'!BO34</f>
        <v>No reported value</v>
      </c>
      <c r="I32" s="84">
        <f>'WB Nurses &amp; Midwives data'!BN32</f>
        <v>11.4383</v>
      </c>
      <c r="J32" s="84">
        <f>'WB Nurses &amp; Midwives data'!BO32</f>
        <v>2014</v>
      </c>
      <c r="K32" s="84">
        <f>IFERROR(INDEX('WHO Labs Data'!$C$7:$I$126,MATCH('HCW Summary Data'!$C32,'WHO Labs Data'!$C$7:$C$126,0),7),'WHO Labs Data'!$M$7)</f>
        <v>0.2276050738661016</v>
      </c>
      <c r="M32" s="78">
        <f>INDEX('Tabular Pop Data by Age'!$AN$8:$AN$271,MATCH($B32,'Tabular Pop Data by Age'!$B$8:$B$271,0))</f>
        <v>9448000</v>
      </c>
      <c r="N32" s="79">
        <f t="shared" si="1"/>
        <v>38521.385600000001</v>
      </c>
      <c r="O32" s="78">
        <f t="shared" si="0"/>
        <v>3779.2000000000003</v>
      </c>
      <c r="P32" s="78">
        <f t="shared" si="2"/>
        <v>108069.05839999999</v>
      </c>
      <c r="Q32" s="79">
        <f t="shared" si="3"/>
        <v>2150.412737886928</v>
      </c>
    </row>
    <row r="33" spans="2:17" x14ac:dyDescent="0.25">
      <c r="B33" s="138" t="s">
        <v>439</v>
      </c>
      <c r="C33" s="138" t="s">
        <v>17</v>
      </c>
      <c r="D33" s="138" t="s">
        <v>559</v>
      </c>
      <c r="E33" s="138">
        <f>INDEX('WB Physician Data'!$C$9:$BO$272,MATCH($C33,'WB Physician Data'!$C$9:$C$272,0),MATCH("Latest value",'WB Physician Data'!$C$8:$BO$8,0))</f>
        <v>1.1262000000000001</v>
      </c>
      <c r="F33" s="138">
        <f>INDEX('WB Physician Data'!$C$9:$BO$272,MATCH($C33,'WB Physician Data'!$C$9:$C$272,0),MATCH("Latest year",'WB Physician Data'!$C$8:$BO$8,0))</f>
        <v>2017</v>
      </c>
      <c r="G33" s="138">
        <f>INDEX('WB CHWs Data'!$C$10:$BP$274,MATCH($C33,'WB CHWs Data'!$C$10:$C$274,0),MATCH("Value",'WB CHWs Data'!$C$10:$BP$10,0))</f>
        <v>0.503</v>
      </c>
      <c r="H33" s="138">
        <f>'WB CHWs Data'!BO35</f>
        <v>2009</v>
      </c>
      <c r="I33" s="84">
        <f>'WB Nurses &amp; Midwives data'!BN33</f>
        <v>1.6947000000000001</v>
      </c>
      <c r="J33" s="84">
        <f>'WB Nurses &amp; Midwives data'!BO33</f>
        <v>2017</v>
      </c>
      <c r="K33" s="84">
        <f>IFERROR(INDEX('WHO Labs Data'!$C$7:$I$126,MATCH('HCW Summary Data'!$C33,'WHO Labs Data'!$C$7:$C$126,0),7),'WHO Labs Data'!$M$7)</f>
        <v>0.2276050738661016</v>
      </c>
      <c r="M33" s="78">
        <f>INDEX('Tabular Pop Data by Age'!$AN$8:$AN$271,MATCH($B33,'Tabular Pop Data by Age'!$B$8:$B$271,0))</f>
        <v>398000</v>
      </c>
      <c r="N33" s="79">
        <f t="shared" si="1"/>
        <v>448.22760000000005</v>
      </c>
      <c r="O33" s="78">
        <f t="shared" si="0"/>
        <v>200.19399999999999</v>
      </c>
      <c r="P33" s="78">
        <f t="shared" si="2"/>
        <v>674.49060000000009</v>
      </c>
      <c r="Q33" s="79">
        <f t="shared" si="3"/>
        <v>90.586819398708442</v>
      </c>
    </row>
    <row r="34" spans="2:17" x14ac:dyDescent="0.25">
      <c r="B34" s="138" t="s">
        <v>440</v>
      </c>
      <c r="C34" s="138" t="s">
        <v>441</v>
      </c>
      <c r="D34" s="138" t="s">
        <v>561</v>
      </c>
      <c r="E34" s="138">
        <f>INDEX('WB Physician Data'!$C$9:$BO$272,MATCH($C34,'WB Physician Data'!$C$9:$C$272,0),MATCH("Latest value",'WB Physician Data'!$C$8:$BO$8,0))</f>
        <v>1.766</v>
      </c>
      <c r="F34" s="138">
        <f>INDEX('WB Physician Data'!$C$9:$BO$272,MATCH($C34,'WB Physician Data'!$C$9:$C$272,0),MATCH("Latest year",'WB Physician Data'!$C$8:$BO$8,0))</f>
        <v>1997</v>
      </c>
      <c r="G34" s="138">
        <f>INDEX('WB CHWs Data'!$C$10:$BP$274,MATCH($C34,'WB CHWs Data'!$C$10:$C$274,0),MATCH("Value",'WB CHWs Data'!$C$10:$BP$10,0))</f>
        <v>0.4</v>
      </c>
      <c r="H34" s="138" t="str">
        <f>'WB CHWs Data'!BO36</f>
        <v>No reported value</v>
      </c>
      <c r="I34" s="84" t="str">
        <f>'WB Nurses &amp; Midwives data'!BN34</f>
        <v>No reported value</v>
      </c>
      <c r="J34" s="84" t="str">
        <f>'WB Nurses &amp; Midwives data'!BO34</f>
        <v>No reported value</v>
      </c>
      <c r="K34" s="84">
        <f>IFERROR(INDEX('WHO Labs Data'!$C$7:$I$126,MATCH('HCW Summary Data'!$C34,'WHO Labs Data'!$C$7:$C$126,0),7),'WHO Labs Data'!$M$7)</f>
        <v>0.2276050738661016</v>
      </c>
      <c r="M34" s="78">
        <f>INDEX('Tabular Pop Data by Age'!$AN$8:$AN$271,MATCH($B34,'Tabular Pop Data by Age'!$B$8:$B$271,0))</f>
        <v>71750</v>
      </c>
      <c r="N34" s="79">
        <f t="shared" si="1"/>
        <v>126.7105</v>
      </c>
      <c r="O34" s="78">
        <f t="shared" si="0"/>
        <v>28.700000000000003</v>
      </c>
      <c r="P34" s="78">
        <f t="shared" si="2"/>
        <v>0</v>
      </c>
      <c r="Q34" s="79">
        <f t="shared" si="3"/>
        <v>16.330664049892789</v>
      </c>
    </row>
    <row r="35" spans="2:17" x14ac:dyDescent="0.25">
      <c r="B35" s="138" t="s">
        <v>219</v>
      </c>
      <c r="C35" s="138" t="s">
        <v>18</v>
      </c>
      <c r="D35" s="138" t="s">
        <v>664</v>
      </c>
      <c r="E35" s="138">
        <f>INDEX('WB Physician Data'!$C$9:$BO$272,MATCH($C35,'WB Physician Data'!$C$9:$C$272,0),MATCH("Latest value",'WB Physician Data'!$C$8:$BO$8,0))</f>
        <v>1.6111</v>
      </c>
      <c r="F35" s="138">
        <f>INDEX('WB Physician Data'!$C$9:$BO$272,MATCH($C35,'WB Physician Data'!$C$9:$C$272,0),MATCH("Latest year",'WB Physician Data'!$C$8:$BO$8,0))</f>
        <v>2016</v>
      </c>
      <c r="G35" s="138">
        <f>INDEX('WB CHWs Data'!$C$10:$BP$274,MATCH($C35,'WB CHWs Data'!$C$10:$C$274,0),MATCH("Value",'WB CHWs Data'!$C$10:$BP$10,0))</f>
        <v>0.11799999999999999</v>
      </c>
      <c r="H35" s="138">
        <f>'WB CHWs Data'!BO37</f>
        <v>2001</v>
      </c>
      <c r="I35" s="84">
        <f>'WB Nurses &amp; Midwives data'!BN35</f>
        <v>0.73570000000000002</v>
      </c>
      <c r="J35" s="84">
        <f>'WB Nurses &amp; Midwives data'!BO35</f>
        <v>2016</v>
      </c>
      <c r="K35" s="84">
        <f>IFERROR(INDEX('WHO Labs Data'!$C$7:$I$126,MATCH('HCW Summary Data'!$C35,'WHO Labs Data'!$C$7:$C$126,0),7),'WHO Labs Data'!$M$7)</f>
        <v>4.9501715031838762E-2</v>
      </c>
      <c r="M35" s="78">
        <f>INDEX('Tabular Pop Data by Age'!$AN$8:$AN$271,MATCH($B35,'Tabular Pop Data by Age'!$B$8:$B$271,0))</f>
        <v>11673000</v>
      </c>
      <c r="N35" s="79">
        <f t="shared" si="1"/>
        <v>18806.370299999999</v>
      </c>
      <c r="O35" s="78">
        <f t="shared" si="0"/>
        <v>1377.414</v>
      </c>
      <c r="P35" s="78">
        <f t="shared" si="2"/>
        <v>8587.8261000000002</v>
      </c>
      <c r="Q35" s="79">
        <f t="shared" si="3"/>
        <v>577.83351956665388</v>
      </c>
    </row>
    <row r="36" spans="2:17" x14ac:dyDescent="0.25">
      <c r="B36" s="138" t="s">
        <v>443</v>
      </c>
      <c r="C36" s="138" t="s">
        <v>19</v>
      </c>
      <c r="D36" s="138" t="s">
        <v>517</v>
      </c>
      <c r="E36" s="138">
        <f>INDEX('WB Physician Data'!$C$9:$BO$272,MATCH($C36,'WB Physician Data'!$C$9:$C$272,0),MATCH("Latest value",'WB Physician Data'!$C$8:$BO$8,0))</f>
        <v>2.1499000000000001</v>
      </c>
      <c r="F36" s="138">
        <f>INDEX('WB Physician Data'!$C$9:$BO$272,MATCH($C36,'WB Physician Data'!$C$9:$C$272,0),MATCH("Latest year",'WB Physician Data'!$C$8:$BO$8,0))</f>
        <v>2018</v>
      </c>
      <c r="G36" s="138">
        <f>INDEX('WB CHWs Data'!$C$10:$BP$274,MATCH($C36,'WB CHWs Data'!$C$10:$C$274,0),MATCH("Value",'WB CHWs Data'!$C$10:$BP$10,0))</f>
        <v>0.4</v>
      </c>
      <c r="H36" s="138" t="str">
        <f>'WB CHWs Data'!BO38</f>
        <v>No reported value</v>
      </c>
      <c r="I36" s="84">
        <f>'WB Nurses &amp; Midwives data'!BN36</f>
        <v>9.7082999999999995</v>
      </c>
      <c r="J36" s="84">
        <f>'WB Nurses &amp; Midwives data'!BO36</f>
        <v>2018</v>
      </c>
      <c r="K36" s="84">
        <f>IFERROR(INDEX('WHO Labs Data'!$C$7:$I$126,MATCH('HCW Summary Data'!$C36,'WHO Labs Data'!$C$7:$C$126,0),7),'WHO Labs Data'!$M$7)</f>
        <v>0.20883247859484996</v>
      </c>
      <c r="M36" s="78">
        <f>INDEX('Tabular Pop Data by Age'!$AN$8:$AN$271,MATCH($B36,'Tabular Pop Data by Age'!$B$8:$B$271,0))</f>
        <v>212559000</v>
      </c>
      <c r="N36" s="79">
        <f t="shared" si="1"/>
        <v>456980.59410000005</v>
      </c>
      <c r="O36" s="78">
        <f t="shared" si="0"/>
        <v>85023.6</v>
      </c>
      <c r="P36" s="78">
        <f t="shared" si="2"/>
        <v>2063586.5396999998</v>
      </c>
      <c r="Q36" s="79">
        <f t="shared" si="3"/>
        <v>44389.222817642716</v>
      </c>
    </row>
    <row r="37" spans="2:17" x14ac:dyDescent="0.25">
      <c r="B37" s="138" t="s">
        <v>435</v>
      </c>
      <c r="C37" s="138" t="s">
        <v>436</v>
      </c>
      <c r="D37" s="138" t="s">
        <v>664</v>
      </c>
      <c r="E37" s="138">
        <f>INDEX('WB Physician Data'!$C$9:$BO$272,MATCH($C37,'WB Physician Data'!$C$9:$C$272,0),MATCH("Latest value",'WB Physician Data'!$C$8:$BO$8,0))</f>
        <v>2.4885999999999999</v>
      </c>
      <c r="F37" s="138">
        <f>INDEX('WB Physician Data'!$C$9:$BO$272,MATCH($C37,'WB Physician Data'!$C$9:$C$272,0),MATCH("Latest year",'WB Physician Data'!$C$8:$BO$8,0))</f>
        <v>2017</v>
      </c>
      <c r="G37" s="138">
        <f>INDEX('WB CHWs Data'!$C$10:$BP$274,MATCH($C37,'WB CHWs Data'!$C$10:$C$274,0),MATCH("Value",'WB CHWs Data'!$C$10:$BP$10,0))</f>
        <v>0.4</v>
      </c>
      <c r="H37" s="138" t="str">
        <f>'WB CHWs Data'!BO39</f>
        <v>No reported value</v>
      </c>
      <c r="I37" s="84">
        <f>'WB Nurses &amp; Midwives data'!BN37</f>
        <v>6.0273000000000003</v>
      </c>
      <c r="J37" s="84">
        <f>'WB Nurses &amp; Midwives data'!BO37</f>
        <v>2017</v>
      </c>
      <c r="K37" s="84">
        <f>IFERROR(INDEX('WHO Labs Data'!$C$7:$I$126,MATCH('HCW Summary Data'!$C37,'WHO Labs Data'!$C$7:$C$126,0),7),'WHO Labs Data'!$M$7)</f>
        <v>6.9773689039600061E-3</v>
      </c>
      <c r="M37" s="78">
        <f>INDEX('Tabular Pop Data by Age'!$AN$8:$AN$271,MATCH($B37,'Tabular Pop Data by Age'!$B$8:$B$271,0))</f>
        <v>287000</v>
      </c>
      <c r="N37" s="79">
        <f t="shared" si="1"/>
        <v>714.22820000000002</v>
      </c>
      <c r="O37" s="78">
        <f t="shared" si="0"/>
        <v>114.80000000000001</v>
      </c>
      <c r="P37" s="78">
        <f t="shared" si="2"/>
        <v>1729.8351</v>
      </c>
      <c r="Q37" s="79">
        <f t="shared" si="3"/>
        <v>2.0025048754365216</v>
      </c>
    </row>
    <row r="38" spans="2:17" x14ac:dyDescent="0.25">
      <c r="B38" s="138" t="s">
        <v>446</v>
      </c>
      <c r="C38" s="138" t="s">
        <v>20</v>
      </c>
      <c r="D38" s="138" t="s">
        <v>664</v>
      </c>
      <c r="E38" s="138">
        <f>INDEX('WB Physician Data'!$C$9:$BO$272,MATCH($C38,'WB Physician Data'!$C$9:$C$272,0),MATCH("Latest value",'WB Physician Data'!$C$8:$BO$8,0))</f>
        <v>1.7701</v>
      </c>
      <c r="F38" s="138">
        <f>INDEX('WB Physician Data'!$C$9:$BO$272,MATCH($C38,'WB Physician Data'!$C$9:$C$272,0),MATCH("Latest year",'WB Physician Data'!$C$8:$BO$8,0))</f>
        <v>2015</v>
      </c>
      <c r="G38" s="138">
        <f>INDEX('WB CHWs Data'!$C$10:$BP$274,MATCH($C38,'WB CHWs Data'!$C$10:$C$274,0),MATCH("Value",'WB CHWs Data'!$C$10:$BP$10,0))</f>
        <v>0.4</v>
      </c>
      <c r="H38" s="138" t="str">
        <f>'WB CHWs Data'!BO40</f>
        <v>No reported value</v>
      </c>
      <c r="I38" s="84">
        <f>'WB Nurses &amp; Midwives data'!BN38</f>
        <v>6.6012000000000004</v>
      </c>
      <c r="J38" s="84">
        <f>'WB Nurses &amp; Midwives data'!BO38</f>
        <v>2015</v>
      </c>
      <c r="K38" s="84">
        <f>IFERROR(INDEX('WHO Labs Data'!$C$7:$I$126,MATCH('HCW Summary Data'!$C38,'WHO Labs Data'!$C$7:$C$126,0),7),'WHO Labs Data'!$M$7)</f>
        <v>0.32636923550337793</v>
      </c>
      <c r="M38" s="78">
        <f>INDEX('Tabular Pop Data by Age'!$AN$8:$AN$271,MATCH($B38,'Tabular Pop Data by Age'!$B$8:$B$271,0))</f>
        <v>437000</v>
      </c>
      <c r="N38" s="79">
        <f t="shared" si="1"/>
        <v>773.53369999999995</v>
      </c>
      <c r="O38" s="78">
        <f t="shared" si="0"/>
        <v>174.8</v>
      </c>
      <c r="P38" s="78">
        <f t="shared" si="2"/>
        <v>2884.7244000000001</v>
      </c>
      <c r="Q38" s="79">
        <f t="shared" si="3"/>
        <v>142.62335591497614</v>
      </c>
    </row>
    <row r="39" spans="2:17" x14ac:dyDescent="0.25">
      <c r="B39" s="138" t="s">
        <v>241</v>
      </c>
      <c r="C39" s="138" t="s">
        <v>21</v>
      </c>
      <c r="D39" s="138" t="s">
        <v>561</v>
      </c>
      <c r="E39" s="138">
        <f>INDEX('WB Physician Data'!$C$9:$BO$272,MATCH($C39,'WB Physician Data'!$C$9:$C$272,0),MATCH("Latest value",'WB Physician Data'!$C$8:$BO$8,0))</f>
        <v>0.3715</v>
      </c>
      <c r="F39" s="138">
        <f>INDEX('WB Physician Data'!$C$9:$BO$272,MATCH($C39,'WB Physician Data'!$C$9:$C$272,0),MATCH("Latest year",'WB Physician Data'!$C$8:$BO$8,0))</f>
        <v>2017</v>
      </c>
      <c r="G39" s="138">
        <f>INDEX('WB CHWs Data'!$C$10:$BP$274,MATCH($C39,'WB CHWs Data'!$C$10:$C$274,0),MATCH("Value",'WB CHWs Data'!$C$10:$BP$10,0))</f>
        <v>6.9000000000000006E-2</v>
      </c>
      <c r="H39" s="138">
        <f>'WB CHWs Data'!BO41</f>
        <v>2016</v>
      </c>
      <c r="I39" s="84">
        <f>'WB Nurses &amp; Midwives data'!BN39</f>
        <v>1.5094000000000001</v>
      </c>
      <c r="J39" s="84">
        <f>'WB Nurses &amp; Midwives data'!BO39</f>
        <v>2017</v>
      </c>
      <c r="K39" s="84">
        <f>IFERROR(INDEX('WHO Labs Data'!$C$7:$I$126,MATCH('HCW Summary Data'!$C39,'WHO Labs Data'!$C$7:$C$126,0),7),'WHO Labs Data'!$M$7)</f>
        <v>0.40827472116692343</v>
      </c>
      <c r="M39" s="78">
        <f>INDEX('Tabular Pop Data by Age'!$AN$8:$AN$271,MATCH($B39,'Tabular Pop Data by Age'!$B$8:$B$271,0))</f>
        <v>772000</v>
      </c>
      <c r="N39" s="79">
        <f t="shared" si="1"/>
        <v>286.798</v>
      </c>
      <c r="O39" s="78">
        <f t="shared" si="0"/>
        <v>53.268000000000008</v>
      </c>
      <c r="P39" s="78">
        <f t="shared" si="2"/>
        <v>1165.2568000000001</v>
      </c>
      <c r="Q39" s="79">
        <f t="shared" si="3"/>
        <v>315.18808474086489</v>
      </c>
    </row>
    <row r="40" spans="2:17" x14ac:dyDescent="0.25">
      <c r="B40" s="138" t="s">
        <v>184</v>
      </c>
      <c r="C40" s="138" t="s">
        <v>22</v>
      </c>
      <c r="D40" s="138" t="s">
        <v>664</v>
      </c>
      <c r="E40" s="138">
        <f>INDEX('WB Physician Data'!$C$9:$BO$272,MATCH($C40,'WB Physician Data'!$C$9:$C$272,0),MATCH("Latest value",'WB Physician Data'!$C$8:$BO$8,0))</f>
        <v>0.36880000000000002</v>
      </c>
      <c r="F40" s="138">
        <f>INDEX('WB Physician Data'!$C$9:$BO$272,MATCH($C40,'WB Physician Data'!$C$9:$C$272,0),MATCH("Latest year",'WB Physician Data'!$C$8:$BO$8,0))</f>
        <v>2016</v>
      </c>
      <c r="G40" s="138">
        <f>INDEX('WB CHWs Data'!$C$10:$BP$274,MATCH($C40,'WB CHWs Data'!$C$10:$C$274,0),MATCH("Value",'WB CHWs Data'!$C$10:$BP$10,0))</f>
        <v>8.3000000000000004E-2</v>
      </c>
      <c r="H40" s="138">
        <f>'WB CHWs Data'!BO42</f>
        <v>2009</v>
      </c>
      <c r="I40" s="84">
        <f>'WB Nurses &amp; Midwives data'!BN40</f>
        <v>3.3003999999999998</v>
      </c>
      <c r="J40" s="84">
        <f>'WB Nurses &amp; Midwives data'!BO40</f>
        <v>2016</v>
      </c>
      <c r="K40" s="84">
        <f>IFERROR(INDEX('WHO Labs Data'!$C$7:$I$126,MATCH('HCW Summary Data'!$C40,'WHO Labs Data'!$C$7:$C$126,0),7),'WHO Labs Data'!$M$7)</f>
        <v>0.14063100288093922</v>
      </c>
      <c r="M40" s="78">
        <f>INDEX('Tabular Pop Data by Age'!$AN$8:$AN$271,MATCH($B40,'Tabular Pop Data by Age'!$B$8:$B$271,0))</f>
        <v>2352000</v>
      </c>
      <c r="N40" s="79">
        <f t="shared" si="1"/>
        <v>867.41759999999999</v>
      </c>
      <c r="O40" s="78">
        <f t="shared" si="0"/>
        <v>195.21600000000001</v>
      </c>
      <c r="P40" s="78">
        <f t="shared" si="2"/>
        <v>7762.5407999999998</v>
      </c>
      <c r="Q40" s="79">
        <f t="shared" si="3"/>
        <v>330.76411877596905</v>
      </c>
    </row>
    <row r="41" spans="2:17" x14ac:dyDescent="0.25">
      <c r="B41" s="138" t="s">
        <v>188</v>
      </c>
      <c r="C41" s="138" t="s">
        <v>173</v>
      </c>
      <c r="D41" s="138" t="s">
        <v>559</v>
      </c>
      <c r="E41" s="138">
        <f>INDEX('WB Physician Data'!$C$9:$BO$272,MATCH($C41,'WB Physician Data'!$C$9:$C$272,0),MATCH("Latest value",'WB Physician Data'!$C$8:$BO$8,0))</f>
        <v>6.2899999999999998E-2</v>
      </c>
      <c r="F41" s="138">
        <f>INDEX('WB Physician Data'!$C$9:$BO$272,MATCH($C41,'WB Physician Data'!$C$9:$C$272,0),MATCH("Latest year",'WB Physician Data'!$C$8:$BO$8,0))</f>
        <v>2015</v>
      </c>
      <c r="G41" s="138">
        <f>INDEX('WB CHWs Data'!$C$10:$BP$274,MATCH($C41,'WB CHWs Data'!$C$10:$C$274,0),MATCH("Value",'WB CHWs Data'!$C$10:$BP$10,0))</f>
        <v>0.39300000000000002</v>
      </c>
      <c r="H41" s="138">
        <f>'WB CHWs Data'!BO43</f>
        <v>2009</v>
      </c>
      <c r="I41" s="84">
        <f>'WB Nurses &amp; Midwives data'!BN41</f>
        <v>0.2039</v>
      </c>
      <c r="J41" s="84">
        <f>'WB Nurses &amp; Midwives data'!BO41</f>
        <v>2015</v>
      </c>
      <c r="K41" s="84">
        <f>IFERROR(INDEX('WHO Labs Data'!$C$7:$I$126,MATCH('HCW Summary Data'!$C41,'WHO Labs Data'!$C$7:$C$126,0),7),'WHO Labs Data'!$M$7)</f>
        <v>8.5719606452714821E-3</v>
      </c>
      <c r="M41" s="78">
        <f>INDEX('Tabular Pop Data by Age'!$AN$8:$AN$271,MATCH($B41,'Tabular Pop Data by Age'!$B$8:$B$271,0))</f>
        <v>4830000</v>
      </c>
      <c r="N41" s="79">
        <f t="shared" si="1"/>
        <v>303.80700000000002</v>
      </c>
      <c r="O41" s="78">
        <f t="shared" si="0"/>
        <v>1898.19</v>
      </c>
      <c r="P41" s="78">
        <f t="shared" si="2"/>
        <v>984.83699999999999</v>
      </c>
      <c r="Q41" s="79">
        <f t="shared" si="3"/>
        <v>41.402569916661257</v>
      </c>
    </row>
    <row r="42" spans="2:17" x14ac:dyDescent="0.25">
      <c r="B42" s="138" t="s">
        <v>449</v>
      </c>
      <c r="C42" s="138" t="s">
        <v>159</v>
      </c>
      <c r="D42" s="138" t="s">
        <v>517</v>
      </c>
      <c r="E42" s="138">
        <f>INDEX('WB Physician Data'!$C$9:$BO$272,MATCH($C42,'WB Physician Data'!$C$9:$C$272,0),MATCH("Latest value",'WB Physician Data'!$C$8:$BO$8,0))</f>
        <v>2.6101999999999999</v>
      </c>
      <c r="F42" s="138">
        <f>INDEX('WB Physician Data'!$C$9:$BO$272,MATCH($C42,'WB Physician Data'!$C$9:$C$272,0),MATCH("Latest year",'WB Physician Data'!$C$8:$BO$8,0))</f>
        <v>2017</v>
      </c>
      <c r="G42" s="138">
        <f>INDEX('WB CHWs Data'!$C$10:$BP$274,MATCH($C42,'WB CHWs Data'!$C$10:$C$274,0),MATCH("Value",'WB CHWs Data'!$C$10:$BP$10,0))</f>
        <v>0.4</v>
      </c>
      <c r="H42" s="138" t="str">
        <f>'WB CHWs Data'!BO44</f>
        <v>No reported value</v>
      </c>
      <c r="I42" s="84">
        <f>'WB Nurses &amp; Midwives data'!BN42</f>
        <v>9.9055999999999997</v>
      </c>
      <c r="J42" s="84">
        <f>'WB Nurses &amp; Midwives data'!BO42</f>
        <v>2016</v>
      </c>
      <c r="K42" s="84">
        <f>IFERROR(INDEX('WHO Labs Data'!$C$7:$I$126,MATCH('HCW Summary Data'!$C42,'WHO Labs Data'!$C$7:$C$126,0),7),'WHO Labs Data'!$M$7)</f>
        <v>0.53657889493404753</v>
      </c>
      <c r="M42" s="78">
        <f>INDEX('Tabular Pop Data by Age'!$AN$8:$AN$271,MATCH($B42,'Tabular Pop Data by Age'!$B$8:$B$271,0))</f>
        <v>37684000</v>
      </c>
      <c r="N42" s="79">
        <f t="shared" si="1"/>
        <v>98362.776799999992</v>
      </c>
      <c r="O42" s="78">
        <f t="shared" si="0"/>
        <v>15073.6</v>
      </c>
      <c r="P42" s="78">
        <f t="shared" si="2"/>
        <v>373282.63039999997</v>
      </c>
      <c r="Q42" s="79">
        <f t="shared" si="3"/>
        <v>20220.439076694649</v>
      </c>
    </row>
    <row r="43" spans="2:17" x14ac:dyDescent="0.25">
      <c r="B43" s="138" t="s">
        <v>454</v>
      </c>
      <c r="C43" s="138" t="s">
        <v>455</v>
      </c>
      <c r="D43" s="138" t="s">
        <v>1182</v>
      </c>
      <c r="E43" s="138">
        <f>INDEX('WB Physician Data'!$C$9:$BO$272,MATCH($C43,'WB Physician Data'!$C$9:$C$272,0),MATCH("Latest value",'WB Physician Data'!$C$8:$BO$8,0))</f>
        <v>2.8807160689176738</v>
      </c>
      <c r="F43" s="138">
        <f>INDEX('WB Physician Data'!$C$9:$BO$272,MATCH($C43,'WB Physician Data'!$C$9:$C$272,0),MATCH("Latest year",'WB Physician Data'!$C$8:$BO$8,0))</f>
        <v>2015</v>
      </c>
      <c r="G43" s="138">
        <f>INDEX('WB CHWs Data'!$C$10:$BP$274,MATCH($C43,'WB CHWs Data'!$C$10:$C$274,0),MATCH("Value",'WB CHWs Data'!$C$10:$BP$10,0))</f>
        <v>0.4</v>
      </c>
      <c r="H43" s="138" t="str">
        <f>'WB CHWs Data'!BO45</f>
        <v>No reported value</v>
      </c>
      <c r="I43" s="84">
        <f>'WB Nurses &amp; Midwives data'!BN43</f>
        <v>6.538384862419675</v>
      </c>
      <c r="J43" s="84">
        <f>'WB Nurses &amp; Midwives data'!BO43</f>
        <v>2015</v>
      </c>
      <c r="K43" s="84">
        <f>IFERROR(INDEX('WHO Labs Data'!$C$7:$I$126,MATCH('HCW Summary Data'!$C43,'WHO Labs Data'!$C$7:$C$126,0),7),'WHO Labs Data'!$M$7)</f>
        <v>0.2276050738661016</v>
      </c>
      <c r="M43" s="78">
        <f>INDEX('Tabular Pop Data by Age'!$AN$8:$AN$271,MATCH($B43,'Tabular Pop Data by Age'!$B$8:$B$271,0))</f>
        <v>101847000</v>
      </c>
      <c r="N43" s="79">
        <f t="shared" si="1"/>
        <v>293392.28947105835</v>
      </c>
      <c r="O43" s="78">
        <f t="shared" si="0"/>
        <v>40738.800000000003</v>
      </c>
      <c r="P43" s="78">
        <f t="shared" si="2"/>
        <v>665914.88308285666</v>
      </c>
      <c r="Q43" s="79">
        <f t="shared" si="3"/>
        <v>23180.893958040848</v>
      </c>
    </row>
    <row r="44" spans="2:17" x14ac:dyDescent="0.25">
      <c r="B44" s="138" t="s">
        <v>651</v>
      </c>
      <c r="C44" s="138" t="s">
        <v>23</v>
      </c>
      <c r="D44" s="138" t="s">
        <v>559</v>
      </c>
      <c r="E44" s="138">
        <f>INDEX('WB Physician Data'!$C$9:$BO$272,MATCH($C44,'WB Physician Data'!$C$9:$C$272,0),MATCH("Latest value",'WB Physician Data'!$C$8:$BO$8,0))</f>
        <v>4.2363</v>
      </c>
      <c r="F44" s="138">
        <f>INDEX('WB Physician Data'!$C$9:$BO$272,MATCH($C44,'WB Physician Data'!$C$9:$C$272,0),MATCH("Latest year",'WB Physician Data'!$C$8:$BO$8,0))</f>
        <v>2016</v>
      </c>
      <c r="G44" s="138">
        <f>INDEX('WB CHWs Data'!$C$10:$BP$274,MATCH($C44,'WB CHWs Data'!$C$10:$C$274,0),MATCH("Value",'WB CHWs Data'!$C$10:$BP$10,0))</f>
        <v>0.4</v>
      </c>
      <c r="H44" s="138" t="str">
        <f>'WB CHWs Data'!BO46</f>
        <v>No reported value</v>
      </c>
      <c r="I44" s="84">
        <f>'WB Nurses &amp; Midwives data'!BN44</f>
        <v>17.282800000000002</v>
      </c>
      <c r="J44" s="84">
        <f>'WB Nurses &amp; Midwives data'!BO44</f>
        <v>2016</v>
      </c>
      <c r="K44" s="84">
        <f>IFERROR(INDEX('WHO Labs Data'!$C$7:$I$126,MATCH('HCW Summary Data'!$C44,'WHO Labs Data'!$C$7:$C$126,0),7),'WHO Labs Data'!$M$7)</f>
        <v>0.2276050738661016</v>
      </c>
      <c r="M44" s="78">
        <f>INDEX('Tabular Pop Data by Age'!$AN$8:$AN$271,MATCH($B44,'Tabular Pop Data by Age'!$B$8:$B$271,0))</f>
        <v>8641000</v>
      </c>
      <c r="N44" s="79">
        <f t="shared" si="1"/>
        <v>36605.868300000002</v>
      </c>
      <c r="O44" s="78">
        <f t="shared" si="0"/>
        <v>3456.4</v>
      </c>
      <c r="P44" s="78">
        <f t="shared" si="2"/>
        <v>149340.67480000001</v>
      </c>
      <c r="Q44" s="79">
        <f t="shared" si="3"/>
        <v>1966.7354432769839</v>
      </c>
    </row>
    <row r="45" spans="2:17" x14ac:dyDescent="0.25">
      <c r="B45" s="138" t="s">
        <v>456</v>
      </c>
      <c r="C45" s="138" t="s">
        <v>457</v>
      </c>
      <c r="D45" s="138" t="s">
        <v>517</v>
      </c>
      <c r="E45" s="138">
        <f>INDEX('WB Physician Data'!$C$9:$BO$272,MATCH($C45,'WB Physician Data'!$C$9:$C$272,0),MATCH("Latest value",'WB Physician Data'!$C$8:$BO$8,0))</f>
        <v>1.522</v>
      </c>
      <c r="F45" s="138">
        <f>INDEX('WB Physician Data'!$C$9:$BO$272,MATCH($C45,'WB Physician Data'!$C$9:$C$272,0),MATCH("Latest year",'WB Physician Data'!$C$8:$BO$8,0))</f>
        <v>1981</v>
      </c>
      <c r="G45" s="138">
        <f>INDEX('WB CHWs Data'!$C$10:$BP$274,MATCH($C45,'WB CHWs Data'!$C$10:$C$274,0),MATCH("Value",'WB CHWs Data'!$C$10:$BP$10,0))</f>
        <v>0.4</v>
      </c>
      <c r="H45" s="138" t="str">
        <f>'WB CHWs Data'!BO47</f>
        <v>No reported value</v>
      </c>
      <c r="I45" s="84" t="str">
        <f>'WB Nurses &amp; Midwives data'!BN45</f>
        <v>No reported value</v>
      </c>
      <c r="J45" s="84" t="str">
        <f>'WB Nurses &amp; Midwives data'!BO45</f>
        <v>No reported value</v>
      </c>
      <c r="K45" s="84">
        <f>IFERROR(INDEX('WHO Labs Data'!$C$7:$I$126,MATCH('HCW Summary Data'!$C45,'WHO Labs Data'!$C$7:$C$126,0),7),'WHO Labs Data'!$M$7)</f>
        <v>0.2276050738661016</v>
      </c>
      <c r="M45" s="78">
        <f>INDEX('Tabular Pop Data by Age'!$AN$8:$AN$271,MATCH($B45,'Tabular Pop Data by Age'!$B$8:$B$271,0))</f>
        <v>174000</v>
      </c>
      <c r="N45" s="79">
        <f t="shared" si="1"/>
        <v>264.82800000000003</v>
      </c>
      <c r="O45" s="78">
        <f t="shared" si="0"/>
        <v>69.600000000000009</v>
      </c>
      <c r="P45" s="78">
        <f t="shared" si="2"/>
        <v>0</v>
      </c>
      <c r="Q45" s="79">
        <f t="shared" si="3"/>
        <v>39.603282852701675</v>
      </c>
    </row>
    <row r="46" spans="2:17" x14ac:dyDescent="0.25">
      <c r="B46" s="138" t="s">
        <v>220</v>
      </c>
      <c r="C46" s="138" t="s">
        <v>24</v>
      </c>
      <c r="D46" s="138" t="s">
        <v>664</v>
      </c>
      <c r="E46" s="138">
        <f>INDEX('WB Physician Data'!$C$9:$BO$272,MATCH($C46,'WB Physician Data'!$C$9:$C$272,0),MATCH("Latest value",'WB Physician Data'!$C$8:$BO$8,0))</f>
        <v>1.08</v>
      </c>
      <c r="F46" s="138">
        <f>INDEX('WB Physician Data'!$C$9:$BO$272,MATCH($C46,'WB Physician Data'!$C$9:$C$272,0),MATCH("Latest year",'WB Physician Data'!$C$8:$BO$8,0))</f>
        <v>1995</v>
      </c>
      <c r="G46" s="138">
        <f>INDEX('WB CHWs Data'!$C$10:$BP$274,MATCH($C46,'WB CHWs Data'!$C$10:$C$274,0),MATCH("Value",'WB CHWs Data'!$C$10:$BP$10,0))</f>
        <v>2.1000000000000001E-2</v>
      </c>
      <c r="H46" s="138">
        <f>'WB CHWs Data'!BO48</f>
        <v>1992</v>
      </c>
      <c r="I46" s="84">
        <f>'WB Nurses &amp; Midwives data'!BN46</f>
        <v>0.86</v>
      </c>
      <c r="J46" s="84">
        <f>'WB Nurses &amp; Midwives data'!BO46</f>
        <v>2016</v>
      </c>
      <c r="K46" s="84">
        <f>IFERROR(INDEX('WHO Labs Data'!$C$7:$I$126,MATCH('HCW Summary Data'!$C46,'WHO Labs Data'!$C$7:$C$126,0),7),'WHO Labs Data'!$M$7)</f>
        <v>1.5483876479244132E-3</v>
      </c>
      <c r="M46" s="78">
        <f>INDEX('Tabular Pop Data by Age'!$AN$8:$AN$271,MATCH($B46,'Tabular Pop Data by Age'!$B$8:$B$271,0))</f>
        <v>19116000</v>
      </c>
      <c r="N46" s="79">
        <f t="shared" si="1"/>
        <v>20645.280000000002</v>
      </c>
      <c r="O46" s="78">
        <f t="shared" si="0"/>
        <v>401.43600000000004</v>
      </c>
      <c r="P46" s="78">
        <f t="shared" si="2"/>
        <v>16439.759999999998</v>
      </c>
      <c r="Q46" s="79">
        <f t="shared" si="3"/>
        <v>29.598978277723081</v>
      </c>
    </row>
    <row r="47" spans="2:17" x14ac:dyDescent="0.25">
      <c r="B47" s="138" t="s">
        <v>458</v>
      </c>
      <c r="C47" s="138" t="s">
        <v>25</v>
      </c>
      <c r="D47" s="138" t="s">
        <v>664</v>
      </c>
      <c r="E47" s="138">
        <f>INDEX('WB Physician Data'!$C$9:$BO$272,MATCH($C47,'WB Physician Data'!$C$9:$C$272,0),MATCH("Latest value",'WB Physician Data'!$C$8:$BO$8,0))</f>
        <v>1.7855000000000001</v>
      </c>
      <c r="F47" s="138">
        <f>INDEX('WB Physician Data'!$C$9:$BO$272,MATCH($C47,'WB Physician Data'!$C$9:$C$272,0),MATCH("Latest year",'WB Physician Data'!$C$8:$BO$8,0))</f>
        <v>2015</v>
      </c>
      <c r="G47" s="138">
        <f>INDEX('WB CHWs Data'!$C$10:$BP$274,MATCH($C47,'WB CHWs Data'!$C$10:$C$274,0),MATCH("Value",'WB CHWs Data'!$C$10:$BP$10,0))</f>
        <v>0.83099999999999996</v>
      </c>
      <c r="H47" s="138">
        <f>'WB CHWs Data'!BO49</f>
        <v>2011</v>
      </c>
      <c r="I47" s="84">
        <f>'WB Nurses &amp; Midwives data'!BN47</f>
        <v>2.3073000000000001</v>
      </c>
      <c r="J47" s="84">
        <f>'WB Nurses &amp; Midwives data'!BO47</f>
        <v>2015</v>
      </c>
      <c r="K47" s="84">
        <f>IFERROR(INDEX('WHO Labs Data'!$C$7:$I$126,MATCH('HCW Summary Data'!$C47,'WHO Labs Data'!$C$7:$C$126,0),7),'WHO Labs Data'!$M$7)</f>
        <v>0.16555398390212028</v>
      </c>
      <c r="M47" s="78">
        <f>INDEX('Tabular Pop Data by Age'!$AN$8:$AN$271,MATCH($B47,'Tabular Pop Data by Age'!$B$8:$B$271,0))</f>
        <v>1401379000</v>
      </c>
      <c r="N47" s="79">
        <f t="shared" si="1"/>
        <v>2502162.2045</v>
      </c>
      <c r="O47" s="78">
        <f t="shared" si="0"/>
        <v>1164545.949</v>
      </c>
      <c r="P47" s="78">
        <f t="shared" si="2"/>
        <v>3233401.7667</v>
      </c>
      <c r="Q47" s="79">
        <f t="shared" si="3"/>
        <v>232003.87640676941</v>
      </c>
    </row>
    <row r="48" spans="2:17" x14ac:dyDescent="0.25">
      <c r="B48" s="138" t="s">
        <v>464</v>
      </c>
      <c r="C48" s="138" t="s">
        <v>26</v>
      </c>
      <c r="D48" s="138" t="s">
        <v>517</v>
      </c>
      <c r="E48" s="138">
        <f>INDEX('WB Physician Data'!$C$9:$BO$272,MATCH($C48,'WB Physician Data'!$C$9:$C$272,0),MATCH("Latest value",'WB Physician Data'!$C$8:$BO$8,0))</f>
        <v>0.2326</v>
      </c>
      <c r="F48" s="138">
        <f>INDEX('WB Physician Data'!$C$9:$BO$272,MATCH($C48,'WB Physician Data'!$C$9:$C$272,0),MATCH("Latest year",'WB Physician Data'!$C$8:$BO$8,0))</f>
        <v>2014</v>
      </c>
      <c r="G48" s="138">
        <f>INDEX('WB CHWs Data'!$C$10:$BP$274,MATCH($C48,'WB CHWs Data'!$C$10:$C$274,0),MATCH("Value",'WB CHWs Data'!$C$10:$BP$10,0))</f>
        <v>0.4</v>
      </c>
      <c r="H48" s="138" t="str">
        <f>'WB CHWs Data'!BO50</f>
        <v>No reported value</v>
      </c>
      <c r="I48" s="84">
        <f>'WB Nurses &amp; Midwives data'!BN48</f>
        <v>0.85170000000000001</v>
      </c>
      <c r="J48" s="84">
        <f>'WB Nurses &amp; Midwives data'!BO48</f>
        <v>2014</v>
      </c>
      <c r="K48" s="84">
        <f>IFERROR(INDEX('WHO Labs Data'!$C$7:$I$126,MATCH('HCW Summary Data'!$C48,'WHO Labs Data'!$C$7:$C$126,0),7),'WHO Labs Data'!$M$7)</f>
        <v>0</v>
      </c>
      <c r="M48" s="78">
        <f>INDEX('Tabular Pop Data by Age'!$AN$8:$AN$271,MATCH($B48,'Tabular Pop Data by Age'!$B$8:$B$271,0))</f>
        <v>26378000</v>
      </c>
      <c r="N48" s="79">
        <f t="shared" si="1"/>
        <v>6135.5227999999997</v>
      </c>
      <c r="O48" s="78">
        <f t="shared" si="0"/>
        <v>10551.2</v>
      </c>
      <c r="P48" s="78">
        <f t="shared" si="2"/>
        <v>22466.142599999999</v>
      </c>
      <c r="Q48" s="79">
        <f t="shared" si="3"/>
        <v>0</v>
      </c>
    </row>
    <row r="49" spans="2:17" x14ac:dyDescent="0.25">
      <c r="B49" s="138" t="s">
        <v>187</v>
      </c>
      <c r="C49" s="138" t="s">
        <v>27</v>
      </c>
      <c r="D49" s="138" t="s">
        <v>517</v>
      </c>
      <c r="E49" s="138">
        <f>INDEX('WB Physician Data'!$C$9:$BO$272,MATCH($C49,'WB Physician Data'!$C$9:$C$272,0),MATCH("Latest value",'WB Physician Data'!$C$8:$BO$8,0))</f>
        <v>8.9800000000000005E-2</v>
      </c>
      <c r="F49" s="138">
        <f>INDEX('WB Physician Data'!$C$9:$BO$272,MATCH($C49,'WB Physician Data'!$C$9:$C$272,0),MATCH("Latest year",'WB Physician Data'!$C$8:$BO$8,0))</f>
        <v>2011</v>
      </c>
      <c r="G49" s="138">
        <f>INDEX('WB CHWs Data'!$C$10:$BP$274,MATCH($C49,'WB CHWs Data'!$C$10:$C$274,0),MATCH("Value",'WB CHWs Data'!$C$10:$BP$10,0))</f>
        <v>0.4</v>
      </c>
      <c r="H49" s="138" t="str">
        <f>'WB CHWs Data'!BO51</f>
        <v>No reported value</v>
      </c>
      <c r="I49" s="84">
        <f>'WB Nurses &amp; Midwives data'!BN49</f>
        <v>0.93369999999999997</v>
      </c>
      <c r="J49" s="84">
        <f>'WB Nurses &amp; Midwives data'!BO49</f>
        <v>2011</v>
      </c>
      <c r="K49" s="84">
        <f>IFERROR(INDEX('WHO Labs Data'!$C$7:$I$126,MATCH('HCW Summary Data'!$C49,'WHO Labs Data'!$C$7:$C$126,0),7),'WHO Labs Data'!$M$7)</f>
        <v>7.110497890704312E-2</v>
      </c>
      <c r="M49" s="78">
        <f>INDEX('Tabular Pop Data by Age'!$AN$8:$AN$271,MATCH($B49,'Tabular Pop Data by Age'!$B$8:$B$271,0))</f>
        <v>26546000</v>
      </c>
      <c r="N49" s="79">
        <f t="shared" si="1"/>
        <v>2383.8308000000002</v>
      </c>
      <c r="O49" s="78">
        <f t="shared" si="0"/>
        <v>10618.400000000001</v>
      </c>
      <c r="P49" s="78">
        <f t="shared" si="2"/>
        <v>24786.000199999999</v>
      </c>
      <c r="Q49" s="79">
        <f t="shared" si="3"/>
        <v>1887.5527700663667</v>
      </c>
    </row>
    <row r="50" spans="2:17" x14ac:dyDescent="0.25">
      <c r="B50" s="138" t="s">
        <v>461</v>
      </c>
      <c r="C50" s="138" t="s">
        <v>28</v>
      </c>
      <c r="D50" s="138" t="s">
        <v>561</v>
      </c>
      <c r="E50" s="138">
        <f>INDEX('WB Physician Data'!$C$9:$BO$272,MATCH($C50,'WB Physician Data'!$C$9:$C$272,0),MATCH("Latest value",'WB Physician Data'!$C$8:$BO$8,0))</f>
        <v>0.09</v>
      </c>
      <c r="F50" s="138">
        <f>INDEX('WB Physician Data'!$C$9:$BO$272,MATCH($C50,'WB Physician Data'!$C$9:$C$272,0),MATCH("Latest year",'WB Physician Data'!$C$8:$BO$8,0))</f>
        <v>2013</v>
      </c>
      <c r="G50" s="138">
        <f>INDEX('WB CHWs Data'!$C$10:$BP$274,MATCH($C50,'WB CHWs Data'!$C$10:$C$274,0),MATCH("Value",'WB CHWs Data'!$C$10:$BP$10,0))</f>
        <v>0.4</v>
      </c>
      <c r="H50" s="138" t="str">
        <f>'WB CHWs Data'!BO52</f>
        <v>No reported value</v>
      </c>
      <c r="I50" s="84">
        <f>'WB Nurses &amp; Midwives data'!BN50</f>
        <v>0.47</v>
      </c>
      <c r="J50" s="84">
        <f>'WB Nurses &amp; Midwives data'!BO50</f>
        <v>2013</v>
      </c>
      <c r="K50" s="84">
        <f>IFERROR(INDEX('WHO Labs Data'!$C$7:$I$126,MATCH('HCW Summary Data'!$C50,'WHO Labs Data'!$C$7:$C$126,0),7),'WHO Labs Data'!$M$7)</f>
        <v>2.5289024345753253E-2</v>
      </c>
      <c r="M50" s="78">
        <f>INDEX('Tabular Pop Data by Age'!$AN$8:$AN$271,MATCH($B50,'Tabular Pop Data by Age'!$B$8:$B$271,0))</f>
        <v>89561000</v>
      </c>
      <c r="N50" s="79">
        <f t="shared" si="1"/>
        <v>8060.49</v>
      </c>
      <c r="O50" s="78">
        <f t="shared" si="0"/>
        <v>35824.400000000001</v>
      </c>
      <c r="P50" s="78">
        <f t="shared" si="2"/>
        <v>42093.67</v>
      </c>
      <c r="Q50" s="79">
        <f t="shared" si="3"/>
        <v>2264.9103094300071</v>
      </c>
    </row>
    <row r="51" spans="2:17" x14ac:dyDescent="0.25">
      <c r="B51" s="138" t="s">
        <v>462</v>
      </c>
      <c r="C51" s="138" t="s">
        <v>29</v>
      </c>
      <c r="D51" s="138" t="s">
        <v>664</v>
      </c>
      <c r="E51" s="138">
        <f>INDEX('WB Physician Data'!$C$9:$BO$272,MATCH($C51,'WB Physician Data'!$C$9:$C$272,0),MATCH("Latest value",'WB Physician Data'!$C$8:$BO$8,0))</f>
        <v>0.1159</v>
      </c>
      <c r="F51" s="138">
        <f>INDEX('WB Physician Data'!$C$9:$BO$272,MATCH($C51,'WB Physician Data'!$C$9:$C$272,0),MATCH("Latest year",'WB Physician Data'!$C$8:$BO$8,0))</f>
        <v>2011</v>
      </c>
      <c r="G51" s="138">
        <f>INDEX('WB CHWs Data'!$C$10:$BP$274,MATCH($C51,'WB CHWs Data'!$C$10:$C$274,0),MATCH("Value",'WB CHWs Data'!$C$10:$BP$10,0))</f>
        <v>0.4</v>
      </c>
      <c r="H51" s="138" t="str">
        <f>'WB CHWs Data'!BO53</f>
        <v>No reported value</v>
      </c>
      <c r="I51" s="84">
        <f>'WB Nurses &amp; Midwives data'!BN51</f>
        <v>1.7431000000000001</v>
      </c>
      <c r="J51" s="84">
        <f>'WB Nurses &amp; Midwives data'!BO51</f>
        <v>2011</v>
      </c>
      <c r="K51" s="84">
        <f>IFERROR(INDEX('WHO Labs Data'!$C$7:$I$126,MATCH('HCW Summary Data'!$C51,'WHO Labs Data'!$C$7:$C$126,0),7),'WHO Labs Data'!$M$7)</f>
        <v>6.3687429722160724E-2</v>
      </c>
      <c r="M51" s="78">
        <f>INDEX('Tabular Pop Data by Age'!$AN$8:$AN$271,MATCH($B51,'Tabular Pop Data by Age'!$B$8:$B$271,0))</f>
        <v>5518000</v>
      </c>
      <c r="N51" s="79">
        <f t="shared" si="1"/>
        <v>639.53620000000001</v>
      </c>
      <c r="O51" s="78">
        <f t="shared" si="0"/>
        <v>2207.2000000000003</v>
      </c>
      <c r="P51" s="78">
        <f t="shared" si="2"/>
        <v>9618.4258000000009</v>
      </c>
      <c r="Q51" s="79">
        <f t="shared" si="3"/>
        <v>351.42723720688286</v>
      </c>
    </row>
    <row r="52" spans="2:17" x14ac:dyDescent="0.25">
      <c r="B52" s="138" t="s">
        <v>459</v>
      </c>
      <c r="C52" s="138" t="s">
        <v>460</v>
      </c>
      <c r="D52" s="138" t="s">
        <v>561</v>
      </c>
      <c r="E52" s="138">
        <f>INDEX('WB Physician Data'!$C$9:$BO$272,MATCH($C52,'WB Physician Data'!$C$9:$C$272,0),MATCH("Latest value",'WB Physician Data'!$C$8:$BO$8,0))</f>
        <v>2.0834999999999999</v>
      </c>
      <c r="F52" s="138">
        <f>INDEX('WB Physician Data'!$C$9:$BO$272,MATCH($C52,'WB Physician Data'!$C$9:$C$272,0),MATCH("Latest year",'WB Physician Data'!$C$8:$BO$8,0))</f>
        <v>2017</v>
      </c>
      <c r="G52" s="138">
        <f>INDEX('WB CHWs Data'!$C$10:$BP$274,MATCH($C52,'WB CHWs Data'!$C$10:$C$274,0),MATCH("Value",'WB CHWs Data'!$C$10:$BP$10,0))</f>
        <v>0.4</v>
      </c>
      <c r="H52" s="138" t="str">
        <f>'WB CHWs Data'!BO54</f>
        <v>No reported value</v>
      </c>
      <c r="I52" s="84">
        <f>'WB Nurses &amp; Midwives data'!BN52</f>
        <v>1.2626999999999999</v>
      </c>
      <c r="J52" s="84">
        <f>'WB Nurses &amp; Midwives data'!BO52</f>
        <v>2017</v>
      </c>
      <c r="K52" s="84">
        <f>IFERROR(INDEX('WHO Labs Data'!$C$7:$I$126,MATCH('HCW Summary Data'!$C52,'WHO Labs Data'!$C$7:$C$126,0),7),'WHO Labs Data'!$M$7)</f>
        <v>0.2276050738661016</v>
      </c>
      <c r="M52" s="78">
        <f>INDEX('Tabular Pop Data by Age'!$AN$8:$AN$271,MATCH($B52,'Tabular Pop Data by Age'!$B$8:$B$271,0))</f>
        <v>50883000</v>
      </c>
      <c r="N52" s="79">
        <f t="shared" si="1"/>
        <v>106014.73049999999</v>
      </c>
      <c r="O52" s="78">
        <f t="shared" si="0"/>
        <v>20353.2</v>
      </c>
      <c r="P52" s="78">
        <f t="shared" si="2"/>
        <v>64249.964099999997</v>
      </c>
      <c r="Q52" s="79">
        <f t="shared" si="3"/>
        <v>11581.228973528847</v>
      </c>
    </row>
    <row r="53" spans="2:17" x14ac:dyDescent="0.25">
      <c r="B53" s="138" t="s">
        <v>190</v>
      </c>
      <c r="C53" s="138" t="s">
        <v>157</v>
      </c>
      <c r="D53" s="138" t="s">
        <v>559</v>
      </c>
      <c r="E53" s="138">
        <f>INDEX('WB Physician Data'!$C$9:$BO$272,MATCH($C53,'WB Physician Data'!$C$9:$C$272,0),MATCH("Latest value",'WB Physician Data'!$C$8:$BO$8,0))</f>
        <v>0.1699</v>
      </c>
      <c r="F53" s="138">
        <f>INDEX('WB Physician Data'!$C$9:$BO$272,MATCH($C53,'WB Physician Data'!$C$9:$C$272,0),MATCH("Latest year",'WB Physician Data'!$C$8:$BO$8,0))</f>
        <v>2012</v>
      </c>
      <c r="G53" s="138">
        <f>INDEX('WB CHWs Data'!$C$10:$BP$274,MATCH($C53,'WB CHWs Data'!$C$10:$C$274,0),MATCH("Value",'WB CHWs Data'!$C$10:$BP$10,0))</f>
        <v>0.4</v>
      </c>
      <c r="H53" s="138" t="str">
        <f>'WB CHWs Data'!BO55</f>
        <v>No reported value</v>
      </c>
      <c r="I53" s="84">
        <f>'WB Nurses &amp; Midwives data'!BN53</f>
        <v>0.9214</v>
      </c>
      <c r="J53" s="84">
        <f>'WB Nurses &amp; Midwives data'!BO53</f>
        <v>2012</v>
      </c>
      <c r="K53" s="84">
        <f>IFERROR(INDEX('WHO Labs Data'!$C$7:$I$126,MATCH('HCW Summary Data'!$C53,'WHO Labs Data'!$C$7:$C$126,0),7),'WHO Labs Data'!$M$7)</f>
        <v>0.1033253957002218</v>
      </c>
      <c r="M53" s="78">
        <f>INDEX('Tabular Pop Data by Age'!$AN$8:$AN$271,MATCH($B53,'Tabular Pop Data by Age'!$B$8:$B$271,0))</f>
        <v>870000</v>
      </c>
      <c r="N53" s="79">
        <f t="shared" si="1"/>
        <v>147.81299999999999</v>
      </c>
      <c r="O53" s="78">
        <f t="shared" si="0"/>
        <v>348</v>
      </c>
      <c r="P53" s="78">
        <f t="shared" si="2"/>
        <v>801.61800000000005</v>
      </c>
      <c r="Q53" s="79">
        <f t="shared" si="3"/>
        <v>89.893094259192964</v>
      </c>
    </row>
    <row r="54" spans="2:17" x14ac:dyDescent="0.25">
      <c r="B54" s="138" t="s">
        <v>448</v>
      </c>
      <c r="C54" s="138" t="s">
        <v>30</v>
      </c>
      <c r="D54" s="138" t="s">
        <v>561</v>
      </c>
      <c r="E54" s="138">
        <f>INDEX('WB Physician Data'!$C$9:$BO$272,MATCH($C54,'WB Physician Data'!$C$9:$C$272,0),MATCH("Latest value",'WB Physician Data'!$C$8:$BO$8,0))</f>
        <v>0.76939999999999997</v>
      </c>
      <c r="F54" s="138">
        <f>INDEX('WB Physician Data'!$C$9:$BO$272,MATCH($C54,'WB Physician Data'!$C$9:$C$272,0),MATCH("Latest year",'WB Physician Data'!$C$8:$BO$8,0))</f>
        <v>2015</v>
      </c>
      <c r="G54" s="138">
        <f>INDEX('WB CHWs Data'!$C$10:$BP$274,MATCH($C54,'WB CHWs Data'!$C$10:$C$274,0),MATCH("Value",'WB CHWs Data'!$C$10:$BP$10,0))</f>
        <v>0.13900000000000001</v>
      </c>
      <c r="H54" s="138">
        <f>'WB CHWs Data'!BO56</f>
        <v>2004</v>
      </c>
      <c r="I54" s="84">
        <f>'WB Nurses &amp; Midwives data'!BN54</f>
        <v>1.2272000000000001</v>
      </c>
      <c r="J54" s="84">
        <f>'WB Nurses &amp; Midwives data'!BO54</f>
        <v>2015</v>
      </c>
      <c r="K54" s="84">
        <f>IFERROR(INDEX('WHO Labs Data'!$C$7:$I$126,MATCH('HCW Summary Data'!$C54,'WHO Labs Data'!$C$7:$C$126,0),7),'WHO Labs Data'!$M$7)</f>
        <v>0.2276050738661016</v>
      </c>
      <c r="M54" s="78">
        <f>INDEX('Tabular Pop Data by Age'!$AN$8:$AN$271,MATCH($B54,'Tabular Pop Data by Age'!$B$8:$B$271,0))</f>
        <v>556000</v>
      </c>
      <c r="N54" s="79">
        <f t="shared" si="1"/>
        <v>427.78639999999996</v>
      </c>
      <c r="O54" s="78">
        <f t="shared" si="0"/>
        <v>77.284000000000006</v>
      </c>
      <c r="P54" s="78">
        <f t="shared" si="2"/>
        <v>682.32320000000004</v>
      </c>
      <c r="Q54" s="79">
        <f t="shared" si="3"/>
        <v>126.54842106955249</v>
      </c>
    </row>
    <row r="55" spans="2:17" x14ac:dyDescent="0.25">
      <c r="B55" s="138" t="s">
        <v>463</v>
      </c>
      <c r="C55" s="138" t="s">
        <v>31</v>
      </c>
      <c r="D55" s="138" t="s">
        <v>561</v>
      </c>
      <c r="E55" s="138">
        <f>INDEX('WB Physician Data'!$C$9:$BO$272,MATCH($C55,'WB Physician Data'!$C$9:$C$272,0),MATCH("Latest value",'WB Physician Data'!$C$8:$BO$8,0))</f>
        <v>1.1496999999999999</v>
      </c>
      <c r="F55" s="138">
        <f>INDEX('WB Physician Data'!$C$9:$BO$272,MATCH($C55,'WB Physician Data'!$C$9:$C$272,0),MATCH("Latest year",'WB Physician Data'!$C$8:$BO$8,0))</f>
        <v>2013</v>
      </c>
      <c r="G55" s="138">
        <f>INDEX('WB CHWs Data'!$C$10:$BP$274,MATCH($C55,'WB CHWs Data'!$C$10:$C$274,0),MATCH("Value",'WB CHWs Data'!$C$10:$BP$10,0))</f>
        <v>0.4</v>
      </c>
      <c r="H55" s="138" t="str">
        <f>'WB CHWs Data'!BO57</f>
        <v>No reported value</v>
      </c>
      <c r="I55" s="84">
        <f>'WB Nurses &amp; Midwives data'!BN55</f>
        <v>0.79569999999999996</v>
      </c>
      <c r="J55" s="84">
        <f>'WB Nurses &amp; Midwives data'!BO55</f>
        <v>2013</v>
      </c>
      <c r="K55" s="84">
        <f>IFERROR(INDEX('WHO Labs Data'!$C$7:$I$126,MATCH('HCW Summary Data'!$C55,'WHO Labs Data'!$C$7:$C$126,0),7),'WHO Labs Data'!$M$7)</f>
        <v>0.12481395420007955</v>
      </c>
      <c r="M55" s="78">
        <f>INDEX('Tabular Pop Data by Age'!$AN$8:$AN$271,MATCH($B55,'Tabular Pop Data by Age'!$B$8:$B$271,0))</f>
        <v>5094000</v>
      </c>
      <c r="N55" s="79">
        <f t="shared" si="1"/>
        <v>5856.5717999999997</v>
      </c>
      <c r="O55" s="78">
        <f t="shared" si="0"/>
        <v>2037.6000000000001</v>
      </c>
      <c r="P55" s="78">
        <f t="shared" si="2"/>
        <v>4053.2957999999999</v>
      </c>
      <c r="Q55" s="79">
        <f t="shared" si="3"/>
        <v>635.80228269520524</v>
      </c>
    </row>
    <row r="56" spans="2:17" x14ac:dyDescent="0.25">
      <c r="B56" s="138" t="s">
        <v>450</v>
      </c>
      <c r="C56" s="138" t="s">
        <v>451</v>
      </c>
      <c r="D56" s="138" t="s">
        <v>1182</v>
      </c>
      <c r="E56" s="138">
        <f>INDEX('WB Physician Data'!$C$9:$BO$272,MATCH($C56,'WB Physician Data'!$C$9:$C$272,0),MATCH("Latest value",'WB Physician Data'!$C$8:$BO$8,0))</f>
        <v>1.5686275654605542</v>
      </c>
      <c r="F56" s="138">
        <f>INDEX('WB Physician Data'!$C$9:$BO$272,MATCH($C56,'WB Physician Data'!$C$9:$C$272,0),MATCH("Latest year",'WB Physician Data'!$C$8:$BO$8,0))</f>
        <v>2015</v>
      </c>
      <c r="G56" s="138">
        <f>INDEX('WB CHWs Data'!$C$10:$BP$274,MATCH($C56,'WB CHWs Data'!$C$10:$C$274,0),MATCH("Value",'WB CHWs Data'!$C$10:$BP$10,0))</f>
        <v>0.4</v>
      </c>
      <c r="H56" s="138" t="str">
        <f>'WB CHWs Data'!BO58</f>
        <v>No reported value</v>
      </c>
      <c r="I56" s="84">
        <f>'WB Nurses &amp; Midwives data'!BN56</f>
        <v>2.3199774630542551</v>
      </c>
      <c r="J56" s="84">
        <f>'WB Nurses &amp; Midwives data'!BO56</f>
        <v>2015</v>
      </c>
      <c r="K56" s="84">
        <f>IFERROR(INDEX('WHO Labs Data'!$C$7:$I$126,MATCH('HCW Summary Data'!$C56,'WHO Labs Data'!$C$7:$C$126,0),7),'WHO Labs Data'!$M$7)</f>
        <v>0.2276050738661016</v>
      </c>
      <c r="M56" s="78">
        <f>INDEX('Tabular Pop Data by Age'!$AN$8:$AN$271,MATCH($B56,'Tabular Pop Data by Age'!$B$8:$B$271,0))</f>
        <v>7443000</v>
      </c>
      <c r="N56" s="79">
        <f t="shared" si="1"/>
        <v>11675.294969722905</v>
      </c>
      <c r="O56" s="78">
        <f t="shared" si="0"/>
        <v>2977.2000000000003</v>
      </c>
      <c r="P56" s="78">
        <f t="shared" si="2"/>
        <v>17267.592257512821</v>
      </c>
      <c r="Q56" s="79">
        <f t="shared" si="3"/>
        <v>1694.0645647853942</v>
      </c>
    </row>
    <row r="57" spans="2:17" x14ac:dyDescent="0.25">
      <c r="B57" s="138" t="s">
        <v>221</v>
      </c>
      <c r="C57" s="138" t="s">
        <v>161</v>
      </c>
      <c r="D57" s="138" t="s">
        <v>517</v>
      </c>
      <c r="E57" s="138">
        <f>INDEX('WB Physician Data'!$C$9:$BO$272,MATCH($C57,'WB Physician Data'!$C$9:$C$272,0),MATCH("Latest value",'WB Physician Data'!$C$8:$BO$8,0))</f>
        <v>8.19</v>
      </c>
      <c r="F57" s="138">
        <f>INDEX('WB Physician Data'!$C$9:$BO$272,MATCH($C57,'WB Physician Data'!$C$9:$C$272,0),MATCH("Latest year",'WB Physician Data'!$C$8:$BO$8,0))</f>
        <v>2017</v>
      </c>
      <c r="G57" s="138">
        <f>INDEX('WB CHWs Data'!$C$10:$BP$274,MATCH($C57,'WB CHWs Data'!$C$10:$C$274,0),MATCH("Value",'WB CHWs Data'!$C$10:$BP$10,0))</f>
        <v>0.4</v>
      </c>
      <c r="H57" s="138" t="str">
        <f>'WB CHWs Data'!BO59</f>
        <v>No reported value</v>
      </c>
      <c r="I57" s="84">
        <f>'WB Nurses &amp; Midwives data'!BN57</f>
        <v>7.79</v>
      </c>
      <c r="J57" s="84">
        <f>'WB Nurses &amp; Midwives data'!BO57</f>
        <v>2017</v>
      </c>
      <c r="K57" s="84">
        <f>IFERROR(INDEX('WHO Labs Data'!$C$7:$I$126,MATCH('HCW Summary Data'!$C57,'WHO Labs Data'!$C$7:$C$126,0),7),'WHO Labs Data'!$M$7)</f>
        <v>0.53051038891923885</v>
      </c>
      <c r="M57" s="78">
        <f>INDEX('Tabular Pop Data by Age'!$AN$8:$AN$271,MATCH($B57,'Tabular Pop Data by Age'!$B$8:$B$271,0))</f>
        <v>11327000</v>
      </c>
      <c r="N57" s="79">
        <f t="shared" si="1"/>
        <v>92768.12999999999</v>
      </c>
      <c r="O57" s="78">
        <f t="shared" si="0"/>
        <v>4530.8</v>
      </c>
      <c r="P57" s="78">
        <f t="shared" si="2"/>
        <v>88237.33</v>
      </c>
      <c r="Q57" s="79">
        <f t="shared" si="3"/>
        <v>6009.0911752882184</v>
      </c>
    </row>
    <row r="58" spans="2:17" x14ac:dyDescent="0.25">
      <c r="B58" s="138" t="s">
        <v>466</v>
      </c>
      <c r="C58" s="138" t="s">
        <v>467</v>
      </c>
      <c r="D58" s="138" t="s">
        <v>517</v>
      </c>
      <c r="E58" s="138" t="str">
        <f>INDEX('WB Physician Data'!$C$9:$BO$272,MATCH($C58,'WB Physician Data'!$C$9:$C$272,0),MATCH("Latest value",'WB Physician Data'!$C$8:$BO$8,0))</f>
        <v>No reported value</v>
      </c>
      <c r="F58" s="138" t="str">
        <f>INDEX('WB Physician Data'!$C$9:$BO$272,MATCH($C58,'WB Physician Data'!$C$9:$C$272,0),MATCH("Latest year",'WB Physician Data'!$C$8:$BO$8,0))</f>
        <v>No reported value</v>
      </c>
      <c r="G58" s="138">
        <f>INDEX('WB CHWs Data'!$C$10:$BP$274,MATCH($C58,'WB CHWs Data'!$C$10:$C$274,0),MATCH("Value",'WB CHWs Data'!$C$10:$BP$10,0))</f>
        <v>0.4</v>
      </c>
      <c r="H58" s="138" t="str">
        <f>'WB CHWs Data'!BO60</f>
        <v>No reported value</v>
      </c>
      <c r="I58" s="84" t="str">
        <f>'WB Nurses &amp; Midwives data'!BN58</f>
        <v>No reported value</v>
      </c>
      <c r="J58" s="84" t="str">
        <f>'WB Nurses &amp; Midwives data'!BO58</f>
        <v>No reported value</v>
      </c>
      <c r="K58" s="84">
        <f>IFERROR(INDEX('WHO Labs Data'!$C$7:$I$126,MATCH('HCW Summary Data'!$C58,'WHO Labs Data'!$C$7:$C$126,0),7),'WHO Labs Data'!$M$7)</f>
        <v>0.2276050738661016</v>
      </c>
      <c r="M58" s="78">
        <f>INDEX('Tabular Pop Data by Age'!$AN$8:$AN$271,MATCH($B58,'Tabular Pop Data by Age'!$B$8:$B$271,0))</f>
        <v>162000</v>
      </c>
      <c r="N58" s="79">
        <f t="shared" si="1"/>
        <v>0</v>
      </c>
      <c r="O58" s="78">
        <f t="shared" si="0"/>
        <v>64.8</v>
      </c>
      <c r="P58" s="78">
        <f t="shared" si="2"/>
        <v>0</v>
      </c>
      <c r="Q58" s="79">
        <f t="shared" si="3"/>
        <v>36.872021966308459</v>
      </c>
    </row>
    <row r="59" spans="2:17" x14ac:dyDescent="0.25">
      <c r="B59" s="138" t="s">
        <v>452</v>
      </c>
      <c r="C59" s="138" t="s">
        <v>453</v>
      </c>
      <c r="D59" s="138" t="s">
        <v>559</v>
      </c>
      <c r="E59" s="138">
        <f>INDEX('WB Physician Data'!$C$9:$BO$272,MATCH($C59,'WB Physician Data'!$C$9:$C$272,0),MATCH("Latest value",'WB Physician Data'!$C$8:$BO$8,0))</f>
        <v>1.9390000000000001</v>
      </c>
      <c r="F59" s="138">
        <f>INDEX('WB Physician Data'!$C$9:$BO$272,MATCH($C59,'WB Physician Data'!$C$9:$C$272,0),MATCH("Latest year",'WB Physician Data'!$C$8:$BO$8,0))</f>
        <v>1997</v>
      </c>
      <c r="G59" s="138">
        <f>INDEX('WB CHWs Data'!$C$10:$BP$274,MATCH($C59,'WB CHWs Data'!$C$10:$C$274,0),MATCH("Value",'WB CHWs Data'!$C$10:$BP$10,0))</f>
        <v>0.4</v>
      </c>
      <c r="H59" s="138" t="str">
        <f>'WB CHWs Data'!BO61</f>
        <v>No reported value</v>
      </c>
      <c r="I59" s="84" t="str">
        <f>'WB Nurses &amp; Midwives data'!BN59</f>
        <v>No reported value</v>
      </c>
      <c r="J59" s="84" t="str">
        <f>'WB Nurses &amp; Midwives data'!BO59</f>
        <v>No reported value</v>
      </c>
      <c r="K59" s="84">
        <f>IFERROR(INDEX('WHO Labs Data'!$C$7:$I$126,MATCH('HCW Summary Data'!$C59,'WHO Labs Data'!$C$7:$C$126,0),7),'WHO Labs Data'!$M$7)</f>
        <v>0.2276050738661016</v>
      </c>
      <c r="M59" s="78">
        <f>INDEX('Tabular Pop Data by Age'!$AN$8:$AN$271,MATCH($B59,'Tabular Pop Data by Age'!$B$8:$B$271,0))</f>
        <v>66000</v>
      </c>
      <c r="N59" s="79">
        <f t="shared" si="1"/>
        <v>127.974</v>
      </c>
      <c r="O59" s="78">
        <f t="shared" si="0"/>
        <v>26.400000000000002</v>
      </c>
      <c r="P59" s="78">
        <f t="shared" si="2"/>
        <v>0</v>
      </c>
      <c r="Q59" s="79">
        <f t="shared" si="3"/>
        <v>15.021934875162705</v>
      </c>
    </row>
    <row r="60" spans="2:17" x14ac:dyDescent="0.25">
      <c r="B60" s="138" t="s">
        <v>468</v>
      </c>
      <c r="C60" s="138" t="s">
        <v>32</v>
      </c>
      <c r="D60" s="138" t="s">
        <v>517</v>
      </c>
      <c r="E60" s="138">
        <f>INDEX('WB Physician Data'!$C$9:$BO$272,MATCH($C60,'WB Physician Data'!$C$9:$C$272,0),MATCH("Latest value",'WB Physician Data'!$C$8:$BO$8,0))</f>
        <v>1.9511000000000001</v>
      </c>
      <c r="F60" s="138">
        <f>INDEX('WB Physician Data'!$C$9:$BO$272,MATCH($C60,'WB Physician Data'!$C$9:$C$272,0),MATCH("Latest year",'WB Physician Data'!$C$8:$BO$8,0))</f>
        <v>2016</v>
      </c>
      <c r="G60" s="138">
        <f>INDEX('WB CHWs Data'!$C$10:$BP$274,MATCH($C60,'WB CHWs Data'!$C$10:$C$274,0),MATCH("Value",'WB CHWs Data'!$C$10:$BP$10,0))</f>
        <v>0.4</v>
      </c>
      <c r="H60" s="138" t="str">
        <f>'WB CHWs Data'!BO62</f>
        <v>No reported value</v>
      </c>
      <c r="I60" s="84">
        <f>'WB Nurses &amp; Midwives data'!BN60</f>
        <v>5.2516999999999996</v>
      </c>
      <c r="J60" s="84">
        <f>'WB Nurses &amp; Midwives data'!BO60</f>
        <v>2016</v>
      </c>
      <c r="K60" s="84">
        <f>IFERROR(INDEX('WHO Labs Data'!$C$7:$I$126,MATCH('HCW Summary Data'!$C60,'WHO Labs Data'!$C$7:$C$126,0),7),'WHO Labs Data'!$M$7)</f>
        <v>0.28084573244819283</v>
      </c>
      <c r="M60" s="78">
        <f>INDEX('Tabular Pop Data by Age'!$AN$8:$AN$271,MATCH($B60,'Tabular Pop Data by Age'!$B$8:$B$271,0))</f>
        <v>1207000</v>
      </c>
      <c r="N60" s="79">
        <f t="shared" si="1"/>
        <v>2354.9776999999999</v>
      </c>
      <c r="O60" s="78">
        <f t="shared" si="0"/>
        <v>482.8</v>
      </c>
      <c r="P60" s="78">
        <f t="shared" si="2"/>
        <v>6338.8018999999995</v>
      </c>
      <c r="Q60" s="79">
        <f t="shared" si="3"/>
        <v>338.98079906496872</v>
      </c>
    </row>
    <row r="61" spans="2:17" x14ac:dyDescent="0.25">
      <c r="B61" s="138" t="s">
        <v>469</v>
      </c>
      <c r="C61" s="138" t="s">
        <v>33</v>
      </c>
      <c r="D61" s="138" t="s">
        <v>517</v>
      </c>
      <c r="E61" s="138">
        <f>INDEX('WB Physician Data'!$C$9:$BO$272,MATCH($C61,'WB Physician Data'!$C$9:$C$272,0),MATCH("Latest value",'WB Physician Data'!$C$8:$BO$8,0))</f>
        <v>4.3140000000000001</v>
      </c>
      <c r="F61" s="138">
        <f>INDEX('WB Physician Data'!$C$9:$BO$272,MATCH($C61,'WB Physician Data'!$C$9:$C$272,0),MATCH("Latest year",'WB Physician Data'!$C$8:$BO$8,0))</f>
        <v>2016</v>
      </c>
      <c r="G61" s="138">
        <f>INDEX('WB CHWs Data'!$C$10:$BP$274,MATCH($C61,'WB CHWs Data'!$C$10:$C$274,0),MATCH("Value",'WB CHWs Data'!$C$10:$BP$10,0))</f>
        <v>0.4</v>
      </c>
      <c r="H61" s="138" t="str">
        <f>'WB CHWs Data'!BO63</f>
        <v>No reported value</v>
      </c>
      <c r="I61" s="84">
        <f>'WB Nurses &amp; Midwives data'!BN61</f>
        <v>8.4070999999999998</v>
      </c>
      <c r="J61" s="84">
        <f>'WB Nurses &amp; Midwives data'!BO61</f>
        <v>2016</v>
      </c>
      <c r="K61" s="84">
        <f>IFERROR(INDEX('WHO Labs Data'!$C$7:$I$126,MATCH('HCW Summary Data'!$C61,'WHO Labs Data'!$C$7:$C$126,0),7),'WHO Labs Data'!$M$7)</f>
        <v>0.2276050738661016</v>
      </c>
      <c r="M61" s="78">
        <f>INDEX('Tabular Pop Data by Age'!$AN$8:$AN$271,MATCH($B61,'Tabular Pop Data by Age'!$B$8:$B$271,0))</f>
        <v>10631000</v>
      </c>
      <c r="N61" s="79">
        <f t="shared" si="1"/>
        <v>45862.133999999998</v>
      </c>
      <c r="O61" s="78">
        <f t="shared" si="0"/>
        <v>4252.4000000000005</v>
      </c>
      <c r="P61" s="78">
        <f t="shared" si="2"/>
        <v>89375.880099999995</v>
      </c>
      <c r="Q61" s="79">
        <f t="shared" si="3"/>
        <v>2419.6695402705259</v>
      </c>
    </row>
    <row r="62" spans="2:17" x14ac:dyDescent="0.25">
      <c r="B62" s="138" t="s">
        <v>506</v>
      </c>
      <c r="C62" s="138" t="s">
        <v>34</v>
      </c>
      <c r="D62" s="138" t="s">
        <v>561</v>
      </c>
      <c r="E62" s="138">
        <f>INDEX('WB Physician Data'!$C$9:$BO$272,MATCH($C62,'WB Physician Data'!$C$9:$C$272,0),MATCH("Latest value",'WB Physician Data'!$C$8:$BO$8,0))</f>
        <v>4.2087000000000003</v>
      </c>
      <c r="F62" s="138">
        <f>INDEX('WB Physician Data'!$C$9:$BO$272,MATCH($C62,'WB Physician Data'!$C$9:$C$272,0),MATCH("Latest year",'WB Physician Data'!$C$8:$BO$8,0))</f>
        <v>2016</v>
      </c>
      <c r="G62" s="138">
        <f>INDEX('WB CHWs Data'!$C$10:$BP$274,MATCH($C62,'WB CHWs Data'!$C$10:$C$274,0),MATCH("Value",'WB CHWs Data'!$C$10:$BP$10,0))</f>
        <v>0.4</v>
      </c>
      <c r="H62" s="138" t="str">
        <f>'WB CHWs Data'!BO64</f>
        <v>No reported value</v>
      </c>
      <c r="I62" s="84">
        <f>'WB Nurses &amp; Midwives data'!BN62</f>
        <v>13.1967</v>
      </c>
      <c r="J62" s="84">
        <f>'WB Nurses &amp; Midwives data'!BO62</f>
        <v>2016</v>
      </c>
      <c r="K62" s="84">
        <f>IFERROR(INDEX('WHO Labs Data'!$C$7:$I$126,MATCH('HCW Summary Data'!$C62,'WHO Labs Data'!$C$7:$C$126,0),7),'WHO Labs Data'!$M$7)</f>
        <v>0.2276050738661016</v>
      </c>
      <c r="M62" s="78">
        <f>INDEX('Tabular Pop Data by Age'!$AN$8:$AN$271,MATCH($B62,'Tabular Pop Data by Age'!$B$8:$B$271,0))</f>
        <v>82678000</v>
      </c>
      <c r="N62" s="79">
        <f t="shared" si="1"/>
        <v>347966.89860000001</v>
      </c>
      <c r="O62" s="78">
        <f t="shared" si="0"/>
        <v>33071.200000000004</v>
      </c>
      <c r="P62" s="78">
        <f t="shared" si="2"/>
        <v>1091076.7626</v>
      </c>
      <c r="Q62" s="79">
        <f t="shared" si="3"/>
        <v>18817.932297101546</v>
      </c>
    </row>
    <row r="63" spans="2:17" x14ac:dyDescent="0.25">
      <c r="B63" s="138" t="s">
        <v>231</v>
      </c>
      <c r="C63" s="138" t="s">
        <v>35</v>
      </c>
      <c r="D63" s="138" t="s">
        <v>664</v>
      </c>
      <c r="E63" s="138">
        <f>INDEX('WB Physician Data'!$C$9:$BO$272,MATCH($C63,'WB Physician Data'!$C$9:$C$272,0),MATCH("Latest value",'WB Physician Data'!$C$8:$BO$8,0))</f>
        <v>0.2203</v>
      </c>
      <c r="F63" s="138">
        <f>INDEX('WB Physician Data'!$C$9:$BO$272,MATCH($C63,'WB Physician Data'!$C$9:$C$272,0),MATCH("Latest year",'WB Physician Data'!$C$8:$BO$8,0))</f>
        <v>2014</v>
      </c>
      <c r="G63" s="138">
        <f>INDEX('WB CHWs Data'!$C$10:$BP$274,MATCH($C63,'WB CHWs Data'!$C$10:$C$274,0),MATCH("Value",'WB CHWs Data'!$C$10:$BP$10,0))</f>
        <v>0.4</v>
      </c>
      <c r="H63" s="138" t="str">
        <f>'WB CHWs Data'!BO65</f>
        <v>No reported value</v>
      </c>
      <c r="I63" s="84">
        <f>'WB Nurses &amp; Midwives data'!BN63</f>
        <v>0.53500000000000003</v>
      </c>
      <c r="J63" s="84">
        <f>'WB Nurses &amp; Midwives data'!BO63</f>
        <v>2014</v>
      </c>
      <c r="K63" s="84">
        <f>IFERROR(INDEX('WHO Labs Data'!$C$7:$I$126,MATCH('HCW Summary Data'!$C63,'WHO Labs Data'!$C$7:$C$126,0),7),'WHO Labs Data'!$M$7)</f>
        <v>6.1527551829141124E-2</v>
      </c>
      <c r="M63" s="78">
        <f>INDEX('Tabular Pop Data by Age'!$AN$8:$AN$271,MATCH($B63,'Tabular Pop Data by Age'!$B$8:$B$271,0))</f>
        <v>988000</v>
      </c>
      <c r="N63" s="79">
        <f t="shared" si="1"/>
        <v>217.65639999999999</v>
      </c>
      <c r="O63" s="78">
        <f t="shared" si="0"/>
        <v>395.20000000000005</v>
      </c>
      <c r="P63" s="78">
        <f t="shared" si="2"/>
        <v>528.58000000000004</v>
      </c>
      <c r="Q63" s="79">
        <f t="shared" si="3"/>
        <v>60.789221207191432</v>
      </c>
    </row>
    <row r="64" spans="2:17" x14ac:dyDescent="0.25">
      <c r="B64" s="138" t="s">
        <v>471</v>
      </c>
      <c r="C64" s="138" t="s">
        <v>472</v>
      </c>
      <c r="D64" s="138" t="s">
        <v>664</v>
      </c>
      <c r="E64" s="138">
        <f>INDEX('WB Physician Data'!$C$9:$BO$272,MATCH($C64,'WB Physician Data'!$C$9:$C$272,0),MATCH("Latest value",'WB Physician Data'!$C$8:$BO$8,0))</f>
        <v>1.0825</v>
      </c>
      <c r="F64" s="138">
        <f>INDEX('WB Physician Data'!$C$9:$BO$272,MATCH($C64,'WB Physician Data'!$C$9:$C$272,0),MATCH("Latest year",'WB Physician Data'!$C$8:$BO$8,0))</f>
        <v>2017</v>
      </c>
      <c r="G64" s="138">
        <f>INDEX('WB CHWs Data'!$C$10:$BP$274,MATCH($C64,'WB CHWs Data'!$C$10:$C$274,0),MATCH("Value",'WB CHWs Data'!$C$10:$BP$10,0))</f>
        <v>0.4</v>
      </c>
      <c r="H64" s="138" t="str">
        <f>'WB CHWs Data'!BO66</f>
        <v>No reported value</v>
      </c>
      <c r="I64" s="84">
        <f>'WB Nurses &amp; Midwives data'!BN64</f>
        <v>5.8998999999999997</v>
      </c>
      <c r="J64" s="84">
        <f>'WB Nurses &amp; Midwives data'!BO64</f>
        <v>2017</v>
      </c>
      <c r="K64" s="84">
        <f>IFERROR(INDEX('WHO Labs Data'!$C$7:$I$126,MATCH('HCW Summary Data'!$C64,'WHO Labs Data'!$C$7:$C$126,0),7),'WHO Labs Data'!$M$7)</f>
        <v>0.2276050738661016</v>
      </c>
      <c r="M64" s="78">
        <f>INDEX('Tabular Pop Data by Age'!$AN$8:$AN$271,MATCH($B64,'Tabular Pop Data by Age'!$B$8:$B$271,0))</f>
        <v>72000</v>
      </c>
      <c r="N64" s="79">
        <f t="shared" si="1"/>
        <v>77.94</v>
      </c>
      <c r="O64" s="78">
        <f t="shared" si="0"/>
        <v>28.8</v>
      </c>
      <c r="P64" s="78">
        <f t="shared" si="2"/>
        <v>424.7928</v>
      </c>
      <c r="Q64" s="79">
        <f t="shared" si="3"/>
        <v>16.387565318359314</v>
      </c>
    </row>
    <row r="65" spans="2:17" x14ac:dyDescent="0.25">
      <c r="B65" s="138" t="s">
        <v>470</v>
      </c>
      <c r="C65" s="138" t="s">
        <v>36</v>
      </c>
      <c r="D65" s="138" t="s">
        <v>561</v>
      </c>
      <c r="E65" s="138">
        <f>INDEX('WB Physician Data'!$C$9:$BO$272,MATCH($C65,'WB Physician Data'!$C$9:$C$272,0),MATCH("Latest value",'WB Physician Data'!$C$8:$BO$8,0))</f>
        <v>4.4566999999999997</v>
      </c>
      <c r="F65" s="138">
        <f>INDEX('WB Physician Data'!$C$9:$BO$272,MATCH($C65,'WB Physician Data'!$C$9:$C$272,0),MATCH("Latest year",'WB Physician Data'!$C$8:$BO$8,0))</f>
        <v>2016</v>
      </c>
      <c r="G65" s="138">
        <f>INDEX('WB CHWs Data'!$C$10:$BP$274,MATCH($C65,'WB CHWs Data'!$C$10:$C$274,0),MATCH("Value",'WB CHWs Data'!$C$10:$BP$10,0))</f>
        <v>0.4</v>
      </c>
      <c r="H65" s="138" t="str">
        <f>'WB CHWs Data'!BO67</f>
        <v>No reported value</v>
      </c>
      <c r="I65" s="84">
        <f>'WB Nurses &amp; Midwives data'!BN65</f>
        <v>10.3004</v>
      </c>
      <c r="J65" s="84">
        <f>'WB Nurses &amp; Midwives data'!BO65</f>
        <v>2016</v>
      </c>
      <c r="K65" s="84">
        <f>IFERROR(INDEX('WHO Labs Data'!$C$7:$I$126,MATCH('HCW Summary Data'!$C65,'WHO Labs Data'!$C$7:$C$126,0),7),'WHO Labs Data'!$M$7)</f>
        <v>0.2276050738661016</v>
      </c>
      <c r="M65" s="78">
        <f>INDEX('Tabular Pop Data by Age'!$AN$8:$AN$271,MATCH($B65,'Tabular Pop Data by Age'!$B$8:$B$271,0))</f>
        <v>5840000</v>
      </c>
      <c r="N65" s="79">
        <f t="shared" si="1"/>
        <v>26027.127999999997</v>
      </c>
      <c r="O65" s="78">
        <f t="shared" si="0"/>
        <v>2336</v>
      </c>
      <c r="P65" s="78">
        <f t="shared" si="2"/>
        <v>60154.335999999996</v>
      </c>
      <c r="Q65" s="79">
        <f t="shared" si="3"/>
        <v>1329.2136313780334</v>
      </c>
    </row>
    <row r="66" spans="2:17" x14ac:dyDescent="0.25">
      <c r="B66" s="138" t="s">
        <v>473</v>
      </c>
      <c r="C66" s="138" t="s">
        <v>474</v>
      </c>
      <c r="D66" s="138" t="s">
        <v>664</v>
      </c>
      <c r="E66" s="138">
        <f>INDEX('WB Physician Data'!$C$9:$BO$272,MATCH($C66,'WB Physician Data'!$C$9:$C$272,0),MATCH("Latest value",'WB Physician Data'!$C$8:$BO$8,0))</f>
        <v>1.56</v>
      </c>
      <c r="F66" s="138">
        <f>INDEX('WB Physician Data'!$C$9:$BO$272,MATCH($C66,'WB Physician Data'!$C$9:$C$272,0),MATCH("Latest year",'WB Physician Data'!$C$8:$BO$8,0))</f>
        <v>2017</v>
      </c>
      <c r="G66" s="138">
        <f>INDEX('WB CHWs Data'!$C$10:$BP$274,MATCH($C66,'WB CHWs Data'!$C$10:$C$274,0),MATCH("Value",'WB CHWs Data'!$C$10:$BP$10,0))</f>
        <v>0.4</v>
      </c>
      <c r="H66" s="138" t="str">
        <f>'WB CHWs Data'!BO68</f>
        <v>No reported value</v>
      </c>
      <c r="I66" s="84">
        <f>'WB Nurses &amp; Midwives data'!BN66</f>
        <v>0.30990000000000001</v>
      </c>
      <c r="J66" s="84">
        <f>'WB Nurses &amp; Midwives data'!BO66</f>
        <v>2017</v>
      </c>
      <c r="K66" s="84">
        <f>IFERROR(INDEX('WHO Labs Data'!$C$7:$I$126,MATCH('HCW Summary Data'!$C66,'WHO Labs Data'!$C$7:$C$126,0),7),'WHO Labs Data'!$M$7)</f>
        <v>0.2276050738661016</v>
      </c>
      <c r="M66" s="78">
        <f>INDEX('Tabular Pop Data by Age'!$AN$8:$AN$271,MATCH($B66,'Tabular Pop Data by Age'!$B$8:$B$271,0))</f>
        <v>10848000</v>
      </c>
      <c r="N66" s="79">
        <f t="shared" si="1"/>
        <v>16922.88</v>
      </c>
      <c r="O66" s="78">
        <f t="shared" si="0"/>
        <v>4339.2</v>
      </c>
      <c r="P66" s="78">
        <f t="shared" si="2"/>
        <v>3361.7952</v>
      </c>
      <c r="Q66" s="79">
        <f t="shared" si="3"/>
        <v>2469.05984129947</v>
      </c>
    </row>
    <row r="67" spans="2:17" x14ac:dyDescent="0.25">
      <c r="B67" s="138" t="s">
        <v>420</v>
      </c>
      <c r="C67" s="138" t="s">
        <v>37</v>
      </c>
      <c r="D67" s="138" t="s">
        <v>664</v>
      </c>
      <c r="E67" s="138">
        <f>INDEX('WB Physician Data'!$C$9:$BO$272,MATCH($C67,'WB Physician Data'!$C$9:$C$272,0),MATCH("Latest value",'WB Physician Data'!$C$8:$BO$8,0))</f>
        <v>1.83</v>
      </c>
      <c r="F67" s="138">
        <f>INDEX('WB Physician Data'!$C$9:$BO$272,MATCH($C67,'WB Physician Data'!$C$9:$C$272,0),MATCH("Latest year",'WB Physician Data'!$C$8:$BO$8,0))</f>
        <v>2016</v>
      </c>
      <c r="G67" s="138">
        <f>INDEX('WB CHWs Data'!$C$10:$BP$274,MATCH($C67,'WB CHWs Data'!$C$10:$C$274,0),MATCH("Value",'WB CHWs Data'!$C$10:$BP$10,0))</f>
        <v>0.4</v>
      </c>
      <c r="H67" s="138" t="str">
        <f>'WB CHWs Data'!BO69</f>
        <v>No reported value</v>
      </c>
      <c r="I67" s="84">
        <f>'WB Nurses &amp; Midwives data'!BN67</f>
        <v>2.2400000000000002</v>
      </c>
      <c r="J67" s="84">
        <f>'WB Nurses &amp; Midwives data'!BO67</f>
        <v>2016</v>
      </c>
      <c r="K67" s="84">
        <f>IFERROR(INDEX('WHO Labs Data'!$C$7:$I$126,MATCH('HCW Summary Data'!$C67,'WHO Labs Data'!$C$7:$C$126,0),7),'WHO Labs Data'!$M$7)</f>
        <v>0.11655655009093518</v>
      </c>
      <c r="M67" s="78">
        <f>INDEX('Tabular Pop Data by Age'!$AN$8:$AN$271,MATCH($B67,'Tabular Pop Data by Age'!$B$8:$B$271,0))</f>
        <v>43851000</v>
      </c>
      <c r="N67" s="79">
        <f t="shared" si="1"/>
        <v>80247.33</v>
      </c>
      <c r="O67" s="78">
        <f t="shared" si="0"/>
        <v>17540.400000000001</v>
      </c>
      <c r="P67" s="78">
        <f t="shared" si="2"/>
        <v>98226.240000000005</v>
      </c>
      <c r="Q67" s="79">
        <f t="shared" si="3"/>
        <v>5111.121278037599</v>
      </c>
    </row>
    <row r="68" spans="2:17" x14ac:dyDescent="0.25">
      <c r="B68" s="138" t="s">
        <v>479</v>
      </c>
      <c r="C68" s="138" t="s">
        <v>480</v>
      </c>
      <c r="D68" s="138" t="s">
        <v>1182</v>
      </c>
      <c r="E68" s="138">
        <f>INDEX('WB Physician Data'!$C$9:$BO$272,MATCH($C68,'WB Physician Data'!$C$9:$C$272,0),MATCH("Latest value",'WB Physician Data'!$C$8:$BO$8,0))</f>
        <v>1.4761485003558619</v>
      </c>
      <c r="F68" s="138">
        <f>INDEX('WB Physician Data'!$C$9:$BO$272,MATCH($C68,'WB Physician Data'!$C$9:$C$272,0),MATCH("Latest year",'WB Physician Data'!$C$8:$BO$8,0))</f>
        <v>2015</v>
      </c>
      <c r="G68" s="138">
        <f>INDEX('WB CHWs Data'!$C$10:$BP$274,MATCH($C68,'WB CHWs Data'!$C$10:$C$274,0),MATCH("Value",'WB CHWs Data'!$C$10:$BP$10,0))</f>
        <v>0.6814814941465519</v>
      </c>
      <c r="H68" s="138">
        <f>'WB CHWs Data'!BO70</f>
        <v>2011</v>
      </c>
      <c r="I68" s="84">
        <f>'WB Nurses &amp; Midwives data'!BN68</f>
        <v>2.1533786853858357</v>
      </c>
      <c r="J68" s="84">
        <f>'WB Nurses &amp; Midwives data'!BO68</f>
        <v>2015</v>
      </c>
      <c r="K68" s="84">
        <f>IFERROR(INDEX('WHO Labs Data'!$C$7:$I$126,MATCH('HCW Summary Data'!$C68,'WHO Labs Data'!$C$7:$C$126,0),7),'WHO Labs Data'!$M$7)</f>
        <v>0.2276050738661016</v>
      </c>
      <c r="M68" s="78">
        <f>INDEX('Tabular Pop Data by Age'!$AN$8:$AN$271,MATCH($B68,'Tabular Pop Data by Age'!$B$8:$B$271,0))</f>
        <v>2104283000</v>
      </c>
      <c r="N68" s="79">
        <f t="shared" si="1"/>
        <v>3106234.1947743339</v>
      </c>
      <c r="O68" s="78">
        <f t="shared" si="0"/>
        <v>1434029.9229471886</v>
      </c>
      <c r="P68" s="78">
        <f t="shared" si="2"/>
        <v>4531318.1602197625</v>
      </c>
      <c r="Q68" s="79">
        <f t="shared" si="3"/>
        <v>478945.48765018187</v>
      </c>
    </row>
    <row r="69" spans="2:17" x14ac:dyDescent="0.25">
      <c r="B69" s="138" t="s">
        <v>475</v>
      </c>
      <c r="C69" s="138" t="s">
        <v>476</v>
      </c>
      <c r="D69" s="138" t="s">
        <v>1182</v>
      </c>
      <c r="E69" s="138">
        <f>INDEX('WB Physician Data'!$C$9:$BO$272,MATCH($C69,'WB Physician Data'!$C$9:$C$272,0),MATCH("Latest value",'WB Physician Data'!$C$8:$BO$8,0))</f>
        <v>0.94011084109972498</v>
      </c>
      <c r="F69" s="138">
        <f>INDEX('WB Physician Data'!$C$9:$BO$272,MATCH($C69,'WB Physician Data'!$C$9:$C$272,0),MATCH("Latest year",'WB Physician Data'!$C$8:$BO$8,0))</f>
        <v>2015</v>
      </c>
      <c r="G69" s="138">
        <f>INDEX('WB CHWs Data'!$C$10:$BP$274,MATCH($C69,'WB CHWs Data'!$C$10:$C$274,0),MATCH("Value",'WB CHWs Data'!$C$10:$BP$10,0))</f>
        <v>0.42702452919143652</v>
      </c>
      <c r="H69" s="138">
        <f>'WB CHWs Data'!BO71</f>
        <v>2011</v>
      </c>
      <c r="I69" s="84">
        <f>'WB Nurses &amp; Midwives data'!BN69</f>
        <v>1.9290074393430101</v>
      </c>
      <c r="J69" s="84">
        <f>'WB Nurses &amp; Midwives data'!BO69</f>
        <v>2015</v>
      </c>
      <c r="K69" s="84">
        <f>IFERROR(INDEX('WHO Labs Data'!$C$7:$I$126,MATCH('HCW Summary Data'!$C69,'WHO Labs Data'!$C$7:$C$126,0),7),'WHO Labs Data'!$M$7)</f>
        <v>0.2276050738661016</v>
      </c>
      <c r="M69" s="78">
        <f>INDEX('Tabular Pop Data by Age'!$AN$8:$AN$271,MATCH($B69,'Tabular Pop Data by Age'!$B$8:$B$271,0))</f>
        <v>3332556000</v>
      </c>
      <c r="N69" s="79">
        <f t="shared" si="1"/>
        <v>3132972.0241719349</v>
      </c>
      <c r="O69" s="78">
        <f t="shared" si="0"/>
        <v>1423083.1569040969</v>
      </c>
      <c r="P69" s="78">
        <f t="shared" si="2"/>
        <v>6428525.316027184</v>
      </c>
      <c r="Q69" s="79">
        <f t="shared" si="3"/>
        <v>758506.65454292006</v>
      </c>
    </row>
    <row r="70" spans="2:17" x14ac:dyDescent="0.25">
      <c r="B70" s="138" t="s">
        <v>477</v>
      </c>
      <c r="C70" s="138" t="s">
        <v>478</v>
      </c>
      <c r="D70" s="138" t="s">
        <v>1182</v>
      </c>
      <c r="E70" s="138">
        <f>INDEX('WB Physician Data'!$C$9:$BO$272,MATCH($C70,'WB Physician Data'!$C$9:$C$272,0),MATCH("Latest value",'WB Physician Data'!$C$8:$BO$8,0))</f>
        <v>1.5767725519397087</v>
      </c>
      <c r="F70" s="138">
        <f>INDEX('WB Physician Data'!$C$9:$BO$272,MATCH($C70,'WB Physician Data'!$C$9:$C$272,0),MATCH("Latest year",'WB Physician Data'!$C$8:$BO$8,0))</f>
        <v>2015</v>
      </c>
      <c r="G70" s="138">
        <f>INDEX('WB CHWs Data'!$C$10:$BP$274,MATCH($C70,'WB CHWs Data'!$C$10:$C$274,0),MATCH("Value",'WB CHWs Data'!$C$10:$BP$10,0))</f>
        <v>0.67218257158545569</v>
      </c>
      <c r="H70" s="138">
        <f>'WB CHWs Data'!BO72</f>
        <v>2011</v>
      </c>
      <c r="I70" s="84">
        <f>'WB Nurses &amp; Midwives data'!BN70</f>
        <v>2.9341161379957588</v>
      </c>
      <c r="J70" s="84">
        <f>'WB Nurses &amp; Midwives data'!BO70</f>
        <v>2015</v>
      </c>
      <c r="K70" s="84">
        <f>IFERROR(INDEX('WHO Labs Data'!$C$7:$I$126,MATCH('HCW Summary Data'!$C70,'WHO Labs Data'!$C$7:$C$126,0),7),'WHO Labs Data'!$M$7)</f>
        <v>0.2276050738661016</v>
      </c>
      <c r="M70" s="78">
        <f>INDEX('Tabular Pop Data by Age'!$AN$8:$AN$271,MATCH($B70,'Tabular Pop Data by Age'!$B$8:$B$271,0))</f>
        <v>2351307000</v>
      </c>
      <c r="N70" s="79">
        <f t="shared" si="1"/>
        <v>3707476.3387837005</v>
      </c>
      <c r="O70" s="78">
        <f t="shared" si="0"/>
        <v>1580507.585846883</v>
      </c>
      <c r="P70" s="78">
        <f t="shared" si="2"/>
        <v>6899007.8140823934</v>
      </c>
      <c r="Q70" s="79">
        <f t="shared" si="3"/>
        <v>535169.4034168818</v>
      </c>
    </row>
    <row r="71" spans="2:17" x14ac:dyDescent="0.25">
      <c r="B71" s="138" t="s">
        <v>491</v>
      </c>
      <c r="C71" s="138" t="s">
        <v>492</v>
      </c>
      <c r="D71" s="138" t="s">
        <v>1182</v>
      </c>
      <c r="E71" s="138">
        <f>INDEX('WB Physician Data'!$C$9:$BO$272,MATCH($C71,'WB Physician Data'!$C$9:$C$272,0),MATCH("Latest value",'WB Physician Data'!$C$8:$BO$8,0))</f>
        <v>3.045276370500583</v>
      </c>
      <c r="F71" s="138">
        <f>INDEX('WB Physician Data'!$C$9:$BO$272,MATCH($C71,'WB Physician Data'!$C$9:$C$272,0),MATCH("Latest year",'WB Physician Data'!$C$8:$BO$8,0))</f>
        <v>2015</v>
      </c>
      <c r="G71" s="138">
        <f>INDEX('WB CHWs Data'!$C$10:$BP$274,MATCH($C71,'WB CHWs Data'!$C$10:$C$274,0),MATCH("Value",'WB CHWs Data'!$C$10:$BP$10,0))</f>
        <v>0.4</v>
      </c>
      <c r="H71" s="138" t="str">
        <f>'WB CHWs Data'!BO73</f>
        <v>No reported value</v>
      </c>
      <c r="I71" s="84">
        <f>'WB Nurses &amp; Midwives data'!BN71</f>
        <v>7.0208190546653384</v>
      </c>
      <c r="J71" s="84">
        <f>'WB Nurses &amp; Midwives data'!BO71</f>
        <v>2015</v>
      </c>
      <c r="K71" s="84">
        <f>IFERROR(INDEX('WHO Labs Data'!$C$7:$I$126,MATCH('HCW Summary Data'!$C71,'WHO Labs Data'!$C$7:$C$126,0),7),'WHO Labs Data'!$M$7)</f>
        <v>0.2276050738661016</v>
      </c>
      <c r="M71" s="78">
        <f>INDEX('Tabular Pop Data by Age'!$AN$8:$AN$271,MATCH($B71,'Tabular Pop Data by Age'!$B$8:$B$271,0))</f>
        <v>420757000</v>
      </c>
      <c r="N71" s="79">
        <f t="shared" si="1"/>
        <v>1281321.3498227138</v>
      </c>
      <c r="O71" s="78">
        <f t="shared" si="0"/>
        <v>168302.80000000002</v>
      </c>
      <c r="P71" s="78">
        <f t="shared" si="2"/>
        <v>2954058.7629838237</v>
      </c>
      <c r="Q71" s="79">
        <f t="shared" si="3"/>
        <v>95766.428064679305</v>
      </c>
    </row>
    <row r="72" spans="2:17" x14ac:dyDescent="0.25">
      <c r="B72" s="138" t="s">
        <v>489</v>
      </c>
      <c r="C72" s="138" t="s">
        <v>490</v>
      </c>
      <c r="D72" s="138" t="s">
        <v>1182</v>
      </c>
      <c r="E72" s="138">
        <f>INDEX('WB Physician Data'!$C$9:$BO$272,MATCH($C72,'WB Physician Data'!$C$9:$C$272,0),MATCH("Latest value",'WB Physician Data'!$C$8:$BO$8,0))</f>
        <v>3.3729252519521515</v>
      </c>
      <c r="F72" s="138">
        <f>INDEX('WB Physician Data'!$C$9:$BO$272,MATCH($C72,'WB Physician Data'!$C$9:$C$272,0),MATCH("Latest year",'WB Physician Data'!$C$8:$BO$8,0))</f>
        <v>2015</v>
      </c>
      <c r="G72" s="138">
        <f>INDEX('WB CHWs Data'!$C$10:$BP$274,MATCH($C72,'WB CHWs Data'!$C$10:$C$274,0),MATCH("Value",'WB CHWs Data'!$C$10:$BP$10,0))</f>
        <v>0.4</v>
      </c>
      <c r="H72" s="138" t="str">
        <f>'WB CHWs Data'!BO74</f>
        <v>No reported value</v>
      </c>
      <c r="I72" s="84">
        <f>'WB Nurses &amp; Midwives data'!BN72</f>
        <v>8.0933931210326051</v>
      </c>
      <c r="J72" s="84">
        <f>'WB Nurses &amp; Midwives data'!BO72</f>
        <v>2015</v>
      </c>
      <c r="K72" s="84">
        <f>IFERROR(INDEX('WHO Labs Data'!$C$7:$I$126,MATCH('HCW Summary Data'!$C72,'WHO Labs Data'!$C$7:$C$126,0),7),'WHO Labs Data'!$M$7)</f>
        <v>0.2276050738661016</v>
      </c>
      <c r="M72" s="78">
        <f>INDEX('Tabular Pop Data by Age'!$AN$8:$AN$271,MATCH($B72,'Tabular Pop Data by Age'!$B$8:$B$271,0))</f>
        <v>922779000</v>
      </c>
      <c r="N72" s="79">
        <f t="shared" si="1"/>
        <v>3112464.5910711545</v>
      </c>
      <c r="O72" s="78">
        <f t="shared" si="0"/>
        <v>369111.60000000003</v>
      </c>
      <c r="P72" s="78">
        <f t="shared" si="2"/>
        <v>7468413.2108333465</v>
      </c>
      <c r="Q72" s="79">
        <f t="shared" si="3"/>
        <v>210029.18245708736</v>
      </c>
    </row>
    <row r="73" spans="2:17" x14ac:dyDescent="0.25">
      <c r="B73" s="138" t="s">
        <v>483</v>
      </c>
      <c r="C73" s="138" t="s">
        <v>38</v>
      </c>
      <c r="D73" s="138" t="s">
        <v>561</v>
      </c>
      <c r="E73" s="138">
        <f>INDEX('WB Physician Data'!$C$9:$BO$272,MATCH($C73,'WB Physician Data'!$C$9:$C$272,0),MATCH("Latest value",'WB Physician Data'!$C$8:$BO$8,0))</f>
        <v>2.0499999999999998</v>
      </c>
      <c r="F73" s="138">
        <f>INDEX('WB Physician Data'!$C$9:$BO$272,MATCH($C73,'WB Physician Data'!$C$9:$C$272,0),MATCH("Latest year",'WB Physician Data'!$C$8:$BO$8,0))</f>
        <v>2016</v>
      </c>
      <c r="G73" s="138">
        <f>INDEX('WB CHWs Data'!$C$10:$BP$274,MATCH($C73,'WB CHWs Data'!$C$10:$C$274,0),MATCH("Value",'WB CHWs Data'!$C$10:$BP$10,0))</f>
        <v>0.4</v>
      </c>
      <c r="H73" s="138" t="str">
        <f>'WB CHWs Data'!BO75</f>
        <v>No reported value</v>
      </c>
      <c r="I73" s="84">
        <f>'WB Nurses &amp; Midwives data'!BN73</f>
        <v>1.2</v>
      </c>
      <c r="J73" s="84">
        <f>'WB Nurses &amp; Midwives data'!BO73</f>
        <v>2016</v>
      </c>
      <c r="K73" s="84">
        <f>IFERROR(INDEX('WHO Labs Data'!$C$7:$I$126,MATCH('HCW Summary Data'!$C73,'WHO Labs Data'!$C$7:$C$126,0),7),'WHO Labs Data'!$M$7)</f>
        <v>0.24232694271139382</v>
      </c>
      <c r="M73" s="78">
        <f>INDEX('Tabular Pop Data by Age'!$AN$8:$AN$271,MATCH($B73,'Tabular Pop Data by Age'!$B$8:$B$271,0))</f>
        <v>17643000</v>
      </c>
      <c r="N73" s="79">
        <f t="shared" ref="N73:N136" si="4">IFERROR($M73/1000*$E73,0)</f>
        <v>36168.149999999994</v>
      </c>
      <c r="O73" s="78">
        <f t="shared" ref="O73:O136" si="5">IFERROR($M73/1000*$G73,0)</f>
        <v>7057.2000000000007</v>
      </c>
      <c r="P73" s="78">
        <f t="shared" ref="P73:P136" si="6">IFERROR($M73/1000*$I73,0)</f>
        <v>21171.599999999999</v>
      </c>
      <c r="Q73" s="79">
        <f t="shared" ref="Q73:Q136" si="7">$M73/1000*$K73</f>
        <v>4275.3742502571213</v>
      </c>
    </row>
    <row r="74" spans="2:17" x14ac:dyDescent="0.25">
      <c r="B74" s="138" t="s">
        <v>484</v>
      </c>
      <c r="C74" s="138" t="s">
        <v>39</v>
      </c>
      <c r="D74" s="138" t="s">
        <v>561</v>
      </c>
      <c r="E74" s="138">
        <f>INDEX('WB Physician Data'!$C$9:$BO$272,MATCH($C74,'WB Physician Data'!$C$9:$C$272,0),MATCH("Latest value",'WB Physician Data'!$C$8:$BO$8,0))</f>
        <v>0.79020000000000001</v>
      </c>
      <c r="F74" s="138">
        <f>INDEX('WB Physician Data'!$C$9:$BO$272,MATCH($C74,'WB Physician Data'!$C$9:$C$272,0),MATCH("Latest year",'WB Physician Data'!$C$8:$BO$8,0))</f>
        <v>2017</v>
      </c>
      <c r="G74" s="138">
        <f>INDEX('WB CHWs Data'!$C$10:$BP$274,MATCH($C74,'WB CHWs Data'!$C$10:$C$274,0),MATCH("Value",'WB CHWs Data'!$C$10:$BP$10,0))</f>
        <v>0.4</v>
      </c>
      <c r="H74" s="138" t="str">
        <f>'WB CHWs Data'!BO76</f>
        <v>No reported value</v>
      </c>
      <c r="I74" s="84">
        <f>'WB Nurses &amp; Midwives data'!BN74</f>
        <v>1.3989</v>
      </c>
      <c r="J74" s="84">
        <f>'WB Nurses &amp; Midwives data'!BO74</f>
        <v>2017</v>
      </c>
      <c r="K74" s="84">
        <f>IFERROR(INDEX('WHO Labs Data'!$C$7:$I$126,MATCH('HCW Summary Data'!$C74,'WHO Labs Data'!$C$7:$C$126,0),7),'WHO Labs Data'!$M$7)</f>
        <v>0.1651534878399839</v>
      </c>
      <c r="M74" s="78">
        <f>INDEX('Tabular Pop Data by Age'!$AN$8:$AN$271,MATCH($B74,'Tabular Pop Data by Age'!$B$8:$B$271,0))</f>
        <v>102334000</v>
      </c>
      <c r="N74" s="79">
        <f t="shared" si="4"/>
        <v>80864.326799999995</v>
      </c>
      <c r="O74" s="78">
        <f t="shared" si="5"/>
        <v>40933.600000000006</v>
      </c>
      <c r="P74" s="78">
        <f t="shared" si="6"/>
        <v>143155.03260000001</v>
      </c>
      <c r="Q74" s="79">
        <f t="shared" si="7"/>
        <v>16900.817024616914</v>
      </c>
    </row>
    <row r="75" spans="2:17" x14ac:dyDescent="0.25">
      <c r="B75" s="138" t="s">
        <v>487</v>
      </c>
      <c r="C75" s="138" t="s">
        <v>488</v>
      </c>
      <c r="D75" s="138" t="s">
        <v>1182</v>
      </c>
      <c r="E75" s="138">
        <f>INDEX('WB Physician Data'!$C$9:$BO$272,MATCH($C75,'WB Physician Data'!$C$9:$C$272,0),MATCH("Latest value",'WB Physician Data'!$C$8:$BO$8,0))</f>
        <v>3.8477576041724832</v>
      </c>
      <c r="F75" s="138">
        <f>INDEX('WB Physician Data'!$C$9:$BO$272,MATCH($C75,'WB Physician Data'!$C$9:$C$272,0),MATCH("Latest year",'WB Physician Data'!$C$8:$BO$8,0))</f>
        <v>2015</v>
      </c>
      <c r="G75" s="138">
        <f>INDEX('WB CHWs Data'!$C$10:$BP$274,MATCH($C75,'WB CHWs Data'!$C$10:$C$274,0),MATCH("Value",'WB CHWs Data'!$C$10:$BP$10,0))</f>
        <v>0.4</v>
      </c>
      <c r="H75" s="138" t="str">
        <f>'WB CHWs Data'!BO77</f>
        <v>No reported value</v>
      </c>
      <c r="I75" s="84">
        <f>'WB Nurses &amp; Midwives data'!BN75</f>
        <v>9.1263260403644342</v>
      </c>
      <c r="J75" s="84">
        <f>'WB Nurses &amp; Midwives data'!BO75</f>
        <v>2015</v>
      </c>
      <c r="K75" s="84">
        <f>IFERROR(INDEX('WHO Labs Data'!$C$7:$I$126,MATCH('HCW Summary Data'!$C75,'WHO Labs Data'!$C$7:$C$126,0),7),'WHO Labs Data'!$M$7)</f>
        <v>0.2276050738661016</v>
      </c>
      <c r="M75" s="78">
        <f>INDEX('Tabular Pop Data by Age'!$AN$8:$AN$271,MATCH($B75,'Tabular Pop Data by Age'!$B$8:$B$271,0))</f>
        <v>341989000</v>
      </c>
      <c r="N75" s="79">
        <f t="shared" si="4"/>
        <v>1315890.7752933435</v>
      </c>
      <c r="O75" s="78">
        <f t="shared" si="5"/>
        <v>136795.6</v>
      </c>
      <c r="P75" s="78">
        <f t="shared" si="6"/>
        <v>3121103.1162181925</v>
      </c>
      <c r="Q75" s="79">
        <f t="shared" si="7"/>
        <v>77838.431606394224</v>
      </c>
    </row>
    <row r="76" spans="2:17" x14ac:dyDescent="0.25">
      <c r="B76" s="138" t="s">
        <v>192</v>
      </c>
      <c r="C76" s="138" t="s">
        <v>168</v>
      </c>
      <c r="D76" s="138" t="s">
        <v>517</v>
      </c>
      <c r="E76" s="138">
        <f>INDEX('WB Physician Data'!$C$9:$BO$272,MATCH($C76,'WB Physician Data'!$C$9:$C$272,0),MATCH("Latest value",'WB Physician Data'!$C$8:$BO$8,0))</f>
        <v>5.57E-2</v>
      </c>
      <c r="F76" s="138">
        <f>INDEX('WB Physician Data'!$C$9:$BO$272,MATCH($C76,'WB Physician Data'!$C$9:$C$272,0),MATCH("Latest year",'WB Physician Data'!$C$8:$BO$8,0))</f>
        <v>2004</v>
      </c>
      <c r="G76" s="138">
        <f>INDEX('WB CHWs Data'!$C$10:$BP$274,MATCH($C76,'WB CHWs Data'!$C$10:$C$274,0),MATCH("Value",'WB CHWs Data'!$C$10:$BP$10,0))</f>
        <v>0.4</v>
      </c>
      <c r="H76" s="138" t="str">
        <f>'WB CHWs Data'!BO78</f>
        <v>No reported value</v>
      </c>
      <c r="I76" s="84">
        <f>'WB Nurses &amp; Midwives data'!BN76</f>
        <v>0.6492</v>
      </c>
      <c r="J76" s="84">
        <f>'WB Nurses &amp; Midwives data'!BO76</f>
        <v>2004</v>
      </c>
      <c r="K76" s="84">
        <f>IFERROR(INDEX('WHO Labs Data'!$C$7:$I$126,MATCH('HCW Summary Data'!$C76,'WHO Labs Data'!$C$7:$C$126,0),7),'WHO Labs Data'!$M$7)</f>
        <v>0</v>
      </c>
      <c r="M76" s="78">
        <f>INDEX('Tabular Pop Data by Age'!$AN$8:$AN$271,MATCH($B76,'Tabular Pop Data by Age'!$B$8:$B$271,0))</f>
        <v>6081196</v>
      </c>
      <c r="N76" s="79">
        <f t="shared" si="4"/>
        <v>338.7226172</v>
      </c>
      <c r="O76" s="78">
        <f t="shared" si="5"/>
        <v>2432.4784</v>
      </c>
      <c r="P76" s="78">
        <f t="shared" si="6"/>
        <v>3947.9124431999999</v>
      </c>
      <c r="Q76" s="79">
        <f t="shared" si="7"/>
        <v>0</v>
      </c>
    </row>
    <row r="77" spans="2:17" x14ac:dyDescent="0.25">
      <c r="B77" s="138" t="s">
        <v>636</v>
      </c>
      <c r="C77" s="138" t="s">
        <v>40</v>
      </c>
      <c r="D77" s="138" t="s">
        <v>664</v>
      </c>
      <c r="E77" s="138">
        <f>INDEX('WB Physician Data'!$C$9:$BO$272,MATCH($C77,'WB Physician Data'!$C$9:$C$272,0),MATCH("Latest value",'WB Physician Data'!$C$8:$BO$8,0))</f>
        <v>4.0690999999999997</v>
      </c>
      <c r="F77" s="138">
        <f>INDEX('WB Physician Data'!$C$9:$BO$272,MATCH($C77,'WB Physician Data'!$C$9:$C$272,0),MATCH("Latest year",'WB Physician Data'!$C$8:$BO$8,0))</f>
        <v>2016</v>
      </c>
      <c r="G77" s="138">
        <f>INDEX('WB CHWs Data'!$C$10:$BP$274,MATCH($C77,'WB CHWs Data'!$C$10:$C$274,0),MATCH("Value",'WB CHWs Data'!$C$10:$BP$10,0))</f>
        <v>0.4</v>
      </c>
      <c r="H77" s="138" t="str">
        <f>'WB CHWs Data'!BO79</f>
        <v>No reported value</v>
      </c>
      <c r="I77" s="84">
        <f>'WB Nurses &amp; Midwives data'!BN77</f>
        <v>5.5307000000000004</v>
      </c>
      <c r="J77" s="84">
        <f>'WB Nurses &amp; Midwives data'!BO77</f>
        <v>2016</v>
      </c>
      <c r="K77" s="84">
        <f>IFERROR(INDEX('WHO Labs Data'!$C$7:$I$126,MATCH('HCW Summary Data'!$C77,'WHO Labs Data'!$C$7:$C$126,0),7),'WHO Labs Data'!$M$7)</f>
        <v>0.2276050738661016</v>
      </c>
      <c r="M77" s="78">
        <f>INDEX('Tabular Pop Data by Age'!$AN$8:$AN$271,MATCH($B77,'Tabular Pop Data by Age'!$B$8:$B$271,0))</f>
        <v>46711000</v>
      </c>
      <c r="N77" s="79">
        <f t="shared" si="4"/>
        <v>190071.73009999999</v>
      </c>
      <c r="O77" s="78">
        <f t="shared" si="5"/>
        <v>18684.400000000001</v>
      </c>
      <c r="P77" s="78">
        <f t="shared" si="6"/>
        <v>258344.52770000001</v>
      </c>
      <c r="Q77" s="79">
        <f t="shared" si="7"/>
        <v>10631.660605359471</v>
      </c>
    </row>
    <row r="78" spans="2:17" x14ac:dyDescent="0.25">
      <c r="B78" s="138" t="s">
        <v>485</v>
      </c>
      <c r="C78" s="138" t="s">
        <v>41</v>
      </c>
      <c r="D78" s="138" t="s">
        <v>561</v>
      </c>
      <c r="E78" s="138">
        <f>INDEX('WB Physician Data'!$C$9:$BO$272,MATCH($C78,'WB Physician Data'!$C$9:$C$272,0),MATCH("Latest value",'WB Physician Data'!$C$8:$BO$8,0))</f>
        <v>3.4651000000000001</v>
      </c>
      <c r="F78" s="138">
        <f>INDEX('WB Physician Data'!$C$9:$BO$272,MATCH($C78,'WB Physician Data'!$C$9:$C$272,0),MATCH("Latest year",'WB Physician Data'!$C$8:$BO$8,0))</f>
        <v>2016</v>
      </c>
      <c r="G78" s="138">
        <f>INDEX('WB CHWs Data'!$C$10:$BP$274,MATCH($C78,'WB CHWs Data'!$C$10:$C$274,0),MATCH("Value",'WB CHWs Data'!$C$10:$BP$10,0))</f>
        <v>3.1E-2</v>
      </c>
      <c r="H78" s="138">
        <f>'WB CHWs Data'!BO80</f>
        <v>2000</v>
      </c>
      <c r="I78" s="84">
        <f>'WB Nurses &amp; Midwives data'!BN78</f>
        <v>6.4526000000000003</v>
      </c>
      <c r="J78" s="84">
        <f>'WB Nurses &amp; Midwives data'!BO78</f>
        <v>2016</v>
      </c>
      <c r="K78" s="84">
        <f>IFERROR(INDEX('WHO Labs Data'!$C$7:$I$126,MATCH('HCW Summary Data'!$C78,'WHO Labs Data'!$C$7:$C$126,0),7),'WHO Labs Data'!$M$7)</f>
        <v>0.2276050738661016</v>
      </c>
      <c r="M78" s="78">
        <f>INDEX('Tabular Pop Data by Age'!$AN$8:$AN$271,MATCH($B78,'Tabular Pop Data by Age'!$B$8:$B$271,0))</f>
        <v>1313000</v>
      </c>
      <c r="N78" s="79">
        <f t="shared" si="4"/>
        <v>4549.6763000000001</v>
      </c>
      <c r="O78" s="78">
        <f t="shared" si="5"/>
        <v>40.703000000000003</v>
      </c>
      <c r="P78" s="78">
        <f t="shared" si="6"/>
        <v>8472.2638000000006</v>
      </c>
      <c r="Q78" s="79">
        <f t="shared" si="7"/>
        <v>298.84546198619142</v>
      </c>
    </row>
    <row r="79" spans="2:17" x14ac:dyDescent="0.25">
      <c r="B79" s="138" t="s">
        <v>194</v>
      </c>
      <c r="C79" s="138" t="s">
        <v>42</v>
      </c>
      <c r="D79" s="138" t="s">
        <v>517</v>
      </c>
      <c r="E79" s="138">
        <f>INDEX('WB Physician Data'!$C$9:$BO$272,MATCH($C79,'WB Physician Data'!$C$9:$C$272,0),MATCH("Latest value",'WB Physician Data'!$C$8:$BO$8,0))</f>
        <v>0.1</v>
      </c>
      <c r="F79" s="138">
        <f>INDEX('WB Physician Data'!$C$9:$BO$272,MATCH($C79,'WB Physician Data'!$C$9:$C$272,0),MATCH("Latest year",'WB Physician Data'!$C$8:$BO$8,0))</f>
        <v>2017</v>
      </c>
      <c r="G79" s="138">
        <f>INDEX('WB CHWs Data'!$C$10:$BP$274,MATCH($C79,'WB CHWs Data'!$C$10:$C$274,0),MATCH("Value",'WB CHWs Data'!$C$10:$BP$10,0))</f>
        <v>0.36299999999999999</v>
      </c>
      <c r="H79" s="138">
        <f>'WB CHWs Data'!BO81</f>
        <v>2009</v>
      </c>
      <c r="I79" s="84">
        <f>'WB Nurses &amp; Midwives data'!BN79</f>
        <v>0.84</v>
      </c>
      <c r="J79" s="84">
        <f>'WB Nurses &amp; Midwives data'!BO79</f>
        <v>2017</v>
      </c>
      <c r="K79" s="84">
        <f>IFERROR(INDEX('WHO Labs Data'!$C$7:$I$126,MATCH('HCW Summary Data'!$C79,'WHO Labs Data'!$C$7:$C$126,0),7),'WHO Labs Data'!$M$7)</f>
        <v>2.5845835642147111E-2</v>
      </c>
      <c r="M79" s="78">
        <f>INDEX('Tabular Pop Data by Age'!$AN$8:$AN$271,MATCH($B79,'Tabular Pop Data by Age'!$B$8:$B$271,0))</f>
        <v>114964000</v>
      </c>
      <c r="N79" s="79">
        <f t="shared" si="4"/>
        <v>11496.400000000001</v>
      </c>
      <c r="O79" s="78">
        <f t="shared" si="5"/>
        <v>41731.932000000001</v>
      </c>
      <c r="P79" s="78">
        <f t="shared" si="6"/>
        <v>96569.76</v>
      </c>
      <c r="Q79" s="79">
        <f t="shared" si="7"/>
        <v>2971.3406487638003</v>
      </c>
    </row>
    <row r="80" spans="2:17" x14ac:dyDescent="0.25">
      <c r="B80" s="138" t="s">
        <v>495</v>
      </c>
      <c r="C80" s="138" t="s">
        <v>496</v>
      </c>
      <c r="D80" s="138" t="s">
        <v>1182</v>
      </c>
      <c r="E80" s="138">
        <f>INDEX('WB Physician Data'!$C$9:$BO$272,MATCH($C80,'WB Physician Data'!$C$9:$C$272,0),MATCH("Latest value",'WB Physician Data'!$C$8:$BO$8,0))</f>
        <v>3.5742495045037481</v>
      </c>
      <c r="F80" s="138">
        <f>INDEX('WB Physician Data'!$C$9:$BO$272,MATCH($C80,'WB Physician Data'!$C$9:$C$272,0),MATCH("Latest year",'WB Physician Data'!$C$8:$BO$8,0))</f>
        <v>2015</v>
      </c>
      <c r="G80" s="138">
        <f>INDEX('WB CHWs Data'!$C$10:$BP$274,MATCH($C80,'WB CHWs Data'!$C$10:$C$274,0),MATCH("Value",'WB CHWs Data'!$C$10:$BP$10,0))</f>
        <v>0.4</v>
      </c>
      <c r="H80" s="138" t="str">
        <f>'WB CHWs Data'!BO82</f>
        <v>No reported value</v>
      </c>
      <c r="I80" s="84">
        <f>'WB Nurses &amp; Midwives data'!BN80</f>
        <v>8.5822719417618902</v>
      </c>
      <c r="J80" s="84">
        <f>'WB Nurses &amp; Midwives data'!BO80</f>
        <v>2015</v>
      </c>
      <c r="K80" s="84">
        <f>IFERROR(INDEX('WHO Labs Data'!$C$7:$I$126,MATCH('HCW Summary Data'!$C80,'WHO Labs Data'!$C$7:$C$126,0),7),'WHO Labs Data'!$M$7)</f>
        <v>0.2276050738661016</v>
      </c>
      <c r="M80" s="78">
        <f>INDEX('Tabular Pop Data by Age'!$AN$8:$AN$271,MATCH($B80,'Tabular Pop Data by Age'!$B$8:$B$271,0))</f>
        <v>513719000</v>
      </c>
      <c r="N80" s="79">
        <f t="shared" si="4"/>
        <v>1836159.8812041611</v>
      </c>
      <c r="O80" s="78">
        <f t="shared" si="5"/>
        <v>205487.6</v>
      </c>
      <c r="P80" s="78">
        <f t="shared" si="6"/>
        <v>4408876.1596499765</v>
      </c>
      <c r="Q80" s="79">
        <f t="shared" si="7"/>
        <v>116925.05094141985</v>
      </c>
    </row>
    <row r="81" spans="2:17" x14ac:dyDescent="0.25">
      <c r="B81" s="138" t="s">
        <v>500</v>
      </c>
      <c r="C81" s="138" t="s">
        <v>501</v>
      </c>
      <c r="D81" s="138" t="s">
        <v>1182</v>
      </c>
      <c r="E81" s="138">
        <f>INDEX('WB Physician Data'!$C$9:$BO$272,MATCH($C81,'WB Physician Data'!$C$9:$C$272,0),MATCH("Latest value",'WB Physician Data'!$C$8:$BO$8,0))</f>
        <v>0.39973797980833775</v>
      </c>
      <c r="F81" s="138">
        <f>INDEX('WB Physician Data'!$C$9:$BO$272,MATCH($C81,'WB Physician Data'!$C$9:$C$272,0),MATCH("Latest year",'WB Physician Data'!$C$8:$BO$8,0))</f>
        <v>2015</v>
      </c>
      <c r="G81" s="138">
        <f>INDEX('WB CHWs Data'!$C$10:$BP$274,MATCH($C81,'WB CHWs Data'!$C$10:$C$274,0),MATCH("Value",'WB CHWs Data'!$C$10:$BP$10,0))</f>
        <v>0.4</v>
      </c>
      <c r="H81" s="138" t="str">
        <f>'WB CHWs Data'!BO83</f>
        <v>No reported value</v>
      </c>
      <c r="I81" s="84">
        <f>'WB Nurses &amp; Midwives data'!BN81</f>
        <v>0.86253797717014757</v>
      </c>
      <c r="J81" s="84">
        <f>'WB Nurses &amp; Midwives data'!BO81</f>
        <v>2015</v>
      </c>
      <c r="K81" s="84">
        <f>IFERROR(INDEX('WHO Labs Data'!$C$7:$I$126,MATCH('HCW Summary Data'!$C81,'WHO Labs Data'!$C$7:$C$126,0),7),'WHO Labs Data'!$M$7)</f>
        <v>0.2276050738661016</v>
      </c>
      <c r="M81" s="78">
        <f>INDEX('Tabular Pop Data by Age'!$AN$8:$AN$271,MATCH($B81,'Tabular Pop Data by Age'!$B$8:$B$271,0))</f>
        <v>538961000</v>
      </c>
      <c r="N81" s="79">
        <f t="shared" si="4"/>
        <v>215443.18133548152</v>
      </c>
      <c r="O81" s="78">
        <f t="shared" si="5"/>
        <v>215584.40000000002</v>
      </c>
      <c r="P81" s="78">
        <f t="shared" si="6"/>
        <v>464874.33071359992</v>
      </c>
      <c r="Q81" s="79">
        <f t="shared" si="7"/>
        <v>122670.25821594798</v>
      </c>
    </row>
    <row r="82" spans="2:17" x14ac:dyDescent="0.25">
      <c r="B82" s="138" t="s">
        <v>499</v>
      </c>
      <c r="C82" s="138" t="s">
        <v>43</v>
      </c>
      <c r="D82" s="138" t="s">
        <v>517</v>
      </c>
      <c r="E82" s="138">
        <f>INDEX('WB Physician Data'!$C$9:$BO$272,MATCH($C82,'WB Physician Data'!$C$9:$C$272,0),MATCH("Latest value",'WB Physician Data'!$C$8:$BO$8,0))</f>
        <v>3.8079999999999998</v>
      </c>
      <c r="F82" s="138">
        <f>INDEX('WB Physician Data'!$C$9:$BO$272,MATCH($C82,'WB Physician Data'!$C$9:$C$272,0),MATCH("Latest year",'WB Physician Data'!$C$8:$BO$8,0))</f>
        <v>2016</v>
      </c>
      <c r="G82" s="138">
        <f>INDEX('WB CHWs Data'!$C$10:$BP$274,MATCH($C82,'WB CHWs Data'!$C$10:$C$274,0),MATCH("Value",'WB CHWs Data'!$C$10:$BP$10,0))</f>
        <v>0.4</v>
      </c>
      <c r="H82" s="138" t="str">
        <f>'WB CHWs Data'!BO84</f>
        <v>No reported value</v>
      </c>
      <c r="I82" s="84">
        <f>'WB Nurses &amp; Midwives data'!BN82</f>
        <v>14.723000000000001</v>
      </c>
      <c r="J82" s="84">
        <f>'WB Nurses &amp; Midwives data'!BO82</f>
        <v>2016</v>
      </c>
      <c r="K82" s="84">
        <f>IFERROR(INDEX('WHO Labs Data'!$C$7:$I$126,MATCH('HCW Summary Data'!$C82,'WHO Labs Data'!$C$7:$C$126,0),7),'WHO Labs Data'!$M$7)</f>
        <v>1.236306303857341</v>
      </c>
      <c r="M82" s="78">
        <f>INDEX('Tabular Pop Data by Age'!$AN$8:$AN$271,MATCH($B82,'Tabular Pop Data by Age'!$B$8:$B$271,0))</f>
        <v>5548000</v>
      </c>
      <c r="N82" s="79">
        <f t="shared" si="4"/>
        <v>21126.784</v>
      </c>
      <c r="O82" s="78">
        <f t="shared" si="5"/>
        <v>2219.2000000000003</v>
      </c>
      <c r="P82" s="78">
        <f t="shared" si="6"/>
        <v>81683.203999999998</v>
      </c>
      <c r="Q82" s="79">
        <f t="shared" si="7"/>
        <v>6859.027373800528</v>
      </c>
    </row>
    <row r="83" spans="2:17" x14ac:dyDescent="0.25">
      <c r="B83" s="138" t="s">
        <v>248</v>
      </c>
      <c r="C83" s="138" t="s">
        <v>44</v>
      </c>
      <c r="D83" s="138" t="s">
        <v>517</v>
      </c>
      <c r="E83" s="138">
        <f>INDEX('WB Physician Data'!$C$9:$BO$272,MATCH($C83,'WB Physician Data'!$C$9:$C$272,0),MATCH("Latest value",'WB Physician Data'!$C$8:$BO$8,0))</f>
        <v>0.83740000000000003</v>
      </c>
      <c r="F83" s="138">
        <f>INDEX('WB Physician Data'!$C$9:$BO$272,MATCH($C83,'WB Physician Data'!$C$9:$C$272,0),MATCH("Latest year",'WB Physician Data'!$C$8:$BO$8,0))</f>
        <v>2015</v>
      </c>
      <c r="G83" s="138">
        <f>INDEX('WB CHWs Data'!$C$10:$BP$274,MATCH($C83,'WB CHWs Data'!$C$10:$C$274,0),MATCH("Value",'WB CHWs Data'!$C$10:$BP$10,0))</f>
        <v>0.4</v>
      </c>
      <c r="H83" s="138" t="str">
        <f>'WB CHWs Data'!BO85</f>
        <v>No reported value</v>
      </c>
      <c r="I83" s="84">
        <f>'WB Nurses &amp; Midwives data'!BN83</f>
        <v>2.9380000000000002</v>
      </c>
      <c r="J83" s="84">
        <f>'WB Nurses &amp; Midwives data'!BO83</f>
        <v>2015</v>
      </c>
      <c r="K83" s="84">
        <f>IFERROR(INDEX('WHO Labs Data'!$C$7:$I$126,MATCH('HCW Summary Data'!$C83,'WHO Labs Data'!$C$7:$C$126,0),7),'WHO Labs Data'!$M$7)</f>
        <v>0.20034341351220114</v>
      </c>
      <c r="M83" s="78">
        <f>INDEX('Tabular Pop Data by Age'!$AN$8:$AN$271,MATCH($B83,'Tabular Pop Data by Age'!$B$8:$B$271,0))</f>
        <v>896000</v>
      </c>
      <c r="N83" s="79">
        <f t="shared" si="4"/>
        <v>750.31040000000007</v>
      </c>
      <c r="O83" s="78">
        <f t="shared" si="5"/>
        <v>358.40000000000003</v>
      </c>
      <c r="P83" s="78">
        <f t="shared" si="6"/>
        <v>2632.4480000000003</v>
      </c>
      <c r="Q83" s="79">
        <f t="shared" si="7"/>
        <v>179.50769850693223</v>
      </c>
    </row>
    <row r="84" spans="2:17" x14ac:dyDescent="0.25">
      <c r="B84" s="138" t="s">
        <v>502</v>
      </c>
      <c r="C84" s="138" t="s">
        <v>45</v>
      </c>
      <c r="D84" s="138" t="s">
        <v>517</v>
      </c>
      <c r="E84" s="138">
        <f>INDEX('WB Physician Data'!$C$9:$BO$272,MATCH($C84,'WB Physician Data'!$C$9:$C$272,0),MATCH("Latest value",'WB Physician Data'!$C$8:$BO$8,0))</f>
        <v>3.2349000000000001</v>
      </c>
      <c r="F84" s="138">
        <f>INDEX('WB Physician Data'!$C$9:$BO$272,MATCH($C84,'WB Physician Data'!$C$9:$C$272,0),MATCH("Latest year",'WB Physician Data'!$C$8:$BO$8,0))</f>
        <v>2016</v>
      </c>
      <c r="G84" s="138">
        <f>INDEX('WB CHWs Data'!$C$10:$BP$274,MATCH($C84,'WB CHWs Data'!$C$10:$C$274,0),MATCH("Value",'WB CHWs Data'!$C$10:$BP$10,0))</f>
        <v>2.8000000000000001E-2</v>
      </c>
      <c r="H84" s="138">
        <f>'WB CHWs Data'!BO86</f>
        <v>2007</v>
      </c>
      <c r="I84" s="84">
        <f>'WB Nurses &amp; Midwives data'!BN84</f>
        <v>9.6887000000000008</v>
      </c>
      <c r="J84" s="84">
        <f>'WB Nurses &amp; Midwives data'!BO84</f>
        <v>2016</v>
      </c>
      <c r="K84" s="84">
        <f>IFERROR(INDEX('WHO Labs Data'!$C$7:$I$126,MATCH('HCW Summary Data'!$C84,'WHO Labs Data'!$C$7:$C$126,0),7),'WHO Labs Data'!$M$7)</f>
        <v>0.2276050738661016</v>
      </c>
      <c r="M84" s="78">
        <f>INDEX('Tabular Pop Data by Age'!$AN$8:$AN$271,MATCH($B84,'Tabular Pop Data by Age'!$B$8:$B$271,0))</f>
        <v>67443000</v>
      </c>
      <c r="N84" s="79">
        <f t="shared" si="4"/>
        <v>218171.36070000002</v>
      </c>
      <c r="O84" s="78">
        <f t="shared" si="5"/>
        <v>1888.404</v>
      </c>
      <c r="P84" s="78">
        <f t="shared" si="6"/>
        <v>653434.99410000001</v>
      </c>
      <c r="Q84" s="79">
        <f t="shared" si="7"/>
        <v>15350.368996751489</v>
      </c>
    </row>
    <row r="85" spans="2:17" x14ac:dyDescent="0.25">
      <c r="B85" s="138" t="s">
        <v>497</v>
      </c>
      <c r="C85" s="138" t="s">
        <v>498</v>
      </c>
      <c r="D85" s="138" t="s">
        <v>664</v>
      </c>
      <c r="E85" s="138" t="str">
        <f>INDEX('WB Physician Data'!$C$9:$BO$272,MATCH($C85,'WB Physician Data'!$C$9:$C$272,0),MATCH("Latest value",'WB Physician Data'!$C$8:$BO$8,0))</f>
        <v>No reported value</v>
      </c>
      <c r="F85" s="138" t="str">
        <f>INDEX('WB Physician Data'!$C$9:$BO$272,MATCH($C85,'WB Physician Data'!$C$9:$C$272,0),MATCH("Latest year",'WB Physician Data'!$C$8:$BO$8,0))</f>
        <v>No reported value</v>
      </c>
      <c r="G85" s="138">
        <f>INDEX('WB CHWs Data'!$C$10:$BP$274,MATCH($C85,'WB CHWs Data'!$C$10:$C$274,0),MATCH("Value",'WB CHWs Data'!$C$10:$BP$10,0))</f>
        <v>0.4</v>
      </c>
      <c r="H85" s="138" t="str">
        <f>'WB CHWs Data'!BO87</f>
        <v>No reported value</v>
      </c>
      <c r="I85" s="84" t="str">
        <f>'WB Nurses &amp; Midwives data'!BN85</f>
        <v>No reported value</v>
      </c>
      <c r="J85" s="84" t="str">
        <f>'WB Nurses &amp; Midwives data'!BO85</f>
        <v>No reported value</v>
      </c>
      <c r="K85" s="84">
        <f>IFERROR(INDEX('WHO Labs Data'!$C$7:$I$126,MATCH('HCW Summary Data'!$C85,'WHO Labs Data'!$C$7:$C$126,0),7),'WHO Labs Data'!$M$7)</f>
        <v>0.2276050738661016</v>
      </c>
      <c r="M85" s="78">
        <f>INDEX('Tabular Pop Data by Age'!$AN$8:$AN$271,MATCH($B85,'Tabular Pop Data by Age'!$B$8:$B$271,0))</f>
        <v>49000</v>
      </c>
      <c r="N85" s="79">
        <f t="shared" si="4"/>
        <v>0</v>
      </c>
      <c r="O85" s="78">
        <f t="shared" si="5"/>
        <v>19.600000000000001</v>
      </c>
      <c r="P85" s="78">
        <f t="shared" si="6"/>
        <v>0</v>
      </c>
      <c r="Q85" s="79">
        <f t="shared" si="7"/>
        <v>11.152648619438978</v>
      </c>
    </row>
    <row r="86" spans="2:17" x14ac:dyDescent="0.25">
      <c r="B86" s="138" t="s">
        <v>570</v>
      </c>
      <c r="C86" s="138" t="s">
        <v>571</v>
      </c>
      <c r="D86" s="138" t="s">
        <v>561</v>
      </c>
      <c r="E86" s="138">
        <f>INDEX('WB Physician Data'!$C$9:$BO$272,MATCH($C86,'WB Physician Data'!$C$9:$C$272,0),MATCH("Latest value",'WB Physician Data'!$C$8:$BO$8,0))</f>
        <v>0.17699999999999999</v>
      </c>
      <c r="F86" s="138">
        <f>INDEX('WB Physician Data'!$C$9:$BO$272,MATCH($C86,'WB Physician Data'!$C$9:$C$272,0),MATCH("Latest year",'WB Physician Data'!$C$8:$BO$8,0))</f>
        <v>2010</v>
      </c>
      <c r="G86" s="138">
        <f>INDEX('WB CHWs Data'!$C$10:$BP$274,MATCH($C86,'WB CHWs Data'!$C$10:$C$274,0),MATCH("Value",'WB CHWs Data'!$C$10:$BP$10,0))</f>
        <v>0.29699999999999999</v>
      </c>
      <c r="H86" s="138">
        <f>'WB CHWs Data'!BO88</f>
        <v>2008</v>
      </c>
      <c r="I86" s="84">
        <f>'WB Nurses &amp; Midwives data'!BN86</f>
        <v>3.319</v>
      </c>
      <c r="J86" s="84">
        <f>'WB Nurses &amp; Midwives data'!BO86</f>
        <v>2010</v>
      </c>
      <c r="K86" s="84">
        <f>IFERROR(INDEX('WHO Labs Data'!$C$7:$I$126,MATCH('HCW Summary Data'!$C86,'WHO Labs Data'!$C$7:$C$126,0),7),'WHO Labs Data'!$M$7)</f>
        <v>0.29296875</v>
      </c>
      <c r="M86" s="78">
        <f>INDEX('Tabular Pop Data by Age'!$AN$8:$AN$271,MATCH($B86,'Tabular Pop Data by Age'!$B$8:$B$271,0))</f>
        <v>115000</v>
      </c>
      <c r="N86" s="79">
        <f t="shared" si="4"/>
        <v>20.355</v>
      </c>
      <c r="O86" s="78">
        <f t="shared" si="5"/>
        <v>34.155000000000001</v>
      </c>
      <c r="P86" s="78">
        <f t="shared" si="6"/>
        <v>381.685</v>
      </c>
      <c r="Q86" s="79">
        <f t="shared" si="7"/>
        <v>33.69140625</v>
      </c>
    </row>
    <row r="87" spans="2:17" x14ac:dyDescent="0.25">
      <c r="B87" s="138" t="s">
        <v>195</v>
      </c>
      <c r="C87" s="138" t="s">
        <v>46</v>
      </c>
      <c r="D87" s="138" t="s">
        <v>559</v>
      </c>
      <c r="E87" s="138">
        <f>INDEX('WB Physician Data'!$C$9:$BO$272,MATCH($C87,'WB Physician Data'!$C$9:$C$272,0),MATCH("Latest value",'WB Physician Data'!$C$8:$BO$8,0))</f>
        <v>0.36109999999999998</v>
      </c>
      <c r="F87" s="138">
        <f>INDEX('WB Physician Data'!$C$9:$BO$272,MATCH($C87,'WB Physician Data'!$C$9:$C$272,0),MATCH("Latest year",'WB Physician Data'!$C$8:$BO$8,0))</f>
        <v>2016</v>
      </c>
      <c r="G87" s="138">
        <f>INDEX('WB CHWs Data'!$C$10:$BP$274,MATCH($C87,'WB CHWs Data'!$C$10:$C$274,0),MATCH("Value",'WB CHWs Data'!$C$10:$BP$10,0))</f>
        <v>0.4</v>
      </c>
      <c r="H87" s="138" t="str">
        <f>'WB CHWs Data'!BO89</f>
        <v>No reported value</v>
      </c>
      <c r="I87" s="84">
        <f>'WB Nurses &amp; Midwives data'!BN87</f>
        <v>2.5806</v>
      </c>
      <c r="J87" s="84">
        <f>'WB Nurses &amp; Midwives data'!BO87</f>
        <v>2016</v>
      </c>
      <c r="K87" s="84">
        <f>IFERROR(INDEX('WHO Labs Data'!$C$7:$I$126,MATCH('HCW Summary Data'!$C87,'WHO Labs Data'!$C$7:$C$126,0),7),'WHO Labs Data'!$M$7)</f>
        <v>0.1354236708308266</v>
      </c>
      <c r="M87" s="78">
        <f>INDEX('Tabular Pop Data by Age'!$AN$8:$AN$271,MATCH($B87,'Tabular Pop Data by Age'!$B$8:$B$271,0))</f>
        <v>2226000</v>
      </c>
      <c r="N87" s="79">
        <f t="shared" si="4"/>
        <v>803.80859999999996</v>
      </c>
      <c r="O87" s="78">
        <f t="shared" si="5"/>
        <v>890.40000000000009</v>
      </c>
      <c r="P87" s="78">
        <f t="shared" si="6"/>
        <v>5744.4156000000003</v>
      </c>
      <c r="Q87" s="79">
        <f t="shared" si="7"/>
        <v>301.45309126941999</v>
      </c>
    </row>
    <row r="88" spans="2:17" x14ac:dyDescent="0.25">
      <c r="B88" s="138" t="s">
        <v>662</v>
      </c>
      <c r="C88" s="138" t="s">
        <v>47</v>
      </c>
      <c r="D88" s="138" t="s">
        <v>517</v>
      </c>
      <c r="E88" s="138">
        <f>INDEX('WB Physician Data'!$C$9:$BO$272,MATCH($C88,'WB Physician Data'!$C$9:$C$272,0),MATCH("Latest value",'WB Physician Data'!$C$8:$BO$8,0))</f>
        <v>2.8058000000000001</v>
      </c>
      <c r="F88" s="138">
        <f>INDEX('WB Physician Data'!$C$9:$BO$272,MATCH($C88,'WB Physician Data'!$C$9:$C$272,0),MATCH("Latest year",'WB Physician Data'!$C$8:$BO$8,0))</f>
        <v>2017</v>
      </c>
      <c r="G88" s="138">
        <f>INDEX('WB CHWs Data'!$C$10:$BP$274,MATCH($C88,'WB CHWs Data'!$C$10:$C$274,0),MATCH("Value",'WB CHWs Data'!$C$10:$BP$10,0))</f>
        <v>0.4</v>
      </c>
      <c r="H88" s="138" t="str">
        <f>'WB CHWs Data'!BO90</f>
        <v>No reported value</v>
      </c>
      <c r="I88" s="84">
        <f>'WB Nurses &amp; Midwives data'!BN88</f>
        <v>8.2878000000000007</v>
      </c>
      <c r="J88" s="84">
        <f>'WB Nurses &amp; Midwives data'!BO88</f>
        <v>2017</v>
      </c>
      <c r="K88" s="84">
        <f>IFERROR(INDEX('WHO Labs Data'!$C$7:$I$126,MATCH('HCW Summary Data'!$C88,'WHO Labs Data'!$C$7:$C$126,0),7),'WHO Labs Data'!$M$7)</f>
        <v>0.2276050738661016</v>
      </c>
      <c r="M88" s="78">
        <f>INDEX('Tabular Pop Data by Age'!$AN$8:$AN$271,MATCH($B88,'Tabular Pop Data by Age'!$B$8:$B$271,0))</f>
        <v>67224000</v>
      </c>
      <c r="N88" s="79">
        <f t="shared" si="4"/>
        <v>188617.0992</v>
      </c>
      <c r="O88" s="78">
        <f t="shared" si="5"/>
        <v>26889.600000000002</v>
      </c>
      <c r="P88" s="78">
        <f t="shared" si="6"/>
        <v>557139.06720000005</v>
      </c>
      <c r="Q88" s="79">
        <f t="shared" si="7"/>
        <v>15300.523485574813</v>
      </c>
    </row>
    <row r="89" spans="2:17" x14ac:dyDescent="0.25">
      <c r="B89" s="138" t="s">
        <v>236</v>
      </c>
      <c r="C89" s="138" t="s">
        <v>48</v>
      </c>
      <c r="D89" s="138" t="s">
        <v>517</v>
      </c>
      <c r="E89" s="138">
        <f>INDEX('WB Physician Data'!$C$9:$BO$272,MATCH($C89,'WB Physician Data'!$C$9:$C$272,0),MATCH("Latest value",'WB Physician Data'!$C$8:$BO$8,0))</f>
        <v>5.0975999999999999</v>
      </c>
      <c r="F89" s="138">
        <f>INDEX('WB Physician Data'!$C$9:$BO$272,MATCH($C89,'WB Physician Data'!$C$9:$C$272,0),MATCH("Latest year",'WB Physician Data'!$C$8:$BO$8,0))</f>
        <v>2015</v>
      </c>
      <c r="G89" s="138">
        <f>INDEX('WB CHWs Data'!$C$10:$BP$274,MATCH($C89,'WB CHWs Data'!$C$10:$C$274,0),MATCH("Value",'WB CHWs Data'!$C$10:$BP$10,0))</f>
        <v>0.4</v>
      </c>
      <c r="H89" s="138" t="str">
        <f>'WB CHWs Data'!BO91</f>
        <v>No reported value</v>
      </c>
      <c r="I89" s="84">
        <f>'WB Nurses &amp; Midwives data'!BN89</f>
        <v>4.0914000000000001</v>
      </c>
      <c r="J89" s="84">
        <f>'WB Nurses &amp; Midwives data'!BO89</f>
        <v>2015</v>
      </c>
      <c r="K89" s="84">
        <f>IFERROR(INDEX('WHO Labs Data'!$C$7:$I$126,MATCH('HCW Summary Data'!$C89,'WHO Labs Data'!$C$7:$C$126,0),7),'WHO Labs Data'!$M$7)</f>
        <v>0.2276050738661016</v>
      </c>
      <c r="M89" s="78">
        <f>INDEX('Tabular Pop Data by Age'!$AN$8:$AN$271,MATCH($B89,'Tabular Pop Data by Age'!$B$8:$B$271,0))</f>
        <v>3711000</v>
      </c>
      <c r="N89" s="79">
        <f t="shared" si="4"/>
        <v>18917.193599999999</v>
      </c>
      <c r="O89" s="78">
        <f t="shared" si="5"/>
        <v>1484.4</v>
      </c>
      <c r="P89" s="78">
        <f t="shared" si="6"/>
        <v>15183.1854</v>
      </c>
      <c r="Q89" s="79">
        <f t="shared" si="7"/>
        <v>844.64242911710301</v>
      </c>
    </row>
    <row r="90" spans="2:17" x14ac:dyDescent="0.25">
      <c r="B90" s="138" t="s">
        <v>196</v>
      </c>
      <c r="C90" s="138" t="s">
        <v>162</v>
      </c>
      <c r="D90" s="138" t="s">
        <v>517</v>
      </c>
      <c r="E90" s="138">
        <f>INDEX('WB Physician Data'!$C$9:$BO$272,MATCH($C90,'WB Physician Data'!$C$9:$C$272,0),MATCH("Latest value",'WB Physician Data'!$C$8:$BO$8,0))</f>
        <v>0.18</v>
      </c>
      <c r="F90" s="138">
        <f>INDEX('WB Physician Data'!$C$9:$BO$272,MATCH($C90,'WB Physician Data'!$C$9:$C$272,0),MATCH("Latest year",'WB Physician Data'!$C$8:$BO$8,0))</f>
        <v>2017</v>
      </c>
      <c r="G90" s="138">
        <f>INDEX('WB CHWs Data'!$C$10:$BP$274,MATCH($C90,'WB CHWs Data'!$C$10:$C$274,0),MATCH("Value",'WB CHWs Data'!$C$10:$BP$10,0))</f>
        <v>0.19500000000000001</v>
      </c>
      <c r="H90" s="138">
        <f>'WB CHWs Data'!BO92</f>
        <v>2008</v>
      </c>
      <c r="I90" s="84">
        <f>'WB Nurses &amp; Midwives data'!BN90</f>
        <v>1.2</v>
      </c>
      <c r="J90" s="84">
        <f>'WB Nurses &amp; Midwives data'!BO90</f>
        <v>2017</v>
      </c>
      <c r="K90" s="84">
        <f>IFERROR(INDEX('WHO Labs Data'!$C$7:$I$126,MATCH('HCW Summary Data'!$C90,'WHO Labs Data'!$C$7:$C$126,0),7),'WHO Labs Data'!$M$7)</f>
        <v>0.13393978346838398</v>
      </c>
      <c r="M90" s="78">
        <f>INDEX('Tabular Pop Data by Age'!$AN$8:$AN$271,MATCH($B90,'Tabular Pop Data by Age'!$B$8:$B$271,0))</f>
        <v>31073000</v>
      </c>
      <c r="N90" s="79">
        <f t="shared" si="4"/>
        <v>5593.1399999999994</v>
      </c>
      <c r="O90" s="78">
        <f t="shared" si="5"/>
        <v>6059.2350000000006</v>
      </c>
      <c r="P90" s="78">
        <f t="shared" si="6"/>
        <v>37287.599999999999</v>
      </c>
      <c r="Q90" s="79">
        <f t="shared" si="7"/>
        <v>4161.9108917130952</v>
      </c>
    </row>
    <row r="91" spans="2:17" x14ac:dyDescent="0.25">
      <c r="B91" s="138" t="s">
        <v>507</v>
      </c>
      <c r="C91" s="138" t="s">
        <v>508</v>
      </c>
      <c r="D91" s="138" t="s">
        <v>517</v>
      </c>
      <c r="E91" s="138" t="str">
        <f>INDEX('WB Physician Data'!$C$9:$BO$272,MATCH($C91,'WB Physician Data'!$C$9:$C$272,0),MATCH("Latest value",'WB Physician Data'!$C$8:$BO$8,0))</f>
        <v>No reported value</v>
      </c>
      <c r="F91" s="138" t="str">
        <f>INDEX('WB Physician Data'!$C$9:$BO$272,MATCH($C91,'WB Physician Data'!$C$9:$C$272,0),MATCH("Latest year",'WB Physician Data'!$C$8:$BO$8,0))</f>
        <v>No reported value</v>
      </c>
      <c r="G91" s="138">
        <f>INDEX('WB CHWs Data'!$C$10:$BP$274,MATCH($C91,'WB CHWs Data'!$C$10:$C$274,0),MATCH("Value",'WB CHWs Data'!$C$10:$BP$10,0))</f>
        <v>0.4</v>
      </c>
      <c r="H91" s="138" t="str">
        <f>'WB CHWs Data'!BO93</f>
        <v>No reported value</v>
      </c>
      <c r="I91" s="84" t="str">
        <f>'WB Nurses &amp; Midwives data'!BN91</f>
        <v>No reported value</v>
      </c>
      <c r="J91" s="84" t="str">
        <f>'WB Nurses &amp; Midwives data'!BO91</f>
        <v>No reported value</v>
      </c>
      <c r="K91" s="84">
        <f>IFERROR(INDEX('WHO Labs Data'!$C$7:$I$126,MATCH('HCW Summary Data'!$C91,'WHO Labs Data'!$C$7:$C$126,0),7),'WHO Labs Data'!$M$7)</f>
        <v>0.2276050738661016</v>
      </c>
      <c r="M91" s="78">
        <f>INDEX('Tabular Pop Data by Age'!$AN$8:$AN$271,MATCH($B91,'Tabular Pop Data by Age'!$B$8:$B$271,0))</f>
        <v>34000</v>
      </c>
      <c r="N91" s="79">
        <f t="shared" si="4"/>
        <v>0</v>
      </c>
      <c r="O91" s="78">
        <f t="shared" si="5"/>
        <v>13.600000000000001</v>
      </c>
      <c r="P91" s="78">
        <f t="shared" si="6"/>
        <v>0</v>
      </c>
      <c r="Q91" s="79">
        <f t="shared" si="7"/>
        <v>7.7385725114474546</v>
      </c>
    </row>
    <row r="92" spans="2:17" x14ac:dyDescent="0.25">
      <c r="B92" s="138" t="s">
        <v>197</v>
      </c>
      <c r="C92" s="138" t="s">
        <v>49</v>
      </c>
      <c r="D92" s="138" t="s">
        <v>559</v>
      </c>
      <c r="E92" s="138">
        <f>INDEX('WB Physician Data'!$C$9:$BO$272,MATCH($C92,'WB Physician Data'!$C$9:$C$272,0),MATCH("Latest value",'WB Physician Data'!$C$8:$BO$8,0))</f>
        <v>7.8799999999999995E-2</v>
      </c>
      <c r="F92" s="138">
        <f>INDEX('WB Physician Data'!$C$9:$BO$272,MATCH($C92,'WB Physician Data'!$C$9:$C$272,0),MATCH("Latest year",'WB Physician Data'!$C$8:$BO$8,0))</f>
        <v>2016</v>
      </c>
      <c r="G92" s="138">
        <f>INDEX('WB CHWs Data'!$C$10:$BP$274,MATCH($C92,'WB CHWs Data'!$C$10:$C$274,0),MATCH("Value",'WB CHWs Data'!$C$10:$BP$10,0))</f>
        <v>0.51700000000000002</v>
      </c>
      <c r="H92" s="138">
        <f>'WB CHWs Data'!BO94</f>
        <v>2016</v>
      </c>
      <c r="I92" s="84">
        <f>'WB Nurses &amp; Midwives data'!BN92</f>
        <v>0.38440000000000002</v>
      </c>
      <c r="J92" s="84">
        <f>'WB Nurses &amp; Midwives data'!BO92</f>
        <v>2016</v>
      </c>
      <c r="K92" s="84">
        <f>IFERROR(INDEX('WHO Labs Data'!$C$7:$I$126,MATCH('HCW Summary Data'!$C92,'WHO Labs Data'!$C$7:$C$126,0),7),'WHO Labs Data'!$M$7)</f>
        <v>1.6835399254312641E-2</v>
      </c>
      <c r="M92" s="78">
        <f>INDEX('Tabular Pop Data by Age'!$AN$8:$AN$271,MATCH($B92,'Tabular Pop Data by Age'!$B$8:$B$271,0))</f>
        <v>13133000</v>
      </c>
      <c r="N92" s="79">
        <f t="shared" si="4"/>
        <v>1034.8804</v>
      </c>
      <c r="O92" s="78">
        <f t="shared" si="5"/>
        <v>6789.7610000000004</v>
      </c>
      <c r="P92" s="78">
        <f t="shared" si="6"/>
        <v>5048.3252000000002</v>
      </c>
      <c r="Q92" s="79">
        <f t="shared" si="7"/>
        <v>221.09929840688793</v>
      </c>
    </row>
    <row r="93" spans="2:17" x14ac:dyDescent="0.25">
      <c r="B93" s="138" t="s">
        <v>505</v>
      </c>
      <c r="C93" s="138" t="s">
        <v>50</v>
      </c>
      <c r="D93" s="138" t="s">
        <v>664</v>
      </c>
      <c r="E93" s="138">
        <f>INDEX('WB Physician Data'!$C$9:$BO$272,MATCH($C93,'WB Physician Data'!$C$9:$C$272,0),MATCH("Latest value",'WB Physician Data'!$C$8:$BO$8,0))</f>
        <v>0.1077</v>
      </c>
      <c r="F93" s="138">
        <f>INDEX('WB Physician Data'!$C$9:$BO$272,MATCH($C93,'WB Physician Data'!$C$9:$C$272,0),MATCH("Latest year",'WB Physician Data'!$C$8:$BO$8,0))</f>
        <v>2015</v>
      </c>
      <c r="G93" s="138">
        <f>INDEX('WB CHWs Data'!$C$10:$BP$274,MATCH($C93,'WB CHWs Data'!$C$10:$C$274,0),MATCH("Value",'WB CHWs Data'!$C$10:$BP$10,0))</f>
        <v>0.72499999999999998</v>
      </c>
      <c r="H93" s="138">
        <f>'WB CHWs Data'!BO95</f>
        <v>2008</v>
      </c>
      <c r="I93" s="84">
        <f>'WB Nurses &amp; Midwives data'!BN93</f>
        <v>1.6292</v>
      </c>
      <c r="J93" s="84">
        <f>'WB Nurses &amp; Midwives data'!BO93</f>
        <v>2015</v>
      </c>
      <c r="K93" s="84">
        <f>IFERROR(INDEX('WHO Labs Data'!$C$7:$I$126,MATCH('HCW Summary Data'!$C93,'WHO Labs Data'!$C$7:$C$126,0),7),'WHO Labs Data'!$M$7)</f>
        <v>6.6663684343946025E-2</v>
      </c>
      <c r="M93" s="78">
        <f>INDEX('Tabular Pop Data by Age'!$AN$8:$AN$271,MATCH($B93,'Tabular Pop Data by Age'!$B$8:$B$271,0))</f>
        <v>2417000</v>
      </c>
      <c r="N93" s="79">
        <f t="shared" si="4"/>
        <v>260.3109</v>
      </c>
      <c r="O93" s="78">
        <f t="shared" si="5"/>
        <v>1752.325</v>
      </c>
      <c r="P93" s="78">
        <f t="shared" si="6"/>
        <v>3937.7763999999997</v>
      </c>
      <c r="Q93" s="79">
        <f t="shared" si="7"/>
        <v>161.12612505931753</v>
      </c>
    </row>
    <row r="94" spans="2:17" x14ac:dyDescent="0.25">
      <c r="B94" s="138" t="s">
        <v>198</v>
      </c>
      <c r="C94" s="138" t="s">
        <v>172</v>
      </c>
      <c r="D94" s="138" t="s">
        <v>664</v>
      </c>
      <c r="E94" s="138">
        <f>INDEX('WB Physician Data'!$C$9:$BO$272,MATCH($C94,'WB Physician Data'!$C$9:$C$272,0),MATCH("Latest value",'WB Physician Data'!$C$8:$BO$8,0))</f>
        <v>0.2</v>
      </c>
      <c r="F94" s="138">
        <f>INDEX('WB Physician Data'!$C$9:$BO$272,MATCH($C94,'WB Physician Data'!$C$9:$C$272,0),MATCH("Latest year",'WB Physician Data'!$C$8:$BO$8,0))</f>
        <v>2015</v>
      </c>
      <c r="G94" s="138">
        <f>INDEX('WB CHWs Data'!$C$10:$BP$274,MATCH($C94,'WB CHWs Data'!$C$10:$C$274,0),MATCH("Value",'WB CHWs Data'!$C$10:$BP$10,0))</f>
        <v>1.645</v>
      </c>
      <c r="H94" s="138">
        <f>'WB CHWs Data'!BO96</f>
        <v>2004</v>
      </c>
      <c r="I94" s="84">
        <f>'WB Nurses &amp; Midwives data'!BN94</f>
        <v>1.4</v>
      </c>
      <c r="J94" s="84">
        <f>'WB Nurses &amp; Midwives data'!BO94</f>
        <v>2015</v>
      </c>
      <c r="K94" s="84">
        <f>IFERROR(INDEX('WHO Labs Data'!$C$7:$I$126,MATCH('HCW Summary Data'!$C94,'WHO Labs Data'!$C$7:$C$126,0),7),'WHO Labs Data'!$M$7)</f>
        <v>0.11044070107970458</v>
      </c>
      <c r="M94" s="78">
        <f>INDEX('Tabular Pop Data by Age'!$AN$8:$AN$271,MATCH($B94,'Tabular Pop Data by Age'!$B$8:$B$271,0))</f>
        <v>1968000</v>
      </c>
      <c r="N94" s="79">
        <f t="shared" si="4"/>
        <v>393.6</v>
      </c>
      <c r="O94" s="78">
        <f t="shared" si="5"/>
        <v>3237.36</v>
      </c>
      <c r="P94" s="78">
        <f t="shared" si="6"/>
        <v>2755.2</v>
      </c>
      <c r="Q94" s="79">
        <f t="shared" si="7"/>
        <v>217.3472997248586</v>
      </c>
    </row>
    <row r="95" spans="2:17" x14ac:dyDescent="0.25">
      <c r="B95" s="138" t="s">
        <v>191</v>
      </c>
      <c r="C95" s="138" t="s">
        <v>174</v>
      </c>
      <c r="D95" s="138" t="s">
        <v>559</v>
      </c>
      <c r="E95" s="138">
        <f>INDEX('WB Physician Data'!$C$9:$BO$272,MATCH($C95,'WB Physician Data'!$C$9:$C$272,0),MATCH("Latest value",'WB Physician Data'!$C$8:$BO$8,0))</f>
        <v>0.4</v>
      </c>
      <c r="F95" s="138">
        <f>INDEX('WB Physician Data'!$C$9:$BO$272,MATCH($C95,'WB Physician Data'!$C$9:$C$272,0),MATCH("Latest year",'WB Physician Data'!$C$8:$BO$8,0))</f>
        <v>2017</v>
      </c>
      <c r="G95" s="138">
        <f>INDEX('WB CHWs Data'!$C$10:$BP$274,MATCH($C95,'WB CHWs Data'!$C$10:$C$274,0),MATCH("Value",'WB CHWs Data'!$C$10:$BP$10,0))</f>
        <v>0.50800000000000001</v>
      </c>
      <c r="H95" s="138">
        <f>'WB CHWs Data'!BO97</f>
        <v>2004</v>
      </c>
      <c r="I95" s="84">
        <f>'WB Nurses &amp; Midwives data'!BN95</f>
        <v>0.5</v>
      </c>
      <c r="J95" s="84">
        <f>'WB Nurses &amp; Midwives data'!BO95</f>
        <v>2017</v>
      </c>
      <c r="K95" s="84">
        <f>IFERROR(INDEX('WHO Labs Data'!$C$7:$I$126,MATCH('HCW Summary Data'!$C95,'WHO Labs Data'!$C$7:$C$126,0),7),'WHO Labs Data'!$M$7)</f>
        <v>6.3408440503783886E-2</v>
      </c>
      <c r="M95" s="78">
        <f>INDEX('Tabular Pop Data by Age'!$AN$8:$AN$271,MATCH($B95,'Tabular Pop Data by Age'!$B$8:$B$271,0))</f>
        <v>1403000</v>
      </c>
      <c r="N95" s="79">
        <f t="shared" si="4"/>
        <v>561.20000000000005</v>
      </c>
      <c r="O95" s="78">
        <f t="shared" si="5"/>
        <v>712.72400000000005</v>
      </c>
      <c r="P95" s="78">
        <f t="shared" si="6"/>
        <v>701.5</v>
      </c>
      <c r="Q95" s="79">
        <f t="shared" si="7"/>
        <v>88.962042026808788</v>
      </c>
    </row>
    <row r="96" spans="2:17" x14ac:dyDescent="0.25">
      <c r="B96" s="138" t="s">
        <v>509</v>
      </c>
      <c r="C96" s="138" t="s">
        <v>51</v>
      </c>
      <c r="D96" s="138" t="s">
        <v>517</v>
      </c>
      <c r="E96" s="138">
        <f>INDEX('WB Physician Data'!$C$9:$BO$272,MATCH($C96,'WB Physician Data'!$C$9:$C$272,0),MATCH("Latest value",'WB Physician Data'!$C$8:$BO$8,0))</f>
        <v>4.5919999999999996</v>
      </c>
      <c r="F96" s="138">
        <f>INDEX('WB Physician Data'!$C$9:$BO$272,MATCH($C96,'WB Physician Data'!$C$9:$C$272,0),MATCH("Latest year",'WB Physician Data'!$C$8:$BO$8,0))</f>
        <v>2016</v>
      </c>
      <c r="G96" s="138">
        <f>INDEX('WB CHWs Data'!$C$10:$BP$274,MATCH($C96,'WB CHWs Data'!$C$10:$C$274,0),MATCH("Value",'WB CHWs Data'!$C$10:$BP$10,0))</f>
        <v>0.4</v>
      </c>
      <c r="H96" s="138" t="str">
        <f>'WB CHWs Data'!BO98</f>
        <v>No reported value</v>
      </c>
      <c r="I96" s="84">
        <f>'WB Nurses &amp; Midwives data'!BN96</f>
        <v>3.3727999999999998</v>
      </c>
      <c r="J96" s="84">
        <f>'WB Nurses &amp; Midwives data'!BO96</f>
        <v>2016</v>
      </c>
      <c r="K96" s="84">
        <f>IFERROR(INDEX('WHO Labs Data'!$C$7:$I$126,MATCH('HCW Summary Data'!$C96,'WHO Labs Data'!$C$7:$C$126,0),7),'WHO Labs Data'!$M$7)</f>
        <v>0.57701263685639781</v>
      </c>
      <c r="M96" s="78">
        <f>INDEX('Tabular Pop Data by Age'!$AN$8:$AN$271,MATCH($B96,'Tabular Pop Data by Age'!$B$8:$B$271,0))</f>
        <v>10665000</v>
      </c>
      <c r="N96" s="79">
        <f t="shared" si="4"/>
        <v>48973.679999999993</v>
      </c>
      <c r="O96" s="78">
        <f t="shared" si="5"/>
        <v>4266</v>
      </c>
      <c r="P96" s="78">
        <f t="shared" si="6"/>
        <v>35970.911999999997</v>
      </c>
      <c r="Q96" s="79">
        <f t="shared" si="7"/>
        <v>6153.8397720734829</v>
      </c>
    </row>
    <row r="97" spans="2:17" x14ac:dyDescent="0.25">
      <c r="B97" s="138" t="s">
        <v>512</v>
      </c>
      <c r="C97" s="138" t="s">
        <v>52</v>
      </c>
      <c r="D97" s="138" t="s">
        <v>517</v>
      </c>
      <c r="E97" s="138">
        <f>INDEX('WB Physician Data'!$C$9:$BO$272,MATCH($C97,'WB Physician Data'!$C$9:$C$272,0),MATCH("Latest value",'WB Physician Data'!$C$8:$BO$8,0))</f>
        <v>1.4471000000000001</v>
      </c>
      <c r="F97" s="138">
        <f>INDEX('WB Physician Data'!$C$9:$BO$272,MATCH($C97,'WB Physician Data'!$C$9:$C$272,0),MATCH("Latest year",'WB Physician Data'!$C$8:$BO$8,0))</f>
        <v>2017</v>
      </c>
      <c r="G97" s="138">
        <f>INDEX('WB CHWs Data'!$C$10:$BP$274,MATCH($C97,'WB CHWs Data'!$C$10:$C$274,0),MATCH("Value",'WB CHWs Data'!$C$10:$BP$10,0))</f>
        <v>0.44</v>
      </c>
      <c r="H97" s="138">
        <f>'WB CHWs Data'!BO99</f>
        <v>2003</v>
      </c>
      <c r="I97" s="84">
        <f>'WB Nurses &amp; Midwives data'!BN97</f>
        <v>3.1446999999999998</v>
      </c>
      <c r="J97" s="84">
        <f>'WB Nurses &amp; Midwives data'!BO97</f>
        <v>2017</v>
      </c>
      <c r="K97" s="84">
        <f>IFERROR(INDEX('WHO Labs Data'!$C$7:$I$126,MATCH('HCW Summary Data'!$C97,'WHO Labs Data'!$C$7:$C$126,0),7),'WHO Labs Data'!$M$7)</f>
        <v>0.11664004880937427</v>
      </c>
      <c r="M97" s="78">
        <f>INDEX('Tabular Pop Data by Age'!$AN$8:$AN$271,MATCH($B97,'Tabular Pop Data by Age'!$B$8:$B$271,0))</f>
        <v>113000</v>
      </c>
      <c r="N97" s="79">
        <f t="shared" si="4"/>
        <v>163.5223</v>
      </c>
      <c r="O97" s="78">
        <f t="shared" si="5"/>
        <v>49.72</v>
      </c>
      <c r="P97" s="78">
        <f t="shared" si="6"/>
        <v>355.35109999999997</v>
      </c>
      <c r="Q97" s="79">
        <f t="shared" si="7"/>
        <v>13.180325515459293</v>
      </c>
    </row>
    <row r="98" spans="2:17" x14ac:dyDescent="0.25">
      <c r="B98" s="138" t="s">
        <v>510</v>
      </c>
      <c r="C98" s="138" t="s">
        <v>511</v>
      </c>
      <c r="D98" s="138" t="s">
        <v>664</v>
      </c>
      <c r="E98" s="138">
        <f>INDEX('WB Physician Data'!$C$9:$BO$272,MATCH($C98,'WB Physician Data'!$C$9:$C$272,0),MATCH("Latest value",'WB Physician Data'!$C$8:$BO$8,0))</f>
        <v>1.135</v>
      </c>
      <c r="F98" s="138">
        <f>INDEX('WB Physician Data'!$C$9:$BO$272,MATCH($C98,'WB Physician Data'!$C$9:$C$272,0),MATCH("Latest year",'WB Physician Data'!$C$8:$BO$8,0))</f>
        <v>1980</v>
      </c>
      <c r="G98" s="138">
        <f>INDEX('WB CHWs Data'!$C$10:$BP$274,MATCH($C98,'WB CHWs Data'!$C$10:$C$274,0),MATCH("Value",'WB CHWs Data'!$C$10:$BP$10,0))</f>
        <v>0.4</v>
      </c>
      <c r="H98" s="138" t="str">
        <f>'WB CHWs Data'!BO100</f>
        <v>No reported value</v>
      </c>
      <c r="I98" s="84" t="str">
        <f>'WB Nurses &amp; Midwives data'!BN98</f>
        <v>No reported value</v>
      </c>
      <c r="J98" s="84" t="str">
        <f>'WB Nurses &amp; Midwives data'!BO98</f>
        <v>No reported value</v>
      </c>
      <c r="K98" s="84">
        <f>IFERROR(INDEX('WHO Labs Data'!$C$7:$I$126,MATCH('HCW Summary Data'!$C98,'WHO Labs Data'!$C$7:$C$126,0),7),'WHO Labs Data'!$M$7)</f>
        <v>0.2276050738661016</v>
      </c>
      <c r="M98" s="78">
        <f>INDEX('Tabular Pop Data by Age'!$AN$8:$AN$271,MATCH($B98,'Tabular Pop Data by Age'!$B$8:$B$271,0))</f>
        <v>57616</v>
      </c>
      <c r="N98" s="79">
        <f t="shared" si="4"/>
        <v>65.394159999999999</v>
      </c>
      <c r="O98" s="78">
        <f t="shared" si="5"/>
        <v>23.046400000000002</v>
      </c>
      <c r="P98" s="78">
        <f t="shared" si="6"/>
        <v>0</v>
      </c>
      <c r="Q98" s="79">
        <f t="shared" si="7"/>
        <v>13.113693935869309</v>
      </c>
    </row>
    <row r="99" spans="2:17" x14ac:dyDescent="0.25">
      <c r="B99" s="138" t="s">
        <v>223</v>
      </c>
      <c r="C99" s="138" t="s">
        <v>53</v>
      </c>
      <c r="D99" s="138" t="s">
        <v>559</v>
      </c>
      <c r="E99" s="138">
        <f>INDEX('WB Physician Data'!$C$9:$BO$272,MATCH($C99,'WB Physician Data'!$C$9:$C$272,0),MATCH("Latest value",'WB Physician Data'!$C$8:$BO$8,0))</f>
        <v>0.35499999999999998</v>
      </c>
      <c r="F99" s="138">
        <f>INDEX('WB Physician Data'!$C$9:$BO$272,MATCH($C99,'WB Physician Data'!$C$9:$C$272,0),MATCH("Latest year",'WB Physician Data'!$C$8:$BO$8,0))</f>
        <v>2018</v>
      </c>
      <c r="G99" s="138">
        <f>INDEX('WB CHWs Data'!$C$10:$BP$274,MATCH($C99,'WB CHWs Data'!$C$10:$C$274,0),MATCH("Value",'WB CHWs Data'!$C$10:$BP$10,0))</f>
        <v>0.4</v>
      </c>
      <c r="H99" s="138" t="str">
        <f>'WB CHWs Data'!BO101</f>
        <v>No reported value</v>
      </c>
      <c r="I99" s="84">
        <f>'WB Nurses &amp; Midwives data'!BN99</f>
        <v>0.94699999999999995</v>
      </c>
      <c r="J99" s="84">
        <f>'WB Nurses &amp; Midwives data'!BO99</f>
        <v>2018</v>
      </c>
      <c r="K99" s="84">
        <f>IFERROR(INDEX('WHO Labs Data'!$C$7:$I$126,MATCH('HCW Summary Data'!$C99,'WHO Labs Data'!$C$7:$C$126,0),7),'WHO Labs Data'!$M$7)</f>
        <v>3.0496630673105284E-2</v>
      </c>
      <c r="M99" s="78">
        <f>INDEX('Tabular Pop Data by Age'!$AN$8:$AN$271,MATCH($B99,'Tabular Pop Data by Age'!$B$8:$B$271,0))</f>
        <v>17916000</v>
      </c>
      <c r="N99" s="79">
        <f t="shared" si="4"/>
        <v>6360.1799999999994</v>
      </c>
      <c r="O99" s="78">
        <f t="shared" si="5"/>
        <v>7166.4000000000005</v>
      </c>
      <c r="P99" s="78">
        <f t="shared" si="6"/>
        <v>16966.451999999997</v>
      </c>
      <c r="Q99" s="79">
        <f t="shared" si="7"/>
        <v>546.37763513935431</v>
      </c>
    </row>
    <row r="100" spans="2:17" x14ac:dyDescent="0.25">
      <c r="B100" s="138" t="s">
        <v>513</v>
      </c>
      <c r="C100" s="138" t="s">
        <v>514</v>
      </c>
      <c r="D100" s="138" t="s">
        <v>664</v>
      </c>
      <c r="E100" s="138">
        <f>INDEX('WB Physician Data'!$C$9:$BO$272,MATCH($C100,'WB Physician Data'!$C$9:$C$272,0),MATCH("Latest value",'WB Physician Data'!$C$8:$BO$8,0))</f>
        <v>1.0840000000000001</v>
      </c>
      <c r="F100" s="138">
        <f>INDEX('WB Physician Data'!$C$9:$BO$272,MATCH($C100,'WB Physician Data'!$C$9:$C$272,0),MATCH("Latest year",'WB Physician Data'!$C$8:$BO$8,0))</f>
        <v>1999</v>
      </c>
      <c r="G100" s="138">
        <f>INDEX('WB CHWs Data'!$C$10:$BP$274,MATCH($C100,'WB CHWs Data'!$C$10:$C$274,0),MATCH("Value",'WB CHWs Data'!$C$10:$BP$10,0))</f>
        <v>0.4</v>
      </c>
      <c r="H100" s="138" t="str">
        <f>'WB CHWs Data'!BO102</f>
        <v>No reported value</v>
      </c>
      <c r="I100" s="84" t="str">
        <f>'WB Nurses &amp; Midwives data'!BN100</f>
        <v>No reported value</v>
      </c>
      <c r="J100" s="84" t="str">
        <f>'WB Nurses &amp; Midwives data'!BO100</f>
        <v>No reported value</v>
      </c>
      <c r="K100" s="84">
        <f>IFERROR(INDEX('WHO Labs Data'!$C$7:$I$126,MATCH('HCW Summary Data'!$C100,'WHO Labs Data'!$C$7:$C$126,0),7),'WHO Labs Data'!$M$7)</f>
        <v>0.2276050738661016</v>
      </c>
      <c r="M100" s="78">
        <f>INDEX('Tabular Pop Data by Age'!$AN$8:$AN$271,MATCH($B100,'Tabular Pop Data by Age'!$B$8:$B$271,0))</f>
        <v>169000</v>
      </c>
      <c r="N100" s="79">
        <f t="shared" si="4"/>
        <v>183.19600000000003</v>
      </c>
      <c r="O100" s="78">
        <f t="shared" si="5"/>
        <v>67.600000000000009</v>
      </c>
      <c r="P100" s="78">
        <f t="shared" si="6"/>
        <v>0</v>
      </c>
      <c r="Q100" s="79">
        <f t="shared" si="7"/>
        <v>38.465257483371168</v>
      </c>
    </row>
    <row r="101" spans="2:17" x14ac:dyDescent="0.25">
      <c r="B101" s="138" t="s">
        <v>224</v>
      </c>
      <c r="C101" s="138" t="s">
        <v>54</v>
      </c>
      <c r="D101" s="138" t="s">
        <v>559</v>
      </c>
      <c r="E101" s="138">
        <f>INDEX('WB Physician Data'!$C$9:$BO$272,MATCH($C101,'WB Physician Data'!$C$9:$C$272,0),MATCH("Latest value",'WB Physician Data'!$C$8:$BO$8,0))</f>
        <v>0.79900000000000004</v>
      </c>
      <c r="F101" s="138">
        <f>INDEX('WB Physician Data'!$C$9:$BO$272,MATCH($C101,'WB Physician Data'!$C$9:$C$272,0),MATCH("Latest year",'WB Physician Data'!$C$8:$BO$8,0))</f>
        <v>2018</v>
      </c>
      <c r="G101" s="138">
        <f>INDEX('WB CHWs Data'!$C$10:$BP$274,MATCH($C101,'WB CHWs Data'!$C$10:$C$274,0),MATCH("Value",'WB CHWs Data'!$C$10:$BP$10,0))</f>
        <v>0.32500000000000001</v>
      </c>
      <c r="H101" s="138">
        <f>'WB CHWs Data'!BO103</f>
        <v>2010</v>
      </c>
      <c r="I101" s="84">
        <f>'WB Nurses &amp; Midwives data'!BN101</f>
        <v>1.3398000000000001</v>
      </c>
      <c r="J101" s="84">
        <f>'WB Nurses &amp; Midwives data'!BO101</f>
        <v>2018</v>
      </c>
      <c r="K101" s="84">
        <f>IFERROR(INDEX('WHO Labs Data'!$C$7:$I$126,MATCH('HCW Summary Data'!$C101,'WHO Labs Data'!$C$7:$C$126,0),7),'WHO Labs Data'!$M$7)</f>
        <v>2.695749957638215E-2</v>
      </c>
      <c r="M101" s="78">
        <f>INDEX('Tabular Pop Data by Age'!$AN$8:$AN$271,MATCH($B101,'Tabular Pop Data by Age'!$B$8:$B$271,0))</f>
        <v>787000</v>
      </c>
      <c r="N101" s="79">
        <f t="shared" si="4"/>
        <v>628.81299999999999</v>
      </c>
      <c r="O101" s="78">
        <f t="shared" si="5"/>
        <v>255.77500000000001</v>
      </c>
      <c r="P101" s="78">
        <f t="shared" si="6"/>
        <v>1054.4226000000001</v>
      </c>
      <c r="Q101" s="79">
        <f t="shared" si="7"/>
        <v>21.215552166612753</v>
      </c>
    </row>
    <row r="102" spans="2:17" x14ac:dyDescent="0.25">
      <c r="B102" s="138" t="s">
        <v>517</v>
      </c>
      <c r="C102" s="138" t="s">
        <v>518</v>
      </c>
      <c r="D102" s="138" t="s">
        <v>1182</v>
      </c>
      <c r="E102" s="138">
        <f>INDEX('WB Physician Data'!$C$9:$BO$272,MATCH($C102,'WB Physician Data'!$C$9:$C$272,0),MATCH("Latest value",'WB Physician Data'!$C$8:$BO$8,0))</f>
        <v>3.0035446137299346</v>
      </c>
      <c r="F102" s="138">
        <f>INDEX('WB Physician Data'!$C$9:$BO$272,MATCH($C102,'WB Physician Data'!$C$9:$C$272,0),MATCH("Latest year",'WB Physician Data'!$C$8:$BO$8,0))</f>
        <v>2015</v>
      </c>
      <c r="G102" s="138">
        <f>INDEX('WB CHWs Data'!$C$10:$BP$274,MATCH($C102,'WB CHWs Data'!$C$10:$C$274,0),MATCH("Value",'WB CHWs Data'!$C$10:$BP$10,0))</f>
        <v>0.4</v>
      </c>
      <c r="H102" s="138" t="str">
        <f>'WB CHWs Data'!BO104</f>
        <v>No reported value</v>
      </c>
      <c r="I102" s="84">
        <f>'WB Nurses &amp; Midwives data'!BN102</f>
        <v>8.788130990114821</v>
      </c>
      <c r="J102" s="84">
        <f>'WB Nurses &amp; Midwives data'!BO102</f>
        <v>2015</v>
      </c>
      <c r="K102" s="84">
        <f>IFERROR(INDEX('WHO Labs Data'!$C$7:$I$126,MATCH('HCW Summary Data'!$C102,'WHO Labs Data'!$C$7:$C$126,0),7),'WHO Labs Data'!$M$7)</f>
        <v>0.2276050738661016</v>
      </c>
      <c r="M102" s="78">
        <f>INDEX('Tabular Pop Data by Age'!$AN$8:$AN$271,MATCH($B102,'Tabular Pop Data by Age'!$B$8:$B$271,0))</f>
        <v>1219876000</v>
      </c>
      <c r="N102" s="79">
        <f t="shared" si="4"/>
        <v>3663951.9892184176</v>
      </c>
      <c r="O102" s="78">
        <f t="shared" si="5"/>
        <v>487950.4</v>
      </c>
      <c r="P102" s="78">
        <f t="shared" si="6"/>
        <v>10720430.079697307</v>
      </c>
      <c r="Q102" s="79">
        <f t="shared" si="7"/>
        <v>277649.96708748455</v>
      </c>
    </row>
    <row r="103" spans="2:17" x14ac:dyDescent="0.25">
      <c r="B103" s="138" t="s">
        <v>519</v>
      </c>
      <c r="C103" s="138" t="s">
        <v>520</v>
      </c>
      <c r="D103" s="138" t="s">
        <v>517</v>
      </c>
      <c r="E103" s="138">
        <f>INDEX('WB Physician Data'!$C$9:$BO$272,MATCH($C103,'WB Physician Data'!$C$9:$C$272,0),MATCH("Latest value",'WB Physician Data'!$C$8:$BO$8,0))</f>
        <v>1.319</v>
      </c>
      <c r="F103" s="138">
        <f>INDEX('WB Physician Data'!$C$9:$BO$272,MATCH($C103,'WB Physician Data'!$C$9:$C$272,0),MATCH("Latest year",'WB Physician Data'!$C$8:$BO$8,0))</f>
        <v>1995</v>
      </c>
      <c r="G103" s="138">
        <f>INDEX('WB CHWs Data'!$C$10:$BP$274,MATCH($C103,'WB CHWs Data'!$C$10:$C$274,0),MATCH("Value",'WB CHWs Data'!$C$10:$BP$10,0))</f>
        <v>0.4</v>
      </c>
      <c r="H103" s="138" t="str">
        <f>'WB CHWs Data'!BO105</f>
        <v>No reported value</v>
      </c>
      <c r="I103" s="84" t="str">
        <f>'WB Nurses &amp; Midwives data'!BN103</f>
        <v>No reported value</v>
      </c>
      <c r="J103" s="84" t="str">
        <f>'WB Nurses &amp; Midwives data'!BO103</f>
        <v>No reported value</v>
      </c>
      <c r="K103" s="84">
        <f>IFERROR(INDEX('WHO Labs Data'!$C$7:$I$126,MATCH('HCW Summary Data'!$C103,'WHO Labs Data'!$C$7:$C$126,0),7),'WHO Labs Data'!$M$7)</f>
        <v>0.2276050738661016</v>
      </c>
      <c r="M103" s="78">
        <f>INDEX('Tabular Pop Data by Age'!$AN$8:$AN$271,MATCH($B103,'Tabular Pop Data by Age'!$B$8:$B$271,0))</f>
        <v>7564000</v>
      </c>
      <c r="N103" s="79">
        <f t="shared" si="4"/>
        <v>9976.9159999999993</v>
      </c>
      <c r="O103" s="78">
        <f t="shared" si="5"/>
        <v>3025.6000000000004</v>
      </c>
      <c r="P103" s="78">
        <f t="shared" si="6"/>
        <v>0</v>
      </c>
      <c r="Q103" s="79">
        <f t="shared" si="7"/>
        <v>1721.6047787231926</v>
      </c>
    </row>
    <row r="104" spans="2:17" x14ac:dyDescent="0.25">
      <c r="B104" s="138" t="s">
        <v>226</v>
      </c>
      <c r="C104" s="138" t="s">
        <v>166</v>
      </c>
      <c r="D104" s="138" t="s">
        <v>517</v>
      </c>
      <c r="E104" s="138">
        <f>INDEX('WB Physician Data'!$C$9:$BO$272,MATCH($C104,'WB Physician Data'!$C$9:$C$272,0),MATCH("Latest value",'WB Physician Data'!$C$8:$BO$8,0))</f>
        <v>0.31440000000000001</v>
      </c>
      <c r="F104" s="138">
        <f>INDEX('WB Physician Data'!$C$9:$BO$272,MATCH($C104,'WB Physician Data'!$C$9:$C$272,0),MATCH("Latest year",'WB Physician Data'!$C$8:$BO$8,0))</f>
        <v>2017</v>
      </c>
      <c r="G104" s="138">
        <f>INDEX('WB CHWs Data'!$C$10:$BP$274,MATCH($C104,'WB CHWs Data'!$C$10:$C$274,0),MATCH("Value",'WB CHWs Data'!$C$10:$BP$10,0))</f>
        <v>0.4</v>
      </c>
      <c r="H104" s="138" t="str">
        <f>'WB CHWs Data'!BO106</f>
        <v>No reported value</v>
      </c>
      <c r="I104" s="84">
        <f>'WB Nurses &amp; Midwives data'!BN104</f>
        <v>0.88149999999999995</v>
      </c>
      <c r="J104" s="84">
        <f>'WB Nurses &amp; Midwives data'!BO104</f>
        <v>2017</v>
      </c>
      <c r="K104" s="84">
        <f>IFERROR(INDEX('WHO Labs Data'!$C$7:$I$126,MATCH('HCW Summary Data'!$C104,'WHO Labs Data'!$C$7:$C$126,0),7),'WHO Labs Data'!$M$7)</f>
        <v>0.2276050738661016</v>
      </c>
      <c r="M104" s="78">
        <f>INDEX('Tabular Pop Data by Age'!$AN$8:$AN$271,MATCH($B104,'Tabular Pop Data by Age'!$B$8:$B$271,0))</f>
        <v>9905000</v>
      </c>
      <c r="N104" s="79">
        <f t="shared" si="4"/>
        <v>3114.1320000000001</v>
      </c>
      <c r="O104" s="78">
        <f t="shared" si="5"/>
        <v>3962</v>
      </c>
      <c r="P104" s="78">
        <f t="shared" si="6"/>
        <v>8731.2574999999997</v>
      </c>
      <c r="Q104" s="79">
        <f t="shared" si="7"/>
        <v>2254.4282566437364</v>
      </c>
    </row>
    <row r="105" spans="2:17" x14ac:dyDescent="0.25">
      <c r="B105" s="138" t="s">
        <v>515</v>
      </c>
      <c r="C105" s="138" t="s">
        <v>516</v>
      </c>
      <c r="D105" s="138" t="s">
        <v>1182</v>
      </c>
      <c r="E105" s="138">
        <f>INDEX('WB Physician Data'!$C$9:$BO$272,MATCH($C105,'WB Physician Data'!$C$9:$C$272,0),MATCH("Latest value",'WB Physician Data'!$C$8:$BO$8,0))</f>
        <v>0.15767389400786444</v>
      </c>
      <c r="F105" s="138">
        <f>INDEX('WB Physician Data'!$C$9:$BO$272,MATCH($C105,'WB Physician Data'!$C$9:$C$272,0),MATCH("Latest year",'WB Physician Data'!$C$8:$BO$8,0))</f>
        <v>2015</v>
      </c>
      <c r="G105" s="138">
        <f>INDEX('WB CHWs Data'!$C$10:$BP$274,MATCH($C105,'WB CHWs Data'!$C$10:$C$274,0),MATCH("Value",'WB CHWs Data'!$C$10:$BP$10,0))</f>
        <v>0.4</v>
      </c>
      <c r="H105" s="138" t="str">
        <f>'WB CHWs Data'!BO107</f>
        <v>No reported value</v>
      </c>
      <c r="I105" s="84">
        <f>'WB Nurses &amp; Midwives data'!BN105</f>
        <v>0.61916121624459475</v>
      </c>
      <c r="J105" s="84">
        <f>'WB Nurses &amp; Midwives data'!BO105</f>
        <v>2015</v>
      </c>
      <c r="K105" s="84">
        <f>IFERROR(INDEX('WHO Labs Data'!$C$7:$I$126,MATCH('HCW Summary Data'!$C105,'WHO Labs Data'!$C$7:$C$126,0),7),'WHO Labs Data'!$M$7)</f>
        <v>0.2276050738661016</v>
      </c>
      <c r="M105" s="78">
        <f>INDEX('Tabular Pop Data by Age'!$AN$8:$AN$271,MATCH($B105,'Tabular Pop Data by Age'!$B$8:$B$271,0))</f>
        <v>823482000</v>
      </c>
      <c r="N105" s="79">
        <f t="shared" si="4"/>
        <v>129841.61358538423</v>
      </c>
      <c r="O105" s="78">
        <f t="shared" si="5"/>
        <v>329392.80000000005</v>
      </c>
      <c r="P105" s="78">
        <f t="shared" si="6"/>
        <v>509868.11667553138</v>
      </c>
      <c r="Q105" s="79">
        <f t="shared" si="7"/>
        <v>187428.68143740509</v>
      </c>
    </row>
    <row r="106" spans="2:17" x14ac:dyDescent="0.25">
      <c r="B106" s="138" t="s">
        <v>465</v>
      </c>
      <c r="C106" s="138" t="s">
        <v>55</v>
      </c>
      <c r="D106" s="138" t="s">
        <v>664</v>
      </c>
      <c r="E106" s="138">
        <f>INDEX('WB Physician Data'!$C$9:$BO$272,MATCH($C106,'WB Physician Data'!$C$9:$C$272,0),MATCH("Latest value",'WB Physician Data'!$C$8:$BO$8,0))</f>
        <v>2.9962</v>
      </c>
      <c r="F106" s="138">
        <f>INDEX('WB Physician Data'!$C$9:$BO$272,MATCH($C106,'WB Physician Data'!$C$9:$C$272,0),MATCH("Latest year",'WB Physician Data'!$C$8:$BO$8,0))</f>
        <v>2016</v>
      </c>
      <c r="G106" s="138">
        <f>INDEX('WB CHWs Data'!$C$10:$BP$274,MATCH($C106,'WB CHWs Data'!$C$10:$C$274,0),MATCH("Value",'WB CHWs Data'!$C$10:$BP$10,0))</f>
        <v>0.4</v>
      </c>
      <c r="H106" s="138" t="str">
        <f>'WB CHWs Data'!BO108</f>
        <v>No reported value</v>
      </c>
      <c r="I106" s="84">
        <f>'WB Nurses &amp; Midwives data'!BN106</f>
        <v>8.1134000000000004</v>
      </c>
      <c r="J106" s="84">
        <f>'WB Nurses &amp; Midwives data'!BO106</f>
        <v>2016</v>
      </c>
      <c r="K106" s="84">
        <f>IFERROR(INDEX('WHO Labs Data'!$C$7:$I$126,MATCH('HCW Summary Data'!$C106,'WHO Labs Data'!$C$7:$C$126,0),7),'WHO Labs Data'!$M$7)</f>
        <v>0.2276050738661016</v>
      </c>
      <c r="M106" s="78">
        <f>INDEX('Tabular Pop Data by Age'!$AN$8:$AN$271,MATCH($B106,'Tabular Pop Data by Age'!$B$8:$B$271,0))</f>
        <v>4052000</v>
      </c>
      <c r="N106" s="79">
        <f t="shared" si="4"/>
        <v>12140.6024</v>
      </c>
      <c r="O106" s="78">
        <f t="shared" si="5"/>
        <v>1620.8000000000002</v>
      </c>
      <c r="P106" s="78">
        <f t="shared" si="6"/>
        <v>32875.496800000001</v>
      </c>
      <c r="Q106" s="79">
        <f t="shared" si="7"/>
        <v>922.25575930544369</v>
      </c>
    </row>
    <row r="107" spans="2:17" x14ac:dyDescent="0.25">
      <c r="B107" s="138" t="s">
        <v>225</v>
      </c>
      <c r="C107" s="138" t="s">
        <v>56</v>
      </c>
      <c r="D107" s="138" t="s">
        <v>561</v>
      </c>
      <c r="E107" s="138">
        <f>INDEX('WB Physician Data'!$C$9:$BO$272,MATCH($C107,'WB Physician Data'!$C$9:$C$272,0),MATCH("Latest value",'WB Physician Data'!$C$8:$BO$8,0))</f>
        <v>0.23449999999999999</v>
      </c>
      <c r="F107" s="138">
        <f>INDEX('WB Physician Data'!$C$9:$BO$272,MATCH($C107,'WB Physician Data'!$C$9:$C$272,0),MATCH("Latest year",'WB Physician Data'!$C$8:$BO$8,0))</f>
        <v>2018</v>
      </c>
      <c r="G107" s="138">
        <f>INDEX('WB CHWs Data'!$C$10:$BP$274,MATCH($C107,'WB CHWs Data'!$C$10:$C$274,0),MATCH("Value",'WB CHWs Data'!$C$10:$BP$10,0))</f>
        <v>0.4</v>
      </c>
      <c r="H107" s="138" t="str">
        <f>'WB CHWs Data'!BO109</f>
        <v>No reported value</v>
      </c>
      <c r="I107" s="84">
        <f>'WB Nurses &amp; Midwives data'!BN107</f>
        <v>0.6804</v>
      </c>
      <c r="J107" s="84">
        <f>'WB Nurses &amp; Midwives data'!BO107</f>
        <v>2018</v>
      </c>
      <c r="K107" s="84">
        <f>IFERROR(INDEX('WHO Labs Data'!$C$7:$I$126,MATCH('HCW Summary Data'!$C107,'WHO Labs Data'!$C$7:$C$126,0),7),'WHO Labs Data'!$M$7)</f>
        <v>0.15562102047113163</v>
      </c>
      <c r="M107" s="78">
        <f>INDEX('Tabular Pop Data by Age'!$AN$8:$AN$271,MATCH($B107,'Tabular Pop Data by Age'!$B$8:$B$271,0))</f>
        <v>11403000</v>
      </c>
      <c r="N107" s="79">
        <f t="shared" si="4"/>
        <v>2674.0034999999998</v>
      </c>
      <c r="O107" s="78">
        <f t="shared" si="5"/>
        <v>4561.2</v>
      </c>
      <c r="P107" s="78">
        <f t="shared" si="6"/>
        <v>7758.6012000000001</v>
      </c>
      <c r="Q107" s="79">
        <f t="shared" si="7"/>
        <v>1774.5464964323139</v>
      </c>
    </row>
    <row r="108" spans="2:17" x14ac:dyDescent="0.25">
      <c r="B108" s="138" t="s">
        <v>521</v>
      </c>
      <c r="C108" s="138" t="s">
        <v>57</v>
      </c>
      <c r="D108" s="138" t="s">
        <v>517</v>
      </c>
      <c r="E108" s="138">
        <f>INDEX('WB Physician Data'!$C$9:$BO$272,MATCH($C108,'WB Physician Data'!$C$9:$C$272,0),MATCH("Latest value",'WB Physician Data'!$C$8:$BO$8,0))</f>
        <v>3.2311999999999999</v>
      </c>
      <c r="F108" s="138">
        <f>INDEX('WB Physician Data'!$C$9:$BO$272,MATCH($C108,'WB Physician Data'!$C$9:$C$272,0),MATCH("Latest year",'WB Physician Data'!$C$8:$BO$8,0))</f>
        <v>2016</v>
      </c>
      <c r="G108" s="138">
        <f>INDEX('WB CHWs Data'!$C$10:$BP$274,MATCH($C108,'WB CHWs Data'!$C$10:$C$274,0),MATCH("Value",'WB CHWs Data'!$C$10:$BP$10,0))</f>
        <v>0.4</v>
      </c>
      <c r="H108" s="138" t="str">
        <f>'WB CHWs Data'!BO110</f>
        <v>No reported value</v>
      </c>
      <c r="I108" s="84">
        <f>'WB Nurses &amp; Midwives data'!BN108</f>
        <v>6.6425000000000001</v>
      </c>
      <c r="J108" s="84">
        <f>'WB Nurses &amp; Midwives data'!BO108</f>
        <v>2016</v>
      </c>
      <c r="K108" s="84">
        <f>IFERROR(INDEX('WHO Labs Data'!$C$7:$I$126,MATCH('HCW Summary Data'!$C108,'WHO Labs Data'!$C$7:$C$126,0),7),'WHO Labs Data'!$M$7)</f>
        <v>0.2276050738661016</v>
      </c>
      <c r="M108" s="78">
        <f>INDEX('Tabular Pop Data by Age'!$AN$8:$AN$271,MATCH($B108,'Tabular Pop Data by Age'!$B$8:$B$271,0))</f>
        <v>9695000</v>
      </c>
      <c r="N108" s="79">
        <f t="shared" si="4"/>
        <v>31326.483999999997</v>
      </c>
      <c r="O108" s="78">
        <f t="shared" si="5"/>
        <v>3878</v>
      </c>
      <c r="P108" s="78">
        <f t="shared" si="6"/>
        <v>64399.037499999999</v>
      </c>
      <c r="Q108" s="79">
        <f t="shared" si="7"/>
        <v>2206.6311911318548</v>
      </c>
    </row>
    <row r="109" spans="2:17" x14ac:dyDescent="0.25">
      <c r="B109" s="138" t="s">
        <v>909</v>
      </c>
      <c r="C109" s="138" t="s">
        <v>910</v>
      </c>
      <c r="D109" s="138" t="s">
        <v>1182</v>
      </c>
      <c r="E109" s="138">
        <f>INDEX('WB Physician Data'!$C$9:$BO$272,MATCH($C109,'WB Physician Data'!$C$9:$C$272,0),MATCH("Latest value",'WB Physician Data'!$C$8:$BO$8,0))</f>
        <v>1.4561130577046284</v>
      </c>
      <c r="F109" s="138">
        <f>INDEX('WB Physician Data'!$C$9:$BO$272,MATCH($C109,'WB Physician Data'!$C$9:$C$272,0),MATCH("Latest year",'WB Physician Data'!$C$8:$BO$8,0))</f>
        <v>2015</v>
      </c>
      <c r="G109" s="138">
        <f>INDEX('WB CHWs Data'!$C$10:$BP$274,MATCH($C109,'WB CHWs Data'!$C$10:$C$274,0),MATCH("Value",'WB CHWs Data'!$C$10:$BP$10,0))</f>
        <v>0.4</v>
      </c>
      <c r="H109" s="138" t="str">
        <f>'WB CHWs Data'!BO111</f>
        <v>No reported value</v>
      </c>
      <c r="I109" s="84">
        <f>'WB Nurses &amp; Midwives data'!BN109</f>
        <v>2.8470624862975038</v>
      </c>
      <c r="J109" s="84">
        <f>'WB Nurses &amp; Midwives data'!BO109</f>
        <v>2015</v>
      </c>
      <c r="K109" s="84">
        <f>IFERROR(INDEX('WHO Labs Data'!$C$7:$I$126,MATCH('HCW Summary Data'!$C109,'WHO Labs Data'!$C$7:$C$126,0),7),'WHO Labs Data'!$M$7)</f>
        <v>0.2276050738661016</v>
      </c>
      <c r="M109" s="78" t="e">
        <f>INDEX('Tabular Pop Data by Age'!$AN$8:$AN$271,MATCH($B109,'Tabular Pop Data by Age'!$B$8:$B$271,0))</f>
        <v>#N/A</v>
      </c>
      <c r="N109" s="79">
        <f t="shared" si="4"/>
        <v>0</v>
      </c>
      <c r="O109" s="78">
        <f t="shared" si="5"/>
        <v>0</v>
      </c>
      <c r="P109" s="78">
        <f t="shared" si="6"/>
        <v>0</v>
      </c>
      <c r="Q109" s="79" t="e">
        <f t="shared" si="7"/>
        <v>#N/A</v>
      </c>
    </row>
    <row r="110" spans="2:17" x14ac:dyDescent="0.25">
      <c r="B110" s="138" t="s">
        <v>911</v>
      </c>
      <c r="C110" s="138" t="s">
        <v>912</v>
      </c>
      <c r="D110" s="138" t="s">
        <v>1182</v>
      </c>
      <c r="E110" s="138">
        <f>INDEX('WB Physician Data'!$C$9:$BO$272,MATCH($C110,'WB Physician Data'!$C$9:$C$272,0),MATCH("Latest value",'WB Physician Data'!$C$8:$BO$8,0))</f>
        <v>1.2057369708980019</v>
      </c>
      <c r="F110" s="138">
        <f>INDEX('WB Physician Data'!$C$9:$BO$272,MATCH($C110,'WB Physician Data'!$C$9:$C$272,0),MATCH("Latest year",'WB Physician Data'!$C$8:$BO$8,0))</f>
        <v>2015</v>
      </c>
      <c r="G110" s="138">
        <f>INDEX('WB CHWs Data'!$C$10:$BP$274,MATCH($C110,'WB CHWs Data'!$C$10:$C$274,0),MATCH("Value",'WB CHWs Data'!$C$10:$BP$10,0))</f>
        <v>0.4</v>
      </c>
      <c r="H110" s="138" t="str">
        <f>'WB CHWs Data'!BO112</f>
        <v>No reported value</v>
      </c>
      <c r="I110" s="84">
        <f>'WB Nurses &amp; Midwives data'!BN110</f>
        <v>2.4086901567696866</v>
      </c>
      <c r="J110" s="84">
        <f>'WB Nurses &amp; Midwives data'!BO110</f>
        <v>2015</v>
      </c>
      <c r="K110" s="84">
        <f>IFERROR(INDEX('WHO Labs Data'!$C$7:$I$126,MATCH('HCW Summary Data'!$C110,'WHO Labs Data'!$C$7:$C$126,0),7),'WHO Labs Data'!$M$7)</f>
        <v>0.2276050738661016</v>
      </c>
      <c r="M110" s="78" t="e">
        <f>INDEX('Tabular Pop Data by Age'!$AN$8:$AN$271,MATCH($B110,'Tabular Pop Data by Age'!$B$8:$B$271,0))</f>
        <v>#N/A</v>
      </c>
      <c r="N110" s="79">
        <f t="shared" si="4"/>
        <v>0</v>
      </c>
      <c r="O110" s="78">
        <f t="shared" si="5"/>
        <v>0</v>
      </c>
      <c r="P110" s="78">
        <f t="shared" si="6"/>
        <v>0</v>
      </c>
      <c r="Q110" s="79" t="e">
        <f t="shared" si="7"/>
        <v>#N/A</v>
      </c>
    </row>
    <row r="111" spans="2:17" x14ac:dyDescent="0.25">
      <c r="B111" s="138" t="s">
        <v>913</v>
      </c>
      <c r="C111" s="138" t="s">
        <v>914</v>
      </c>
      <c r="D111" s="138" t="s">
        <v>1182</v>
      </c>
      <c r="E111" s="138">
        <f>INDEX('WB Physician Data'!$C$9:$BO$272,MATCH($C111,'WB Physician Data'!$C$9:$C$272,0),MATCH("Latest value",'WB Physician Data'!$C$8:$BO$8,0))</f>
        <v>0.44472649538513387</v>
      </c>
      <c r="F111" s="138">
        <f>INDEX('WB Physician Data'!$C$9:$BO$272,MATCH($C111,'WB Physician Data'!$C$9:$C$272,0),MATCH("Latest year",'WB Physician Data'!$C$8:$BO$8,0))</f>
        <v>2015</v>
      </c>
      <c r="G111" s="138">
        <f>INDEX('WB CHWs Data'!$C$10:$BP$274,MATCH($C111,'WB CHWs Data'!$C$10:$C$274,0),MATCH("Value",'WB CHWs Data'!$C$10:$BP$10,0))</f>
        <v>0.4</v>
      </c>
      <c r="H111" s="138" t="str">
        <f>'WB CHWs Data'!BO113</f>
        <v>No reported value</v>
      </c>
      <c r="I111" s="84">
        <f>'WB Nurses &amp; Midwives data'!BN111</f>
        <v>1.0762708382933868</v>
      </c>
      <c r="J111" s="84">
        <f>'WB Nurses &amp; Midwives data'!BO111</f>
        <v>2015</v>
      </c>
      <c r="K111" s="84">
        <f>IFERROR(INDEX('WHO Labs Data'!$C$7:$I$126,MATCH('HCW Summary Data'!$C111,'WHO Labs Data'!$C$7:$C$126,0),7),'WHO Labs Data'!$M$7)</f>
        <v>0.2276050738661016</v>
      </c>
      <c r="M111" s="78" t="e">
        <f>INDEX('Tabular Pop Data by Age'!$AN$8:$AN$271,MATCH($B111,'Tabular Pop Data by Age'!$B$8:$B$271,0))</f>
        <v>#N/A</v>
      </c>
      <c r="N111" s="79">
        <f t="shared" si="4"/>
        <v>0</v>
      </c>
      <c r="O111" s="78">
        <f t="shared" si="5"/>
        <v>0</v>
      </c>
      <c r="P111" s="78">
        <f t="shared" si="6"/>
        <v>0</v>
      </c>
      <c r="Q111" s="79" t="e">
        <f t="shared" si="7"/>
        <v>#N/A</v>
      </c>
    </row>
    <row r="112" spans="2:17" x14ac:dyDescent="0.25">
      <c r="B112" s="138" t="s">
        <v>915</v>
      </c>
      <c r="C112" s="138" t="s">
        <v>916</v>
      </c>
      <c r="D112" s="138" t="s">
        <v>1182</v>
      </c>
      <c r="E112" s="138">
        <f>INDEX('WB Physician Data'!$C$9:$BO$272,MATCH($C112,'WB Physician Data'!$C$9:$C$272,0),MATCH("Latest value",'WB Physician Data'!$C$8:$BO$8,0))</f>
        <v>0.7199389124387725</v>
      </c>
      <c r="F112" s="138">
        <f>INDEX('WB Physician Data'!$C$9:$BO$272,MATCH($C112,'WB Physician Data'!$C$9:$C$272,0),MATCH("Latest year",'WB Physician Data'!$C$8:$BO$8,0))</f>
        <v>2015</v>
      </c>
      <c r="G112" s="138">
        <f>INDEX('WB CHWs Data'!$C$10:$BP$274,MATCH($C112,'WB CHWs Data'!$C$10:$C$274,0),MATCH("Value",'WB CHWs Data'!$C$10:$BP$10,0))</f>
        <v>0.11693482767002192</v>
      </c>
      <c r="H112" s="138">
        <f>'WB CHWs Data'!BO114</f>
        <v>2011</v>
      </c>
      <c r="I112" s="84">
        <f>'WB Nurses &amp; Midwives data'!BN112</f>
        <v>1.7315909698221195</v>
      </c>
      <c r="J112" s="84">
        <f>'WB Nurses &amp; Midwives data'!BO112</f>
        <v>2015</v>
      </c>
      <c r="K112" s="84">
        <f>IFERROR(INDEX('WHO Labs Data'!$C$7:$I$126,MATCH('HCW Summary Data'!$C112,'WHO Labs Data'!$C$7:$C$126,0),7),'WHO Labs Data'!$M$7)</f>
        <v>0.2276050738661016</v>
      </c>
      <c r="M112" s="78" t="e">
        <f>INDEX('Tabular Pop Data by Age'!$AN$8:$AN$271,MATCH($B112,'Tabular Pop Data by Age'!$B$8:$B$271,0))</f>
        <v>#N/A</v>
      </c>
      <c r="N112" s="79">
        <f t="shared" si="4"/>
        <v>0</v>
      </c>
      <c r="O112" s="78">
        <f t="shared" si="5"/>
        <v>0</v>
      </c>
      <c r="P112" s="78">
        <f t="shared" si="6"/>
        <v>0</v>
      </c>
      <c r="Q112" s="79" t="e">
        <f t="shared" si="7"/>
        <v>#N/A</v>
      </c>
    </row>
    <row r="113" spans="2:17" x14ac:dyDescent="0.25">
      <c r="B113" s="138" t="s">
        <v>242</v>
      </c>
      <c r="C113" s="138" t="s">
        <v>58</v>
      </c>
      <c r="D113" s="138" t="s">
        <v>664</v>
      </c>
      <c r="E113" s="138">
        <f>INDEX('WB Physician Data'!$C$9:$BO$272,MATCH($C113,'WB Physician Data'!$C$9:$C$272,0),MATCH("Latest value",'WB Physician Data'!$C$8:$BO$8,0))</f>
        <v>0.37769999999999998</v>
      </c>
      <c r="F113" s="138">
        <f>INDEX('WB Physician Data'!$C$9:$BO$272,MATCH($C113,'WB Physician Data'!$C$9:$C$272,0),MATCH("Latest year",'WB Physician Data'!$C$8:$BO$8,0))</f>
        <v>2017</v>
      </c>
      <c r="G113" s="138">
        <f>INDEX('WB CHWs Data'!$C$10:$BP$274,MATCH($C113,'WB CHWs Data'!$C$10:$C$274,0),MATCH("Value",'WB CHWs Data'!$C$10:$BP$10,0))</f>
        <v>0</v>
      </c>
      <c r="H113" s="138">
        <f>'WB CHWs Data'!BO115</f>
        <v>2015</v>
      </c>
      <c r="I113" s="84">
        <f>'WB Nurses &amp; Midwives data'!BN113</f>
        <v>2.0583</v>
      </c>
      <c r="J113" s="84">
        <f>'WB Nurses &amp; Midwives data'!BO113</f>
        <v>2017</v>
      </c>
      <c r="K113" s="84">
        <f>IFERROR(INDEX('WHO Labs Data'!$C$7:$I$126,MATCH('HCW Summary Data'!$C113,'WHO Labs Data'!$C$7:$C$126,0),7),'WHO Labs Data'!$M$7)</f>
        <v>6.8332082788969666E-3</v>
      </c>
      <c r="M113" s="78">
        <f>INDEX('Tabular Pop Data by Age'!$AN$8:$AN$271,MATCH($B113,'Tabular Pop Data by Age'!$B$8:$B$271,0))</f>
        <v>273524000</v>
      </c>
      <c r="N113" s="79">
        <f t="shared" si="4"/>
        <v>103310.01479999999</v>
      </c>
      <c r="O113" s="78">
        <f t="shared" si="5"/>
        <v>0</v>
      </c>
      <c r="P113" s="78">
        <f t="shared" si="6"/>
        <v>562994.44920000003</v>
      </c>
      <c r="Q113" s="79">
        <f t="shared" si="7"/>
        <v>1869.0464612770138</v>
      </c>
    </row>
    <row r="114" spans="2:17" x14ac:dyDescent="0.25">
      <c r="B114" s="138" t="s">
        <v>917</v>
      </c>
      <c r="C114" s="138" t="s">
        <v>918</v>
      </c>
      <c r="D114" s="138" t="s">
        <v>1182</v>
      </c>
      <c r="E114" s="138">
        <f>INDEX('WB Physician Data'!$C$9:$BO$272,MATCH($C114,'WB Physician Data'!$C$9:$C$272,0),MATCH("Latest value",'WB Physician Data'!$C$8:$BO$8,0))</f>
        <v>0.30155749417718902</v>
      </c>
      <c r="F114" s="138">
        <f>INDEX('WB Physician Data'!$C$9:$BO$272,MATCH($C114,'WB Physician Data'!$C$9:$C$272,0),MATCH("Latest year",'WB Physician Data'!$C$8:$BO$8,0))</f>
        <v>2015</v>
      </c>
      <c r="G114" s="138">
        <f>INDEX('WB CHWs Data'!$C$10:$BP$274,MATCH($C114,'WB CHWs Data'!$C$10:$C$274,0),MATCH("Value",'WB CHWs Data'!$C$10:$BP$10,0))</f>
        <v>0.4</v>
      </c>
      <c r="H114" s="138" t="str">
        <f>'WB CHWs Data'!BO116</f>
        <v>No reported value</v>
      </c>
      <c r="I114" s="84">
        <f>'WB Nurses &amp; Midwives data'!BN114</f>
        <v>0.73536496745056712</v>
      </c>
      <c r="J114" s="84">
        <f>'WB Nurses &amp; Midwives data'!BO114</f>
        <v>2015</v>
      </c>
      <c r="K114" s="84">
        <f>IFERROR(INDEX('WHO Labs Data'!$C$7:$I$126,MATCH('HCW Summary Data'!$C114,'WHO Labs Data'!$C$7:$C$126,0),7),'WHO Labs Data'!$M$7)</f>
        <v>0.2276050738661016</v>
      </c>
      <c r="M114" s="78" t="e">
        <f>INDEX('Tabular Pop Data by Age'!$AN$8:$AN$271,MATCH($B114,'Tabular Pop Data by Age'!$B$8:$B$271,0))</f>
        <v>#N/A</v>
      </c>
      <c r="N114" s="79">
        <f t="shared" si="4"/>
        <v>0</v>
      </c>
      <c r="O114" s="78">
        <f t="shared" si="5"/>
        <v>0</v>
      </c>
      <c r="P114" s="78">
        <f t="shared" si="6"/>
        <v>0</v>
      </c>
      <c r="Q114" s="79" t="e">
        <f t="shared" si="7"/>
        <v>#N/A</v>
      </c>
    </row>
    <row r="115" spans="2:17" x14ac:dyDescent="0.25">
      <c r="B115" s="138" t="s">
        <v>527</v>
      </c>
      <c r="C115" s="138" t="s">
        <v>528</v>
      </c>
      <c r="D115" s="138" t="s">
        <v>517</v>
      </c>
      <c r="E115" s="138">
        <f>INDEX('WB Physician Data'!$C$9:$BO$272,MATCH($C115,'WB Physician Data'!$C$9:$C$272,0),MATCH("Latest value",'WB Physician Data'!$C$8:$BO$8,0))</f>
        <v>1.4490000000000001</v>
      </c>
      <c r="F115" s="138">
        <f>INDEX('WB Physician Data'!$C$9:$BO$272,MATCH($C115,'WB Physician Data'!$C$9:$C$272,0),MATCH("Latest year",'WB Physician Data'!$C$8:$BO$8,0))</f>
        <v>2010</v>
      </c>
      <c r="G115" s="138">
        <f>INDEX('WB CHWs Data'!$C$10:$BP$274,MATCH($C115,'WB CHWs Data'!$C$10:$C$274,0),MATCH("Value",'WB CHWs Data'!$C$10:$BP$10,0))</f>
        <v>0.4</v>
      </c>
      <c r="H115" s="138" t="str">
        <f>'WB CHWs Data'!BO117</f>
        <v>No reported value</v>
      </c>
      <c r="I115" s="84">
        <f>'WB Nurses &amp; Midwives data'!BN115</f>
        <v>2.2730000000000001</v>
      </c>
      <c r="J115" s="84">
        <f>'WB Nurses &amp; Midwives data'!BO115</f>
        <v>2010</v>
      </c>
      <c r="K115" s="84">
        <f>IFERROR(INDEX('WHO Labs Data'!$C$7:$I$126,MATCH('HCW Summary Data'!$C115,'WHO Labs Data'!$C$7:$C$126,0),7),'WHO Labs Data'!$M$7)</f>
        <v>0.2276050738661016</v>
      </c>
      <c r="M115" s="78">
        <f>INDEX('Tabular Pop Data by Age'!$AN$8:$AN$271,MATCH($B115,'Tabular Pop Data by Age'!$B$8:$B$271,0))</f>
        <v>85000</v>
      </c>
      <c r="N115" s="79">
        <f t="shared" si="4"/>
        <v>123.16500000000001</v>
      </c>
      <c r="O115" s="78">
        <f t="shared" si="5"/>
        <v>34</v>
      </c>
      <c r="P115" s="78">
        <f t="shared" si="6"/>
        <v>193.20500000000001</v>
      </c>
      <c r="Q115" s="79">
        <f t="shared" si="7"/>
        <v>19.346431278618635</v>
      </c>
    </row>
    <row r="116" spans="2:17" x14ac:dyDescent="0.25">
      <c r="B116" s="138" t="s">
        <v>523</v>
      </c>
      <c r="C116" s="138" t="s">
        <v>59</v>
      </c>
      <c r="D116" s="138" t="s">
        <v>561</v>
      </c>
      <c r="E116" s="138">
        <f>INDEX('WB Physician Data'!$C$9:$BO$272,MATCH($C116,'WB Physician Data'!$C$9:$C$272,0),MATCH("Latest value",'WB Physician Data'!$C$8:$BO$8,0))</f>
        <v>0.77759999999999996</v>
      </c>
      <c r="F116" s="138">
        <f>INDEX('WB Physician Data'!$C$9:$BO$272,MATCH($C116,'WB Physician Data'!$C$9:$C$272,0),MATCH("Latest year",'WB Physician Data'!$C$8:$BO$8,0))</f>
        <v>2017</v>
      </c>
      <c r="G116" s="138">
        <f>INDEX('WB CHWs Data'!$C$10:$BP$274,MATCH($C116,'WB CHWs Data'!$C$10:$C$274,0),MATCH("Value",'WB CHWs Data'!$C$10:$BP$10,0))</f>
        <v>0.58099999999999996</v>
      </c>
      <c r="H116" s="138">
        <f>'WB CHWs Data'!BO118</f>
        <v>2016</v>
      </c>
      <c r="I116" s="84">
        <f>'WB Nurses &amp; Midwives data'!BN116</f>
        <v>2.1071</v>
      </c>
      <c r="J116" s="84">
        <f>'WB Nurses &amp; Midwives data'!BO116</f>
        <v>2017</v>
      </c>
      <c r="K116" s="84">
        <f>IFERROR(INDEX('WHO Labs Data'!$C$7:$I$126,MATCH('HCW Summary Data'!$C116,'WHO Labs Data'!$C$7:$C$126,0),7),'WHO Labs Data'!$M$7)</f>
        <v>0.2276050738661016</v>
      </c>
      <c r="M116" s="78">
        <f>INDEX('Tabular Pop Data by Age'!$AN$8:$AN$271,MATCH($B116,'Tabular Pop Data by Age'!$B$8:$B$271,0))</f>
        <v>1380004000</v>
      </c>
      <c r="N116" s="79">
        <f t="shared" si="4"/>
        <v>1073091.1103999999</v>
      </c>
      <c r="O116" s="78">
        <f t="shared" si="5"/>
        <v>801782.32399999991</v>
      </c>
      <c r="P116" s="78">
        <f t="shared" si="6"/>
        <v>2907806.4284000001</v>
      </c>
      <c r="Q116" s="79">
        <f t="shared" si="7"/>
        <v>314095.9123555157</v>
      </c>
    </row>
    <row r="117" spans="2:17" x14ac:dyDescent="0.25">
      <c r="B117" s="138" t="s">
        <v>595</v>
      </c>
      <c r="C117" s="138" t="s">
        <v>596</v>
      </c>
      <c r="D117" s="138" t="s">
        <v>1182</v>
      </c>
      <c r="E117" s="138" t="str">
        <f>INDEX('WB Physician Data'!$C$9:$BO$272,MATCH($C117,'WB Physician Data'!$C$9:$C$272,0),MATCH("Latest value",'WB Physician Data'!$C$8:$BO$8,0))</f>
        <v>No reported value</v>
      </c>
      <c r="F117" s="138" t="str">
        <f>INDEX('WB Physician Data'!$C$9:$BO$272,MATCH($C117,'WB Physician Data'!$C$9:$C$272,0),MATCH("Latest year",'WB Physician Data'!$C$8:$BO$8,0))</f>
        <v>No reported value</v>
      </c>
      <c r="G117" s="138">
        <f>INDEX('WB CHWs Data'!$C$10:$BP$274,MATCH($C117,'WB CHWs Data'!$C$10:$C$274,0),MATCH("Value",'WB CHWs Data'!$C$10:$BP$10,0))</f>
        <v>0.4</v>
      </c>
      <c r="H117" s="138" t="str">
        <f>'WB CHWs Data'!BO119</f>
        <v>No reported value</v>
      </c>
      <c r="I117" s="84" t="str">
        <f>'WB Nurses &amp; Midwives data'!BN117</f>
        <v>No reported value</v>
      </c>
      <c r="J117" s="84" t="str">
        <f>'WB Nurses &amp; Midwives data'!BO117</f>
        <v>No reported value</v>
      </c>
      <c r="K117" s="84">
        <f>IFERROR(INDEX('WHO Labs Data'!$C$7:$I$126,MATCH('HCW Summary Data'!$C117,'WHO Labs Data'!$C$7:$C$126,0),7),'WHO Labs Data'!$M$7)</f>
        <v>0.2276050738661016</v>
      </c>
      <c r="M117" s="78">
        <f>INDEX('Tabular Pop Data by Age'!$AN$8:$AN$271,MATCH($B117,'Tabular Pop Data by Age'!$B$8:$B$271,0))</f>
        <v>0</v>
      </c>
      <c r="N117" s="79">
        <f t="shared" si="4"/>
        <v>0</v>
      </c>
      <c r="O117" s="78">
        <f t="shared" si="5"/>
        <v>0</v>
      </c>
      <c r="P117" s="78">
        <f t="shared" si="6"/>
        <v>0</v>
      </c>
      <c r="Q117" s="79">
        <f t="shared" si="7"/>
        <v>0</v>
      </c>
    </row>
    <row r="118" spans="2:17" x14ac:dyDescent="0.25">
      <c r="B118" s="138" t="s">
        <v>526</v>
      </c>
      <c r="C118" s="138" t="s">
        <v>60</v>
      </c>
      <c r="D118" s="138" t="s">
        <v>517</v>
      </c>
      <c r="E118" s="138">
        <f>INDEX('WB Physician Data'!$C$9:$BO$272,MATCH($C118,'WB Physician Data'!$C$9:$C$272,0),MATCH("Latest value",'WB Physician Data'!$C$8:$BO$8,0))</f>
        <v>3.0861000000000001</v>
      </c>
      <c r="F118" s="138">
        <f>INDEX('WB Physician Data'!$C$9:$BO$272,MATCH($C118,'WB Physician Data'!$C$9:$C$272,0),MATCH("Latest year",'WB Physician Data'!$C$8:$BO$8,0))</f>
        <v>2017</v>
      </c>
      <c r="G118" s="138">
        <f>INDEX('WB CHWs Data'!$C$10:$BP$274,MATCH($C118,'WB CHWs Data'!$C$10:$C$274,0),MATCH("Value",'WB CHWs Data'!$C$10:$BP$10,0))</f>
        <v>0.4</v>
      </c>
      <c r="H118" s="138" t="str">
        <f>'WB CHWs Data'!BO120</f>
        <v>No reported value</v>
      </c>
      <c r="I118" s="84">
        <f>'WB Nurses &amp; Midwives data'!BN118</f>
        <v>14.2949</v>
      </c>
      <c r="J118" s="84">
        <f>'WB Nurses &amp; Midwives data'!BO118</f>
        <v>2016</v>
      </c>
      <c r="K118" s="84">
        <f>IFERROR(INDEX('WHO Labs Data'!$C$7:$I$126,MATCH('HCW Summary Data'!$C118,'WHO Labs Data'!$C$7:$C$126,0),7),'WHO Labs Data'!$M$7)</f>
        <v>0.2276050738661016</v>
      </c>
      <c r="M118" s="78">
        <f>INDEX('Tabular Pop Data by Age'!$AN$8:$AN$271,MATCH($B118,'Tabular Pop Data by Age'!$B$8:$B$271,0))</f>
        <v>4933000</v>
      </c>
      <c r="N118" s="79">
        <f t="shared" si="4"/>
        <v>15223.731299999999</v>
      </c>
      <c r="O118" s="78">
        <f t="shared" si="5"/>
        <v>1973.2</v>
      </c>
      <c r="P118" s="78">
        <f t="shared" si="6"/>
        <v>70516.741699999999</v>
      </c>
      <c r="Q118" s="79">
        <f t="shared" si="7"/>
        <v>1122.7758293814791</v>
      </c>
    </row>
    <row r="119" spans="2:17" x14ac:dyDescent="0.25">
      <c r="B119" s="138" t="s">
        <v>524</v>
      </c>
      <c r="C119" s="138" t="s">
        <v>61</v>
      </c>
      <c r="D119" s="138" t="s">
        <v>664</v>
      </c>
      <c r="E119" s="138">
        <f>INDEX('WB Physician Data'!$C$9:$BO$272,MATCH($C119,'WB Physician Data'!$C$9:$C$272,0),MATCH("Latest value",'WB Physician Data'!$C$8:$BO$8,0))</f>
        <v>1.1399999999999999</v>
      </c>
      <c r="F119" s="138">
        <f>INDEX('WB Physician Data'!$C$9:$BO$272,MATCH($C119,'WB Physician Data'!$C$9:$C$272,0),MATCH("Latest year",'WB Physician Data'!$C$8:$BO$8,0))</f>
        <v>2015</v>
      </c>
      <c r="G119" s="138">
        <f>INDEX('WB CHWs Data'!$C$10:$BP$274,MATCH($C119,'WB CHWs Data'!$C$10:$C$274,0),MATCH("Value",'WB CHWs Data'!$C$10:$BP$10,0))</f>
        <v>0.36399999999999999</v>
      </c>
      <c r="H119" s="138">
        <f>'WB CHWs Data'!BO121</f>
        <v>2004</v>
      </c>
      <c r="I119" s="84">
        <f>'WB Nurses &amp; Midwives data'!BN119</f>
        <v>1.87</v>
      </c>
      <c r="J119" s="84">
        <f>'WB Nurses &amp; Midwives data'!BO119</f>
        <v>2015</v>
      </c>
      <c r="K119" s="84">
        <f>IFERROR(INDEX('WHO Labs Data'!$C$7:$I$126,MATCH('HCW Summary Data'!$C119,'WHO Labs Data'!$C$7:$C$126,0),7),'WHO Labs Data'!$M$7)</f>
        <v>9.6943446481820253E-2</v>
      </c>
      <c r="M119" s="78">
        <f>INDEX('Tabular Pop Data by Age'!$AN$8:$AN$271,MATCH($B119,'Tabular Pop Data by Age'!$B$8:$B$271,0))</f>
        <v>83993000</v>
      </c>
      <c r="N119" s="79">
        <f t="shared" si="4"/>
        <v>95752.01999999999</v>
      </c>
      <c r="O119" s="78">
        <f t="shared" si="5"/>
        <v>30573.451999999997</v>
      </c>
      <c r="P119" s="78">
        <f t="shared" si="6"/>
        <v>157066.91</v>
      </c>
      <c r="Q119" s="79">
        <f t="shared" si="7"/>
        <v>8142.5709003475285</v>
      </c>
    </row>
    <row r="120" spans="2:17" x14ac:dyDescent="0.25">
      <c r="B120" s="138" t="s">
        <v>525</v>
      </c>
      <c r="C120" s="138" t="s">
        <v>62</v>
      </c>
      <c r="D120" s="138" t="s">
        <v>517</v>
      </c>
      <c r="E120" s="138">
        <f>INDEX('WB Physician Data'!$C$9:$BO$272,MATCH($C120,'WB Physician Data'!$C$9:$C$272,0),MATCH("Latest value",'WB Physician Data'!$C$8:$BO$8,0))</f>
        <v>0.82169999999999999</v>
      </c>
      <c r="F120" s="138">
        <f>INDEX('WB Physician Data'!$C$9:$BO$272,MATCH($C120,'WB Physician Data'!$C$9:$C$272,0),MATCH("Latest year",'WB Physician Data'!$C$8:$BO$8,0))</f>
        <v>2017</v>
      </c>
      <c r="G120" s="138">
        <f>INDEX('WB CHWs Data'!$C$10:$BP$274,MATCH($C120,'WB CHWs Data'!$C$10:$C$274,0),MATCH("Value",'WB CHWs Data'!$C$10:$BP$10,0))</f>
        <v>6.0000000000000001E-3</v>
      </c>
      <c r="H120" s="138">
        <f>'WB CHWs Data'!BO122</f>
        <v>2004</v>
      </c>
      <c r="I120" s="84">
        <f>'WB Nurses &amp; Midwives data'!BN120</f>
        <v>1.6798999999999999</v>
      </c>
      <c r="J120" s="84">
        <f>'WB Nurses &amp; Midwives data'!BO120</f>
        <v>2017</v>
      </c>
      <c r="K120" s="84">
        <f>IFERROR(INDEX('WHO Labs Data'!$C$7:$I$126,MATCH('HCW Summary Data'!$C120,'WHO Labs Data'!$C$7:$C$126,0),7),'WHO Labs Data'!$M$7)</f>
        <v>0.2276050738661016</v>
      </c>
      <c r="M120" s="78">
        <f>INDEX('Tabular Pop Data by Age'!$AN$8:$AN$271,MATCH($B120,'Tabular Pop Data by Age'!$B$8:$B$271,0))</f>
        <v>40222000</v>
      </c>
      <c r="N120" s="79">
        <f t="shared" si="4"/>
        <v>33050.417399999998</v>
      </c>
      <c r="O120" s="78">
        <f t="shared" si="5"/>
        <v>241.33199999999999</v>
      </c>
      <c r="P120" s="78">
        <f t="shared" si="6"/>
        <v>67568.9378</v>
      </c>
      <c r="Q120" s="79">
        <f t="shared" si="7"/>
        <v>9154.7312810423391</v>
      </c>
    </row>
    <row r="121" spans="2:17" x14ac:dyDescent="0.25">
      <c r="B121" s="138" t="s">
        <v>522</v>
      </c>
      <c r="C121" s="138" t="s">
        <v>63</v>
      </c>
      <c r="D121" s="138" t="s">
        <v>561</v>
      </c>
      <c r="E121" s="138">
        <f>INDEX('WB Physician Data'!$C$9:$BO$272,MATCH($C121,'WB Physician Data'!$C$9:$C$272,0),MATCH("Latest value",'WB Physician Data'!$C$8:$BO$8,0))</f>
        <v>3.9701</v>
      </c>
      <c r="F121" s="138">
        <f>INDEX('WB Physician Data'!$C$9:$BO$272,MATCH($C121,'WB Physician Data'!$C$9:$C$272,0),MATCH("Latest year",'WB Physician Data'!$C$8:$BO$8,0))</f>
        <v>2017</v>
      </c>
      <c r="G121" s="138">
        <f>INDEX('WB CHWs Data'!$C$10:$BP$274,MATCH($C121,'WB CHWs Data'!$C$10:$C$274,0),MATCH("Value",'WB CHWs Data'!$C$10:$BP$10,0))</f>
        <v>0.4</v>
      </c>
      <c r="H121" s="138" t="str">
        <f>'WB CHWs Data'!BO123</f>
        <v>No reported value</v>
      </c>
      <c r="I121" s="84">
        <f>'WB Nurses &amp; Midwives data'!BN121</f>
        <v>15.6806</v>
      </c>
      <c r="J121" s="84">
        <f>'WB Nurses &amp; Midwives data'!BO121</f>
        <v>2017</v>
      </c>
      <c r="K121" s="84">
        <f>IFERROR(INDEX('WHO Labs Data'!$C$7:$I$126,MATCH('HCW Summary Data'!$C121,'WHO Labs Data'!$C$7:$C$126,0),7),'WHO Labs Data'!$M$7)</f>
        <v>0.84565041547172592</v>
      </c>
      <c r="M121" s="78">
        <f>INDEX('Tabular Pop Data by Age'!$AN$8:$AN$271,MATCH($B121,'Tabular Pop Data by Age'!$B$8:$B$271,0))</f>
        <v>359000</v>
      </c>
      <c r="N121" s="79">
        <f t="shared" si="4"/>
        <v>1425.2658999999999</v>
      </c>
      <c r="O121" s="78">
        <f t="shared" si="5"/>
        <v>143.6</v>
      </c>
      <c r="P121" s="78">
        <f t="shared" si="6"/>
        <v>5629.3353999999999</v>
      </c>
      <c r="Q121" s="79">
        <f t="shared" si="7"/>
        <v>303.58849915434962</v>
      </c>
    </row>
    <row r="122" spans="2:17" x14ac:dyDescent="0.25">
      <c r="B122" s="138" t="s">
        <v>529</v>
      </c>
      <c r="C122" s="138" t="s">
        <v>64</v>
      </c>
      <c r="D122" s="138" t="s">
        <v>517</v>
      </c>
      <c r="E122" s="138">
        <f>INDEX('WB Physician Data'!$C$9:$BO$272,MATCH($C122,'WB Physician Data'!$C$9:$C$272,0),MATCH("Latest value",'WB Physician Data'!$C$8:$BO$8,0))</f>
        <v>3.2176</v>
      </c>
      <c r="F122" s="138">
        <f>INDEX('WB Physician Data'!$C$9:$BO$272,MATCH($C122,'WB Physician Data'!$C$9:$C$272,0),MATCH("Latest year",'WB Physician Data'!$C$8:$BO$8,0))</f>
        <v>2016</v>
      </c>
      <c r="G122" s="138">
        <f>INDEX('WB CHWs Data'!$C$10:$BP$274,MATCH($C122,'WB CHWs Data'!$C$10:$C$274,0),MATCH("Value",'WB CHWs Data'!$C$10:$BP$10,0))</f>
        <v>0.4</v>
      </c>
      <c r="H122" s="138" t="str">
        <f>'WB CHWs Data'!BO124</f>
        <v>No reported value</v>
      </c>
      <c r="I122" s="84">
        <f>'WB Nurses &amp; Midwives data'!BN122</f>
        <v>5.2043999999999997</v>
      </c>
      <c r="J122" s="84">
        <f>'WB Nurses &amp; Midwives data'!BO122</f>
        <v>2016</v>
      </c>
      <c r="K122" s="84">
        <f>IFERROR(INDEX('WHO Labs Data'!$C$7:$I$126,MATCH('HCW Summary Data'!$C122,'WHO Labs Data'!$C$7:$C$126,0),7),'WHO Labs Data'!$M$7)</f>
        <v>0.2276050738661016</v>
      </c>
      <c r="M122" s="78">
        <f>INDEX('Tabular Pop Data by Age'!$AN$8:$AN$271,MATCH($B122,'Tabular Pop Data by Age'!$B$8:$B$271,0))</f>
        <v>9152000</v>
      </c>
      <c r="N122" s="79">
        <f t="shared" si="4"/>
        <v>29447.475200000001</v>
      </c>
      <c r="O122" s="78">
        <f t="shared" si="5"/>
        <v>3660.8</v>
      </c>
      <c r="P122" s="78">
        <f t="shared" si="6"/>
        <v>47630.668799999999</v>
      </c>
      <c r="Q122" s="79">
        <f t="shared" si="7"/>
        <v>2083.0416360225618</v>
      </c>
    </row>
    <row r="123" spans="2:17" x14ac:dyDescent="0.25">
      <c r="B123" s="138" t="s">
        <v>530</v>
      </c>
      <c r="C123" s="138" t="s">
        <v>65</v>
      </c>
      <c r="D123" s="138" t="s">
        <v>664</v>
      </c>
      <c r="E123" s="138">
        <f>INDEX('WB Physician Data'!$C$9:$BO$272,MATCH($C123,'WB Physician Data'!$C$9:$C$272,0),MATCH("Latest value",'WB Physician Data'!$C$8:$BO$8,0))</f>
        <v>4.0930999999999997</v>
      </c>
      <c r="F123" s="138">
        <f>INDEX('WB Physician Data'!$C$9:$BO$272,MATCH($C123,'WB Physician Data'!$C$9:$C$272,0),MATCH("Latest year",'WB Physician Data'!$C$8:$BO$8,0))</f>
        <v>2017</v>
      </c>
      <c r="G123" s="138">
        <f>INDEX('WB CHWs Data'!$C$10:$BP$274,MATCH($C123,'WB CHWs Data'!$C$10:$C$274,0),MATCH("Value",'WB CHWs Data'!$C$10:$BP$10,0))</f>
        <v>0.4</v>
      </c>
      <c r="H123" s="138" t="str">
        <f>'WB CHWs Data'!BO125</f>
        <v>No reported value</v>
      </c>
      <c r="I123" s="84">
        <f>'WB Nurses &amp; Midwives data'!BN123</f>
        <v>5.8693</v>
      </c>
      <c r="J123" s="84">
        <f>'WB Nurses &amp; Midwives data'!BO123</f>
        <v>2017</v>
      </c>
      <c r="K123" s="84">
        <f>IFERROR(INDEX('WHO Labs Data'!$C$7:$I$126,MATCH('HCW Summary Data'!$C123,'WHO Labs Data'!$C$7:$C$126,0),7),'WHO Labs Data'!$M$7)</f>
        <v>0.2276050738661016</v>
      </c>
      <c r="M123" s="78">
        <f>INDEX('Tabular Pop Data by Age'!$AN$8:$AN$271,MATCH($B123,'Tabular Pop Data by Age'!$B$8:$B$271,0))</f>
        <v>60250000</v>
      </c>
      <c r="N123" s="79">
        <f t="shared" si="4"/>
        <v>246609.27499999999</v>
      </c>
      <c r="O123" s="78">
        <f t="shared" si="5"/>
        <v>24100</v>
      </c>
      <c r="P123" s="78">
        <f t="shared" si="6"/>
        <v>353625.32500000001</v>
      </c>
      <c r="Q123" s="79">
        <f t="shared" si="7"/>
        <v>13713.205700432622</v>
      </c>
    </row>
    <row r="124" spans="2:17" x14ac:dyDescent="0.25">
      <c r="B124" s="138" t="s">
        <v>531</v>
      </c>
      <c r="C124" s="138" t="s">
        <v>66</v>
      </c>
      <c r="D124" s="138" t="s">
        <v>517</v>
      </c>
      <c r="E124" s="138">
        <f>INDEX('WB Physician Data'!$C$9:$BO$272,MATCH($C124,'WB Physician Data'!$C$9:$C$272,0),MATCH("Latest value",'WB Physician Data'!$C$8:$BO$8,0))</f>
        <v>1.3199000000000001</v>
      </c>
      <c r="F124" s="138">
        <f>INDEX('WB Physician Data'!$C$9:$BO$272,MATCH($C124,'WB Physician Data'!$C$9:$C$272,0),MATCH("Latest year",'WB Physician Data'!$C$8:$BO$8,0))</f>
        <v>2017</v>
      </c>
      <c r="G124" s="138">
        <f>INDEX('WB CHWs Data'!$C$10:$BP$274,MATCH($C124,'WB CHWs Data'!$C$10:$C$274,0),MATCH("Value",'WB CHWs Data'!$C$10:$BP$10,0))</f>
        <v>0.31900000000000001</v>
      </c>
      <c r="H124" s="138">
        <f>'WB CHWs Data'!BO126</f>
        <v>2016</v>
      </c>
      <c r="I124" s="84">
        <f>'WB Nurses &amp; Midwives data'!BN124</f>
        <v>1.1396999999999999</v>
      </c>
      <c r="J124" s="84">
        <f>'WB Nurses &amp; Midwives data'!BO124</f>
        <v>2017</v>
      </c>
      <c r="K124" s="84">
        <f>IFERROR(INDEX('WHO Labs Data'!$C$7:$I$126,MATCH('HCW Summary Data'!$C124,'WHO Labs Data'!$C$7:$C$126,0),7),'WHO Labs Data'!$M$7)</f>
        <v>4.4295203681272162E-2</v>
      </c>
      <c r="M124" s="78">
        <f>INDEX('Tabular Pop Data by Age'!$AN$8:$AN$271,MATCH($B124,'Tabular Pop Data by Age'!$B$8:$B$271,0))</f>
        <v>2961000</v>
      </c>
      <c r="N124" s="79">
        <f t="shared" si="4"/>
        <v>3908.2239000000004</v>
      </c>
      <c r="O124" s="78">
        <f t="shared" si="5"/>
        <v>944.55899999999997</v>
      </c>
      <c r="P124" s="78">
        <f t="shared" si="6"/>
        <v>3374.6516999999999</v>
      </c>
      <c r="Q124" s="79">
        <f t="shared" si="7"/>
        <v>131.15809810024686</v>
      </c>
    </row>
    <row r="125" spans="2:17" x14ac:dyDescent="0.25">
      <c r="B125" s="138" t="s">
        <v>533</v>
      </c>
      <c r="C125" s="138" t="s">
        <v>67</v>
      </c>
      <c r="D125" s="138" t="s">
        <v>664</v>
      </c>
      <c r="E125" s="138">
        <f>INDEX('WB Physician Data'!$C$9:$BO$272,MATCH($C125,'WB Physician Data'!$C$9:$C$272,0),MATCH("Latest value",'WB Physician Data'!$C$8:$BO$8,0))</f>
        <v>2.3435999999999999</v>
      </c>
      <c r="F125" s="138">
        <f>INDEX('WB Physician Data'!$C$9:$BO$272,MATCH($C125,'WB Physician Data'!$C$9:$C$272,0),MATCH("Latest year",'WB Physician Data'!$C$8:$BO$8,0))</f>
        <v>2017</v>
      </c>
      <c r="G125" s="138">
        <f>INDEX('WB CHWs Data'!$C$10:$BP$274,MATCH($C125,'WB CHWs Data'!$C$10:$C$274,0),MATCH("Value",'WB CHWs Data'!$C$10:$BP$10,0))</f>
        <v>0.193</v>
      </c>
      <c r="H125" s="138">
        <f>'WB CHWs Data'!BO127</f>
        <v>2004</v>
      </c>
      <c r="I125" s="84">
        <f>'WB Nurses &amp; Midwives data'!BN125</f>
        <v>3.3885999999999998</v>
      </c>
      <c r="J125" s="84">
        <f>'WB Nurses &amp; Midwives data'!BO125</f>
        <v>2017</v>
      </c>
      <c r="K125" s="84">
        <f>IFERROR(INDEX('WHO Labs Data'!$C$7:$I$126,MATCH('HCW Summary Data'!$C125,'WHO Labs Data'!$C$7:$C$126,0),7),'WHO Labs Data'!$M$7)</f>
        <v>0.43692197608058086</v>
      </c>
      <c r="M125" s="78">
        <f>INDEX('Tabular Pop Data by Age'!$AN$8:$AN$271,MATCH($B125,'Tabular Pop Data by Age'!$B$8:$B$271,0))</f>
        <v>10203000</v>
      </c>
      <c r="N125" s="79">
        <f t="shared" si="4"/>
        <v>23911.750799999998</v>
      </c>
      <c r="O125" s="78">
        <f t="shared" si="5"/>
        <v>1969.1790000000001</v>
      </c>
      <c r="P125" s="78">
        <f t="shared" si="6"/>
        <v>34573.885799999996</v>
      </c>
      <c r="Q125" s="79">
        <f t="shared" si="7"/>
        <v>4457.9149219501669</v>
      </c>
    </row>
    <row r="126" spans="2:17" x14ac:dyDescent="0.25">
      <c r="B126" s="138" t="s">
        <v>532</v>
      </c>
      <c r="C126" s="138" t="s">
        <v>68</v>
      </c>
      <c r="D126" s="138" t="s">
        <v>664</v>
      </c>
      <c r="E126" s="138">
        <f>INDEX('WB Physician Data'!$C$9:$BO$272,MATCH($C126,'WB Physician Data'!$C$9:$C$272,0),MATCH("Latest value",'WB Physician Data'!$C$8:$BO$8,0))</f>
        <v>2.4117999999999999</v>
      </c>
      <c r="F126" s="138">
        <f>INDEX('WB Physician Data'!$C$9:$BO$272,MATCH($C126,'WB Physician Data'!$C$9:$C$272,0),MATCH("Latest year",'WB Physician Data'!$C$8:$BO$8,0))</f>
        <v>2016</v>
      </c>
      <c r="G126" s="138">
        <f>INDEX('WB CHWs Data'!$C$10:$BP$274,MATCH($C126,'WB CHWs Data'!$C$10:$C$274,0),MATCH("Value",'WB CHWs Data'!$C$10:$BP$10,0))</f>
        <v>0.4</v>
      </c>
      <c r="H126" s="138" t="str">
        <f>'WB CHWs Data'!BO128</f>
        <v>No reported value</v>
      </c>
      <c r="I126" s="84">
        <f>'WB Nurses &amp; Midwives data'!BN126</f>
        <v>11.5184</v>
      </c>
      <c r="J126" s="84">
        <f>'WB Nurses &amp; Midwives data'!BO126</f>
        <v>2016</v>
      </c>
      <c r="K126" s="84">
        <f>IFERROR(INDEX('WHO Labs Data'!$C$7:$I$126,MATCH('HCW Summary Data'!$C126,'WHO Labs Data'!$C$7:$C$126,0),7),'WHO Labs Data'!$M$7)</f>
        <v>0.2276050738661016</v>
      </c>
      <c r="M126" s="78">
        <f>INDEX('Tabular Pop Data by Age'!$AN$8:$AN$271,MATCH($B126,'Tabular Pop Data by Age'!$B$8:$B$271,0))</f>
        <v>125661000</v>
      </c>
      <c r="N126" s="79">
        <f t="shared" si="4"/>
        <v>303069.1998</v>
      </c>
      <c r="O126" s="78">
        <f t="shared" si="5"/>
        <v>50264.4</v>
      </c>
      <c r="P126" s="78">
        <f t="shared" si="6"/>
        <v>1447413.6624</v>
      </c>
      <c r="Q126" s="79">
        <f t="shared" si="7"/>
        <v>28601.081187088192</v>
      </c>
    </row>
    <row r="127" spans="2:17" x14ac:dyDescent="0.25">
      <c r="B127" s="138" t="s">
        <v>534</v>
      </c>
      <c r="C127" s="138" t="s">
        <v>69</v>
      </c>
      <c r="D127" s="138" t="s">
        <v>561</v>
      </c>
      <c r="E127" s="138">
        <f>INDEX('WB Physician Data'!$C$9:$BO$272,MATCH($C127,'WB Physician Data'!$C$9:$C$272,0),MATCH("Latest value",'WB Physician Data'!$C$8:$BO$8,0))</f>
        <v>3.2522000000000002</v>
      </c>
      <c r="F127" s="138">
        <f>INDEX('WB Physician Data'!$C$9:$BO$272,MATCH($C127,'WB Physician Data'!$C$9:$C$272,0),MATCH("Latest year",'WB Physician Data'!$C$8:$BO$8,0))</f>
        <v>2014</v>
      </c>
      <c r="G127" s="138">
        <f>INDEX('WB CHWs Data'!$C$10:$BP$274,MATCH($C127,'WB CHWs Data'!$C$10:$C$274,0),MATCH("Value",'WB CHWs Data'!$C$10:$BP$10,0))</f>
        <v>0.4</v>
      </c>
      <c r="H127" s="138" t="str">
        <f>'WB CHWs Data'!BO129</f>
        <v>No reported value</v>
      </c>
      <c r="I127" s="84">
        <f>'WB Nurses &amp; Midwives data'!BN127</f>
        <v>8.4890000000000008</v>
      </c>
      <c r="J127" s="84">
        <f>'WB Nurses &amp; Midwives data'!BO127</f>
        <v>2013</v>
      </c>
      <c r="K127" s="84">
        <f>IFERROR(INDEX('WHO Labs Data'!$C$7:$I$126,MATCH('HCW Summary Data'!$C127,'WHO Labs Data'!$C$7:$C$126,0),7),'WHO Labs Data'!$M$7)</f>
        <v>0.2276050738661016</v>
      </c>
      <c r="M127" s="78">
        <f>INDEX('Tabular Pop Data by Age'!$AN$8:$AN$271,MATCH($B127,'Tabular Pop Data by Age'!$B$8:$B$271,0))</f>
        <v>18654000</v>
      </c>
      <c r="N127" s="79">
        <f t="shared" si="4"/>
        <v>60666.538800000002</v>
      </c>
      <c r="O127" s="78">
        <f t="shared" si="5"/>
        <v>7461.6</v>
      </c>
      <c r="P127" s="78">
        <f t="shared" si="6"/>
        <v>158353.80600000001</v>
      </c>
      <c r="Q127" s="79">
        <f t="shared" si="7"/>
        <v>4245.7450478982591</v>
      </c>
    </row>
    <row r="128" spans="2:17" x14ac:dyDescent="0.25">
      <c r="B128" s="138" t="s">
        <v>199</v>
      </c>
      <c r="C128" s="138" t="s">
        <v>70</v>
      </c>
      <c r="D128" s="138" t="s">
        <v>561</v>
      </c>
      <c r="E128" s="138">
        <f>INDEX('WB Physician Data'!$C$9:$BO$272,MATCH($C128,'WB Physician Data'!$C$9:$C$272,0),MATCH("Latest value",'WB Physician Data'!$C$8:$BO$8,0))</f>
        <v>0.1988</v>
      </c>
      <c r="F128" s="138">
        <f>INDEX('WB Physician Data'!$C$9:$BO$272,MATCH($C128,'WB Physician Data'!$C$9:$C$272,0),MATCH("Latest year",'WB Physician Data'!$C$8:$BO$8,0))</f>
        <v>2014</v>
      </c>
      <c r="G128" s="138">
        <f>INDEX('WB CHWs Data'!$C$10:$BP$274,MATCH($C128,'WB CHWs Data'!$C$10:$C$274,0),MATCH("Value",'WB CHWs Data'!$C$10:$BP$10,0))</f>
        <v>0.4</v>
      </c>
      <c r="H128" s="138" t="str">
        <f>'WB CHWs Data'!BO130</f>
        <v>No reported value</v>
      </c>
      <c r="I128" s="84">
        <f>'WB Nurses &amp; Midwives data'!BN128</f>
        <v>1.5421</v>
      </c>
      <c r="J128" s="84">
        <f>'WB Nurses &amp; Midwives data'!BO128</f>
        <v>2014</v>
      </c>
      <c r="K128" s="84">
        <f>IFERROR(INDEX('WHO Labs Data'!$C$7:$I$126,MATCH('HCW Summary Data'!$C128,'WHO Labs Data'!$C$7:$C$126,0),7),'WHO Labs Data'!$M$7)</f>
        <v>0.11674739424680516</v>
      </c>
      <c r="M128" s="78">
        <f>INDEX('Tabular Pop Data by Age'!$AN$8:$AN$271,MATCH($B128,'Tabular Pop Data by Age'!$B$8:$B$271,0))</f>
        <v>53771000</v>
      </c>
      <c r="N128" s="79">
        <f t="shared" si="4"/>
        <v>10689.674800000001</v>
      </c>
      <c r="O128" s="78">
        <f t="shared" si="5"/>
        <v>21508.400000000001</v>
      </c>
      <c r="P128" s="78">
        <f t="shared" si="6"/>
        <v>82920.259099999996</v>
      </c>
      <c r="Q128" s="79">
        <f t="shared" si="7"/>
        <v>6277.6241360449603</v>
      </c>
    </row>
    <row r="129" spans="2:17" x14ac:dyDescent="0.25">
      <c r="B129" s="138" t="s">
        <v>539</v>
      </c>
      <c r="C129" s="138" t="s">
        <v>71</v>
      </c>
      <c r="D129" s="138" t="s">
        <v>561</v>
      </c>
      <c r="E129" s="138">
        <f>INDEX('WB Physician Data'!$C$9:$BO$272,MATCH($C129,'WB Physician Data'!$C$9:$C$272,0),MATCH("Latest value",'WB Physician Data'!$C$8:$BO$8,0))</f>
        <v>1.8759999999999999</v>
      </c>
      <c r="F129" s="138">
        <f>INDEX('WB Physician Data'!$C$9:$BO$272,MATCH($C129,'WB Physician Data'!$C$9:$C$272,0),MATCH("Latest year",'WB Physician Data'!$C$8:$BO$8,0))</f>
        <v>2014</v>
      </c>
      <c r="G129" s="138">
        <f>INDEX('WB CHWs Data'!$C$10:$BP$274,MATCH($C129,'WB CHWs Data'!$C$10:$C$274,0),MATCH("Value",'WB CHWs Data'!$C$10:$BP$10,0))</f>
        <v>0.4</v>
      </c>
      <c r="H129" s="138" t="str">
        <f>'WB CHWs Data'!BO131</f>
        <v>No reported value</v>
      </c>
      <c r="I129" s="84">
        <f>'WB Nurses &amp; Midwives data'!BN129</f>
        <v>6.4298999999999999</v>
      </c>
      <c r="J129" s="84">
        <f>'WB Nurses &amp; Midwives data'!BO129</f>
        <v>2013</v>
      </c>
      <c r="K129" s="84">
        <f>IFERROR(INDEX('WHO Labs Data'!$C$7:$I$126,MATCH('HCW Summary Data'!$C129,'WHO Labs Data'!$C$7:$C$126,0),7),'WHO Labs Data'!$M$7)</f>
        <v>0.2276050738661016</v>
      </c>
      <c r="M129" s="78">
        <f>INDEX('Tabular Pop Data by Age'!$AN$8:$AN$271,MATCH($B129,'Tabular Pop Data by Age'!$B$8:$B$271,0))</f>
        <v>6489000</v>
      </c>
      <c r="N129" s="79">
        <f t="shared" si="4"/>
        <v>12173.364</v>
      </c>
      <c r="O129" s="78">
        <f t="shared" si="5"/>
        <v>2595.6000000000004</v>
      </c>
      <c r="P129" s="78">
        <f t="shared" si="6"/>
        <v>41723.621099999997</v>
      </c>
      <c r="Q129" s="79">
        <f t="shared" si="7"/>
        <v>1476.9293243171333</v>
      </c>
    </row>
    <row r="130" spans="2:17" x14ac:dyDescent="0.25">
      <c r="B130" s="138" t="s">
        <v>247</v>
      </c>
      <c r="C130" s="138" t="s">
        <v>72</v>
      </c>
      <c r="D130" s="138" t="s">
        <v>561</v>
      </c>
      <c r="E130" s="138">
        <f>INDEX('WB Physician Data'!$C$9:$BO$272,MATCH($C130,'WB Physician Data'!$C$9:$C$272,0),MATCH("Latest value",'WB Physician Data'!$C$8:$BO$8,0))</f>
        <v>0.16819999999999999</v>
      </c>
      <c r="F130" s="138">
        <f>INDEX('WB Physician Data'!$C$9:$BO$272,MATCH($C130,'WB Physician Data'!$C$9:$C$272,0),MATCH("Latest year",'WB Physician Data'!$C$8:$BO$8,0))</f>
        <v>2014</v>
      </c>
      <c r="G130" s="138">
        <f>INDEX('WB CHWs Data'!$C$10:$BP$274,MATCH($C130,'WB CHWs Data'!$C$10:$C$274,0),MATCH("Value",'WB CHWs Data'!$C$10:$BP$10,0))</f>
        <v>0.125</v>
      </c>
      <c r="H130" s="138">
        <f>'WB CHWs Data'!BO132</f>
        <v>2004</v>
      </c>
      <c r="I130" s="84">
        <f>'WB Nurses &amp; Midwives data'!BN130</f>
        <v>0.95469999999999999</v>
      </c>
      <c r="J130" s="84">
        <f>'WB Nurses &amp; Midwives data'!BO130</f>
        <v>2014</v>
      </c>
      <c r="K130" s="84">
        <f>IFERROR(INDEX('WHO Labs Data'!$C$7:$I$126,MATCH('HCW Summary Data'!$C130,'WHO Labs Data'!$C$7:$C$126,0),7),'WHO Labs Data'!$M$7)</f>
        <v>3.4092731491185302E-2</v>
      </c>
      <c r="M130" s="78">
        <f>INDEX('Tabular Pop Data by Age'!$AN$8:$AN$271,MATCH($B130,'Tabular Pop Data by Age'!$B$8:$B$271,0))</f>
        <v>16719000</v>
      </c>
      <c r="N130" s="79">
        <f t="shared" si="4"/>
        <v>2812.1358</v>
      </c>
      <c r="O130" s="78">
        <f t="shared" si="5"/>
        <v>2089.875</v>
      </c>
      <c r="P130" s="78">
        <f t="shared" si="6"/>
        <v>15961.629300000001</v>
      </c>
      <c r="Q130" s="79">
        <f t="shared" si="7"/>
        <v>569.9963778011271</v>
      </c>
    </row>
    <row r="131" spans="2:17" x14ac:dyDescent="0.25">
      <c r="B131" s="138" t="s">
        <v>249</v>
      </c>
      <c r="C131" s="138" t="s">
        <v>73</v>
      </c>
      <c r="D131" s="138" t="s">
        <v>559</v>
      </c>
      <c r="E131" s="138">
        <f>INDEX('WB Physician Data'!$C$9:$BO$272,MATCH($C131,'WB Physician Data'!$C$9:$C$272,0),MATCH("Latest value",'WB Physician Data'!$C$8:$BO$8,0))</f>
        <v>0.20280000000000001</v>
      </c>
      <c r="F131" s="138">
        <f>INDEX('WB Physician Data'!$C$9:$BO$272,MATCH($C131,'WB Physician Data'!$C$9:$C$272,0),MATCH("Latest year",'WB Physician Data'!$C$8:$BO$8,0))</f>
        <v>2013</v>
      </c>
      <c r="G131" s="138">
        <f>INDEX('WB CHWs Data'!$C$10:$BP$274,MATCH($C131,'WB CHWs Data'!$C$10:$C$274,0),MATCH("Value",'WB CHWs Data'!$C$10:$BP$10,0))</f>
        <v>0.4</v>
      </c>
      <c r="H131" s="138" t="str">
        <f>'WB CHWs Data'!BO133</f>
        <v>No reported value</v>
      </c>
      <c r="I131" s="84">
        <f>'WB Nurses &amp; Midwives data'!BN131</f>
        <v>4.8287000000000004</v>
      </c>
      <c r="J131" s="84">
        <f>'WB Nurses &amp; Midwives data'!BO131</f>
        <v>2016</v>
      </c>
      <c r="K131" s="84">
        <f>IFERROR(INDEX('WHO Labs Data'!$C$7:$I$126,MATCH('HCW Summary Data'!$C131,'WHO Labs Data'!$C$7:$C$126,0),7),'WHO Labs Data'!$M$7)</f>
        <v>0.17264150129049521</v>
      </c>
      <c r="M131" s="78">
        <f>INDEX('Tabular Pop Data by Age'!$AN$8:$AN$271,MATCH($B131,'Tabular Pop Data by Age'!$B$8:$B$271,0))</f>
        <v>119000</v>
      </c>
      <c r="N131" s="79">
        <f t="shared" si="4"/>
        <v>24.133200000000002</v>
      </c>
      <c r="O131" s="78">
        <f t="shared" si="5"/>
        <v>47.6</v>
      </c>
      <c r="P131" s="78">
        <f t="shared" si="6"/>
        <v>574.61530000000005</v>
      </c>
      <c r="Q131" s="79">
        <f t="shared" si="7"/>
        <v>20.544338653568932</v>
      </c>
    </row>
    <row r="132" spans="2:17" x14ac:dyDescent="0.25">
      <c r="B132" s="138" t="s">
        <v>637</v>
      </c>
      <c r="C132" s="138" t="s">
        <v>638</v>
      </c>
      <c r="D132" s="138" t="s">
        <v>664</v>
      </c>
      <c r="E132" s="138">
        <f>INDEX('WB Physician Data'!$C$9:$BO$272,MATCH($C132,'WB Physician Data'!$C$9:$C$272,0),MATCH("Latest value",'WB Physician Data'!$C$8:$BO$8,0))</f>
        <v>2.5230000000000001</v>
      </c>
      <c r="F132" s="138">
        <f>INDEX('WB Physician Data'!$C$9:$BO$272,MATCH($C132,'WB Physician Data'!$C$9:$C$272,0),MATCH("Latest year",'WB Physician Data'!$C$8:$BO$8,0))</f>
        <v>2015</v>
      </c>
      <c r="G132" s="138">
        <f>INDEX('WB CHWs Data'!$C$10:$BP$274,MATCH($C132,'WB CHWs Data'!$C$10:$C$274,0),MATCH("Value",'WB CHWs Data'!$C$10:$BP$10,0))</f>
        <v>1.0389999999999999</v>
      </c>
      <c r="H132" s="138">
        <f>'WB CHWs Data'!BO134</f>
        <v>2001</v>
      </c>
      <c r="I132" s="84">
        <f>'WB Nurses &amp; Midwives data'!BN132</f>
        <v>3.9779</v>
      </c>
      <c r="J132" s="84">
        <f>'WB Nurses &amp; Midwives data'!BO132</f>
        <v>2015</v>
      </c>
      <c r="K132" s="84">
        <f>IFERROR(INDEX('WHO Labs Data'!$C$7:$I$126,MATCH('HCW Summary Data'!$C132,'WHO Labs Data'!$C$7:$C$126,0),7),'WHO Labs Data'!$M$7)</f>
        <v>0.2276050738661016</v>
      </c>
      <c r="M132" s="78">
        <f>INDEX('Tabular Pop Data by Age'!$AN$8:$AN$271,MATCH($B132,'Tabular Pop Data by Age'!$B$8:$B$271,0))</f>
        <v>53000</v>
      </c>
      <c r="N132" s="79">
        <f t="shared" si="4"/>
        <v>133.71899999999999</v>
      </c>
      <c r="O132" s="78">
        <f t="shared" si="5"/>
        <v>55.066999999999993</v>
      </c>
      <c r="P132" s="78">
        <f t="shared" si="6"/>
        <v>210.8287</v>
      </c>
      <c r="Q132" s="79">
        <f t="shared" si="7"/>
        <v>12.063068914903385</v>
      </c>
    </row>
    <row r="133" spans="2:17" x14ac:dyDescent="0.25">
      <c r="B133" s="138" t="s">
        <v>536</v>
      </c>
      <c r="C133" s="138" t="s">
        <v>74</v>
      </c>
      <c r="D133" s="138" t="s">
        <v>664</v>
      </c>
      <c r="E133" s="138">
        <f>INDEX('WB Physician Data'!$C$9:$BO$272,MATCH($C133,'WB Physician Data'!$C$9:$C$272,0),MATCH("Latest value",'WB Physician Data'!$C$8:$BO$8,0))</f>
        <v>2.3660999999999999</v>
      </c>
      <c r="F133" s="138">
        <f>INDEX('WB Physician Data'!$C$9:$BO$272,MATCH($C133,'WB Physician Data'!$C$9:$C$272,0),MATCH("Latest year",'WB Physician Data'!$C$8:$BO$8,0))</f>
        <v>2017</v>
      </c>
      <c r="G133" s="138">
        <f>INDEX('WB CHWs Data'!$C$10:$BP$274,MATCH($C133,'WB CHWs Data'!$C$10:$C$274,0),MATCH("Value",'WB CHWs Data'!$C$10:$BP$10,0))</f>
        <v>0.377</v>
      </c>
      <c r="H133" s="138">
        <f>'WB CHWs Data'!BO135</f>
        <v>2009</v>
      </c>
      <c r="I133" s="84">
        <f>'WB Nurses &amp; Midwives data'!BN133</f>
        <v>6.9734999999999996</v>
      </c>
      <c r="J133" s="84">
        <f>'WB Nurses &amp; Midwives data'!BO133</f>
        <v>2017</v>
      </c>
      <c r="K133" s="84">
        <f>IFERROR(INDEX('WHO Labs Data'!$C$7:$I$126,MATCH('HCW Summary Data'!$C133,'WHO Labs Data'!$C$7:$C$126,0),7),'WHO Labs Data'!$M$7)</f>
        <v>0.68209209614454125</v>
      </c>
      <c r="M133" s="78">
        <f>INDEX('Tabular Pop Data by Age'!$AN$8:$AN$271,MATCH($B133,'Tabular Pop Data by Age'!$B$8:$B$271,0))</f>
        <v>51922000</v>
      </c>
      <c r="N133" s="79">
        <f t="shared" si="4"/>
        <v>122852.6442</v>
      </c>
      <c r="O133" s="78">
        <f t="shared" si="5"/>
        <v>19574.594000000001</v>
      </c>
      <c r="P133" s="78">
        <f t="shared" si="6"/>
        <v>362078.06699999998</v>
      </c>
      <c r="Q133" s="79">
        <f t="shared" si="7"/>
        <v>35415.585816016872</v>
      </c>
    </row>
    <row r="134" spans="2:17" x14ac:dyDescent="0.25">
      <c r="B134" s="138" t="s">
        <v>538</v>
      </c>
      <c r="C134" s="138" t="s">
        <v>75</v>
      </c>
      <c r="D134" s="138" t="s">
        <v>561</v>
      </c>
      <c r="E134" s="138">
        <f>INDEX('WB Physician Data'!$C$9:$BO$272,MATCH($C134,'WB Physician Data'!$C$9:$C$272,0),MATCH("Latest value",'WB Physician Data'!$C$8:$BO$8,0))</f>
        <v>2.5789</v>
      </c>
      <c r="F134" s="138">
        <f>INDEX('WB Physician Data'!$C$9:$BO$272,MATCH($C134,'WB Physician Data'!$C$9:$C$272,0),MATCH("Latest year",'WB Physician Data'!$C$8:$BO$8,0))</f>
        <v>2015</v>
      </c>
      <c r="G134" s="138">
        <f>INDEX('WB CHWs Data'!$C$10:$BP$274,MATCH($C134,'WB CHWs Data'!$C$10:$C$274,0),MATCH("Value",'WB CHWs Data'!$C$10:$BP$10,0))</f>
        <v>0.4</v>
      </c>
      <c r="H134" s="138" t="str">
        <f>'WB CHWs Data'!BO136</f>
        <v>No reported value</v>
      </c>
      <c r="I134" s="84">
        <f>'WB Nurses &amp; Midwives data'!BN134</f>
        <v>6.9694000000000003</v>
      </c>
      <c r="J134" s="84">
        <f>'WB Nurses &amp; Midwives data'!BO134</f>
        <v>2015</v>
      </c>
      <c r="K134" s="84">
        <f>IFERROR(INDEX('WHO Labs Data'!$C$7:$I$126,MATCH('HCW Summary Data'!$C134,'WHO Labs Data'!$C$7:$C$126,0),7),'WHO Labs Data'!$M$7)</f>
        <v>0.2276050738661016</v>
      </c>
      <c r="M134" s="78">
        <f>INDEX('Tabular Pop Data by Age'!$AN$8:$AN$271,MATCH($B134,'Tabular Pop Data by Age'!$B$8:$B$271,0))</f>
        <v>4271000</v>
      </c>
      <c r="N134" s="79">
        <f t="shared" si="4"/>
        <v>11014.481900000001</v>
      </c>
      <c r="O134" s="78">
        <f t="shared" si="5"/>
        <v>1708.4</v>
      </c>
      <c r="P134" s="78">
        <f t="shared" si="6"/>
        <v>29766.307400000002</v>
      </c>
      <c r="Q134" s="79">
        <f t="shared" si="7"/>
        <v>972.10127048211996</v>
      </c>
    </row>
    <row r="135" spans="2:17" x14ac:dyDescent="0.25">
      <c r="B135" s="138" t="s">
        <v>545</v>
      </c>
      <c r="C135" s="138" t="s">
        <v>546</v>
      </c>
      <c r="D135" s="138" t="s">
        <v>1182</v>
      </c>
      <c r="E135" s="138">
        <f>INDEX('WB Physician Data'!$C$9:$BO$272,MATCH($C135,'WB Physician Data'!$C$9:$C$272,0),MATCH("Latest value",'WB Physician Data'!$C$8:$BO$8,0))</f>
        <v>2.1902000281646443</v>
      </c>
      <c r="F135" s="138">
        <f>INDEX('WB Physician Data'!$C$9:$BO$272,MATCH($C135,'WB Physician Data'!$C$9:$C$272,0),MATCH("Latest year",'WB Physician Data'!$C$8:$BO$8,0))</f>
        <v>2015</v>
      </c>
      <c r="G135" s="138">
        <f>INDEX('WB CHWs Data'!$C$10:$BP$274,MATCH($C135,'WB CHWs Data'!$C$10:$C$274,0),MATCH("Value",'WB CHWs Data'!$C$10:$BP$10,0))</f>
        <v>0.4</v>
      </c>
      <c r="H135" s="138" t="str">
        <f>'WB CHWs Data'!BO137</f>
        <v>No reported value</v>
      </c>
      <c r="I135" s="84">
        <f>'WB Nurses &amp; Midwives data'!BN135</f>
        <v>4.8899261545117172</v>
      </c>
      <c r="J135" s="84">
        <f>'WB Nurses &amp; Midwives data'!BO135</f>
        <v>2015</v>
      </c>
      <c r="K135" s="84">
        <f>IFERROR(INDEX('WHO Labs Data'!$C$7:$I$126,MATCH('HCW Summary Data'!$C135,'WHO Labs Data'!$C$7:$C$126,0),7),'WHO Labs Data'!$M$7)</f>
        <v>0.2276050738661016</v>
      </c>
      <c r="M135" s="78">
        <f>INDEX('Tabular Pop Data by Age'!$AN$8:$AN$271,MATCH($B135,'Tabular Pop Data by Age'!$B$8:$B$271,0))</f>
        <v>620352000</v>
      </c>
      <c r="N135" s="79">
        <f t="shared" si="4"/>
        <v>1358694.9678719935</v>
      </c>
      <c r="O135" s="78">
        <f t="shared" si="5"/>
        <v>248140.80000000002</v>
      </c>
      <c r="P135" s="78">
        <f t="shared" si="6"/>
        <v>3033475.4698036527</v>
      </c>
      <c r="Q135" s="79">
        <f t="shared" si="7"/>
        <v>141195.26278298386</v>
      </c>
    </row>
    <row r="136" spans="2:17" x14ac:dyDescent="0.25">
      <c r="B136" s="138" t="s">
        <v>540</v>
      </c>
      <c r="C136" s="138" t="s">
        <v>76</v>
      </c>
      <c r="D136" s="138" t="s">
        <v>517</v>
      </c>
      <c r="E136" s="138">
        <f>INDEX('WB Physician Data'!$C$9:$BO$272,MATCH($C136,'WB Physician Data'!$C$9:$C$272,0),MATCH("Latest value",'WB Physician Data'!$C$8:$BO$8,0))</f>
        <v>0.49969999999999998</v>
      </c>
      <c r="F136" s="138">
        <f>INDEX('WB Physician Data'!$C$9:$BO$272,MATCH($C136,'WB Physician Data'!$C$9:$C$272,0),MATCH("Latest year",'WB Physician Data'!$C$8:$BO$8,0))</f>
        <v>2014</v>
      </c>
      <c r="G136" s="138">
        <f>INDEX('WB CHWs Data'!$C$10:$BP$274,MATCH($C136,'WB CHWs Data'!$C$10:$C$274,0),MATCH("Value",'WB CHWs Data'!$C$10:$BP$10,0))</f>
        <v>0.4</v>
      </c>
      <c r="H136" s="138" t="str">
        <f>'WB CHWs Data'!BO138</f>
        <v>No reported value</v>
      </c>
      <c r="I136" s="84">
        <f>'WB Nurses &amp; Midwives data'!BN136</f>
        <v>0.97560000000000002</v>
      </c>
      <c r="J136" s="84">
        <f>'WB Nurses &amp; Midwives data'!BO136</f>
        <v>2014</v>
      </c>
      <c r="K136" s="84">
        <f>IFERROR(INDEX('WHO Labs Data'!$C$7:$I$126,MATCH('HCW Summary Data'!$C136,'WHO Labs Data'!$C$7:$C$126,0),7),'WHO Labs Data'!$M$7)</f>
        <v>9.0065760750502682E-2</v>
      </c>
      <c r="M136" s="78">
        <f>INDEX('Tabular Pop Data by Age'!$AN$8:$AN$271,MATCH($B136,'Tabular Pop Data by Age'!$B$8:$B$271,0))</f>
        <v>7276000</v>
      </c>
      <c r="N136" s="79">
        <f t="shared" si="4"/>
        <v>3635.8172</v>
      </c>
      <c r="O136" s="78">
        <f t="shared" si="5"/>
        <v>2910.4</v>
      </c>
      <c r="P136" s="78">
        <f t="shared" si="6"/>
        <v>7098.4656000000004</v>
      </c>
      <c r="Q136" s="79">
        <f t="shared" si="7"/>
        <v>655.31847522065755</v>
      </c>
    </row>
    <row r="137" spans="2:17" x14ac:dyDescent="0.25">
      <c r="B137" s="138" t="s">
        <v>552</v>
      </c>
      <c r="C137" s="138" t="s">
        <v>77</v>
      </c>
      <c r="D137" s="138" t="s">
        <v>561</v>
      </c>
      <c r="E137" s="138">
        <f>INDEX('WB Physician Data'!$C$9:$BO$272,MATCH($C137,'WB Physician Data'!$C$9:$C$272,0),MATCH("Latest value",'WB Physician Data'!$C$8:$BO$8,0))</f>
        <v>2.2709999999999999</v>
      </c>
      <c r="F137" s="138">
        <f>INDEX('WB Physician Data'!$C$9:$BO$272,MATCH($C137,'WB Physician Data'!$C$9:$C$272,0),MATCH("Latest year",'WB Physician Data'!$C$8:$BO$8,0))</f>
        <v>2017</v>
      </c>
      <c r="G137" s="138">
        <f>INDEX('WB CHWs Data'!$C$10:$BP$274,MATCH($C137,'WB CHWs Data'!$C$10:$C$274,0),MATCH("Value",'WB CHWs Data'!$C$10:$BP$10,0))</f>
        <v>0.4</v>
      </c>
      <c r="H137" s="138" t="str">
        <f>'WB CHWs Data'!BO139</f>
        <v>No reported value</v>
      </c>
      <c r="I137" s="84">
        <f>'WB Nurses &amp; Midwives data'!BN137</f>
        <v>2.6448</v>
      </c>
      <c r="J137" s="84">
        <f>'WB Nurses &amp; Midwives data'!BO137</f>
        <v>2017</v>
      </c>
      <c r="K137" s="84">
        <f>IFERROR(INDEX('WHO Labs Data'!$C$7:$I$126,MATCH('HCW Summary Data'!$C137,'WHO Labs Data'!$C$7:$C$126,0),7),'WHO Labs Data'!$M$7)</f>
        <v>7.8114448617848789E-2</v>
      </c>
      <c r="M137" s="78">
        <f>INDEX('Tabular Pop Data by Age'!$AN$8:$AN$271,MATCH($B137,'Tabular Pop Data by Age'!$B$8:$B$271,0))</f>
        <v>6825000</v>
      </c>
      <c r="N137" s="79">
        <f t="shared" ref="N137:N200" si="8">IFERROR($M137/1000*$E137,0)</f>
        <v>15499.574999999999</v>
      </c>
      <c r="O137" s="78">
        <f t="shared" ref="O137:O200" si="9">IFERROR($M137/1000*$G137,0)</f>
        <v>2730</v>
      </c>
      <c r="P137" s="78">
        <f t="shared" ref="P137:P200" si="10">IFERROR($M137/1000*$I137,0)</f>
        <v>18050.760000000002</v>
      </c>
      <c r="Q137" s="79">
        <f t="shared" ref="Q137:Q200" si="11">$M137/1000*$K137</f>
        <v>533.13111181681802</v>
      </c>
    </row>
    <row r="138" spans="2:17" x14ac:dyDescent="0.25">
      <c r="B138" s="138" t="s">
        <v>201</v>
      </c>
      <c r="C138" s="138" t="s">
        <v>78</v>
      </c>
      <c r="D138" s="138" t="s">
        <v>664</v>
      </c>
      <c r="E138" s="138">
        <f>INDEX('WB Physician Data'!$C$9:$BO$272,MATCH($C138,'WB Physician Data'!$C$9:$C$272,0),MATCH("Latest value",'WB Physician Data'!$C$8:$BO$8,0))</f>
        <v>3.73E-2</v>
      </c>
      <c r="F138" s="138">
        <f>INDEX('WB Physician Data'!$C$9:$BO$272,MATCH($C138,'WB Physician Data'!$C$9:$C$272,0),MATCH("Latest year",'WB Physician Data'!$C$8:$BO$8,0))</f>
        <v>2015</v>
      </c>
      <c r="G138" s="138">
        <f>INDEX('WB CHWs Data'!$C$10:$BP$274,MATCH($C138,'WB CHWs Data'!$C$10:$C$274,0),MATCH("Value",'WB CHWs Data'!$C$10:$BP$10,0))</f>
        <v>6.0999999999999999E-2</v>
      </c>
      <c r="H138" s="138">
        <f>'WB CHWs Data'!BO140</f>
        <v>2010</v>
      </c>
      <c r="I138" s="84">
        <f>'WB Nurses &amp; Midwives data'!BN138</f>
        <v>0.1007</v>
      </c>
      <c r="J138" s="84">
        <f>'WB Nurses &amp; Midwives data'!BO138</f>
        <v>2015</v>
      </c>
      <c r="K138" s="84">
        <f>IFERROR(INDEX('WHO Labs Data'!$C$7:$I$126,MATCH('HCW Summary Data'!$C138,'WHO Labs Data'!$C$7:$C$126,0),7),'WHO Labs Data'!$M$7)</f>
        <v>7.8024858803019806E-2</v>
      </c>
      <c r="M138" s="78">
        <f>INDEX('Tabular Pop Data by Age'!$AN$8:$AN$271,MATCH($B138,'Tabular Pop Data by Age'!$B$8:$B$271,0))</f>
        <v>5058000</v>
      </c>
      <c r="N138" s="79">
        <f t="shared" si="8"/>
        <v>188.6634</v>
      </c>
      <c r="O138" s="78">
        <f t="shared" si="9"/>
        <v>308.53800000000001</v>
      </c>
      <c r="P138" s="78">
        <f t="shared" si="10"/>
        <v>509.34059999999999</v>
      </c>
      <c r="Q138" s="79">
        <f t="shared" si="11"/>
        <v>394.64973582567416</v>
      </c>
    </row>
    <row r="139" spans="2:17" x14ac:dyDescent="0.25">
      <c r="B139" s="138" t="s">
        <v>553</v>
      </c>
      <c r="C139" s="138" t="s">
        <v>79</v>
      </c>
      <c r="D139" s="138" t="s">
        <v>517</v>
      </c>
      <c r="E139" s="138">
        <f>INDEX('WB Physician Data'!$C$9:$BO$272,MATCH($C139,'WB Physician Data'!$C$9:$C$272,0),MATCH("Latest value",'WB Physician Data'!$C$8:$BO$8,0))</f>
        <v>2.1581000000000001</v>
      </c>
      <c r="F139" s="138">
        <f>INDEX('WB Physician Data'!$C$9:$BO$272,MATCH($C139,'WB Physician Data'!$C$9:$C$272,0),MATCH("Latest year",'WB Physician Data'!$C$8:$BO$8,0))</f>
        <v>2017</v>
      </c>
      <c r="G139" s="138">
        <f>INDEX('WB CHWs Data'!$C$10:$BP$274,MATCH($C139,'WB CHWs Data'!$C$10:$C$274,0),MATCH("Value",'WB CHWs Data'!$C$10:$BP$10,0))</f>
        <v>0.4</v>
      </c>
      <c r="H139" s="138" t="str">
        <f>'WB CHWs Data'!BO141</f>
        <v>No reported value</v>
      </c>
      <c r="I139" s="84">
        <f>'WB Nurses &amp; Midwives data'!BN139</f>
        <v>6.7416</v>
      </c>
      <c r="J139" s="84">
        <f>'WB Nurses &amp; Midwives data'!BO139</f>
        <v>2017</v>
      </c>
      <c r="K139" s="84">
        <f>IFERROR(INDEX('WHO Labs Data'!$C$7:$I$126,MATCH('HCW Summary Data'!$C139,'WHO Labs Data'!$C$7:$C$126,0),7),'WHO Labs Data'!$M$7)</f>
        <v>0.2276050738661016</v>
      </c>
      <c r="M139" s="78">
        <f>INDEX('Tabular Pop Data by Age'!$AN$8:$AN$271,MATCH($B139,'Tabular Pop Data by Age'!$B$8:$B$271,0))</f>
        <v>6871000</v>
      </c>
      <c r="N139" s="79">
        <f t="shared" si="8"/>
        <v>14828.305100000001</v>
      </c>
      <c r="O139" s="78">
        <f t="shared" si="9"/>
        <v>2748.4</v>
      </c>
      <c r="P139" s="78">
        <f t="shared" si="10"/>
        <v>46321.533600000002</v>
      </c>
      <c r="Q139" s="79">
        <f t="shared" si="11"/>
        <v>1563.8744625339841</v>
      </c>
    </row>
    <row r="140" spans="2:17" x14ac:dyDescent="0.25">
      <c r="B140" s="138" t="s">
        <v>639</v>
      </c>
      <c r="C140" s="138" t="s">
        <v>80</v>
      </c>
      <c r="D140" s="138" t="s">
        <v>517</v>
      </c>
      <c r="E140" s="138">
        <f>INDEX('WB Physician Data'!$C$9:$BO$272,MATCH($C140,'WB Physician Data'!$C$9:$C$272,0),MATCH("Latest value",'WB Physician Data'!$C$8:$BO$8,0))</f>
        <v>0.1053</v>
      </c>
      <c r="F140" s="138">
        <f>INDEX('WB Physician Data'!$C$9:$BO$272,MATCH($C140,'WB Physician Data'!$C$9:$C$272,0),MATCH("Latest year",'WB Physician Data'!$C$8:$BO$8,0))</f>
        <v>2009</v>
      </c>
      <c r="G140" s="138">
        <f>INDEX('WB CHWs Data'!$C$10:$BP$274,MATCH($C140,'WB CHWs Data'!$C$10:$C$274,0),MATCH("Value",'WB CHWs Data'!$C$10:$BP$10,0))</f>
        <v>0.4</v>
      </c>
      <c r="H140" s="138" t="str">
        <f>'WB CHWs Data'!BO142</f>
        <v>No reported value</v>
      </c>
      <c r="I140" s="84">
        <f>'WB Nurses &amp; Midwives data'!BN140</f>
        <v>1.5872999999999999</v>
      </c>
      <c r="J140" s="84">
        <f>'WB Nurses &amp; Midwives data'!BO140</f>
        <v>2014</v>
      </c>
      <c r="K140" s="84">
        <f>IFERROR(INDEX('WHO Labs Data'!$C$7:$I$126,MATCH('HCW Summary Data'!$C140,'WHO Labs Data'!$C$7:$C$126,0),7),'WHO Labs Data'!$M$7)</f>
        <v>0.2276050738661016</v>
      </c>
      <c r="M140" s="78">
        <f>INDEX('Tabular Pop Data by Age'!$AN$8:$AN$271,MATCH($B140,'Tabular Pop Data by Age'!$B$8:$B$271,0))</f>
        <v>184000</v>
      </c>
      <c r="N140" s="79">
        <f t="shared" si="8"/>
        <v>19.3752</v>
      </c>
      <c r="O140" s="78">
        <f t="shared" si="9"/>
        <v>73.600000000000009</v>
      </c>
      <c r="P140" s="78">
        <f t="shared" si="10"/>
        <v>292.06319999999999</v>
      </c>
      <c r="Q140" s="79">
        <f t="shared" si="11"/>
        <v>41.879333591362695</v>
      </c>
    </row>
    <row r="141" spans="2:17" x14ac:dyDescent="0.25">
      <c r="B141" s="138" t="s">
        <v>543</v>
      </c>
      <c r="C141" s="138" t="s">
        <v>544</v>
      </c>
      <c r="D141" s="138" t="s">
        <v>1182</v>
      </c>
      <c r="E141" s="138">
        <f>INDEX('WB Physician Data'!$C$9:$BO$272,MATCH($C141,'WB Physician Data'!$C$9:$C$272,0),MATCH("Latest value",'WB Physician Data'!$C$8:$BO$8,0))</f>
        <v>2.1699311232596692</v>
      </c>
      <c r="F141" s="138">
        <f>INDEX('WB Physician Data'!$C$9:$BO$272,MATCH($C141,'WB Physician Data'!$C$9:$C$272,0),MATCH("Latest year",'WB Physician Data'!$C$8:$BO$8,0))</f>
        <v>2015</v>
      </c>
      <c r="G141" s="138">
        <f>INDEX('WB CHWs Data'!$C$10:$BP$274,MATCH($C141,'WB CHWs Data'!$C$10:$C$274,0),MATCH("Value",'WB CHWs Data'!$C$10:$BP$10,0))</f>
        <v>0.4</v>
      </c>
      <c r="H141" s="138" t="str">
        <f>'WB CHWs Data'!BO143</f>
        <v>No reported value</v>
      </c>
      <c r="I141" s="84">
        <f>'WB Nurses &amp; Midwives data'!BN141</f>
        <v>4.7222119135516918</v>
      </c>
      <c r="J141" s="84">
        <f>'WB Nurses &amp; Midwives data'!BO141</f>
        <v>2015</v>
      </c>
      <c r="K141" s="84">
        <f>IFERROR(INDEX('WHO Labs Data'!$C$7:$I$126,MATCH('HCW Summary Data'!$C141,'WHO Labs Data'!$C$7:$C$126,0),7),'WHO Labs Data'!$M$7)</f>
        <v>0.2276050738661016</v>
      </c>
      <c r="M141" s="78">
        <f>INDEX('Tabular Pop Data by Age'!$AN$8:$AN$271,MATCH($B141,'Tabular Pop Data by Age'!$B$8:$B$271,0))</f>
        <v>653182000</v>
      </c>
      <c r="N141" s="79">
        <f t="shared" si="8"/>
        <v>1417359.9509529972</v>
      </c>
      <c r="O141" s="78">
        <f t="shared" si="9"/>
        <v>261272.80000000002</v>
      </c>
      <c r="P141" s="78">
        <f t="shared" si="10"/>
        <v>3084463.822117521</v>
      </c>
      <c r="Q141" s="79">
        <f t="shared" si="11"/>
        <v>148667.53735800798</v>
      </c>
    </row>
    <row r="142" spans="2:17" x14ac:dyDescent="0.25">
      <c r="B142" s="138" t="s">
        <v>550</v>
      </c>
      <c r="C142" s="138" t="s">
        <v>551</v>
      </c>
      <c r="D142" s="138" t="s">
        <v>1182</v>
      </c>
      <c r="E142" s="138">
        <f>INDEX('WB Physician Data'!$C$9:$BO$272,MATCH($C142,'WB Physician Data'!$C$9:$C$272,0),MATCH("Latest value",'WB Physician Data'!$C$8:$BO$8,0))</f>
        <v>0.25851559412471237</v>
      </c>
      <c r="F142" s="138">
        <f>INDEX('WB Physician Data'!$C$9:$BO$272,MATCH($C142,'WB Physician Data'!$C$9:$C$272,0),MATCH("Latest year",'WB Physician Data'!$C$8:$BO$8,0))</f>
        <v>2015</v>
      </c>
      <c r="G142" s="138">
        <f>INDEX('WB CHWs Data'!$C$10:$BP$274,MATCH($C142,'WB CHWs Data'!$C$10:$C$274,0),MATCH("Value",'WB CHWs Data'!$C$10:$BP$10,0))</f>
        <v>0.4</v>
      </c>
      <c r="H142" s="138" t="str">
        <f>'WB CHWs Data'!BO144</f>
        <v>No reported value</v>
      </c>
      <c r="I142" s="84">
        <f>'WB Nurses &amp; Midwives data'!BN142</f>
        <v>0.63515333632387161</v>
      </c>
      <c r="J142" s="84">
        <f>'WB Nurses &amp; Midwives data'!BO142</f>
        <v>2015</v>
      </c>
      <c r="K142" s="84">
        <f>IFERROR(INDEX('WHO Labs Data'!$C$7:$I$126,MATCH('HCW Summary Data'!$C142,'WHO Labs Data'!$C$7:$C$126,0),7),'WHO Labs Data'!$M$7)</f>
        <v>0.2276050738661016</v>
      </c>
      <c r="M142" s="78">
        <f>INDEX('Tabular Pop Data by Age'!$AN$8:$AN$271,MATCH($B142,'Tabular Pop Data by Age'!$B$8:$B$271,0))</f>
        <v>1057439000</v>
      </c>
      <c r="N142" s="79">
        <f t="shared" si="8"/>
        <v>273364.47133564175</v>
      </c>
      <c r="O142" s="78">
        <f t="shared" si="9"/>
        <v>422975.60000000003</v>
      </c>
      <c r="P142" s="78">
        <f t="shared" si="10"/>
        <v>671635.90880897851</v>
      </c>
      <c r="Q142" s="79">
        <f t="shared" si="11"/>
        <v>240678.4817038966</v>
      </c>
    </row>
    <row r="143" spans="2:17" x14ac:dyDescent="0.25">
      <c r="B143" s="138" t="s">
        <v>559</v>
      </c>
      <c r="C143" s="138" t="s">
        <v>560</v>
      </c>
      <c r="D143" s="138" t="s">
        <v>1182</v>
      </c>
      <c r="E143" s="138">
        <f>INDEX('WB Physician Data'!$C$9:$BO$272,MATCH($C143,'WB Physician Data'!$C$9:$C$272,0),MATCH("Latest value",'WB Physician Data'!$C$8:$BO$8,0))</f>
        <v>0.32490662919929747</v>
      </c>
      <c r="F143" s="138">
        <f>INDEX('WB Physician Data'!$C$9:$BO$272,MATCH($C143,'WB Physician Data'!$C$9:$C$272,0),MATCH("Latest year",'WB Physician Data'!$C$8:$BO$8,0))</f>
        <v>2015</v>
      </c>
      <c r="G143" s="138">
        <f>INDEX('WB CHWs Data'!$C$10:$BP$274,MATCH($C143,'WB CHWs Data'!$C$10:$C$274,0),MATCH("Value",'WB CHWs Data'!$C$10:$BP$10,0))</f>
        <v>0.4</v>
      </c>
      <c r="H143" s="138" t="str">
        <f>'WB CHWs Data'!BO145</f>
        <v>No reported value</v>
      </c>
      <c r="I143" s="84">
        <f>'WB Nurses &amp; Midwives data'!BN143</f>
        <v>0.86037058799742272</v>
      </c>
      <c r="J143" s="84">
        <f>'WB Nurses &amp; Midwives data'!BO143</f>
        <v>2015</v>
      </c>
      <c r="K143" s="84">
        <f>IFERROR(INDEX('WHO Labs Data'!$C$7:$I$126,MATCH('HCW Summary Data'!$C143,'WHO Labs Data'!$C$7:$C$126,0),7),'WHO Labs Data'!$M$7)</f>
        <v>0.2276050738661016</v>
      </c>
      <c r="M143" s="78">
        <f>INDEX('Tabular Pop Data by Age'!$AN$8:$AN$271,MATCH($B143,'Tabular Pop Data by Age'!$B$8:$B$271,0))</f>
        <v>743236000</v>
      </c>
      <c r="N143" s="79">
        <f t="shared" si="8"/>
        <v>241482.30345956906</v>
      </c>
      <c r="O143" s="78">
        <f t="shared" si="9"/>
        <v>297294.40000000002</v>
      </c>
      <c r="P143" s="78">
        <f t="shared" si="10"/>
        <v>639458.39434085251</v>
      </c>
      <c r="Q143" s="79">
        <f t="shared" si="11"/>
        <v>169164.28467994588</v>
      </c>
    </row>
    <row r="144" spans="2:17" x14ac:dyDescent="0.25">
      <c r="B144" s="138" t="s">
        <v>554</v>
      </c>
      <c r="C144" s="138" t="s">
        <v>555</v>
      </c>
      <c r="D144" s="138" t="s">
        <v>517</v>
      </c>
      <c r="E144" s="138" t="str">
        <f>INDEX('WB Physician Data'!$C$9:$BO$272,MATCH($C144,'WB Physician Data'!$C$9:$C$272,0),MATCH("Latest value",'WB Physician Data'!$C$8:$BO$8,0))</f>
        <v>No reported value</v>
      </c>
      <c r="F144" s="138" t="str">
        <f>INDEX('WB Physician Data'!$C$9:$BO$272,MATCH($C144,'WB Physician Data'!$C$9:$C$272,0),MATCH("Latest year",'WB Physician Data'!$C$8:$BO$8,0))</f>
        <v>No reported value</v>
      </c>
      <c r="G144" s="138">
        <f>INDEX('WB CHWs Data'!$C$10:$BP$274,MATCH($C144,'WB CHWs Data'!$C$10:$C$274,0),MATCH("Value",'WB CHWs Data'!$C$10:$BP$10,0))</f>
        <v>0.4</v>
      </c>
      <c r="H144" s="138" t="str">
        <f>'WB CHWs Data'!BO146</f>
        <v>No reported value</v>
      </c>
      <c r="I144" s="84" t="str">
        <f>'WB Nurses &amp; Midwives data'!BN144</f>
        <v>No reported value</v>
      </c>
      <c r="J144" s="84" t="str">
        <f>'WB Nurses &amp; Midwives data'!BO144</f>
        <v>No reported value</v>
      </c>
      <c r="K144" s="84">
        <f>IFERROR(INDEX('WHO Labs Data'!$C$7:$I$126,MATCH('HCW Summary Data'!$C144,'WHO Labs Data'!$C$7:$C$126,0),7),'WHO Labs Data'!$M$7)</f>
        <v>0.2276050738661016</v>
      </c>
      <c r="M144" s="78">
        <f>INDEX('Tabular Pop Data by Age'!$AN$8:$AN$271,MATCH($B144,'Tabular Pop Data by Age'!$B$8:$B$271,0))</f>
        <v>38000</v>
      </c>
      <c r="N144" s="79">
        <f t="shared" si="8"/>
        <v>0</v>
      </c>
      <c r="O144" s="78">
        <f t="shared" si="9"/>
        <v>15.200000000000001</v>
      </c>
      <c r="P144" s="78">
        <f t="shared" si="10"/>
        <v>0</v>
      </c>
      <c r="Q144" s="79">
        <f t="shared" si="11"/>
        <v>8.6489928069118616</v>
      </c>
    </row>
    <row r="145" spans="2:17" x14ac:dyDescent="0.25">
      <c r="B145" s="138" t="s">
        <v>245</v>
      </c>
      <c r="C145" s="138" t="s">
        <v>81</v>
      </c>
      <c r="D145" s="138" t="s">
        <v>517</v>
      </c>
      <c r="E145" s="138">
        <f>INDEX('WB Physician Data'!$C$9:$BO$272,MATCH($C145,'WB Physician Data'!$C$9:$C$272,0),MATCH("Latest value",'WB Physician Data'!$C$8:$BO$8,0))</f>
        <v>0.95799999999999996</v>
      </c>
      <c r="F145" s="138">
        <f>INDEX('WB Physician Data'!$C$9:$BO$272,MATCH($C145,'WB Physician Data'!$C$9:$C$272,0),MATCH("Latest year",'WB Physician Data'!$C$8:$BO$8,0))</f>
        <v>2017</v>
      </c>
      <c r="G145" s="138">
        <f>INDEX('WB CHWs Data'!$C$10:$BP$274,MATCH($C145,'WB CHWs Data'!$C$10:$C$274,0),MATCH("Value",'WB CHWs Data'!$C$10:$BP$10,0))</f>
        <v>0.4</v>
      </c>
      <c r="H145" s="138" t="str">
        <f>'WB CHWs Data'!BO147</f>
        <v>No reported value</v>
      </c>
      <c r="I145" s="84">
        <f>'WB Nurses &amp; Midwives data'!BN145</f>
        <v>2.1154999999999999</v>
      </c>
      <c r="J145" s="84">
        <f>'WB Nurses &amp; Midwives data'!BO145</f>
        <v>2016</v>
      </c>
      <c r="K145" s="84">
        <f>IFERROR(INDEX('WHO Labs Data'!$C$7:$I$126,MATCH('HCW Summary Data'!$C145,'WHO Labs Data'!$C$7:$C$126,0),7),'WHO Labs Data'!$M$7)</f>
        <v>8.3017997231195198E-2</v>
      </c>
      <c r="M145" s="78">
        <f>INDEX('Tabular Pop Data by Age'!$AN$8:$AN$271,MATCH($B145,'Tabular Pop Data by Age'!$B$8:$B$271,0))</f>
        <v>21837000</v>
      </c>
      <c r="N145" s="79">
        <f t="shared" si="8"/>
        <v>20919.845999999998</v>
      </c>
      <c r="O145" s="78">
        <f t="shared" si="9"/>
        <v>8734.8000000000011</v>
      </c>
      <c r="P145" s="78">
        <f t="shared" si="10"/>
        <v>46196.173499999997</v>
      </c>
      <c r="Q145" s="79">
        <f t="shared" si="11"/>
        <v>1812.8640055376095</v>
      </c>
    </row>
    <row r="146" spans="2:17" x14ac:dyDescent="0.25">
      <c r="B146" s="138" t="s">
        <v>561</v>
      </c>
      <c r="C146" s="138" t="s">
        <v>562</v>
      </c>
      <c r="D146" s="138" t="s">
        <v>1182</v>
      </c>
      <c r="E146" s="138">
        <f>INDEX('WB Physician Data'!$C$9:$BO$272,MATCH($C146,'WB Physician Data'!$C$9:$C$272,0),MATCH("Latest value",'WB Physician Data'!$C$8:$BO$8,0))</f>
        <v>0.74709085356064975</v>
      </c>
      <c r="F146" s="138">
        <f>INDEX('WB Physician Data'!$C$9:$BO$272,MATCH($C146,'WB Physician Data'!$C$9:$C$272,0),MATCH("Latest year",'WB Physician Data'!$C$8:$BO$8,0))</f>
        <v>2015</v>
      </c>
      <c r="G146" s="138">
        <f>INDEX('WB CHWs Data'!$C$10:$BP$274,MATCH($C146,'WB CHWs Data'!$C$10:$C$274,0),MATCH("Value",'WB CHWs Data'!$C$10:$BP$10,0))</f>
        <v>0.40748886297282155</v>
      </c>
      <c r="H146" s="138">
        <f>'WB CHWs Data'!BO148</f>
        <v>2011</v>
      </c>
      <c r="I146" s="84">
        <f>'WB Nurses &amp; Midwives data'!BN146</f>
        <v>1.801820778406602</v>
      </c>
      <c r="J146" s="84">
        <f>'WB Nurses &amp; Midwives data'!BO146</f>
        <v>2015</v>
      </c>
      <c r="K146" s="84">
        <f>IFERROR(INDEX('WHO Labs Data'!$C$7:$I$126,MATCH('HCW Summary Data'!$C146,'WHO Labs Data'!$C$7:$C$126,0),7),'WHO Labs Data'!$M$7)</f>
        <v>0.2276050738661016</v>
      </c>
      <c r="M146" s="78">
        <f>INDEX('Tabular Pop Data by Age'!$AN$8:$AN$271,MATCH($B146,'Tabular Pop Data by Age'!$B$8:$B$271,0))</f>
        <v>3105181000</v>
      </c>
      <c r="N146" s="79">
        <f t="shared" si="8"/>
        <v>2319852.323750312</v>
      </c>
      <c r="O146" s="78">
        <f t="shared" si="9"/>
        <v>1265326.675014809</v>
      </c>
      <c r="P146" s="78">
        <f t="shared" si="10"/>
        <v>5594979.6465133913</v>
      </c>
      <c r="Q146" s="79">
        <f t="shared" si="11"/>
        <v>706754.95087261521</v>
      </c>
    </row>
    <row r="147" spans="2:17" x14ac:dyDescent="0.25">
      <c r="B147" s="138" t="s">
        <v>557</v>
      </c>
      <c r="C147" s="138" t="s">
        <v>558</v>
      </c>
      <c r="D147" s="138" t="s">
        <v>1182</v>
      </c>
      <c r="E147" s="138">
        <f>INDEX('WB Physician Data'!$C$9:$BO$272,MATCH($C147,'WB Physician Data'!$C$9:$C$272,0),MATCH("Latest value",'WB Physician Data'!$C$8:$BO$8,0))</f>
        <v>1.2178516305659948</v>
      </c>
      <c r="F147" s="138">
        <f>INDEX('WB Physician Data'!$C$9:$BO$272,MATCH($C147,'WB Physician Data'!$C$9:$C$272,0),MATCH("Latest year",'WB Physician Data'!$C$8:$BO$8,0))</f>
        <v>2015</v>
      </c>
      <c r="G147" s="138">
        <f>INDEX('WB CHWs Data'!$C$10:$BP$274,MATCH($C147,'WB CHWs Data'!$C$10:$C$274,0),MATCH("Value",'WB CHWs Data'!$C$10:$BP$10,0))</f>
        <v>0.4</v>
      </c>
      <c r="H147" s="138" t="str">
        <f>'WB CHWs Data'!BO149</f>
        <v>No reported value</v>
      </c>
      <c r="I147" s="84">
        <f>'WB Nurses &amp; Midwives data'!BN147</f>
        <v>2.4076816361680979</v>
      </c>
      <c r="J147" s="84">
        <f>'WB Nurses &amp; Midwives data'!BO147</f>
        <v>2015</v>
      </c>
      <c r="K147" s="84">
        <f>IFERROR(INDEX('WHO Labs Data'!$C$7:$I$126,MATCH('HCW Summary Data'!$C147,'WHO Labs Data'!$C$7:$C$126,0),7),'WHO Labs Data'!$M$7)</f>
        <v>0.2276050738661016</v>
      </c>
      <c r="M147" s="78">
        <f>INDEX('Tabular Pop Data by Age'!$AN$8:$AN$271,MATCH($B147,'Tabular Pop Data by Age'!$B$8:$B$271,0))</f>
        <v>6534303000</v>
      </c>
      <c r="N147" s="79">
        <f t="shared" si="8"/>
        <v>7957811.5631622709</v>
      </c>
      <c r="O147" s="78">
        <f t="shared" si="9"/>
        <v>2613721.2000000002</v>
      </c>
      <c r="P147" s="78">
        <f t="shared" si="10"/>
        <v>15732521.33825811</v>
      </c>
      <c r="Q147" s="79">
        <f t="shared" si="11"/>
        <v>1487240.5169784892</v>
      </c>
    </row>
    <row r="148" spans="2:17" x14ac:dyDescent="0.25">
      <c r="B148" s="138" t="s">
        <v>200</v>
      </c>
      <c r="C148" s="138" t="s">
        <v>167</v>
      </c>
      <c r="D148" s="138" t="s">
        <v>559</v>
      </c>
      <c r="E148" s="138">
        <f>INDEX('WB Physician Data'!$C$9:$BO$272,MATCH($C148,'WB Physician Data'!$C$9:$C$272,0),MATCH("Latest value",'WB Physician Data'!$C$8:$BO$8,0))</f>
        <v>6.7599999999999993E-2</v>
      </c>
      <c r="F148" s="138">
        <f>INDEX('WB Physician Data'!$C$9:$BO$272,MATCH($C148,'WB Physician Data'!$C$9:$C$272,0),MATCH("Latest year",'WB Physician Data'!$C$8:$BO$8,0))</f>
        <v>2010</v>
      </c>
      <c r="G148" s="138">
        <f>INDEX('WB CHWs Data'!$C$10:$BP$274,MATCH($C148,'WB CHWs Data'!$C$10:$C$274,0),MATCH("Value",'WB CHWs Data'!$C$10:$BP$10,0))</f>
        <v>0.4</v>
      </c>
      <c r="H148" s="138" t="str">
        <f>'WB CHWs Data'!BO150</f>
        <v>No reported value</v>
      </c>
      <c r="I148" s="84">
        <f>'WB Nurses &amp; Midwives data'!BN148</f>
        <v>0.65080000000000005</v>
      </c>
      <c r="J148" s="84">
        <f>'WB Nurses &amp; Midwives data'!BO148</f>
        <v>2010</v>
      </c>
      <c r="K148" s="84">
        <f>IFERROR(INDEX('WHO Labs Data'!$C$7:$I$126,MATCH('HCW Summary Data'!$C148,'WHO Labs Data'!$C$7:$C$126,0),7),'WHO Labs Data'!$M$7)</f>
        <v>3.4627812679661425E-2</v>
      </c>
      <c r="M148" s="78">
        <f>INDEX('Tabular Pop Data by Age'!$AN$8:$AN$271,MATCH($B148,'Tabular Pop Data by Age'!$B$8:$B$271,0))</f>
        <v>2142000</v>
      </c>
      <c r="N148" s="79">
        <f t="shared" si="8"/>
        <v>144.79919999999998</v>
      </c>
      <c r="O148" s="78">
        <f t="shared" si="9"/>
        <v>856.80000000000007</v>
      </c>
      <c r="P148" s="78">
        <f t="shared" si="10"/>
        <v>1394.0136</v>
      </c>
      <c r="Q148" s="79">
        <f t="shared" si="11"/>
        <v>74.172774759834766</v>
      </c>
    </row>
    <row r="149" spans="2:17" x14ac:dyDescent="0.25">
      <c r="B149" s="138" t="s">
        <v>541</v>
      </c>
      <c r="C149" s="138" t="s">
        <v>542</v>
      </c>
      <c r="D149" s="138" t="s">
        <v>1182</v>
      </c>
      <c r="E149" s="138">
        <f>INDEX('WB Physician Data'!$C$9:$BO$272,MATCH($C149,'WB Physician Data'!$C$9:$C$272,0),MATCH("Latest value",'WB Physician Data'!$C$8:$BO$8,0))</f>
        <v>1.9456894274001637</v>
      </c>
      <c r="F149" s="138">
        <f>INDEX('WB Physician Data'!$C$9:$BO$272,MATCH($C149,'WB Physician Data'!$C$9:$C$272,0),MATCH("Latest year",'WB Physician Data'!$C$8:$BO$8,0))</f>
        <v>2015</v>
      </c>
      <c r="G149" s="138">
        <f>INDEX('WB CHWs Data'!$C$10:$BP$274,MATCH($C149,'WB CHWs Data'!$C$10:$C$274,0),MATCH("Value",'WB CHWs Data'!$C$10:$BP$10,0))</f>
        <v>0.4</v>
      </c>
      <c r="H149" s="138" t="str">
        <f>'WB CHWs Data'!BO151</f>
        <v>No reported value</v>
      </c>
      <c r="I149" s="84">
        <f>'WB Nurses &amp; Midwives data'!BN149</f>
        <v>3.6438938535158214</v>
      </c>
      <c r="J149" s="84">
        <f>'WB Nurses &amp; Midwives data'!BO149</f>
        <v>2015</v>
      </c>
      <c r="K149" s="84">
        <f>IFERROR(INDEX('WHO Labs Data'!$C$7:$I$126,MATCH('HCW Summary Data'!$C149,'WHO Labs Data'!$C$7:$C$126,0),7),'WHO Labs Data'!$M$7)</f>
        <v>0.2276050738661016</v>
      </c>
      <c r="M149" s="78">
        <f>INDEX('Tabular Pop Data by Age'!$AN$8:$AN$271,MATCH($B149,'Tabular Pop Data by Age'!$B$8:$B$271,0))</f>
        <v>2307681000</v>
      </c>
      <c r="N149" s="79">
        <f t="shared" si="8"/>
        <v>4490030.5235122368</v>
      </c>
      <c r="O149" s="78">
        <f t="shared" si="9"/>
        <v>923072.4</v>
      </c>
      <c r="P149" s="78">
        <f t="shared" si="10"/>
        <v>8408944.6117752437</v>
      </c>
      <c r="Q149" s="79">
        <f t="shared" si="11"/>
        <v>525239.90446439921</v>
      </c>
    </row>
    <row r="150" spans="2:17" x14ac:dyDescent="0.25">
      <c r="B150" s="138" t="s">
        <v>556</v>
      </c>
      <c r="C150" s="138" t="s">
        <v>82</v>
      </c>
      <c r="D150" s="138" t="s">
        <v>517</v>
      </c>
      <c r="E150" s="138">
        <f>INDEX('WB Physician Data'!$C$9:$BO$272,MATCH($C150,'WB Physician Data'!$C$9:$C$272,0),MATCH("Latest value",'WB Physician Data'!$C$8:$BO$8,0))</f>
        <v>4.3369999999999997</v>
      </c>
      <c r="F150" s="138">
        <f>INDEX('WB Physician Data'!$C$9:$BO$272,MATCH($C150,'WB Physician Data'!$C$9:$C$272,0),MATCH("Latest year",'WB Physician Data'!$C$8:$BO$8,0))</f>
        <v>2016</v>
      </c>
      <c r="G150" s="138">
        <f>INDEX('WB CHWs Data'!$C$10:$BP$274,MATCH($C150,'WB CHWs Data'!$C$10:$C$274,0),MATCH("Value",'WB CHWs Data'!$C$10:$BP$10,0))</f>
        <v>0.4</v>
      </c>
      <c r="H150" s="138" t="str">
        <f>'WB CHWs Data'!BO152</f>
        <v>No reported value</v>
      </c>
      <c r="I150" s="84">
        <f>'WB Nurses &amp; Midwives data'!BN150</f>
        <v>7.9154999999999998</v>
      </c>
      <c r="J150" s="84">
        <f>'WB Nurses &amp; Midwives data'!BO150</f>
        <v>2016</v>
      </c>
      <c r="K150" s="84">
        <f>IFERROR(INDEX('WHO Labs Data'!$C$7:$I$126,MATCH('HCW Summary Data'!$C150,'WHO Labs Data'!$C$7:$C$126,0),7),'WHO Labs Data'!$M$7)</f>
        <v>0.2276050738661016</v>
      </c>
      <c r="M150" s="78">
        <f>INDEX('Tabular Pop Data by Age'!$AN$8:$AN$271,MATCH($B150,'Tabular Pop Data by Age'!$B$8:$B$271,0))</f>
        <v>2767000</v>
      </c>
      <c r="N150" s="79">
        <f t="shared" si="8"/>
        <v>12000.478999999999</v>
      </c>
      <c r="O150" s="78">
        <f t="shared" si="9"/>
        <v>1106.8</v>
      </c>
      <c r="P150" s="78">
        <f t="shared" si="10"/>
        <v>21902.1885</v>
      </c>
      <c r="Q150" s="79">
        <f t="shared" si="11"/>
        <v>629.78323938750316</v>
      </c>
    </row>
    <row r="151" spans="2:17" x14ac:dyDescent="0.25">
      <c r="B151" s="138" t="s">
        <v>563</v>
      </c>
      <c r="C151" s="138" t="s">
        <v>83</v>
      </c>
      <c r="D151" s="138" t="s">
        <v>517</v>
      </c>
      <c r="E151" s="138">
        <f>INDEX('WB Physician Data'!$C$9:$BO$272,MATCH($C151,'WB Physician Data'!$C$9:$C$272,0),MATCH("Latest value",'WB Physician Data'!$C$8:$BO$8,0))</f>
        <v>3.0266000000000002</v>
      </c>
      <c r="F151" s="138">
        <f>INDEX('WB Physician Data'!$C$9:$BO$272,MATCH($C151,'WB Physician Data'!$C$9:$C$272,0),MATCH("Latest year",'WB Physician Data'!$C$8:$BO$8,0))</f>
        <v>2017</v>
      </c>
      <c r="G151" s="138">
        <f>INDEX('WB CHWs Data'!$C$10:$BP$274,MATCH($C151,'WB CHWs Data'!$C$10:$C$274,0),MATCH("Value",'WB CHWs Data'!$C$10:$BP$10,0))</f>
        <v>0.4</v>
      </c>
      <c r="H151" s="138" t="str">
        <f>'WB CHWs Data'!BO153</f>
        <v>No reported value</v>
      </c>
      <c r="I151" s="84">
        <f>'WB Nurses &amp; Midwives data'!BN151</f>
        <v>12.349600000000001</v>
      </c>
      <c r="J151" s="84">
        <f>'WB Nurses &amp; Midwives data'!BO151</f>
        <v>2017</v>
      </c>
      <c r="K151" s="84">
        <f>IFERROR(INDEX('WHO Labs Data'!$C$7:$I$126,MATCH('HCW Summary Data'!$C151,'WHO Labs Data'!$C$7:$C$126,0),7),'WHO Labs Data'!$M$7)</f>
        <v>0.2276050738661016</v>
      </c>
      <c r="M151" s="78">
        <f>INDEX('Tabular Pop Data by Age'!$AN$8:$AN$271,MATCH($B151,'Tabular Pop Data by Age'!$B$8:$B$271,0))</f>
        <v>622000</v>
      </c>
      <c r="N151" s="79">
        <f t="shared" si="8"/>
        <v>1882.5452</v>
      </c>
      <c r="O151" s="78">
        <f t="shared" si="9"/>
        <v>248.8</v>
      </c>
      <c r="P151" s="78">
        <f t="shared" si="10"/>
        <v>7681.4512000000004</v>
      </c>
      <c r="Q151" s="79">
        <f t="shared" si="11"/>
        <v>141.5703559447152</v>
      </c>
    </row>
    <row r="152" spans="2:17" x14ac:dyDescent="0.25">
      <c r="B152" s="138" t="s">
        <v>549</v>
      </c>
      <c r="C152" s="138" t="s">
        <v>84</v>
      </c>
      <c r="D152" s="138" t="s">
        <v>664</v>
      </c>
      <c r="E152" s="138">
        <f>INDEX('WB Physician Data'!$C$9:$BO$272,MATCH($C152,'WB Physician Data'!$C$9:$C$272,0),MATCH("Latest value",'WB Physician Data'!$C$8:$BO$8,0))</f>
        <v>3.1945999999999999</v>
      </c>
      <c r="F152" s="138">
        <f>INDEX('WB Physician Data'!$C$9:$BO$272,MATCH($C152,'WB Physician Data'!$C$9:$C$272,0),MATCH("Latest year",'WB Physician Data'!$C$8:$BO$8,0))</f>
        <v>2016</v>
      </c>
      <c r="G152" s="138">
        <f>INDEX('WB CHWs Data'!$C$10:$BP$274,MATCH($C152,'WB CHWs Data'!$C$10:$C$274,0),MATCH("Value",'WB CHWs Data'!$C$10:$BP$10,0))</f>
        <v>0.4</v>
      </c>
      <c r="H152" s="138" t="str">
        <f>'WB CHWs Data'!BO154</f>
        <v>No reported value</v>
      </c>
      <c r="I152" s="84">
        <f>'WB Nurses &amp; Midwives data'!BN152</f>
        <v>4.8155000000000001</v>
      </c>
      <c r="J152" s="84">
        <f>'WB Nurses &amp; Midwives data'!BO152</f>
        <v>2016</v>
      </c>
      <c r="K152" s="84">
        <f>IFERROR(INDEX('WHO Labs Data'!$C$7:$I$126,MATCH('HCW Summary Data'!$C152,'WHO Labs Data'!$C$7:$C$126,0),7),'WHO Labs Data'!$M$7)</f>
        <v>0.2276050738661016</v>
      </c>
      <c r="M152" s="78">
        <f>INDEX('Tabular Pop Data by Age'!$AN$8:$AN$271,MATCH($B152,'Tabular Pop Data by Age'!$B$8:$B$271,0))</f>
        <v>1905000</v>
      </c>
      <c r="N152" s="79">
        <f t="shared" si="8"/>
        <v>6085.7129999999997</v>
      </c>
      <c r="O152" s="78">
        <f t="shared" si="9"/>
        <v>762</v>
      </c>
      <c r="P152" s="78">
        <f t="shared" si="10"/>
        <v>9173.5275000000001</v>
      </c>
      <c r="Q152" s="79">
        <f t="shared" si="11"/>
        <v>433.58766571492356</v>
      </c>
    </row>
    <row r="153" spans="2:17" x14ac:dyDescent="0.25">
      <c r="B153" s="138" t="s">
        <v>564</v>
      </c>
      <c r="C153" s="138" t="s">
        <v>565</v>
      </c>
      <c r="D153" s="138" t="s">
        <v>559</v>
      </c>
      <c r="E153" s="138">
        <f>INDEX('WB Physician Data'!$C$9:$BO$272,MATCH($C153,'WB Physician Data'!$C$9:$C$272,0),MATCH("Latest value",'WB Physician Data'!$C$8:$BO$8,0))</f>
        <v>1.5620000000000001</v>
      </c>
      <c r="F153" s="138">
        <f>INDEX('WB Physician Data'!$C$9:$BO$272,MATCH($C153,'WB Physician Data'!$C$9:$C$272,0),MATCH("Latest year",'WB Physician Data'!$C$8:$BO$8,0))</f>
        <v>1987</v>
      </c>
      <c r="G153" s="138">
        <f>INDEX('WB CHWs Data'!$C$10:$BP$274,MATCH($C153,'WB CHWs Data'!$C$10:$C$274,0),MATCH("Value",'WB CHWs Data'!$C$10:$BP$10,0))</f>
        <v>0.4</v>
      </c>
      <c r="H153" s="138" t="str">
        <f>'WB CHWs Data'!BO155</f>
        <v>No reported value</v>
      </c>
      <c r="I153" s="84" t="str">
        <f>'WB Nurses &amp; Midwives data'!BN153</f>
        <v>No reported value</v>
      </c>
      <c r="J153" s="84" t="str">
        <f>'WB Nurses &amp; Midwives data'!BO153</f>
        <v>No reported value</v>
      </c>
      <c r="K153" s="84">
        <f>IFERROR(INDEX('WHO Labs Data'!$C$7:$I$126,MATCH('HCW Summary Data'!$C153,'WHO Labs Data'!$C$7:$C$126,0),7),'WHO Labs Data'!$M$7)</f>
        <v>0.2276050738661016</v>
      </c>
      <c r="M153" s="78">
        <f>INDEX('Tabular Pop Data by Age'!$AN$8:$AN$271,MATCH($B153,'Tabular Pop Data by Age'!$B$8:$B$271,0))</f>
        <v>649000</v>
      </c>
      <c r="N153" s="79">
        <f t="shared" si="8"/>
        <v>1013.7380000000001</v>
      </c>
      <c r="O153" s="78">
        <f t="shared" si="9"/>
        <v>259.60000000000002</v>
      </c>
      <c r="P153" s="78">
        <f t="shared" si="10"/>
        <v>0</v>
      </c>
      <c r="Q153" s="79">
        <f t="shared" si="11"/>
        <v>147.71569293909994</v>
      </c>
    </row>
    <row r="154" spans="2:17" x14ac:dyDescent="0.25">
      <c r="B154" s="138" t="s">
        <v>640</v>
      </c>
      <c r="C154" s="138" t="s">
        <v>641</v>
      </c>
      <c r="D154" s="138" t="s">
        <v>664</v>
      </c>
      <c r="E154" s="138" t="str">
        <f>INDEX('WB Physician Data'!$C$9:$BO$272,MATCH($C154,'WB Physician Data'!$C$9:$C$272,0),MATCH("Latest value",'WB Physician Data'!$C$8:$BO$8,0))</f>
        <v>No reported value</v>
      </c>
      <c r="F154" s="138" t="str">
        <f>INDEX('WB Physician Data'!$C$9:$BO$272,MATCH($C154,'WB Physician Data'!$C$9:$C$272,0),MATCH("Latest year",'WB Physician Data'!$C$8:$BO$8,0))</f>
        <v>No reported value</v>
      </c>
      <c r="G154" s="138">
        <f>INDEX('WB CHWs Data'!$C$10:$BP$274,MATCH($C154,'WB CHWs Data'!$C$10:$C$274,0),MATCH("Value",'WB CHWs Data'!$C$10:$BP$10,0))</f>
        <v>0.4</v>
      </c>
      <c r="H154" s="138" t="str">
        <f>'WB CHWs Data'!BO156</f>
        <v>No reported value</v>
      </c>
      <c r="I154" s="84" t="str">
        <f>'WB Nurses &amp; Midwives data'!BN154</f>
        <v>No reported value</v>
      </c>
      <c r="J154" s="84" t="str">
        <f>'WB Nurses &amp; Midwives data'!BO154</f>
        <v>No reported value</v>
      </c>
      <c r="K154" s="84">
        <f>IFERROR(INDEX('WHO Labs Data'!$C$7:$I$126,MATCH('HCW Summary Data'!$C154,'WHO Labs Data'!$C$7:$C$126,0),7),'WHO Labs Data'!$M$7)</f>
        <v>0.2276050738661016</v>
      </c>
      <c r="M154" s="78">
        <f>INDEX('Tabular Pop Data by Age'!$AN$8:$AN$271,MATCH($B154,'Tabular Pop Data by Age'!$B$8:$B$271,0))</f>
        <v>32556</v>
      </c>
      <c r="N154" s="79">
        <f t="shared" si="8"/>
        <v>0</v>
      </c>
      <c r="O154" s="78">
        <f t="shared" si="9"/>
        <v>13.022399999999999</v>
      </c>
      <c r="P154" s="78">
        <f t="shared" si="10"/>
        <v>0</v>
      </c>
      <c r="Q154" s="79">
        <f t="shared" si="11"/>
        <v>7.4099107847848034</v>
      </c>
    </row>
    <row r="155" spans="2:17" x14ac:dyDescent="0.25">
      <c r="B155" s="138" t="s">
        <v>583</v>
      </c>
      <c r="C155" s="138" t="s">
        <v>85</v>
      </c>
      <c r="D155" s="138" t="s">
        <v>559</v>
      </c>
      <c r="E155" s="138">
        <f>INDEX('WB Physician Data'!$C$9:$BO$272,MATCH($C155,'WB Physician Data'!$C$9:$C$272,0),MATCH("Latest value",'WB Physician Data'!$C$8:$BO$8,0))</f>
        <v>0.72729999999999995</v>
      </c>
      <c r="F155" s="138">
        <f>INDEX('WB Physician Data'!$C$9:$BO$272,MATCH($C155,'WB Physician Data'!$C$9:$C$272,0),MATCH("Latest year",'WB Physician Data'!$C$8:$BO$8,0))</f>
        <v>2017</v>
      </c>
      <c r="G155" s="138">
        <f>INDEX('WB CHWs Data'!$C$10:$BP$274,MATCH($C155,'WB CHWs Data'!$C$10:$C$274,0),MATCH("Value",'WB CHWs Data'!$C$10:$BP$10,0))</f>
        <v>0.4</v>
      </c>
      <c r="H155" s="138" t="str">
        <f>'WB CHWs Data'!BO157</f>
        <v>No reported value</v>
      </c>
      <c r="I155" s="84">
        <f>'WB Nurses &amp; Midwives data'!BN155</f>
        <v>1.0979000000000001</v>
      </c>
      <c r="J155" s="84">
        <f>'WB Nurses &amp; Midwives data'!BO155</f>
        <v>2017</v>
      </c>
      <c r="K155" s="84">
        <f>IFERROR(INDEX('WHO Labs Data'!$C$7:$I$126,MATCH('HCW Summary Data'!$C155,'WHO Labs Data'!$C$7:$C$126,0),7),'WHO Labs Data'!$M$7)</f>
        <v>1.6514411196848509E-2</v>
      </c>
      <c r="M155" s="78">
        <f>INDEX('Tabular Pop Data by Age'!$AN$8:$AN$271,MATCH($B155,'Tabular Pop Data by Age'!$B$8:$B$271,0))</f>
        <v>36911000</v>
      </c>
      <c r="N155" s="79">
        <f t="shared" si="8"/>
        <v>26845.370299999999</v>
      </c>
      <c r="O155" s="78">
        <f t="shared" si="9"/>
        <v>14764.400000000001</v>
      </c>
      <c r="P155" s="78">
        <f t="shared" si="10"/>
        <v>40524.586900000002</v>
      </c>
      <c r="Q155" s="79">
        <f t="shared" si="11"/>
        <v>609.56343168687533</v>
      </c>
    </row>
    <row r="156" spans="2:17" x14ac:dyDescent="0.25">
      <c r="B156" s="138" t="s">
        <v>581</v>
      </c>
      <c r="C156" s="138" t="s">
        <v>86</v>
      </c>
      <c r="D156" s="138" t="s">
        <v>561</v>
      </c>
      <c r="E156" s="138">
        <f>INDEX('WB Physician Data'!$C$9:$BO$272,MATCH($C156,'WB Physician Data'!$C$9:$C$272,0),MATCH("Latest value",'WB Physician Data'!$C$8:$BO$8,0))</f>
        <v>6.5617000000000001</v>
      </c>
      <c r="F156" s="138">
        <f>INDEX('WB Physician Data'!$C$9:$BO$272,MATCH($C156,'WB Physician Data'!$C$9:$C$272,0),MATCH("Latest year",'WB Physician Data'!$C$8:$BO$8,0))</f>
        <v>2014</v>
      </c>
      <c r="G156" s="138">
        <f>INDEX('WB CHWs Data'!$C$10:$BP$274,MATCH($C156,'WB CHWs Data'!$C$10:$C$274,0),MATCH("Value",'WB CHWs Data'!$C$10:$BP$10,0))</f>
        <v>0.4</v>
      </c>
      <c r="H156" s="138" t="str">
        <f>'WB CHWs Data'!BO158</f>
        <v>No reported value</v>
      </c>
      <c r="I156" s="84">
        <f>'WB Nurses &amp; Midwives data'!BN156</f>
        <v>20.262499999999999</v>
      </c>
      <c r="J156" s="84">
        <f>'WB Nurses &amp; Midwives data'!BO156</f>
        <v>2014</v>
      </c>
      <c r="K156" s="84">
        <f>IFERROR(INDEX('WHO Labs Data'!$C$7:$I$126,MATCH('HCW Summary Data'!$C156,'WHO Labs Data'!$C$7:$C$126,0),7),'WHO Labs Data'!$M$7)</f>
        <v>0.2276050738661016</v>
      </c>
      <c r="M156" s="78">
        <f>INDEX('Tabular Pop Data by Age'!$AN$8:$AN$271,MATCH($B156,'Tabular Pop Data by Age'!$B$8:$B$271,0))</f>
        <v>39000</v>
      </c>
      <c r="N156" s="79">
        <f t="shared" si="8"/>
        <v>255.90630000000002</v>
      </c>
      <c r="O156" s="78">
        <f t="shared" si="9"/>
        <v>15.600000000000001</v>
      </c>
      <c r="P156" s="78">
        <f t="shared" si="10"/>
        <v>790.23749999999995</v>
      </c>
      <c r="Q156" s="79">
        <f t="shared" si="11"/>
        <v>8.8765978807779629</v>
      </c>
    </row>
    <row r="157" spans="2:17" x14ac:dyDescent="0.25">
      <c r="B157" s="138" t="s">
        <v>580</v>
      </c>
      <c r="C157" s="138" t="s">
        <v>87</v>
      </c>
      <c r="D157" s="138" t="s">
        <v>517</v>
      </c>
      <c r="E157" s="138">
        <f>INDEX('WB Physician Data'!$C$9:$BO$272,MATCH($C157,'WB Physician Data'!$C$9:$C$272,0),MATCH("Latest value",'WB Physician Data'!$C$8:$BO$8,0))</f>
        <v>3.2002000000000002</v>
      </c>
      <c r="F157" s="138">
        <f>INDEX('WB Physician Data'!$C$9:$BO$272,MATCH($C157,'WB Physician Data'!$C$9:$C$272,0),MATCH("Latest year",'WB Physician Data'!$C$8:$BO$8,0))</f>
        <v>2015</v>
      </c>
      <c r="G157" s="138">
        <f>INDEX('WB CHWs Data'!$C$10:$BP$274,MATCH($C157,'WB CHWs Data'!$C$10:$C$274,0),MATCH("Value",'WB CHWs Data'!$C$10:$BP$10,0))</f>
        <v>0.4</v>
      </c>
      <c r="H157" s="138" t="str">
        <f>'WB CHWs Data'!BO159</f>
        <v>No reported value</v>
      </c>
      <c r="I157" s="84">
        <f>'WB Nurses &amp; Midwives data'!BN157</f>
        <v>4.5113000000000003</v>
      </c>
      <c r="J157" s="84">
        <f>'WB Nurses &amp; Midwives data'!BO157</f>
        <v>2015</v>
      </c>
      <c r="K157" s="84">
        <f>IFERROR(INDEX('WHO Labs Data'!$C$7:$I$126,MATCH('HCW Summary Data'!$C157,'WHO Labs Data'!$C$7:$C$126,0),7),'WHO Labs Data'!$M$7)</f>
        <v>5.0131377713252245</v>
      </c>
      <c r="M157" s="78">
        <f>INDEX('Tabular Pop Data by Age'!$AN$8:$AN$271,MATCH($B157,'Tabular Pop Data by Age'!$B$8:$B$271,0))</f>
        <v>3525000</v>
      </c>
      <c r="N157" s="79">
        <f t="shared" si="8"/>
        <v>11280.705</v>
      </c>
      <c r="O157" s="78">
        <f t="shared" si="9"/>
        <v>1410</v>
      </c>
      <c r="P157" s="78">
        <f t="shared" si="10"/>
        <v>15902.3325</v>
      </c>
      <c r="Q157" s="79">
        <f t="shared" si="11"/>
        <v>17671.310643921417</v>
      </c>
    </row>
    <row r="158" spans="2:17" x14ac:dyDescent="0.25">
      <c r="B158" s="138" t="s">
        <v>202</v>
      </c>
      <c r="C158" s="138" t="s">
        <v>88</v>
      </c>
      <c r="D158" s="138" t="s">
        <v>559</v>
      </c>
      <c r="E158" s="138">
        <f>INDEX('WB Physician Data'!$C$9:$BO$272,MATCH($C158,'WB Physician Data'!$C$9:$C$272,0),MATCH("Latest value",'WB Physician Data'!$C$8:$BO$8,0))</f>
        <v>0.1812</v>
      </c>
      <c r="F158" s="138">
        <f>INDEX('WB Physician Data'!$C$9:$BO$272,MATCH($C158,'WB Physician Data'!$C$9:$C$272,0),MATCH("Latest year",'WB Physician Data'!$C$8:$BO$8,0))</f>
        <v>2014</v>
      </c>
      <c r="G158" s="138">
        <f>INDEX('WB CHWs Data'!$C$10:$BP$274,MATCH($C158,'WB CHWs Data'!$C$10:$C$274,0),MATCH("Value",'WB CHWs Data'!$C$10:$BP$10,0))</f>
        <v>0.4</v>
      </c>
      <c r="H158" s="138" t="str">
        <f>'WB CHWs Data'!BO160</f>
        <v>No reported value</v>
      </c>
      <c r="I158" s="84">
        <f>'WB Nurses &amp; Midwives data'!BN158</f>
        <v>0.10589999999999999</v>
      </c>
      <c r="J158" s="84">
        <f>'WB Nurses &amp; Midwives data'!BO158</f>
        <v>2014</v>
      </c>
      <c r="K158" s="84">
        <f>IFERROR(INDEX('WHO Labs Data'!$C$7:$I$126,MATCH('HCW Summary Data'!$C158,'WHO Labs Data'!$C$7:$C$126,0),7),'WHO Labs Data'!$M$7)</f>
        <v>0.2276050738661016</v>
      </c>
      <c r="M158" s="78">
        <f>INDEX('Tabular Pop Data by Age'!$AN$8:$AN$271,MATCH($B158,'Tabular Pop Data by Age'!$B$8:$B$271,0))</f>
        <v>27691000</v>
      </c>
      <c r="N158" s="79">
        <f t="shared" si="8"/>
        <v>5017.6091999999999</v>
      </c>
      <c r="O158" s="78">
        <f t="shared" si="9"/>
        <v>11076.400000000001</v>
      </c>
      <c r="P158" s="78">
        <f t="shared" si="10"/>
        <v>2932.4768999999997</v>
      </c>
      <c r="Q158" s="79">
        <f t="shared" si="11"/>
        <v>6302.6121004262195</v>
      </c>
    </row>
    <row r="159" spans="2:17" x14ac:dyDescent="0.25">
      <c r="B159" s="138" t="s">
        <v>243</v>
      </c>
      <c r="C159" s="138" t="s">
        <v>89</v>
      </c>
      <c r="D159" s="138" t="s">
        <v>559</v>
      </c>
      <c r="E159" s="138">
        <f>INDEX('WB Physician Data'!$C$9:$BO$272,MATCH($C159,'WB Physician Data'!$C$9:$C$272,0),MATCH("Latest value",'WB Physician Data'!$C$8:$BO$8,0))</f>
        <v>1.0379</v>
      </c>
      <c r="F159" s="138">
        <f>INDEX('WB Physician Data'!$C$9:$BO$272,MATCH($C159,'WB Physician Data'!$C$9:$C$272,0),MATCH("Latest year",'WB Physician Data'!$C$8:$BO$8,0))</f>
        <v>2016</v>
      </c>
      <c r="G159" s="138">
        <f>INDEX('WB CHWs Data'!$C$10:$BP$274,MATCH($C159,'WB CHWs Data'!$C$10:$C$274,0),MATCH("Value",'WB CHWs Data'!$C$10:$BP$10,0))</f>
        <v>1.4239999999999999</v>
      </c>
      <c r="H159" s="138">
        <f>'WB CHWs Data'!BO161</f>
        <v>2014</v>
      </c>
      <c r="I159" s="84">
        <f>'WB Nurses &amp; Midwives data'!BN159</f>
        <v>3.9504000000000001</v>
      </c>
      <c r="J159" s="84">
        <f>'WB Nurses &amp; Midwives data'!BO159</f>
        <v>2016</v>
      </c>
      <c r="K159" s="84">
        <f>IFERROR(INDEX('WHO Labs Data'!$C$7:$I$126,MATCH('HCW Summary Data'!$C159,'WHO Labs Data'!$C$7:$C$126,0),7),'WHO Labs Data'!$M$7)</f>
        <v>0.28892991219633274</v>
      </c>
      <c r="M159" s="78">
        <f>INDEX('Tabular Pop Data by Age'!$AN$8:$AN$271,MATCH($B159,'Tabular Pop Data by Age'!$B$8:$B$271,0))</f>
        <v>541000</v>
      </c>
      <c r="N159" s="79">
        <f t="shared" si="8"/>
        <v>561.50390000000004</v>
      </c>
      <c r="O159" s="78">
        <f t="shared" si="9"/>
        <v>770.38400000000001</v>
      </c>
      <c r="P159" s="78">
        <f t="shared" si="10"/>
        <v>2137.1664000000001</v>
      </c>
      <c r="Q159" s="79">
        <f t="shared" si="11"/>
        <v>156.31108249821602</v>
      </c>
    </row>
    <row r="160" spans="2:17" x14ac:dyDescent="0.25">
      <c r="B160" s="138" t="s">
        <v>572</v>
      </c>
      <c r="C160" s="138" t="s">
        <v>573</v>
      </c>
      <c r="D160" s="138" t="s">
        <v>1182</v>
      </c>
      <c r="E160" s="138">
        <f>INDEX('WB Physician Data'!$C$9:$BO$272,MATCH($C160,'WB Physician Data'!$C$9:$C$272,0),MATCH("Latest value",'WB Physician Data'!$C$8:$BO$8,0))</f>
        <v>1.2594005996531696</v>
      </c>
      <c r="F160" s="138">
        <f>INDEX('WB Physician Data'!$C$9:$BO$272,MATCH($C160,'WB Physician Data'!$C$9:$C$272,0),MATCH("Latest year",'WB Physician Data'!$C$8:$BO$8,0))</f>
        <v>2015</v>
      </c>
      <c r="G160" s="138">
        <f>INDEX('WB CHWs Data'!$C$10:$BP$274,MATCH($C160,'WB CHWs Data'!$C$10:$C$274,0),MATCH("Value",'WB CHWs Data'!$C$10:$BP$10,0))</f>
        <v>0.4</v>
      </c>
      <c r="H160" s="138" t="str">
        <f>'WB CHWs Data'!BO162</f>
        <v>No reported value</v>
      </c>
      <c r="I160" s="84">
        <f>'WB Nurses &amp; Midwives data'!BN160</f>
        <v>2.3152418654853513</v>
      </c>
      <c r="J160" s="84">
        <f>'WB Nurses &amp; Midwives data'!BO160</f>
        <v>2015</v>
      </c>
      <c r="K160" s="84">
        <f>IFERROR(INDEX('WHO Labs Data'!$C$7:$I$126,MATCH('HCW Summary Data'!$C160,'WHO Labs Data'!$C$7:$C$126,0),7),'WHO Labs Data'!$M$7)</f>
        <v>0.2276050738661016</v>
      </c>
      <c r="M160" s="78">
        <f>INDEX('Tabular Pop Data by Age'!$AN$8:$AN$271,MATCH($B160,'Tabular Pop Data by Age'!$B$8:$B$271,0))</f>
        <v>464460000</v>
      </c>
      <c r="N160" s="79">
        <f t="shared" si="8"/>
        <v>584941.20251491119</v>
      </c>
      <c r="O160" s="78">
        <f t="shared" si="9"/>
        <v>185784</v>
      </c>
      <c r="P160" s="78">
        <f t="shared" si="10"/>
        <v>1075337.2368433264</v>
      </c>
      <c r="Q160" s="79">
        <f t="shared" si="11"/>
        <v>105713.45260784955</v>
      </c>
    </row>
    <row r="161" spans="2:17" x14ac:dyDescent="0.25">
      <c r="B161" s="138" t="s">
        <v>569</v>
      </c>
      <c r="C161" s="138" t="s">
        <v>90</v>
      </c>
      <c r="D161" s="138" t="s">
        <v>561</v>
      </c>
      <c r="E161" s="138">
        <f>INDEX('WB Physician Data'!$C$9:$BO$272,MATCH($C161,'WB Physician Data'!$C$9:$C$272,0),MATCH("Latest value",'WB Physician Data'!$C$8:$BO$8,0))</f>
        <v>2.2477999999999998</v>
      </c>
      <c r="F161" s="138">
        <f>INDEX('WB Physician Data'!$C$9:$BO$272,MATCH($C161,'WB Physician Data'!$C$9:$C$272,0),MATCH("Latest year",'WB Physician Data'!$C$8:$BO$8,0))</f>
        <v>2016</v>
      </c>
      <c r="G161" s="138">
        <f>INDEX('WB CHWs Data'!$C$10:$BP$274,MATCH($C161,'WB CHWs Data'!$C$10:$C$274,0),MATCH("Value",'WB CHWs Data'!$C$10:$BP$10,0))</f>
        <v>0.4</v>
      </c>
      <c r="H161" s="138" t="str">
        <f>'WB CHWs Data'!BO163</f>
        <v>No reported value</v>
      </c>
      <c r="I161" s="84">
        <f>'WB Nurses &amp; Midwives data'!BN161</f>
        <v>2.9</v>
      </c>
      <c r="J161" s="84">
        <f>'WB Nurses &amp; Midwives data'!BO161</f>
        <v>2016</v>
      </c>
      <c r="K161" s="84">
        <f>IFERROR(INDEX('WHO Labs Data'!$C$7:$I$126,MATCH('HCW Summary Data'!$C161,'WHO Labs Data'!$C$7:$C$126,0),7),'WHO Labs Data'!$M$7)</f>
        <v>0.17175580201622959</v>
      </c>
      <c r="M161" s="78">
        <f>INDEX('Tabular Pop Data by Age'!$AN$8:$AN$271,MATCH($B161,'Tabular Pop Data by Age'!$B$8:$B$271,0))</f>
        <v>128933000</v>
      </c>
      <c r="N161" s="79">
        <f t="shared" si="8"/>
        <v>289815.59739999997</v>
      </c>
      <c r="O161" s="78">
        <f t="shared" si="9"/>
        <v>51573.200000000004</v>
      </c>
      <c r="P161" s="78">
        <f t="shared" si="10"/>
        <v>373905.7</v>
      </c>
      <c r="Q161" s="79">
        <f t="shared" si="11"/>
        <v>22144.99082135853</v>
      </c>
    </row>
    <row r="162" spans="2:17" x14ac:dyDescent="0.25">
      <c r="B162" s="138" t="s">
        <v>568</v>
      </c>
      <c r="C162" s="138" t="s">
        <v>91</v>
      </c>
      <c r="D162" s="138" t="s">
        <v>561</v>
      </c>
      <c r="E162" s="138">
        <f>INDEX('WB Physician Data'!$C$9:$BO$272,MATCH($C162,'WB Physician Data'!$C$9:$C$272,0),MATCH("Latest value",'WB Physician Data'!$C$8:$BO$8,0))</f>
        <v>0.45540000000000003</v>
      </c>
      <c r="F162" s="138">
        <f>INDEX('WB Physician Data'!$C$9:$BO$272,MATCH($C162,'WB Physician Data'!$C$9:$C$272,0),MATCH("Latest year",'WB Physician Data'!$C$8:$BO$8,0))</f>
        <v>2012</v>
      </c>
      <c r="G162" s="138">
        <f>INDEX('WB CHWs Data'!$C$10:$BP$274,MATCH($C162,'WB CHWs Data'!$C$10:$C$274,0),MATCH("Value",'WB CHWs Data'!$C$10:$BP$10,0))</f>
        <v>0.4</v>
      </c>
      <c r="H162" s="138" t="str">
        <f>'WB CHWs Data'!BO164</f>
        <v>No reported value</v>
      </c>
      <c r="I162" s="84">
        <f>'WB Nurses &amp; Midwives data'!BN162</f>
        <v>3.5484</v>
      </c>
      <c r="J162" s="84">
        <f>'WB Nurses &amp; Midwives data'!BO162</f>
        <v>2012</v>
      </c>
      <c r="K162" s="84">
        <f>IFERROR(INDEX('WHO Labs Data'!$C$7:$I$126,MATCH('HCW Summary Data'!$C162,'WHO Labs Data'!$C$7:$C$126,0),7),'WHO Labs Data'!$M$7)</f>
        <v>0.32527005974697415</v>
      </c>
      <c r="M162" s="78">
        <f>INDEX('Tabular Pop Data by Age'!$AN$8:$AN$271,MATCH($B162,'Tabular Pop Data by Age'!$B$8:$B$271,0))</f>
        <v>59000</v>
      </c>
      <c r="N162" s="79">
        <f t="shared" si="8"/>
        <v>26.868600000000001</v>
      </c>
      <c r="O162" s="78">
        <f t="shared" si="9"/>
        <v>23.6</v>
      </c>
      <c r="P162" s="78">
        <f t="shared" si="10"/>
        <v>209.35560000000001</v>
      </c>
      <c r="Q162" s="79">
        <f t="shared" si="11"/>
        <v>19.190933525071475</v>
      </c>
    </row>
    <row r="163" spans="2:17" x14ac:dyDescent="0.25">
      <c r="B163" s="138" t="s">
        <v>578</v>
      </c>
      <c r="C163" s="138" t="s">
        <v>579</v>
      </c>
      <c r="D163" s="138" t="s">
        <v>1182</v>
      </c>
      <c r="E163" s="138">
        <f>INDEX('WB Physician Data'!$C$9:$BO$272,MATCH($C163,'WB Physician Data'!$C$9:$C$272,0),MATCH("Latest value",'WB Physician Data'!$C$8:$BO$8,0))</f>
        <v>1.3224198732485886</v>
      </c>
      <c r="F163" s="138">
        <f>INDEX('WB Physician Data'!$C$9:$BO$272,MATCH($C163,'WB Physician Data'!$C$9:$C$272,0),MATCH("Latest year",'WB Physician Data'!$C$8:$BO$8,0))</f>
        <v>2015</v>
      </c>
      <c r="G163" s="138">
        <f>INDEX('WB CHWs Data'!$C$10:$BP$274,MATCH($C163,'WB CHWs Data'!$C$10:$C$274,0),MATCH("Value",'WB CHWs Data'!$C$10:$BP$10,0))</f>
        <v>0.4</v>
      </c>
      <c r="H163" s="138" t="str">
        <f>'WB CHWs Data'!BO165</f>
        <v>No reported value</v>
      </c>
      <c r="I163" s="84">
        <f>'WB Nurses &amp; Midwives data'!BN163</f>
        <v>2.5888793548886535</v>
      </c>
      <c r="J163" s="84">
        <f>'WB Nurses &amp; Midwives data'!BO163</f>
        <v>2015</v>
      </c>
      <c r="K163" s="84">
        <f>IFERROR(INDEX('WHO Labs Data'!$C$7:$I$126,MATCH('HCW Summary Data'!$C163,'WHO Labs Data'!$C$7:$C$126,0),7),'WHO Labs Data'!$M$7)</f>
        <v>0.2276050738661016</v>
      </c>
      <c r="M163" s="78">
        <f>INDEX('Tabular Pop Data by Age'!$AN$8:$AN$271,MATCH($B163,'Tabular Pop Data by Age'!$B$8:$B$271,0))</f>
        <v>5791067000</v>
      </c>
      <c r="N163" s="79">
        <f t="shared" si="8"/>
        <v>7658222.0881140837</v>
      </c>
      <c r="O163" s="78">
        <f t="shared" si="9"/>
        <v>2316426.8000000003</v>
      </c>
      <c r="P163" s="78">
        <f t="shared" si="10"/>
        <v>14992373.799076971</v>
      </c>
      <c r="Q163" s="79">
        <f t="shared" si="11"/>
        <v>1318076.2322985434</v>
      </c>
    </row>
    <row r="164" spans="2:17" x14ac:dyDescent="0.25">
      <c r="B164" s="138" t="s">
        <v>590</v>
      </c>
      <c r="C164" s="138" t="s">
        <v>591</v>
      </c>
      <c r="D164" s="138" t="s">
        <v>517</v>
      </c>
      <c r="E164" s="138">
        <f>INDEX('WB Physician Data'!$C$9:$BO$272,MATCH($C164,'WB Physician Data'!$C$9:$C$272,0),MATCH("Latest value",'WB Physician Data'!$C$8:$BO$8,0))</f>
        <v>2.8736000000000002</v>
      </c>
      <c r="F164" s="138">
        <f>INDEX('WB Physician Data'!$C$9:$BO$272,MATCH($C164,'WB Physician Data'!$C$9:$C$272,0),MATCH("Latest year",'WB Physician Data'!$C$8:$BO$8,0))</f>
        <v>2015</v>
      </c>
      <c r="G164" s="138">
        <f>INDEX('WB CHWs Data'!$C$10:$BP$274,MATCH($C164,'WB CHWs Data'!$C$10:$C$274,0),MATCH("Value",'WB CHWs Data'!$C$10:$BP$10,0))</f>
        <v>0.4</v>
      </c>
      <c r="H164" s="138" t="str">
        <f>'WB CHWs Data'!BO166</f>
        <v>No reported value</v>
      </c>
      <c r="I164" s="84">
        <f>'WB Nurses &amp; Midwives data'!BN164</f>
        <v>3.7917000000000001</v>
      </c>
      <c r="J164" s="84">
        <f>'WB Nurses &amp; Midwives data'!BO164</f>
        <v>2015</v>
      </c>
      <c r="K164" s="84">
        <f>IFERROR(INDEX('WHO Labs Data'!$C$7:$I$126,MATCH('HCW Summary Data'!$C164,'WHO Labs Data'!$C$7:$C$126,0),7),'WHO Labs Data'!$M$7)</f>
        <v>0.2276050738661016</v>
      </c>
      <c r="M164" s="78">
        <f>INDEX('Tabular Pop Data by Age'!$AN$8:$AN$271,MATCH($B164,'Tabular Pop Data by Age'!$B$8:$B$271,0))</f>
        <v>2083000</v>
      </c>
      <c r="N164" s="79">
        <f t="shared" si="8"/>
        <v>5985.7088000000003</v>
      </c>
      <c r="O164" s="78">
        <f t="shared" si="9"/>
        <v>833.2</v>
      </c>
      <c r="P164" s="78">
        <f t="shared" si="10"/>
        <v>7898.1111000000001</v>
      </c>
      <c r="Q164" s="79">
        <f t="shared" si="11"/>
        <v>474.10136886308965</v>
      </c>
    </row>
    <row r="165" spans="2:17" x14ac:dyDescent="0.25">
      <c r="B165" s="138" t="s">
        <v>204</v>
      </c>
      <c r="C165" s="138" t="s">
        <v>92</v>
      </c>
      <c r="D165" s="138" t="s">
        <v>517</v>
      </c>
      <c r="E165" s="138">
        <f>INDEX('WB Physician Data'!$C$9:$BO$272,MATCH($C165,'WB Physician Data'!$C$9:$C$272,0),MATCH("Latest value",'WB Physician Data'!$C$8:$BO$8,0))</f>
        <v>0.13930000000000001</v>
      </c>
      <c r="F165" s="138">
        <f>INDEX('WB Physician Data'!$C$9:$BO$272,MATCH($C165,'WB Physician Data'!$C$9:$C$272,0),MATCH("Latest year",'WB Physician Data'!$C$8:$BO$8,0))</f>
        <v>2016</v>
      </c>
      <c r="G165" s="138">
        <f>INDEX('WB CHWs Data'!$C$10:$BP$274,MATCH($C165,'WB CHWs Data'!$C$10:$C$274,0),MATCH("Value",'WB CHWs Data'!$C$10:$BP$10,0))</f>
        <v>7.0000000000000001E-3</v>
      </c>
      <c r="H165" s="138">
        <f>'WB CHWs Data'!BO167</f>
        <v>2010</v>
      </c>
      <c r="I165" s="84">
        <f>'WB Nurses &amp; Midwives data'!BN165</f>
        <v>0.38200000000000001</v>
      </c>
      <c r="J165" s="84">
        <f>'WB Nurses &amp; Midwives data'!BO165</f>
        <v>2016</v>
      </c>
      <c r="K165" s="84">
        <f>IFERROR(INDEX('WHO Labs Data'!$C$7:$I$126,MATCH('HCW Summary Data'!$C165,'WHO Labs Data'!$C$7:$C$126,0),7),'WHO Labs Data'!$M$7)</f>
        <v>2.2329747469426328E-2</v>
      </c>
      <c r="M165" s="78">
        <f>INDEX('Tabular Pop Data by Age'!$AN$8:$AN$271,MATCH($B165,'Tabular Pop Data by Age'!$B$8:$B$271,0))</f>
        <v>20251000</v>
      </c>
      <c r="N165" s="79">
        <f t="shared" si="8"/>
        <v>2820.9643000000001</v>
      </c>
      <c r="O165" s="78">
        <f t="shared" si="9"/>
        <v>141.75700000000001</v>
      </c>
      <c r="P165" s="78">
        <f t="shared" si="10"/>
        <v>7735.8820000000005</v>
      </c>
      <c r="Q165" s="79">
        <f t="shared" si="11"/>
        <v>452.19971600335259</v>
      </c>
    </row>
    <row r="166" spans="2:17" x14ac:dyDescent="0.25">
      <c r="B166" s="138" t="s">
        <v>567</v>
      </c>
      <c r="C166" s="138" t="s">
        <v>93</v>
      </c>
      <c r="D166" s="138" t="s">
        <v>664</v>
      </c>
      <c r="E166" s="138">
        <f>INDEX('WB Physician Data'!$C$9:$BO$272,MATCH($C166,'WB Physician Data'!$C$9:$C$272,0),MATCH("Latest value",'WB Physician Data'!$C$8:$BO$8,0))</f>
        <v>3.8260000000000001</v>
      </c>
      <c r="F166" s="138">
        <f>INDEX('WB Physician Data'!$C$9:$BO$272,MATCH($C166,'WB Physician Data'!$C$9:$C$272,0),MATCH("Latest year",'WB Physician Data'!$C$8:$BO$8,0))</f>
        <v>2015</v>
      </c>
      <c r="G166" s="138">
        <f>INDEX('WB CHWs Data'!$C$10:$BP$274,MATCH($C166,'WB CHWs Data'!$C$10:$C$274,0),MATCH("Value",'WB CHWs Data'!$C$10:$BP$10,0))</f>
        <v>0.4</v>
      </c>
      <c r="H166" s="138" t="str">
        <f>'WB CHWs Data'!BO168</f>
        <v>No reported value</v>
      </c>
      <c r="I166" s="84">
        <f>'WB Nurses &amp; Midwives data'!BN166</f>
        <v>8.9499999999999993</v>
      </c>
      <c r="J166" s="84">
        <f>'WB Nurses &amp; Midwives data'!BO166</f>
        <v>2015</v>
      </c>
      <c r="K166" s="84">
        <f>IFERROR(INDEX('WHO Labs Data'!$C$7:$I$126,MATCH('HCW Summary Data'!$C166,'WHO Labs Data'!$C$7:$C$126,0),7),'WHO Labs Data'!$M$7)</f>
        <v>0.2276050738661016</v>
      </c>
      <c r="M166" s="78">
        <f>INDEX('Tabular Pop Data by Age'!$AN$8:$AN$271,MATCH($B166,'Tabular Pop Data by Age'!$B$8:$B$271,0))</f>
        <v>486000</v>
      </c>
      <c r="N166" s="79">
        <f t="shared" si="8"/>
        <v>1859.4359999999999</v>
      </c>
      <c r="O166" s="78">
        <f t="shared" si="9"/>
        <v>194.4</v>
      </c>
      <c r="P166" s="78">
        <f t="shared" si="10"/>
        <v>4349.7</v>
      </c>
      <c r="Q166" s="79">
        <f t="shared" si="11"/>
        <v>110.61606589892537</v>
      </c>
    </row>
    <row r="167" spans="2:17" x14ac:dyDescent="0.25">
      <c r="B167" s="138" t="s">
        <v>244</v>
      </c>
      <c r="C167" s="138" t="s">
        <v>94</v>
      </c>
      <c r="D167" s="138" t="s">
        <v>664</v>
      </c>
      <c r="E167" s="138">
        <f>INDEX('WB Physician Data'!$C$9:$BO$272,MATCH($C167,'WB Physician Data'!$C$9:$C$272,0),MATCH("Latest value",'WB Physician Data'!$C$8:$BO$8,0))</f>
        <v>0.86399999999999999</v>
      </c>
      <c r="F167" s="138">
        <f>INDEX('WB Physician Data'!$C$9:$BO$272,MATCH($C167,'WB Physician Data'!$C$9:$C$272,0),MATCH("Latest year",'WB Physician Data'!$C$8:$BO$8,0))</f>
        <v>2017</v>
      </c>
      <c r="G167" s="138">
        <f>INDEX('WB CHWs Data'!$C$10:$BP$274,MATCH($C167,'WB CHWs Data'!$C$10:$C$274,0),MATCH("Value",'WB CHWs Data'!$C$10:$BP$10,0))</f>
        <v>0.19500000000000001</v>
      </c>
      <c r="H167" s="138">
        <f>'WB CHWs Data'!BO169</f>
        <v>2012</v>
      </c>
      <c r="I167" s="84">
        <f>'WB Nurses &amp; Midwives data'!BN167</f>
        <v>0.97940000000000005</v>
      </c>
      <c r="J167" s="84">
        <f>'WB Nurses &amp; Midwives data'!BO167</f>
        <v>2017</v>
      </c>
      <c r="K167" s="84">
        <f>IFERROR(INDEX('WHO Labs Data'!$C$7:$I$126,MATCH('HCW Summary Data'!$C167,'WHO Labs Data'!$C$7:$C$126,0),7),'WHO Labs Data'!$M$7)</f>
        <v>7.9279971036185309E-2</v>
      </c>
      <c r="M167" s="78">
        <f>INDEX('Tabular Pop Data by Age'!$AN$8:$AN$271,MATCH($B167,'Tabular Pop Data by Age'!$B$8:$B$271,0))</f>
        <v>54410000</v>
      </c>
      <c r="N167" s="79">
        <f t="shared" si="8"/>
        <v>47010.239999999998</v>
      </c>
      <c r="O167" s="78">
        <f t="shared" si="9"/>
        <v>10609.95</v>
      </c>
      <c r="P167" s="78">
        <f t="shared" si="10"/>
        <v>53289.154000000002</v>
      </c>
      <c r="Q167" s="79">
        <f t="shared" si="11"/>
        <v>4313.6232240788431</v>
      </c>
    </row>
    <row r="168" spans="2:17" x14ac:dyDescent="0.25">
      <c r="B168" s="138" t="s">
        <v>574</v>
      </c>
      <c r="C168" s="138" t="s">
        <v>575</v>
      </c>
      <c r="D168" s="138" t="s">
        <v>1182</v>
      </c>
      <c r="E168" s="138">
        <f>INDEX('WB Physician Data'!$C$9:$BO$272,MATCH($C168,'WB Physician Data'!$C$9:$C$272,0),MATCH("Latest value",'WB Physician Data'!$C$8:$BO$8,0))</f>
        <v>1.0694376664304048</v>
      </c>
      <c r="F168" s="138">
        <f>INDEX('WB Physician Data'!$C$9:$BO$272,MATCH($C168,'WB Physician Data'!$C$9:$C$272,0),MATCH("Latest year",'WB Physician Data'!$C$8:$BO$8,0))</f>
        <v>2015</v>
      </c>
      <c r="G168" s="138">
        <f>INDEX('WB CHWs Data'!$C$10:$BP$274,MATCH($C168,'WB CHWs Data'!$C$10:$C$274,0),MATCH("Value",'WB CHWs Data'!$C$10:$BP$10,0))</f>
        <v>0.4</v>
      </c>
      <c r="H168" s="138" t="str">
        <f>'WB CHWs Data'!BO170</f>
        <v>No reported value</v>
      </c>
      <c r="I168" s="84">
        <f>'WB Nurses &amp; Midwives data'!BN168</f>
        <v>1.752603675461049</v>
      </c>
      <c r="J168" s="84">
        <f>'WB Nurses &amp; Midwives data'!BO168</f>
        <v>2015</v>
      </c>
      <c r="K168" s="84">
        <f>IFERROR(INDEX('WHO Labs Data'!$C$7:$I$126,MATCH('HCW Summary Data'!$C168,'WHO Labs Data'!$C$7:$C$126,0),7),'WHO Labs Data'!$M$7)</f>
        <v>0.2276050738661016</v>
      </c>
      <c r="M168" s="78">
        <f>INDEX('Tabular Pop Data by Age'!$AN$8:$AN$271,MATCH($B168,'Tabular Pop Data by Age'!$B$8:$B$271,0))</f>
        <v>396157000</v>
      </c>
      <c r="N168" s="79">
        <f t="shared" si="8"/>
        <v>423665.21762006986</v>
      </c>
      <c r="O168" s="78">
        <f t="shared" si="9"/>
        <v>158462.80000000002</v>
      </c>
      <c r="P168" s="78">
        <f t="shared" si="10"/>
        <v>694306.21425962273</v>
      </c>
      <c r="Q168" s="79">
        <f t="shared" si="11"/>
        <v>90167.343247573212</v>
      </c>
    </row>
    <row r="169" spans="2:17" x14ac:dyDescent="0.25">
      <c r="B169" s="138" t="s">
        <v>582</v>
      </c>
      <c r="C169" s="138" t="s">
        <v>95</v>
      </c>
      <c r="D169" s="138" t="s">
        <v>561</v>
      </c>
      <c r="E169" s="138">
        <f>INDEX('WB Physician Data'!$C$9:$BO$272,MATCH($C169,'WB Physician Data'!$C$9:$C$272,0),MATCH("Latest value",'WB Physician Data'!$C$8:$BO$8,0))</f>
        <v>2.3336999999999999</v>
      </c>
      <c r="F169" s="138">
        <f>INDEX('WB Physician Data'!$C$9:$BO$272,MATCH($C169,'WB Physician Data'!$C$9:$C$272,0),MATCH("Latest year",'WB Physician Data'!$C$8:$BO$8,0))</f>
        <v>2015</v>
      </c>
      <c r="G169" s="138">
        <f>INDEX('WB CHWs Data'!$C$10:$BP$274,MATCH($C169,'WB CHWs Data'!$C$10:$C$274,0),MATCH("Value",'WB CHWs Data'!$C$10:$BP$10,0))</f>
        <v>0.4</v>
      </c>
      <c r="H169" s="138" t="str">
        <f>'WB CHWs Data'!BO171</f>
        <v>No reported value</v>
      </c>
      <c r="I169" s="84">
        <f>'WB Nurses &amp; Midwives data'!BN169</f>
        <v>5.7179000000000002</v>
      </c>
      <c r="J169" s="84">
        <f>'WB Nurses &amp; Midwives data'!BO169</f>
        <v>2015</v>
      </c>
      <c r="K169" s="84">
        <f>IFERROR(INDEX('WHO Labs Data'!$C$7:$I$126,MATCH('HCW Summary Data'!$C169,'WHO Labs Data'!$C$7:$C$126,0),7),'WHO Labs Data'!$M$7)</f>
        <v>0.2276050738661016</v>
      </c>
      <c r="M169" s="78">
        <f>INDEX('Tabular Pop Data by Age'!$AN$8:$AN$271,MATCH($B169,'Tabular Pop Data by Age'!$B$8:$B$271,0))</f>
        <v>622000</v>
      </c>
      <c r="N169" s="79">
        <f t="shared" si="8"/>
        <v>1451.5613999999998</v>
      </c>
      <c r="O169" s="78">
        <f t="shared" si="9"/>
        <v>248.8</v>
      </c>
      <c r="P169" s="78">
        <f t="shared" si="10"/>
        <v>3556.5338000000002</v>
      </c>
      <c r="Q169" s="79">
        <f t="shared" si="11"/>
        <v>141.5703559447152</v>
      </c>
    </row>
    <row r="170" spans="2:17" x14ac:dyDescent="0.25">
      <c r="B170" s="138" t="s">
        <v>250</v>
      </c>
      <c r="C170" s="138" t="s">
        <v>96</v>
      </c>
      <c r="D170" s="138" t="s">
        <v>664</v>
      </c>
      <c r="E170" s="138">
        <f>INDEX('WB Physician Data'!$C$9:$BO$272,MATCH($C170,'WB Physician Data'!$C$9:$C$272,0),MATCH("Latest value",'WB Physician Data'!$C$8:$BO$8,0))</f>
        <v>2.8866000000000001</v>
      </c>
      <c r="F170" s="138">
        <f>INDEX('WB Physician Data'!$C$9:$BO$272,MATCH($C170,'WB Physician Data'!$C$9:$C$272,0),MATCH("Latest year",'WB Physician Data'!$C$8:$BO$8,0))</f>
        <v>2016</v>
      </c>
      <c r="G170" s="138">
        <f>INDEX('WB CHWs Data'!$C$10:$BP$274,MATCH($C170,'WB CHWs Data'!$C$10:$C$274,0),MATCH("Value",'WB CHWs Data'!$C$10:$BP$10,0))</f>
        <v>0.161</v>
      </c>
      <c r="H170" s="138">
        <f>'WB CHWs Data'!BO172</f>
        <v>2010</v>
      </c>
      <c r="I170" s="84">
        <f>'WB Nurses &amp; Midwives data'!BN170</f>
        <v>3.9845999999999999</v>
      </c>
      <c r="J170" s="84">
        <f>'WB Nurses &amp; Midwives data'!BO170</f>
        <v>2016</v>
      </c>
      <c r="K170" s="84">
        <f>IFERROR(INDEX('WHO Labs Data'!$C$7:$I$126,MATCH('HCW Summary Data'!$C170,'WHO Labs Data'!$C$7:$C$126,0),7),'WHO Labs Data'!$M$7)</f>
        <v>0.13721497138358113</v>
      </c>
      <c r="M170" s="78">
        <f>INDEX('Tabular Pop Data by Age'!$AN$8:$AN$271,MATCH($B170,'Tabular Pop Data by Age'!$B$8:$B$271,0))</f>
        <v>3278000</v>
      </c>
      <c r="N170" s="79">
        <f t="shared" si="8"/>
        <v>9462.2748000000011</v>
      </c>
      <c r="O170" s="78">
        <f t="shared" si="9"/>
        <v>527.75800000000004</v>
      </c>
      <c r="P170" s="78">
        <f t="shared" si="10"/>
        <v>13061.5188</v>
      </c>
      <c r="Q170" s="79">
        <f t="shared" si="11"/>
        <v>449.79067619537892</v>
      </c>
    </row>
    <row r="171" spans="2:17" x14ac:dyDescent="0.25">
      <c r="B171" s="138" t="s">
        <v>592</v>
      </c>
      <c r="C171" s="138" t="s">
        <v>593</v>
      </c>
      <c r="D171" s="138" t="s">
        <v>517</v>
      </c>
      <c r="E171" s="138">
        <f>INDEX('WB Physician Data'!$C$9:$BO$272,MATCH($C171,'WB Physician Data'!$C$9:$C$272,0),MATCH("Latest value",'WB Physician Data'!$C$8:$BO$8,0))</f>
        <v>0.44500000000000001</v>
      </c>
      <c r="F171" s="138">
        <f>INDEX('WB Physician Data'!$C$9:$BO$272,MATCH($C171,'WB Physician Data'!$C$9:$C$272,0),MATCH("Latest year",'WB Physician Data'!$C$8:$BO$8,0))</f>
        <v>1999</v>
      </c>
      <c r="G171" s="138">
        <f>INDEX('WB CHWs Data'!$C$10:$BP$274,MATCH($C171,'WB CHWs Data'!$C$10:$C$274,0),MATCH("Value",'WB CHWs Data'!$C$10:$BP$10,0))</f>
        <v>0.4</v>
      </c>
      <c r="H171" s="138" t="str">
        <f>'WB CHWs Data'!BO173</f>
        <v>No reported value</v>
      </c>
      <c r="I171" s="84" t="str">
        <f>'WB Nurses &amp; Midwives data'!BN171</f>
        <v>No reported value</v>
      </c>
      <c r="J171" s="84" t="str">
        <f>'WB Nurses &amp; Midwives data'!BO171</f>
        <v>No reported value</v>
      </c>
      <c r="K171" s="84">
        <f>IFERROR(INDEX('WHO Labs Data'!$C$7:$I$126,MATCH('HCW Summary Data'!$C171,'WHO Labs Data'!$C$7:$C$126,0),7),'WHO Labs Data'!$M$7)</f>
        <v>0.2276050738661016</v>
      </c>
      <c r="M171" s="78">
        <f>INDEX('Tabular Pop Data by Age'!$AN$8:$AN$271,MATCH($B171,'Tabular Pop Data by Age'!$B$8:$B$271,0))</f>
        <v>58000</v>
      </c>
      <c r="N171" s="79">
        <f t="shared" si="8"/>
        <v>25.81</v>
      </c>
      <c r="O171" s="78">
        <f t="shared" si="9"/>
        <v>23.200000000000003</v>
      </c>
      <c r="P171" s="78">
        <f t="shared" si="10"/>
        <v>0</v>
      </c>
      <c r="Q171" s="79">
        <f t="shared" si="11"/>
        <v>13.201094284233893</v>
      </c>
    </row>
    <row r="172" spans="2:17" x14ac:dyDescent="0.25">
      <c r="B172" s="138" t="s">
        <v>207</v>
      </c>
      <c r="C172" s="138" t="s">
        <v>97</v>
      </c>
      <c r="D172" s="138" t="s">
        <v>561</v>
      </c>
      <c r="E172" s="138">
        <f>INDEX('WB Physician Data'!$C$9:$BO$272,MATCH($C172,'WB Physician Data'!$C$9:$C$272,0),MATCH("Latest value",'WB Physician Data'!$C$8:$BO$8,0))</f>
        <v>7.3499999999999996E-2</v>
      </c>
      <c r="F172" s="138">
        <f>INDEX('WB Physician Data'!$C$9:$BO$272,MATCH($C172,'WB Physician Data'!$C$9:$C$272,0),MATCH("Latest year",'WB Physician Data'!$C$8:$BO$8,0))</f>
        <v>2017</v>
      </c>
      <c r="G172" s="138">
        <f>INDEX('WB CHWs Data'!$C$10:$BP$274,MATCH($C172,'WB CHWs Data'!$C$10:$C$274,0),MATCH("Value",'WB CHWs Data'!$C$10:$BP$10,0))</f>
        <v>4.4999999999999998E-2</v>
      </c>
      <c r="H172" s="138">
        <f>'WB CHWs Data'!BO174</f>
        <v>2013</v>
      </c>
      <c r="I172" s="84">
        <f>'WB Nurses &amp; Midwives data'!BN172</f>
        <v>0.44359999999999999</v>
      </c>
      <c r="J172" s="84">
        <f>'WB Nurses &amp; Midwives data'!BO172</f>
        <v>2017</v>
      </c>
      <c r="K172" s="84">
        <f>IFERROR(INDEX('WHO Labs Data'!$C$7:$I$126,MATCH('HCW Summary Data'!$C172,'WHO Labs Data'!$C$7:$C$126,0),7),'WHO Labs Data'!$M$7)</f>
        <v>6.6280258972397643E-2</v>
      </c>
      <c r="M172" s="78">
        <f>INDEX('Tabular Pop Data by Age'!$AN$8:$AN$271,MATCH($B172,'Tabular Pop Data by Age'!$B$8:$B$271,0))</f>
        <v>31255000</v>
      </c>
      <c r="N172" s="79">
        <f t="shared" si="8"/>
        <v>2297.2424999999998</v>
      </c>
      <c r="O172" s="78">
        <f t="shared" si="9"/>
        <v>1406.4749999999999</v>
      </c>
      <c r="P172" s="78">
        <f t="shared" si="10"/>
        <v>13864.717999999999</v>
      </c>
      <c r="Q172" s="79">
        <f t="shared" si="11"/>
        <v>2071.5894941822885</v>
      </c>
    </row>
    <row r="173" spans="2:17" x14ac:dyDescent="0.25">
      <c r="B173" s="138" t="s">
        <v>205</v>
      </c>
      <c r="C173" s="138" t="s">
        <v>98</v>
      </c>
      <c r="D173" s="138" t="s">
        <v>664</v>
      </c>
      <c r="E173" s="138">
        <f>INDEX('WB Physician Data'!$C$9:$BO$272,MATCH($C173,'WB Physician Data'!$C$9:$C$272,0),MATCH("Latest value",'WB Physician Data'!$C$8:$BO$8,0))</f>
        <v>0.17899999999999999</v>
      </c>
      <c r="F173" s="138">
        <f>INDEX('WB Physician Data'!$C$9:$BO$272,MATCH($C173,'WB Physician Data'!$C$9:$C$272,0),MATCH("Latest year",'WB Physician Data'!$C$8:$BO$8,0))</f>
        <v>2017</v>
      </c>
      <c r="G173" s="138">
        <f>INDEX('WB CHWs Data'!$C$10:$BP$274,MATCH($C173,'WB CHWs Data'!$C$10:$C$274,0),MATCH("Value",'WB CHWs Data'!$C$10:$BP$10,0))</f>
        <v>0.3</v>
      </c>
      <c r="H173" s="138">
        <f>'WB CHWs Data'!BO175</f>
        <v>2013</v>
      </c>
      <c r="I173" s="84">
        <f>'WB Nurses &amp; Midwives data'!BN173</f>
        <v>1.0341</v>
      </c>
      <c r="J173" s="84">
        <f>'WB Nurses &amp; Midwives data'!BO173</f>
        <v>2017</v>
      </c>
      <c r="K173" s="84">
        <f>IFERROR(INDEX('WHO Labs Data'!$C$7:$I$126,MATCH('HCW Summary Data'!$C173,'WHO Labs Data'!$C$7:$C$126,0),7),'WHO Labs Data'!$M$7)</f>
        <v>2.5208257680172617E-2</v>
      </c>
      <c r="M173" s="78">
        <f>INDEX('Tabular Pop Data by Age'!$AN$8:$AN$271,MATCH($B173,'Tabular Pop Data by Age'!$B$8:$B$271,0))</f>
        <v>4650000</v>
      </c>
      <c r="N173" s="79">
        <f t="shared" si="8"/>
        <v>832.34999999999991</v>
      </c>
      <c r="O173" s="78">
        <f t="shared" si="9"/>
        <v>1395</v>
      </c>
      <c r="P173" s="78">
        <f t="shared" si="10"/>
        <v>4808.5650000000005</v>
      </c>
      <c r="Q173" s="79">
        <f t="shared" si="11"/>
        <v>117.21839821280267</v>
      </c>
    </row>
    <row r="174" spans="2:17" x14ac:dyDescent="0.25">
      <c r="B174" s="138" t="s">
        <v>206</v>
      </c>
      <c r="C174" s="138" t="s">
        <v>99</v>
      </c>
      <c r="D174" s="138" t="s">
        <v>664</v>
      </c>
      <c r="E174" s="138">
        <f>INDEX('WB Physician Data'!$C$9:$BO$272,MATCH($C174,'WB Physician Data'!$C$9:$C$272,0),MATCH("Latest value",'WB Physician Data'!$C$8:$BO$8,0))</f>
        <v>2.0246</v>
      </c>
      <c r="F174" s="138">
        <f>INDEX('WB Physician Data'!$C$9:$BO$272,MATCH($C174,'WB Physician Data'!$C$9:$C$272,0),MATCH("Latest year",'WB Physician Data'!$C$8:$BO$8,0))</f>
        <v>2015</v>
      </c>
      <c r="G174" s="138">
        <f>INDEX('WB CHWs Data'!$C$10:$BP$274,MATCH($C174,'WB CHWs Data'!$C$10:$C$274,0),MATCH("Value",'WB CHWs Data'!$C$10:$BP$10,0))</f>
        <v>0.19400000000000001</v>
      </c>
      <c r="H174" s="138">
        <f>'WB CHWs Data'!BO176</f>
        <v>2004</v>
      </c>
      <c r="I174" s="84">
        <f>'WB Nurses &amp; Midwives data'!BN174</f>
        <v>3.3831000000000002</v>
      </c>
      <c r="J174" s="84">
        <f>'WB Nurses &amp; Midwives data'!BO174</f>
        <v>2015</v>
      </c>
      <c r="K174" s="84">
        <f>IFERROR(INDEX('WHO Labs Data'!$C$7:$I$126,MATCH('HCW Summary Data'!$C174,'WHO Labs Data'!$C$7:$C$126,0),7),'WHO Labs Data'!$M$7)</f>
        <v>0.28609748020829795</v>
      </c>
      <c r="M174" s="78">
        <f>INDEX('Tabular Pop Data by Age'!$AN$8:$AN$271,MATCH($B174,'Tabular Pop Data by Age'!$B$8:$B$271,0))</f>
        <v>1270000</v>
      </c>
      <c r="N174" s="79">
        <f t="shared" si="8"/>
        <v>2571.2419999999997</v>
      </c>
      <c r="O174" s="78">
        <f t="shared" si="9"/>
        <v>246.38</v>
      </c>
      <c r="P174" s="78">
        <f t="shared" si="10"/>
        <v>4296.5370000000003</v>
      </c>
      <c r="Q174" s="79">
        <f t="shared" si="11"/>
        <v>363.34379986453837</v>
      </c>
    </row>
    <row r="175" spans="2:17" x14ac:dyDescent="0.25">
      <c r="B175" s="138" t="s">
        <v>203</v>
      </c>
      <c r="C175" s="138" t="s">
        <v>100</v>
      </c>
      <c r="D175" s="138" t="s">
        <v>664</v>
      </c>
      <c r="E175" s="138">
        <f>INDEX('WB Physician Data'!$C$9:$BO$272,MATCH($C175,'WB Physician Data'!$C$9:$C$272,0),MATCH("Latest value",'WB Physician Data'!$C$8:$BO$8,0))</f>
        <v>1.5699999999999999E-2</v>
      </c>
      <c r="F175" s="138">
        <f>INDEX('WB Physician Data'!$C$9:$BO$272,MATCH($C175,'WB Physician Data'!$C$9:$C$272,0),MATCH("Latest year",'WB Physician Data'!$C$8:$BO$8,0))</f>
        <v>2016</v>
      </c>
      <c r="G175" s="138">
        <f>INDEX('WB CHWs Data'!$C$10:$BP$274,MATCH($C175,'WB CHWs Data'!$C$10:$C$274,0),MATCH("Value",'WB CHWs Data'!$C$10:$BP$10,0))</f>
        <v>0.72299999999999998</v>
      </c>
      <c r="H175" s="138">
        <f>'WB CHWs Data'!BO177</f>
        <v>2008</v>
      </c>
      <c r="I175" s="84">
        <f>'WB Nurses &amp; Midwives data'!BN175</f>
        <v>0.25280000000000002</v>
      </c>
      <c r="J175" s="84">
        <f>'WB Nurses &amp; Midwives data'!BO175</f>
        <v>2016</v>
      </c>
      <c r="K175" s="84">
        <f>IFERROR(INDEX('WHO Labs Data'!$C$7:$I$126,MATCH('HCW Summary Data'!$C175,'WHO Labs Data'!$C$7:$C$126,0),7),'WHO Labs Data'!$M$7)</f>
        <v>2.1881337561520591E-2</v>
      </c>
      <c r="M175" s="78">
        <f>INDEX('Tabular Pop Data by Age'!$AN$8:$AN$271,MATCH($B175,'Tabular Pop Data by Age'!$B$8:$B$271,0))</f>
        <v>19130000</v>
      </c>
      <c r="N175" s="79">
        <f t="shared" si="8"/>
        <v>300.34099999999995</v>
      </c>
      <c r="O175" s="78">
        <f t="shared" si="9"/>
        <v>13830.99</v>
      </c>
      <c r="P175" s="78">
        <f t="shared" si="10"/>
        <v>4836.0640000000003</v>
      </c>
      <c r="Q175" s="79">
        <f t="shared" si="11"/>
        <v>418.5899875518889</v>
      </c>
    </row>
    <row r="176" spans="2:17" x14ac:dyDescent="0.25">
      <c r="B176" s="138" t="s">
        <v>566</v>
      </c>
      <c r="C176" s="138" t="s">
        <v>101</v>
      </c>
      <c r="D176" s="138" t="s">
        <v>664</v>
      </c>
      <c r="E176" s="138">
        <f>INDEX('WB Physician Data'!$C$9:$BO$272,MATCH($C176,'WB Physician Data'!$C$9:$C$272,0),MATCH("Latest value",'WB Physician Data'!$C$8:$BO$8,0))</f>
        <v>1.5132000000000001</v>
      </c>
      <c r="F176" s="138">
        <f>INDEX('WB Physician Data'!$C$9:$BO$272,MATCH($C176,'WB Physician Data'!$C$9:$C$272,0),MATCH("Latest year",'WB Physician Data'!$C$8:$BO$8,0))</f>
        <v>2015</v>
      </c>
      <c r="G176" s="138">
        <f>INDEX('WB CHWs Data'!$C$10:$BP$274,MATCH($C176,'WB CHWs Data'!$C$10:$C$274,0),MATCH("Value",'WB CHWs Data'!$C$10:$BP$10,0))</f>
        <v>0.435</v>
      </c>
      <c r="H176" s="138">
        <f>'WB CHWs Data'!BO178</f>
        <v>2010</v>
      </c>
      <c r="I176" s="84">
        <f>'WB Nurses &amp; Midwives data'!BN176</f>
        <v>4.0717999999999996</v>
      </c>
      <c r="J176" s="84">
        <f>'WB Nurses &amp; Midwives data'!BO176</f>
        <v>2015</v>
      </c>
      <c r="K176" s="84">
        <f>IFERROR(INDEX('WHO Labs Data'!$C$7:$I$126,MATCH('HCW Summary Data'!$C176,'WHO Labs Data'!$C$7:$C$126,0),7),'WHO Labs Data'!$M$7)</f>
        <v>0.20057988647444849</v>
      </c>
      <c r="M176" s="78">
        <f>INDEX('Tabular Pop Data by Age'!$AN$8:$AN$271,MATCH($B176,'Tabular Pop Data by Age'!$B$8:$B$271,0))</f>
        <v>32366000</v>
      </c>
      <c r="N176" s="79">
        <f t="shared" si="8"/>
        <v>48976.231200000002</v>
      </c>
      <c r="O176" s="78">
        <f t="shared" si="9"/>
        <v>14079.21</v>
      </c>
      <c r="P176" s="78">
        <f t="shared" si="10"/>
        <v>131787.87879999998</v>
      </c>
      <c r="Q176" s="79">
        <f t="shared" si="11"/>
        <v>6491.9686056319997</v>
      </c>
    </row>
    <row r="177" spans="2:17" x14ac:dyDescent="0.25">
      <c r="B177" s="138" t="s">
        <v>588</v>
      </c>
      <c r="C177" s="138" t="s">
        <v>589</v>
      </c>
      <c r="D177" s="138" t="s">
        <v>1182</v>
      </c>
      <c r="E177" s="138">
        <f>INDEX('WB Physician Data'!$C$9:$BO$272,MATCH($C177,'WB Physician Data'!$C$9:$C$272,0),MATCH("Latest value",'WB Physician Data'!$C$8:$BO$8,0))</f>
        <v>2.5963425209695612</v>
      </c>
      <c r="F177" s="138">
        <f>INDEX('WB Physician Data'!$C$9:$BO$272,MATCH($C177,'WB Physician Data'!$C$9:$C$272,0),MATCH("Latest year",'WB Physician Data'!$C$8:$BO$8,0))</f>
        <v>2015</v>
      </c>
      <c r="G177" s="138">
        <f>INDEX('WB CHWs Data'!$C$10:$BP$274,MATCH($C177,'WB CHWs Data'!$C$10:$C$274,0),MATCH("Value",'WB CHWs Data'!$C$10:$BP$10,0))</f>
        <v>0.4</v>
      </c>
      <c r="H177" s="138" t="str">
        <f>'WB CHWs Data'!BO179</f>
        <v>No reported value</v>
      </c>
      <c r="I177" s="84">
        <f>'WB Nurses &amp; Midwives data'!BN177</f>
        <v>8.6857819108011327</v>
      </c>
      <c r="J177" s="84">
        <f>'WB Nurses &amp; Midwives data'!BO177</f>
        <v>2015</v>
      </c>
      <c r="K177" s="84">
        <f>IFERROR(INDEX('WHO Labs Data'!$C$7:$I$126,MATCH('HCW Summary Data'!$C177,'WHO Labs Data'!$C$7:$C$126,0),7),'WHO Labs Data'!$M$7)</f>
        <v>0.2276050738661016</v>
      </c>
      <c r="M177" s="78">
        <f>INDEX('Tabular Pop Data by Age'!$AN$8:$AN$271,MATCH($B177,'Tabular Pop Data by Age'!$B$8:$B$271,0))</f>
        <v>369599000</v>
      </c>
      <c r="N177" s="79">
        <f t="shared" si="8"/>
        <v>959605.59940782888</v>
      </c>
      <c r="O177" s="78">
        <f t="shared" si="9"/>
        <v>147839.6</v>
      </c>
      <c r="P177" s="78">
        <f t="shared" si="10"/>
        <v>3210256.308450188</v>
      </c>
      <c r="Q177" s="79">
        <f t="shared" si="11"/>
        <v>84122.607695837287</v>
      </c>
    </row>
    <row r="178" spans="2:17" x14ac:dyDescent="0.25">
      <c r="B178" s="138" t="s">
        <v>208</v>
      </c>
      <c r="C178" s="138" t="s">
        <v>102</v>
      </c>
      <c r="D178" s="138" t="s">
        <v>664</v>
      </c>
      <c r="E178" s="138">
        <f>INDEX('WB Physician Data'!$C$9:$BO$272,MATCH($C178,'WB Physician Data'!$C$9:$C$272,0),MATCH("Latest value",'WB Physician Data'!$C$8:$BO$8,0))</f>
        <v>0.374</v>
      </c>
      <c r="F178" s="138">
        <f>INDEX('WB Physician Data'!$C$9:$BO$272,MATCH($C178,'WB Physician Data'!$C$9:$C$272,0),MATCH("Latest year",'WB Physician Data'!$C$8:$BO$8,0))</f>
        <v>2010</v>
      </c>
      <c r="G178" s="138">
        <f>INDEX('WB CHWs Data'!$C$10:$BP$274,MATCH($C178,'WB CHWs Data'!$C$10:$C$274,0),MATCH("Value",'WB CHWs Data'!$C$10:$BP$10,0))</f>
        <v>0.4</v>
      </c>
      <c r="H178" s="138" t="str">
        <f>'WB CHWs Data'!BO180</f>
        <v>No reported value</v>
      </c>
      <c r="I178" s="84">
        <f>'WB Nurses &amp; Midwives data'!BN178</f>
        <v>2.7749999999999999</v>
      </c>
      <c r="J178" s="84">
        <f>'WB Nurses &amp; Midwives data'!BO178</f>
        <v>2010</v>
      </c>
      <c r="K178" s="84">
        <f>IFERROR(INDEX('WHO Labs Data'!$C$7:$I$126,MATCH('HCW Summary Data'!$C178,'WHO Labs Data'!$C$7:$C$126,0),7),'WHO Labs Data'!$M$7)</f>
        <v>6.5352669554437748E-2</v>
      </c>
      <c r="M178" s="78">
        <f>INDEX('Tabular Pop Data by Age'!$AN$8:$AN$271,MATCH($B178,'Tabular Pop Data by Age'!$B$8:$B$271,0))</f>
        <v>2541000</v>
      </c>
      <c r="N178" s="79">
        <f t="shared" si="8"/>
        <v>950.33399999999995</v>
      </c>
      <c r="O178" s="78">
        <f t="shared" si="9"/>
        <v>1016.4000000000001</v>
      </c>
      <c r="P178" s="78">
        <f t="shared" si="10"/>
        <v>7051.2749999999996</v>
      </c>
      <c r="Q178" s="79">
        <f t="shared" si="11"/>
        <v>166.06113333782631</v>
      </c>
    </row>
    <row r="179" spans="2:17" x14ac:dyDescent="0.25">
      <c r="B179" s="138" t="s">
        <v>585</v>
      </c>
      <c r="C179" s="138" t="s">
        <v>586</v>
      </c>
      <c r="D179" s="138" t="s">
        <v>517</v>
      </c>
      <c r="E179" s="138">
        <f>INDEX('WB Physician Data'!$C$9:$BO$272,MATCH($C179,'WB Physician Data'!$C$9:$C$272,0),MATCH("Latest value",'WB Physician Data'!$C$8:$BO$8,0))</f>
        <v>1.982</v>
      </c>
      <c r="F179" s="138">
        <f>INDEX('WB Physician Data'!$C$9:$BO$272,MATCH($C179,'WB Physician Data'!$C$9:$C$272,0),MATCH("Latest year",'WB Physician Data'!$C$8:$BO$8,0))</f>
        <v>1999</v>
      </c>
      <c r="G179" s="138">
        <f>INDEX('WB CHWs Data'!$C$10:$BP$274,MATCH($C179,'WB CHWs Data'!$C$10:$C$274,0),MATCH("Value",'WB CHWs Data'!$C$10:$BP$10,0))</f>
        <v>0.4</v>
      </c>
      <c r="H179" s="138" t="str">
        <f>'WB CHWs Data'!BO181</f>
        <v>No reported value</v>
      </c>
      <c r="I179" s="84" t="str">
        <f>'WB Nurses &amp; Midwives data'!BN179</f>
        <v>No reported value</v>
      </c>
      <c r="J179" s="84" t="str">
        <f>'WB Nurses &amp; Midwives data'!BO179</f>
        <v>No reported value</v>
      </c>
      <c r="K179" s="84">
        <f>IFERROR(INDEX('WHO Labs Data'!$C$7:$I$126,MATCH('HCW Summary Data'!$C179,'WHO Labs Data'!$C$7:$C$126,0),7),'WHO Labs Data'!$M$7)</f>
        <v>0.2276050738661016</v>
      </c>
      <c r="M179" s="78">
        <f>INDEX('Tabular Pop Data by Age'!$AN$8:$AN$271,MATCH($B179,'Tabular Pop Data by Age'!$B$8:$B$271,0))</f>
        <v>291000</v>
      </c>
      <c r="N179" s="79">
        <f t="shared" si="8"/>
        <v>576.76199999999994</v>
      </c>
      <c r="O179" s="78">
        <f t="shared" si="9"/>
        <v>116.4</v>
      </c>
      <c r="P179" s="78">
        <f t="shared" si="10"/>
        <v>0</v>
      </c>
      <c r="Q179" s="79">
        <f t="shared" si="11"/>
        <v>66.233076495035561</v>
      </c>
    </row>
    <row r="180" spans="2:17" x14ac:dyDescent="0.25">
      <c r="B180" s="138" t="s">
        <v>209</v>
      </c>
      <c r="C180" s="138" t="s">
        <v>103</v>
      </c>
      <c r="D180" s="138" t="s">
        <v>561</v>
      </c>
      <c r="E180" s="138">
        <f>INDEX('WB Physician Data'!$C$9:$BO$272,MATCH($C180,'WB Physician Data'!$C$9:$C$272,0),MATCH("Latest value",'WB Physician Data'!$C$8:$BO$8,0))</f>
        <v>0.05</v>
      </c>
      <c r="F180" s="138">
        <f>INDEX('WB Physician Data'!$C$9:$BO$272,MATCH($C180,'WB Physician Data'!$C$9:$C$272,0),MATCH("Latest year",'WB Physician Data'!$C$8:$BO$8,0))</f>
        <v>2014</v>
      </c>
      <c r="G180" s="138">
        <f>INDEX('WB CHWs Data'!$C$10:$BP$274,MATCH($C180,'WB CHWs Data'!$C$10:$C$274,0),MATCH("Value",'WB CHWs Data'!$C$10:$BP$10,0))</f>
        <v>0.4</v>
      </c>
      <c r="H180" s="138" t="str">
        <f>'WB CHWs Data'!BO182</f>
        <v>No reported value</v>
      </c>
      <c r="I180" s="84">
        <f>'WB Nurses &amp; Midwives data'!BN180</f>
        <v>0.31090000000000001</v>
      </c>
      <c r="J180" s="84">
        <f>'WB Nurses &amp; Midwives data'!BO180</f>
        <v>2014</v>
      </c>
      <c r="K180" s="84">
        <f>IFERROR(INDEX('WHO Labs Data'!$C$7:$I$126,MATCH('HCW Summary Data'!$C180,'WHO Labs Data'!$C$7:$C$126,0),7),'WHO Labs Data'!$M$7)</f>
        <v>1.6441690280617323E-2</v>
      </c>
      <c r="M180" s="78">
        <f>INDEX('Tabular Pop Data by Age'!$AN$8:$AN$271,MATCH($B180,'Tabular Pop Data by Age'!$B$8:$B$271,0))</f>
        <v>24207000</v>
      </c>
      <c r="N180" s="79">
        <f t="shared" si="8"/>
        <v>1210.3500000000001</v>
      </c>
      <c r="O180" s="78">
        <f t="shared" si="9"/>
        <v>9682.8000000000011</v>
      </c>
      <c r="P180" s="78">
        <f t="shared" si="10"/>
        <v>7525.9562999999998</v>
      </c>
      <c r="Q180" s="79">
        <f t="shared" si="11"/>
        <v>398.00399662290351</v>
      </c>
    </row>
    <row r="181" spans="2:17" x14ac:dyDescent="0.25">
      <c r="B181" s="138" t="s">
        <v>177</v>
      </c>
      <c r="C181" s="138" t="s">
        <v>104</v>
      </c>
      <c r="D181" s="138" t="s">
        <v>664</v>
      </c>
      <c r="E181" s="138">
        <f>INDEX('WB Physician Data'!$C$9:$BO$272,MATCH($C181,'WB Physician Data'!$C$9:$C$272,0),MATCH("Latest value",'WB Physician Data'!$C$8:$BO$8,0))</f>
        <v>0.38269999999999998</v>
      </c>
      <c r="F181" s="138">
        <f>INDEX('WB Physician Data'!$C$9:$BO$272,MATCH($C181,'WB Physician Data'!$C$9:$C$272,0),MATCH("Latest year",'WB Physician Data'!$C$8:$BO$8,0))</f>
        <v>2013</v>
      </c>
      <c r="G181" s="138">
        <f>INDEX('WB CHWs Data'!$C$10:$BP$274,MATCH($C181,'WB CHWs Data'!$C$10:$C$274,0),MATCH("Value",'WB CHWs Data'!$C$10:$BP$10,0))</f>
        <v>0.128</v>
      </c>
      <c r="H181" s="138">
        <f>'WB CHWs Data'!BO183</f>
        <v>2008</v>
      </c>
      <c r="I181" s="84">
        <f>'WB Nurses &amp; Midwives data'!BN181</f>
        <v>1.4523999999999999</v>
      </c>
      <c r="J181" s="84">
        <f>'WB Nurses &amp; Midwives data'!BO181</f>
        <v>2013</v>
      </c>
      <c r="K181" s="84">
        <f>IFERROR(INDEX('WHO Labs Data'!$C$7:$I$126,MATCH('HCW Summary Data'!$C181,'WHO Labs Data'!$C$7:$C$126,0),7),'WHO Labs Data'!$M$7)</f>
        <v>0.11580359979035582</v>
      </c>
      <c r="M181" s="78">
        <f>INDEX('Tabular Pop Data by Age'!$AN$8:$AN$271,MATCH($B181,'Tabular Pop Data by Age'!$B$8:$B$271,0))</f>
        <v>206140000</v>
      </c>
      <c r="N181" s="79">
        <f t="shared" si="8"/>
        <v>78889.777999999991</v>
      </c>
      <c r="O181" s="78">
        <f t="shared" si="9"/>
        <v>26385.920000000002</v>
      </c>
      <c r="P181" s="78">
        <f t="shared" si="10"/>
        <v>299397.73599999998</v>
      </c>
      <c r="Q181" s="79">
        <f t="shared" si="11"/>
        <v>23871.754060783947</v>
      </c>
    </row>
    <row r="182" spans="2:17" x14ac:dyDescent="0.25">
      <c r="B182" s="138" t="s">
        <v>227</v>
      </c>
      <c r="C182" s="138" t="s">
        <v>105</v>
      </c>
      <c r="D182" s="138" t="s">
        <v>559</v>
      </c>
      <c r="E182" s="138">
        <f>INDEX('WB Physician Data'!$C$9:$BO$272,MATCH($C182,'WB Physician Data'!$C$9:$C$272,0),MATCH("Latest value",'WB Physician Data'!$C$8:$BO$8,0))</f>
        <v>1.0056</v>
      </c>
      <c r="F182" s="138">
        <f>INDEX('WB Physician Data'!$C$9:$BO$272,MATCH($C182,'WB Physician Data'!$C$9:$C$272,0),MATCH("Latest year",'WB Physician Data'!$C$8:$BO$8,0))</f>
        <v>2018</v>
      </c>
      <c r="G182" s="138">
        <f>INDEX('WB CHWs Data'!$C$10:$BP$274,MATCH($C182,'WB CHWs Data'!$C$10:$C$274,0),MATCH("Value",'WB CHWs Data'!$C$10:$BP$10,0))</f>
        <v>0.4</v>
      </c>
      <c r="H182" s="138" t="str">
        <f>'WB CHWs Data'!BO184</f>
        <v>No reported value</v>
      </c>
      <c r="I182" s="84">
        <f>'WB Nurses &amp; Midwives data'!BN182</f>
        <v>1.5774999999999999</v>
      </c>
      <c r="J182" s="84">
        <f>'WB Nurses &amp; Midwives data'!BO182</f>
        <v>2018</v>
      </c>
      <c r="K182" s="84">
        <f>IFERROR(INDEX('WHO Labs Data'!$C$7:$I$126,MATCH('HCW Summary Data'!$C182,'WHO Labs Data'!$C$7:$C$126,0),7),'WHO Labs Data'!$M$7)</f>
        <v>0.19642679552264453</v>
      </c>
      <c r="M182" s="78">
        <f>INDEX('Tabular Pop Data by Age'!$AN$8:$AN$271,MATCH($B182,'Tabular Pop Data by Age'!$B$8:$B$271,0))</f>
        <v>6625000</v>
      </c>
      <c r="N182" s="79">
        <f t="shared" si="8"/>
        <v>6662.1</v>
      </c>
      <c r="O182" s="78">
        <f t="shared" si="9"/>
        <v>2650</v>
      </c>
      <c r="P182" s="78">
        <f t="shared" si="10"/>
        <v>10450.9375</v>
      </c>
      <c r="Q182" s="79">
        <f t="shared" si="11"/>
        <v>1301.3275203375199</v>
      </c>
    </row>
    <row r="183" spans="2:17" x14ac:dyDescent="0.25">
      <c r="B183" s="138" t="s">
        <v>584</v>
      </c>
      <c r="C183" s="138" t="s">
        <v>106</v>
      </c>
      <c r="D183" s="138" t="s">
        <v>517</v>
      </c>
      <c r="E183" s="138">
        <f>INDEX('WB Physician Data'!$C$9:$BO$272,MATCH($C183,'WB Physician Data'!$C$9:$C$272,0),MATCH("Latest value",'WB Physician Data'!$C$8:$BO$8,0))</f>
        <v>3.5066999999999999</v>
      </c>
      <c r="F183" s="138">
        <f>INDEX('WB Physician Data'!$C$9:$BO$272,MATCH($C183,'WB Physician Data'!$C$9:$C$272,0),MATCH("Latest year",'WB Physician Data'!$C$8:$BO$8,0))</f>
        <v>2016</v>
      </c>
      <c r="G183" s="138">
        <f>INDEX('WB CHWs Data'!$C$10:$BP$274,MATCH($C183,'WB CHWs Data'!$C$10:$C$274,0),MATCH("Value",'WB CHWs Data'!$C$10:$BP$10,0))</f>
        <v>0.4</v>
      </c>
      <c r="H183" s="138" t="str">
        <f>'WB CHWs Data'!BO185</f>
        <v>No reported value</v>
      </c>
      <c r="I183" s="84">
        <f>'WB Nurses &amp; Midwives data'!BN183</f>
        <v>11.1043</v>
      </c>
      <c r="J183" s="84">
        <f>'WB Nurses &amp; Midwives data'!BO183</f>
        <v>2016</v>
      </c>
      <c r="K183" s="84">
        <f>IFERROR(INDEX('WHO Labs Data'!$C$7:$I$126,MATCH('HCW Summary Data'!$C183,'WHO Labs Data'!$C$7:$C$126,0),7),'WHO Labs Data'!$M$7)</f>
        <v>0.2276050738661016</v>
      </c>
      <c r="M183" s="78">
        <f>INDEX('Tabular Pop Data by Age'!$AN$8:$AN$271,MATCH($B183,'Tabular Pop Data by Age'!$B$8:$B$271,0))</f>
        <v>17330000</v>
      </c>
      <c r="N183" s="79">
        <f t="shared" si="8"/>
        <v>60771.110999999997</v>
      </c>
      <c r="O183" s="78">
        <f t="shared" si="9"/>
        <v>6932</v>
      </c>
      <c r="P183" s="78">
        <f t="shared" si="10"/>
        <v>192437.519</v>
      </c>
      <c r="Q183" s="79">
        <f t="shared" si="11"/>
        <v>3944.3959300995407</v>
      </c>
    </row>
    <row r="184" spans="2:17" x14ac:dyDescent="0.25">
      <c r="B184" s="138" t="s">
        <v>594</v>
      </c>
      <c r="C184" s="138" t="s">
        <v>107</v>
      </c>
      <c r="D184" s="138" t="s">
        <v>517</v>
      </c>
      <c r="E184" s="138">
        <f>INDEX('WB Physician Data'!$C$9:$BO$272,MATCH($C184,'WB Physician Data'!$C$9:$C$272,0),MATCH("Latest value",'WB Physician Data'!$C$8:$BO$8,0))</f>
        <v>4.6336000000000004</v>
      </c>
      <c r="F184" s="138">
        <f>INDEX('WB Physician Data'!$C$9:$BO$272,MATCH($C184,'WB Physician Data'!$C$9:$C$272,0),MATCH("Latest year",'WB Physician Data'!$C$8:$BO$8,0))</f>
        <v>2017</v>
      </c>
      <c r="G184" s="138">
        <f>INDEX('WB CHWs Data'!$C$10:$BP$274,MATCH($C184,'WB CHWs Data'!$C$10:$C$274,0),MATCH("Value",'WB CHWs Data'!$C$10:$BP$10,0))</f>
        <v>0.4</v>
      </c>
      <c r="H184" s="138" t="str">
        <f>'WB CHWs Data'!BO186</f>
        <v>No reported value</v>
      </c>
      <c r="I184" s="84">
        <f>'WB Nurses &amp; Midwives data'!BN184</f>
        <v>18.124700000000001</v>
      </c>
      <c r="J184" s="84">
        <f>'WB Nurses &amp; Midwives data'!BO184</f>
        <v>2017</v>
      </c>
      <c r="K184" s="84">
        <f>IFERROR(INDEX('WHO Labs Data'!$C$7:$I$126,MATCH('HCW Summary Data'!$C184,'WHO Labs Data'!$C$7:$C$126,0),7),'WHO Labs Data'!$M$7)</f>
        <v>0.2276050738661016</v>
      </c>
      <c r="M184" s="78">
        <f>INDEX('Tabular Pop Data by Age'!$AN$8:$AN$271,MATCH($B184,'Tabular Pop Data by Age'!$B$8:$B$271,0))</f>
        <v>5422000</v>
      </c>
      <c r="N184" s="79">
        <f t="shared" si="8"/>
        <v>25123.379200000003</v>
      </c>
      <c r="O184" s="78">
        <f t="shared" si="9"/>
        <v>2168.8000000000002</v>
      </c>
      <c r="P184" s="78">
        <f t="shared" si="10"/>
        <v>98272.123399999997</v>
      </c>
      <c r="Q184" s="79">
        <f t="shared" si="11"/>
        <v>1234.074710502003</v>
      </c>
    </row>
    <row r="185" spans="2:17" x14ac:dyDescent="0.25">
      <c r="B185" s="138" t="s">
        <v>179</v>
      </c>
      <c r="C185" s="138" t="s">
        <v>108</v>
      </c>
      <c r="D185" s="138" t="s">
        <v>517</v>
      </c>
      <c r="E185" s="138">
        <f>INDEX('WB Physician Data'!$C$9:$BO$272,MATCH($C185,'WB Physician Data'!$C$9:$C$272,0),MATCH("Latest value",'WB Physician Data'!$C$8:$BO$8,0))</f>
        <v>0.65069999999999995</v>
      </c>
      <c r="F185" s="138">
        <f>INDEX('WB Physician Data'!$C$9:$BO$272,MATCH($C185,'WB Physician Data'!$C$9:$C$272,0),MATCH("Latest year",'WB Physician Data'!$C$8:$BO$8,0))</f>
        <v>2017</v>
      </c>
      <c r="G185" s="138">
        <f>INDEX('WB CHWs Data'!$C$10:$BP$274,MATCH($C185,'WB CHWs Data'!$C$10:$C$274,0),MATCH("Value",'WB CHWs Data'!$C$10:$BP$10,0))</f>
        <v>0.68400000000000005</v>
      </c>
      <c r="H185" s="138">
        <f>'WB CHWs Data'!BO187</f>
        <v>2004</v>
      </c>
      <c r="I185" s="84">
        <f>'WB Nurses &amp; Midwives data'!BN185</f>
        <v>2.6854</v>
      </c>
      <c r="J185" s="84">
        <f>'WB Nurses &amp; Midwives data'!BO185</f>
        <v>2017</v>
      </c>
      <c r="K185" s="84">
        <f>IFERROR(INDEX('WHO Labs Data'!$C$7:$I$126,MATCH('HCW Summary Data'!$C185,'WHO Labs Data'!$C$7:$C$126,0),7),'WHO Labs Data'!$M$7)</f>
        <v>0.11051033380208845</v>
      </c>
      <c r="M185" s="78">
        <f>INDEX('Tabular Pop Data by Age'!$AN$8:$AN$271,MATCH($B185,'Tabular Pop Data by Age'!$B$8:$B$271,0))</f>
        <v>29137000</v>
      </c>
      <c r="N185" s="79">
        <f t="shared" si="8"/>
        <v>18959.445899999999</v>
      </c>
      <c r="O185" s="78">
        <f t="shared" si="9"/>
        <v>19929.708000000002</v>
      </c>
      <c r="P185" s="78">
        <f t="shared" si="10"/>
        <v>78244.499800000005</v>
      </c>
      <c r="Q185" s="79">
        <f t="shared" si="11"/>
        <v>3219.9395959914514</v>
      </c>
    </row>
    <row r="186" spans="2:17" x14ac:dyDescent="0.25">
      <c r="B186" s="138" t="s">
        <v>251</v>
      </c>
      <c r="C186" s="138" t="s">
        <v>109</v>
      </c>
      <c r="D186" s="138" t="s">
        <v>559</v>
      </c>
      <c r="E186" s="138">
        <f>INDEX('WB Physician Data'!$C$9:$BO$272,MATCH($C186,'WB Physician Data'!$C$9:$C$272,0),MATCH("Latest value",'WB Physician Data'!$C$8:$BO$8,0))</f>
        <v>1.2388999999999999</v>
      </c>
      <c r="F186" s="138">
        <f>INDEX('WB Physician Data'!$C$9:$BO$272,MATCH($C186,'WB Physician Data'!$C$9:$C$272,0),MATCH("Latest year",'WB Physician Data'!$C$8:$BO$8,0))</f>
        <v>2015</v>
      </c>
      <c r="G186" s="138">
        <f>INDEX('WB CHWs Data'!$C$10:$BP$274,MATCH($C186,'WB CHWs Data'!$C$10:$C$274,0),MATCH("Value",'WB CHWs Data'!$C$10:$BP$10,0))</f>
        <v>1.6930000000000001</v>
      </c>
      <c r="H186" s="138">
        <f>'WB CHWs Data'!BO188</f>
        <v>2011</v>
      </c>
      <c r="I186" s="84">
        <f>'WB Nurses &amp; Midwives data'!BN186</f>
        <v>6.1947000000000001</v>
      </c>
      <c r="J186" s="84">
        <f>'WB Nurses &amp; Midwives data'!BO186</f>
        <v>2015</v>
      </c>
      <c r="K186" s="84">
        <f>IFERROR(INDEX('WHO Labs Data'!$C$7:$I$126,MATCH('HCW Summary Data'!$C186,'WHO Labs Data'!$C$7:$C$126,0),7),'WHO Labs Data'!$M$7)</f>
        <v>0.55100755667506296</v>
      </c>
      <c r="M186" s="78">
        <f>INDEX('Tabular Pop Data by Age'!$AN$8:$AN$271,MATCH($B186,'Tabular Pop Data by Age'!$B$8:$B$271,0))</f>
        <v>13000</v>
      </c>
      <c r="N186" s="79">
        <f t="shared" si="8"/>
        <v>16.105699999999999</v>
      </c>
      <c r="O186" s="78">
        <f t="shared" si="9"/>
        <v>22.009</v>
      </c>
      <c r="P186" s="78">
        <f t="shared" si="10"/>
        <v>80.531099999999995</v>
      </c>
      <c r="Q186" s="79">
        <f t="shared" si="11"/>
        <v>7.1630982367758183</v>
      </c>
    </row>
    <row r="187" spans="2:17" x14ac:dyDescent="0.25">
      <c r="B187" s="138" t="s">
        <v>587</v>
      </c>
      <c r="C187" s="138" t="s">
        <v>110</v>
      </c>
      <c r="D187" s="138" t="s">
        <v>561</v>
      </c>
      <c r="E187" s="138">
        <f>INDEX('WB Physician Data'!$C$9:$BO$272,MATCH($C187,'WB Physician Data'!$C$9:$C$272,0),MATCH("Latest value",'WB Physician Data'!$C$8:$BO$8,0))</f>
        <v>3.0251999999999999</v>
      </c>
      <c r="F187" s="138">
        <f>INDEX('WB Physician Data'!$C$9:$BO$272,MATCH($C187,'WB Physician Data'!$C$9:$C$272,0),MATCH("Latest year",'WB Physician Data'!$C$8:$BO$8,0))</f>
        <v>2016</v>
      </c>
      <c r="G187" s="138">
        <f>INDEX('WB CHWs Data'!$C$10:$BP$274,MATCH($C187,'WB CHWs Data'!$C$10:$C$274,0),MATCH("Value",'WB CHWs Data'!$C$10:$BP$10,0))</f>
        <v>0.4</v>
      </c>
      <c r="H187" s="138" t="str">
        <f>'WB CHWs Data'!BO189</f>
        <v>No reported value</v>
      </c>
      <c r="I187" s="84">
        <f>'WB Nurses &amp; Midwives data'!BN187</f>
        <v>10.955</v>
      </c>
      <c r="J187" s="84">
        <f>'WB Nurses &amp; Midwives data'!BO187</f>
        <v>2017</v>
      </c>
      <c r="K187" s="84">
        <f>IFERROR(INDEX('WHO Labs Data'!$C$7:$I$126,MATCH('HCW Summary Data'!$C187,'WHO Labs Data'!$C$7:$C$126,0),7),'WHO Labs Data'!$M$7)</f>
        <v>0.66154948316446638</v>
      </c>
      <c r="M187" s="78">
        <f>INDEX('Tabular Pop Data by Age'!$AN$8:$AN$271,MATCH($B187,'Tabular Pop Data by Age'!$B$8:$B$271,0))</f>
        <v>4971000</v>
      </c>
      <c r="N187" s="79">
        <f t="shared" si="8"/>
        <v>15038.269199999999</v>
      </c>
      <c r="O187" s="78">
        <f t="shared" si="9"/>
        <v>1988.4</v>
      </c>
      <c r="P187" s="78">
        <f t="shared" si="10"/>
        <v>54457.305</v>
      </c>
      <c r="Q187" s="79">
        <f t="shared" si="11"/>
        <v>3288.5624808105622</v>
      </c>
    </row>
    <row r="188" spans="2:17" x14ac:dyDescent="0.25">
      <c r="B188" s="138" t="s">
        <v>597</v>
      </c>
      <c r="C188" s="138" t="s">
        <v>598</v>
      </c>
      <c r="D188" s="138" t="s">
        <v>1182</v>
      </c>
      <c r="E188" s="138">
        <f>INDEX('WB Physician Data'!$C$9:$BO$272,MATCH($C188,'WB Physician Data'!$C$9:$C$272,0),MATCH("Latest value",'WB Physician Data'!$C$8:$BO$8,0))</f>
        <v>2.8919392858942818</v>
      </c>
      <c r="F188" s="138">
        <f>INDEX('WB Physician Data'!$C$9:$BO$272,MATCH($C188,'WB Physician Data'!$C$9:$C$272,0),MATCH("Latest year",'WB Physician Data'!$C$8:$BO$8,0))</f>
        <v>2015</v>
      </c>
      <c r="G188" s="138">
        <f>INDEX('WB CHWs Data'!$C$10:$BP$274,MATCH($C188,'WB CHWs Data'!$C$10:$C$274,0),MATCH("Value",'WB CHWs Data'!$C$10:$BP$10,0))</f>
        <v>0.4</v>
      </c>
      <c r="H188" s="138" t="str">
        <f>'WB CHWs Data'!BO190</f>
        <v>No reported value</v>
      </c>
      <c r="I188" s="84">
        <f>'WB Nurses &amp; Midwives data'!BN188</f>
        <v>8.0446854465695399</v>
      </c>
      <c r="J188" s="84">
        <f>'WB Nurses &amp; Midwives data'!BO188</f>
        <v>2015</v>
      </c>
      <c r="K188" s="84">
        <f>IFERROR(INDEX('WHO Labs Data'!$C$7:$I$126,MATCH('HCW Summary Data'!$C188,'WHO Labs Data'!$C$7:$C$126,0),7),'WHO Labs Data'!$M$7)</f>
        <v>0.2276050738661016</v>
      </c>
      <c r="M188" s="78">
        <f>INDEX('Tabular Pop Data by Age'!$AN$8:$AN$271,MATCH($B188,'Tabular Pop Data by Age'!$B$8:$B$271,0))</f>
        <v>1315534000</v>
      </c>
      <c r="N188" s="79">
        <f t="shared" si="8"/>
        <v>3804444.456529648</v>
      </c>
      <c r="O188" s="78">
        <f t="shared" si="9"/>
        <v>526213.6</v>
      </c>
      <c r="P188" s="78">
        <f t="shared" si="10"/>
        <v>10583057.224267414</v>
      </c>
      <c r="Q188" s="79">
        <f t="shared" si="11"/>
        <v>299422.21324336808</v>
      </c>
    </row>
    <row r="189" spans="2:17" x14ac:dyDescent="0.25">
      <c r="B189" s="138" t="s">
        <v>599</v>
      </c>
      <c r="C189" s="138" t="s">
        <v>111</v>
      </c>
      <c r="D189" s="138" t="s">
        <v>561</v>
      </c>
      <c r="E189" s="138">
        <f>INDEX('WB Physician Data'!$C$9:$BO$272,MATCH($C189,'WB Physician Data'!$C$9:$C$272,0),MATCH("Latest value",'WB Physician Data'!$C$8:$BO$8,0))</f>
        <v>1.9697</v>
      </c>
      <c r="F189" s="138">
        <f>INDEX('WB Physician Data'!$C$9:$BO$272,MATCH($C189,'WB Physician Data'!$C$9:$C$272,0),MATCH("Latest year",'WB Physician Data'!$C$8:$BO$8,0))</f>
        <v>2017</v>
      </c>
      <c r="G189" s="138">
        <f>INDEX('WB CHWs Data'!$C$10:$BP$274,MATCH($C189,'WB CHWs Data'!$C$10:$C$274,0),MATCH("Value",'WB CHWs Data'!$C$10:$BP$10,0))</f>
        <v>0.4</v>
      </c>
      <c r="H189" s="138" t="str">
        <f>'WB CHWs Data'!BO191</f>
        <v>No reported value</v>
      </c>
      <c r="I189" s="84">
        <f>'WB Nurses &amp; Midwives data'!BN189</f>
        <v>4.3003999999999998</v>
      </c>
      <c r="J189" s="84">
        <f>'WB Nurses &amp; Midwives data'!BO189</f>
        <v>2017</v>
      </c>
      <c r="K189" s="84">
        <f>IFERROR(INDEX('WHO Labs Data'!$C$7:$I$126,MATCH('HCW Summary Data'!$C189,'WHO Labs Data'!$C$7:$C$126,0),7),'WHO Labs Data'!$M$7)</f>
        <v>0.49425580336445946</v>
      </c>
      <c r="M189" s="78">
        <f>INDEX('Tabular Pop Data by Age'!$AN$8:$AN$271,MATCH($B189,'Tabular Pop Data by Age'!$B$8:$B$271,0))</f>
        <v>5107000</v>
      </c>
      <c r="N189" s="79">
        <f t="shared" si="8"/>
        <v>10059.257900000001</v>
      </c>
      <c r="O189" s="78">
        <f t="shared" si="9"/>
        <v>2042.8000000000002</v>
      </c>
      <c r="P189" s="78">
        <f t="shared" si="10"/>
        <v>21962.142799999998</v>
      </c>
      <c r="Q189" s="79">
        <f t="shared" si="11"/>
        <v>2524.1643877822944</v>
      </c>
    </row>
    <row r="190" spans="2:17" x14ac:dyDescent="0.25">
      <c r="B190" s="138" t="s">
        <v>600</v>
      </c>
      <c r="C190" s="138" t="s">
        <v>601</v>
      </c>
      <c r="D190" s="138" t="s">
        <v>1182</v>
      </c>
      <c r="E190" s="138">
        <f>INDEX('WB Physician Data'!$C$9:$BO$272,MATCH($C190,'WB Physician Data'!$C$9:$C$272,0),MATCH("Latest value",'WB Physician Data'!$C$8:$BO$8,0))</f>
        <v>0.765803865988685</v>
      </c>
      <c r="F190" s="138">
        <f>INDEX('WB Physician Data'!$C$9:$BO$272,MATCH($C190,'WB Physician Data'!$C$9:$C$272,0),MATCH("Latest year",'WB Physician Data'!$C$8:$BO$8,0))</f>
        <v>2015</v>
      </c>
      <c r="G190" s="138">
        <f>INDEX('WB CHWs Data'!$C$10:$BP$274,MATCH($C190,'WB CHWs Data'!$C$10:$C$274,0),MATCH("Value",'WB CHWs Data'!$C$10:$BP$10,0))</f>
        <v>0.4</v>
      </c>
      <c r="H190" s="138" t="str">
        <f>'WB CHWs Data'!BO192</f>
        <v>No reported value</v>
      </c>
      <c r="I190" s="84">
        <f>'WB Nurses &amp; Midwives data'!BN190</f>
        <v>3.1396249440349466</v>
      </c>
      <c r="J190" s="84">
        <f>'WB Nurses &amp; Midwives data'!BO190</f>
        <v>2015</v>
      </c>
      <c r="K190" s="84">
        <f>IFERROR(INDEX('WHO Labs Data'!$C$7:$I$126,MATCH('HCW Summary Data'!$C190,'WHO Labs Data'!$C$7:$C$126,0),7),'WHO Labs Data'!$M$7)</f>
        <v>0.2276050738661016</v>
      </c>
      <c r="M190" s="78">
        <f>INDEX('Tabular Pop Data by Age'!$AN$8:$AN$271,MATCH($B190,'Tabular Pop Data by Age'!$B$8:$B$271,0))</f>
        <v>31882000</v>
      </c>
      <c r="N190" s="79">
        <f t="shared" si="8"/>
        <v>24415.358855451253</v>
      </c>
      <c r="O190" s="78">
        <f t="shared" si="9"/>
        <v>12752.800000000001</v>
      </c>
      <c r="P190" s="78">
        <f t="shared" si="10"/>
        <v>100097.52246572217</v>
      </c>
      <c r="Q190" s="79">
        <f t="shared" si="11"/>
        <v>7256.5049649990515</v>
      </c>
    </row>
    <row r="191" spans="2:17" x14ac:dyDescent="0.25">
      <c r="B191" s="138" t="s">
        <v>176</v>
      </c>
      <c r="C191" s="138" t="s">
        <v>112</v>
      </c>
      <c r="D191" s="138" t="s">
        <v>517</v>
      </c>
      <c r="E191" s="138">
        <f>INDEX('WB Physician Data'!$C$9:$BO$272,MATCH($C191,'WB Physician Data'!$C$9:$C$272,0),MATCH("Latest value",'WB Physician Data'!$C$8:$BO$8,0))</f>
        <v>0.97529999999999994</v>
      </c>
      <c r="F191" s="138">
        <f>INDEX('WB Physician Data'!$C$9:$BO$272,MATCH($C191,'WB Physician Data'!$C$9:$C$272,0),MATCH("Latest year",'WB Physician Data'!$C$8:$BO$8,0))</f>
        <v>2015</v>
      </c>
      <c r="G191" s="138">
        <f>INDEX('WB CHWs Data'!$C$10:$BP$274,MATCH($C191,'WB CHWs Data'!$C$10:$C$274,0),MATCH("Value",'WB CHWs Data'!$C$10:$BP$10,0))</f>
        <v>8.6999999999999994E-2</v>
      </c>
      <c r="H191" s="138">
        <f>'WB CHWs Data'!BO193</f>
        <v>2015</v>
      </c>
      <c r="I191" s="84">
        <f>'WB Nurses &amp; Midwives data'!BN191</f>
        <v>0.50039999999999996</v>
      </c>
      <c r="J191" s="84">
        <f>'WB Nurses &amp; Midwives data'!BO191</f>
        <v>2015</v>
      </c>
      <c r="K191" s="84">
        <f>IFERROR(INDEX('WHO Labs Data'!$C$7:$I$126,MATCH('HCW Summary Data'!$C191,'WHO Labs Data'!$C$7:$C$126,0),7),'WHO Labs Data'!$M$7)</f>
        <v>0.17724003808778294</v>
      </c>
      <c r="M191" s="78">
        <f>INDEX('Tabular Pop Data by Age'!$AN$8:$AN$271,MATCH($B191,'Tabular Pop Data by Age'!$B$8:$B$271,0))</f>
        <v>220892000</v>
      </c>
      <c r="N191" s="79">
        <f t="shared" si="8"/>
        <v>215435.96759999997</v>
      </c>
      <c r="O191" s="78">
        <f t="shared" si="9"/>
        <v>19217.603999999999</v>
      </c>
      <c r="P191" s="78">
        <f t="shared" si="10"/>
        <v>110534.35679999999</v>
      </c>
      <c r="Q191" s="79">
        <f t="shared" si="11"/>
        <v>39150.906493286551</v>
      </c>
    </row>
    <row r="192" spans="2:17" x14ac:dyDescent="0.25">
      <c r="B192" s="138" t="s">
        <v>606</v>
      </c>
      <c r="C192" s="138" t="s">
        <v>113</v>
      </c>
      <c r="D192" s="138" t="s">
        <v>561</v>
      </c>
      <c r="E192" s="138">
        <f>INDEX('WB Physician Data'!$C$9:$BO$272,MATCH($C192,'WB Physician Data'!$C$9:$C$272,0),MATCH("Latest value",'WB Physician Data'!$C$8:$BO$8,0))</f>
        <v>1.5699000000000001</v>
      </c>
      <c r="F192" s="138">
        <f>INDEX('WB Physician Data'!$C$9:$BO$272,MATCH($C192,'WB Physician Data'!$C$9:$C$272,0),MATCH("Latest year",'WB Physician Data'!$C$8:$BO$8,0))</f>
        <v>2016</v>
      </c>
      <c r="G192" s="138">
        <f>INDEX('WB CHWs Data'!$C$10:$BP$274,MATCH($C192,'WB CHWs Data'!$C$10:$C$274,0),MATCH("Value",'WB CHWs Data'!$C$10:$BP$10,0))</f>
        <v>0.46</v>
      </c>
      <c r="H192" s="138">
        <f>'WB CHWs Data'!BO194</f>
        <v>2000</v>
      </c>
      <c r="I192" s="84">
        <f>'WB Nurses &amp; Midwives data'!BN192</f>
        <v>1.41</v>
      </c>
      <c r="J192" s="84">
        <f>'WB Nurses &amp; Midwives data'!BO192</f>
        <v>2016</v>
      </c>
      <c r="K192" s="84">
        <f>IFERROR(INDEX('WHO Labs Data'!$C$7:$I$126,MATCH('HCW Summary Data'!$C192,'WHO Labs Data'!$C$7:$C$126,0),7),'WHO Labs Data'!$M$7)</f>
        <v>0.2276050738661016</v>
      </c>
      <c r="M192" s="78">
        <f>INDEX('Tabular Pop Data by Age'!$AN$8:$AN$271,MATCH($B192,'Tabular Pop Data by Age'!$B$8:$B$271,0))</f>
        <v>4315000</v>
      </c>
      <c r="N192" s="79">
        <f t="shared" si="8"/>
        <v>6774.1185000000005</v>
      </c>
      <c r="O192" s="78">
        <f t="shared" si="9"/>
        <v>1984.9</v>
      </c>
      <c r="P192" s="78">
        <f t="shared" si="10"/>
        <v>6084.15</v>
      </c>
      <c r="Q192" s="79">
        <f t="shared" si="11"/>
        <v>982.11589373222841</v>
      </c>
    </row>
    <row r="193" spans="2:17" x14ac:dyDescent="0.25">
      <c r="B193" s="138" t="s">
        <v>607</v>
      </c>
      <c r="C193" s="138" t="s">
        <v>114</v>
      </c>
      <c r="D193" s="138" t="s">
        <v>561</v>
      </c>
      <c r="E193" s="138">
        <f>INDEX('WB Physician Data'!$C$9:$BO$272,MATCH($C193,'WB Physician Data'!$C$9:$C$272,0),MATCH("Latest value",'WB Physician Data'!$C$8:$BO$8,0))</f>
        <v>1.27</v>
      </c>
      <c r="F193" s="138">
        <f>INDEX('WB Physician Data'!$C$9:$BO$272,MATCH($C193,'WB Physician Data'!$C$9:$C$272,0),MATCH("Latest year",'WB Physician Data'!$C$8:$BO$8,0))</f>
        <v>2016</v>
      </c>
      <c r="G193" s="138">
        <f>INDEX('WB CHWs Data'!$C$10:$BP$274,MATCH($C193,'WB CHWs Data'!$C$10:$C$274,0),MATCH("Value",'WB CHWs Data'!$C$10:$BP$10,0))</f>
        <v>0.4</v>
      </c>
      <c r="H193" s="138" t="str">
        <f>'WB CHWs Data'!BO195</f>
        <v>No reported value</v>
      </c>
      <c r="I193" s="84">
        <f>'WB Nurses &amp; Midwives data'!BN193</f>
        <v>1.35</v>
      </c>
      <c r="J193" s="84">
        <f>'WB Nurses &amp; Midwives data'!BO193</f>
        <v>2016</v>
      </c>
      <c r="K193" s="84">
        <f>IFERROR(INDEX('WHO Labs Data'!$C$7:$I$126,MATCH('HCW Summary Data'!$C193,'WHO Labs Data'!$C$7:$C$126,0),7),'WHO Labs Data'!$M$7)</f>
        <v>4.7265869515689896E-2</v>
      </c>
      <c r="M193" s="78">
        <f>INDEX('Tabular Pop Data by Age'!$AN$8:$AN$271,MATCH($B193,'Tabular Pop Data by Age'!$B$8:$B$271,0))</f>
        <v>32972000</v>
      </c>
      <c r="N193" s="79">
        <f t="shared" si="8"/>
        <v>41874.44</v>
      </c>
      <c r="O193" s="78">
        <f t="shared" si="9"/>
        <v>13188.800000000001</v>
      </c>
      <c r="P193" s="78">
        <f t="shared" si="10"/>
        <v>44512.200000000004</v>
      </c>
      <c r="Q193" s="79">
        <f t="shared" si="11"/>
        <v>1558.4502496713271</v>
      </c>
    </row>
    <row r="194" spans="2:17" x14ac:dyDescent="0.25">
      <c r="B194" s="138" t="s">
        <v>253</v>
      </c>
      <c r="C194" s="138" t="s">
        <v>115</v>
      </c>
      <c r="D194" s="138" t="s">
        <v>517</v>
      </c>
      <c r="E194" s="138">
        <f>INDEX('WB Physician Data'!$C$9:$BO$272,MATCH($C194,'WB Physician Data'!$C$9:$C$272,0),MATCH("Latest value",'WB Physician Data'!$C$8:$BO$8,0))</f>
        <v>1.2749999999999999</v>
      </c>
      <c r="F194" s="138">
        <f>INDEX('WB Physician Data'!$C$9:$BO$272,MATCH($C194,'WB Physician Data'!$C$9:$C$272,0),MATCH("Latest year",'WB Physician Data'!$C$8:$BO$8,0))</f>
        <v>2010</v>
      </c>
      <c r="G194" s="138">
        <f>INDEX('WB CHWs Data'!$C$10:$BP$274,MATCH($C194,'WB CHWs Data'!$C$10:$C$274,0),MATCH("Value",'WB CHWs Data'!$C$10:$BP$10,0))</f>
        <v>0.4</v>
      </c>
      <c r="H194" s="138" t="str">
        <f>'WB CHWs Data'!BO196</f>
        <v>No reported value</v>
      </c>
      <c r="I194" s="84">
        <f>'WB Nurses &amp; Midwives data'!BN194</f>
        <v>0.24</v>
      </c>
      <c r="J194" s="84">
        <f>'WB Nurses &amp; Midwives data'!BO194</f>
        <v>2015</v>
      </c>
      <c r="K194" s="84">
        <f>IFERROR(INDEX('WHO Labs Data'!$C$7:$I$126,MATCH('HCW Summary Data'!$C194,'WHO Labs Data'!$C$7:$C$126,0),7),'WHO Labs Data'!$M$7)</f>
        <v>0.2276050738661016</v>
      </c>
      <c r="M194" s="78">
        <f>INDEX('Tabular Pop Data by Age'!$AN$8:$AN$271,MATCH($B194,'Tabular Pop Data by Age'!$B$8:$B$271,0))</f>
        <v>109581000</v>
      </c>
      <c r="N194" s="79">
        <f t="shared" si="8"/>
        <v>139715.77499999999</v>
      </c>
      <c r="O194" s="78">
        <f t="shared" si="9"/>
        <v>43832.4</v>
      </c>
      <c r="P194" s="78">
        <f t="shared" si="10"/>
        <v>26299.439999999999</v>
      </c>
      <c r="Q194" s="79">
        <f t="shared" si="11"/>
        <v>24941.191599321279</v>
      </c>
    </row>
    <row r="195" spans="2:17" x14ac:dyDescent="0.25">
      <c r="B195" s="138" t="s">
        <v>604</v>
      </c>
      <c r="C195" s="138" t="s">
        <v>605</v>
      </c>
      <c r="D195" s="138" t="s">
        <v>517</v>
      </c>
      <c r="E195" s="138">
        <f>INDEX('WB Physician Data'!$C$9:$BO$272,MATCH($C195,'WB Physician Data'!$C$9:$C$272,0),MATCH("Latest value",'WB Physician Data'!$C$8:$BO$8,0))</f>
        <v>1.1848000000000001</v>
      </c>
      <c r="F195" s="138">
        <f>INDEX('WB Physician Data'!$C$9:$BO$272,MATCH($C195,'WB Physician Data'!$C$9:$C$272,0),MATCH("Latest year",'WB Physician Data'!$C$8:$BO$8,0))</f>
        <v>2014</v>
      </c>
      <c r="G195" s="138">
        <f>INDEX('WB CHWs Data'!$C$10:$BP$274,MATCH($C195,'WB CHWs Data'!$C$10:$C$274,0),MATCH("Value",'WB CHWs Data'!$C$10:$BP$10,0))</f>
        <v>0.4</v>
      </c>
      <c r="H195" s="138" t="str">
        <f>'WB CHWs Data'!BO197</f>
        <v>No reported value</v>
      </c>
      <c r="I195" s="84">
        <f>'WB Nurses &amp; Midwives data'!BN195</f>
        <v>5.2606999999999999</v>
      </c>
      <c r="J195" s="84">
        <f>'WB Nurses &amp; Midwives data'!BO195</f>
        <v>2014</v>
      </c>
      <c r="K195" s="84">
        <f>IFERROR(INDEX('WHO Labs Data'!$C$7:$I$126,MATCH('HCW Summary Data'!$C195,'WHO Labs Data'!$C$7:$C$126,0),7),'WHO Labs Data'!$M$7)</f>
        <v>0.72597308315184006</v>
      </c>
      <c r="M195" s="78">
        <f>INDEX('Tabular Pop Data by Age'!$AN$8:$AN$271,MATCH($B195,'Tabular Pop Data by Age'!$B$8:$B$271,0))</f>
        <v>18000</v>
      </c>
      <c r="N195" s="79">
        <f t="shared" si="8"/>
        <v>21.3264</v>
      </c>
      <c r="O195" s="78">
        <f t="shared" si="9"/>
        <v>7.2</v>
      </c>
      <c r="P195" s="78">
        <f t="shared" si="10"/>
        <v>94.692599999999999</v>
      </c>
      <c r="Q195" s="79">
        <f t="shared" si="11"/>
        <v>13.067515496733121</v>
      </c>
    </row>
    <row r="196" spans="2:17" x14ac:dyDescent="0.25">
      <c r="B196" s="138" t="s">
        <v>252</v>
      </c>
      <c r="C196" s="138" t="s">
        <v>116</v>
      </c>
      <c r="D196" s="138" t="s">
        <v>664</v>
      </c>
      <c r="E196" s="138">
        <f>INDEX('WB Physician Data'!$C$9:$BO$272,MATCH($C196,'WB Physician Data'!$C$9:$C$272,0),MATCH("Latest value",'WB Physician Data'!$C$8:$BO$8,0))</f>
        <v>5.2900000000000003E-2</v>
      </c>
      <c r="F196" s="138">
        <f>INDEX('WB Physician Data'!$C$9:$BO$272,MATCH($C196,'WB Physician Data'!$C$9:$C$272,0),MATCH("Latest year",'WB Physician Data'!$C$8:$BO$8,0))</f>
        <v>2010</v>
      </c>
      <c r="G196" s="138">
        <f>INDEX('WB CHWs Data'!$C$10:$BP$274,MATCH($C196,'WB CHWs Data'!$C$10:$C$274,0),MATCH("Value",'WB CHWs Data'!$C$10:$BP$10,0))</f>
        <v>0.59399999999999997</v>
      </c>
      <c r="H196" s="138">
        <f>'WB CHWs Data'!BO198</f>
        <v>2008</v>
      </c>
      <c r="I196" s="84">
        <f>'WB Nurses &amp; Midwives data'!BN196</f>
        <v>0.51249999999999996</v>
      </c>
      <c r="J196" s="84">
        <f>'WB Nurses &amp; Midwives data'!BO196</f>
        <v>2010</v>
      </c>
      <c r="K196" s="84">
        <f>IFERROR(INDEX('WHO Labs Data'!$C$7:$I$126,MATCH('HCW Summary Data'!$C196,'WHO Labs Data'!$C$7:$C$126,0),7),'WHO Labs Data'!$M$7)</f>
        <v>0.2276050738661016</v>
      </c>
      <c r="M196" s="78">
        <f>INDEX('Tabular Pop Data by Age'!$AN$8:$AN$271,MATCH($B196,'Tabular Pop Data by Age'!$B$8:$B$271,0))</f>
        <v>8947000</v>
      </c>
      <c r="N196" s="79">
        <f t="shared" si="8"/>
        <v>473.29630000000003</v>
      </c>
      <c r="O196" s="78">
        <f t="shared" si="9"/>
        <v>5314.518</v>
      </c>
      <c r="P196" s="78">
        <f t="shared" si="10"/>
        <v>4585.3374999999996</v>
      </c>
      <c r="Q196" s="79">
        <f t="shared" si="11"/>
        <v>2036.382595880011</v>
      </c>
    </row>
    <row r="197" spans="2:17" x14ac:dyDescent="0.25">
      <c r="B197" s="138" t="s">
        <v>608</v>
      </c>
      <c r="C197" s="138" t="s">
        <v>117</v>
      </c>
      <c r="D197" s="138" t="s">
        <v>517</v>
      </c>
      <c r="E197" s="138">
        <f>INDEX('WB Physician Data'!$C$9:$BO$272,MATCH($C197,'WB Physician Data'!$C$9:$C$272,0),MATCH("Latest value",'WB Physician Data'!$C$8:$BO$8,0))</f>
        <v>2.3997999999999999</v>
      </c>
      <c r="F197" s="138">
        <f>INDEX('WB Physician Data'!$C$9:$BO$272,MATCH($C197,'WB Physician Data'!$C$9:$C$272,0),MATCH("Latest year",'WB Physician Data'!$C$8:$BO$8,0))</f>
        <v>2016</v>
      </c>
      <c r="G197" s="138">
        <f>INDEX('WB CHWs Data'!$C$10:$BP$274,MATCH($C197,'WB CHWs Data'!$C$10:$C$274,0),MATCH("Value",'WB CHWs Data'!$C$10:$BP$10,0))</f>
        <v>0.4</v>
      </c>
      <c r="H197" s="138" t="str">
        <f>'WB CHWs Data'!BO199</f>
        <v>No reported value</v>
      </c>
      <c r="I197" s="84">
        <f>'WB Nurses &amp; Midwives data'!BN197</f>
        <v>5.7221000000000002</v>
      </c>
      <c r="J197" s="84">
        <f>'WB Nurses &amp; Midwives data'!BO197</f>
        <v>2016</v>
      </c>
      <c r="K197" s="84">
        <f>IFERROR(INDEX('WHO Labs Data'!$C$7:$I$126,MATCH('HCW Summary Data'!$C197,'WHO Labs Data'!$C$7:$C$126,0),7),'WHO Labs Data'!$M$7)</f>
        <v>0.2276050738661016</v>
      </c>
      <c r="M197" s="78">
        <f>INDEX('Tabular Pop Data by Age'!$AN$8:$AN$271,MATCH($B197,'Tabular Pop Data by Age'!$B$8:$B$271,0))</f>
        <v>37806000</v>
      </c>
      <c r="N197" s="79">
        <f t="shared" si="8"/>
        <v>90726.838799999998</v>
      </c>
      <c r="O197" s="78">
        <f t="shared" si="9"/>
        <v>15122.400000000001</v>
      </c>
      <c r="P197" s="78">
        <f t="shared" si="10"/>
        <v>216329.7126</v>
      </c>
      <c r="Q197" s="79">
        <f t="shared" si="11"/>
        <v>8604.837422581837</v>
      </c>
    </row>
    <row r="198" spans="2:17" x14ac:dyDescent="0.25">
      <c r="B198" s="138" t="s">
        <v>612</v>
      </c>
      <c r="C198" s="138" t="s">
        <v>613</v>
      </c>
      <c r="D198" s="138" t="s">
        <v>1182</v>
      </c>
      <c r="E198" s="138">
        <f>INDEX('WB Physician Data'!$C$9:$BO$272,MATCH($C198,'WB Physician Data'!$C$9:$C$272,0),MATCH("Latest value",'WB Physician Data'!$C$8:$BO$8,0))</f>
        <v>0.21840284487090372</v>
      </c>
      <c r="F198" s="138">
        <f>INDEX('WB Physician Data'!$C$9:$BO$272,MATCH($C198,'WB Physician Data'!$C$9:$C$272,0),MATCH("Latest year",'WB Physician Data'!$C$8:$BO$8,0))</f>
        <v>2015</v>
      </c>
      <c r="G198" s="138">
        <f>INDEX('WB CHWs Data'!$C$10:$BP$274,MATCH($C198,'WB CHWs Data'!$C$10:$C$274,0),MATCH("Value",'WB CHWs Data'!$C$10:$BP$10,0))</f>
        <v>0.4</v>
      </c>
      <c r="H198" s="138" t="str">
        <f>'WB CHWs Data'!BO200</f>
        <v>No reported value</v>
      </c>
      <c r="I198" s="84">
        <f>'WB Nurses &amp; Midwives data'!BN198</f>
        <v>0.86118598428335402</v>
      </c>
      <c r="J198" s="84">
        <f>'WB Nurses &amp; Midwives data'!BO198</f>
        <v>2015</v>
      </c>
      <c r="K198" s="84">
        <f>IFERROR(INDEX('WHO Labs Data'!$C$7:$I$126,MATCH('HCW Summary Data'!$C198,'WHO Labs Data'!$C$7:$C$126,0),7),'WHO Labs Data'!$M$7)</f>
        <v>0.2276050738661016</v>
      </c>
      <c r="M198" s="78">
        <f>INDEX('Tabular Pop Data by Age'!$AN$8:$AN$271,MATCH($B198,'Tabular Pop Data by Age'!$B$8:$B$271,0))</f>
        <v>970795000</v>
      </c>
      <c r="N198" s="79">
        <f t="shared" si="8"/>
        <v>212024.38978644897</v>
      </c>
      <c r="O198" s="78">
        <f t="shared" si="9"/>
        <v>388318</v>
      </c>
      <c r="P198" s="78">
        <f t="shared" si="10"/>
        <v>836035.0476123587</v>
      </c>
      <c r="Q198" s="79">
        <f t="shared" si="11"/>
        <v>220957.86768384211</v>
      </c>
    </row>
    <row r="199" spans="2:17" x14ac:dyDescent="0.25">
      <c r="B199" s="138" t="s">
        <v>614</v>
      </c>
      <c r="C199" s="138" t="s">
        <v>615</v>
      </c>
      <c r="D199" s="138" t="s">
        <v>517</v>
      </c>
      <c r="E199" s="138">
        <f>INDEX('WB Physician Data'!$C$9:$BO$272,MATCH($C199,'WB Physician Data'!$C$9:$C$272,0),MATCH("Latest value",'WB Physician Data'!$C$8:$BO$8,0))</f>
        <v>1.75</v>
      </c>
      <c r="F199" s="138">
        <f>INDEX('WB Physician Data'!$C$9:$BO$272,MATCH($C199,'WB Physician Data'!$C$9:$C$272,0),MATCH("Latest year",'WB Physician Data'!$C$8:$BO$8,0))</f>
        <v>1995</v>
      </c>
      <c r="G199" s="138">
        <f>INDEX('WB CHWs Data'!$C$10:$BP$274,MATCH($C199,'WB CHWs Data'!$C$10:$C$274,0),MATCH("Value",'WB CHWs Data'!$C$10:$BP$10,0))</f>
        <v>0.4</v>
      </c>
      <c r="H199" s="138" t="str">
        <f>'WB CHWs Data'!BO201</f>
        <v>No reported value</v>
      </c>
      <c r="I199" s="84" t="str">
        <f>'WB Nurses &amp; Midwives data'!BN199</f>
        <v>No reported value</v>
      </c>
      <c r="J199" s="84" t="str">
        <f>'WB Nurses &amp; Midwives data'!BO199</f>
        <v>No reported value</v>
      </c>
      <c r="K199" s="84">
        <f>IFERROR(INDEX('WHO Labs Data'!$C$7:$I$126,MATCH('HCW Summary Data'!$C199,'WHO Labs Data'!$C$7:$C$126,0),7),'WHO Labs Data'!$M$7)</f>
        <v>0.2276050738661016</v>
      </c>
      <c r="M199" s="78">
        <f>INDEX('Tabular Pop Data by Age'!$AN$8:$AN$271,MATCH($B199,'Tabular Pop Data by Age'!$B$8:$B$271,0))</f>
        <v>3184000</v>
      </c>
      <c r="N199" s="79">
        <f t="shared" si="8"/>
        <v>5572</v>
      </c>
      <c r="O199" s="78">
        <f t="shared" si="9"/>
        <v>1273.6000000000001</v>
      </c>
      <c r="P199" s="78">
        <f t="shared" si="10"/>
        <v>0</v>
      </c>
      <c r="Q199" s="79">
        <f t="shared" si="11"/>
        <v>724.69455518966754</v>
      </c>
    </row>
    <row r="200" spans="2:17" x14ac:dyDescent="0.25">
      <c r="B200" s="138" t="s">
        <v>535</v>
      </c>
      <c r="C200" s="138" t="s">
        <v>158</v>
      </c>
      <c r="D200" s="138" t="s">
        <v>517</v>
      </c>
      <c r="E200" s="138">
        <f>INDEX('WB Physician Data'!$C$9:$BO$272,MATCH($C200,'WB Physician Data'!$C$9:$C$272,0),MATCH("Latest value",'WB Physician Data'!$C$8:$BO$8,0))</f>
        <v>3.6745000000000001</v>
      </c>
      <c r="F200" s="138">
        <f>INDEX('WB Physician Data'!$C$9:$BO$272,MATCH($C200,'WB Physician Data'!$C$9:$C$272,0),MATCH("Latest year",'WB Physician Data'!$C$8:$BO$8,0))</f>
        <v>2017</v>
      </c>
      <c r="G200" s="138">
        <f>INDEX('WB CHWs Data'!$C$10:$BP$274,MATCH($C200,'WB CHWs Data'!$C$10:$C$274,0),MATCH("Value",'WB CHWs Data'!$C$10:$BP$10,0))</f>
        <v>0.4</v>
      </c>
      <c r="H200" s="138" t="str">
        <f>'WB CHWs Data'!BO202</f>
        <v>No reported value</v>
      </c>
      <c r="I200" s="84">
        <f>'WB Nurses &amp; Midwives data'!BN200</f>
        <v>4.4382000000000001</v>
      </c>
      <c r="J200" s="84">
        <f>'WB Nurses &amp; Midwives data'!BO200</f>
        <v>2017</v>
      </c>
      <c r="K200" s="84">
        <f>IFERROR(INDEX('WHO Labs Data'!$C$7:$I$126,MATCH('HCW Summary Data'!$C200,'WHO Labs Data'!$C$7:$C$126,0),7),'WHO Labs Data'!$M$7)</f>
        <v>0.2276050738661016</v>
      </c>
      <c r="M200" s="78">
        <f>INDEX('Tabular Pop Data by Age'!$AN$8:$AN$271,MATCH($B200,'Tabular Pop Data by Age'!$B$8:$B$271,0))</f>
        <v>25779000</v>
      </c>
      <c r="N200" s="79">
        <f t="shared" si="8"/>
        <v>94724.935500000007</v>
      </c>
      <c r="O200" s="78">
        <f t="shared" si="9"/>
        <v>10311.6</v>
      </c>
      <c r="P200" s="78">
        <f t="shared" si="10"/>
        <v>114412.3578</v>
      </c>
      <c r="Q200" s="79">
        <f t="shared" si="11"/>
        <v>5867.4311991942332</v>
      </c>
    </row>
    <row r="201" spans="2:17" x14ac:dyDescent="0.25">
      <c r="B201" s="138" t="s">
        <v>609</v>
      </c>
      <c r="C201" s="138" t="s">
        <v>118</v>
      </c>
      <c r="D201" s="138" t="s">
        <v>517</v>
      </c>
      <c r="E201" s="138">
        <f>INDEX('WB Physician Data'!$C$9:$BO$272,MATCH($C201,'WB Physician Data'!$C$9:$C$272,0),MATCH("Latest value",'WB Physician Data'!$C$8:$BO$8,0))</f>
        <v>3.3355999999999999</v>
      </c>
      <c r="F201" s="138">
        <f>INDEX('WB Physician Data'!$C$9:$BO$272,MATCH($C201,'WB Physician Data'!$C$9:$C$272,0),MATCH("Latest year",'WB Physician Data'!$C$8:$BO$8,0))</f>
        <v>2016</v>
      </c>
      <c r="G201" s="138">
        <f>INDEX('WB CHWs Data'!$C$10:$BP$274,MATCH($C201,'WB CHWs Data'!$C$10:$C$274,0),MATCH("Value",'WB CHWs Data'!$C$10:$BP$10,0))</f>
        <v>0.4</v>
      </c>
      <c r="H201" s="138" t="str">
        <f>'WB CHWs Data'!BO203</f>
        <v>No reported value</v>
      </c>
      <c r="I201" s="84">
        <f>'WB Nurses &amp; Midwives data'!BN201</f>
        <v>6.3724999999999996</v>
      </c>
      <c r="J201" s="84">
        <f>'WB Nurses &amp; Midwives data'!BO201</f>
        <v>2016</v>
      </c>
      <c r="K201" s="84">
        <f>IFERROR(INDEX('WHO Labs Data'!$C$7:$I$126,MATCH('HCW Summary Data'!$C201,'WHO Labs Data'!$C$7:$C$126,0),7),'WHO Labs Data'!$M$7)</f>
        <v>0.2276050738661016</v>
      </c>
      <c r="M201" s="78">
        <f>INDEX('Tabular Pop Data by Age'!$AN$8:$AN$271,MATCH($B201,'Tabular Pop Data by Age'!$B$8:$B$271,0))</f>
        <v>10195000</v>
      </c>
      <c r="N201" s="79">
        <f t="shared" ref="N201:N264" si="12">IFERROR($M201/1000*$E201,0)</f>
        <v>34006.441999999995</v>
      </c>
      <c r="O201" s="78">
        <f t="shared" ref="O201:O264" si="13">IFERROR($M201/1000*$G201,0)</f>
        <v>4078</v>
      </c>
      <c r="P201" s="78">
        <f t="shared" ref="P201:P264" si="14">IFERROR($M201/1000*$I201,0)</f>
        <v>64967.637499999997</v>
      </c>
      <c r="Q201" s="79">
        <f t="shared" ref="Q201:Q264" si="15">$M201/1000*$K201</f>
        <v>2320.4337280649056</v>
      </c>
    </row>
    <row r="202" spans="2:17" x14ac:dyDescent="0.25">
      <c r="B202" s="138" t="s">
        <v>228</v>
      </c>
      <c r="C202" s="138" t="s">
        <v>119</v>
      </c>
      <c r="D202" s="138" t="s">
        <v>664</v>
      </c>
      <c r="E202" s="138">
        <f>INDEX('WB Physician Data'!$C$9:$BO$272,MATCH($C202,'WB Physician Data'!$C$9:$C$272,0),MATCH("Latest value",'WB Physician Data'!$C$8:$BO$8,0))</f>
        <v>1.3660000000000001</v>
      </c>
      <c r="F202" s="138">
        <f>INDEX('WB Physician Data'!$C$9:$BO$272,MATCH($C202,'WB Physician Data'!$C$9:$C$272,0),MATCH("Latest year",'WB Physician Data'!$C$8:$BO$8,0))</f>
        <v>2018</v>
      </c>
      <c r="G202" s="138">
        <f>INDEX('WB CHWs Data'!$C$10:$BP$274,MATCH($C202,'WB CHWs Data'!$C$10:$C$274,0),MATCH("Value",'WB CHWs Data'!$C$10:$BP$10,0))</f>
        <v>0.4</v>
      </c>
      <c r="H202" s="138" t="str">
        <f>'WB CHWs Data'!BO204</f>
        <v>No reported value</v>
      </c>
      <c r="I202" s="84">
        <f>'WB Nurses &amp; Midwives data'!BN202</f>
        <v>1.1669</v>
      </c>
      <c r="J202" s="84">
        <f>'WB Nurses &amp; Midwives data'!BO202</f>
        <v>2018</v>
      </c>
      <c r="K202" s="84">
        <f>IFERROR(INDEX('WHO Labs Data'!$C$7:$I$126,MATCH('HCW Summary Data'!$C202,'WHO Labs Data'!$C$7:$C$126,0),7),'WHO Labs Data'!$M$7)</f>
        <v>0.20054424401361057</v>
      </c>
      <c r="M202" s="78">
        <f>INDEX('Tabular Pop Data by Age'!$AN$8:$AN$271,MATCH($B202,'Tabular Pop Data by Age'!$B$8:$B$271,0))</f>
        <v>7133000</v>
      </c>
      <c r="N202" s="79">
        <f t="shared" si="12"/>
        <v>9743.6779999999999</v>
      </c>
      <c r="O202" s="78">
        <f t="shared" si="13"/>
        <v>2853.2000000000003</v>
      </c>
      <c r="P202" s="78">
        <f t="shared" si="14"/>
        <v>8323.4976999999999</v>
      </c>
      <c r="Q202" s="79">
        <f t="shared" si="15"/>
        <v>1430.4820925490842</v>
      </c>
    </row>
    <row r="203" spans="2:17" x14ac:dyDescent="0.25">
      <c r="B203" s="138" t="s">
        <v>674</v>
      </c>
      <c r="C203" s="138" t="s">
        <v>675</v>
      </c>
      <c r="D203" s="138" t="s">
        <v>559</v>
      </c>
      <c r="E203" s="138">
        <f>INDEX('WB Physician Data'!$C$9:$BO$272,MATCH($C203,'WB Physician Data'!$C$9:$C$272,0),MATCH("Latest value",'WB Physician Data'!$C$8:$BO$8,0))</f>
        <v>0.83699999999999997</v>
      </c>
      <c r="F203" s="138">
        <f>INDEX('WB Physician Data'!$C$9:$BO$272,MATCH($C203,'WB Physician Data'!$C$9:$C$272,0),MATCH("Latest year",'WB Physician Data'!$C$8:$BO$8,0))</f>
        <v>2001</v>
      </c>
      <c r="G203" s="138">
        <f>INDEX('WB CHWs Data'!$C$10:$BP$274,MATCH($C203,'WB CHWs Data'!$C$10:$C$274,0),MATCH("Value",'WB CHWs Data'!$C$10:$BP$10,0))</f>
        <v>0.4</v>
      </c>
      <c r="H203" s="138" t="str">
        <f>'WB CHWs Data'!BO205</f>
        <v>No reported value</v>
      </c>
      <c r="I203" s="84" t="str">
        <f>'WB Nurses &amp; Midwives data'!BN203</f>
        <v>No reported value</v>
      </c>
      <c r="J203" s="84" t="str">
        <f>'WB Nurses &amp; Midwives data'!BO203</f>
        <v>No reported value</v>
      </c>
      <c r="K203" s="84">
        <f>IFERROR(INDEX('WHO Labs Data'!$C$7:$I$126,MATCH('HCW Summary Data'!$C203,'WHO Labs Data'!$C$7:$C$126,0),7),'WHO Labs Data'!$M$7)</f>
        <v>0.2276050738661016</v>
      </c>
      <c r="M203" s="78">
        <f>INDEX('Tabular Pop Data by Age'!$AN$8:$AN$271,MATCH($B203,'Tabular Pop Data by Age'!$B$8:$B$271,0))</f>
        <v>4813000</v>
      </c>
      <c r="N203" s="79">
        <f t="shared" si="12"/>
        <v>4028.4809999999998</v>
      </c>
      <c r="O203" s="78">
        <f t="shared" si="13"/>
        <v>1925.2</v>
      </c>
      <c r="P203" s="78">
        <f t="shared" si="14"/>
        <v>0</v>
      </c>
      <c r="Q203" s="79">
        <f t="shared" si="15"/>
        <v>1095.4632205175469</v>
      </c>
    </row>
    <row r="204" spans="2:17" x14ac:dyDescent="0.25">
      <c r="B204" s="138" t="s">
        <v>602</v>
      </c>
      <c r="C204" s="138" t="s">
        <v>603</v>
      </c>
      <c r="D204" s="138" t="s">
        <v>1182</v>
      </c>
      <c r="E204" s="138">
        <f>INDEX('WB Physician Data'!$C$9:$BO$272,MATCH($C204,'WB Physician Data'!$C$9:$C$272,0),MATCH("Latest value",'WB Physician Data'!$C$8:$BO$8,0))</f>
        <v>0.47855072594996245</v>
      </c>
      <c r="F204" s="138">
        <f>INDEX('WB Physician Data'!$C$9:$BO$272,MATCH($C204,'WB Physician Data'!$C$9:$C$272,0),MATCH("Latest year",'WB Physician Data'!$C$8:$BO$8,0))</f>
        <v>2015</v>
      </c>
      <c r="G204" s="138">
        <f>INDEX('WB CHWs Data'!$C$10:$BP$274,MATCH($C204,'WB CHWs Data'!$C$10:$C$274,0),MATCH("Value",'WB CHWs Data'!$C$10:$BP$10,0))</f>
        <v>0.4</v>
      </c>
      <c r="H204" s="138" t="str">
        <f>'WB CHWs Data'!BO206</f>
        <v>No reported value</v>
      </c>
      <c r="I204" s="84">
        <f>'WB Nurses &amp; Midwives data'!BN204</f>
        <v>2.6663553305383778</v>
      </c>
      <c r="J204" s="84">
        <f>'WB Nurses &amp; Midwives data'!BO204</f>
        <v>2015</v>
      </c>
      <c r="K204" s="84">
        <f>IFERROR(INDEX('WHO Labs Data'!$C$7:$I$126,MATCH('HCW Summary Data'!$C204,'WHO Labs Data'!$C$7:$C$126,0),7),'WHO Labs Data'!$M$7)</f>
        <v>0.2276050738661016</v>
      </c>
      <c r="M204" s="78">
        <f>INDEX('Tabular Pop Data by Age'!$AN$8:$AN$271,MATCH($B204,'Tabular Pop Data by Age'!$B$8:$B$271,0))</f>
        <v>2530000</v>
      </c>
      <c r="N204" s="79">
        <f t="shared" si="12"/>
        <v>1210.7333366534051</v>
      </c>
      <c r="O204" s="78">
        <f t="shared" si="13"/>
        <v>1012</v>
      </c>
      <c r="P204" s="78">
        <f t="shared" si="14"/>
        <v>6745.8789862620961</v>
      </c>
      <c r="Q204" s="79">
        <f t="shared" si="15"/>
        <v>575.84083688123701</v>
      </c>
    </row>
    <row r="205" spans="2:17" x14ac:dyDescent="0.25">
      <c r="B205" s="138" t="s">
        <v>610</v>
      </c>
      <c r="C205" s="138" t="s">
        <v>611</v>
      </c>
      <c r="D205" s="138" t="s">
        <v>1182</v>
      </c>
      <c r="E205" s="138">
        <f>INDEX('WB Physician Data'!$C$9:$BO$272,MATCH($C205,'WB Physician Data'!$C$9:$C$272,0),MATCH("Latest value",'WB Physician Data'!$C$8:$BO$8,0))</f>
        <v>3.1621791156419099</v>
      </c>
      <c r="F205" s="138">
        <f>INDEX('WB Physician Data'!$C$9:$BO$272,MATCH($C205,'WB Physician Data'!$C$9:$C$272,0),MATCH("Latest year",'WB Physician Data'!$C$8:$BO$8,0))</f>
        <v>2015</v>
      </c>
      <c r="G205" s="138">
        <f>INDEX('WB CHWs Data'!$C$10:$BP$274,MATCH($C205,'WB CHWs Data'!$C$10:$C$274,0),MATCH("Value",'WB CHWs Data'!$C$10:$BP$10,0))</f>
        <v>0.4</v>
      </c>
      <c r="H205" s="138" t="str">
        <f>'WB CHWs Data'!BO207</f>
        <v>No reported value</v>
      </c>
      <c r="I205" s="84">
        <f>'WB Nurses &amp; Midwives data'!BN205</f>
        <v>9.1628473489550117</v>
      </c>
      <c r="J205" s="84">
        <f>'WB Nurses &amp; Midwives data'!BO205</f>
        <v>2015</v>
      </c>
      <c r="K205" s="84">
        <f>IFERROR(INDEX('WHO Labs Data'!$C$7:$I$126,MATCH('HCW Summary Data'!$C205,'WHO Labs Data'!$C$7:$C$126,0),7),'WHO Labs Data'!$M$7)</f>
        <v>0.2276050738661016</v>
      </c>
      <c r="M205" s="78">
        <f>INDEX('Tabular Pop Data by Age'!$AN$8:$AN$271,MATCH($B205,'Tabular Pop Data by Age'!$B$8:$B$271,0))</f>
        <v>1116268000</v>
      </c>
      <c r="N205" s="79">
        <f t="shared" si="12"/>
        <v>3529839.3570593633</v>
      </c>
      <c r="O205" s="78">
        <f t="shared" si="13"/>
        <v>446507.2</v>
      </c>
      <c r="P205" s="78">
        <f t="shared" si="14"/>
        <v>10228193.284523314</v>
      </c>
      <c r="Q205" s="79">
        <f t="shared" si="15"/>
        <v>254068.26059436551</v>
      </c>
    </row>
    <row r="206" spans="2:17" x14ac:dyDescent="0.25">
      <c r="B206" s="138" t="s">
        <v>503</v>
      </c>
      <c r="C206" s="138" t="s">
        <v>504</v>
      </c>
      <c r="D206" s="138" t="s">
        <v>664</v>
      </c>
      <c r="E206" s="138">
        <f>INDEX('WB Physician Data'!$C$9:$BO$272,MATCH($C206,'WB Physician Data'!$C$9:$C$272,0),MATCH("Latest value",'WB Physician Data'!$C$8:$BO$8,0))</f>
        <v>1.6970000000000001</v>
      </c>
      <c r="F206" s="138">
        <f>INDEX('WB Physician Data'!$C$9:$BO$272,MATCH($C206,'WB Physician Data'!$C$9:$C$272,0),MATCH("Latest year",'WB Physician Data'!$C$8:$BO$8,0))</f>
        <v>2000</v>
      </c>
      <c r="G206" s="138">
        <f>INDEX('WB CHWs Data'!$C$10:$BP$274,MATCH($C206,'WB CHWs Data'!$C$10:$C$274,0),MATCH("Value",'WB CHWs Data'!$C$10:$BP$10,0))</f>
        <v>0.4</v>
      </c>
      <c r="H206" s="138" t="str">
        <f>'WB CHWs Data'!BO208</f>
        <v>No reported value</v>
      </c>
      <c r="I206" s="84" t="str">
        <f>'WB Nurses &amp; Midwives data'!BN206</f>
        <v>No reported value</v>
      </c>
      <c r="J206" s="84" t="str">
        <f>'WB Nurses &amp; Midwives data'!BO206</f>
        <v>No reported value</v>
      </c>
      <c r="K206" s="84">
        <f>IFERROR(INDEX('WHO Labs Data'!$C$7:$I$126,MATCH('HCW Summary Data'!$C206,'WHO Labs Data'!$C$7:$C$126,0),7),'WHO Labs Data'!$M$7)</f>
        <v>0.2276050738661016</v>
      </c>
      <c r="M206" s="78">
        <f>INDEX('Tabular Pop Data by Age'!$AN$8:$AN$271,MATCH($B206,'Tabular Pop Data by Age'!$B$8:$B$271,0))</f>
        <v>281000</v>
      </c>
      <c r="N206" s="79">
        <f t="shared" si="12"/>
        <v>476.85700000000003</v>
      </c>
      <c r="O206" s="78">
        <f t="shared" si="13"/>
        <v>112.4</v>
      </c>
      <c r="P206" s="78">
        <f t="shared" si="14"/>
        <v>0</v>
      </c>
      <c r="Q206" s="79">
        <f t="shared" si="15"/>
        <v>63.957025756374549</v>
      </c>
    </row>
    <row r="207" spans="2:17" x14ac:dyDescent="0.25">
      <c r="B207" s="138" t="s">
        <v>616</v>
      </c>
      <c r="C207" s="138" t="s">
        <v>120</v>
      </c>
      <c r="D207" s="138" t="s">
        <v>664</v>
      </c>
      <c r="E207" s="138">
        <f>INDEX('WB Physician Data'!$C$9:$BO$272,MATCH($C207,'WB Physician Data'!$C$9:$C$272,0),MATCH("Latest value",'WB Physician Data'!$C$8:$BO$8,0))</f>
        <v>8.0000000000000004E-4</v>
      </c>
      <c r="F207" s="138">
        <f>INDEX('WB Physician Data'!$C$9:$BO$272,MATCH($C207,'WB Physician Data'!$C$9:$C$272,0),MATCH("Latest year",'WB Physician Data'!$C$8:$BO$8,0))</f>
        <v>2017</v>
      </c>
      <c r="G207" s="138">
        <f>INDEX('WB CHWs Data'!$C$10:$BP$274,MATCH($C207,'WB CHWs Data'!$C$10:$C$274,0),MATCH("Value",'WB CHWs Data'!$C$10:$BP$10,0))</f>
        <v>0.4</v>
      </c>
      <c r="H207" s="138" t="str">
        <f>'WB CHWs Data'!BO209</f>
        <v>No reported value</v>
      </c>
      <c r="I207" s="84">
        <f>'WB Nurses &amp; Midwives data'!BN207</f>
        <v>6.6028000000000002</v>
      </c>
      <c r="J207" s="84">
        <f>'WB Nurses &amp; Midwives data'!BO207</f>
        <v>2016</v>
      </c>
      <c r="K207" s="84">
        <f>IFERROR(INDEX('WHO Labs Data'!$C$7:$I$126,MATCH('HCW Summary Data'!$C207,'WHO Labs Data'!$C$7:$C$126,0),7),'WHO Labs Data'!$M$7)</f>
        <v>0.18118566605684266</v>
      </c>
      <c r="M207" s="78">
        <f>INDEX('Tabular Pop Data by Age'!$AN$8:$AN$271,MATCH($B207,'Tabular Pop Data by Age'!$B$8:$B$271,0))</f>
        <v>2881000</v>
      </c>
      <c r="N207" s="79">
        <f t="shared" si="12"/>
        <v>2.3048000000000002</v>
      </c>
      <c r="O207" s="78">
        <f t="shared" si="13"/>
        <v>1152.4000000000001</v>
      </c>
      <c r="P207" s="78">
        <f t="shared" si="14"/>
        <v>19022.666799999999</v>
      </c>
      <c r="Q207" s="79">
        <f t="shared" si="15"/>
        <v>521.99590390976368</v>
      </c>
    </row>
    <row r="208" spans="2:17" x14ac:dyDescent="0.25">
      <c r="B208" s="138" t="s">
        <v>617</v>
      </c>
      <c r="C208" s="138" t="s">
        <v>121</v>
      </c>
      <c r="D208" s="138" t="s">
        <v>664</v>
      </c>
      <c r="E208" s="138">
        <f>INDEX('WB Physician Data'!$C$9:$BO$272,MATCH($C208,'WB Physician Data'!$C$9:$C$272,0),MATCH("Latest value",'WB Physician Data'!$C$8:$BO$8,0))</f>
        <v>2.2585999999999999</v>
      </c>
      <c r="F208" s="138">
        <f>INDEX('WB Physician Data'!$C$9:$BO$272,MATCH($C208,'WB Physician Data'!$C$9:$C$272,0),MATCH("Latest year",'WB Physician Data'!$C$8:$BO$8,0))</f>
        <v>2016</v>
      </c>
      <c r="G208" s="138">
        <f>INDEX('WB CHWs Data'!$C$10:$BP$274,MATCH($C208,'WB CHWs Data'!$C$10:$C$274,0),MATCH("Value",'WB CHWs Data'!$C$10:$BP$10,0))</f>
        <v>0.4</v>
      </c>
      <c r="H208" s="138" t="str">
        <f>'WB CHWs Data'!BO210</f>
        <v>No reported value</v>
      </c>
      <c r="I208" s="84">
        <f>'WB Nurses &amp; Midwives data'!BN208</f>
        <v>6.0979000000000001</v>
      </c>
      <c r="J208" s="84">
        <f>'WB Nurses &amp; Midwives data'!BO208</f>
        <v>2016</v>
      </c>
      <c r="K208" s="84">
        <f>IFERROR(INDEX('WHO Labs Data'!$C$7:$I$126,MATCH('HCW Summary Data'!$C208,'WHO Labs Data'!$C$7:$C$126,0),7),'WHO Labs Data'!$M$7)</f>
        <v>2.362131620438724E-2</v>
      </c>
      <c r="M208" s="78">
        <f>INDEX('Tabular Pop Data by Age'!$AN$8:$AN$271,MATCH($B208,'Tabular Pop Data by Age'!$B$8:$B$271,0))</f>
        <v>19247000</v>
      </c>
      <c r="N208" s="79">
        <f t="shared" si="12"/>
        <v>43471.2742</v>
      </c>
      <c r="O208" s="78">
        <f t="shared" si="13"/>
        <v>7698.8</v>
      </c>
      <c r="P208" s="78">
        <f t="shared" si="14"/>
        <v>117366.2813</v>
      </c>
      <c r="Q208" s="79">
        <f t="shared" si="15"/>
        <v>454.63947298584122</v>
      </c>
    </row>
    <row r="209" spans="2:17" x14ac:dyDescent="0.25">
      <c r="B209" s="138" t="s">
        <v>618</v>
      </c>
      <c r="C209" s="138" t="s">
        <v>122</v>
      </c>
      <c r="D209" s="138" t="s">
        <v>559</v>
      </c>
      <c r="E209" s="138">
        <f>INDEX('WB Physician Data'!$C$9:$BO$272,MATCH($C209,'WB Physician Data'!$C$9:$C$272,0),MATCH("Latest value",'WB Physician Data'!$C$8:$BO$8,0))</f>
        <v>4.0138999999999996</v>
      </c>
      <c r="F209" s="138">
        <f>INDEX('WB Physician Data'!$C$9:$BO$272,MATCH($C209,'WB Physician Data'!$C$9:$C$272,0),MATCH("Latest year",'WB Physician Data'!$C$8:$BO$8,0))</f>
        <v>2016</v>
      </c>
      <c r="G209" s="138">
        <f>INDEX('WB CHWs Data'!$C$10:$BP$274,MATCH($C209,'WB CHWs Data'!$C$10:$C$274,0),MATCH("Value",'WB CHWs Data'!$C$10:$BP$10,0))</f>
        <v>0.4</v>
      </c>
      <c r="H209" s="138" t="str">
        <f>'WB CHWs Data'!BO211</f>
        <v>No reported value</v>
      </c>
      <c r="I209" s="84">
        <f>'WB Nurses &amp; Midwives data'!BN209</f>
        <v>8.6212</v>
      </c>
      <c r="J209" s="84">
        <f>'WB Nurses &amp; Midwives data'!BO209</f>
        <v>2016</v>
      </c>
      <c r="K209" s="84">
        <f>IFERROR(INDEX('WHO Labs Data'!$C$7:$I$126,MATCH('HCW Summary Data'!$C209,'WHO Labs Data'!$C$7:$C$126,0),7),'WHO Labs Data'!$M$7)</f>
        <v>0.2276050738661016</v>
      </c>
      <c r="M209" s="78">
        <f>INDEX('Tabular Pop Data by Age'!$AN$8:$AN$271,MATCH($B209,'Tabular Pop Data by Age'!$B$8:$B$271,0))</f>
        <v>144222000</v>
      </c>
      <c r="N209" s="79">
        <f t="shared" si="12"/>
        <v>578892.68579999998</v>
      </c>
      <c r="O209" s="78">
        <f t="shared" si="13"/>
        <v>57688.800000000003</v>
      </c>
      <c r="P209" s="78">
        <f t="shared" si="14"/>
        <v>1243366.7064</v>
      </c>
      <c r="Q209" s="79">
        <f t="shared" si="15"/>
        <v>32825.658963116904</v>
      </c>
    </row>
    <row r="210" spans="2:17" x14ac:dyDescent="0.25">
      <c r="B210" s="138" t="s">
        <v>210</v>
      </c>
      <c r="C210" s="138" t="s">
        <v>123</v>
      </c>
      <c r="D210" s="138" t="s">
        <v>664</v>
      </c>
      <c r="E210" s="138">
        <f>INDEX('WB Physician Data'!$C$9:$BO$272,MATCH($C210,'WB Physician Data'!$C$9:$C$272,0),MATCH("Latest value",'WB Physician Data'!$C$8:$BO$8,0))</f>
        <v>0.1346</v>
      </c>
      <c r="F210" s="138">
        <f>INDEX('WB Physician Data'!$C$9:$BO$272,MATCH($C210,'WB Physician Data'!$C$9:$C$272,0),MATCH("Latest year",'WB Physician Data'!$C$8:$BO$8,0))</f>
        <v>2017</v>
      </c>
      <c r="G210" s="138">
        <f>INDEX('WB CHWs Data'!$C$10:$BP$274,MATCH($C210,'WB CHWs Data'!$C$10:$C$274,0),MATCH("Value",'WB CHWs Data'!$C$10:$BP$10,0))</f>
        <v>1.359</v>
      </c>
      <c r="H210" s="138">
        <f>'WB CHWs Data'!BO212</f>
        <v>2004</v>
      </c>
      <c r="I210" s="84">
        <f>'WB Nurses &amp; Midwives data'!BN210</f>
        <v>0.83069999999999999</v>
      </c>
      <c r="J210" s="84">
        <f>'WB Nurses &amp; Midwives data'!BO210</f>
        <v>2015</v>
      </c>
      <c r="K210" s="84">
        <f>IFERROR(INDEX('WHO Labs Data'!$C$7:$I$126,MATCH('HCW Summary Data'!$C210,'WHO Labs Data'!$C$7:$C$126,0),7),'WHO Labs Data'!$M$7)</f>
        <v>0.12558995781071586</v>
      </c>
      <c r="M210" s="78">
        <f>INDEX('Tabular Pop Data by Age'!$AN$8:$AN$271,MATCH($B210,'Tabular Pop Data by Age'!$B$8:$B$271,0))</f>
        <v>12952000</v>
      </c>
      <c r="N210" s="79">
        <f t="shared" si="12"/>
        <v>1743.3391999999999</v>
      </c>
      <c r="O210" s="78">
        <f t="shared" si="13"/>
        <v>17601.768</v>
      </c>
      <c r="P210" s="78">
        <f t="shared" si="14"/>
        <v>10759.2264</v>
      </c>
      <c r="Q210" s="79">
        <f t="shared" si="15"/>
        <v>1626.6411335643918</v>
      </c>
    </row>
    <row r="211" spans="2:17" x14ac:dyDescent="0.25">
      <c r="B211" s="138" t="s">
        <v>630</v>
      </c>
      <c r="C211" s="138" t="s">
        <v>631</v>
      </c>
      <c r="D211" s="138" t="s">
        <v>1182</v>
      </c>
      <c r="E211" s="138">
        <f>INDEX('WB Physician Data'!$C$9:$BO$272,MATCH($C211,'WB Physician Data'!$C$9:$C$272,0),MATCH("Latest value",'WB Physician Data'!$C$8:$BO$8,0))</f>
        <v>0.76812752286180397</v>
      </c>
      <c r="F211" s="138">
        <f>INDEX('WB Physician Data'!$C$9:$BO$272,MATCH($C211,'WB Physician Data'!$C$9:$C$272,0),MATCH("Latest year",'WB Physician Data'!$C$8:$BO$8,0))</f>
        <v>2015</v>
      </c>
      <c r="G211" s="138">
        <f>INDEX('WB CHWs Data'!$C$10:$BP$274,MATCH($C211,'WB CHWs Data'!$C$10:$C$274,0),MATCH("Value",'WB CHWs Data'!$C$10:$BP$10,0))</f>
        <v>0.51390419136430165</v>
      </c>
      <c r="H211" s="138">
        <f>'WB CHWs Data'!BO213</f>
        <v>2011</v>
      </c>
      <c r="I211" s="84">
        <f>'WB Nurses &amp; Midwives data'!BN211</f>
        <v>1.7372389586483101</v>
      </c>
      <c r="J211" s="84">
        <f>'WB Nurses &amp; Midwives data'!BO211</f>
        <v>2015</v>
      </c>
      <c r="K211" s="84">
        <f>IFERROR(INDEX('WHO Labs Data'!$C$7:$I$126,MATCH('HCW Summary Data'!$C211,'WHO Labs Data'!$C$7:$C$126,0),7),'WHO Labs Data'!$M$7)</f>
        <v>0.2276050738661016</v>
      </c>
      <c r="M211" s="78">
        <f>INDEX('Tabular Pop Data by Age'!$AN$8:$AN$271,MATCH($B211,'Tabular Pop Data by Age'!$B$8:$B$271,0))</f>
        <v>1856800000</v>
      </c>
      <c r="N211" s="79">
        <f t="shared" si="12"/>
        <v>1426259.1844497975</v>
      </c>
      <c r="O211" s="78">
        <f t="shared" si="13"/>
        <v>954217.30252523534</v>
      </c>
      <c r="P211" s="78">
        <f t="shared" si="14"/>
        <v>3225705.2984181824</v>
      </c>
      <c r="Q211" s="79">
        <f t="shared" si="15"/>
        <v>422617.10115457745</v>
      </c>
    </row>
    <row r="212" spans="2:17" x14ac:dyDescent="0.25">
      <c r="B212" s="138" t="s">
        <v>620</v>
      </c>
      <c r="C212" s="138" t="s">
        <v>124</v>
      </c>
      <c r="D212" s="138" t="s">
        <v>561</v>
      </c>
      <c r="E212" s="138">
        <f>INDEX('WB Physician Data'!$C$9:$BO$272,MATCH($C212,'WB Physician Data'!$C$9:$C$272,0),MATCH("Latest value",'WB Physician Data'!$C$8:$BO$8,0))</f>
        <v>2.39</v>
      </c>
      <c r="F212" s="138">
        <f>INDEX('WB Physician Data'!$C$9:$BO$272,MATCH($C212,'WB Physician Data'!$C$9:$C$272,0),MATCH("Latest year",'WB Physician Data'!$C$8:$BO$8,0))</f>
        <v>2016</v>
      </c>
      <c r="G212" s="138">
        <f>INDEX('WB CHWs Data'!$C$10:$BP$274,MATCH($C212,'WB CHWs Data'!$C$10:$C$274,0),MATCH("Value",'WB CHWs Data'!$C$10:$BP$10,0))</f>
        <v>0.4</v>
      </c>
      <c r="H212" s="138" t="str">
        <f>'WB CHWs Data'!BO214</f>
        <v>No reported value</v>
      </c>
      <c r="I212" s="84">
        <f>'WB Nurses &amp; Midwives data'!BN212</f>
        <v>5.7</v>
      </c>
      <c r="J212" s="84">
        <f>'WB Nurses &amp; Midwives data'!BO212</f>
        <v>2016</v>
      </c>
      <c r="K212" s="84">
        <f>IFERROR(INDEX('WHO Labs Data'!$C$7:$I$126,MATCH('HCW Summary Data'!$C212,'WHO Labs Data'!$C$7:$C$126,0),7),'WHO Labs Data'!$M$7)</f>
        <v>0.2276050738661016</v>
      </c>
      <c r="M212" s="78">
        <f>INDEX('Tabular Pop Data by Age'!$AN$8:$AN$271,MATCH($B212,'Tabular Pop Data by Age'!$B$8:$B$271,0))</f>
        <v>34814000</v>
      </c>
      <c r="N212" s="79">
        <f t="shared" si="12"/>
        <v>83205.460000000006</v>
      </c>
      <c r="O212" s="78">
        <f t="shared" si="13"/>
        <v>13925.6</v>
      </c>
      <c r="P212" s="78">
        <f t="shared" si="14"/>
        <v>198439.80000000002</v>
      </c>
      <c r="Q212" s="79">
        <f t="shared" si="15"/>
        <v>7923.8430415744606</v>
      </c>
    </row>
    <row r="213" spans="2:17" x14ac:dyDescent="0.25">
      <c r="B213" s="138" t="s">
        <v>233</v>
      </c>
      <c r="C213" s="138" t="s">
        <v>125</v>
      </c>
      <c r="D213" s="138" t="s">
        <v>664</v>
      </c>
      <c r="E213" s="138">
        <f>INDEX('WB Physician Data'!$C$9:$BO$272,MATCH($C213,'WB Physician Data'!$C$9:$C$272,0),MATCH("Latest value",'WB Physician Data'!$C$8:$BO$8,0))</f>
        <v>0.41</v>
      </c>
      <c r="F213" s="138">
        <f>INDEX('WB Physician Data'!$C$9:$BO$272,MATCH($C213,'WB Physician Data'!$C$9:$C$272,0),MATCH("Latest year",'WB Physician Data'!$C$8:$BO$8,0))</f>
        <v>2015</v>
      </c>
      <c r="G213" s="138">
        <f>INDEX('WB CHWs Data'!$C$10:$BP$274,MATCH($C213,'WB CHWs Data'!$C$10:$C$274,0),MATCH("Value",'WB CHWs Data'!$C$10:$BP$10,0))</f>
        <v>0.151</v>
      </c>
      <c r="H213" s="138">
        <f>'WB CHWs Data'!BO215</f>
        <v>2004</v>
      </c>
      <c r="I213" s="84">
        <f>'WB Nurses &amp; Midwives data'!BN213</f>
        <v>0.83</v>
      </c>
      <c r="J213" s="84">
        <f>'WB Nurses &amp; Midwives data'!BO213</f>
        <v>2015</v>
      </c>
      <c r="K213" s="84">
        <f>IFERROR(INDEX('WHO Labs Data'!$C$7:$I$126,MATCH('HCW Summary Data'!$C213,'WHO Labs Data'!$C$7:$C$126,0),7),'WHO Labs Data'!$M$7)</f>
        <v>5.8634213247633765E-2</v>
      </c>
      <c r="M213" s="78">
        <f>INDEX('Tabular Pop Data by Age'!$AN$8:$AN$271,MATCH($B213,'Tabular Pop Data by Age'!$B$8:$B$271,0))</f>
        <v>43849000</v>
      </c>
      <c r="N213" s="79">
        <f t="shared" si="12"/>
        <v>17978.09</v>
      </c>
      <c r="O213" s="78">
        <f t="shared" si="13"/>
        <v>6621.1989999999996</v>
      </c>
      <c r="P213" s="78">
        <f t="shared" si="14"/>
        <v>36394.67</v>
      </c>
      <c r="Q213" s="79">
        <f t="shared" si="15"/>
        <v>2571.0516166954931</v>
      </c>
    </row>
    <row r="214" spans="2:17" x14ac:dyDescent="0.25">
      <c r="B214" s="138" t="s">
        <v>212</v>
      </c>
      <c r="C214" s="138" t="s">
        <v>126</v>
      </c>
      <c r="D214" s="138" t="s">
        <v>664</v>
      </c>
      <c r="E214" s="138">
        <f>INDEX('WB Physician Data'!$C$9:$BO$272,MATCH($C214,'WB Physician Data'!$C$9:$C$272,0),MATCH("Latest value",'WB Physician Data'!$C$8:$BO$8,0))</f>
        <v>6.9199999999999998E-2</v>
      </c>
      <c r="F214" s="138">
        <f>INDEX('WB Physician Data'!$C$9:$BO$272,MATCH($C214,'WB Physician Data'!$C$9:$C$272,0),MATCH("Latest year",'WB Physician Data'!$C$8:$BO$8,0))</f>
        <v>2016</v>
      </c>
      <c r="G214" s="138">
        <f>INDEX('WB CHWs Data'!$C$10:$BP$274,MATCH($C214,'WB CHWs Data'!$C$10:$C$274,0),MATCH("Value",'WB CHWs Data'!$C$10:$BP$10,0))</f>
        <v>0</v>
      </c>
      <c r="H214" s="138">
        <f>'WB CHWs Data'!BO216</f>
        <v>2016</v>
      </c>
      <c r="I214" s="84">
        <f>'WB Nurses &amp; Midwives data'!BN214</f>
        <v>0.31290000000000001</v>
      </c>
      <c r="J214" s="84">
        <f>'WB Nurses &amp; Midwives data'!BO214</f>
        <v>2016</v>
      </c>
      <c r="K214" s="84">
        <f>IFERROR(INDEX('WHO Labs Data'!$C$7:$I$126,MATCH('HCW Summary Data'!$C214,'WHO Labs Data'!$C$7:$C$126,0),7),'WHO Labs Data'!$M$7)</f>
        <v>2.3337428946989974E-3</v>
      </c>
      <c r="M214" s="78">
        <f>INDEX('Tabular Pop Data by Age'!$AN$8:$AN$271,MATCH($B214,'Tabular Pop Data by Age'!$B$8:$B$271,0))</f>
        <v>16744000</v>
      </c>
      <c r="N214" s="79">
        <f t="shared" si="12"/>
        <v>1158.6848</v>
      </c>
      <c r="O214" s="78">
        <f t="shared" si="13"/>
        <v>0</v>
      </c>
      <c r="P214" s="78">
        <f t="shared" si="14"/>
        <v>5239.1976000000004</v>
      </c>
      <c r="Q214" s="79">
        <f t="shared" si="15"/>
        <v>39.076191028840014</v>
      </c>
    </row>
    <row r="215" spans="2:17" x14ac:dyDescent="0.25">
      <c r="B215" s="138" t="s">
        <v>622</v>
      </c>
      <c r="C215" s="138" t="s">
        <v>127</v>
      </c>
      <c r="D215" s="138" t="s">
        <v>517</v>
      </c>
      <c r="E215" s="138">
        <f>INDEX('WB Physician Data'!$C$9:$BO$272,MATCH($C215,'WB Physician Data'!$C$9:$C$272,0),MATCH("Latest value",'WB Physician Data'!$C$8:$BO$8,0))</f>
        <v>2.3062999999999998</v>
      </c>
      <c r="F215" s="138">
        <f>INDEX('WB Physician Data'!$C$9:$BO$272,MATCH($C215,'WB Physician Data'!$C$9:$C$272,0),MATCH("Latest year",'WB Physician Data'!$C$8:$BO$8,0))</f>
        <v>2016</v>
      </c>
      <c r="G215" s="138">
        <f>INDEX('WB CHWs Data'!$C$10:$BP$274,MATCH($C215,'WB CHWs Data'!$C$10:$C$274,0),MATCH("Value",'WB CHWs Data'!$C$10:$BP$10,0))</f>
        <v>0.503</v>
      </c>
      <c r="H215" s="138">
        <f>'WB CHWs Data'!BO217</f>
        <v>2016</v>
      </c>
      <c r="I215" s="84">
        <f>'WB Nurses &amp; Midwives data'!BN215</f>
        <v>7.2141000000000002</v>
      </c>
      <c r="J215" s="84">
        <f>'WB Nurses &amp; Midwives data'!BO215</f>
        <v>2016</v>
      </c>
      <c r="K215" s="84">
        <f>IFERROR(INDEX('WHO Labs Data'!$C$7:$I$126,MATCH('HCW Summary Data'!$C215,'WHO Labs Data'!$C$7:$C$126,0),7),'WHO Labs Data'!$M$7)</f>
        <v>0.2276050738661016</v>
      </c>
      <c r="M215" s="78">
        <f>INDEX('Tabular Pop Data by Age'!$AN$8:$AN$271,MATCH($B215,'Tabular Pop Data by Age'!$B$8:$B$271,0))</f>
        <v>5772000</v>
      </c>
      <c r="N215" s="79">
        <f t="shared" si="12"/>
        <v>13311.963599999999</v>
      </c>
      <c r="O215" s="78">
        <f t="shared" si="13"/>
        <v>2903.3159999999998</v>
      </c>
      <c r="P215" s="78">
        <f t="shared" si="14"/>
        <v>41639.785199999998</v>
      </c>
      <c r="Q215" s="79">
        <f t="shared" si="15"/>
        <v>1313.7364863551384</v>
      </c>
    </row>
    <row r="216" spans="2:17" x14ac:dyDescent="0.25">
      <c r="B216" s="138" t="s">
        <v>255</v>
      </c>
      <c r="C216" s="138" t="s">
        <v>128</v>
      </c>
      <c r="D216" s="138" t="s">
        <v>559</v>
      </c>
      <c r="E216" s="138">
        <f>INDEX('WB Physician Data'!$C$9:$BO$272,MATCH($C216,'WB Physician Data'!$C$9:$C$272,0),MATCH("Latest value",'WB Physician Data'!$C$8:$BO$8,0))</f>
        <v>0.19989999999999999</v>
      </c>
      <c r="F216" s="138">
        <f>INDEX('WB Physician Data'!$C$9:$BO$272,MATCH($C216,'WB Physician Data'!$C$9:$C$272,0),MATCH("Latest year",'WB Physician Data'!$C$8:$BO$8,0))</f>
        <v>2016</v>
      </c>
      <c r="G216" s="138">
        <f>INDEX('WB CHWs Data'!$C$10:$BP$274,MATCH($C216,'WB CHWs Data'!$C$10:$C$274,0),MATCH("Value",'WB CHWs Data'!$C$10:$BP$10,0))</f>
        <v>0.4</v>
      </c>
      <c r="H216" s="138" t="str">
        <f>'WB CHWs Data'!BO218</f>
        <v>No reported value</v>
      </c>
      <c r="I216" s="84">
        <f>'WB Nurses &amp; Midwives data'!BN216</f>
        <v>2.1307</v>
      </c>
      <c r="J216" s="84">
        <f>'WB Nurses &amp; Midwives data'!BO216</f>
        <v>2016</v>
      </c>
      <c r="K216" s="84">
        <f>IFERROR(INDEX('WHO Labs Data'!$C$7:$I$126,MATCH('HCW Summary Data'!$C216,'WHO Labs Data'!$C$7:$C$126,0),7),'WHO Labs Data'!$M$7)</f>
        <v>6.4332519475904404E-2</v>
      </c>
      <c r="M216" s="78">
        <f>INDEX('Tabular Pop Data by Age'!$AN$8:$AN$271,MATCH($B216,'Tabular Pop Data by Age'!$B$8:$B$271,0))</f>
        <v>687000</v>
      </c>
      <c r="N216" s="79">
        <f t="shared" si="12"/>
        <v>137.3313</v>
      </c>
      <c r="O216" s="78">
        <f t="shared" si="13"/>
        <v>274.8</v>
      </c>
      <c r="P216" s="78">
        <f t="shared" si="14"/>
        <v>1463.7909</v>
      </c>
      <c r="Q216" s="79">
        <f t="shared" si="15"/>
        <v>44.196440879946323</v>
      </c>
    </row>
    <row r="217" spans="2:17" x14ac:dyDescent="0.25">
      <c r="B217" s="138" t="s">
        <v>214</v>
      </c>
      <c r="C217" s="138" t="s">
        <v>129</v>
      </c>
      <c r="D217" s="138" t="s">
        <v>517</v>
      </c>
      <c r="E217" s="138">
        <f>INDEX('WB Physician Data'!$C$9:$BO$272,MATCH($C217,'WB Physician Data'!$C$9:$C$272,0),MATCH("Latest value",'WB Physician Data'!$C$8:$BO$8,0))</f>
        <v>2.5000000000000001E-2</v>
      </c>
      <c r="F217" s="138">
        <f>INDEX('WB Physician Data'!$C$9:$BO$272,MATCH($C217,'WB Physician Data'!$C$9:$C$272,0),MATCH("Latest year",'WB Physician Data'!$C$8:$BO$8,0))</f>
        <v>2011</v>
      </c>
      <c r="G217" s="138">
        <f>INDEX('WB CHWs Data'!$C$10:$BP$274,MATCH($C217,'WB CHWs Data'!$C$10:$C$274,0),MATCH("Value",'WB CHWs Data'!$C$10:$BP$10,0))</f>
        <v>2.3E-2</v>
      </c>
      <c r="H217" s="138">
        <f>'WB CHWs Data'!BO219</f>
        <v>2010</v>
      </c>
      <c r="I217" s="84">
        <f>'WB Nurses &amp; Midwives data'!BN217</f>
        <v>0.99619999999999997</v>
      </c>
      <c r="J217" s="84">
        <f>'WB Nurses &amp; Midwives data'!BO217</f>
        <v>2014</v>
      </c>
      <c r="K217" s="84">
        <f>IFERROR(INDEX('WHO Labs Data'!$C$7:$I$126,MATCH('HCW Summary Data'!$C217,'WHO Labs Data'!$C$7:$C$126,0),7),'WHO Labs Data'!$M$7)</f>
        <v>3.4116960259884963E-2</v>
      </c>
      <c r="M217" s="78">
        <f>INDEX('Tabular Pop Data by Age'!$AN$8:$AN$271,MATCH($B217,'Tabular Pop Data by Age'!$B$8:$B$271,0))</f>
        <v>7977000</v>
      </c>
      <c r="N217" s="79">
        <f t="shared" si="12"/>
        <v>199.42500000000001</v>
      </c>
      <c r="O217" s="78">
        <f t="shared" si="13"/>
        <v>183.471</v>
      </c>
      <c r="P217" s="78">
        <f t="shared" si="14"/>
        <v>7946.6873999999998</v>
      </c>
      <c r="Q217" s="79">
        <f t="shared" si="15"/>
        <v>272.15099199310237</v>
      </c>
    </row>
    <row r="218" spans="2:17" x14ac:dyDescent="0.25">
      <c r="B218" s="138" t="s">
        <v>222</v>
      </c>
      <c r="C218" s="138" t="s">
        <v>164</v>
      </c>
      <c r="D218" s="138" t="s">
        <v>664</v>
      </c>
      <c r="E218" s="138">
        <f>INDEX('WB Physician Data'!$C$9:$BO$272,MATCH($C218,'WB Physician Data'!$C$9:$C$272,0),MATCH("Latest value",'WB Physician Data'!$C$8:$BO$8,0))</f>
        <v>1.569</v>
      </c>
      <c r="F218" s="138">
        <f>INDEX('WB Physician Data'!$C$9:$BO$272,MATCH($C218,'WB Physician Data'!$C$9:$C$272,0),MATCH("Latest year",'WB Physician Data'!$C$8:$BO$8,0))</f>
        <v>2016</v>
      </c>
      <c r="G218" s="138">
        <f>INDEX('WB CHWs Data'!$C$10:$BP$274,MATCH($C218,'WB CHWs Data'!$C$10:$C$274,0),MATCH("Value",'WB CHWs Data'!$C$10:$BP$10,0))</f>
        <v>0.4</v>
      </c>
      <c r="H218" s="138" t="str">
        <f>'WB CHWs Data'!BO220</f>
        <v>No reported value</v>
      </c>
      <c r="I218" s="84">
        <f>'WB Nurses &amp; Midwives data'!BN218</f>
        <v>2.278</v>
      </c>
      <c r="J218" s="84">
        <f>'WB Nurses &amp; Midwives data'!BO218</f>
        <v>2016</v>
      </c>
      <c r="K218" s="84">
        <f>IFERROR(INDEX('WHO Labs Data'!$C$7:$I$126,MATCH('HCW Summary Data'!$C218,'WHO Labs Data'!$C$7:$C$126,0),7),'WHO Labs Data'!$M$7)</f>
        <v>0.31912189615409053</v>
      </c>
      <c r="M218" s="78">
        <f>INDEX('Tabular Pop Data by Age'!$AN$8:$AN$271,MATCH($B218,'Tabular Pop Data by Age'!$B$8:$B$271,0))</f>
        <v>6486000</v>
      </c>
      <c r="N218" s="79">
        <f t="shared" si="12"/>
        <v>10176.534</v>
      </c>
      <c r="O218" s="78">
        <f t="shared" si="13"/>
        <v>2594.4</v>
      </c>
      <c r="P218" s="78">
        <f t="shared" si="14"/>
        <v>14775.108</v>
      </c>
      <c r="Q218" s="79">
        <f t="shared" si="15"/>
        <v>2069.8246184554314</v>
      </c>
    </row>
    <row r="219" spans="2:17" x14ac:dyDescent="0.25">
      <c r="B219" s="138" t="s">
        <v>619</v>
      </c>
      <c r="C219" s="138" t="s">
        <v>130</v>
      </c>
      <c r="D219" s="138" t="s">
        <v>561</v>
      </c>
      <c r="E219" s="138">
        <f>INDEX('WB Physician Data'!$C$9:$BO$272,MATCH($C219,'WB Physician Data'!$C$9:$C$272,0),MATCH("Latest value",'WB Physician Data'!$C$8:$BO$8,0))</f>
        <v>6.1467999999999998</v>
      </c>
      <c r="F219" s="138">
        <f>INDEX('WB Physician Data'!$C$9:$BO$272,MATCH($C219,'WB Physician Data'!$C$9:$C$272,0),MATCH("Latest year",'WB Physician Data'!$C$8:$BO$8,0))</f>
        <v>2014</v>
      </c>
      <c r="G219" s="138">
        <f>INDEX('WB CHWs Data'!$C$10:$BP$274,MATCH($C219,'WB CHWs Data'!$C$10:$C$274,0),MATCH("Value",'WB CHWs Data'!$C$10:$BP$10,0))</f>
        <v>0.4</v>
      </c>
      <c r="H219" s="138" t="str">
        <f>'WB CHWs Data'!BO221</f>
        <v>No reported value</v>
      </c>
      <c r="I219" s="84">
        <f>'WB Nurses &amp; Midwives data'!BN219</f>
        <v>8.7767999999999997</v>
      </c>
      <c r="J219" s="84">
        <f>'WB Nurses &amp; Midwives data'!BO219</f>
        <v>2014</v>
      </c>
      <c r="K219" s="84">
        <f>IFERROR(INDEX('WHO Labs Data'!$C$7:$I$126,MATCH('HCW Summary Data'!$C219,'WHO Labs Data'!$C$7:$C$126,0),7),'WHO Labs Data'!$M$7)</f>
        <v>0.2276050738661016</v>
      </c>
      <c r="M219" s="78">
        <f>INDEX('Tabular Pop Data by Age'!$AN$8:$AN$271,MATCH($B219,'Tabular Pop Data by Age'!$B$8:$B$271,0))</f>
        <v>34000</v>
      </c>
      <c r="N219" s="79">
        <f t="shared" si="12"/>
        <v>208.99119999999999</v>
      </c>
      <c r="O219" s="78">
        <f t="shared" si="13"/>
        <v>13.600000000000001</v>
      </c>
      <c r="P219" s="78">
        <f t="shared" si="14"/>
        <v>298.41120000000001</v>
      </c>
      <c r="Q219" s="79">
        <f t="shared" si="15"/>
        <v>7.7385725114474546</v>
      </c>
    </row>
    <row r="220" spans="2:17" x14ac:dyDescent="0.25">
      <c r="B220" s="138" t="s">
        <v>232</v>
      </c>
      <c r="C220" s="138" t="s">
        <v>171</v>
      </c>
      <c r="D220" s="138" t="s">
        <v>664</v>
      </c>
      <c r="E220" s="138">
        <f>INDEX('WB Physician Data'!$C$9:$BO$272,MATCH($C220,'WB Physician Data'!$C$9:$C$272,0),MATCH("Latest value",'WB Physician Data'!$C$8:$BO$8,0))</f>
        <v>2.29E-2</v>
      </c>
      <c r="F220" s="138">
        <f>INDEX('WB Physician Data'!$C$9:$BO$272,MATCH($C220,'WB Physician Data'!$C$9:$C$272,0),MATCH("Latest year",'WB Physician Data'!$C$8:$BO$8,0))</f>
        <v>2014</v>
      </c>
      <c r="G220" s="138">
        <f>INDEX('WB CHWs Data'!$C$10:$BP$274,MATCH($C220,'WB CHWs Data'!$C$10:$C$274,0),MATCH("Value",'WB CHWs Data'!$C$10:$BP$10,0))</f>
        <v>0.4</v>
      </c>
      <c r="H220" s="138" t="str">
        <f>'WB CHWs Data'!BO222</f>
        <v>No reported value</v>
      </c>
      <c r="I220" s="84">
        <f>'WB Nurses &amp; Midwives data'!BN220</f>
        <v>6.1100000000000002E-2</v>
      </c>
      <c r="J220" s="84">
        <f>'WB Nurses &amp; Midwives data'!BO220</f>
        <v>2014</v>
      </c>
      <c r="K220" s="84">
        <f>IFERROR(INDEX('WHO Labs Data'!$C$7:$I$126,MATCH('HCW Summary Data'!$C220,'WHO Labs Data'!$C$7:$C$126,0),7),'WHO Labs Data'!$M$7)</f>
        <v>9.9279365070481015E-3</v>
      </c>
      <c r="M220" s="78">
        <f>INDEX('Tabular Pop Data by Age'!$AN$8:$AN$271,MATCH($B220,'Tabular Pop Data by Age'!$B$8:$B$271,0))</f>
        <v>15893000</v>
      </c>
      <c r="N220" s="79">
        <f t="shared" si="12"/>
        <v>363.94970000000001</v>
      </c>
      <c r="O220" s="78">
        <f t="shared" si="13"/>
        <v>6357.2000000000007</v>
      </c>
      <c r="P220" s="78">
        <f t="shared" si="14"/>
        <v>971.06230000000005</v>
      </c>
      <c r="Q220" s="79">
        <f t="shared" si="15"/>
        <v>157.78469490651548</v>
      </c>
    </row>
    <row r="221" spans="2:17" x14ac:dyDescent="0.25">
      <c r="B221" s="138" t="s">
        <v>621</v>
      </c>
      <c r="C221" s="138" t="s">
        <v>131</v>
      </c>
      <c r="D221" s="138" t="s">
        <v>517</v>
      </c>
      <c r="E221" s="138">
        <f>INDEX('WB Physician Data'!$C$9:$BO$272,MATCH($C221,'WB Physician Data'!$C$9:$C$272,0),MATCH("Latest value",'WB Physician Data'!$C$8:$BO$8,0))</f>
        <v>3.125</v>
      </c>
      <c r="F221" s="138">
        <f>INDEX('WB Physician Data'!$C$9:$BO$272,MATCH($C221,'WB Physician Data'!$C$9:$C$272,0),MATCH("Latest year",'WB Physician Data'!$C$8:$BO$8,0))</f>
        <v>2016</v>
      </c>
      <c r="G221" s="138">
        <f>INDEX('WB CHWs Data'!$C$10:$BP$274,MATCH($C221,'WB CHWs Data'!$C$10:$C$274,0),MATCH("Value",'WB CHWs Data'!$C$10:$BP$10,0))</f>
        <v>0.4</v>
      </c>
      <c r="H221" s="138" t="str">
        <f>'WB CHWs Data'!BO223</f>
        <v>No reported value</v>
      </c>
      <c r="I221" s="84">
        <f>'WB Nurses &amp; Midwives data'!BN221</f>
        <v>6.1203000000000003</v>
      </c>
      <c r="J221" s="84">
        <f>'WB Nurses &amp; Midwives data'!BO221</f>
        <v>2016</v>
      </c>
      <c r="K221" s="84">
        <f>IFERROR(INDEX('WHO Labs Data'!$C$7:$I$126,MATCH('HCW Summary Data'!$C221,'WHO Labs Data'!$C$7:$C$126,0),7),'WHO Labs Data'!$M$7)</f>
        <v>0.80950042995758864</v>
      </c>
      <c r="M221" s="78">
        <f>INDEX('Tabular Pop Data by Age'!$AN$8:$AN$271,MATCH($B221,'Tabular Pop Data by Age'!$B$8:$B$271,0))</f>
        <v>6929000</v>
      </c>
      <c r="N221" s="79">
        <f t="shared" si="12"/>
        <v>21653.125</v>
      </c>
      <c r="O221" s="78">
        <f t="shared" si="13"/>
        <v>2771.6000000000004</v>
      </c>
      <c r="P221" s="78">
        <f t="shared" si="14"/>
        <v>42407.558700000001</v>
      </c>
      <c r="Q221" s="79">
        <f t="shared" si="15"/>
        <v>5609.0284791761314</v>
      </c>
    </row>
    <row r="222" spans="2:17" x14ac:dyDescent="0.25">
      <c r="B222" s="138" t="s">
        <v>646</v>
      </c>
      <c r="C222" s="138" t="s">
        <v>647</v>
      </c>
      <c r="D222" s="138" t="s">
        <v>1182</v>
      </c>
      <c r="E222" s="138">
        <f>INDEX('WB Physician Data'!$C$9:$BO$272,MATCH($C222,'WB Physician Data'!$C$9:$C$272,0),MATCH("Latest value",'WB Physician Data'!$C$8:$BO$8,0))</f>
        <v>0.2195762670475227</v>
      </c>
      <c r="F222" s="138">
        <f>INDEX('WB Physician Data'!$C$9:$BO$272,MATCH($C222,'WB Physician Data'!$C$9:$C$272,0),MATCH("Latest year",'WB Physician Data'!$C$8:$BO$8,0))</f>
        <v>2015</v>
      </c>
      <c r="G222" s="138">
        <f>INDEX('WB CHWs Data'!$C$10:$BP$274,MATCH($C222,'WB CHWs Data'!$C$10:$C$274,0),MATCH("Value",'WB CHWs Data'!$C$10:$BP$10,0))</f>
        <v>0.4</v>
      </c>
      <c r="H222" s="138" t="str">
        <f>'WB CHWs Data'!BO224</f>
        <v>No reported value</v>
      </c>
      <c r="I222" s="84">
        <f>'WB Nurses &amp; Midwives data'!BN222</f>
        <v>1.0283834399004534</v>
      </c>
      <c r="J222" s="84">
        <f>'WB Nurses &amp; Midwives data'!BO222</f>
        <v>2015</v>
      </c>
      <c r="K222" s="84">
        <f>IFERROR(INDEX('WHO Labs Data'!$C$7:$I$126,MATCH('HCW Summary Data'!$C222,'WHO Labs Data'!$C$7:$C$126,0),7),'WHO Labs Data'!$M$7)</f>
        <v>0.2276050738661016</v>
      </c>
      <c r="M222" s="78">
        <f>INDEX('Tabular Pop Data by Age'!$AN$8:$AN$271,MATCH($B222,'Tabular Pop Data by Age'!$B$8:$B$271,0))</f>
        <v>1135954000</v>
      </c>
      <c r="N222" s="79">
        <f t="shared" si="12"/>
        <v>249428.53885770161</v>
      </c>
      <c r="O222" s="78">
        <f t="shared" si="13"/>
        <v>454381.60000000003</v>
      </c>
      <c r="P222" s="78">
        <f t="shared" si="14"/>
        <v>1168196.2820886797</v>
      </c>
      <c r="Q222" s="79">
        <f t="shared" si="15"/>
        <v>258548.89407849358</v>
      </c>
    </row>
    <row r="223" spans="2:17" x14ac:dyDescent="0.25">
      <c r="B223" s="138" t="s">
        <v>634</v>
      </c>
      <c r="C223" s="138" t="s">
        <v>635</v>
      </c>
      <c r="D223" s="138" t="s">
        <v>517</v>
      </c>
      <c r="E223" s="138" t="str">
        <f>INDEX('WB Physician Data'!$C$9:$BO$272,MATCH($C223,'WB Physician Data'!$C$9:$C$272,0),MATCH("Latest value",'WB Physician Data'!$C$8:$BO$8,0))</f>
        <v>No reported value</v>
      </c>
      <c r="F223" s="138" t="str">
        <f>INDEX('WB Physician Data'!$C$9:$BO$272,MATCH($C223,'WB Physician Data'!$C$9:$C$272,0),MATCH("Latest year",'WB Physician Data'!$C$8:$BO$8,0))</f>
        <v>No reported value</v>
      </c>
      <c r="G223" s="138">
        <f>INDEX('WB CHWs Data'!$C$10:$BP$274,MATCH($C223,'WB CHWs Data'!$C$10:$C$274,0),MATCH("Value",'WB CHWs Data'!$C$10:$BP$10,0))</f>
        <v>0.4</v>
      </c>
      <c r="H223" s="138" t="str">
        <f>'WB CHWs Data'!BO225</f>
        <v>No reported value</v>
      </c>
      <c r="I223" s="84" t="str">
        <f>'WB Nurses &amp; Midwives data'!BN223</f>
        <v>No reported value</v>
      </c>
      <c r="J223" s="84" t="str">
        <f>'WB Nurses &amp; Midwives data'!BO223</f>
        <v>No reported value</v>
      </c>
      <c r="K223" s="84">
        <f>IFERROR(INDEX('WHO Labs Data'!$C$7:$I$126,MATCH('HCW Summary Data'!$C223,'WHO Labs Data'!$C$7:$C$126,0),7),'WHO Labs Data'!$M$7)</f>
        <v>0.2276050738661016</v>
      </c>
      <c r="M223" s="78">
        <f>INDEX('Tabular Pop Data by Age'!$AN$8:$AN$271,MATCH($B223,'Tabular Pop Data by Age'!$B$8:$B$271,0))</f>
        <v>11194000</v>
      </c>
      <c r="N223" s="79">
        <f t="shared" si="12"/>
        <v>0</v>
      </c>
      <c r="O223" s="78">
        <f t="shared" si="13"/>
        <v>4477.6000000000004</v>
      </c>
      <c r="P223" s="78">
        <f t="shared" si="14"/>
        <v>0</v>
      </c>
      <c r="Q223" s="79">
        <f t="shared" si="15"/>
        <v>2547.8111968571411</v>
      </c>
    </row>
    <row r="224" spans="2:17" x14ac:dyDescent="0.25">
      <c r="B224" s="138" t="s">
        <v>644</v>
      </c>
      <c r="C224" s="138" t="s">
        <v>645</v>
      </c>
      <c r="D224" s="138" t="s">
        <v>1182</v>
      </c>
      <c r="E224" s="138">
        <f>INDEX('WB Physician Data'!$C$9:$BO$272,MATCH($C224,'WB Physician Data'!$C$9:$C$272,0),MATCH("Latest value",'WB Physician Data'!$C$8:$BO$8,0))</f>
        <v>0.2196453959396874</v>
      </c>
      <c r="F224" s="138">
        <f>INDEX('WB Physician Data'!$C$9:$BO$272,MATCH($C224,'WB Physician Data'!$C$9:$C$272,0),MATCH("Latest year",'WB Physician Data'!$C$8:$BO$8,0))</f>
        <v>2015</v>
      </c>
      <c r="G224" s="138">
        <f>INDEX('WB CHWs Data'!$C$10:$BP$274,MATCH($C224,'WB CHWs Data'!$C$10:$C$274,0),MATCH("Value",'WB CHWs Data'!$C$10:$BP$10,0))</f>
        <v>0.4</v>
      </c>
      <c r="H224" s="138" t="str">
        <f>'WB CHWs Data'!BO226</f>
        <v>No reported value</v>
      </c>
      <c r="I224" s="84">
        <f>'WB Nurses &amp; Midwives data'!BN224</f>
        <v>1.0285959901671162</v>
      </c>
      <c r="J224" s="84">
        <f>'WB Nurses &amp; Midwives data'!BO224</f>
        <v>2015</v>
      </c>
      <c r="K224" s="84">
        <f>IFERROR(INDEX('WHO Labs Data'!$C$7:$I$126,MATCH('HCW Summary Data'!$C224,'WHO Labs Data'!$C$7:$C$126,0),7),'WHO Labs Data'!$M$7)</f>
        <v>0.2276050738661016</v>
      </c>
      <c r="M224" s="78">
        <f>INDEX('Tabular Pop Data by Age'!$AN$8:$AN$271,MATCH($B224,'Tabular Pop Data by Age'!$B$8:$B$271,0))</f>
        <v>1136052000</v>
      </c>
      <c r="N224" s="79">
        <f t="shared" si="12"/>
        <v>249528.59134807377</v>
      </c>
      <c r="O224" s="78">
        <f t="shared" si="13"/>
        <v>454420.80000000005</v>
      </c>
      <c r="P224" s="78">
        <f t="shared" si="14"/>
        <v>1168538.5318213326</v>
      </c>
      <c r="Q224" s="79">
        <f t="shared" si="15"/>
        <v>258571.19937573245</v>
      </c>
    </row>
    <row r="225" spans="2:17" x14ac:dyDescent="0.25">
      <c r="B225" s="138" t="s">
        <v>628</v>
      </c>
      <c r="C225" s="138" t="s">
        <v>629</v>
      </c>
      <c r="D225" s="138" t="s">
        <v>1182</v>
      </c>
      <c r="E225" s="138">
        <f>INDEX('WB Physician Data'!$C$9:$BO$272,MATCH($C225,'WB Physician Data'!$C$9:$C$272,0),MATCH("Latest value",'WB Physician Data'!$C$8:$BO$8,0))</f>
        <v>0.89873717540380282</v>
      </c>
      <c r="F225" s="138">
        <f>INDEX('WB Physician Data'!$C$9:$BO$272,MATCH($C225,'WB Physician Data'!$C$9:$C$272,0),MATCH("Latest year",'WB Physician Data'!$C$8:$BO$8,0))</f>
        <v>2015</v>
      </c>
      <c r="G225" s="138">
        <f>INDEX('WB CHWs Data'!$C$10:$BP$274,MATCH($C225,'WB CHWs Data'!$C$10:$C$274,0),MATCH("Value",'WB CHWs Data'!$C$10:$BP$10,0))</f>
        <v>0.4</v>
      </c>
      <c r="H225" s="138" t="str">
        <f>'WB CHWs Data'!BO227</f>
        <v>No reported value</v>
      </c>
      <c r="I225" s="84">
        <f>'WB Nurses &amp; Midwives data'!BN225</f>
        <v>2.9570366047094603</v>
      </c>
      <c r="J225" s="84">
        <f>'WB Nurses &amp; Midwives data'!BO225</f>
        <v>2015</v>
      </c>
      <c r="K225" s="84">
        <f>IFERROR(INDEX('WHO Labs Data'!$C$7:$I$126,MATCH('HCW Summary Data'!$C225,'WHO Labs Data'!$C$7:$C$126,0),7),'WHO Labs Data'!$M$7)</f>
        <v>0.2276050738661016</v>
      </c>
      <c r="M225" s="78">
        <f>INDEX('Tabular Pop Data by Age'!$AN$8:$AN$271,MATCH($B225,'Tabular Pop Data by Age'!$B$8:$B$271,0))</f>
        <v>41855000</v>
      </c>
      <c r="N225" s="79">
        <f t="shared" si="12"/>
        <v>37616.644476526169</v>
      </c>
      <c r="O225" s="78">
        <f t="shared" si="13"/>
        <v>16742</v>
      </c>
      <c r="P225" s="78">
        <f t="shared" si="14"/>
        <v>123766.76709011446</v>
      </c>
      <c r="Q225" s="79">
        <f t="shared" si="15"/>
        <v>9526.4103666656829</v>
      </c>
    </row>
    <row r="226" spans="2:17" x14ac:dyDescent="0.25">
      <c r="B226" s="138" t="s">
        <v>211</v>
      </c>
      <c r="C226" s="138" t="s">
        <v>175</v>
      </c>
      <c r="D226" s="138" t="s">
        <v>517</v>
      </c>
      <c r="E226" s="138">
        <f>INDEX('WB Physician Data'!$C$9:$BO$272,MATCH($C226,'WB Physician Data'!$C$9:$C$272,0),MATCH("Latest value",'WB Physician Data'!$C$8:$BO$8,0))</f>
        <v>0.32</v>
      </c>
      <c r="F226" s="138">
        <f>INDEX('WB Physician Data'!$C$9:$BO$272,MATCH($C226,'WB Physician Data'!$C$9:$C$272,0),MATCH("Latest year",'WB Physician Data'!$C$8:$BO$8,0))</f>
        <v>2015</v>
      </c>
      <c r="G226" s="138">
        <f>INDEX('WB CHWs Data'!$C$10:$BP$274,MATCH($C226,'WB CHWs Data'!$C$10:$C$274,0),MATCH("Value",'WB CHWs Data'!$C$10:$BP$10,0))</f>
        <v>1.002</v>
      </c>
      <c r="H226" s="138">
        <f>'WB CHWs Data'!BO228</f>
        <v>2004</v>
      </c>
      <c r="I226" s="84">
        <f>'WB Nurses &amp; Midwives data'!BN226</f>
        <v>2.2599999999999998</v>
      </c>
      <c r="J226" s="84">
        <f>'WB Nurses &amp; Midwives data'!BO226</f>
        <v>2015</v>
      </c>
      <c r="K226" s="84">
        <f>IFERROR(INDEX('WHO Labs Data'!$C$7:$I$126,MATCH('HCW Summary Data'!$C226,'WHO Labs Data'!$C$7:$C$126,0),7),'WHO Labs Data'!$M$7)</f>
        <v>0</v>
      </c>
      <c r="M226" s="78">
        <f>INDEX('Tabular Pop Data by Age'!$AN$8:$AN$271,MATCH($B226,'Tabular Pop Data by Age'!$B$8:$B$271,0))</f>
        <v>219000</v>
      </c>
      <c r="N226" s="79">
        <f t="shared" si="12"/>
        <v>70.08</v>
      </c>
      <c r="O226" s="78">
        <f t="shared" si="13"/>
        <v>219.43799999999999</v>
      </c>
      <c r="P226" s="78">
        <f t="shared" si="14"/>
        <v>494.93999999999994</v>
      </c>
      <c r="Q226" s="79">
        <f t="shared" si="15"/>
        <v>0</v>
      </c>
    </row>
    <row r="227" spans="2:17" x14ac:dyDescent="0.25">
      <c r="B227" s="138" t="s">
        <v>229</v>
      </c>
      <c r="C227" s="138" t="s">
        <v>170</v>
      </c>
      <c r="D227" s="138" t="s">
        <v>517</v>
      </c>
      <c r="E227" s="138">
        <f>INDEX('WB Physician Data'!$C$9:$BO$272,MATCH($C227,'WB Physician Data'!$C$9:$C$272,0),MATCH("Latest value",'WB Physician Data'!$C$8:$BO$8,0))</f>
        <v>1.2264999999999999</v>
      </c>
      <c r="F227" s="138">
        <f>INDEX('WB Physician Data'!$C$9:$BO$272,MATCH($C227,'WB Physician Data'!$C$9:$C$272,0),MATCH("Latest year",'WB Physician Data'!$C$8:$BO$8,0))</f>
        <v>2018</v>
      </c>
      <c r="G227" s="138">
        <f>INDEX('WB CHWs Data'!$C$10:$BP$274,MATCH($C227,'WB CHWs Data'!$C$10:$C$274,0),MATCH("Value",'WB CHWs Data'!$C$10:$BP$10,0))</f>
        <v>0.4</v>
      </c>
      <c r="H227" s="138" t="str">
        <f>'WB CHWs Data'!BO229</f>
        <v>No reported value</v>
      </c>
      <c r="I227" s="84">
        <f>'WB Nurses &amp; Midwives data'!BN227</f>
        <v>4.0983000000000001</v>
      </c>
      <c r="J227" s="84">
        <f>'WB Nurses &amp; Midwives data'!BO227</f>
        <v>2017</v>
      </c>
      <c r="K227" s="84">
        <f>IFERROR(INDEX('WHO Labs Data'!$C$7:$I$126,MATCH('HCW Summary Data'!$C227,'WHO Labs Data'!$C$7:$C$126,0),7),'WHO Labs Data'!$M$7)</f>
        <v>0.2276050738661016</v>
      </c>
      <c r="M227" s="78">
        <f>INDEX('Tabular Pop Data by Age'!$AN$8:$AN$271,MATCH($B227,'Tabular Pop Data by Age'!$B$8:$B$271,0))</f>
        <v>587000</v>
      </c>
      <c r="N227" s="79">
        <f t="shared" si="12"/>
        <v>719.95549999999992</v>
      </c>
      <c r="O227" s="78">
        <f t="shared" si="13"/>
        <v>234.8</v>
      </c>
      <c r="P227" s="78">
        <f t="shared" si="14"/>
        <v>2405.7021</v>
      </c>
      <c r="Q227" s="79">
        <f t="shared" si="15"/>
        <v>133.60417835940163</v>
      </c>
    </row>
    <row r="228" spans="2:17" x14ac:dyDescent="0.25">
      <c r="B228" s="138" t="s">
        <v>625</v>
      </c>
      <c r="C228" s="138" t="s">
        <v>626</v>
      </c>
      <c r="D228" s="138" t="s">
        <v>517</v>
      </c>
      <c r="E228" s="138">
        <f>INDEX('WB Physician Data'!$C$9:$BO$272,MATCH($C228,'WB Physician Data'!$C$9:$C$272,0),MATCH("Latest value",'WB Physician Data'!$C$8:$BO$8,0))</f>
        <v>2.4643000000000002</v>
      </c>
      <c r="F228" s="138">
        <f>INDEX('WB Physician Data'!$C$9:$BO$272,MATCH($C228,'WB Physician Data'!$C$9:$C$272,0),MATCH("Latest year",'WB Physician Data'!$C$8:$BO$8,0))</f>
        <v>2016</v>
      </c>
      <c r="G228" s="138">
        <f>INDEX('WB CHWs Data'!$C$10:$BP$274,MATCH($C228,'WB CHWs Data'!$C$10:$C$274,0),MATCH("Value",'WB CHWs Data'!$C$10:$BP$10,0))</f>
        <v>1.7999999999999999E-2</v>
      </c>
      <c r="H228" s="138">
        <f>'WB CHWs Data'!BO230</f>
        <v>2013</v>
      </c>
      <c r="I228" s="84">
        <f>'WB Nurses &amp; Midwives data'!BN228</f>
        <v>9.1727000000000007</v>
      </c>
      <c r="J228" s="84">
        <f>'WB Nurses &amp; Midwives data'!BO228</f>
        <v>2016</v>
      </c>
      <c r="K228" s="84">
        <f>IFERROR(INDEX('WHO Labs Data'!$C$7:$I$126,MATCH('HCW Summary Data'!$C228,'WHO Labs Data'!$C$7:$C$126,0),7),'WHO Labs Data'!$M$7)</f>
        <v>0.57774805301476351</v>
      </c>
      <c r="M228" s="78">
        <f>INDEX('Tabular Pop Data by Age'!$AN$8:$AN$271,MATCH($B228,'Tabular Pop Data by Age'!$B$8:$B$271,0))</f>
        <v>5448000</v>
      </c>
      <c r="N228" s="79">
        <f t="shared" si="12"/>
        <v>13425.5064</v>
      </c>
      <c r="O228" s="78">
        <f t="shared" si="13"/>
        <v>98.063999999999993</v>
      </c>
      <c r="P228" s="78">
        <f t="shared" si="14"/>
        <v>49972.869600000005</v>
      </c>
      <c r="Q228" s="79">
        <f t="shared" si="15"/>
        <v>3147.5713928244318</v>
      </c>
    </row>
    <row r="229" spans="2:17" x14ac:dyDescent="0.25">
      <c r="B229" s="138" t="s">
        <v>627</v>
      </c>
      <c r="C229" s="138" t="s">
        <v>132</v>
      </c>
      <c r="D229" s="138" t="s">
        <v>561</v>
      </c>
      <c r="E229" s="138">
        <f>INDEX('WB Physician Data'!$C$9:$BO$272,MATCH($C229,'WB Physician Data'!$C$9:$C$272,0),MATCH("Latest value",'WB Physician Data'!$C$8:$BO$8,0))</f>
        <v>2.9952999999999999</v>
      </c>
      <c r="F229" s="138">
        <f>INDEX('WB Physician Data'!$C$9:$BO$272,MATCH($C229,'WB Physician Data'!$C$9:$C$272,0),MATCH("Latest year",'WB Physician Data'!$C$8:$BO$8,0))</f>
        <v>2016</v>
      </c>
      <c r="G229" s="138">
        <f>INDEX('WB CHWs Data'!$C$10:$BP$274,MATCH($C229,'WB CHWs Data'!$C$10:$C$274,0),MATCH("Value",'WB CHWs Data'!$C$10:$BP$10,0))</f>
        <v>0.4</v>
      </c>
      <c r="H229" s="138" t="str">
        <f>'WB CHWs Data'!BO231</f>
        <v>No reported value</v>
      </c>
      <c r="I229" s="84">
        <f>'WB Nurses &amp; Midwives data'!BN229</f>
        <v>9.68</v>
      </c>
      <c r="J229" s="84">
        <f>'WB Nurses &amp; Midwives data'!BO229</f>
        <v>2016</v>
      </c>
      <c r="K229" s="84">
        <f>IFERROR(INDEX('WHO Labs Data'!$C$7:$I$126,MATCH('HCW Summary Data'!$C229,'WHO Labs Data'!$C$7:$C$126,0),7),'WHO Labs Data'!$M$7)</f>
        <v>0.2276050738661016</v>
      </c>
      <c r="M229" s="78">
        <f>INDEX('Tabular Pop Data by Age'!$AN$8:$AN$271,MATCH($B229,'Tabular Pop Data by Age'!$B$8:$B$271,0))</f>
        <v>2067000</v>
      </c>
      <c r="N229" s="79">
        <f t="shared" si="12"/>
        <v>6191.2851000000001</v>
      </c>
      <c r="O229" s="78">
        <f t="shared" si="13"/>
        <v>826.80000000000007</v>
      </c>
      <c r="P229" s="78">
        <f t="shared" si="14"/>
        <v>20008.559999999998</v>
      </c>
      <c r="Q229" s="79">
        <f t="shared" si="15"/>
        <v>470.45968768123203</v>
      </c>
    </row>
    <row r="230" spans="2:17" x14ac:dyDescent="0.25">
      <c r="B230" s="138" t="s">
        <v>650</v>
      </c>
      <c r="C230" s="138" t="s">
        <v>133</v>
      </c>
      <c r="D230" s="138" t="s">
        <v>517</v>
      </c>
      <c r="E230" s="138">
        <f>INDEX('WB Physician Data'!$C$9:$BO$272,MATCH($C230,'WB Physician Data'!$C$9:$C$272,0),MATCH("Latest value",'WB Physician Data'!$C$8:$BO$8,0))</f>
        <v>5.3996000000000004</v>
      </c>
      <c r="F230" s="138">
        <f>INDEX('WB Physician Data'!$C$9:$BO$272,MATCH($C230,'WB Physician Data'!$C$9:$C$272,0),MATCH("Latest year",'WB Physician Data'!$C$8:$BO$8,0))</f>
        <v>2016</v>
      </c>
      <c r="G230" s="138">
        <f>INDEX('WB CHWs Data'!$C$10:$BP$274,MATCH($C230,'WB CHWs Data'!$C$10:$C$274,0),MATCH("Value",'WB CHWs Data'!$C$10:$BP$10,0))</f>
        <v>0.4</v>
      </c>
      <c r="H230" s="138" t="str">
        <f>'WB CHWs Data'!BO232</f>
        <v>No reported value</v>
      </c>
      <c r="I230" s="84">
        <f>'WB Nurses &amp; Midwives data'!BN230</f>
        <v>11.5434</v>
      </c>
      <c r="J230" s="84">
        <f>'WB Nurses &amp; Midwives data'!BO230</f>
        <v>2016</v>
      </c>
      <c r="K230" s="84">
        <f>IFERROR(INDEX('WHO Labs Data'!$C$7:$I$126,MATCH('HCW Summary Data'!$C230,'WHO Labs Data'!$C$7:$C$126,0),7),'WHO Labs Data'!$M$7)</f>
        <v>0.2276050738661016</v>
      </c>
      <c r="M230" s="78">
        <f>INDEX('Tabular Pop Data by Age'!$AN$8:$AN$271,MATCH($B230,'Tabular Pop Data by Age'!$B$8:$B$271,0))</f>
        <v>10319000</v>
      </c>
      <c r="N230" s="79">
        <f t="shared" si="12"/>
        <v>55718.472400000006</v>
      </c>
      <c r="O230" s="78">
        <f t="shared" si="13"/>
        <v>4127.6000000000004</v>
      </c>
      <c r="P230" s="78">
        <f t="shared" si="14"/>
        <v>119116.3446</v>
      </c>
      <c r="Q230" s="79">
        <f t="shared" si="15"/>
        <v>2348.6567572243025</v>
      </c>
    </row>
    <row r="231" spans="2:17" x14ac:dyDescent="0.25">
      <c r="B231" s="138" t="s">
        <v>486</v>
      </c>
      <c r="C231" s="138" t="s">
        <v>134</v>
      </c>
      <c r="D231" s="138" t="s">
        <v>559</v>
      </c>
      <c r="E231" s="138">
        <f>INDEX('WB Physician Data'!$C$9:$BO$272,MATCH($C231,'WB Physician Data'!$C$9:$C$272,0),MATCH("Latest value",'WB Physician Data'!$C$8:$BO$8,0))</f>
        <v>7.9600000000000004E-2</v>
      </c>
      <c r="F231" s="138">
        <f>INDEX('WB Physician Data'!$C$9:$BO$272,MATCH($C231,'WB Physician Data'!$C$9:$C$272,0),MATCH("Latest year",'WB Physician Data'!$C$8:$BO$8,0))</f>
        <v>2016</v>
      </c>
      <c r="G231" s="138">
        <f>INDEX('WB CHWs Data'!$C$10:$BP$274,MATCH($C231,'WB CHWs Data'!$C$10:$C$274,0),MATCH("Value",'WB CHWs Data'!$C$10:$BP$10,0))</f>
        <v>3.6539999999999999</v>
      </c>
      <c r="H231" s="138">
        <f>'WB CHWs Data'!BO233</f>
        <v>2004</v>
      </c>
      <c r="I231" s="84">
        <f>'WB Nurses &amp; Midwives data'!BN231</f>
        <v>2</v>
      </c>
      <c r="J231" s="84">
        <f>'WB Nurses &amp; Midwives data'!BO231</f>
        <v>2015</v>
      </c>
      <c r="K231" s="84">
        <f>IFERROR(INDEX('WHO Labs Data'!$C$7:$I$126,MATCH('HCW Summary Data'!$C231,'WHO Labs Data'!$C$7:$C$126,0),7),'WHO Labs Data'!$M$7)</f>
        <v>3.6085482106441615E-2</v>
      </c>
      <c r="M231" s="78">
        <f>INDEX('Tabular Pop Data by Age'!$AN$8:$AN$271,MATCH($B231,'Tabular Pop Data by Age'!$B$8:$B$271,0))</f>
        <v>1160000</v>
      </c>
      <c r="N231" s="79">
        <f t="shared" si="12"/>
        <v>92.335999999999999</v>
      </c>
      <c r="O231" s="78">
        <f t="shared" si="13"/>
        <v>4238.6400000000003</v>
      </c>
      <c r="P231" s="78">
        <f t="shared" si="14"/>
        <v>2320</v>
      </c>
      <c r="Q231" s="79">
        <f t="shared" si="15"/>
        <v>41.85915924347227</v>
      </c>
    </row>
    <row r="232" spans="2:17" x14ac:dyDescent="0.25">
      <c r="B232" s="138" t="s">
        <v>623</v>
      </c>
      <c r="C232" s="138" t="s">
        <v>624</v>
      </c>
      <c r="D232" s="138" t="s">
        <v>517</v>
      </c>
      <c r="E232" s="138" t="str">
        <f>INDEX('WB Physician Data'!$C$9:$BO$272,MATCH($C232,'WB Physician Data'!$C$9:$C$272,0),MATCH("Latest value",'WB Physician Data'!$C$8:$BO$8,0))</f>
        <v>No reported value</v>
      </c>
      <c r="F232" s="138" t="str">
        <f>INDEX('WB Physician Data'!$C$9:$BO$272,MATCH($C232,'WB Physician Data'!$C$9:$C$272,0),MATCH("Latest year",'WB Physician Data'!$C$8:$BO$8,0))</f>
        <v>No reported value</v>
      </c>
      <c r="G232" s="138">
        <f>INDEX('WB CHWs Data'!$C$10:$BP$274,MATCH($C232,'WB CHWs Data'!$C$10:$C$274,0),MATCH("Value",'WB CHWs Data'!$C$10:$BP$10,0))</f>
        <v>0.4</v>
      </c>
      <c r="H232" s="138" t="str">
        <f>'WB CHWs Data'!BO234</f>
        <v>No reported value</v>
      </c>
      <c r="I232" s="84" t="str">
        <f>'WB Nurses &amp; Midwives data'!BN232</f>
        <v>No reported value</v>
      </c>
      <c r="J232" s="84" t="str">
        <f>'WB Nurses &amp; Midwives data'!BO232</f>
        <v>No reported value</v>
      </c>
      <c r="K232" s="84">
        <f>IFERROR(INDEX('WHO Labs Data'!$C$7:$I$126,MATCH('HCW Summary Data'!$C232,'WHO Labs Data'!$C$7:$C$126,0),7),'WHO Labs Data'!$M$7)</f>
        <v>0.2276050738661016</v>
      </c>
      <c r="M232" s="78">
        <f>INDEX('Tabular Pop Data by Age'!$AN$8:$AN$271,MATCH($B232,'Tabular Pop Data by Age'!$B$8:$B$271,0))</f>
        <v>43847</v>
      </c>
      <c r="N232" s="79">
        <f t="shared" si="12"/>
        <v>0</v>
      </c>
      <c r="O232" s="78">
        <f t="shared" si="13"/>
        <v>17.538800000000002</v>
      </c>
      <c r="P232" s="78">
        <f t="shared" si="14"/>
        <v>0</v>
      </c>
      <c r="Q232" s="79">
        <f t="shared" si="15"/>
        <v>9.9797996738069568</v>
      </c>
    </row>
    <row r="233" spans="2:17" x14ac:dyDescent="0.25">
      <c r="B233" s="138" t="s">
        <v>213</v>
      </c>
      <c r="C233" s="138" t="s">
        <v>135</v>
      </c>
      <c r="D233" s="138" t="s">
        <v>559</v>
      </c>
      <c r="E233" s="138">
        <f>INDEX('WB Physician Data'!$C$9:$BO$272,MATCH($C233,'WB Physician Data'!$C$9:$C$272,0),MATCH("Latest value",'WB Physician Data'!$C$8:$BO$8,0))</f>
        <v>0.94579999999999997</v>
      </c>
      <c r="F233" s="138">
        <f>INDEX('WB Physician Data'!$C$9:$BO$272,MATCH($C233,'WB Physician Data'!$C$9:$C$272,0),MATCH("Latest year",'WB Physician Data'!$C$8:$BO$8,0))</f>
        <v>2016</v>
      </c>
      <c r="G233" s="138">
        <f>INDEX('WB CHWs Data'!$C$10:$BP$274,MATCH($C233,'WB CHWs Data'!$C$10:$C$274,0),MATCH("Value",'WB CHWs Data'!$C$10:$BP$10,0))</f>
        <v>0.4</v>
      </c>
      <c r="H233" s="138" t="str">
        <f>'WB CHWs Data'!BO235</f>
        <v>No reported value</v>
      </c>
      <c r="I233" s="84">
        <f>'WB Nurses &amp; Midwives data'!BN233</f>
        <v>3.2612999999999999</v>
      </c>
      <c r="J233" s="84">
        <f>'WB Nurses &amp; Midwives data'!BO233</f>
        <v>2016</v>
      </c>
      <c r="K233" s="84">
        <f>IFERROR(INDEX('WHO Labs Data'!$C$7:$I$126,MATCH('HCW Summary Data'!$C233,'WHO Labs Data'!$C$7:$C$126,0),7),'WHO Labs Data'!$M$7)</f>
        <v>0.47539323288067631</v>
      </c>
      <c r="M233" s="78">
        <f>INDEX('Tabular Pop Data by Age'!$AN$8:$AN$271,MATCH($B233,'Tabular Pop Data by Age'!$B$8:$B$271,0))</f>
        <v>98000</v>
      </c>
      <c r="N233" s="79">
        <f t="shared" si="12"/>
        <v>92.688400000000001</v>
      </c>
      <c r="O233" s="78">
        <f t="shared" si="13"/>
        <v>39.200000000000003</v>
      </c>
      <c r="P233" s="78">
        <f t="shared" si="14"/>
        <v>319.60739999999998</v>
      </c>
      <c r="Q233" s="79">
        <f t="shared" si="15"/>
        <v>46.588536822306281</v>
      </c>
    </row>
    <row r="234" spans="2:17" x14ac:dyDescent="0.25">
      <c r="B234" s="138" t="s">
        <v>652</v>
      </c>
      <c r="C234" s="138" t="s">
        <v>136</v>
      </c>
      <c r="D234" s="138" t="s">
        <v>517</v>
      </c>
      <c r="E234" s="138">
        <f>INDEX('WB Physician Data'!$C$9:$BO$272,MATCH($C234,'WB Physician Data'!$C$9:$C$272,0),MATCH("Latest value",'WB Physician Data'!$C$8:$BO$8,0))</f>
        <v>1.22</v>
      </c>
      <c r="F234" s="138">
        <f>INDEX('WB Physician Data'!$C$9:$BO$272,MATCH($C234,'WB Physician Data'!$C$9:$C$272,0),MATCH("Latest year",'WB Physician Data'!$C$8:$BO$8,0))</f>
        <v>2016</v>
      </c>
      <c r="G234" s="138">
        <f>INDEX('WB CHWs Data'!$C$10:$BP$274,MATCH($C234,'WB CHWs Data'!$C$10:$C$274,0),MATCH("Value",'WB CHWs Data'!$C$10:$BP$10,0))</f>
        <v>0.4</v>
      </c>
      <c r="H234" s="138" t="str">
        <f>'WB CHWs Data'!BO236</f>
        <v>No reported value</v>
      </c>
      <c r="I234" s="84">
        <f>'WB Nurses &amp; Midwives data'!BN234</f>
        <v>1.46</v>
      </c>
      <c r="J234" s="84">
        <f>'WB Nurses &amp; Midwives data'!BO234</f>
        <v>2016</v>
      </c>
      <c r="K234" s="84">
        <f>IFERROR(INDEX('WHO Labs Data'!$C$7:$I$126,MATCH('HCW Summary Data'!$C234,'WHO Labs Data'!$C$7:$C$126,0),7),'WHO Labs Data'!$M$7)</f>
        <v>0.2276050738661016</v>
      </c>
      <c r="M234" s="78">
        <f>INDEX('Tabular Pop Data by Age'!$AN$8:$AN$271,MATCH($B234,'Tabular Pop Data by Age'!$B$8:$B$271,0))</f>
        <v>17501000</v>
      </c>
      <c r="N234" s="79">
        <f t="shared" si="12"/>
        <v>21351.22</v>
      </c>
      <c r="O234" s="78">
        <f t="shared" si="13"/>
        <v>7000.4000000000005</v>
      </c>
      <c r="P234" s="78">
        <f t="shared" si="14"/>
        <v>25551.46</v>
      </c>
      <c r="Q234" s="79">
        <f t="shared" si="15"/>
        <v>3983.316397730644</v>
      </c>
    </row>
    <row r="235" spans="2:17" x14ac:dyDescent="0.25">
      <c r="B235" s="138" t="s">
        <v>659</v>
      </c>
      <c r="C235" s="138" t="s">
        <v>660</v>
      </c>
      <c r="D235" s="138" t="s">
        <v>664</v>
      </c>
      <c r="E235" s="138" t="str">
        <f>INDEX('WB Physician Data'!$C$9:$BO$272,MATCH($C235,'WB Physician Data'!$C$9:$C$272,0),MATCH("Latest value",'WB Physician Data'!$C$8:$BO$8,0))</f>
        <v>No reported value</v>
      </c>
      <c r="F235" s="138" t="str">
        <f>INDEX('WB Physician Data'!$C$9:$BO$272,MATCH($C235,'WB Physician Data'!$C$9:$C$272,0),MATCH("Latest year",'WB Physician Data'!$C$8:$BO$8,0))</f>
        <v>No reported value</v>
      </c>
      <c r="G235" s="138">
        <f>INDEX('WB CHWs Data'!$C$10:$BP$274,MATCH($C235,'WB CHWs Data'!$C$10:$C$274,0),MATCH("Value",'WB CHWs Data'!$C$10:$BP$10,0))</f>
        <v>0.4</v>
      </c>
      <c r="H235" s="138" t="str">
        <f>'WB CHWs Data'!BO237</f>
        <v>No reported value</v>
      </c>
      <c r="I235" s="84" t="str">
        <f>'WB Nurses &amp; Midwives data'!BN235</f>
        <v>No reported value</v>
      </c>
      <c r="J235" s="84" t="str">
        <f>'WB Nurses &amp; Midwives data'!BO235</f>
        <v>No reported value</v>
      </c>
      <c r="K235" s="84">
        <f>IFERROR(INDEX('WHO Labs Data'!$C$7:$I$126,MATCH('HCW Summary Data'!$C235,'WHO Labs Data'!$C$7:$C$126,0),7),'WHO Labs Data'!$M$7)</f>
        <v>0.2276050738661016</v>
      </c>
      <c r="M235" s="78">
        <f>INDEX('Tabular Pop Data by Age'!$AN$8:$AN$271,MATCH($B235,'Tabular Pop Data by Age'!$B$8:$B$271,0))</f>
        <v>39000</v>
      </c>
      <c r="N235" s="79">
        <f t="shared" si="12"/>
        <v>0</v>
      </c>
      <c r="O235" s="78">
        <f t="shared" si="13"/>
        <v>15.600000000000001</v>
      </c>
      <c r="P235" s="78">
        <f t="shared" si="14"/>
        <v>0</v>
      </c>
      <c r="Q235" s="79">
        <f t="shared" si="15"/>
        <v>8.8765978807779629</v>
      </c>
    </row>
    <row r="236" spans="2:17" x14ac:dyDescent="0.25">
      <c r="B236" s="138" t="s">
        <v>189</v>
      </c>
      <c r="C236" s="138" t="s">
        <v>169</v>
      </c>
      <c r="D236" s="138" t="s">
        <v>517</v>
      </c>
      <c r="E236" s="138">
        <f>INDEX('WB Physician Data'!$C$9:$BO$272,MATCH($C236,'WB Physician Data'!$C$9:$C$272,0),MATCH("Latest value",'WB Physician Data'!$C$8:$BO$8,0))</f>
        <v>4.7500000000000001E-2</v>
      </c>
      <c r="F236" s="138">
        <f>INDEX('WB Physician Data'!$C$9:$BO$272,MATCH($C236,'WB Physician Data'!$C$9:$C$272,0),MATCH("Latest year",'WB Physician Data'!$C$8:$BO$8,0))</f>
        <v>2016</v>
      </c>
      <c r="G236" s="138">
        <f>INDEX('WB CHWs Data'!$C$10:$BP$274,MATCH($C236,'WB CHWs Data'!$C$10:$C$274,0),MATCH("Value",'WB CHWs Data'!$C$10:$BP$10,0))</f>
        <v>1.6E-2</v>
      </c>
      <c r="H236" s="138">
        <f>'WB CHWs Data'!BO238</f>
        <v>2004</v>
      </c>
      <c r="I236" s="84">
        <f>'WB Nurses &amp; Midwives data'!BN236</f>
        <v>0.36370000000000002</v>
      </c>
      <c r="J236" s="84">
        <f>'WB Nurses &amp; Midwives data'!BO236</f>
        <v>2016</v>
      </c>
      <c r="K236" s="84">
        <f>IFERROR(INDEX('WHO Labs Data'!$C$7:$I$126,MATCH('HCW Summary Data'!$C236,'WHO Labs Data'!$C$7:$C$126,0),7),'WHO Labs Data'!$M$7)</f>
        <v>1.9770314175489707E-2</v>
      </c>
      <c r="M236" s="78">
        <f>INDEX('Tabular Pop Data by Age'!$AN$8:$AN$271,MATCH($B236,'Tabular Pop Data by Age'!$B$8:$B$271,0))</f>
        <v>16426000</v>
      </c>
      <c r="N236" s="79">
        <f t="shared" si="12"/>
        <v>780.23500000000001</v>
      </c>
      <c r="O236" s="78">
        <f t="shared" si="13"/>
        <v>262.81600000000003</v>
      </c>
      <c r="P236" s="78">
        <f t="shared" si="14"/>
        <v>5974.1362000000008</v>
      </c>
      <c r="Q236" s="79">
        <f t="shared" si="15"/>
        <v>324.7471806465939</v>
      </c>
    </row>
    <row r="237" spans="2:17" x14ac:dyDescent="0.25">
      <c r="B237" s="138" t="s">
        <v>481</v>
      </c>
      <c r="C237" s="138" t="s">
        <v>482</v>
      </c>
      <c r="D237" s="138" t="s">
        <v>1182</v>
      </c>
      <c r="E237" s="138">
        <f>INDEX('WB Physician Data'!$C$9:$BO$272,MATCH($C237,'WB Physician Data'!$C$9:$C$272,0),MATCH("Latest value",'WB Physician Data'!$C$8:$BO$8,0))</f>
        <v>1.4486429865861432</v>
      </c>
      <c r="F237" s="138">
        <f>INDEX('WB Physician Data'!$C$9:$BO$272,MATCH($C237,'WB Physician Data'!$C$9:$C$272,0),MATCH("Latest year",'WB Physician Data'!$C$8:$BO$8,0))</f>
        <v>2015</v>
      </c>
      <c r="G237" s="138">
        <f>INDEX('WB CHWs Data'!$C$10:$BP$274,MATCH($C237,'WB CHWs Data'!$C$10:$C$274,0),MATCH("Value",'WB CHWs Data'!$C$10:$BP$10,0))</f>
        <v>0.6814814941465519</v>
      </c>
      <c r="H237" s="138">
        <f>'WB CHWs Data'!BO239</f>
        <v>2011</v>
      </c>
      <c r="I237" s="84">
        <f>'WB Nurses &amp; Midwives data'!BN237</f>
        <v>2.1248211972701894</v>
      </c>
      <c r="J237" s="84">
        <f>'WB Nurses &amp; Midwives data'!BO237</f>
        <v>2015</v>
      </c>
      <c r="K237" s="84">
        <f>IFERROR(INDEX('WHO Labs Data'!$C$7:$I$126,MATCH('HCW Summary Data'!$C237,'WHO Labs Data'!$C$7:$C$126,0),7),'WHO Labs Data'!$M$7)</f>
        <v>0.2276050738661016</v>
      </c>
      <c r="M237" s="78">
        <f>INDEX('Tabular Pop Data by Age'!$AN$8:$AN$271,MATCH($B237,'Tabular Pop Data by Age'!$B$8:$B$271,0))</f>
        <v>2078467000</v>
      </c>
      <c r="N237" s="79">
        <f t="shared" si="12"/>
        <v>3010956.6424007411</v>
      </c>
      <c r="O237" s="78">
        <f t="shared" si="13"/>
        <v>1416436.7966943013</v>
      </c>
      <c r="P237" s="78">
        <f t="shared" si="14"/>
        <v>4416370.7394265784</v>
      </c>
      <c r="Q237" s="79">
        <f t="shared" si="15"/>
        <v>473069.63506325457</v>
      </c>
    </row>
    <row r="238" spans="2:17" x14ac:dyDescent="0.25">
      <c r="B238" s="138" t="s">
        <v>493</v>
      </c>
      <c r="C238" s="138" t="s">
        <v>494</v>
      </c>
      <c r="D238" s="138" t="s">
        <v>1182</v>
      </c>
      <c r="E238" s="138">
        <f>INDEX('WB Physician Data'!$C$9:$BO$272,MATCH($C238,'WB Physician Data'!$C$9:$C$272,0),MATCH("Latest value",'WB Physician Data'!$C$8:$BO$8,0))</f>
        <v>2.9904806133074908</v>
      </c>
      <c r="F238" s="138">
        <f>INDEX('WB Physician Data'!$C$9:$BO$272,MATCH($C238,'WB Physician Data'!$C$9:$C$272,0),MATCH("Latest year",'WB Physician Data'!$C$8:$BO$8,0))</f>
        <v>2015</v>
      </c>
      <c r="G238" s="138">
        <f>INDEX('WB CHWs Data'!$C$10:$BP$274,MATCH($C238,'WB CHWs Data'!$C$10:$C$274,0),MATCH("Value",'WB CHWs Data'!$C$10:$BP$10,0))</f>
        <v>0.4</v>
      </c>
      <c r="H238" s="138" t="str">
        <f>'WB CHWs Data'!BO240</f>
        <v>No reported value</v>
      </c>
      <c r="I238" s="84">
        <f>'WB Nurses &amp; Midwives data'!BN238</f>
        <v>6.9216664116514464</v>
      </c>
      <c r="J238" s="84">
        <f>'WB Nurses &amp; Midwives data'!BO238</f>
        <v>2015</v>
      </c>
      <c r="K238" s="84">
        <f>IFERROR(INDEX('WHO Labs Data'!$C$7:$I$126,MATCH('HCW Summary Data'!$C238,'WHO Labs Data'!$C$7:$C$126,0),7),'WHO Labs Data'!$M$7)</f>
        <v>0.2276050738661016</v>
      </c>
      <c r="M238" s="78">
        <f>INDEX('Tabular Pop Data by Age'!$AN$8:$AN$271,MATCH($B238,'Tabular Pop Data by Age'!$B$8:$B$271,0))</f>
        <v>462615000</v>
      </c>
      <c r="N238" s="79">
        <f t="shared" si="12"/>
        <v>1383441.1889252448</v>
      </c>
      <c r="O238" s="78">
        <f t="shared" si="13"/>
        <v>185046</v>
      </c>
      <c r="P238" s="78">
        <f t="shared" si="14"/>
        <v>3202066.7070261338</v>
      </c>
      <c r="Q238" s="79">
        <f t="shared" si="15"/>
        <v>105293.5212465666</v>
      </c>
    </row>
    <row r="239" spans="2:17" x14ac:dyDescent="0.25">
      <c r="B239" s="138" t="s">
        <v>215</v>
      </c>
      <c r="C239" s="138" t="s">
        <v>137</v>
      </c>
      <c r="D239" s="138" t="s">
        <v>664</v>
      </c>
      <c r="E239" s="138">
        <f>INDEX('WB Physician Data'!$C$9:$BO$272,MATCH($C239,'WB Physician Data'!$C$9:$C$272,0),MATCH("Latest value",'WB Physician Data'!$C$8:$BO$8,0))</f>
        <v>4.87E-2</v>
      </c>
      <c r="F239" s="138">
        <f>INDEX('WB Physician Data'!$C$9:$BO$272,MATCH($C239,'WB Physician Data'!$C$9:$C$272,0),MATCH("Latest year",'WB Physician Data'!$C$8:$BO$8,0))</f>
        <v>2015</v>
      </c>
      <c r="G239" s="138">
        <f>INDEX('WB CHWs Data'!$C$10:$BP$274,MATCH($C239,'WB CHWs Data'!$C$10:$C$274,0),MATCH("Value",'WB CHWs Data'!$C$10:$BP$10,0))</f>
        <v>0.4</v>
      </c>
      <c r="H239" s="138" t="str">
        <f>'WB CHWs Data'!BO241</f>
        <v>No reported value</v>
      </c>
      <c r="I239" s="84">
        <f>'WB Nurses &amp; Midwives data'!BN239</f>
        <v>0.29799999999999999</v>
      </c>
      <c r="J239" s="84">
        <f>'WB Nurses &amp; Midwives data'!BO239</f>
        <v>2015</v>
      </c>
      <c r="K239" s="84">
        <f>IFERROR(INDEX('WHO Labs Data'!$C$7:$I$126,MATCH('HCW Summary Data'!$C239,'WHO Labs Data'!$C$7:$C$126,0),7),'WHO Labs Data'!$M$7)</f>
        <v>5.1590207950367936E-2</v>
      </c>
      <c r="M239" s="78">
        <f>INDEX('Tabular Pop Data by Age'!$AN$8:$AN$271,MATCH($B239,'Tabular Pop Data by Age'!$B$8:$B$271,0))</f>
        <v>8279000</v>
      </c>
      <c r="N239" s="79">
        <f t="shared" si="12"/>
        <v>403.18729999999999</v>
      </c>
      <c r="O239" s="78">
        <f t="shared" si="13"/>
        <v>3311.6000000000004</v>
      </c>
      <c r="P239" s="78">
        <f t="shared" si="14"/>
        <v>2467.1419999999998</v>
      </c>
      <c r="Q239" s="79">
        <f t="shared" si="15"/>
        <v>427.11533162109612</v>
      </c>
    </row>
    <row r="240" spans="2:17" x14ac:dyDescent="0.25">
      <c r="B240" s="138" t="s">
        <v>654</v>
      </c>
      <c r="C240" s="138" t="s">
        <v>138</v>
      </c>
      <c r="D240" s="138" t="s">
        <v>561</v>
      </c>
      <c r="E240" s="138">
        <f>INDEX('WB Physician Data'!$C$9:$BO$272,MATCH($C240,'WB Physician Data'!$C$9:$C$272,0),MATCH("Latest value",'WB Physician Data'!$C$8:$BO$8,0))</f>
        <v>0.80959999999999999</v>
      </c>
      <c r="F240" s="138">
        <f>INDEX('WB Physician Data'!$C$9:$BO$272,MATCH($C240,'WB Physician Data'!$C$9:$C$272,0),MATCH("Latest year",'WB Physician Data'!$C$8:$BO$8,0))</f>
        <v>2017</v>
      </c>
      <c r="G240" s="138">
        <f>INDEX('WB CHWs Data'!$C$10:$BP$274,MATCH($C240,'WB CHWs Data'!$C$10:$C$274,0),MATCH("Value",'WB CHWs Data'!$C$10:$BP$10,0))</f>
        <v>5.8999999999999997E-2</v>
      </c>
      <c r="H240" s="138">
        <f>'WB CHWs Data'!BO242</f>
        <v>2000</v>
      </c>
      <c r="I240" s="84">
        <f>'WB Nurses &amp; Midwives data'!BN240</f>
        <v>2.9647000000000001</v>
      </c>
      <c r="J240" s="84">
        <f>'WB Nurses &amp; Midwives data'!BO240</f>
        <v>2017</v>
      </c>
      <c r="K240" s="84">
        <f>IFERROR(INDEX('WHO Labs Data'!$C$7:$I$126,MATCH('HCW Summary Data'!$C240,'WHO Labs Data'!$C$7:$C$126,0),7),'WHO Labs Data'!$M$7)</f>
        <v>3.5172863533725708E-2</v>
      </c>
      <c r="M240" s="78">
        <f>INDEX('Tabular Pop Data by Age'!$AN$8:$AN$271,MATCH($B240,'Tabular Pop Data by Age'!$B$8:$B$271,0))</f>
        <v>69800000</v>
      </c>
      <c r="N240" s="79">
        <f t="shared" si="12"/>
        <v>56510.080000000002</v>
      </c>
      <c r="O240" s="78">
        <f t="shared" si="13"/>
        <v>4118.2</v>
      </c>
      <c r="P240" s="78">
        <f t="shared" si="14"/>
        <v>206936.06</v>
      </c>
      <c r="Q240" s="79">
        <f t="shared" si="15"/>
        <v>2455.0658746540544</v>
      </c>
    </row>
    <row r="241" spans="2:17" x14ac:dyDescent="0.25">
      <c r="B241" s="138" t="s">
        <v>238</v>
      </c>
      <c r="C241" s="138" t="s">
        <v>163</v>
      </c>
      <c r="D241" s="138" t="s">
        <v>559</v>
      </c>
      <c r="E241" s="138">
        <f>INDEX('WB Physician Data'!$C$9:$BO$272,MATCH($C241,'WB Physician Data'!$C$9:$C$272,0),MATCH("Latest value",'WB Physician Data'!$C$8:$BO$8,0))</f>
        <v>1.7002999999999999</v>
      </c>
      <c r="F241" s="138">
        <f>INDEX('WB Physician Data'!$C$9:$BO$272,MATCH($C241,'WB Physician Data'!$C$9:$C$272,0),MATCH("Latest year",'WB Physician Data'!$C$8:$BO$8,0))</f>
        <v>2014</v>
      </c>
      <c r="G241" s="138">
        <f>INDEX('WB CHWs Data'!$C$10:$BP$274,MATCH($C241,'WB CHWs Data'!$C$10:$C$274,0),MATCH("Value",'WB CHWs Data'!$C$10:$BP$10,0))</f>
        <v>0.4</v>
      </c>
      <c r="H241" s="138" t="str">
        <f>'WB CHWs Data'!BO243</f>
        <v>No reported value</v>
      </c>
      <c r="I241" s="84">
        <f>'WB Nurses &amp; Midwives data'!BN241</f>
        <v>5.2329999999999997</v>
      </c>
      <c r="J241" s="84">
        <f>'WB Nurses &amp; Midwives data'!BO241</f>
        <v>2014</v>
      </c>
      <c r="K241" s="84">
        <f>IFERROR(INDEX('WHO Labs Data'!$C$7:$I$126,MATCH('HCW Summary Data'!$C241,'WHO Labs Data'!$C$7:$C$126,0),7),'WHO Labs Data'!$M$7)</f>
        <v>0.2276050738661016</v>
      </c>
      <c r="M241" s="78">
        <f>INDEX('Tabular Pop Data by Age'!$AN$8:$AN$271,MATCH($B241,'Tabular Pop Data by Age'!$B$8:$B$271,0))</f>
        <v>9538000</v>
      </c>
      <c r="N241" s="79">
        <f t="shared" si="12"/>
        <v>16217.4614</v>
      </c>
      <c r="O241" s="78">
        <f t="shared" si="13"/>
        <v>3815.2000000000003</v>
      </c>
      <c r="P241" s="78">
        <f t="shared" si="14"/>
        <v>49912.353999999999</v>
      </c>
      <c r="Q241" s="79">
        <f t="shared" si="15"/>
        <v>2170.8971945348771</v>
      </c>
    </row>
    <row r="242" spans="2:17" x14ac:dyDescent="0.25">
      <c r="B242" s="138" t="s">
        <v>658</v>
      </c>
      <c r="C242" s="138" t="s">
        <v>139</v>
      </c>
      <c r="D242" s="138" t="s">
        <v>517</v>
      </c>
      <c r="E242" s="138">
        <f>INDEX('WB Physician Data'!$C$9:$BO$272,MATCH($C242,'WB Physician Data'!$C$9:$C$272,0),MATCH("Latest value",'WB Physician Data'!$C$8:$BO$8,0))</f>
        <v>2.2248000000000001</v>
      </c>
      <c r="F242" s="138">
        <f>INDEX('WB Physician Data'!$C$9:$BO$272,MATCH($C242,'WB Physician Data'!$C$9:$C$272,0),MATCH("Latest year",'WB Physician Data'!$C$8:$BO$8,0))</f>
        <v>2014</v>
      </c>
      <c r="G242" s="138">
        <f>INDEX('WB CHWs Data'!$C$10:$BP$274,MATCH($C242,'WB CHWs Data'!$C$10:$C$274,0),MATCH("Value",'WB CHWs Data'!$C$10:$BP$10,0))</f>
        <v>0.4</v>
      </c>
      <c r="H242" s="138" t="str">
        <f>'WB CHWs Data'!BO244</f>
        <v>No reported value</v>
      </c>
      <c r="I242" s="84">
        <f>'WB Nurses &amp; Midwives data'!BN242</f>
        <v>4.6306000000000003</v>
      </c>
      <c r="J242" s="84">
        <f>'WB Nurses &amp; Midwives data'!BO242</f>
        <v>2014</v>
      </c>
      <c r="K242" s="84">
        <f>IFERROR(INDEX('WHO Labs Data'!$C$7:$I$126,MATCH('HCW Summary Data'!$C242,'WHO Labs Data'!$C$7:$C$126,0),7),'WHO Labs Data'!$M$7)</f>
        <v>0.2276050738661016</v>
      </c>
      <c r="M242" s="78">
        <f>INDEX('Tabular Pop Data by Age'!$AN$8:$AN$271,MATCH($B242,'Tabular Pop Data by Age'!$B$8:$B$271,0))</f>
        <v>6031000</v>
      </c>
      <c r="N242" s="79">
        <f t="shared" si="12"/>
        <v>13417.7688</v>
      </c>
      <c r="O242" s="78">
        <f t="shared" si="13"/>
        <v>2412.4</v>
      </c>
      <c r="P242" s="78">
        <f t="shared" si="14"/>
        <v>27927.1486</v>
      </c>
      <c r="Q242" s="79">
        <f t="shared" si="15"/>
        <v>1372.6862004864588</v>
      </c>
    </row>
    <row r="243" spans="2:17" x14ac:dyDescent="0.25">
      <c r="B243" s="138" t="s">
        <v>547</v>
      </c>
      <c r="C243" s="138" t="s">
        <v>548</v>
      </c>
      <c r="D243" s="138" t="s">
        <v>1182</v>
      </c>
      <c r="E243" s="138">
        <f>INDEX('WB Physician Data'!$C$9:$BO$272,MATCH($C243,'WB Physician Data'!$C$9:$C$272,0),MATCH("Latest value",'WB Physician Data'!$C$8:$BO$8,0))</f>
        <v>2.0517429280473296</v>
      </c>
      <c r="F243" s="138">
        <f>INDEX('WB Physician Data'!$C$9:$BO$272,MATCH($C243,'WB Physician Data'!$C$9:$C$272,0),MATCH("Latest year",'WB Physician Data'!$C$8:$BO$8,0))</f>
        <v>2015</v>
      </c>
      <c r="G243" s="138">
        <f>INDEX('WB CHWs Data'!$C$10:$BP$274,MATCH($C243,'WB CHWs Data'!$C$10:$C$274,0),MATCH("Value",'WB CHWs Data'!$C$10:$BP$10,0))</f>
        <v>0.4</v>
      </c>
      <c r="H243" s="138" t="str">
        <f>'WB CHWs Data'!BO245</f>
        <v>No reported value</v>
      </c>
      <c r="I243" s="84">
        <f>'WB Nurses &amp; Midwives data'!BN243</f>
        <v>4.6623691490508543</v>
      </c>
      <c r="J243" s="84">
        <f>'WB Nurses &amp; Midwives data'!BO243</f>
        <v>2015</v>
      </c>
      <c r="K243" s="84">
        <f>IFERROR(INDEX('WHO Labs Data'!$C$7:$I$126,MATCH('HCW Summary Data'!$C243,'WHO Labs Data'!$C$7:$C$126,0),7),'WHO Labs Data'!$M$7)</f>
        <v>0.2276050738661016</v>
      </c>
      <c r="M243" s="78">
        <f>INDEX('Tabular Pop Data by Age'!$AN$8:$AN$271,MATCH($B243,'Tabular Pop Data by Age'!$B$8:$B$271,0))</f>
        <v>637480000</v>
      </c>
      <c r="N243" s="79">
        <f t="shared" si="12"/>
        <v>1307945.0817716117</v>
      </c>
      <c r="O243" s="78">
        <f t="shared" si="13"/>
        <v>254992</v>
      </c>
      <c r="P243" s="78">
        <f t="shared" si="14"/>
        <v>2972167.0851369384</v>
      </c>
      <c r="Q243" s="79">
        <f t="shared" si="15"/>
        <v>145093.68248816245</v>
      </c>
    </row>
    <row r="244" spans="2:17" x14ac:dyDescent="0.25">
      <c r="B244" s="138" t="s">
        <v>246</v>
      </c>
      <c r="C244" s="138" t="s">
        <v>140</v>
      </c>
      <c r="D244" s="138" t="s">
        <v>559</v>
      </c>
      <c r="E244" s="138">
        <f>INDEX('WB Physician Data'!$C$9:$BO$272,MATCH($C244,'WB Physician Data'!$C$9:$C$272,0),MATCH("Latest value",'WB Physician Data'!$C$8:$BO$8,0))</f>
        <v>0.71970000000000001</v>
      </c>
      <c r="F244" s="138">
        <f>INDEX('WB Physician Data'!$C$9:$BO$272,MATCH($C244,'WB Physician Data'!$C$9:$C$272,0),MATCH("Latest year",'WB Physician Data'!$C$8:$BO$8,0))</f>
        <v>2017</v>
      </c>
      <c r="G244" s="138">
        <f>INDEX('WB CHWs Data'!$C$10:$BP$274,MATCH($C244,'WB CHWs Data'!$C$10:$C$274,0),MATCH("Value",'WB CHWs Data'!$C$10:$BP$10,0))</f>
        <v>0.01</v>
      </c>
      <c r="H244" s="138">
        <f>'WB CHWs Data'!BO246</f>
        <v>2004</v>
      </c>
      <c r="I244" s="84">
        <f>'WB Nurses &amp; Midwives data'!BN244</f>
        <v>1.6700999999999999</v>
      </c>
      <c r="J244" s="84">
        <f>'WB Nurses &amp; Midwives data'!BO244</f>
        <v>2017</v>
      </c>
      <c r="K244" s="84">
        <f>IFERROR(INDEX('WHO Labs Data'!$C$7:$I$126,MATCH('HCW Summary Data'!$C244,'WHO Labs Data'!$C$7:$C$126,0),7),'WHO Labs Data'!$M$7)</f>
        <v>0.10410324518207026</v>
      </c>
      <c r="M244" s="78">
        <f>INDEX('Tabular Pop Data by Age'!$AN$8:$AN$271,MATCH($B244,'Tabular Pop Data by Age'!$B$8:$B$271,0))</f>
        <v>1318000</v>
      </c>
      <c r="N244" s="79">
        <f t="shared" si="12"/>
        <v>948.56460000000004</v>
      </c>
      <c r="O244" s="78">
        <f t="shared" si="13"/>
        <v>13.18</v>
      </c>
      <c r="P244" s="78">
        <f t="shared" si="14"/>
        <v>2201.1918000000001</v>
      </c>
      <c r="Q244" s="79">
        <f t="shared" si="15"/>
        <v>137.2080771499686</v>
      </c>
    </row>
    <row r="245" spans="2:17" x14ac:dyDescent="0.25">
      <c r="B245" s="138" t="s">
        <v>576</v>
      </c>
      <c r="C245" s="138" t="s">
        <v>577</v>
      </c>
      <c r="D245" s="138" t="s">
        <v>1182</v>
      </c>
      <c r="E245" s="138">
        <f>INDEX('WB Physician Data'!$C$9:$BO$272,MATCH($C245,'WB Physician Data'!$C$9:$C$272,0),MATCH("Latest value",'WB Physician Data'!$C$8:$BO$8,0))</f>
        <v>1.0694376664304046</v>
      </c>
      <c r="F245" s="138">
        <f>INDEX('WB Physician Data'!$C$9:$BO$272,MATCH($C245,'WB Physician Data'!$C$9:$C$272,0),MATCH("Latest year",'WB Physician Data'!$C$8:$BO$8,0))</f>
        <v>2015</v>
      </c>
      <c r="G245" s="138">
        <f>INDEX('WB CHWs Data'!$C$10:$BP$274,MATCH($C245,'WB CHWs Data'!$C$10:$C$274,0),MATCH("Value",'WB CHWs Data'!$C$10:$BP$10,0))</f>
        <v>0.4</v>
      </c>
      <c r="H245" s="138" t="str">
        <f>'WB CHWs Data'!BO247</f>
        <v>No reported value</v>
      </c>
      <c r="I245" s="84">
        <f>'WB Nurses &amp; Midwives data'!BN245</f>
        <v>1.752603675461049</v>
      </c>
      <c r="J245" s="84">
        <f>'WB Nurses &amp; Midwives data'!BO245</f>
        <v>2015</v>
      </c>
      <c r="K245" s="84">
        <f>IFERROR(INDEX('WHO Labs Data'!$C$7:$I$126,MATCH('HCW Summary Data'!$C245,'WHO Labs Data'!$C$7:$C$126,0),7),'WHO Labs Data'!$M$7)</f>
        <v>0.2276050738661016</v>
      </c>
      <c r="M245" s="78">
        <f>INDEX('Tabular Pop Data by Age'!$AN$8:$AN$271,MATCH($B245,'Tabular Pop Data by Age'!$B$8:$B$271,0))</f>
        <v>391344000</v>
      </c>
      <c r="N245" s="79">
        <f t="shared" si="12"/>
        <v>418518.01413154026</v>
      </c>
      <c r="O245" s="78">
        <f t="shared" si="13"/>
        <v>156537.60000000001</v>
      </c>
      <c r="P245" s="78">
        <f t="shared" si="14"/>
        <v>685870.93276962871</v>
      </c>
      <c r="Q245" s="79">
        <f t="shared" si="15"/>
        <v>89071.880027055668</v>
      </c>
    </row>
    <row r="246" spans="2:17" x14ac:dyDescent="0.25">
      <c r="B246" s="138" t="s">
        <v>256</v>
      </c>
      <c r="C246" s="138" t="s">
        <v>141</v>
      </c>
      <c r="D246" s="138" t="s">
        <v>517</v>
      </c>
      <c r="E246" s="138">
        <f>INDEX('WB Physician Data'!$C$9:$BO$272,MATCH($C246,'WB Physician Data'!$C$9:$C$272,0),MATCH("Latest value",'WB Physician Data'!$C$8:$BO$8,0))</f>
        <v>0.52229999999999999</v>
      </c>
      <c r="F246" s="138">
        <f>INDEX('WB Physician Data'!$C$9:$BO$272,MATCH($C246,'WB Physician Data'!$C$9:$C$272,0),MATCH("Latest year",'WB Physician Data'!$C$8:$BO$8,0))</f>
        <v>2013</v>
      </c>
      <c r="G246" s="138">
        <f>INDEX('WB CHWs Data'!$C$10:$BP$274,MATCH($C246,'WB CHWs Data'!$C$10:$C$274,0),MATCH("Value",'WB CHWs Data'!$C$10:$BP$10,0))</f>
        <v>0.4</v>
      </c>
      <c r="H246" s="138" t="str">
        <f>'WB CHWs Data'!BO248</f>
        <v>No reported value</v>
      </c>
      <c r="I246" s="84">
        <f>'WB Nurses &amp; Midwives data'!BN246</f>
        <v>3.9319999999999999</v>
      </c>
      <c r="J246" s="84">
        <f>'WB Nurses &amp; Midwives data'!BO246</f>
        <v>2016</v>
      </c>
      <c r="K246" s="84">
        <f>IFERROR(INDEX('WHO Labs Data'!$C$7:$I$126,MATCH('HCW Summary Data'!$C246,'WHO Labs Data'!$C$7:$C$126,0),7),'WHO Labs Data'!$M$7)</f>
        <v>0.24225510431504793</v>
      </c>
      <c r="M246" s="78">
        <f>INDEX('Tabular Pop Data by Age'!$AN$8:$AN$271,MATCH($B246,'Tabular Pop Data by Age'!$B$8:$B$271,0))</f>
        <v>106000</v>
      </c>
      <c r="N246" s="79">
        <f t="shared" si="12"/>
        <v>55.363799999999998</v>
      </c>
      <c r="O246" s="78">
        <f t="shared" si="13"/>
        <v>42.400000000000006</v>
      </c>
      <c r="P246" s="78">
        <f t="shared" si="14"/>
        <v>416.79199999999997</v>
      </c>
      <c r="Q246" s="79">
        <f t="shared" si="15"/>
        <v>25.679041057395082</v>
      </c>
    </row>
    <row r="247" spans="2:17" x14ac:dyDescent="0.25">
      <c r="B247" s="138" t="s">
        <v>632</v>
      </c>
      <c r="C247" s="138" t="s">
        <v>633</v>
      </c>
      <c r="D247" s="138" t="s">
        <v>1182</v>
      </c>
      <c r="E247" s="138">
        <f>INDEX('WB Physician Data'!$C$9:$BO$272,MATCH($C247,'WB Physician Data'!$C$9:$C$272,0),MATCH("Latest value",'WB Physician Data'!$C$8:$BO$8,0))</f>
        <v>0.76812752286180397</v>
      </c>
      <c r="F247" s="138">
        <f>INDEX('WB Physician Data'!$C$9:$BO$272,MATCH($C247,'WB Physician Data'!$C$9:$C$272,0),MATCH("Latest year",'WB Physician Data'!$C$8:$BO$8,0))</f>
        <v>2015</v>
      </c>
      <c r="G247" s="138">
        <f>INDEX('WB CHWs Data'!$C$10:$BP$274,MATCH($C247,'WB CHWs Data'!$C$10:$C$274,0),MATCH("Value",'WB CHWs Data'!$C$10:$BP$10,0))</f>
        <v>0.51390419136430177</v>
      </c>
      <c r="H247" s="138">
        <f>'WB CHWs Data'!BO249</f>
        <v>2011</v>
      </c>
      <c r="I247" s="84">
        <f>'WB Nurses &amp; Midwives data'!BN247</f>
        <v>1.7372389586483101</v>
      </c>
      <c r="J247" s="84">
        <f>'WB Nurses &amp; Midwives data'!BO247</f>
        <v>2015</v>
      </c>
      <c r="K247" s="84">
        <f>IFERROR(INDEX('WHO Labs Data'!$C$7:$I$126,MATCH('HCW Summary Data'!$C247,'WHO Labs Data'!$C$7:$C$126,0),7),'WHO Labs Data'!$M$7)</f>
        <v>0.2276050738661016</v>
      </c>
      <c r="M247" s="78">
        <f>INDEX('Tabular Pop Data by Age'!$AN$8:$AN$271,MATCH($B247,'Tabular Pop Data by Age'!$B$8:$B$271,0))</f>
        <v>1856800000</v>
      </c>
      <c r="N247" s="79">
        <f t="shared" si="12"/>
        <v>1426259.1844497975</v>
      </c>
      <c r="O247" s="78">
        <f t="shared" si="13"/>
        <v>954217.30252523557</v>
      </c>
      <c r="P247" s="78">
        <f t="shared" si="14"/>
        <v>3225705.2984181824</v>
      </c>
      <c r="Q247" s="79">
        <f t="shared" si="15"/>
        <v>422617.10115457745</v>
      </c>
    </row>
    <row r="248" spans="2:17" x14ac:dyDescent="0.25">
      <c r="B248" s="138" t="s">
        <v>648</v>
      </c>
      <c r="C248" s="138" t="s">
        <v>649</v>
      </c>
      <c r="D248" s="138" t="s">
        <v>1182</v>
      </c>
      <c r="E248" s="138">
        <f>INDEX('WB Physician Data'!$C$9:$BO$272,MATCH($C248,'WB Physician Data'!$C$9:$C$272,0),MATCH("Latest value",'WB Physician Data'!$C$8:$BO$8,0))</f>
        <v>0.2196453959396874</v>
      </c>
      <c r="F248" s="138">
        <f>INDEX('WB Physician Data'!$C$9:$BO$272,MATCH($C248,'WB Physician Data'!$C$9:$C$272,0),MATCH("Latest year",'WB Physician Data'!$C$8:$BO$8,0))</f>
        <v>2015</v>
      </c>
      <c r="G248" s="138">
        <f>INDEX('WB CHWs Data'!$C$10:$BP$274,MATCH($C248,'WB CHWs Data'!$C$10:$C$274,0),MATCH("Value",'WB CHWs Data'!$C$10:$BP$10,0))</f>
        <v>0.4</v>
      </c>
      <c r="H248" s="138" t="str">
        <f>'WB CHWs Data'!BO250</f>
        <v>No reported value</v>
      </c>
      <c r="I248" s="84">
        <f>'WB Nurses &amp; Midwives data'!BN248</f>
        <v>1.0285959901671162</v>
      </c>
      <c r="J248" s="84">
        <f>'WB Nurses &amp; Midwives data'!BO248</f>
        <v>2015</v>
      </c>
      <c r="K248" s="84">
        <f>IFERROR(INDEX('WHO Labs Data'!$C$7:$I$126,MATCH('HCW Summary Data'!$C248,'WHO Labs Data'!$C$7:$C$126,0),7),'WHO Labs Data'!$M$7)</f>
        <v>0.2276050738661016</v>
      </c>
      <c r="M248" s="78">
        <f>INDEX('Tabular Pop Data by Age'!$AN$8:$AN$271,MATCH($B248,'Tabular Pop Data by Age'!$B$8:$B$271,0))</f>
        <v>1136052000</v>
      </c>
      <c r="N248" s="79">
        <f t="shared" si="12"/>
        <v>249528.59134807377</v>
      </c>
      <c r="O248" s="78">
        <f t="shared" si="13"/>
        <v>454420.80000000005</v>
      </c>
      <c r="P248" s="78">
        <f t="shared" si="14"/>
        <v>1168538.5318213326</v>
      </c>
      <c r="Q248" s="79">
        <f t="shared" si="15"/>
        <v>258571.19937573245</v>
      </c>
    </row>
    <row r="249" spans="2:17" x14ac:dyDescent="0.25">
      <c r="B249" s="138" t="s">
        <v>655</v>
      </c>
      <c r="C249" s="138" t="s">
        <v>142</v>
      </c>
      <c r="D249" s="138" t="s">
        <v>561</v>
      </c>
      <c r="E249" s="138">
        <f>INDEX('WB Physician Data'!$C$9:$BO$272,MATCH($C249,'WB Physician Data'!$C$9:$C$272,0),MATCH("Latest value",'WB Physician Data'!$C$8:$BO$8,0))</f>
        <v>2.6697000000000002</v>
      </c>
      <c r="F249" s="138">
        <f>INDEX('WB Physician Data'!$C$9:$BO$272,MATCH($C249,'WB Physician Data'!$C$9:$C$272,0),MATCH("Latest year",'WB Physician Data'!$C$8:$BO$8,0))</f>
        <v>2015</v>
      </c>
      <c r="G249" s="138">
        <f>INDEX('WB CHWs Data'!$C$10:$BP$274,MATCH($C249,'WB CHWs Data'!$C$10:$C$274,0),MATCH("Value",'WB CHWs Data'!$C$10:$BP$10,0))</f>
        <v>0.4</v>
      </c>
      <c r="H249" s="138" t="str">
        <f>'WB CHWs Data'!BO251</f>
        <v>No reported value</v>
      </c>
      <c r="I249" s="84">
        <f>'WB Nurses &amp; Midwives data'!BN249</f>
        <v>3.5093000000000001</v>
      </c>
      <c r="J249" s="84">
        <f>'WB Nurses &amp; Midwives data'!BO249</f>
        <v>2015</v>
      </c>
      <c r="K249" s="84">
        <f>IFERROR(INDEX('WHO Labs Data'!$C$7:$I$126,MATCH('HCW Summary Data'!$C249,'WHO Labs Data'!$C$7:$C$126,0),7),'WHO Labs Data'!$M$7)</f>
        <v>0.2276050738661016</v>
      </c>
      <c r="M249" s="78">
        <f>INDEX('Tabular Pop Data by Age'!$AN$8:$AN$271,MATCH($B249,'Tabular Pop Data by Age'!$B$8:$B$271,0))</f>
        <v>1399000</v>
      </c>
      <c r="N249" s="79">
        <f t="shared" si="12"/>
        <v>3734.9103000000005</v>
      </c>
      <c r="O249" s="78">
        <f t="shared" si="13"/>
        <v>559.6</v>
      </c>
      <c r="P249" s="78">
        <f t="shared" si="14"/>
        <v>4909.5106999999998</v>
      </c>
      <c r="Q249" s="79">
        <f t="shared" si="15"/>
        <v>318.41949833867614</v>
      </c>
    </row>
    <row r="250" spans="2:17" x14ac:dyDescent="0.25">
      <c r="B250" s="138" t="s">
        <v>656</v>
      </c>
      <c r="C250" s="138" t="s">
        <v>143</v>
      </c>
      <c r="D250" s="138" t="s">
        <v>664</v>
      </c>
      <c r="E250" s="138">
        <f>INDEX('WB Physician Data'!$C$9:$BO$272,MATCH($C250,'WB Physician Data'!$C$9:$C$272,0),MATCH("Latest value",'WB Physician Data'!$C$8:$BO$8,0))</f>
        <v>1.2722</v>
      </c>
      <c r="F250" s="138">
        <f>INDEX('WB Physician Data'!$C$9:$BO$272,MATCH($C250,'WB Physician Data'!$C$9:$C$272,0),MATCH("Latest year",'WB Physician Data'!$C$8:$BO$8,0))</f>
        <v>2016</v>
      </c>
      <c r="G250" s="138">
        <f>INDEX('WB CHWs Data'!$C$10:$BP$274,MATCH($C250,'WB CHWs Data'!$C$10:$C$274,0),MATCH("Value",'WB CHWs Data'!$C$10:$BP$10,0))</f>
        <v>0.4</v>
      </c>
      <c r="H250" s="138" t="str">
        <f>'WB CHWs Data'!BO252</f>
        <v>No reported value</v>
      </c>
      <c r="I250" s="84">
        <f>'WB Nurses &amp; Midwives data'!BN250</f>
        <v>2.6351</v>
      </c>
      <c r="J250" s="84">
        <f>'WB Nurses &amp; Midwives data'!BO250</f>
        <v>2016</v>
      </c>
      <c r="K250" s="84">
        <f>IFERROR(INDEX('WHO Labs Data'!$C$7:$I$126,MATCH('HCW Summary Data'!$C250,'WHO Labs Data'!$C$7:$C$126,0),7),'WHO Labs Data'!$M$7)</f>
        <v>0.1988724107244455</v>
      </c>
      <c r="M250" s="78">
        <f>INDEX('Tabular Pop Data by Age'!$AN$8:$AN$271,MATCH($B250,'Tabular Pop Data by Age'!$B$8:$B$271,0))</f>
        <v>11819000</v>
      </c>
      <c r="N250" s="79">
        <f t="shared" si="12"/>
        <v>15036.131799999999</v>
      </c>
      <c r="O250" s="78">
        <f t="shared" si="13"/>
        <v>4727.6000000000004</v>
      </c>
      <c r="P250" s="78">
        <f t="shared" si="14"/>
        <v>31144.246899999998</v>
      </c>
      <c r="Q250" s="79">
        <f t="shared" si="15"/>
        <v>2350.4730223522215</v>
      </c>
    </row>
    <row r="251" spans="2:17" x14ac:dyDescent="0.25">
      <c r="B251" s="138" t="s">
        <v>657</v>
      </c>
      <c r="C251" s="138" t="s">
        <v>144</v>
      </c>
      <c r="D251" s="138" t="s">
        <v>664</v>
      </c>
      <c r="E251" s="138">
        <f>INDEX('WB Physician Data'!$C$9:$BO$272,MATCH($C251,'WB Physician Data'!$C$9:$C$272,0),MATCH("Latest value",'WB Physician Data'!$C$8:$BO$8,0))</f>
        <v>1.7605</v>
      </c>
      <c r="F251" s="138">
        <f>INDEX('WB Physician Data'!$C$9:$BO$272,MATCH($C251,'WB Physician Data'!$C$9:$C$272,0),MATCH("Latest year",'WB Physician Data'!$C$8:$BO$8,0))</f>
        <v>2014</v>
      </c>
      <c r="G251" s="138">
        <f>INDEX('WB CHWs Data'!$C$10:$BP$274,MATCH($C251,'WB CHWs Data'!$C$10:$C$274,0),MATCH("Value",'WB CHWs Data'!$C$10:$BP$10,0))</f>
        <v>0.4</v>
      </c>
      <c r="H251" s="138" t="str">
        <f>'WB CHWs Data'!BO253</f>
        <v>No reported value</v>
      </c>
      <c r="I251" s="84">
        <f>'WB Nurses &amp; Midwives data'!BN251</f>
        <v>2.6303999999999998</v>
      </c>
      <c r="J251" s="84">
        <f>'WB Nurses &amp; Midwives data'!BO251</f>
        <v>2015</v>
      </c>
      <c r="K251" s="84">
        <f>IFERROR(INDEX('WHO Labs Data'!$C$7:$I$126,MATCH('HCW Summary Data'!$C251,'WHO Labs Data'!$C$7:$C$126,0),7),'WHO Labs Data'!$M$7)</f>
        <v>0.2276050738661016</v>
      </c>
      <c r="M251" s="78">
        <f>INDEX('Tabular Pop Data by Age'!$AN$8:$AN$271,MATCH($B251,'Tabular Pop Data by Age'!$B$8:$B$271,0))</f>
        <v>84339000</v>
      </c>
      <c r="N251" s="79">
        <f t="shared" si="12"/>
        <v>148478.8095</v>
      </c>
      <c r="O251" s="78">
        <f t="shared" si="13"/>
        <v>33735.599999999999</v>
      </c>
      <c r="P251" s="78">
        <f t="shared" si="14"/>
        <v>221845.30559999999</v>
      </c>
      <c r="Q251" s="79">
        <f t="shared" si="15"/>
        <v>19195.984324793142</v>
      </c>
    </row>
    <row r="252" spans="2:17" x14ac:dyDescent="0.25">
      <c r="B252" s="138" t="s">
        <v>257</v>
      </c>
      <c r="C252" s="138" t="s">
        <v>145</v>
      </c>
      <c r="D252" s="138" t="s">
        <v>559</v>
      </c>
      <c r="E252" s="138">
        <f>INDEX('WB Physician Data'!$C$9:$BO$272,MATCH($C252,'WB Physician Data'!$C$9:$C$272,0),MATCH("Latest value",'WB Physician Data'!$C$8:$BO$8,0))</f>
        <v>0.91739999999999999</v>
      </c>
      <c r="F252" s="138">
        <f>INDEX('WB Physician Data'!$C$9:$BO$272,MATCH($C252,'WB Physician Data'!$C$9:$C$272,0),MATCH("Latest year",'WB Physician Data'!$C$8:$BO$8,0))</f>
        <v>2014</v>
      </c>
      <c r="G252" s="138">
        <f>INDEX('WB CHWs Data'!$C$10:$BP$274,MATCH($C252,'WB CHWs Data'!$C$10:$C$274,0),MATCH("Value",'WB CHWs Data'!$C$10:$BP$10,0))</f>
        <v>0.4</v>
      </c>
      <c r="H252" s="138" t="str">
        <f>'WB CHWs Data'!BO254</f>
        <v>No reported value</v>
      </c>
      <c r="I252" s="84">
        <f>'WB Nurses &amp; Midwives data'!BN252</f>
        <v>3.7614999999999998</v>
      </c>
      <c r="J252" s="84">
        <f>'WB Nurses &amp; Midwives data'!BO252</f>
        <v>2014</v>
      </c>
      <c r="K252" s="84">
        <f>IFERROR(INDEX('WHO Labs Data'!$C$7:$I$126,MATCH('HCW Summary Data'!$C252,'WHO Labs Data'!$C$7:$C$126,0),7),'WHO Labs Data'!$M$7)</f>
        <v>0.17379214459506431</v>
      </c>
      <c r="M252" s="78">
        <f>INDEX('Tabular Pop Data by Age'!$AN$8:$AN$271,MATCH($B252,'Tabular Pop Data by Age'!$B$8:$B$271,0))</f>
        <v>12000</v>
      </c>
      <c r="N252" s="79">
        <f t="shared" si="12"/>
        <v>11.008800000000001</v>
      </c>
      <c r="O252" s="78">
        <f t="shared" si="13"/>
        <v>4.8000000000000007</v>
      </c>
      <c r="P252" s="78">
        <f t="shared" si="14"/>
        <v>45.137999999999998</v>
      </c>
      <c r="Q252" s="79">
        <f t="shared" si="15"/>
        <v>2.0855057351407718</v>
      </c>
    </row>
    <row r="253" spans="2:17" x14ac:dyDescent="0.25">
      <c r="B253" s="138" t="s">
        <v>653</v>
      </c>
      <c r="C253" s="138" t="s">
        <v>146</v>
      </c>
      <c r="D253" s="138" t="s">
        <v>664</v>
      </c>
      <c r="E253" s="138">
        <f>INDEX('WB Physician Data'!$C$9:$BO$272,MATCH($C253,'WB Physician Data'!$C$9:$C$272,0),MATCH("Latest value",'WB Physician Data'!$C$8:$BO$8,0))</f>
        <v>3.9899999999999998E-2</v>
      </c>
      <c r="F253" s="138">
        <f>INDEX('WB Physician Data'!$C$9:$BO$272,MATCH($C253,'WB Physician Data'!$C$9:$C$272,0),MATCH("Latest year",'WB Physician Data'!$C$8:$BO$8,0))</f>
        <v>2014</v>
      </c>
      <c r="G253" s="138">
        <f>INDEX('WB CHWs Data'!$C$10:$BP$274,MATCH($C253,'WB CHWs Data'!$C$10:$C$274,0),MATCH("Value",'WB CHWs Data'!$C$10:$BP$10,0))</f>
        <v>0.4</v>
      </c>
      <c r="H253" s="138" t="str">
        <f>'WB CHWs Data'!BO255</f>
        <v>No reported value</v>
      </c>
      <c r="I253" s="84">
        <f>'WB Nurses &amp; Midwives data'!BN253</f>
        <v>0.41260000000000002</v>
      </c>
      <c r="J253" s="84">
        <f>'WB Nurses &amp; Midwives data'!BO253</f>
        <v>2014</v>
      </c>
      <c r="K253" s="84">
        <f>IFERROR(INDEX('WHO Labs Data'!$C$7:$I$126,MATCH('HCW Summary Data'!$C253,'WHO Labs Data'!$C$7:$C$126,0),7),'WHO Labs Data'!$M$7)</f>
        <v>4.6183883092593553E-2</v>
      </c>
      <c r="M253" s="78">
        <f>INDEX('Tabular Pop Data by Age'!$AN$8:$AN$271,MATCH($B253,'Tabular Pop Data by Age'!$B$8:$B$271,0))</f>
        <v>59734000</v>
      </c>
      <c r="N253" s="79">
        <f t="shared" si="12"/>
        <v>2383.3865999999998</v>
      </c>
      <c r="O253" s="78">
        <f t="shared" si="13"/>
        <v>23893.600000000002</v>
      </c>
      <c r="P253" s="78">
        <f t="shared" si="14"/>
        <v>24646.2484</v>
      </c>
      <c r="Q253" s="79">
        <f t="shared" si="15"/>
        <v>2758.7480726529834</v>
      </c>
    </row>
    <row r="254" spans="2:17" x14ac:dyDescent="0.25">
      <c r="B254" s="138" t="s">
        <v>216</v>
      </c>
      <c r="C254" s="138" t="s">
        <v>147</v>
      </c>
      <c r="D254" s="138" t="s">
        <v>561</v>
      </c>
      <c r="E254" s="138">
        <f>INDEX('WB Physician Data'!$C$9:$BO$272,MATCH($C254,'WB Physician Data'!$C$9:$C$272,0),MATCH("Latest value",'WB Physician Data'!$C$8:$BO$8,0))</f>
        <v>9.0800000000000006E-2</v>
      </c>
      <c r="F254" s="138">
        <f>INDEX('WB Physician Data'!$C$9:$BO$272,MATCH($C254,'WB Physician Data'!$C$9:$C$272,0),MATCH("Latest year",'WB Physician Data'!$C$8:$BO$8,0))</f>
        <v>2015</v>
      </c>
      <c r="G254" s="138">
        <f>INDEX('WB CHWs Data'!$C$10:$BP$274,MATCH($C254,'WB CHWs Data'!$C$10:$C$274,0),MATCH("Value",'WB CHWs Data'!$C$10:$BP$10,0))</f>
        <v>0.19400000000000001</v>
      </c>
      <c r="H254" s="138">
        <f>'WB CHWs Data'!BO256</f>
        <v>2005</v>
      </c>
      <c r="I254" s="84">
        <f>'WB Nurses &amp; Midwives data'!BN254</f>
        <v>0.63029999999999997</v>
      </c>
      <c r="J254" s="84">
        <f>'WB Nurses &amp; Midwives data'!BO254</f>
        <v>2015</v>
      </c>
      <c r="K254" s="84">
        <f>IFERROR(INDEX('WHO Labs Data'!$C$7:$I$126,MATCH('HCW Summary Data'!$C254,'WHO Labs Data'!$C$7:$C$126,0),7),'WHO Labs Data'!$M$7)</f>
        <v>5.7275754012363185E-2</v>
      </c>
      <c r="M254" s="78">
        <f>INDEX('Tabular Pop Data by Age'!$AN$8:$AN$271,MATCH($B254,'Tabular Pop Data by Age'!$B$8:$B$271,0))</f>
        <v>45741000</v>
      </c>
      <c r="N254" s="79">
        <f t="shared" si="12"/>
        <v>4153.2828</v>
      </c>
      <c r="O254" s="78">
        <f t="shared" si="13"/>
        <v>8873.7540000000008</v>
      </c>
      <c r="P254" s="78">
        <f t="shared" si="14"/>
        <v>28830.552299999999</v>
      </c>
      <c r="Q254" s="79">
        <f t="shared" si="15"/>
        <v>2619.8502642795042</v>
      </c>
    </row>
    <row r="255" spans="2:17" x14ac:dyDescent="0.25">
      <c r="B255" s="138" t="s">
        <v>239</v>
      </c>
      <c r="C255" s="138" t="s">
        <v>148</v>
      </c>
      <c r="D255" s="138" t="s">
        <v>517</v>
      </c>
      <c r="E255" s="138">
        <f>INDEX('WB Physician Data'!$C$9:$BO$272,MATCH($C255,'WB Physician Data'!$C$9:$C$272,0),MATCH("Latest value",'WB Physician Data'!$C$8:$BO$8,0))</f>
        <v>3.0074999999999998</v>
      </c>
      <c r="F255" s="138">
        <f>INDEX('WB Physician Data'!$C$9:$BO$272,MATCH($C255,'WB Physician Data'!$C$9:$C$272,0),MATCH("Latest year",'WB Physician Data'!$C$8:$BO$8,0))</f>
        <v>2014</v>
      </c>
      <c r="G255" s="138">
        <f>INDEX('WB CHWs Data'!$C$10:$BP$274,MATCH($C255,'WB CHWs Data'!$C$10:$C$274,0),MATCH("Value",'WB CHWs Data'!$C$10:$BP$10,0))</f>
        <v>0.4</v>
      </c>
      <c r="H255" s="138" t="str">
        <f>'WB CHWs Data'!BO257</f>
        <v>No reported value</v>
      </c>
      <c r="I255" s="84">
        <f>'WB Nurses &amp; Midwives data'!BN255</f>
        <v>7.0575999999999999</v>
      </c>
      <c r="J255" s="84">
        <f>'WB Nurses &amp; Midwives data'!BO255</f>
        <v>2014</v>
      </c>
      <c r="K255" s="84">
        <f>IFERROR(INDEX('WHO Labs Data'!$C$7:$I$126,MATCH('HCW Summary Data'!$C255,'WHO Labs Data'!$C$7:$C$126,0),7),'WHO Labs Data'!$M$7)</f>
        <v>0.2276050738661016</v>
      </c>
      <c r="M255" s="78">
        <f>INDEX('Tabular Pop Data by Age'!$AN$8:$AN$271,MATCH($B255,'Tabular Pop Data by Age'!$B$8:$B$271,0))</f>
        <v>44158000</v>
      </c>
      <c r="N255" s="79">
        <f t="shared" si="12"/>
        <v>132805.185</v>
      </c>
      <c r="O255" s="78">
        <f t="shared" si="13"/>
        <v>17663.2</v>
      </c>
      <c r="P255" s="78">
        <f t="shared" si="14"/>
        <v>311649.50079999998</v>
      </c>
      <c r="Q255" s="79">
        <f t="shared" si="15"/>
        <v>10050.584851779315</v>
      </c>
    </row>
    <row r="256" spans="2:17" x14ac:dyDescent="0.25">
      <c r="B256" s="138" t="s">
        <v>664</v>
      </c>
      <c r="C256" s="138" t="s">
        <v>665</v>
      </c>
      <c r="D256" s="138" t="s">
        <v>1182</v>
      </c>
      <c r="E256" s="138">
        <f>INDEX('WB Physician Data'!$C$9:$BO$272,MATCH($C256,'WB Physician Data'!$C$9:$C$272,0),MATCH("Latest value",'WB Physician Data'!$C$8:$BO$8,0))</f>
        <v>1.9712890693055864</v>
      </c>
      <c r="F256" s="138">
        <f>INDEX('WB Physician Data'!$C$9:$BO$272,MATCH($C256,'WB Physician Data'!$C$9:$C$272,0),MATCH("Latest year",'WB Physician Data'!$C$8:$BO$8,0))</f>
        <v>2015</v>
      </c>
      <c r="G256" s="138">
        <f>INDEX('WB CHWs Data'!$C$10:$BP$274,MATCH($C256,'WB CHWs Data'!$C$10:$C$274,0),MATCH("Value",'WB CHWs Data'!$C$10:$BP$10,0))</f>
        <v>0.4</v>
      </c>
      <c r="H256" s="138" t="str">
        <f>'WB CHWs Data'!BO258</f>
        <v>No reported value</v>
      </c>
      <c r="I256" s="84">
        <f>'WB Nurses &amp; Midwives data'!BN256</f>
        <v>3.4765419762677725</v>
      </c>
      <c r="J256" s="84">
        <f>'WB Nurses &amp; Midwives data'!BO256</f>
        <v>2015</v>
      </c>
      <c r="K256" s="84">
        <f>IFERROR(INDEX('WHO Labs Data'!$C$7:$I$126,MATCH('HCW Summary Data'!$C256,'WHO Labs Data'!$C$7:$C$126,0),7),'WHO Labs Data'!$M$7)</f>
        <v>0.2276050738661016</v>
      </c>
      <c r="M256" s="78">
        <f>INDEX('Tabular Pop Data by Age'!$AN$8:$AN$271,MATCH($B256,'Tabular Pop Data by Age'!$B$8:$B$271,0))</f>
        <v>2685886000</v>
      </c>
      <c r="N256" s="79">
        <f t="shared" si="12"/>
        <v>5294657.7132009044</v>
      </c>
      <c r="O256" s="78">
        <f t="shared" si="13"/>
        <v>1074354.4000000001</v>
      </c>
      <c r="P256" s="78">
        <f t="shared" si="14"/>
        <v>9337595.4224699419</v>
      </c>
      <c r="Q256" s="79">
        <f t="shared" si="15"/>
        <v>611321.28142592811</v>
      </c>
    </row>
    <row r="257" spans="2:17" x14ac:dyDescent="0.25">
      <c r="B257" s="138" t="s">
        <v>666</v>
      </c>
      <c r="C257" s="138" t="s">
        <v>667</v>
      </c>
      <c r="D257" s="138" t="s">
        <v>561</v>
      </c>
      <c r="E257" s="138">
        <f>INDEX('WB Physician Data'!$C$9:$BO$272,MATCH($C257,'WB Physician Data'!$C$9:$C$272,0),MATCH("Latest value",'WB Physician Data'!$C$8:$BO$8,0))</f>
        <v>5.0499000000000001</v>
      </c>
      <c r="F257" s="138">
        <f>INDEX('WB Physician Data'!$C$9:$BO$272,MATCH($C257,'WB Physician Data'!$C$9:$C$272,0),MATCH("Latest year",'WB Physician Data'!$C$8:$BO$8,0))</f>
        <v>2017</v>
      </c>
      <c r="G257" s="138">
        <f>INDEX('WB CHWs Data'!$C$10:$BP$274,MATCH($C257,'WB CHWs Data'!$C$10:$C$274,0),MATCH("Value",'WB CHWs Data'!$C$10:$BP$10,0))</f>
        <v>0.4</v>
      </c>
      <c r="H257" s="138" t="str">
        <f>'WB CHWs Data'!BO259</f>
        <v>No reported value</v>
      </c>
      <c r="I257" s="84">
        <f>'WB Nurses &amp; Midwives data'!BN257</f>
        <v>1.9298999999999999</v>
      </c>
      <c r="J257" s="84">
        <f>'WB Nurses &amp; Midwives data'!BO257</f>
        <v>2017</v>
      </c>
      <c r="K257" s="84">
        <f>IFERROR(INDEX('WHO Labs Data'!$C$7:$I$126,MATCH('HCW Summary Data'!$C257,'WHO Labs Data'!$C$7:$C$126,0),7),'WHO Labs Data'!$M$7)</f>
        <v>0.41167785106481058</v>
      </c>
      <c r="M257" s="78">
        <f>INDEX('Tabular Pop Data by Age'!$AN$8:$AN$271,MATCH($B257,'Tabular Pop Data by Age'!$B$8:$B$271,0))</f>
        <v>3474000</v>
      </c>
      <c r="N257" s="79">
        <f t="shared" si="12"/>
        <v>17543.352600000002</v>
      </c>
      <c r="O257" s="78">
        <f t="shared" si="13"/>
        <v>1389.6000000000001</v>
      </c>
      <c r="P257" s="78">
        <f t="shared" si="14"/>
        <v>6704.4726000000001</v>
      </c>
      <c r="Q257" s="79">
        <f t="shared" si="15"/>
        <v>1430.1688545991519</v>
      </c>
    </row>
    <row r="258" spans="2:17" x14ac:dyDescent="0.25">
      <c r="B258" s="138" t="s">
        <v>663</v>
      </c>
      <c r="C258" s="138" t="s">
        <v>149</v>
      </c>
      <c r="D258" s="138" t="s">
        <v>517</v>
      </c>
      <c r="E258" s="138">
        <f>INDEX('WB Physician Data'!$C$9:$BO$272,MATCH($C258,'WB Physician Data'!$C$9:$C$272,0),MATCH("Latest value",'WB Physician Data'!$C$8:$BO$8,0))</f>
        <v>2.5948000000000002</v>
      </c>
      <c r="F258" s="138">
        <f>INDEX('WB Physician Data'!$C$9:$BO$272,MATCH($C258,'WB Physician Data'!$C$9:$C$272,0),MATCH("Latest year",'WB Physician Data'!$C$8:$BO$8,0))</f>
        <v>2016</v>
      </c>
      <c r="G258" s="138">
        <f>INDEX('WB CHWs Data'!$C$10:$BP$274,MATCH($C258,'WB CHWs Data'!$C$10:$C$274,0),MATCH("Value",'WB CHWs Data'!$C$10:$BP$10,0))</f>
        <v>0.4</v>
      </c>
      <c r="H258" s="138" t="str">
        <f>'WB CHWs Data'!BO260</f>
        <v>No reported value</v>
      </c>
      <c r="I258" s="84">
        <f>'WB Nurses &amp; Midwives data'!BN258</f>
        <v>8.5500000000000007</v>
      </c>
      <c r="J258" s="84">
        <f>'WB Nurses &amp; Midwives data'!BO258</f>
        <v>2015</v>
      </c>
      <c r="K258" s="84">
        <f>IFERROR(INDEX('WHO Labs Data'!$C$7:$I$126,MATCH('HCW Summary Data'!$C258,'WHO Labs Data'!$C$7:$C$126,0),7),'WHO Labs Data'!$M$7)</f>
        <v>1.6880530963848925</v>
      </c>
      <c r="M258" s="78">
        <f>INDEX('Tabular Pop Data by Age'!$AN$8:$AN$271,MATCH($B258,'Tabular Pop Data by Age'!$B$8:$B$271,0))</f>
        <v>331915000</v>
      </c>
      <c r="N258" s="79">
        <f t="shared" si="12"/>
        <v>861253.04200000002</v>
      </c>
      <c r="O258" s="78">
        <f t="shared" si="13"/>
        <v>132766</v>
      </c>
      <c r="P258" s="78">
        <f t="shared" si="14"/>
        <v>2837873.2500000005</v>
      </c>
      <c r="Q258" s="79">
        <f t="shared" si="15"/>
        <v>560290.14348659164</v>
      </c>
    </row>
    <row r="259" spans="2:17" x14ac:dyDescent="0.25">
      <c r="B259" s="138" t="s">
        <v>668</v>
      </c>
      <c r="C259" s="138" t="s">
        <v>150</v>
      </c>
      <c r="D259" s="138" t="s">
        <v>561</v>
      </c>
      <c r="E259" s="138">
        <f>INDEX('WB Physician Data'!$C$9:$BO$272,MATCH($C259,'WB Physician Data'!$C$9:$C$272,0),MATCH("Latest value",'WB Physician Data'!$C$8:$BO$8,0))</f>
        <v>2.3685</v>
      </c>
      <c r="F259" s="138">
        <f>INDEX('WB Physician Data'!$C$9:$BO$272,MATCH($C259,'WB Physician Data'!$C$9:$C$272,0),MATCH("Latest year",'WB Physician Data'!$C$8:$BO$8,0))</f>
        <v>2014</v>
      </c>
      <c r="G259" s="138">
        <f>INDEX('WB CHWs Data'!$C$10:$BP$274,MATCH($C259,'WB CHWs Data'!$C$10:$C$274,0),MATCH("Value",'WB CHWs Data'!$C$10:$BP$10,0))</f>
        <v>0.4</v>
      </c>
      <c r="H259" s="138" t="str">
        <f>'WB CHWs Data'!BO261</f>
        <v>No reported value</v>
      </c>
      <c r="I259" s="84">
        <f>'WB Nurses &amp; Midwives data'!BN259</f>
        <v>12.0739</v>
      </c>
      <c r="J259" s="84">
        <f>'WB Nurses &amp; Midwives data'!BO259</f>
        <v>2014</v>
      </c>
      <c r="K259" s="84">
        <f>IFERROR(INDEX('WHO Labs Data'!$C$7:$I$126,MATCH('HCW Summary Data'!$C259,'WHO Labs Data'!$C$7:$C$126,0),7),'WHO Labs Data'!$M$7)</f>
        <v>0.2276050738661016</v>
      </c>
      <c r="M259" s="78">
        <f>INDEX('Tabular Pop Data by Age'!$AN$8:$AN$271,MATCH($B259,'Tabular Pop Data by Age'!$B$8:$B$271,0))</f>
        <v>33749000</v>
      </c>
      <c r="N259" s="79">
        <f t="shared" si="12"/>
        <v>79934.506500000003</v>
      </c>
      <c r="O259" s="78">
        <f t="shared" si="13"/>
        <v>13499.6</v>
      </c>
      <c r="P259" s="78">
        <f t="shared" si="14"/>
        <v>407482.05109999998</v>
      </c>
      <c r="Q259" s="79">
        <f t="shared" si="15"/>
        <v>7681.443637907063</v>
      </c>
    </row>
    <row r="260" spans="2:17" x14ac:dyDescent="0.25">
      <c r="B260" s="138" t="s">
        <v>642</v>
      </c>
      <c r="C260" s="138" t="s">
        <v>643</v>
      </c>
      <c r="D260" s="138" t="s">
        <v>561</v>
      </c>
      <c r="E260" s="138">
        <f>INDEX('WB Physician Data'!$C$9:$BO$272,MATCH($C260,'WB Physician Data'!$C$9:$C$272,0),MATCH("Latest value",'WB Physician Data'!$C$8:$BO$8,0))</f>
        <v>0.65869999999999995</v>
      </c>
      <c r="F260" s="138">
        <f>INDEX('WB Physician Data'!$C$9:$BO$272,MATCH($C260,'WB Physician Data'!$C$9:$C$272,0),MATCH("Latest year",'WB Physician Data'!$C$8:$BO$8,0))</f>
        <v>2010</v>
      </c>
      <c r="G260" s="138">
        <f>INDEX('WB CHWs Data'!$C$10:$BP$274,MATCH($C260,'WB CHWs Data'!$C$10:$C$274,0),MATCH("Value",'WB CHWs Data'!$C$10:$BP$10,0))</f>
        <v>0.41699999999999998</v>
      </c>
      <c r="H260" s="138">
        <f>'WB CHWs Data'!BO262</f>
        <v>2000</v>
      </c>
      <c r="I260" s="84">
        <f>'WB Nurses &amp; Midwives data'!BN260</f>
        <v>2.5800999999999998</v>
      </c>
      <c r="J260" s="84">
        <f>'WB Nurses &amp; Midwives data'!BO260</f>
        <v>2010</v>
      </c>
      <c r="K260" s="84">
        <f>IFERROR(INDEX('WHO Labs Data'!$C$7:$I$126,MATCH('HCW Summary Data'!$C260,'WHO Labs Data'!$C$7:$C$126,0),7),'WHO Labs Data'!$M$7)</f>
        <v>0.11795662825514926</v>
      </c>
      <c r="M260" s="78">
        <f>INDEX('Tabular Pop Data by Age'!$AN$8:$AN$271,MATCH($B260,'Tabular Pop Data by Age'!$B$8:$B$271,0))</f>
        <v>111000</v>
      </c>
      <c r="N260" s="79">
        <f t="shared" si="12"/>
        <v>73.11569999999999</v>
      </c>
      <c r="O260" s="78">
        <f t="shared" si="13"/>
        <v>46.286999999999999</v>
      </c>
      <c r="P260" s="78">
        <f t="shared" si="14"/>
        <v>286.39109999999999</v>
      </c>
      <c r="Q260" s="79">
        <f t="shared" si="15"/>
        <v>13.093185736321567</v>
      </c>
    </row>
    <row r="261" spans="2:17" x14ac:dyDescent="0.25">
      <c r="B261" s="138" t="s">
        <v>669</v>
      </c>
      <c r="C261" s="138" t="s">
        <v>670</v>
      </c>
      <c r="D261" s="138" t="s">
        <v>561</v>
      </c>
      <c r="E261" s="138">
        <f>INDEX('WB Physician Data'!$C$9:$BO$272,MATCH($C261,'WB Physician Data'!$C$9:$C$272,0),MATCH("Latest value",'WB Physician Data'!$C$8:$BO$8,0))</f>
        <v>1.9239999999999999</v>
      </c>
      <c r="F261" s="138">
        <f>INDEX('WB Physician Data'!$C$9:$BO$272,MATCH($C261,'WB Physician Data'!$C$9:$C$272,0),MATCH("Latest year",'WB Physician Data'!$C$8:$BO$8,0))</f>
        <v>2001</v>
      </c>
      <c r="G261" s="138">
        <f>INDEX('WB CHWs Data'!$C$10:$BP$274,MATCH($C261,'WB CHWs Data'!$C$10:$C$274,0),MATCH("Value",'WB CHWs Data'!$C$10:$BP$10,0))</f>
        <v>0.4</v>
      </c>
      <c r="H261" s="138" t="str">
        <f>'WB CHWs Data'!BO263</f>
        <v>No reported value</v>
      </c>
      <c r="I261" s="84">
        <f>'WB Nurses &amp; Midwives data'!BN261</f>
        <v>1.1223000000000001</v>
      </c>
      <c r="J261" s="84">
        <f>'WB Nurses &amp; Midwives data'!BO261</f>
        <v>2001</v>
      </c>
      <c r="K261" s="84">
        <f>IFERROR(INDEX('WHO Labs Data'!$C$7:$I$126,MATCH('HCW Summary Data'!$C261,'WHO Labs Data'!$C$7:$C$126,0),7),'WHO Labs Data'!$M$7)</f>
        <v>0.2276050738661016</v>
      </c>
      <c r="M261" s="78">
        <f>INDEX('Tabular Pop Data by Age'!$AN$8:$AN$271,MATCH($B261,'Tabular Pop Data by Age'!$B$8:$B$271,0))</f>
        <v>28436000</v>
      </c>
      <c r="N261" s="79">
        <f t="shared" si="12"/>
        <v>54710.864000000001</v>
      </c>
      <c r="O261" s="78">
        <f t="shared" si="13"/>
        <v>11374.400000000001</v>
      </c>
      <c r="P261" s="78">
        <f t="shared" si="14"/>
        <v>31913.722800000003</v>
      </c>
      <c r="Q261" s="79">
        <f t="shared" si="15"/>
        <v>6472.1778804564647</v>
      </c>
    </row>
    <row r="262" spans="2:17" x14ac:dyDescent="0.25">
      <c r="B262" s="138" t="s">
        <v>444</v>
      </c>
      <c r="C262" s="138" t="s">
        <v>445</v>
      </c>
      <c r="D262" s="138" t="s">
        <v>517</v>
      </c>
      <c r="E262" s="138" t="str">
        <f>INDEX('WB Physician Data'!$C$9:$BO$272,MATCH($C262,'WB Physician Data'!$C$9:$C$272,0),MATCH("Latest value",'WB Physician Data'!$C$8:$BO$8,0))</f>
        <v>No reported value</v>
      </c>
      <c r="F262" s="138" t="str">
        <f>INDEX('WB Physician Data'!$C$9:$BO$272,MATCH($C262,'WB Physician Data'!$C$9:$C$272,0),MATCH("Latest year",'WB Physician Data'!$C$8:$BO$8,0))</f>
        <v>No reported value</v>
      </c>
      <c r="G262" s="138">
        <f>INDEX('WB CHWs Data'!$C$10:$BP$274,MATCH($C262,'WB CHWs Data'!$C$10:$C$274,0),MATCH("Value",'WB CHWs Data'!$C$10:$BP$10,0))</f>
        <v>0.4</v>
      </c>
      <c r="H262" s="138" t="str">
        <f>'WB CHWs Data'!BO264</f>
        <v>No reported value</v>
      </c>
      <c r="I262" s="84" t="str">
        <f>'WB Nurses &amp; Midwives data'!BN262</f>
        <v>No reported value</v>
      </c>
      <c r="J262" s="84" t="str">
        <f>'WB Nurses &amp; Midwives data'!BO262</f>
        <v>No reported value</v>
      </c>
      <c r="K262" s="84">
        <f>IFERROR(INDEX('WHO Labs Data'!$C$7:$I$126,MATCH('HCW Summary Data'!$C262,'WHO Labs Data'!$C$7:$C$126,0),7),'WHO Labs Data'!$M$7)</f>
        <v>0.2276050738661016</v>
      </c>
      <c r="M262" s="78">
        <f>INDEX('Tabular Pop Data by Age'!$AN$8:$AN$271,MATCH($B262,'Tabular Pop Data by Age'!$B$8:$B$271,0))</f>
        <v>30000</v>
      </c>
      <c r="N262" s="79">
        <f t="shared" si="12"/>
        <v>0</v>
      </c>
      <c r="O262" s="78">
        <f t="shared" si="13"/>
        <v>12</v>
      </c>
      <c r="P262" s="78">
        <f t="shared" si="14"/>
        <v>0</v>
      </c>
      <c r="Q262" s="79">
        <f t="shared" si="15"/>
        <v>6.8281522159830477</v>
      </c>
    </row>
    <row r="263" spans="2:17" x14ac:dyDescent="0.25">
      <c r="B263" s="138" t="s">
        <v>672</v>
      </c>
      <c r="C263" s="138" t="s">
        <v>673</v>
      </c>
      <c r="D263" s="138" t="s">
        <v>561</v>
      </c>
      <c r="E263" s="138">
        <f>INDEX('WB Physician Data'!$C$9:$BO$272,MATCH($C263,'WB Physician Data'!$C$9:$C$272,0),MATCH("Latest value",'WB Physician Data'!$C$8:$BO$8,0))</f>
        <v>1.645</v>
      </c>
      <c r="F263" s="138">
        <f>INDEX('WB Physician Data'!$C$9:$BO$272,MATCH($C263,'WB Physician Data'!$C$9:$C$272,0),MATCH("Latest year",'WB Physician Data'!$C$8:$BO$8,0))</f>
        <v>1995</v>
      </c>
      <c r="G263" s="138">
        <f>INDEX('WB CHWs Data'!$C$10:$BP$274,MATCH($C263,'WB CHWs Data'!$C$10:$C$274,0),MATCH("Value",'WB CHWs Data'!$C$10:$BP$10,0))</f>
        <v>0.4</v>
      </c>
      <c r="H263" s="138" t="str">
        <f>'WB CHWs Data'!BO265</f>
        <v>No reported value</v>
      </c>
      <c r="I263" s="84" t="str">
        <f>'WB Nurses &amp; Midwives data'!BN263</f>
        <v>No reported value</v>
      </c>
      <c r="J263" s="84" t="str">
        <f>'WB Nurses &amp; Midwives data'!BO263</f>
        <v>No reported value</v>
      </c>
      <c r="K263" s="84">
        <f>IFERROR(INDEX('WHO Labs Data'!$C$7:$I$126,MATCH('HCW Summary Data'!$C263,'WHO Labs Data'!$C$7:$C$126,0),7),'WHO Labs Data'!$M$7)</f>
        <v>0.2276050738661016</v>
      </c>
      <c r="M263" s="78">
        <f>INDEX('Tabular Pop Data by Age'!$AN$8:$AN$271,MATCH($B263,'Tabular Pop Data by Age'!$B$8:$B$271,0))</f>
        <v>107000</v>
      </c>
      <c r="N263" s="79">
        <f t="shared" si="12"/>
        <v>176.01500000000001</v>
      </c>
      <c r="O263" s="78">
        <f t="shared" si="13"/>
        <v>42.800000000000004</v>
      </c>
      <c r="P263" s="78">
        <f t="shared" si="14"/>
        <v>0</v>
      </c>
      <c r="Q263" s="79">
        <f t="shared" si="15"/>
        <v>24.35374290367287</v>
      </c>
    </row>
    <row r="264" spans="2:17" x14ac:dyDescent="0.25">
      <c r="B264" s="138" t="s">
        <v>671</v>
      </c>
      <c r="C264" s="138" t="s">
        <v>160</v>
      </c>
      <c r="D264" s="138" t="s">
        <v>517</v>
      </c>
      <c r="E264" s="138">
        <f>INDEX('WB Physician Data'!$C$9:$BO$272,MATCH($C264,'WB Physician Data'!$C$9:$C$272,0),MATCH("Latest value",'WB Physician Data'!$C$8:$BO$8,0))</f>
        <v>0.81989999999999996</v>
      </c>
      <c r="F264" s="138">
        <f>INDEX('WB Physician Data'!$C$9:$BO$272,MATCH($C264,'WB Physician Data'!$C$9:$C$272,0),MATCH("Latest year",'WB Physician Data'!$C$8:$BO$8,0))</f>
        <v>2016</v>
      </c>
      <c r="G264" s="138">
        <f>INDEX('WB CHWs Data'!$C$10:$BP$274,MATCH($C264,'WB CHWs Data'!$C$10:$C$274,0),MATCH("Value",'WB CHWs Data'!$C$10:$BP$10,0))</f>
        <v>0.4</v>
      </c>
      <c r="H264" s="138" t="str">
        <f>'WB CHWs Data'!BO266</f>
        <v>No reported value</v>
      </c>
      <c r="I264" s="84">
        <f>'WB Nurses &amp; Midwives data'!BN264</f>
        <v>1.4320999999999999</v>
      </c>
      <c r="J264" s="84">
        <f>'WB Nurses &amp; Midwives data'!BO264</f>
        <v>2016</v>
      </c>
      <c r="K264" s="84">
        <f>IFERROR(INDEX('WHO Labs Data'!$C$7:$I$126,MATCH('HCW Summary Data'!$C264,'WHO Labs Data'!$C$7:$C$126,0),7),'WHO Labs Data'!$M$7)</f>
        <v>0.2276050738661016</v>
      </c>
      <c r="M264" s="78">
        <f>INDEX('Tabular Pop Data by Age'!$AN$8:$AN$271,MATCH($B264,'Tabular Pop Data by Age'!$B$8:$B$271,0))</f>
        <v>97339000</v>
      </c>
      <c r="N264" s="79">
        <f t="shared" si="12"/>
        <v>79808.246099999989</v>
      </c>
      <c r="O264" s="78">
        <f t="shared" si="13"/>
        <v>38935.599999999999</v>
      </c>
      <c r="P264" s="78">
        <f t="shared" si="14"/>
        <v>139399.1819</v>
      </c>
      <c r="Q264" s="79">
        <f t="shared" si="15"/>
        <v>22154.850285052464</v>
      </c>
    </row>
    <row r="265" spans="2:17" x14ac:dyDescent="0.25">
      <c r="B265" s="138" t="s">
        <v>258</v>
      </c>
      <c r="C265" s="138" t="s">
        <v>151</v>
      </c>
      <c r="D265" s="138" t="s">
        <v>664</v>
      </c>
      <c r="E265" s="138">
        <f>INDEX('WB Physician Data'!$C$9:$BO$272,MATCH($C265,'WB Physician Data'!$C$9:$C$272,0),MATCH("Latest value",'WB Physician Data'!$C$8:$BO$8,0))</f>
        <v>0.1706</v>
      </c>
      <c r="F265" s="138">
        <f>INDEX('WB Physician Data'!$C$9:$BO$272,MATCH($C265,'WB Physician Data'!$C$9:$C$272,0),MATCH("Latest year",'WB Physician Data'!$C$8:$BO$8,0))</f>
        <v>2016</v>
      </c>
      <c r="G265" s="138">
        <f>INDEX('WB CHWs Data'!$C$10:$BP$274,MATCH($C265,'WB CHWs Data'!$C$10:$C$274,0),MATCH("Value",'WB CHWs Data'!$C$10:$BP$10,0))</f>
        <v>0.94099999999999995</v>
      </c>
      <c r="H265" s="138">
        <f>'WB CHWs Data'!BO267</f>
        <v>2008</v>
      </c>
      <c r="I265" s="84">
        <f>'WB Nurses &amp; Midwives data'!BN265</f>
        <v>1.3853</v>
      </c>
      <c r="J265" s="84">
        <f>'WB Nurses &amp; Midwives data'!BO265</f>
        <v>2016</v>
      </c>
      <c r="K265" s="84">
        <f>IFERROR(INDEX('WHO Labs Data'!$C$7:$I$126,MATCH('HCW Summary Data'!$C265,'WHO Labs Data'!$C$7:$C$126,0),7),'WHO Labs Data'!$M$7)</f>
        <v>0.20158534918682522</v>
      </c>
      <c r="M265" s="78">
        <f>INDEX('Tabular Pop Data by Age'!$AN$8:$AN$271,MATCH($B265,'Tabular Pop Data by Age'!$B$8:$B$271,0))</f>
        <v>307000</v>
      </c>
      <c r="N265" s="79">
        <f t="shared" ref="N265:N277" si="16">IFERROR($M265/1000*$E265,0)</f>
        <v>52.374200000000002</v>
      </c>
      <c r="O265" s="78">
        <f t="shared" ref="O265:O277" si="17">IFERROR($M265/1000*$G265,0)</f>
        <v>288.887</v>
      </c>
      <c r="P265" s="78">
        <f t="shared" ref="P265:P277" si="18">IFERROR($M265/1000*$I265,0)</f>
        <v>425.28710000000001</v>
      </c>
      <c r="Q265" s="79">
        <f t="shared" ref="Q265:Q277" si="19">$M265/1000*$K265</f>
        <v>61.886702200355344</v>
      </c>
    </row>
    <row r="266" spans="2:17" x14ac:dyDescent="0.25">
      <c r="B266" s="138" t="s">
        <v>676</v>
      </c>
      <c r="C266" s="138" t="s">
        <v>677</v>
      </c>
      <c r="D266" s="138" t="s">
        <v>1182</v>
      </c>
      <c r="E266" s="138">
        <f>INDEX('WB Physician Data'!$C$9:$BO$272,MATCH($C266,'WB Physician Data'!$C$9:$C$272,0),MATCH("Latest value",'WB Physician Data'!$C$8:$BO$8,0))</f>
        <v>1.5021258721421249</v>
      </c>
      <c r="F266" s="138">
        <f>INDEX('WB Physician Data'!$C$9:$BO$272,MATCH($C266,'WB Physician Data'!$C$9:$C$272,0),MATCH("Latest year",'WB Physician Data'!$C$8:$BO$8,0))</f>
        <v>2015</v>
      </c>
      <c r="G266" s="138">
        <f>INDEX('WB CHWs Data'!$C$10:$BP$274,MATCH($C266,'WB CHWs Data'!$C$10:$C$274,0),MATCH("Value",'WB CHWs Data'!$C$10:$BP$10,0))</f>
        <v>0.4</v>
      </c>
      <c r="H266" s="138" t="str">
        <f>'WB CHWs Data'!BO268</f>
        <v>No reported value</v>
      </c>
      <c r="I266" s="84">
        <f>'WB Nurses &amp; Midwives data'!BN266</f>
        <v>3.4234202979140669</v>
      </c>
      <c r="J266" s="84">
        <f>'WB Nurses &amp; Midwives data'!BO266</f>
        <v>2015</v>
      </c>
      <c r="K266" s="84">
        <f>IFERROR(INDEX('WHO Labs Data'!$C$7:$I$126,MATCH('HCW Summary Data'!$C266,'WHO Labs Data'!$C$7:$C$126,0),7),'WHO Labs Data'!$M$7)</f>
        <v>0.2276050738661016</v>
      </c>
      <c r="M266" s="78">
        <f>INDEX('Tabular Pop Data by Age'!$AN$8:$AN$271,MATCH($B266,'Tabular Pop Data by Age'!$B$8:$B$271,0))</f>
        <v>7754179000</v>
      </c>
      <c r="N266" s="79">
        <f t="shared" si="16"/>
        <v>11647752.893121149</v>
      </c>
      <c r="O266" s="78">
        <f t="shared" si="17"/>
        <v>3101671.6</v>
      </c>
      <c r="P266" s="78">
        <f t="shared" si="18"/>
        <v>26545813.782259002</v>
      </c>
      <c r="Q266" s="79">
        <f t="shared" si="19"/>
        <v>1764890.4840659739</v>
      </c>
    </row>
    <row r="267" spans="2:17" x14ac:dyDescent="0.25">
      <c r="B267" s="138" t="s">
        <v>254</v>
      </c>
      <c r="C267" s="138" t="s">
        <v>152</v>
      </c>
      <c r="D267" s="138" t="s">
        <v>517</v>
      </c>
      <c r="E267" s="138">
        <f>INDEX('WB Physician Data'!$C$9:$BO$272,MATCH($C267,'WB Physician Data'!$C$9:$C$272,0),MATCH("Latest value",'WB Physician Data'!$C$8:$BO$8,0))</f>
        <v>0.34089999999999998</v>
      </c>
      <c r="F267" s="138">
        <f>INDEX('WB Physician Data'!$C$9:$BO$272,MATCH($C267,'WB Physician Data'!$C$9:$C$272,0),MATCH("Latest year",'WB Physician Data'!$C$8:$BO$8,0))</f>
        <v>2016</v>
      </c>
      <c r="G267" s="138">
        <f>INDEX('WB CHWs Data'!$C$10:$BP$274,MATCH($C267,'WB CHWs Data'!$C$10:$C$274,0),MATCH("Value",'WB CHWs Data'!$C$10:$BP$10,0))</f>
        <v>0.4</v>
      </c>
      <c r="H267" s="138" t="str">
        <f>'WB CHWs Data'!BO269</f>
        <v>No reported value</v>
      </c>
      <c r="I267" s="84">
        <f>'WB Nurses &amp; Midwives data'!BN267</f>
        <v>1.8565</v>
      </c>
      <c r="J267" s="84">
        <f>'WB Nurses &amp; Midwives data'!BO267</f>
        <v>2014</v>
      </c>
      <c r="K267" s="84">
        <f>IFERROR(INDEX('WHO Labs Data'!$C$7:$I$126,MATCH('HCW Summary Data'!$C267,'WHO Labs Data'!$C$7:$C$126,0),7),'WHO Labs Data'!$M$7)</f>
        <v>0.18865038494875846</v>
      </c>
      <c r="M267" s="78">
        <f>INDEX('Tabular Pop Data by Age'!$AN$8:$AN$271,MATCH($B267,'Tabular Pop Data by Age'!$B$8:$B$271,0))</f>
        <v>198000</v>
      </c>
      <c r="N267" s="79">
        <f t="shared" si="16"/>
        <v>67.498199999999997</v>
      </c>
      <c r="O267" s="78">
        <f t="shared" si="17"/>
        <v>79.2</v>
      </c>
      <c r="P267" s="78">
        <f t="shared" si="18"/>
        <v>367.58699999999999</v>
      </c>
      <c r="Q267" s="79">
        <f t="shared" si="19"/>
        <v>37.352776219854178</v>
      </c>
    </row>
    <row r="268" spans="2:17" x14ac:dyDescent="0.25">
      <c r="B268" s="138" t="s">
        <v>237</v>
      </c>
      <c r="C268" s="138" t="s">
        <v>537</v>
      </c>
      <c r="D268" s="138" t="s">
        <v>1182</v>
      </c>
      <c r="E268" s="138" t="str">
        <f>INDEX('WB Physician Data'!$C$9:$BO$272,MATCH($C268,'WB Physician Data'!$C$9:$C$272,0),MATCH("Latest value",'WB Physician Data'!$C$8:$BO$8,0))</f>
        <v>No reported value</v>
      </c>
      <c r="F268" s="138" t="str">
        <f>INDEX('WB Physician Data'!$C$9:$BO$272,MATCH($C268,'WB Physician Data'!$C$9:$C$272,0),MATCH("Latest year",'WB Physician Data'!$C$8:$BO$8,0))</f>
        <v>No reported value</v>
      </c>
      <c r="G268" s="138">
        <f>INDEX('WB CHWs Data'!$C$10:$BP$274,MATCH($C268,'WB CHWs Data'!$C$10:$C$274,0),MATCH("Value",'WB CHWs Data'!$C$10:$BP$10,0))</f>
        <v>0.4</v>
      </c>
      <c r="H268" s="138" t="str">
        <f>'WB CHWs Data'!BO270</f>
        <v>No reported value</v>
      </c>
      <c r="I268" s="84" t="str">
        <f>'WB Nurses &amp; Midwives data'!BN268</f>
        <v>No reported value</v>
      </c>
      <c r="J268" s="84" t="str">
        <f>'WB Nurses &amp; Midwives data'!BO268</f>
        <v>No reported value</v>
      </c>
      <c r="K268" s="84">
        <f>IFERROR(INDEX('WHO Labs Data'!$C$7:$I$126,MATCH('HCW Summary Data'!$C268,'WHO Labs Data'!$C$7:$C$126,0),7),'WHO Labs Data'!$M$7)</f>
        <v>0.2276050738661016</v>
      </c>
      <c r="M268" s="78">
        <f>INDEX('Tabular Pop Data by Age'!$AN$8:$AN$271,MATCH($B268,'Tabular Pop Data by Age'!$B$8:$B$271,0))</f>
        <v>1870000</v>
      </c>
      <c r="N268" s="79">
        <f t="shared" si="16"/>
        <v>0</v>
      </c>
      <c r="O268" s="78">
        <f t="shared" si="17"/>
        <v>748</v>
      </c>
      <c r="P268" s="78">
        <f t="shared" si="18"/>
        <v>0</v>
      </c>
      <c r="Q268" s="79">
        <f t="shared" si="19"/>
        <v>425.62148812960999</v>
      </c>
    </row>
    <row r="269" spans="2:17" x14ac:dyDescent="0.25">
      <c r="B269" s="138" t="s">
        <v>678</v>
      </c>
      <c r="C269" s="138" t="s">
        <v>153</v>
      </c>
      <c r="D269" s="138" t="s">
        <v>561</v>
      </c>
      <c r="E269" s="138">
        <f>INDEX('WB Physician Data'!$C$9:$BO$272,MATCH($C269,'WB Physician Data'!$C$9:$C$272,0),MATCH("Latest value",'WB Physician Data'!$C$8:$BO$8,0))</f>
        <v>0.31040000000000001</v>
      </c>
      <c r="F269" s="138">
        <f>INDEX('WB Physician Data'!$C$9:$BO$272,MATCH($C269,'WB Physician Data'!$C$9:$C$272,0),MATCH("Latest year",'WB Physician Data'!$C$8:$BO$8,0))</f>
        <v>2014</v>
      </c>
      <c r="G269" s="138">
        <f>INDEX('WB CHWs Data'!$C$10:$BP$274,MATCH($C269,'WB CHWs Data'!$C$10:$C$274,0),MATCH("Value",'WB CHWs Data'!$C$10:$BP$10,0))</f>
        <v>1E-3</v>
      </c>
      <c r="H269" s="138">
        <f>'WB CHWs Data'!BO271</f>
        <v>2010</v>
      </c>
      <c r="I269" s="84">
        <f>'WB Nurses &amp; Midwives data'!BN269</f>
        <v>0.73</v>
      </c>
      <c r="J269" s="84">
        <f>'WB Nurses &amp; Midwives data'!BO269</f>
        <v>2014</v>
      </c>
      <c r="K269" s="84">
        <f>IFERROR(INDEX('WHO Labs Data'!$C$7:$I$126,MATCH('HCW Summary Data'!$C269,'WHO Labs Data'!$C$7:$C$126,0),7),'WHO Labs Data'!$M$7)</f>
        <v>0.10253103941244732</v>
      </c>
      <c r="M269" s="78">
        <f>INDEX('Tabular Pop Data by Age'!$AN$8:$AN$271,MATCH($B269,'Tabular Pop Data by Age'!$B$8:$B$271,0))</f>
        <v>29826000</v>
      </c>
      <c r="N269" s="79">
        <f t="shared" si="16"/>
        <v>9257.9904000000006</v>
      </c>
      <c r="O269" s="78">
        <f t="shared" si="17"/>
        <v>29.826000000000001</v>
      </c>
      <c r="P269" s="78">
        <f t="shared" si="18"/>
        <v>21772.98</v>
      </c>
      <c r="Q269" s="79">
        <f t="shared" si="19"/>
        <v>3058.0907815156538</v>
      </c>
    </row>
    <row r="270" spans="2:17" x14ac:dyDescent="0.25">
      <c r="B270" s="138" t="s">
        <v>178</v>
      </c>
      <c r="C270" s="138" t="s">
        <v>154</v>
      </c>
      <c r="D270" s="138" t="s">
        <v>559</v>
      </c>
      <c r="E270" s="138">
        <f>INDEX('WB Physician Data'!$C$9:$BO$272,MATCH($C270,'WB Physician Data'!$C$9:$C$272,0),MATCH("Latest value",'WB Physician Data'!$C$8:$BO$8,0))</f>
        <v>0.91010000000000002</v>
      </c>
      <c r="F270" s="138">
        <f>INDEX('WB Physician Data'!$C$9:$BO$272,MATCH($C270,'WB Physician Data'!$C$9:$C$272,0),MATCH("Latest year",'WB Physician Data'!$C$8:$BO$8,0))</f>
        <v>2017</v>
      </c>
      <c r="G270" s="138">
        <f>INDEX('WB CHWs Data'!$C$10:$BP$274,MATCH($C270,'WB CHWs Data'!$C$10:$C$274,0),MATCH("Value",'WB CHWs Data'!$C$10:$BP$10,0))</f>
        <v>0.192</v>
      </c>
      <c r="H270" s="138">
        <f>'WB CHWs Data'!BO272</f>
        <v>2004</v>
      </c>
      <c r="I270" s="84">
        <f>'WB Nurses &amp; Midwives data'!BN270</f>
        <v>3.5171000000000001</v>
      </c>
      <c r="J270" s="84">
        <f>'WB Nurses &amp; Midwives data'!BO270</f>
        <v>2017</v>
      </c>
      <c r="K270" s="84">
        <f>IFERROR(INDEX('WHO Labs Data'!$C$7:$I$126,MATCH('HCW Summary Data'!$C270,'WHO Labs Data'!$C$7:$C$126,0),7),'WHO Labs Data'!$M$7)</f>
        <v>1.0418898206014569E-2</v>
      </c>
      <c r="M270" s="78">
        <f>INDEX('Tabular Pop Data by Age'!$AN$8:$AN$271,MATCH($B270,'Tabular Pop Data by Age'!$B$8:$B$271,0))</f>
        <v>59309000</v>
      </c>
      <c r="N270" s="79">
        <f t="shared" si="16"/>
        <v>53977.120900000002</v>
      </c>
      <c r="O270" s="78">
        <f t="shared" si="17"/>
        <v>11387.328</v>
      </c>
      <c r="P270" s="78">
        <f t="shared" si="18"/>
        <v>208595.6839</v>
      </c>
      <c r="Q270" s="79">
        <f t="shared" si="19"/>
        <v>617.93443370051807</v>
      </c>
    </row>
    <row r="271" spans="2:17" x14ac:dyDescent="0.25">
      <c r="B271" s="138" t="s">
        <v>217</v>
      </c>
      <c r="C271" s="138" t="s">
        <v>155</v>
      </c>
      <c r="D271" s="138" t="s">
        <v>561</v>
      </c>
      <c r="E271" s="138">
        <f>INDEX('WB Physician Data'!$C$9:$BO$272,MATCH($C271,'WB Physician Data'!$C$9:$C$272,0),MATCH("Latest value",'WB Physician Data'!$C$8:$BO$8,0))</f>
        <v>9.1300000000000006E-2</v>
      </c>
      <c r="F271" s="138">
        <f>INDEX('WB Physician Data'!$C$9:$BO$272,MATCH($C271,'WB Physician Data'!$C$9:$C$272,0),MATCH("Latest year",'WB Physician Data'!$C$8:$BO$8,0))</f>
        <v>2016</v>
      </c>
      <c r="G271" s="138">
        <f>INDEX('WB CHWs Data'!$C$10:$BP$274,MATCH($C271,'WB CHWs Data'!$C$10:$C$274,0),MATCH("Value",'WB CHWs Data'!$C$10:$BP$10,0))</f>
        <v>0.28699999999999998</v>
      </c>
      <c r="H271" s="138">
        <f>'WB CHWs Data'!BO273</f>
        <v>2008</v>
      </c>
      <c r="I271" s="84">
        <f>'WB Nurses &amp; Midwives data'!BN271</f>
        <v>0.89249999999999996</v>
      </c>
      <c r="J271" s="84">
        <f>'WB Nurses &amp; Midwives data'!BO271</f>
        <v>2016</v>
      </c>
      <c r="K271" s="84">
        <f>IFERROR(INDEX('WHO Labs Data'!$C$7:$I$126,MATCH('HCW Summary Data'!$C271,'WHO Labs Data'!$C$7:$C$126,0),7),'WHO Labs Data'!$M$7)</f>
        <v>5.307799953226814E-2</v>
      </c>
      <c r="M271" s="78">
        <f>INDEX('Tabular Pop Data by Age'!$AN$8:$AN$271,MATCH($B271,'Tabular Pop Data by Age'!$B$8:$B$271,0))</f>
        <v>18384000</v>
      </c>
      <c r="N271" s="79">
        <f t="shared" si="16"/>
        <v>1678.4592</v>
      </c>
      <c r="O271" s="78">
        <f t="shared" si="17"/>
        <v>5276.2079999999996</v>
      </c>
      <c r="P271" s="78">
        <f t="shared" si="18"/>
        <v>16407.719999999998</v>
      </c>
      <c r="Q271" s="79">
        <f t="shared" si="19"/>
        <v>975.78594340121754</v>
      </c>
    </row>
    <row r="272" spans="2:17" x14ac:dyDescent="0.25">
      <c r="B272" s="138" t="s">
        <v>218</v>
      </c>
      <c r="C272" s="138" t="s">
        <v>156</v>
      </c>
      <c r="D272" s="138" t="s">
        <v>1182</v>
      </c>
      <c r="E272" s="138">
        <f>INDEX('WB Physician Data'!$C$9:$BO$272,MATCH($C272,'WB Physician Data'!$C$9:$C$272,0),MATCH("Latest value",'WB Physician Data'!$C$8:$BO$8,0))</f>
        <v>7.6300000000000007E-2</v>
      </c>
      <c r="F272" s="138">
        <f>INDEX('WB Physician Data'!$C$9:$BO$272,MATCH($C272,'WB Physician Data'!$C$9:$C$272,0),MATCH("Latest year",'WB Physician Data'!$C$8:$BO$8,0))</f>
        <v>2014</v>
      </c>
      <c r="G272" s="138">
        <f>INDEX('WB CHWs Data'!$C$10:$BP$274,MATCH($C272,'WB CHWs Data'!$C$10:$C$274,0),MATCH("Value",'WB CHWs Data'!$C$10:$BP$10,0))</f>
        <v>0.4</v>
      </c>
      <c r="H272" s="138" t="str">
        <f>'WB CHWs Data'!BO274</f>
        <v>No reported value</v>
      </c>
      <c r="I272" s="84">
        <f>'WB Nurses &amp; Midwives data'!BN272</f>
        <v>1.1546000000000001</v>
      </c>
      <c r="J272" s="84">
        <f>'WB Nurses &amp; Midwives data'!BO272</f>
        <v>2014</v>
      </c>
      <c r="K272" s="84">
        <f>IFERROR(INDEX('WHO Labs Data'!$C$7:$I$126,MATCH('HCW Summary Data'!$C272,'WHO Labs Data'!$C$7:$C$126,0),7),'WHO Labs Data'!$M$7)</f>
        <v>2.4586159529685465E-2</v>
      </c>
      <c r="M272" s="78">
        <f>INDEX('Tabular Pop Data by Age'!$AN$8:$AN$271,MATCH($B272,'Tabular Pop Data by Age'!$B$8:$B$271,0))</f>
        <v>14863000</v>
      </c>
      <c r="N272" s="79">
        <f t="shared" si="16"/>
        <v>1134.0469000000001</v>
      </c>
      <c r="O272" s="78">
        <f t="shared" si="17"/>
        <v>5945.2000000000007</v>
      </c>
      <c r="P272" s="78">
        <f t="shared" si="18"/>
        <v>17160.819800000001</v>
      </c>
      <c r="Q272" s="79">
        <f t="shared" si="19"/>
        <v>365.4240890897151</v>
      </c>
    </row>
    <row r="273" spans="2:17" x14ac:dyDescent="0.25">
      <c r="B273" s="138" t="s">
        <v>996</v>
      </c>
      <c r="E273" s="369">
        <f>AVERAGE(E9:E272)</f>
        <v>1.6482867843962323</v>
      </c>
      <c r="G273" s="369">
        <f>AVERAGE(G9:G272)</f>
        <v>0.4067856142516732</v>
      </c>
      <c r="I273" s="369">
        <f>AVERAGE(I9:I272)</f>
        <v>3.9915016633174139</v>
      </c>
      <c r="K273" s="369">
        <f>AVERAGE(K9:K272)</f>
        <v>0.22932935472872346</v>
      </c>
      <c r="M273" s="370">
        <f>'User Dashboard'!$C$19</f>
        <v>100000</v>
      </c>
      <c r="N273" s="79">
        <f t="shared" si="16"/>
        <v>164.82867843962325</v>
      </c>
      <c r="O273" s="78">
        <f t="shared" si="17"/>
        <v>40.678561425167317</v>
      </c>
      <c r="P273" s="78">
        <f t="shared" si="18"/>
        <v>399.15016633174139</v>
      </c>
      <c r="Q273" s="79">
        <f t="shared" si="19"/>
        <v>22.932935472872344</v>
      </c>
    </row>
    <row r="274" spans="2:17" x14ac:dyDescent="0.25">
      <c r="B274" s="138">
        <v>100</v>
      </c>
      <c r="E274" s="369">
        <f>E$273</f>
        <v>1.6482867843962323</v>
      </c>
      <c r="G274" s="369">
        <f>G$273</f>
        <v>0.4067856142516732</v>
      </c>
      <c r="I274" s="369">
        <f>I$273</f>
        <v>3.9915016633174139</v>
      </c>
      <c r="K274" s="369">
        <f>K$273</f>
        <v>0.22932935472872346</v>
      </c>
      <c r="M274" s="138">
        <f>$B274</f>
        <v>100</v>
      </c>
      <c r="N274" s="79">
        <f>IFERROR($M274/1000*$E274,0)</f>
        <v>0.16482867843962323</v>
      </c>
      <c r="O274" s="78">
        <f t="shared" si="17"/>
        <v>4.067856142516732E-2</v>
      </c>
      <c r="P274" s="78">
        <f t="shared" si="18"/>
        <v>0.39915016633174139</v>
      </c>
      <c r="Q274" s="79">
        <f t="shared" si="19"/>
        <v>2.2932935472872347E-2</v>
      </c>
    </row>
    <row r="275" spans="2:17" x14ac:dyDescent="0.25">
      <c r="B275" s="138">
        <v>1000</v>
      </c>
      <c r="E275" s="369">
        <f t="shared" ref="E275:K277" si="20">E$273</f>
        <v>1.6482867843962323</v>
      </c>
      <c r="G275" s="369">
        <f t="shared" si="20"/>
        <v>0.4067856142516732</v>
      </c>
      <c r="I275" s="369">
        <f t="shared" si="20"/>
        <v>3.9915016633174139</v>
      </c>
      <c r="K275" s="369">
        <f t="shared" si="20"/>
        <v>0.22932935472872346</v>
      </c>
      <c r="M275" s="526">
        <f t="shared" ref="M275:M277" si="21">$B275</f>
        <v>1000</v>
      </c>
      <c r="N275" s="79">
        <f t="shared" si="16"/>
        <v>1.6482867843962323</v>
      </c>
      <c r="O275" s="78">
        <f t="shared" si="17"/>
        <v>0.4067856142516732</v>
      </c>
      <c r="P275" s="78">
        <f t="shared" si="18"/>
        <v>3.9915016633174139</v>
      </c>
      <c r="Q275" s="79">
        <f t="shared" si="19"/>
        <v>0.22932935472872346</v>
      </c>
    </row>
    <row r="276" spans="2:17" x14ac:dyDescent="0.25">
      <c r="B276" s="138">
        <v>10000</v>
      </c>
      <c r="E276" s="369">
        <f t="shared" si="20"/>
        <v>1.6482867843962323</v>
      </c>
      <c r="G276" s="369">
        <f t="shared" si="20"/>
        <v>0.4067856142516732</v>
      </c>
      <c r="I276" s="369">
        <f t="shared" si="20"/>
        <v>3.9915016633174139</v>
      </c>
      <c r="K276" s="369">
        <f t="shared" si="20"/>
        <v>0.22932935472872346</v>
      </c>
      <c r="M276" s="526">
        <f t="shared" si="21"/>
        <v>10000</v>
      </c>
      <c r="N276" s="79">
        <f t="shared" si="16"/>
        <v>16.482867843962325</v>
      </c>
      <c r="O276" s="78">
        <f t="shared" si="17"/>
        <v>4.0678561425167317</v>
      </c>
      <c r="P276" s="78">
        <f t="shared" si="18"/>
        <v>39.91501663317414</v>
      </c>
      <c r="Q276" s="79">
        <f t="shared" si="19"/>
        <v>2.2932935472872344</v>
      </c>
    </row>
    <row r="277" spans="2:17" x14ac:dyDescent="0.25">
      <c r="B277" s="138">
        <v>100000</v>
      </c>
      <c r="E277" s="369">
        <f t="shared" si="20"/>
        <v>1.6482867843962323</v>
      </c>
      <c r="G277" s="369">
        <f t="shared" si="20"/>
        <v>0.4067856142516732</v>
      </c>
      <c r="I277" s="369">
        <f t="shared" si="20"/>
        <v>3.9915016633174139</v>
      </c>
      <c r="K277" s="369">
        <f t="shared" si="20"/>
        <v>0.22932935472872346</v>
      </c>
      <c r="M277" s="526">
        <f t="shared" si="21"/>
        <v>100000</v>
      </c>
      <c r="N277" s="79">
        <f t="shared" si="16"/>
        <v>164.82867843962325</v>
      </c>
      <c r="O277" s="78">
        <f t="shared" si="17"/>
        <v>40.678561425167317</v>
      </c>
      <c r="P277" s="78">
        <f t="shared" si="18"/>
        <v>399.15016633174139</v>
      </c>
      <c r="Q277" s="79">
        <f t="shared" si="19"/>
        <v>22.932935472872344</v>
      </c>
    </row>
    <row r="278" spans="2:17" x14ac:dyDescent="0.25">
      <c r="E278" s="369">
        <f>SUM(E277,I277)</f>
        <v>5.639788447713646</v>
      </c>
    </row>
    <row r="279" spans="2:17" x14ac:dyDescent="0.25">
      <c r="E279" s="369"/>
    </row>
  </sheetData>
  <sheetProtection algorithmName="SHA-512" hashValue="5okBBUbJNhXrWsfEGdyp1Xmd4lowGBs1K0xaw7qre77l6CxBOUfYHYg/a449Q3zIg9PmpXpdPLDUEuU3Ju0lzQ==" saltValue="36YBN+oeydtJb2hnrb2JVg==" spinCount="100000" sheet="1" objects="1" scenarios="1"/>
  <autoFilter ref="B8:Q272"/>
  <mergeCells count="4">
    <mergeCell ref="E7:F7"/>
    <mergeCell ref="G7:H7"/>
    <mergeCell ref="I7:J7"/>
    <mergeCell ref="N7:Q7"/>
  </mergeCells>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2:BO272"/>
  <sheetViews>
    <sheetView showGridLines="0" zoomScale="85" zoomScaleNormal="85" workbookViewId="0"/>
  </sheetViews>
  <sheetFormatPr defaultColWidth="9.28515625" defaultRowHeight="15" x14ac:dyDescent="0.25"/>
  <cols>
    <col min="1" max="1" width="5.42578125" style="138" customWidth="1"/>
    <col min="2" max="2" width="44" style="138" bestFit="1" customWidth="1"/>
    <col min="3" max="3" width="25.5703125" style="138" bestFit="1" customWidth="1"/>
    <col min="4" max="4" width="24.42578125" style="138" bestFit="1" customWidth="1"/>
    <col min="5" max="5" width="14.42578125" style="138" bestFit="1" customWidth="1"/>
    <col min="6" max="6" width="5.42578125" style="138" bestFit="1" customWidth="1"/>
    <col min="7" max="10" width="5" style="138" bestFit="1" customWidth="1"/>
    <col min="11" max="11" width="5.42578125" style="138" bestFit="1" customWidth="1"/>
    <col min="12" max="15" width="5" style="138" bestFit="1" customWidth="1"/>
    <col min="16" max="35" width="5.42578125" style="138" bestFit="1" customWidth="1"/>
    <col min="36" max="36" width="11.42578125" style="138" bestFit="1" customWidth="1"/>
    <col min="37" max="45" width="6.42578125" style="138" bestFit="1" customWidth="1"/>
    <col min="46" max="46" width="11.42578125" style="138" bestFit="1" customWidth="1"/>
    <col min="47" max="60" width="6.42578125" style="138" bestFit="1" customWidth="1"/>
    <col min="61" max="61" width="11.42578125" style="138" bestFit="1" customWidth="1"/>
    <col min="62" max="64" width="6.42578125" style="138" bestFit="1" customWidth="1"/>
    <col min="65" max="65" width="5" style="138" bestFit="1" customWidth="1"/>
    <col min="66" max="16384" width="9.28515625" style="138"/>
  </cols>
  <sheetData>
    <row r="2" spans="2:67" s="73" customFormat="1" ht="18.75" x14ac:dyDescent="0.3">
      <c r="B2" s="73" t="s">
        <v>1287</v>
      </c>
      <c r="E2" s="74"/>
      <c r="F2" s="74"/>
      <c r="G2" s="74"/>
    </row>
    <row r="3" spans="2:67" s="75" customFormat="1" x14ac:dyDescent="0.25">
      <c r="B3" s="75" t="s">
        <v>1289</v>
      </c>
      <c r="E3" s="76"/>
      <c r="F3" s="76"/>
      <c r="G3" s="76"/>
    </row>
    <row r="4" spans="2:67" s="16" customFormat="1" x14ac:dyDescent="0.25">
      <c r="B4" s="16" t="s">
        <v>1288</v>
      </c>
      <c r="E4" s="345"/>
      <c r="F4" s="345"/>
      <c r="G4" s="345"/>
    </row>
    <row r="6" spans="2:67" x14ac:dyDescent="0.25">
      <c r="B6" s="138" t="s">
        <v>903</v>
      </c>
      <c r="C6" s="161">
        <v>43819</v>
      </c>
    </row>
    <row r="8" spans="2:67" x14ac:dyDescent="0.25">
      <c r="B8" s="138" t="s">
        <v>683</v>
      </c>
      <c r="C8" s="138" t="s">
        <v>684</v>
      </c>
      <c r="D8" s="138" t="s">
        <v>904</v>
      </c>
      <c r="E8" s="138" t="s">
        <v>905</v>
      </c>
      <c r="F8" s="138">
        <v>1960</v>
      </c>
      <c r="G8" s="138">
        <v>1961</v>
      </c>
      <c r="H8" s="138">
        <v>1962</v>
      </c>
      <c r="I8" s="138">
        <v>1963</v>
      </c>
      <c r="J8" s="138">
        <v>1964</v>
      </c>
      <c r="K8" s="138">
        <v>1965</v>
      </c>
      <c r="L8" s="138">
        <v>1966</v>
      </c>
      <c r="M8" s="138">
        <v>1967</v>
      </c>
      <c r="N8" s="138">
        <v>1968</v>
      </c>
      <c r="O8" s="138">
        <v>1969</v>
      </c>
      <c r="P8" s="138">
        <v>1970</v>
      </c>
      <c r="Q8" s="138">
        <v>1971</v>
      </c>
      <c r="R8" s="138">
        <v>1972</v>
      </c>
      <c r="S8" s="138">
        <v>1973</v>
      </c>
      <c r="T8" s="138">
        <v>1974</v>
      </c>
      <c r="U8" s="138">
        <v>1975</v>
      </c>
      <c r="V8" s="138">
        <v>1976</v>
      </c>
      <c r="W8" s="138">
        <v>1977</v>
      </c>
      <c r="X8" s="138">
        <v>1978</v>
      </c>
      <c r="Y8" s="138">
        <v>1979</v>
      </c>
      <c r="Z8" s="138">
        <v>1980</v>
      </c>
      <c r="AA8" s="138">
        <v>1981</v>
      </c>
      <c r="AB8" s="138">
        <v>1982</v>
      </c>
      <c r="AC8" s="138">
        <v>1983</v>
      </c>
      <c r="AD8" s="138">
        <v>1984</v>
      </c>
      <c r="AE8" s="138">
        <v>1985</v>
      </c>
      <c r="AF8" s="138">
        <v>1986</v>
      </c>
      <c r="AG8" s="138">
        <v>1987</v>
      </c>
      <c r="AH8" s="138">
        <v>1988</v>
      </c>
      <c r="AI8" s="138">
        <v>1989</v>
      </c>
      <c r="AJ8" s="138">
        <v>1990</v>
      </c>
      <c r="AK8" s="138">
        <v>1991</v>
      </c>
      <c r="AL8" s="138">
        <v>1992</v>
      </c>
      <c r="AM8" s="138">
        <v>1993</v>
      </c>
      <c r="AN8" s="138">
        <v>1994</v>
      </c>
      <c r="AO8" s="138">
        <v>1995</v>
      </c>
      <c r="AP8" s="138">
        <v>1996</v>
      </c>
      <c r="AQ8" s="138">
        <v>1997</v>
      </c>
      <c r="AR8" s="138">
        <v>1998</v>
      </c>
      <c r="AS8" s="138">
        <v>1999</v>
      </c>
      <c r="AT8" s="138">
        <v>2000</v>
      </c>
      <c r="AU8" s="138">
        <v>2001</v>
      </c>
      <c r="AV8" s="138">
        <v>2002</v>
      </c>
      <c r="AW8" s="138">
        <v>2003</v>
      </c>
      <c r="AX8" s="138">
        <v>2004</v>
      </c>
      <c r="AY8" s="138">
        <v>2005</v>
      </c>
      <c r="AZ8" s="138">
        <v>2006</v>
      </c>
      <c r="BA8" s="138">
        <v>2007</v>
      </c>
      <c r="BB8" s="138">
        <v>2008</v>
      </c>
      <c r="BC8" s="138">
        <v>2009</v>
      </c>
      <c r="BD8" s="138">
        <v>2010</v>
      </c>
      <c r="BE8" s="138">
        <v>2011</v>
      </c>
      <c r="BF8" s="138">
        <v>2012</v>
      </c>
      <c r="BG8" s="138">
        <v>2013</v>
      </c>
      <c r="BH8" s="138">
        <v>2014</v>
      </c>
      <c r="BI8" s="138">
        <v>2015</v>
      </c>
      <c r="BJ8" s="138">
        <v>2016</v>
      </c>
      <c r="BK8" s="138">
        <v>2017</v>
      </c>
      <c r="BL8" s="138">
        <v>2018</v>
      </c>
      <c r="BM8" s="138">
        <v>2019</v>
      </c>
      <c r="BN8" s="12" t="s">
        <v>1193</v>
      </c>
      <c r="BO8" s="12" t="s">
        <v>1192</v>
      </c>
    </row>
    <row r="9" spans="2:67" x14ac:dyDescent="0.25">
      <c r="B9" s="138" t="s">
        <v>429</v>
      </c>
      <c r="C9" s="138" t="s">
        <v>430</v>
      </c>
      <c r="D9" s="138" t="s">
        <v>1191</v>
      </c>
      <c r="E9" s="138" t="s">
        <v>1190</v>
      </c>
      <c r="AO9" s="138">
        <v>1.1200000000000001</v>
      </c>
      <c r="BN9" s="138">
        <f t="shared" ref="BN9:BN72" si="0">IFERROR(LOOKUP(2,1/(ISNUMBER(G9:BM9)),G9:BM9),"No reported value")</f>
        <v>1.1200000000000001</v>
      </c>
      <c r="BO9" s="138">
        <f t="shared" ref="BO9:BO72" si="1">IFERROR(INDEX($G$8:$BM$8,1,MATCH($BN9,$G9:$BM9,0)),"No reported value")</f>
        <v>1995</v>
      </c>
    </row>
    <row r="10" spans="2:67" x14ac:dyDescent="0.25">
      <c r="B10" s="138" t="s">
        <v>230</v>
      </c>
      <c r="C10" s="138" t="s">
        <v>0</v>
      </c>
      <c r="D10" s="138" t="s">
        <v>1191</v>
      </c>
      <c r="E10" s="138" t="s">
        <v>1190</v>
      </c>
      <c r="F10" s="138">
        <v>3.5000000000000003E-2</v>
      </c>
      <c r="K10" s="138">
        <v>6.3E-2</v>
      </c>
      <c r="P10" s="138">
        <v>6.5000000000000002E-2</v>
      </c>
      <c r="AA10" s="138">
        <v>7.6999999999999999E-2</v>
      </c>
      <c r="AF10" s="138">
        <v>0.183</v>
      </c>
      <c r="AG10" s="138">
        <v>0.17899999999999999</v>
      </c>
      <c r="AI10" s="138">
        <v>0.129</v>
      </c>
      <c r="AJ10" s="138">
        <v>0.109</v>
      </c>
      <c r="AM10" s="138">
        <v>0.14299999999999999</v>
      </c>
      <c r="AQ10" s="138">
        <v>0.11</v>
      </c>
      <c r="AU10" s="138">
        <v>0.19570000000000001</v>
      </c>
      <c r="AZ10" s="138">
        <v>0.16300000000000001</v>
      </c>
      <c r="BA10" s="138">
        <v>0.1774</v>
      </c>
      <c r="BB10" s="138">
        <v>0.17710000000000001</v>
      </c>
      <c r="BC10" s="138">
        <v>0.21560000000000001</v>
      </c>
      <c r="BD10" s="138">
        <v>0.23960000000000001</v>
      </c>
      <c r="BE10" s="138">
        <v>0.25530000000000003</v>
      </c>
      <c r="BF10" s="138">
        <v>0.245</v>
      </c>
      <c r="BG10" s="138">
        <v>0.28939999999999999</v>
      </c>
      <c r="BH10" s="138">
        <v>0.3039</v>
      </c>
      <c r="BI10" s="138">
        <v>0.29070000000000001</v>
      </c>
      <c r="BJ10" s="138">
        <v>0.28399999999999997</v>
      </c>
      <c r="BN10" s="138">
        <f t="shared" si="0"/>
        <v>0.28399999999999997</v>
      </c>
      <c r="BO10" s="138">
        <f t="shared" si="1"/>
        <v>2016</v>
      </c>
    </row>
    <row r="11" spans="2:67" x14ac:dyDescent="0.25">
      <c r="B11" s="138" t="s">
        <v>182</v>
      </c>
      <c r="C11" s="138" t="s">
        <v>165</v>
      </c>
      <c r="D11" s="138" t="s">
        <v>1191</v>
      </c>
      <c r="E11" s="138" t="s">
        <v>1190</v>
      </c>
      <c r="F11" s="138">
        <v>6.7000000000000004E-2</v>
      </c>
      <c r="K11" s="138">
        <v>7.5999999999999998E-2</v>
      </c>
      <c r="P11" s="138">
        <v>0.11600000000000001</v>
      </c>
      <c r="AD11" s="138">
        <v>5.8999999999999997E-2</v>
      </c>
      <c r="AJ11" s="138">
        <v>4.2000000000000003E-2</v>
      </c>
      <c r="AQ11" s="138">
        <v>5.8400000000000001E-2</v>
      </c>
      <c r="AX11" s="138">
        <v>6.1800000000000001E-2</v>
      </c>
      <c r="BC11" s="138">
        <v>0.13109999999999999</v>
      </c>
      <c r="BK11" s="138">
        <v>0.21490000000000001</v>
      </c>
      <c r="BN11" s="138">
        <f t="shared" si="0"/>
        <v>0.21490000000000001</v>
      </c>
      <c r="BO11" s="138">
        <f t="shared" si="1"/>
        <v>2017</v>
      </c>
    </row>
    <row r="12" spans="2:67" x14ac:dyDescent="0.25">
      <c r="B12" s="138" t="s">
        <v>418</v>
      </c>
      <c r="C12" s="138" t="s">
        <v>419</v>
      </c>
      <c r="D12" s="138" t="s">
        <v>1191</v>
      </c>
      <c r="E12" s="138" t="s">
        <v>1190</v>
      </c>
      <c r="F12" s="138">
        <v>0.27600000000000002</v>
      </c>
      <c r="K12" s="138">
        <v>0.48099999999999998</v>
      </c>
      <c r="P12" s="138">
        <v>0.73899999999999999</v>
      </c>
      <c r="Q12" s="138">
        <v>0.91100000000000003</v>
      </c>
      <c r="R12" s="138">
        <v>0.84499999999999997</v>
      </c>
      <c r="W12" s="138">
        <v>1.036</v>
      </c>
      <c r="Z12" s="138">
        <v>1.367</v>
      </c>
      <c r="AC12" s="138">
        <v>1.415</v>
      </c>
      <c r="AD12" s="138">
        <v>1.407</v>
      </c>
      <c r="AE12" s="138">
        <v>1.4059999999999999</v>
      </c>
      <c r="AI12" s="138">
        <v>1.403</v>
      </c>
      <c r="AJ12" s="138">
        <v>1.3740000000000001</v>
      </c>
      <c r="AK12" s="138">
        <v>1.47</v>
      </c>
      <c r="AL12" s="138">
        <v>1.65</v>
      </c>
      <c r="AM12" s="138">
        <v>1.425</v>
      </c>
      <c r="AO12" s="138">
        <v>1.306</v>
      </c>
      <c r="AP12" s="138">
        <v>1.3540000000000001</v>
      </c>
      <c r="AQ12" s="138">
        <v>1.2949999999999999</v>
      </c>
      <c r="AR12" s="138">
        <v>1.2889999999999999</v>
      </c>
      <c r="AS12" s="138">
        <v>1.282</v>
      </c>
      <c r="AT12" s="138">
        <v>1.389</v>
      </c>
      <c r="AV12" s="138">
        <v>1.3049999999999999</v>
      </c>
      <c r="BA12" s="138">
        <v>1.1459999999999999</v>
      </c>
      <c r="BC12" s="138">
        <v>1.1439999999999999</v>
      </c>
      <c r="BD12" s="138">
        <v>1.2379</v>
      </c>
      <c r="BE12" s="138">
        <v>1.2224999999999999</v>
      </c>
      <c r="BF12" s="138">
        <v>1.2658</v>
      </c>
      <c r="BG12" s="138">
        <v>1.2706</v>
      </c>
      <c r="BJ12" s="138">
        <v>1.1998</v>
      </c>
      <c r="BN12" s="138">
        <f t="shared" si="0"/>
        <v>1.1998</v>
      </c>
      <c r="BO12" s="138">
        <f t="shared" si="1"/>
        <v>2016</v>
      </c>
    </row>
    <row r="13" spans="2:67" x14ac:dyDescent="0.25">
      <c r="B13" s="138" t="s">
        <v>422</v>
      </c>
      <c r="C13" s="138" t="s">
        <v>1</v>
      </c>
      <c r="D13" s="138" t="s">
        <v>1191</v>
      </c>
      <c r="E13" s="138" t="s">
        <v>1190</v>
      </c>
      <c r="AO13" s="138">
        <v>2.2309999999999999</v>
      </c>
      <c r="AQ13" s="138">
        <v>2.4350000000000001</v>
      </c>
      <c r="AR13" s="138">
        <v>2.4700000000000002</v>
      </c>
      <c r="AS13" s="138">
        <v>2.5939999999999999</v>
      </c>
      <c r="AT13" s="138">
        <v>2.5489999999999999</v>
      </c>
      <c r="AU13" s="138">
        <v>2.5939999999999999</v>
      </c>
      <c r="AW13" s="138">
        <v>3.3332999999999999</v>
      </c>
      <c r="AZ13" s="138">
        <v>3.64</v>
      </c>
      <c r="BA13" s="138">
        <v>3.7160000000000002</v>
      </c>
      <c r="BC13" s="138">
        <v>3.1120000000000001</v>
      </c>
      <c r="BD13" s="138">
        <v>4</v>
      </c>
      <c r="BI13" s="138">
        <v>3.3332999999999999</v>
      </c>
      <c r="BN13" s="138">
        <f t="shared" si="0"/>
        <v>3.3332999999999999</v>
      </c>
      <c r="BO13" s="138">
        <f t="shared" si="1"/>
        <v>2003</v>
      </c>
    </row>
    <row r="14" spans="2:67" x14ac:dyDescent="0.25">
      <c r="B14" s="138" t="s">
        <v>425</v>
      </c>
      <c r="C14" s="138" t="s">
        <v>426</v>
      </c>
      <c r="D14" s="138" t="s">
        <v>1191</v>
      </c>
      <c r="E14" s="138" t="s">
        <v>1190</v>
      </c>
      <c r="AJ14" s="138">
        <v>0.71886160379018749</v>
      </c>
      <c r="AT14" s="138">
        <v>1.1251337627705766</v>
      </c>
      <c r="BI14" s="138">
        <v>1.0973025743985347</v>
      </c>
      <c r="BN14" s="138">
        <f t="shared" si="0"/>
        <v>1.0973025743985347</v>
      </c>
      <c r="BO14" s="138">
        <f t="shared" si="1"/>
        <v>2015</v>
      </c>
    </row>
    <row r="15" spans="2:67" x14ac:dyDescent="0.25">
      <c r="B15" s="138" t="s">
        <v>661</v>
      </c>
      <c r="C15" s="138" t="s">
        <v>2</v>
      </c>
      <c r="D15" s="138" t="s">
        <v>1191</v>
      </c>
      <c r="E15" s="138" t="s">
        <v>1190</v>
      </c>
      <c r="P15" s="138">
        <v>0.90900000000000003</v>
      </c>
      <c r="Z15" s="138">
        <v>1.0680000000000001</v>
      </c>
      <c r="AD15" s="138">
        <v>0.95299999999999996</v>
      </c>
      <c r="AT15" s="138">
        <v>1.7896000000000001</v>
      </c>
      <c r="AU15" s="138">
        <v>1.9690000000000001</v>
      </c>
      <c r="AV15" s="138">
        <v>1.9864999999999999</v>
      </c>
      <c r="AW15" s="138">
        <v>2.0596000000000001</v>
      </c>
      <c r="AX15" s="138">
        <v>1.9086000000000001</v>
      </c>
      <c r="AY15" s="138">
        <v>1.5222</v>
      </c>
      <c r="AZ15" s="138">
        <v>1.3445</v>
      </c>
      <c r="BA15" s="138">
        <v>1.4342999999999999</v>
      </c>
      <c r="BB15" s="138">
        <v>1.6869000000000001</v>
      </c>
      <c r="BC15" s="138">
        <v>1.5673999999999999</v>
      </c>
      <c r="BD15" s="138">
        <v>1.4675</v>
      </c>
      <c r="BE15" s="138">
        <v>1.4823999999999999</v>
      </c>
      <c r="BF15" s="138">
        <v>1.5166999999999999</v>
      </c>
      <c r="BG15" s="138">
        <v>1.7783</v>
      </c>
      <c r="BH15" s="138">
        <v>2.0268000000000002</v>
      </c>
      <c r="BI15" s="138">
        <v>2.2372999999999998</v>
      </c>
      <c r="BJ15" s="138">
        <v>2.3944000000000001</v>
      </c>
      <c r="BN15" s="138">
        <f t="shared" si="0"/>
        <v>2.3944000000000001</v>
      </c>
      <c r="BO15" s="138">
        <f t="shared" si="1"/>
        <v>2016</v>
      </c>
    </row>
    <row r="16" spans="2:67" x14ac:dyDescent="0.25">
      <c r="B16" s="138" t="s">
        <v>427</v>
      </c>
      <c r="C16" s="138" t="s">
        <v>428</v>
      </c>
      <c r="D16" s="138" t="s">
        <v>1191</v>
      </c>
      <c r="E16" s="138" t="s">
        <v>1190</v>
      </c>
      <c r="F16" s="138">
        <v>1.351</v>
      </c>
      <c r="K16" s="138">
        <v>1.667</v>
      </c>
      <c r="P16" s="138">
        <v>1.8919999999999999</v>
      </c>
      <c r="U16" s="138">
        <v>1.869</v>
      </c>
      <c r="AD16" s="138">
        <v>2.6829999999999998</v>
      </c>
      <c r="AE16" s="138">
        <v>2.7050000000000001</v>
      </c>
      <c r="AF16" s="138">
        <v>2.984</v>
      </c>
      <c r="AH16" s="138">
        <v>3.032</v>
      </c>
      <c r="AJ16" s="138">
        <v>2.68</v>
      </c>
      <c r="AL16" s="138">
        <v>2.6385000000000001</v>
      </c>
      <c r="AO16" s="138">
        <v>2.68</v>
      </c>
      <c r="AR16" s="138">
        <v>3.0021</v>
      </c>
      <c r="AU16" s="138">
        <v>3.2311000000000001</v>
      </c>
      <c r="AX16" s="138">
        <v>3.1661999999999999</v>
      </c>
      <c r="AY16" s="138">
        <v>3.21</v>
      </c>
      <c r="BD16" s="138">
        <v>3.21</v>
      </c>
      <c r="BG16" s="138">
        <v>3.9066000000000001</v>
      </c>
      <c r="BK16" s="138">
        <v>3.96</v>
      </c>
      <c r="BN16" s="138">
        <f t="shared" si="0"/>
        <v>3.96</v>
      </c>
      <c r="BO16" s="138">
        <f t="shared" si="1"/>
        <v>2017</v>
      </c>
    </row>
    <row r="17" spans="2:67" x14ac:dyDescent="0.25">
      <c r="B17" s="138" t="s">
        <v>234</v>
      </c>
      <c r="C17" s="138" t="s">
        <v>3</v>
      </c>
      <c r="D17" s="138" t="s">
        <v>1191</v>
      </c>
      <c r="E17" s="138" t="s">
        <v>1190</v>
      </c>
      <c r="Z17" s="138">
        <v>3.2109999999999999</v>
      </c>
      <c r="AA17" s="138">
        <v>3.278</v>
      </c>
      <c r="AB17" s="138">
        <v>3.4060000000000001</v>
      </c>
      <c r="AC17" s="138">
        <v>3.4540000000000002</v>
      </c>
      <c r="AD17" s="138">
        <v>3.5009999999999999</v>
      </c>
      <c r="AE17" s="138">
        <v>3.577</v>
      </c>
      <c r="AF17" s="138">
        <v>3.6739999999999999</v>
      </c>
      <c r="AG17" s="138">
        <v>3.7360000000000002</v>
      </c>
      <c r="AH17" s="138">
        <v>3.7629999999999999</v>
      </c>
      <c r="AI17" s="138">
        <v>3.8809999999999998</v>
      </c>
      <c r="AJ17" s="138">
        <v>3.9239999999999999</v>
      </c>
      <c r="AK17" s="138">
        <v>3.7010000000000001</v>
      </c>
      <c r="AL17" s="138">
        <v>3.597</v>
      </c>
      <c r="AM17" s="138">
        <v>3.3450000000000002</v>
      </c>
      <c r="AN17" s="138">
        <v>3.1219999999999999</v>
      </c>
      <c r="AO17" s="138">
        <v>3.0419999999999998</v>
      </c>
      <c r="AP17" s="138">
        <v>3.5910000000000002</v>
      </c>
      <c r="AQ17" s="138">
        <v>3.1560000000000001</v>
      </c>
      <c r="AR17" s="138">
        <v>3.1560000000000001</v>
      </c>
      <c r="AS17" s="138">
        <v>3.0510000000000002</v>
      </c>
      <c r="AT17" s="138">
        <v>2.9870000000000001</v>
      </c>
      <c r="AU17" s="138">
        <v>3.5259999999999998</v>
      </c>
      <c r="AW17" s="138">
        <v>3.5880000000000001</v>
      </c>
      <c r="AZ17" s="138">
        <v>3.7</v>
      </c>
      <c r="BA17" s="138">
        <v>3.6970000000000001</v>
      </c>
      <c r="BC17" s="138">
        <v>2.677</v>
      </c>
      <c r="BD17" s="138">
        <v>2.8418999999999999</v>
      </c>
      <c r="BE17" s="138">
        <v>2.8685999999999998</v>
      </c>
      <c r="BF17" s="138">
        <v>2.8990999999999998</v>
      </c>
      <c r="BG17" s="138">
        <v>2.9072</v>
      </c>
      <c r="BH17" s="138">
        <v>2.899</v>
      </c>
      <c r="BN17" s="138">
        <f t="shared" si="0"/>
        <v>2.899</v>
      </c>
      <c r="BO17" s="138">
        <f t="shared" si="1"/>
        <v>2014</v>
      </c>
    </row>
    <row r="18" spans="2:67" x14ac:dyDescent="0.25">
      <c r="B18" s="138" t="s">
        <v>421</v>
      </c>
      <c r="C18" s="138" t="s">
        <v>193</v>
      </c>
      <c r="D18" s="138" t="s">
        <v>1191</v>
      </c>
      <c r="E18" s="138" t="s">
        <v>1190</v>
      </c>
      <c r="AD18" s="138">
        <v>0.77200000000000002</v>
      </c>
      <c r="AS18" s="138">
        <v>0.78100000000000003</v>
      </c>
      <c r="BN18" s="138">
        <f t="shared" si="0"/>
        <v>0.78100000000000003</v>
      </c>
      <c r="BO18" s="138">
        <f t="shared" si="1"/>
        <v>1999</v>
      </c>
    </row>
    <row r="19" spans="2:67" x14ac:dyDescent="0.25">
      <c r="B19" s="138" t="s">
        <v>423</v>
      </c>
      <c r="C19" s="138" t="s">
        <v>424</v>
      </c>
      <c r="D19" s="138" t="s">
        <v>1191</v>
      </c>
      <c r="E19" s="138" t="s">
        <v>1190</v>
      </c>
      <c r="F19" s="138">
        <v>0.29399999999999998</v>
      </c>
      <c r="P19" s="138">
        <v>0.34899999999999998</v>
      </c>
      <c r="AJ19" s="138">
        <v>0.76</v>
      </c>
      <c r="AK19" s="138">
        <v>0.91900000000000004</v>
      </c>
      <c r="AM19" s="138">
        <v>3.03</v>
      </c>
      <c r="AO19" s="138">
        <v>0.76</v>
      </c>
      <c r="AP19" s="138">
        <v>1.141</v>
      </c>
      <c r="AS19" s="138">
        <v>0.1467</v>
      </c>
      <c r="BA19" s="138">
        <v>1.5754999999999999</v>
      </c>
      <c r="BK19" s="138">
        <v>2.7646999999999999</v>
      </c>
      <c r="BN19" s="138">
        <f t="shared" si="0"/>
        <v>2.7646999999999999</v>
      </c>
      <c r="BO19" s="138">
        <f t="shared" si="1"/>
        <v>2017</v>
      </c>
    </row>
    <row r="20" spans="2:67" x14ac:dyDescent="0.25">
      <c r="B20" s="138" t="s">
        <v>431</v>
      </c>
      <c r="C20" s="138" t="s">
        <v>4</v>
      </c>
      <c r="D20" s="138" t="s">
        <v>1191</v>
      </c>
      <c r="E20" s="138" t="s">
        <v>1190</v>
      </c>
      <c r="G20" s="138">
        <v>1.1000000000000001</v>
      </c>
      <c r="L20" s="138">
        <v>1.2</v>
      </c>
      <c r="Q20" s="138">
        <v>1.2</v>
      </c>
      <c r="V20" s="138">
        <v>1.5</v>
      </c>
      <c r="AA20" s="138">
        <v>1.8</v>
      </c>
      <c r="AD20" s="138">
        <v>1.8</v>
      </c>
      <c r="AE20" s="138">
        <v>1.9</v>
      </c>
      <c r="AF20" s="138">
        <v>2</v>
      </c>
      <c r="AG20" s="138">
        <v>2.1</v>
      </c>
      <c r="AH20" s="138">
        <v>2.1</v>
      </c>
      <c r="AI20" s="138">
        <v>2.1</v>
      </c>
      <c r="AJ20" s="138">
        <v>2.2000000000000002</v>
      </c>
      <c r="AK20" s="138">
        <v>2.2999999999999998</v>
      </c>
      <c r="AL20" s="138">
        <v>2.4</v>
      </c>
      <c r="AM20" s="138">
        <v>2.4</v>
      </c>
      <c r="AN20" s="138">
        <v>2.4</v>
      </c>
      <c r="AO20" s="138">
        <v>2.4</v>
      </c>
      <c r="AP20" s="138">
        <v>2.5198999999999998</v>
      </c>
      <c r="AQ20" s="138">
        <v>2.4</v>
      </c>
      <c r="AR20" s="138">
        <v>2.4</v>
      </c>
      <c r="AS20" s="138">
        <v>2.4</v>
      </c>
      <c r="AT20" s="138">
        <v>2.5</v>
      </c>
      <c r="AU20" s="138">
        <v>2.4845999999999999</v>
      </c>
      <c r="AV20" s="138">
        <v>2.5</v>
      </c>
      <c r="AZ20" s="138">
        <v>2.6764999999999999</v>
      </c>
      <c r="BC20" s="138">
        <v>2.8887999999999998</v>
      </c>
      <c r="BD20" s="138">
        <v>3.3481000000000001</v>
      </c>
      <c r="BE20" s="138">
        <v>3.2963</v>
      </c>
      <c r="BF20" s="138">
        <v>3.2976000000000001</v>
      </c>
      <c r="BG20" s="138">
        <v>3.3881999999999999</v>
      </c>
      <c r="BH20" s="138">
        <v>3.4620000000000002</v>
      </c>
      <c r="BI20" s="138">
        <v>3.5213000000000001</v>
      </c>
      <c r="BJ20" s="138">
        <v>3.5874000000000001</v>
      </c>
      <c r="BN20" s="138">
        <f t="shared" si="0"/>
        <v>3.5874000000000001</v>
      </c>
      <c r="BO20" s="138">
        <f t="shared" si="1"/>
        <v>2016</v>
      </c>
    </row>
    <row r="21" spans="2:67" x14ac:dyDescent="0.25">
      <c r="B21" s="138" t="s">
        <v>432</v>
      </c>
      <c r="C21" s="138" t="s">
        <v>5</v>
      </c>
      <c r="D21" s="138" t="s">
        <v>1191</v>
      </c>
      <c r="E21" s="138" t="s">
        <v>1190</v>
      </c>
      <c r="F21" s="138">
        <v>1.2</v>
      </c>
      <c r="G21" s="138">
        <v>1.4</v>
      </c>
      <c r="H21" s="138">
        <v>1.4</v>
      </c>
      <c r="I21" s="138">
        <v>1.4</v>
      </c>
      <c r="J21" s="138">
        <v>1.4</v>
      </c>
      <c r="K21" s="138">
        <v>1.4</v>
      </c>
      <c r="L21" s="138">
        <v>1.4</v>
      </c>
      <c r="M21" s="138">
        <v>1.4</v>
      </c>
      <c r="N21" s="138">
        <v>1.4</v>
      </c>
      <c r="O21" s="138">
        <v>1.4</v>
      </c>
      <c r="P21" s="138">
        <v>1.4</v>
      </c>
      <c r="Q21" s="138">
        <v>1.4</v>
      </c>
      <c r="R21" s="138">
        <v>1.4</v>
      </c>
      <c r="S21" s="138">
        <v>1.4</v>
      </c>
      <c r="T21" s="138">
        <v>1.4</v>
      </c>
      <c r="U21" s="138">
        <v>1.5</v>
      </c>
      <c r="V21" s="138">
        <v>1.5</v>
      </c>
      <c r="W21" s="138">
        <v>1.5</v>
      </c>
      <c r="X21" s="138">
        <v>1.5</v>
      </c>
      <c r="Y21" s="138">
        <v>1.6</v>
      </c>
      <c r="Z21" s="138">
        <v>1.6</v>
      </c>
      <c r="AA21" s="138">
        <v>1.7</v>
      </c>
      <c r="AB21" s="138">
        <v>1.7</v>
      </c>
      <c r="AC21" s="138">
        <v>1.8</v>
      </c>
      <c r="AD21" s="138">
        <v>1.8</v>
      </c>
      <c r="AE21" s="138">
        <v>1.9</v>
      </c>
      <c r="AF21" s="138">
        <v>1.9</v>
      </c>
      <c r="AG21" s="138">
        <v>2</v>
      </c>
      <c r="AH21" s="138">
        <v>2.1</v>
      </c>
      <c r="AI21" s="138">
        <v>2.2000000000000002</v>
      </c>
      <c r="AJ21" s="138">
        <v>2.2000000000000002</v>
      </c>
      <c r="AK21" s="138">
        <v>2.2999999999999998</v>
      </c>
      <c r="AL21" s="138">
        <v>2.4</v>
      </c>
      <c r="AM21" s="138">
        <v>2.5</v>
      </c>
      <c r="AN21" s="138">
        <v>2.6</v>
      </c>
      <c r="AO21" s="138">
        <v>2.7</v>
      </c>
      <c r="AP21" s="138">
        <v>2.8</v>
      </c>
      <c r="AQ21" s="138">
        <v>2.9</v>
      </c>
      <c r="AR21" s="138">
        <v>3.1</v>
      </c>
      <c r="AS21" s="138">
        <v>3.1</v>
      </c>
      <c r="AT21" s="138">
        <v>3.2</v>
      </c>
      <c r="AU21" s="138">
        <v>3.3</v>
      </c>
      <c r="AV21" s="138">
        <v>3.3</v>
      </c>
      <c r="AW21" s="138">
        <v>3.3780000000000001</v>
      </c>
      <c r="AZ21" s="138">
        <v>3.66</v>
      </c>
      <c r="BA21" s="138">
        <v>3.794</v>
      </c>
      <c r="BD21" s="138">
        <v>4.7687999999999997</v>
      </c>
      <c r="BE21" s="138">
        <v>4.8030999999999997</v>
      </c>
      <c r="BF21" s="138">
        <v>4.8449999999999998</v>
      </c>
      <c r="BG21" s="138">
        <v>4.9316000000000004</v>
      </c>
      <c r="BH21" s="138">
        <v>4.9954000000000001</v>
      </c>
      <c r="BI21" s="138">
        <v>5.0701000000000001</v>
      </c>
      <c r="BJ21" s="138">
        <v>5.1440999999999999</v>
      </c>
      <c r="BN21" s="138">
        <f t="shared" si="0"/>
        <v>5.1440999999999999</v>
      </c>
      <c r="BO21" s="138">
        <f t="shared" si="1"/>
        <v>2016</v>
      </c>
    </row>
    <row r="22" spans="2:67" x14ac:dyDescent="0.25">
      <c r="B22" s="138" t="s">
        <v>235</v>
      </c>
      <c r="C22" s="138" t="s">
        <v>6</v>
      </c>
      <c r="D22" s="138" t="s">
        <v>1191</v>
      </c>
      <c r="E22" s="138" t="s">
        <v>1190</v>
      </c>
      <c r="Z22" s="138">
        <v>3.3620000000000001</v>
      </c>
      <c r="AE22" s="138">
        <v>3.7989999999999999</v>
      </c>
      <c r="AF22" s="138">
        <v>3.8769999999999998</v>
      </c>
      <c r="AG22" s="138">
        <v>3.9060000000000001</v>
      </c>
      <c r="AH22" s="138">
        <v>3.964</v>
      </c>
      <c r="AI22" s="138">
        <v>3.99</v>
      </c>
      <c r="AJ22" s="138">
        <v>3.9169999999999998</v>
      </c>
      <c r="AK22" s="138">
        <v>3.9159999999999999</v>
      </c>
      <c r="AL22" s="138">
        <v>3.8809999999999998</v>
      </c>
      <c r="AM22" s="138">
        <v>3.9279999999999999</v>
      </c>
      <c r="AN22" s="138">
        <v>3.8959999999999999</v>
      </c>
      <c r="AO22" s="138">
        <v>3.9249999999999998</v>
      </c>
      <c r="AP22" s="138">
        <v>3.899</v>
      </c>
      <c r="AQ22" s="138">
        <v>3.831</v>
      </c>
      <c r="AR22" s="138">
        <v>3.6019999999999999</v>
      </c>
      <c r="AS22" s="138">
        <v>3.5209999999999999</v>
      </c>
      <c r="AT22" s="138">
        <v>3.6070000000000002</v>
      </c>
      <c r="AU22" s="138">
        <v>3.536</v>
      </c>
      <c r="AW22" s="138">
        <v>3.5470000000000002</v>
      </c>
      <c r="AZ22" s="138">
        <v>3.63</v>
      </c>
      <c r="BA22" s="138">
        <v>3.794</v>
      </c>
      <c r="BC22" s="138">
        <v>3.782</v>
      </c>
      <c r="BD22" s="138">
        <v>3.6629</v>
      </c>
      <c r="BE22" s="138">
        <v>3.4375</v>
      </c>
      <c r="BF22" s="138">
        <v>3.4901</v>
      </c>
      <c r="BG22" s="138">
        <v>3.4558</v>
      </c>
      <c r="BH22" s="138">
        <v>3.4466000000000001</v>
      </c>
      <c r="BN22" s="138">
        <f t="shared" si="0"/>
        <v>3.4466000000000001</v>
      </c>
      <c r="BO22" s="138">
        <f t="shared" si="1"/>
        <v>2014</v>
      </c>
    </row>
    <row r="23" spans="2:67" x14ac:dyDescent="0.25">
      <c r="B23" s="138" t="s">
        <v>186</v>
      </c>
      <c r="C23" s="138" t="s">
        <v>7</v>
      </c>
      <c r="D23" s="138" t="s">
        <v>1191</v>
      </c>
      <c r="E23" s="138" t="s">
        <v>1190</v>
      </c>
      <c r="F23" s="138">
        <v>0.01</v>
      </c>
      <c r="K23" s="138">
        <v>1.7000000000000001E-2</v>
      </c>
      <c r="P23" s="138">
        <v>1.7000000000000001E-2</v>
      </c>
      <c r="U23" s="138">
        <v>1.2E-2</v>
      </c>
      <c r="AD23" s="138">
        <v>4.7E-2</v>
      </c>
      <c r="AF23" s="138">
        <v>5.8000000000000003E-2</v>
      </c>
      <c r="AJ23" s="138">
        <v>5.8000000000000003E-2</v>
      </c>
      <c r="AK23" s="138">
        <v>5.8999999999999997E-2</v>
      </c>
      <c r="AM23" s="138">
        <v>5.6000000000000001E-2</v>
      </c>
      <c r="AO23" s="138">
        <v>5.5E-2</v>
      </c>
      <c r="AT23" s="138">
        <v>5.1999999999999998E-2</v>
      </c>
      <c r="AX23" s="138">
        <v>2.7799999999999998E-2</v>
      </c>
      <c r="BD23" s="138">
        <v>4.7699999999999999E-2</v>
      </c>
      <c r="BJ23" s="138">
        <v>0.05</v>
      </c>
      <c r="BN23" s="138">
        <f t="shared" si="0"/>
        <v>0.05</v>
      </c>
      <c r="BO23" s="138">
        <f t="shared" si="1"/>
        <v>2016</v>
      </c>
    </row>
    <row r="24" spans="2:67" x14ac:dyDescent="0.25">
      <c r="B24" s="138" t="s">
        <v>438</v>
      </c>
      <c r="C24" s="138" t="s">
        <v>8</v>
      </c>
      <c r="D24" s="138" t="s">
        <v>1191</v>
      </c>
      <c r="E24" s="138" t="s">
        <v>1190</v>
      </c>
      <c r="F24" s="138">
        <v>1.3</v>
      </c>
      <c r="G24" s="138">
        <v>1.3</v>
      </c>
      <c r="H24" s="138">
        <v>1.4</v>
      </c>
      <c r="I24" s="138">
        <v>1.4</v>
      </c>
      <c r="J24" s="138">
        <v>1.4</v>
      </c>
      <c r="K24" s="138">
        <v>1.5</v>
      </c>
      <c r="L24" s="138">
        <v>1.5</v>
      </c>
      <c r="M24" s="138">
        <v>1.5</v>
      </c>
      <c r="N24" s="138">
        <v>1.6</v>
      </c>
      <c r="O24" s="138">
        <v>1.6</v>
      </c>
      <c r="Q24" s="138">
        <v>1.5</v>
      </c>
      <c r="R24" s="138">
        <v>1.6</v>
      </c>
      <c r="S24" s="138">
        <v>1.7</v>
      </c>
      <c r="T24" s="138">
        <v>1.8</v>
      </c>
      <c r="U24" s="138">
        <v>1.9</v>
      </c>
      <c r="V24" s="138">
        <v>1.9</v>
      </c>
      <c r="W24" s="138">
        <v>2</v>
      </c>
      <c r="X24" s="138">
        <v>2.1</v>
      </c>
      <c r="Y24" s="138">
        <v>2.2000000000000002</v>
      </c>
      <c r="Z24" s="138">
        <v>2.2999999999999998</v>
      </c>
      <c r="AA24" s="138">
        <v>2.4</v>
      </c>
      <c r="AB24" s="138">
        <v>2.5</v>
      </c>
      <c r="AC24" s="138">
        <v>2.8</v>
      </c>
      <c r="AD24" s="138">
        <v>2.7</v>
      </c>
      <c r="AE24" s="138">
        <v>2.8</v>
      </c>
      <c r="AF24" s="138">
        <v>2.9</v>
      </c>
      <c r="AG24" s="138">
        <v>3</v>
      </c>
      <c r="AH24" s="138">
        <v>3.1</v>
      </c>
      <c r="AI24" s="138">
        <v>3.2</v>
      </c>
      <c r="AJ24" s="138">
        <v>3.3</v>
      </c>
      <c r="AK24" s="138">
        <v>3.3</v>
      </c>
      <c r="AL24" s="138">
        <v>3.4</v>
      </c>
      <c r="AM24" s="138">
        <v>3.4</v>
      </c>
      <c r="AN24" s="138">
        <v>3.5</v>
      </c>
      <c r="AO24" s="138">
        <v>3.5</v>
      </c>
      <c r="AP24" s="138">
        <v>3.6</v>
      </c>
      <c r="AQ24" s="138">
        <v>3.7</v>
      </c>
      <c r="AR24" s="138">
        <v>3.7</v>
      </c>
      <c r="AS24" s="138">
        <v>3.8</v>
      </c>
      <c r="AT24" s="138">
        <v>3.9</v>
      </c>
      <c r="AU24" s="138">
        <v>3.9</v>
      </c>
      <c r="AV24" s="138">
        <v>3.9</v>
      </c>
      <c r="AY24" s="138">
        <v>2.0478999999999998</v>
      </c>
      <c r="AZ24" s="138">
        <v>2.0956999999999999</v>
      </c>
      <c r="BD24" s="138">
        <v>2.9085000000000001</v>
      </c>
      <c r="BE24" s="138">
        <v>2.9222000000000001</v>
      </c>
      <c r="BF24" s="138">
        <v>2.9397000000000002</v>
      </c>
      <c r="BG24" s="138">
        <v>2.9592000000000001</v>
      </c>
      <c r="BH24" s="138">
        <v>2.9729000000000001</v>
      </c>
      <c r="BI24" s="138">
        <v>3.0137999999999998</v>
      </c>
      <c r="BJ24" s="138">
        <v>3.3233999999999999</v>
      </c>
      <c r="BN24" s="138">
        <f t="shared" si="0"/>
        <v>3.3233999999999999</v>
      </c>
      <c r="BO24" s="138">
        <f t="shared" si="1"/>
        <v>2016</v>
      </c>
    </row>
    <row r="25" spans="2:67" x14ac:dyDescent="0.25">
      <c r="B25" s="138" t="s">
        <v>183</v>
      </c>
      <c r="C25" s="138" t="s">
        <v>9</v>
      </c>
      <c r="D25" s="138" t="s">
        <v>1191</v>
      </c>
      <c r="E25" s="138" t="s">
        <v>1190</v>
      </c>
      <c r="F25" s="138">
        <v>0.04</v>
      </c>
      <c r="K25" s="138">
        <v>0.03</v>
      </c>
      <c r="P25" s="138">
        <v>3.4000000000000002E-2</v>
      </c>
      <c r="Z25" s="138">
        <v>5.8999999999999997E-2</v>
      </c>
      <c r="AA25" s="138">
        <v>5.8999999999999997E-2</v>
      </c>
      <c r="AC25" s="138">
        <v>7.4999999999999997E-2</v>
      </c>
      <c r="AE25" s="138">
        <v>7.2999999999999995E-2</v>
      </c>
      <c r="AI25" s="138">
        <v>7.0999999999999994E-2</v>
      </c>
      <c r="AJ25" s="138">
        <v>5.0999999999999997E-2</v>
      </c>
      <c r="AK25" s="138">
        <v>4.2000000000000003E-2</v>
      </c>
      <c r="AL25" s="138">
        <v>5.5E-2</v>
      </c>
      <c r="AM25" s="138">
        <v>5.7000000000000002E-2</v>
      </c>
      <c r="AN25" s="138">
        <v>6.0999999999999999E-2</v>
      </c>
      <c r="AO25" s="138">
        <v>5.8000000000000003E-2</v>
      </c>
      <c r="AX25" s="138">
        <v>4.0099999999999997E-2</v>
      </c>
      <c r="BB25" s="138">
        <v>6.2300000000000001E-2</v>
      </c>
      <c r="BD25" s="138">
        <v>5.8999999999999997E-2</v>
      </c>
      <c r="BF25" s="138">
        <v>0.1646</v>
      </c>
      <c r="BG25" s="138">
        <v>0.15060000000000001</v>
      </c>
      <c r="BJ25" s="138">
        <v>0.15720000000000001</v>
      </c>
      <c r="BN25" s="138">
        <f t="shared" si="0"/>
        <v>0.15720000000000001</v>
      </c>
      <c r="BO25" s="138">
        <f t="shared" si="1"/>
        <v>2016</v>
      </c>
    </row>
    <row r="26" spans="2:67" x14ac:dyDescent="0.25">
      <c r="B26" s="138" t="s">
        <v>185</v>
      </c>
      <c r="C26" s="138" t="s">
        <v>10</v>
      </c>
      <c r="D26" s="138" t="s">
        <v>1191</v>
      </c>
      <c r="E26" s="138" t="s">
        <v>1190</v>
      </c>
      <c r="F26" s="138">
        <v>1.0999999999999999E-2</v>
      </c>
      <c r="K26" s="138">
        <v>1.4E-2</v>
      </c>
      <c r="P26" s="138">
        <v>0.01</v>
      </c>
      <c r="Z26" s="138">
        <v>1.7999999999999999E-2</v>
      </c>
      <c r="AA26" s="138">
        <v>1.7999999999999999E-2</v>
      </c>
      <c r="AC26" s="138">
        <v>1.7999999999999999E-2</v>
      </c>
      <c r="AF26" s="138">
        <v>4.0000000000000001E-3</v>
      </c>
      <c r="AI26" s="138">
        <v>2.9000000000000001E-2</v>
      </c>
      <c r="AO26" s="138">
        <v>3.4000000000000002E-2</v>
      </c>
      <c r="AP26" s="138">
        <v>3.5000000000000003E-2</v>
      </c>
      <c r="AQ26" s="138">
        <v>3.7999999999999999E-2</v>
      </c>
      <c r="AU26" s="138">
        <v>0.04</v>
      </c>
      <c r="AX26" s="138">
        <v>5.4300000000000001E-2</v>
      </c>
      <c r="AZ26" s="138">
        <v>2.8000000000000001E-2</v>
      </c>
      <c r="BB26" s="138">
        <v>3.2199999999999999E-2</v>
      </c>
      <c r="BC26" s="138">
        <v>4.4600000000000001E-2</v>
      </c>
      <c r="BD26" s="138">
        <v>4.5699999999999998E-2</v>
      </c>
      <c r="BE26" s="138">
        <v>3.8600000000000002E-2</v>
      </c>
      <c r="BF26" s="138">
        <v>4.7500000000000001E-2</v>
      </c>
      <c r="BJ26" s="138">
        <v>0.06</v>
      </c>
      <c r="BN26" s="138">
        <f t="shared" si="0"/>
        <v>0.06</v>
      </c>
      <c r="BO26" s="138">
        <f t="shared" si="1"/>
        <v>2016</v>
      </c>
    </row>
    <row r="27" spans="2:67" x14ac:dyDescent="0.25">
      <c r="B27" s="138" t="s">
        <v>240</v>
      </c>
      <c r="C27" s="138" t="s">
        <v>11</v>
      </c>
      <c r="D27" s="138" t="s">
        <v>1191</v>
      </c>
      <c r="E27" s="138" t="s">
        <v>1190</v>
      </c>
      <c r="K27" s="138">
        <v>0.123</v>
      </c>
      <c r="P27" s="138">
        <v>0.11899999999999999</v>
      </c>
      <c r="Z27" s="138">
        <v>0.12</v>
      </c>
      <c r="AE27" s="138">
        <v>0.154</v>
      </c>
      <c r="AF27" s="138">
        <v>0.14399999999999999</v>
      </c>
      <c r="AJ27" s="138">
        <v>0.17699999999999999</v>
      </c>
      <c r="AK27" s="138">
        <v>0.188</v>
      </c>
      <c r="AO27" s="138">
        <v>0.20100000000000001</v>
      </c>
      <c r="AQ27" s="138">
        <v>0.2</v>
      </c>
      <c r="AU27" s="138">
        <v>0.24229999999999999</v>
      </c>
      <c r="AW27" s="138">
        <v>0.2631</v>
      </c>
      <c r="AX27" s="138">
        <v>0.27229999999999999</v>
      </c>
      <c r="AY27" s="138">
        <v>0.29899999999999999</v>
      </c>
      <c r="AZ27" s="138">
        <v>0.307</v>
      </c>
      <c r="BA27" s="138">
        <v>0.31929999999999997</v>
      </c>
      <c r="BB27" s="138">
        <v>0.33169999999999999</v>
      </c>
      <c r="BC27" s="138">
        <v>0.34379999999999999</v>
      </c>
      <c r="BD27" s="138">
        <v>0.35260000000000002</v>
      </c>
      <c r="BE27" s="138">
        <v>0.37240000000000001</v>
      </c>
      <c r="BF27" s="138">
        <v>0.38790000000000002</v>
      </c>
      <c r="BG27" s="138">
        <v>0.40889999999999999</v>
      </c>
      <c r="BH27" s="138">
        <v>0.47370000000000001</v>
      </c>
      <c r="BI27" s="138">
        <v>0.47089999999999999</v>
      </c>
      <c r="BJ27" s="138">
        <v>0.48220000000000002</v>
      </c>
      <c r="BK27" s="138">
        <v>0.52680000000000005</v>
      </c>
      <c r="BN27" s="138">
        <f t="shared" si="0"/>
        <v>0.52680000000000005</v>
      </c>
      <c r="BO27" s="138">
        <f t="shared" si="1"/>
        <v>2017</v>
      </c>
    </row>
    <row r="28" spans="2:67" x14ac:dyDescent="0.25">
      <c r="B28" s="138" t="s">
        <v>447</v>
      </c>
      <c r="C28" s="138" t="s">
        <v>12</v>
      </c>
      <c r="D28" s="138" t="s">
        <v>1191</v>
      </c>
      <c r="E28" s="138" t="s">
        <v>1190</v>
      </c>
      <c r="F28" s="138">
        <v>1.405</v>
      </c>
      <c r="K28" s="138">
        <v>1.667</v>
      </c>
      <c r="P28" s="138">
        <v>1.863</v>
      </c>
      <c r="Q28" s="138">
        <v>1.8959999999999999</v>
      </c>
      <c r="R28" s="138">
        <v>1.9850000000000001</v>
      </c>
      <c r="S28" s="138">
        <v>2.0419999999999998</v>
      </c>
      <c r="T28" s="138">
        <v>2.1019999999999999</v>
      </c>
      <c r="U28" s="138">
        <v>2.1520000000000001</v>
      </c>
      <c r="V28" s="138">
        <v>2.2050000000000001</v>
      </c>
      <c r="W28" s="138">
        <v>2.258</v>
      </c>
      <c r="X28" s="138">
        <v>2.3210000000000002</v>
      </c>
      <c r="Y28" s="138">
        <v>2.4079999999999999</v>
      </c>
      <c r="Z28" s="138">
        <v>2.46</v>
      </c>
      <c r="AA28" s="138">
        <v>2.484</v>
      </c>
      <c r="AB28" s="138">
        <v>2.5880000000000001</v>
      </c>
      <c r="AC28" s="138">
        <v>2.6880000000000002</v>
      </c>
      <c r="AD28" s="138">
        <v>2.7589999999999999</v>
      </c>
      <c r="AE28" s="138">
        <v>2.8650000000000002</v>
      </c>
      <c r="AF28" s="138">
        <v>2.9529999999999998</v>
      </c>
      <c r="AG28" s="138">
        <v>3.0219999999999998</v>
      </c>
      <c r="AH28" s="138">
        <v>3.09</v>
      </c>
      <c r="AI28" s="138">
        <v>3.1389999999999998</v>
      </c>
      <c r="AJ28" s="138">
        <v>3.17</v>
      </c>
      <c r="AK28" s="138">
        <v>2.9790000000000001</v>
      </c>
      <c r="AL28" s="138">
        <v>3.1659999999999999</v>
      </c>
      <c r="AM28" s="138">
        <v>3.359</v>
      </c>
      <c r="AN28" s="138">
        <v>3.327</v>
      </c>
      <c r="AO28" s="138">
        <v>3.4580000000000002</v>
      </c>
      <c r="AP28" s="138">
        <v>3.5390000000000001</v>
      </c>
      <c r="AQ28" s="138">
        <v>3.4470000000000001</v>
      </c>
      <c r="AR28" s="138">
        <v>3.4489999999999998</v>
      </c>
      <c r="AT28" s="138">
        <v>3.399</v>
      </c>
      <c r="AW28" s="138">
        <v>3.5619999999999998</v>
      </c>
      <c r="AZ28" s="138">
        <v>3.66</v>
      </c>
      <c r="BA28" s="138">
        <v>3.665</v>
      </c>
      <c r="BB28" s="138">
        <v>3.6349999999999998</v>
      </c>
      <c r="BD28" s="138">
        <v>3.7764000000000002</v>
      </c>
      <c r="BE28" s="138">
        <v>3.8584999999999998</v>
      </c>
      <c r="BF28" s="138">
        <v>3.9121000000000001</v>
      </c>
      <c r="BG28" s="138">
        <v>3.9761000000000002</v>
      </c>
      <c r="BH28" s="138">
        <v>3.9878999999999998</v>
      </c>
      <c r="BN28" s="138">
        <f t="shared" si="0"/>
        <v>3.9878999999999998</v>
      </c>
      <c r="BO28" s="138">
        <f t="shared" si="1"/>
        <v>2014</v>
      </c>
    </row>
    <row r="29" spans="2:67" x14ac:dyDescent="0.25">
      <c r="B29" s="138" t="s">
        <v>434</v>
      </c>
      <c r="C29" s="138" t="s">
        <v>13</v>
      </c>
      <c r="D29" s="138" t="s">
        <v>1191</v>
      </c>
      <c r="E29" s="138" t="s">
        <v>1190</v>
      </c>
      <c r="F29" s="138">
        <v>0.45</v>
      </c>
      <c r="P29" s="138">
        <v>0.42899999999999999</v>
      </c>
      <c r="Z29" s="138">
        <v>1.087</v>
      </c>
      <c r="AE29" s="138">
        <v>1.2190000000000001</v>
      </c>
      <c r="AK29" s="138">
        <v>1.3149999999999999</v>
      </c>
      <c r="AM29" s="138">
        <v>0.11</v>
      </c>
      <c r="AQ29" s="138">
        <v>1</v>
      </c>
      <c r="AT29" s="138">
        <v>1.0202</v>
      </c>
      <c r="AU29" s="138">
        <v>1.0636000000000001</v>
      </c>
      <c r="AV29" s="138">
        <v>1.0773999999999999</v>
      </c>
      <c r="AW29" s="138">
        <v>1.0479000000000001</v>
      </c>
      <c r="AX29" s="138">
        <v>0.9677</v>
      </c>
      <c r="AY29" s="138">
        <v>1.0436000000000001</v>
      </c>
      <c r="AZ29" s="138">
        <v>1.0142</v>
      </c>
      <c r="BA29" s="138">
        <v>1.0155000000000001</v>
      </c>
      <c r="BB29" s="138">
        <v>0.98960000000000004</v>
      </c>
      <c r="BC29" s="138">
        <v>0.96960000000000002</v>
      </c>
      <c r="BD29" s="138">
        <v>0.94930000000000003</v>
      </c>
      <c r="BE29" s="138">
        <v>0.94499999999999995</v>
      </c>
      <c r="BF29" s="138">
        <v>0.95679999999999998</v>
      </c>
      <c r="BG29" s="138">
        <v>0.95330000000000004</v>
      </c>
      <c r="BH29" s="138">
        <v>0.95699999999999996</v>
      </c>
      <c r="BI29" s="138">
        <v>0.92569999999999997</v>
      </c>
      <c r="BN29" s="138">
        <f t="shared" si="0"/>
        <v>0.92569999999999997</v>
      </c>
      <c r="BO29" s="138">
        <f t="shared" si="1"/>
        <v>2015</v>
      </c>
    </row>
    <row r="30" spans="2:67" x14ac:dyDescent="0.25">
      <c r="B30" s="138" t="s">
        <v>433</v>
      </c>
      <c r="C30" s="138" t="s">
        <v>14</v>
      </c>
      <c r="D30" s="138" t="s">
        <v>1191</v>
      </c>
      <c r="E30" s="138" t="s">
        <v>1190</v>
      </c>
      <c r="F30" s="138">
        <v>0.496</v>
      </c>
      <c r="P30" s="138">
        <v>0.76</v>
      </c>
      <c r="Z30" s="138">
        <v>0.93799999999999994</v>
      </c>
      <c r="AD30" s="138">
        <v>0.94299999999999995</v>
      </c>
      <c r="AJ30" s="138">
        <v>1.29</v>
      </c>
      <c r="AM30" s="138">
        <v>1.446</v>
      </c>
      <c r="AO30" s="138">
        <v>1.49</v>
      </c>
      <c r="AP30" s="138">
        <v>1.518</v>
      </c>
      <c r="AR30" s="138">
        <v>1.0754999999999999</v>
      </c>
      <c r="BB30" s="138">
        <v>2.7158000000000002</v>
      </c>
      <c r="BE30" s="138">
        <v>2.2639999999999998</v>
      </c>
      <c r="BK30" s="138">
        <v>1.9373</v>
      </c>
      <c r="BN30" s="138">
        <f t="shared" si="0"/>
        <v>1.9373</v>
      </c>
      <c r="BO30" s="138">
        <f t="shared" si="1"/>
        <v>2017</v>
      </c>
    </row>
    <row r="31" spans="2:67" x14ac:dyDescent="0.25">
      <c r="B31" s="138" t="s">
        <v>442</v>
      </c>
      <c r="C31" s="138" t="s">
        <v>15</v>
      </c>
      <c r="D31" s="138" t="s">
        <v>1191</v>
      </c>
      <c r="E31" s="138" t="s">
        <v>1190</v>
      </c>
      <c r="Z31" s="138">
        <v>1.0329999999999999</v>
      </c>
      <c r="AA31" s="138">
        <v>1.089</v>
      </c>
      <c r="AB31" s="138">
        <v>1.17</v>
      </c>
      <c r="AC31" s="138">
        <v>1.2070000000000001</v>
      </c>
      <c r="AD31" s="138">
        <v>1.28</v>
      </c>
      <c r="AE31" s="138">
        <v>1.3620000000000001</v>
      </c>
      <c r="AF31" s="138">
        <v>1.419</v>
      </c>
      <c r="AG31" s="138">
        <v>1.4850000000000001</v>
      </c>
      <c r="AH31" s="138">
        <v>1.52</v>
      </c>
      <c r="AI31" s="138">
        <v>1.5569999999999999</v>
      </c>
      <c r="AJ31" s="138">
        <v>1.57</v>
      </c>
      <c r="AK31" s="138">
        <v>1.5549999999999999</v>
      </c>
      <c r="AR31" s="138">
        <v>1.427</v>
      </c>
      <c r="AS31" s="138">
        <v>1.401</v>
      </c>
      <c r="AT31" s="138">
        <v>1.4219999999999999</v>
      </c>
      <c r="AU31" s="138">
        <v>1.3380000000000001</v>
      </c>
      <c r="AW31" s="138">
        <v>1.34</v>
      </c>
      <c r="AY31" s="138">
        <v>1.4179999999999999</v>
      </c>
      <c r="BC31" s="138">
        <v>1.65</v>
      </c>
      <c r="BD31" s="138">
        <v>1.7907</v>
      </c>
      <c r="BE31" s="138">
        <v>1.8653</v>
      </c>
      <c r="BF31" s="138">
        <v>1.9258999999999999</v>
      </c>
      <c r="BG31" s="138">
        <v>2.0003000000000002</v>
      </c>
      <c r="BN31" s="138">
        <f t="shared" si="0"/>
        <v>2.0003000000000002</v>
      </c>
      <c r="BO31" s="138">
        <f t="shared" si="1"/>
        <v>2013</v>
      </c>
    </row>
    <row r="32" spans="2:67" x14ac:dyDescent="0.25">
      <c r="B32" s="138" t="s">
        <v>437</v>
      </c>
      <c r="C32" s="138" t="s">
        <v>16</v>
      </c>
      <c r="D32" s="138" t="s">
        <v>1191</v>
      </c>
      <c r="E32" s="138" t="s">
        <v>1190</v>
      </c>
      <c r="Z32" s="138">
        <v>2.9620000000000002</v>
      </c>
      <c r="AE32" s="138">
        <v>3.3290000000000002</v>
      </c>
      <c r="AF32" s="138">
        <v>3.375</v>
      </c>
      <c r="AG32" s="138">
        <v>3.4449999999999998</v>
      </c>
      <c r="AH32" s="138">
        <v>3.512</v>
      </c>
      <c r="AI32" s="138">
        <v>3.5760000000000001</v>
      </c>
      <c r="AJ32" s="138">
        <v>3.56</v>
      </c>
      <c r="AK32" s="138">
        <v>3.5760000000000001</v>
      </c>
      <c r="AL32" s="138">
        <v>3.6379999999999999</v>
      </c>
      <c r="AM32" s="138">
        <v>4.0759999999999996</v>
      </c>
      <c r="AN32" s="138">
        <v>4.1420000000000003</v>
      </c>
      <c r="AO32" s="138">
        <v>4.1550000000000002</v>
      </c>
      <c r="AP32" s="138">
        <v>4.2859999999999996</v>
      </c>
      <c r="AQ32" s="138">
        <v>4.3650000000000002</v>
      </c>
      <c r="AR32" s="138">
        <v>4.431</v>
      </c>
      <c r="AS32" s="138">
        <v>4.5510000000000002</v>
      </c>
      <c r="AT32" s="138">
        <v>4.5789999999999997</v>
      </c>
      <c r="AU32" s="138">
        <v>4.4969999999999999</v>
      </c>
      <c r="AV32" s="138">
        <v>4.5259999999999998</v>
      </c>
      <c r="AW32" s="138">
        <v>4.55</v>
      </c>
      <c r="AX32" s="138">
        <v>4.6219999999999999</v>
      </c>
      <c r="AY32" s="138">
        <v>4.68</v>
      </c>
      <c r="AZ32" s="138">
        <v>4.78</v>
      </c>
      <c r="BA32" s="138">
        <v>4.8689999999999998</v>
      </c>
      <c r="BB32" s="138">
        <v>4.9800000000000004</v>
      </c>
      <c r="BC32" s="138">
        <v>3.702</v>
      </c>
      <c r="BD32" s="138">
        <v>3.5179</v>
      </c>
      <c r="BE32" s="138">
        <v>3.7953000000000001</v>
      </c>
      <c r="BF32" s="138">
        <v>3.8809</v>
      </c>
      <c r="BG32" s="138">
        <v>3.9331</v>
      </c>
      <c r="BH32" s="138">
        <v>4.0772000000000004</v>
      </c>
      <c r="BN32" s="138">
        <f t="shared" si="0"/>
        <v>4.0772000000000004</v>
      </c>
      <c r="BO32" s="138">
        <f t="shared" si="1"/>
        <v>2014</v>
      </c>
    </row>
    <row r="33" spans="2:67" x14ac:dyDescent="0.25">
      <c r="B33" s="138" t="s">
        <v>439</v>
      </c>
      <c r="C33" s="138" t="s">
        <v>17</v>
      </c>
      <c r="D33" s="138" t="s">
        <v>1191</v>
      </c>
      <c r="E33" s="138" t="s">
        <v>1190</v>
      </c>
      <c r="F33" s="138">
        <v>0.24199999999999999</v>
      </c>
      <c r="P33" s="138">
        <v>0.34200000000000003</v>
      </c>
      <c r="AD33" s="138">
        <v>0.27200000000000002</v>
      </c>
      <c r="AF33" s="138">
        <v>0.45100000000000001</v>
      </c>
      <c r="AH33" s="138">
        <v>0.47199999999999998</v>
      </c>
      <c r="AJ33" s="138">
        <v>0.63900000000000001</v>
      </c>
      <c r="AM33" s="138">
        <v>0.49299999999999999</v>
      </c>
      <c r="AO33" s="138">
        <v>0.6</v>
      </c>
      <c r="AP33" s="138">
        <v>0.54800000000000004</v>
      </c>
      <c r="AT33" s="138">
        <v>1.0149999999999999</v>
      </c>
      <c r="BC33" s="138">
        <v>0.76780000000000004</v>
      </c>
      <c r="BD33" s="138">
        <v>0.82799999999999996</v>
      </c>
      <c r="BF33" s="138">
        <v>1.1494</v>
      </c>
      <c r="BK33" s="138">
        <v>1.1262000000000001</v>
      </c>
      <c r="BN33" s="138">
        <f t="shared" si="0"/>
        <v>1.1262000000000001</v>
      </c>
      <c r="BO33" s="138">
        <f t="shared" si="1"/>
        <v>2017</v>
      </c>
    </row>
    <row r="34" spans="2:67" x14ac:dyDescent="0.25">
      <c r="B34" s="138" t="s">
        <v>440</v>
      </c>
      <c r="C34" s="138" t="s">
        <v>441</v>
      </c>
      <c r="D34" s="138" t="s">
        <v>1191</v>
      </c>
      <c r="E34" s="138" t="s">
        <v>1190</v>
      </c>
      <c r="AO34" s="138">
        <v>1.2</v>
      </c>
      <c r="AQ34" s="138">
        <v>1.766</v>
      </c>
      <c r="BN34" s="138">
        <f t="shared" si="0"/>
        <v>1.766</v>
      </c>
      <c r="BO34" s="138">
        <f t="shared" si="1"/>
        <v>1997</v>
      </c>
    </row>
    <row r="35" spans="2:67" x14ac:dyDescent="0.25">
      <c r="B35" s="138" t="s">
        <v>219</v>
      </c>
      <c r="C35" s="138" t="s">
        <v>18</v>
      </c>
      <c r="D35" s="138" t="s">
        <v>1191</v>
      </c>
      <c r="E35" s="138" t="s">
        <v>1190</v>
      </c>
      <c r="F35" s="138">
        <v>0.26700000000000002</v>
      </c>
      <c r="K35" s="138">
        <v>0.311</v>
      </c>
      <c r="P35" s="138">
        <v>0.50900000000000001</v>
      </c>
      <c r="U35" s="138">
        <v>0.49</v>
      </c>
      <c r="AA35" s="138">
        <v>0.52300000000000002</v>
      </c>
      <c r="AD35" s="138">
        <v>0.69699999999999995</v>
      </c>
      <c r="AJ35" s="138">
        <v>0.45</v>
      </c>
      <c r="AM35" s="138">
        <v>0.42599999999999999</v>
      </c>
      <c r="AO35" s="138">
        <v>0.34</v>
      </c>
      <c r="AQ35" s="138">
        <v>1.2989999999999999</v>
      </c>
      <c r="AU35" s="138">
        <v>1.2157</v>
      </c>
      <c r="BA35" s="138">
        <v>0.33579999999999999</v>
      </c>
      <c r="BD35" s="138">
        <v>0.44419999999999998</v>
      </c>
      <c r="BE35" s="138">
        <v>0.47339999999999999</v>
      </c>
      <c r="BJ35" s="138">
        <v>1.6111</v>
      </c>
      <c r="BN35" s="138">
        <f t="shared" si="0"/>
        <v>1.6111</v>
      </c>
      <c r="BO35" s="138">
        <f t="shared" si="1"/>
        <v>2016</v>
      </c>
    </row>
    <row r="36" spans="2:67" x14ac:dyDescent="0.25">
      <c r="B36" s="138" t="s">
        <v>443</v>
      </c>
      <c r="C36" s="138" t="s">
        <v>19</v>
      </c>
      <c r="D36" s="138" t="s">
        <v>1191</v>
      </c>
      <c r="E36" s="138" t="s">
        <v>1190</v>
      </c>
      <c r="F36" s="138">
        <v>0.374</v>
      </c>
      <c r="K36" s="138">
        <v>0.4</v>
      </c>
      <c r="P36" s="138">
        <v>0.49199999999999999</v>
      </c>
      <c r="U36" s="138">
        <v>0.624</v>
      </c>
      <c r="AA36" s="138">
        <v>0.76700000000000002</v>
      </c>
      <c r="AD36" s="138">
        <v>0.92700000000000005</v>
      </c>
      <c r="AE36" s="138">
        <v>1.4670000000000001</v>
      </c>
      <c r="AH36" s="138">
        <v>1.1850000000000001</v>
      </c>
      <c r="AJ36" s="138">
        <v>1.0839000000000001</v>
      </c>
      <c r="AK36" s="138">
        <v>0.998</v>
      </c>
      <c r="AL36" s="138">
        <v>1.1376999999999999</v>
      </c>
      <c r="AM36" s="138">
        <v>1.1651</v>
      </c>
      <c r="AN36" s="138">
        <v>1.1932</v>
      </c>
      <c r="AO36" s="138">
        <v>1.2229000000000001</v>
      </c>
      <c r="AP36" s="138">
        <v>1.2532000000000001</v>
      </c>
      <c r="AQ36" s="138">
        <v>1.2885</v>
      </c>
      <c r="AR36" s="138">
        <v>1.2729999999999999</v>
      </c>
      <c r="AS36" s="138">
        <v>1.3698999999999999</v>
      </c>
      <c r="AT36" s="138">
        <v>1.1304000000000001</v>
      </c>
      <c r="AU36" s="138">
        <v>1.3852</v>
      </c>
      <c r="AV36" s="138">
        <v>1.4133</v>
      </c>
      <c r="AW36" s="138">
        <v>1.4696</v>
      </c>
      <c r="AX36" s="138">
        <v>1.5807</v>
      </c>
      <c r="AY36" s="138">
        <v>1.6592</v>
      </c>
      <c r="AZ36" s="138">
        <v>1.6931</v>
      </c>
      <c r="BA36" s="138">
        <v>1.7224999999999999</v>
      </c>
      <c r="BB36" s="138">
        <v>1.7714000000000001</v>
      </c>
      <c r="BC36" s="138">
        <v>1.8077000000000001</v>
      </c>
      <c r="BD36" s="138">
        <v>1.8039000000000001</v>
      </c>
      <c r="BE36" s="138">
        <v>1.8382000000000001</v>
      </c>
      <c r="BG36" s="138">
        <v>1.8693</v>
      </c>
      <c r="BK36" s="138">
        <v>2.1501999999999999</v>
      </c>
      <c r="BL36" s="138">
        <v>2.1499000000000001</v>
      </c>
      <c r="BN36" s="138">
        <f t="shared" si="0"/>
        <v>2.1499000000000001</v>
      </c>
      <c r="BO36" s="138">
        <f t="shared" si="1"/>
        <v>2018</v>
      </c>
    </row>
    <row r="37" spans="2:67" x14ac:dyDescent="0.25">
      <c r="B37" s="138" t="s">
        <v>435</v>
      </c>
      <c r="C37" s="138" t="s">
        <v>436</v>
      </c>
      <c r="D37" s="138" t="s">
        <v>1191</v>
      </c>
      <c r="E37" s="138" t="s">
        <v>1190</v>
      </c>
      <c r="F37" s="138">
        <v>0.32900000000000001</v>
      </c>
      <c r="P37" s="138">
        <v>0.52300000000000002</v>
      </c>
      <c r="AD37" s="138">
        <v>0.89100000000000001</v>
      </c>
      <c r="AJ37" s="138">
        <v>1.1399999999999999</v>
      </c>
      <c r="AM37" s="138">
        <v>1.254</v>
      </c>
      <c r="AO37" s="138">
        <v>1.3509</v>
      </c>
      <c r="AS37" s="138">
        <v>1.21</v>
      </c>
      <c r="AT37" s="138">
        <v>1.3529</v>
      </c>
      <c r="AU37" s="138">
        <v>1.5515000000000001</v>
      </c>
      <c r="AY37" s="138">
        <v>1.7847</v>
      </c>
      <c r="BD37" s="138">
        <v>1.8109999999999999</v>
      </c>
      <c r="BK37" s="138">
        <v>2.4885999999999999</v>
      </c>
      <c r="BN37" s="138">
        <f t="shared" si="0"/>
        <v>2.4885999999999999</v>
      </c>
      <c r="BO37" s="138">
        <f t="shared" si="1"/>
        <v>2017</v>
      </c>
    </row>
    <row r="38" spans="2:67" x14ac:dyDescent="0.25">
      <c r="B38" s="138" t="s">
        <v>446</v>
      </c>
      <c r="C38" s="138" t="s">
        <v>20</v>
      </c>
      <c r="D38" s="138" t="s">
        <v>1191</v>
      </c>
      <c r="E38" s="138" t="s">
        <v>1190</v>
      </c>
      <c r="F38" s="138">
        <v>0.14599999999999999</v>
      </c>
      <c r="P38" s="138">
        <v>0.3</v>
      </c>
      <c r="Z38" s="138">
        <v>0.435</v>
      </c>
      <c r="AA38" s="138">
        <v>0.48699999999999999</v>
      </c>
      <c r="AD38" s="138">
        <v>0.53400000000000003</v>
      </c>
      <c r="AK38" s="138">
        <v>0.746</v>
      </c>
      <c r="AP38" s="138">
        <v>0.84799999999999998</v>
      </c>
      <c r="AT38" s="138">
        <v>1.0084</v>
      </c>
      <c r="AV38" s="138">
        <v>1.1531</v>
      </c>
      <c r="AX38" s="138">
        <v>1.2879</v>
      </c>
      <c r="AY38" s="138">
        <v>1.0679000000000001</v>
      </c>
      <c r="AZ38" s="138">
        <v>1.0774999999999999</v>
      </c>
      <c r="BA38" s="138">
        <v>1.0483</v>
      </c>
      <c r="BB38" s="138">
        <v>1.4869000000000001</v>
      </c>
      <c r="BC38" s="138">
        <v>1.1595</v>
      </c>
      <c r="BD38" s="138">
        <v>1.4483999999999999</v>
      </c>
      <c r="BE38" s="138">
        <v>1.5430999999999999</v>
      </c>
      <c r="BF38" s="138">
        <v>1.4911000000000001</v>
      </c>
      <c r="BG38" s="138">
        <v>1.617</v>
      </c>
      <c r="BH38" s="138">
        <v>1.5035000000000001</v>
      </c>
      <c r="BI38" s="138">
        <v>1.7701</v>
      </c>
      <c r="BN38" s="138">
        <f t="shared" si="0"/>
        <v>1.7701</v>
      </c>
      <c r="BO38" s="138">
        <f t="shared" si="1"/>
        <v>2015</v>
      </c>
    </row>
    <row r="39" spans="2:67" x14ac:dyDescent="0.25">
      <c r="B39" s="138" t="s">
        <v>241</v>
      </c>
      <c r="C39" s="138" t="s">
        <v>21</v>
      </c>
      <c r="D39" s="138" t="s">
        <v>1191</v>
      </c>
      <c r="E39" s="138" t="s">
        <v>1190</v>
      </c>
      <c r="AA39" s="138">
        <v>0.125</v>
      </c>
      <c r="AB39" s="138">
        <v>0.10199999999999999</v>
      </c>
      <c r="AJ39" s="138">
        <v>0.33300000000000002</v>
      </c>
      <c r="AN39" s="138">
        <v>0.17</v>
      </c>
      <c r="AO39" s="138">
        <v>0.16</v>
      </c>
      <c r="AS39" s="138">
        <v>5.0999999999999997E-2</v>
      </c>
      <c r="AX39" s="138">
        <v>0.18429999999999999</v>
      </c>
      <c r="BA39" s="138">
        <v>0.20960000000000001</v>
      </c>
      <c r="BB39" s="138">
        <v>0.24390000000000001</v>
      </c>
      <c r="BD39" s="138">
        <v>2.3E-2</v>
      </c>
      <c r="BF39" s="138">
        <v>0.2576</v>
      </c>
      <c r="BG39" s="138">
        <v>0.26540000000000002</v>
      </c>
      <c r="BH39" s="138">
        <v>0.31419999999999998</v>
      </c>
      <c r="BI39" s="138">
        <v>0.31879999999999997</v>
      </c>
      <c r="BJ39" s="138">
        <v>0.37480000000000002</v>
      </c>
      <c r="BK39" s="138">
        <v>0.3715</v>
      </c>
      <c r="BN39" s="138">
        <f t="shared" si="0"/>
        <v>0.3715</v>
      </c>
      <c r="BO39" s="138">
        <f t="shared" si="1"/>
        <v>2017</v>
      </c>
    </row>
    <row r="40" spans="2:67" x14ac:dyDescent="0.25">
      <c r="B40" s="138" t="s">
        <v>184</v>
      </c>
      <c r="C40" s="138" t="s">
        <v>22</v>
      </c>
      <c r="D40" s="138" t="s">
        <v>1191</v>
      </c>
      <c r="E40" s="138" t="s">
        <v>1190</v>
      </c>
      <c r="F40" s="138">
        <v>4.2000000000000003E-2</v>
      </c>
      <c r="K40" s="138">
        <v>3.5999999999999997E-2</v>
      </c>
      <c r="P40" s="138">
        <v>6.4000000000000001E-2</v>
      </c>
      <c r="U40" s="138">
        <v>0.13300000000000001</v>
      </c>
      <c r="Z40" s="138">
        <v>0.123</v>
      </c>
      <c r="AA40" s="138">
        <v>0.13400000000000001</v>
      </c>
      <c r="AC40" s="138">
        <v>0.14399999999999999</v>
      </c>
      <c r="AH40" s="138">
        <v>0.2</v>
      </c>
      <c r="AI40" s="138">
        <v>0.19400000000000001</v>
      </c>
      <c r="AM40" s="138">
        <v>0.19400000000000001</v>
      </c>
      <c r="AN40" s="138">
        <v>0.23799999999999999</v>
      </c>
      <c r="AR40" s="138">
        <v>0.254</v>
      </c>
      <c r="AS40" s="138">
        <v>0.29830000000000001</v>
      </c>
      <c r="AT40" s="138">
        <v>0.28870000000000001</v>
      </c>
      <c r="AU40" s="138">
        <v>0.29060000000000002</v>
      </c>
      <c r="AV40" s="138">
        <v>0.30109999999999998</v>
      </c>
      <c r="AW40" s="138">
        <v>0.29149999999999998</v>
      </c>
      <c r="AX40" s="138">
        <v>0.39090000000000003</v>
      </c>
      <c r="AY40" s="138">
        <v>0.25109999999999999</v>
      </c>
      <c r="AZ40" s="138">
        <v>0.31369999999999998</v>
      </c>
      <c r="BA40" s="138">
        <v>0.37040000000000001</v>
      </c>
      <c r="BB40" s="138">
        <v>0.3679</v>
      </c>
      <c r="BC40" s="138">
        <v>0.35</v>
      </c>
      <c r="BD40" s="138">
        <v>0.40649999999999997</v>
      </c>
      <c r="BE40" s="138">
        <v>0.39929999999999999</v>
      </c>
      <c r="BF40" s="138">
        <v>0.39200000000000002</v>
      </c>
      <c r="BJ40" s="138">
        <v>0.36880000000000002</v>
      </c>
      <c r="BN40" s="138">
        <f t="shared" si="0"/>
        <v>0.36880000000000002</v>
      </c>
      <c r="BO40" s="138">
        <f t="shared" si="1"/>
        <v>2016</v>
      </c>
    </row>
    <row r="41" spans="2:67" x14ac:dyDescent="0.25">
      <c r="B41" s="138" t="s">
        <v>188</v>
      </c>
      <c r="C41" s="138" t="s">
        <v>173</v>
      </c>
      <c r="D41" s="138" t="s">
        <v>1191</v>
      </c>
      <c r="E41" s="138" t="s">
        <v>1190</v>
      </c>
      <c r="F41" s="138">
        <v>0.02</v>
      </c>
      <c r="K41" s="138">
        <v>0.03</v>
      </c>
      <c r="P41" s="138">
        <v>2.3E-2</v>
      </c>
      <c r="Z41" s="138">
        <v>4.2999999999999997E-2</v>
      </c>
      <c r="AA41" s="138">
        <v>4.3999999999999997E-2</v>
      </c>
      <c r="AB41" s="138">
        <v>4.2999999999999997E-2</v>
      </c>
      <c r="AI41" s="138">
        <v>3.9E-2</v>
      </c>
      <c r="AJ41" s="138">
        <v>3.7999999999999999E-2</v>
      </c>
      <c r="AM41" s="138">
        <v>5.5E-2</v>
      </c>
      <c r="AO41" s="138">
        <v>3.5000000000000003E-2</v>
      </c>
      <c r="AX41" s="138">
        <v>8.1600000000000006E-2</v>
      </c>
      <c r="BB41" s="138">
        <v>3.9800000000000002E-2</v>
      </c>
      <c r="BC41" s="138">
        <v>4.65E-2</v>
      </c>
      <c r="BI41" s="138">
        <v>6.2899999999999998E-2</v>
      </c>
      <c r="BN41" s="138">
        <f t="shared" si="0"/>
        <v>6.2899999999999998E-2</v>
      </c>
      <c r="BO41" s="138">
        <f t="shared" si="1"/>
        <v>2015</v>
      </c>
    </row>
    <row r="42" spans="2:67" x14ac:dyDescent="0.25">
      <c r="B42" s="138" t="s">
        <v>449</v>
      </c>
      <c r="C42" s="138" t="s">
        <v>159</v>
      </c>
      <c r="D42" s="138" t="s">
        <v>1191</v>
      </c>
      <c r="E42" s="138" t="s">
        <v>1190</v>
      </c>
      <c r="G42" s="138">
        <v>1.1000000000000001</v>
      </c>
      <c r="H42" s="138">
        <v>1.2</v>
      </c>
      <c r="I42" s="138">
        <v>1.3</v>
      </c>
      <c r="J42" s="138">
        <v>1.3</v>
      </c>
      <c r="K42" s="138">
        <v>1.3</v>
      </c>
      <c r="L42" s="138">
        <v>1.3</v>
      </c>
      <c r="M42" s="138">
        <v>1.3</v>
      </c>
      <c r="N42" s="138">
        <v>1.3</v>
      </c>
      <c r="O42" s="138">
        <v>1.4</v>
      </c>
      <c r="P42" s="138">
        <v>1.4</v>
      </c>
      <c r="Q42" s="138">
        <v>1.5</v>
      </c>
      <c r="R42" s="138">
        <v>1.6</v>
      </c>
      <c r="S42" s="138">
        <v>1.6</v>
      </c>
      <c r="T42" s="138">
        <v>1.6</v>
      </c>
      <c r="U42" s="138">
        <v>1.7</v>
      </c>
      <c r="V42" s="138">
        <v>1.7</v>
      </c>
      <c r="W42" s="138">
        <v>1.7</v>
      </c>
      <c r="X42" s="138">
        <v>1.8</v>
      </c>
      <c r="Y42" s="138">
        <v>1.8</v>
      </c>
      <c r="Z42" s="138">
        <v>1.8</v>
      </c>
      <c r="AA42" s="138">
        <v>1.8</v>
      </c>
      <c r="AB42" s="138">
        <v>1.9</v>
      </c>
      <c r="AC42" s="138">
        <v>1.9</v>
      </c>
      <c r="AD42" s="138">
        <v>1.9</v>
      </c>
      <c r="AE42" s="138">
        <v>2</v>
      </c>
      <c r="AF42" s="138">
        <v>2</v>
      </c>
      <c r="AG42" s="138">
        <v>2.1</v>
      </c>
      <c r="AH42" s="138">
        <v>2.1</v>
      </c>
      <c r="AI42" s="138">
        <v>2.1</v>
      </c>
      <c r="AJ42" s="138">
        <v>2.1</v>
      </c>
      <c r="AK42" s="138">
        <v>2.1</v>
      </c>
      <c r="AL42" s="138">
        <v>2.1</v>
      </c>
      <c r="AM42" s="138">
        <v>2.2000000000000002</v>
      </c>
      <c r="AN42" s="138">
        <v>2.1</v>
      </c>
      <c r="AO42" s="138">
        <v>2.1</v>
      </c>
      <c r="AP42" s="138">
        <v>2.1</v>
      </c>
      <c r="AQ42" s="138">
        <v>2.1</v>
      </c>
      <c r="AR42" s="138">
        <v>1.8611</v>
      </c>
      <c r="AS42" s="138">
        <v>2.1</v>
      </c>
      <c r="AU42" s="138">
        <v>1.8871</v>
      </c>
      <c r="AV42" s="138">
        <v>1.8969</v>
      </c>
      <c r="AX42" s="138">
        <v>1.8971</v>
      </c>
      <c r="AZ42" s="138">
        <v>1.9086000000000001</v>
      </c>
      <c r="BB42" s="138">
        <v>1.9590000000000001</v>
      </c>
      <c r="BD42" s="138">
        <v>2.0384000000000002</v>
      </c>
      <c r="BF42" s="138">
        <v>2.3961999999999999</v>
      </c>
      <c r="BG42" s="138">
        <v>2.4508999999999999</v>
      </c>
      <c r="BH42" s="138">
        <v>2.4961000000000002</v>
      </c>
      <c r="BI42" s="138">
        <v>2.5388000000000002</v>
      </c>
      <c r="BJ42" s="138">
        <v>2.5668000000000002</v>
      </c>
      <c r="BK42" s="138">
        <v>2.6101999999999999</v>
      </c>
      <c r="BN42" s="138">
        <f t="shared" si="0"/>
        <v>2.6101999999999999</v>
      </c>
      <c r="BO42" s="138">
        <f t="shared" si="1"/>
        <v>2017</v>
      </c>
    </row>
    <row r="43" spans="2:67" x14ac:dyDescent="0.25">
      <c r="B43" s="138" t="s">
        <v>454</v>
      </c>
      <c r="C43" s="138" t="s">
        <v>455</v>
      </c>
      <c r="D43" s="138" t="s">
        <v>1191</v>
      </c>
      <c r="E43" s="138" t="s">
        <v>1190</v>
      </c>
      <c r="AJ43" s="138">
        <v>2.439883080384865</v>
      </c>
      <c r="AT43" s="138">
        <v>2.6360752814542412</v>
      </c>
      <c r="BI43" s="138">
        <v>2.8807160689176738</v>
      </c>
      <c r="BN43" s="138">
        <f t="shared" si="0"/>
        <v>2.8807160689176738</v>
      </c>
      <c r="BO43" s="138">
        <f t="shared" si="1"/>
        <v>2015</v>
      </c>
    </row>
    <row r="44" spans="2:67" x14ac:dyDescent="0.25">
      <c r="B44" s="138" t="s">
        <v>651</v>
      </c>
      <c r="C44" s="138" t="s">
        <v>23</v>
      </c>
      <c r="D44" s="138" t="s">
        <v>1191</v>
      </c>
      <c r="E44" s="138" t="s">
        <v>1190</v>
      </c>
      <c r="F44" s="138">
        <v>1.4</v>
      </c>
      <c r="G44" s="138">
        <v>1.4</v>
      </c>
      <c r="H44" s="138">
        <v>1.4</v>
      </c>
      <c r="I44" s="138">
        <v>1.4</v>
      </c>
      <c r="J44" s="138">
        <v>1.4</v>
      </c>
      <c r="K44" s="138">
        <v>1.4</v>
      </c>
      <c r="L44" s="138">
        <v>1.4</v>
      </c>
      <c r="M44" s="138">
        <v>1.4</v>
      </c>
      <c r="N44" s="138">
        <v>1.4</v>
      </c>
      <c r="O44" s="138">
        <v>1.5</v>
      </c>
      <c r="P44" s="138">
        <v>1.5</v>
      </c>
      <c r="Q44" s="138">
        <v>1.6</v>
      </c>
      <c r="R44" s="138">
        <v>1.6</v>
      </c>
      <c r="S44" s="138">
        <v>1.7</v>
      </c>
      <c r="T44" s="138">
        <v>1.8</v>
      </c>
      <c r="U44" s="138">
        <v>1.9</v>
      </c>
      <c r="V44" s="138">
        <v>2</v>
      </c>
      <c r="W44" s="138">
        <v>2.1</v>
      </c>
      <c r="X44" s="138">
        <v>2.2000000000000002</v>
      </c>
      <c r="Y44" s="138">
        <v>2.4</v>
      </c>
      <c r="Z44" s="138">
        <v>2.5</v>
      </c>
      <c r="AA44" s="138">
        <v>2.6</v>
      </c>
      <c r="AB44" s="138">
        <v>2.6</v>
      </c>
      <c r="AC44" s="138">
        <v>2.6</v>
      </c>
      <c r="AD44" s="138">
        <v>2.6</v>
      </c>
      <c r="AE44" s="138">
        <v>2.7</v>
      </c>
      <c r="AF44" s="138">
        <v>2.8</v>
      </c>
      <c r="AG44" s="138">
        <v>2.9</v>
      </c>
      <c r="AH44" s="138">
        <v>3</v>
      </c>
      <c r="AI44" s="138">
        <v>2.9</v>
      </c>
      <c r="AJ44" s="138">
        <v>3</v>
      </c>
      <c r="AK44" s="138">
        <v>3</v>
      </c>
      <c r="AL44" s="138">
        <v>3</v>
      </c>
      <c r="AM44" s="138">
        <v>3.1</v>
      </c>
      <c r="AN44" s="138">
        <v>3.1</v>
      </c>
      <c r="AO44" s="138">
        <v>3.2</v>
      </c>
      <c r="AP44" s="138">
        <v>3.2</v>
      </c>
      <c r="AQ44" s="138">
        <v>3.3</v>
      </c>
      <c r="AR44" s="138">
        <v>3.3</v>
      </c>
      <c r="AS44" s="138">
        <v>3.4</v>
      </c>
      <c r="AT44" s="138">
        <v>3.5</v>
      </c>
      <c r="AU44" s="138">
        <v>3.5</v>
      </c>
      <c r="AV44" s="138">
        <v>3.6150000000000002</v>
      </c>
      <c r="AZ44" s="138">
        <v>3.97</v>
      </c>
      <c r="BD44" s="138">
        <v>3.8052999999999999</v>
      </c>
      <c r="BE44" s="138">
        <v>3.8241000000000001</v>
      </c>
      <c r="BF44" s="138">
        <v>3.8986999999999998</v>
      </c>
      <c r="BG44" s="138">
        <v>4.0185000000000004</v>
      </c>
      <c r="BH44" s="138">
        <v>4.1052999999999997</v>
      </c>
      <c r="BI44" s="138">
        <v>4.1782000000000004</v>
      </c>
      <c r="BJ44" s="138">
        <v>4.2363</v>
      </c>
      <c r="BN44" s="138">
        <f t="shared" si="0"/>
        <v>4.2363</v>
      </c>
      <c r="BO44" s="138">
        <f t="shared" si="1"/>
        <v>2016</v>
      </c>
    </row>
    <row r="45" spans="2:67" x14ac:dyDescent="0.25">
      <c r="B45" s="138" t="s">
        <v>456</v>
      </c>
      <c r="C45" s="138" t="s">
        <v>457</v>
      </c>
      <c r="D45" s="138" t="s">
        <v>1191</v>
      </c>
      <c r="E45" s="138" t="s">
        <v>1190</v>
      </c>
      <c r="F45" s="138">
        <v>1.0189999999999999</v>
      </c>
      <c r="P45" s="138">
        <v>1.2</v>
      </c>
      <c r="Z45" s="138">
        <v>1.4570000000000001</v>
      </c>
      <c r="AA45" s="138">
        <v>1.522</v>
      </c>
      <c r="BN45" s="138">
        <f t="shared" si="0"/>
        <v>1.522</v>
      </c>
      <c r="BO45" s="138">
        <f t="shared" si="1"/>
        <v>1981</v>
      </c>
    </row>
    <row r="46" spans="2:67" x14ac:dyDescent="0.25">
      <c r="B46" s="138" t="s">
        <v>220</v>
      </c>
      <c r="C46" s="138" t="s">
        <v>24</v>
      </c>
      <c r="D46" s="138" t="s">
        <v>1191</v>
      </c>
      <c r="E46" s="138" t="s">
        <v>1190</v>
      </c>
      <c r="F46" s="138">
        <v>0.55900000000000005</v>
      </c>
      <c r="K46" s="138">
        <v>0.47299999999999998</v>
      </c>
      <c r="P46" s="138">
        <v>0.46300000000000002</v>
      </c>
      <c r="Y46" s="138">
        <v>0.51600000000000001</v>
      </c>
      <c r="AD46" s="138">
        <v>0.81699999999999995</v>
      </c>
      <c r="AJ46" s="138">
        <v>1.1000000000000001</v>
      </c>
      <c r="AK46" s="138">
        <v>1.0660000000000001</v>
      </c>
      <c r="AL46" s="138">
        <v>0.99850000000000005</v>
      </c>
      <c r="AN46" s="138">
        <v>1.103</v>
      </c>
      <c r="AO46" s="138">
        <v>1.08</v>
      </c>
      <c r="AR46" s="138">
        <v>1.153</v>
      </c>
      <c r="AV46" s="138">
        <v>0.89559999999999995</v>
      </c>
      <c r="AW46" s="138">
        <v>0.9496</v>
      </c>
      <c r="AX46" s="138">
        <v>0.98670000000000002</v>
      </c>
      <c r="AY46" s="138">
        <v>0.98250000000000004</v>
      </c>
      <c r="AZ46" s="138">
        <v>1.0427</v>
      </c>
      <c r="BA46" s="138">
        <v>1.0388999999999999</v>
      </c>
      <c r="BB46" s="138">
        <v>1.0418000000000001</v>
      </c>
      <c r="BC46" s="138">
        <v>1.0327999999999999</v>
      </c>
      <c r="BJ46" s="138">
        <v>1.08</v>
      </c>
      <c r="BN46" s="138">
        <f t="shared" si="0"/>
        <v>1.08</v>
      </c>
      <c r="BO46" s="138">
        <f t="shared" si="1"/>
        <v>1995</v>
      </c>
    </row>
    <row r="47" spans="2:67" x14ac:dyDescent="0.25">
      <c r="B47" s="138" t="s">
        <v>458</v>
      </c>
      <c r="C47" s="138" t="s">
        <v>25</v>
      </c>
      <c r="D47" s="138" t="s">
        <v>1191</v>
      </c>
      <c r="E47" s="138" t="s">
        <v>1190</v>
      </c>
      <c r="K47" s="138">
        <v>1.07</v>
      </c>
      <c r="L47" s="138">
        <v>0.96</v>
      </c>
      <c r="M47" s="138">
        <v>0.94</v>
      </c>
      <c r="N47" s="138">
        <v>0.91</v>
      </c>
      <c r="O47" s="138">
        <v>0.88</v>
      </c>
      <c r="P47" s="138">
        <v>0.86</v>
      </c>
      <c r="Q47" s="138">
        <v>0.85</v>
      </c>
      <c r="R47" s="138">
        <v>0.86</v>
      </c>
      <c r="S47" s="138">
        <v>0.89</v>
      </c>
      <c r="T47" s="138">
        <v>0.92</v>
      </c>
      <c r="U47" s="138">
        <v>0.96</v>
      </c>
      <c r="V47" s="138">
        <v>1</v>
      </c>
      <c r="W47" s="138">
        <v>1.03</v>
      </c>
      <c r="Y47" s="138">
        <v>1.1200000000000001</v>
      </c>
      <c r="AA47" s="138">
        <v>1.25</v>
      </c>
      <c r="AB47" s="138">
        <v>1.3</v>
      </c>
      <c r="AC47" s="138">
        <v>1.32</v>
      </c>
      <c r="AD47" s="138">
        <v>1.33</v>
      </c>
      <c r="AF47" s="138">
        <v>1.35</v>
      </c>
      <c r="AG47" s="138">
        <v>1.37</v>
      </c>
      <c r="AH47" s="138">
        <v>1.47</v>
      </c>
      <c r="AI47" s="138">
        <v>1.54</v>
      </c>
      <c r="AJ47" s="138">
        <v>1.1055999999999999</v>
      </c>
      <c r="AK47" s="138">
        <v>1.55</v>
      </c>
      <c r="AL47" s="138">
        <v>1.55</v>
      </c>
      <c r="AM47" s="138">
        <v>1.55</v>
      </c>
      <c r="AN47" s="138">
        <v>1.58</v>
      </c>
      <c r="AO47" s="138">
        <v>1.1672</v>
      </c>
      <c r="AP47" s="138">
        <v>1.1739999999999999</v>
      </c>
      <c r="AQ47" s="138">
        <v>1.1892</v>
      </c>
      <c r="AR47" s="138">
        <v>1.1880999999999999</v>
      </c>
      <c r="AS47" s="138">
        <v>1.2177</v>
      </c>
      <c r="AT47" s="138">
        <v>1.2425999999999999</v>
      </c>
      <c r="AU47" s="138">
        <v>1.0549999999999999</v>
      </c>
      <c r="AV47" s="138">
        <v>1.1208</v>
      </c>
      <c r="BC47" s="138">
        <v>1.4015</v>
      </c>
      <c r="BD47" s="138">
        <v>1.4626999999999999</v>
      </c>
      <c r="BE47" s="138">
        <v>1.4733000000000001</v>
      </c>
      <c r="BF47" s="138">
        <v>1.5467</v>
      </c>
      <c r="BG47" s="138">
        <v>1.6437999999999999</v>
      </c>
      <c r="BH47" s="138">
        <v>1.6989000000000001</v>
      </c>
      <c r="BI47" s="138">
        <v>1.7855000000000001</v>
      </c>
      <c r="BN47" s="138">
        <f t="shared" si="0"/>
        <v>1.7855000000000001</v>
      </c>
      <c r="BO47" s="138">
        <f t="shared" si="1"/>
        <v>2015</v>
      </c>
    </row>
    <row r="48" spans="2:67" x14ac:dyDescent="0.25">
      <c r="B48" s="138" t="s">
        <v>464</v>
      </c>
      <c r="C48" s="138" t="s">
        <v>26</v>
      </c>
      <c r="D48" s="138" t="s">
        <v>1191</v>
      </c>
      <c r="E48" s="138" t="s">
        <v>1190</v>
      </c>
      <c r="F48" s="138">
        <v>3.3000000000000002E-2</v>
      </c>
      <c r="K48" s="138">
        <v>4.8000000000000001E-2</v>
      </c>
      <c r="P48" s="138">
        <v>6.4000000000000001E-2</v>
      </c>
      <c r="AE48" s="138">
        <v>7.0999999999999994E-2</v>
      </c>
      <c r="AJ48" s="138">
        <v>8.7999999999999995E-2</v>
      </c>
      <c r="AP48" s="138">
        <v>0.09</v>
      </c>
      <c r="AX48" s="138">
        <v>0.11559999999999999</v>
      </c>
      <c r="AY48" s="138">
        <v>9.2600000000000002E-2</v>
      </c>
      <c r="BB48" s="138">
        <v>0.14080000000000001</v>
      </c>
      <c r="BD48" s="138">
        <v>0.14399999999999999</v>
      </c>
      <c r="BE48" s="138">
        <v>0.15409999999999999</v>
      </c>
      <c r="BH48" s="138">
        <v>0.2326</v>
      </c>
      <c r="BN48" s="138">
        <f t="shared" si="0"/>
        <v>0.2326</v>
      </c>
      <c r="BO48" s="138">
        <f t="shared" si="1"/>
        <v>2014</v>
      </c>
    </row>
    <row r="49" spans="2:67" x14ac:dyDescent="0.25">
      <c r="B49" s="138" t="s">
        <v>187</v>
      </c>
      <c r="C49" s="138" t="s">
        <v>27</v>
      </c>
      <c r="D49" s="138" t="s">
        <v>1191</v>
      </c>
      <c r="E49" s="138" t="s">
        <v>1190</v>
      </c>
      <c r="F49" s="138">
        <v>3.4000000000000002E-2</v>
      </c>
      <c r="K49" s="138">
        <v>3.6999999999999998E-2</v>
      </c>
      <c r="P49" s="138">
        <v>3.4000000000000002E-2</v>
      </c>
      <c r="U49" s="138">
        <v>7.1999999999999995E-2</v>
      </c>
      <c r="Y49" s="138">
        <v>7.0999999999999994E-2</v>
      </c>
      <c r="AI49" s="138">
        <v>8.4000000000000005E-2</v>
      </c>
      <c r="AJ49" s="138">
        <v>8.2000000000000003E-2</v>
      </c>
      <c r="AL49" s="138">
        <v>8.4000000000000005E-2</v>
      </c>
      <c r="AM49" s="138">
        <v>7.2999999999999995E-2</v>
      </c>
      <c r="AP49" s="138">
        <v>7.3999999999999996E-2</v>
      </c>
      <c r="AX49" s="138">
        <v>0.1842</v>
      </c>
      <c r="AY49" s="138">
        <v>6.0199999999999997E-2</v>
      </c>
      <c r="BA49" s="138">
        <v>7.17E-2</v>
      </c>
      <c r="BC49" s="138">
        <v>6.93E-2</v>
      </c>
      <c r="BD49" s="138">
        <v>8.5699999999999998E-2</v>
      </c>
      <c r="BE49" s="138">
        <v>8.9800000000000005E-2</v>
      </c>
      <c r="BN49" s="138">
        <f t="shared" si="0"/>
        <v>8.9800000000000005E-2</v>
      </c>
      <c r="BO49" s="138">
        <f t="shared" si="1"/>
        <v>2011</v>
      </c>
    </row>
    <row r="50" spans="2:67" x14ac:dyDescent="0.25">
      <c r="B50" s="138" t="s">
        <v>461</v>
      </c>
      <c r="C50" s="138" t="s">
        <v>28</v>
      </c>
      <c r="D50" s="138" t="s">
        <v>1191</v>
      </c>
      <c r="E50" s="138" t="s">
        <v>1190</v>
      </c>
      <c r="F50" s="138">
        <v>1.4999999999999999E-2</v>
      </c>
      <c r="K50" s="138">
        <v>2.8000000000000001E-2</v>
      </c>
      <c r="P50" s="138">
        <v>3.5000000000000003E-2</v>
      </c>
      <c r="U50" s="138">
        <v>3.5999999999999997E-2</v>
      </c>
      <c r="Y50" s="138">
        <v>7.2999999999999995E-2</v>
      </c>
      <c r="AG50" s="138">
        <v>7.4999999999999997E-2</v>
      </c>
      <c r="AJ50" s="138">
        <v>6.6000000000000003E-2</v>
      </c>
      <c r="AP50" s="138">
        <v>6.9000000000000006E-2</v>
      </c>
      <c r="AX50" s="138">
        <v>0.107</v>
      </c>
      <c r="BC50" s="138">
        <v>9.3399999999999997E-2</v>
      </c>
      <c r="BG50" s="138">
        <v>0.09</v>
      </c>
      <c r="BN50" s="138">
        <f t="shared" si="0"/>
        <v>0.09</v>
      </c>
      <c r="BO50" s="138">
        <f t="shared" si="1"/>
        <v>2013</v>
      </c>
    </row>
    <row r="51" spans="2:67" x14ac:dyDescent="0.25">
      <c r="B51" s="138" t="s">
        <v>462</v>
      </c>
      <c r="C51" s="138" t="s">
        <v>29</v>
      </c>
      <c r="D51" s="138" t="s">
        <v>1191</v>
      </c>
      <c r="E51" s="138" t="s">
        <v>1190</v>
      </c>
      <c r="F51" s="138">
        <v>0.06</v>
      </c>
      <c r="K51" s="138">
        <v>6.8000000000000005E-2</v>
      </c>
      <c r="P51" s="138">
        <v>0.10100000000000001</v>
      </c>
      <c r="X51" s="138">
        <v>0.17399999999999999</v>
      </c>
      <c r="AB51" s="138">
        <v>0.11899999999999999</v>
      </c>
      <c r="AE51" s="138">
        <v>0.252</v>
      </c>
      <c r="AF51" s="138">
        <v>0.252</v>
      </c>
      <c r="AJ51" s="138">
        <v>0.27600000000000002</v>
      </c>
      <c r="AO51" s="138">
        <v>0.251</v>
      </c>
      <c r="AR51" s="138">
        <v>0.70689999999999997</v>
      </c>
      <c r="AX51" s="138">
        <v>0.2097</v>
      </c>
      <c r="AZ51" s="138">
        <v>0.20349999999999999</v>
      </c>
      <c r="BA51" s="138">
        <v>0.1008</v>
      </c>
      <c r="BD51" s="138">
        <v>9.5000000000000001E-2</v>
      </c>
      <c r="BE51" s="138">
        <v>0.1159</v>
      </c>
      <c r="BN51" s="138">
        <f t="shared" si="0"/>
        <v>0.1159</v>
      </c>
      <c r="BO51" s="138">
        <f t="shared" si="1"/>
        <v>2011</v>
      </c>
    </row>
    <row r="52" spans="2:67" x14ac:dyDescent="0.25">
      <c r="B52" s="138" t="s">
        <v>459</v>
      </c>
      <c r="C52" s="138" t="s">
        <v>460</v>
      </c>
      <c r="D52" s="138" t="s">
        <v>1191</v>
      </c>
      <c r="E52" s="138" t="s">
        <v>1190</v>
      </c>
      <c r="F52" s="138">
        <v>0.35399999999999998</v>
      </c>
      <c r="K52" s="138">
        <v>0.377</v>
      </c>
      <c r="P52" s="138">
        <v>0.42</v>
      </c>
      <c r="W52" s="138">
        <v>0.47799999999999998</v>
      </c>
      <c r="AJ52" s="138">
        <v>0.97989999999999999</v>
      </c>
      <c r="AK52" s="138">
        <v>1.026</v>
      </c>
      <c r="AL52" s="138">
        <v>1.0704</v>
      </c>
      <c r="AM52" s="138">
        <v>1.1119000000000001</v>
      </c>
      <c r="AN52" s="138">
        <v>1.1403000000000001</v>
      </c>
      <c r="AP52" s="138">
        <v>1.1992</v>
      </c>
      <c r="AQ52" s="138">
        <v>1.2330000000000001</v>
      </c>
      <c r="AR52" s="138">
        <v>1.2677</v>
      </c>
      <c r="AS52" s="138">
        <v>1.3003</v>
      </c>
      <c r="AV52" s="138">
        <v>1.4135</v>
      </c>
      <c r="AY52" s="138">
        <v>1.4510000000000001</v>
      </c>
      <c r="AZ52" s="138">
        <v>1.4742</v>
      </c>
      <c r="BA52" s="138">
        <v>1.4974000000000001</v>
      </c>
      <c r="BB52" s="138">
        <v>1.5206</v>
      </c>
      <c r="BC52" s="138">
        <v>1.5438000000000001</v>
      </c>
      <c r="BD52" s="138">
        <v>1.5676000000000001</v>
      </c>
      <c r="BE52" s="138">
        <v>1.6694</v>
      </c>
      <c r="BF52" s="138">
        <v>1.74</v>
      </c>
      <c r="BG52" s="138">
        <v>1.8064</v>
      </c>
      <c r="BH52" s="138">
        <v>1.8213999999999999</v>
      </c>
      <c r="BI52" s="138">
        <v>1.9379</v>
      </c>
      <c r="BJ52" s="138">
        <v>2.0036</v>
      </c>
      <c r="BK52" s="138">
        <v>2.0834999999999999</v>
      </c>
      <c r="BN52" s="138">
        <f t="shared" si="0"/>
        <v>2.0834999999999999</v>
      </c>
      <c r="BO52" s="138">
        <f t="shared" si="1"/>
        <v>2017</v>
      </c>
    </row>
    <row r="53" spans="2:67" x14ac:dyDescent="0.25">
      <c r="B53" s="138" t="s">
        <v>190</v>
      </c>
      <c r="C53" s="138" t="s">
        <v>157</v>
      </c>
      <c r="D53" s="138" t="s">
        <v>1191</v>
      </c>
      <c r="E53" s="138" t="s">
        <v>1190</v>
      </c>
      <c r="AD53" s="138">
        <v>8.4000000000000005E-2</v>
      </c>
      <c r="AH53" s="138">
        <v>0.16300000000000001</v>
      </c>
      <c r="AJ53" s="138">
        <v>0.113</v>
      </c>
      <c r="AL53" s="138">
        <v>0.127</v>
      </c>
      <c r="AQ53" s="138">
        <v>7.3999999999999996E-2</v>
      </c>
      <c r="AX53" s="138">
        <v>0.19259999999999999</v>
      </c>
      <c r="AY53" s="138">
        <v>0.18970000000000001</v>
      </c>
      <c r="BC53" s="138">
        <v>0.19009999999999999</v>
      </c>
      <c r="BF53" s="138">
        <v>0.1699</v>
      </c>
      <c r="BN53" s="138">
        <f t="shared" si="0"/>
        <v>0.1699</v>
      </c>
      <c r="BO53" s="138">
        <f t="shared" si="1"/>
        <v>2012</v>
      </c>
    </row>
    <row r="54" spans="2:67" x14ac:dyDescent="0.25">
      <c r="B54" s="138" t="s">
        <v>448</v>
      </c>
      <c r="C54" s="138" t="s">
        <v>30</v>
      </c>
      <c r="D54" s="138" t="s">
        <v>1191</v>
      </c>
      <c r="E54" s="138" t="s">
        <v>1190</v>
      </c>
      <c r="F54" s="138">
        <v>7.6999999999999999E-2</v>
      </c>
      <c r="P54" s="138">
        <v>8.2000000000000003E-2</v>
      </c>
      <c r="Z54" s="138">
        <v>0.17599999999999999</v>
      </c>
      <c r="AC54" s="138">
        <v>0.2</v>
      </c>
      <c r="AF54" s="138">
        <v>0.32900000000000001</v>
      </c>
      <c r="AH54" s="138">
        <v>0.34200000000000003</v>
      </c>
      <c r="AL54" s="138">
        <v>0.23400000000000001</v>
      </c>
      <c r="AP54" s="138">
        <v>0.17100000000000001</v>
      </c>
      <c r="AX54" s="138">
        <v>0.49299999999999999</v>
      </c>
      <c r="BC54" s="138">
        <v>0.505</v>
      </c>
      <c r="BD54" s="138">
        <v>0.58120000000000005</v>
      </c>
      <c r="BE54" s="138">
        <v>0.57469999999999999</v>
      </c>
      <c r="BF54" s="138">
        <v>0.50580000000000003</v>
      </c>
      <c r="BG54" s="138">
        <v>0.59219999999999995</v>
      </c>
      <c r="BI54" s="138">
        <v>0.76939999999999997</v>
      </c>
      <c r="BN54" s="138">
        <f t="shared" si="0"/>
        <v>0.76939999999999997</v>
      </c>
      <c r="BO54" s="138">
        <f t="shared" si="1"/>
        <v>2015</v>
      </c>
    </row>
    <row r="55" spans="2:67" x14ac:dyDescent="0.25">
      <c r="B55" s="138" t="s">
        <v>463</v>
      </c>
      <c r="C55" s="138" t="s">
        <v>31</v>
      </c>
      <c r="D55" s="138" t="s">
        <v>1191</v>
      </c>
      <c r="E55" s="138" t="s">
        <v>1190</v>
      </c>
      <c r="F55" s="138">
        <v>0.39100000000000001</v>
      </c>
      <c r="K55" s="138">
        <v>0.51700000000000002</v>
      </c>
      <c r="P55" s="138">
        <v>0.61399999999999999</v>
      </c>
      <c r="Y55" s="138">
        <v>0.67900000000000005</v>
      </c>
      <c r="AD55" s="138">
        <v>0.99</v>
      </c>
      <c r="AG55" s="138">
        <v>0.96799999999999997</v>
      </c>
      <c r="AH55" s="138">
        <v>0.88100000000000001</v>
      </c>
      <c r="AJ55" s="138">
        <v>1.26</v>
      </c>
      <c r="AM55" s="138">
        <v>0.88300000000000001</v>
      </c>
      <c r="AN55" s="138">
        <v>0.84499999999999997</v>
      </c>
      <c r="AO55" s="138">
        <v>0.85399999999999998</v>
      </c>
      <c r="AP55" s="138">
        <v>0.86399999999999999</v>
      </c>
      <c r="AQ55" s="138">
        <v>0.872</v>
      </c>
      <c r="AR55" s="138">
        <v>0.90100000000000002</v>
      </c>
      <c r="AS55" s="138">
        <v>1.7190000000000001</v>
      </c>
      <c r="AT55" s="138">
        <v>1.3257000000000001</v>
      </c>
      <c r="BG55" s="138">
        <v>1.1496999999999999</v>
      </c>
      <c r="BN55" s="138">
        <f t="shared" si="0"/>
        <v>1.1496999999999999</v>
      </c>
      <c r="BO55" s="138">
        <f t="shared" si="1"/>
        <v>2013</v>
      </c>
    </row>
    <row r="56" spans="2:67" x14ac:dyDescent="0.25">
      <c r="B56" s="138" t="s">
        <v>450</v>
      </c>
      <c r="C56" s="138" t="s">
        <v>451</v>
      </c>
      <c r="D56" s="138" t="s">
        <v>1191</v>
      </c>
      <c r="E56" s="138" t="s">
        <v>1190</v>
      </c>
      <c r="AJ56" s="138">
        <v>0.61406784634224798</v>
      </c>
      <c r="BI56" s="138">
        <v>1.5686275654605542</v>
      </c>
      <c r="BN56" s="138">
        <f t="shared" si="0"/>
        <v>1.5686275654605542</v>
      </c>
      <c r="BO56" s="138">
        <f t="shared" si="1"/>
        <v>2015</v>
      </c>
    </row>
    <row r="57" spans="2:67" x14ac:dyDescent="0.25">
      <c r="B57" s="138" t="s">
        <v>221</v>
      </c>
      <c r="C57" s="138" t="s">
        <v>161</v>
      </c>
      <c r="D57" s="138" t="s">
        <v>1191</v>
      </c>
      <c r="E57" s="138" t="s">
        <v>1190</v>
      </c>
      <c r="F57" s="138">
        <v>0.94599999999999995</v>
      </c>
      <c r="K57" s="138">
        <v>0.876</v>
      </c>
      <c r="P57" s="138">
        <v>0.82199999999999995</v>
      </c>
      <c r="AA57" s="138">
        <v>1.3879999999999999</v>
      </c>
      <c r="AD57" s="138">
        <v>1.8859999999999999</v>
      </c>
      <c r="AH57" s="138">
        <v>3</v>
      </c>
      <c r="AJ57" s="138">
        <v>3.6562000000000001</v>
      </c>
      <c r="AK57" s="138">
        <v>3.9981</v>
      </c>
      <c r="AL57" s="138">
        <v>4.3658000000000001</v>
      </c>
      <c r="AM57" s="138">
        <v>4.7290000000000001</v>
      </c>
      <c r="AN57" s="138">
        <v>4.9827000000000004</v>
      </c>
      <c r="AO57" s="138">
        <v>5.2114000000000003</v>
      </c>
      <c r="AP57" s="138">
        <v>5.4856999999999996</v>
      </c>
      <c r="AQ57" s="138">
        <v>5.6859000000000002</v>
      </c>
      <c r="AR57" s="138">
        <v>5.7377000000000002</v>
      </c>
      <c r="AS57" s="138">
        <v>5.8383000000000003</v>
      </c>
      <c r="AT57" s="138">
        <v>5.9185999999999996</v>
      </c>
      <c r="AU57" s="138">
        <v>5.9290000000000003</v>
      </c>
      <c r="AV57" s="138">
        <v>5.9795999999999996</v>
      </c>
      <c r="AW57" s="138">
        <v>6.0487000000000002</v>
      </c>
      <c r="AX57" s="138">
        <v>6.1874000000000002</v>
      </c>
      <c r="AY57" s="138">
        <v>6.2558999999999996</v>
      </c>
      <c r="AZ57" s="138">
        <v>6.3285999999999998</v>
      </c>
      <c r="BA57" s="138">
        <v>6.4063999999999997</v>
      </c>
      <c r="BB57" s="138">
        <v>6.5918000000000001</v>
      </c>
      <c r="BC57" s="138">
        <v>6.6157000000000004</v>
      </c>
      <c r="BD57" s="138">
        <v>6.7507000000000001</v>
      </c>
      <c r="BE57" s="138">
        <v>6.9241999999999999</v>
      </c>
      <c r="BF57" s="138">
        <v>7.2099000000000002</v>
      </c>
      <c r="BG57" s="138">
        <v>7.3341000000000003</v>
      </c>
      <c r="BH57" s="138">
        <v>7.4794</v>
      </c>
      <c r="BK57" s="138">
        <v>8.19</v>
      </c>
      <c r="BN57" s="138">
        <f t="shared" si="0"/>
        <v>8.19</v>
      </c>
      <c r="BO57" s="138">
        <f t="shared" si="1"/>
        <v>2017</v>
      </c>
    </row>
    <row r="58" spans="2:67" x14ac:dyDescent="0.25">
      <c r="B58" s="138" t="s">
        <v>466</v>
      </c>
      <c r="C58" s="138" t="s">
        <v>467</v>
      </c>
      <c r="D58" s="138" t="s">
        <v>1191</v>
      </c>
      <c r="E58" s="138" t="s">
        <v>1190</v>
      </c>
      <c r="BN58" s="138" t="str">
        <f t="shared" si="0"/>
        <v>No reported value</v>
      </c>
      <c r="BO58" s="138" t="str">
        <f t="shared" si="1"/>
        <v>No reported value</v>
      </c>
    </row>
    <row r="59" spans="2:67" x14ac:dyDescent="0.25">
      <c r="B59" s="138" t="s">
        <v>452</v>
      </c>
      <c r="C59" s="138" t="s">
        <v>453</v>
      </c>
      <c r="D59" s="138" t="s">
        <v>1191</v>
      </c>
      <c r="E59" s="138" t="s">
        <v>1190</v>
      </c>
      <c r="AJ59" s="138">
        <v>1.7</v>
      </c>
      <c r="AO59" s="138">
        <v>1.7</v>
      </c>
      <c r="AQ59" s="138">
        <v>1.9390000000000001</v>
      </c>
      <c r="BN59" s="138">
        <f t="shared" si="0"/>
        <v>1.9390000000000001</v>
      </c>
      <c r="BO59" s="138">
        <f t="shared" si="1"/>
        <v>1997</v>
      </c>
    </row>
    <row r="60" spans="2:67" x14ac:dyDescent="0.25">
      <c r="B60" s="138" t="s">
        <v>468</v>
      </c>
      <c r="C60" s="138" t="s">
        <v>32</v>
      </c>
      <c r="D60" s="138" t="s">
        <v>1191</v>
      </c>
      <c r="E60" s="138" t="s">
        <v>1190</v>
      </c>
      <c r="AA60" s="138">
        <v>0.97299999999999998</v>
      </c>
      <c r="AF60" s="138">
        <v>1.393</v>
      </c>
      <c r="AG60" s="138">
        <v>1.38</v>
      </c>
      <c r="AJ60" s="138">
        <v>1.5640000000000001</v>
      </c>
      <c r="AO60" s="138">
        <v>1.8787</v>
      </c>
      <c r="AP60" s="138">
        <v>2.5499999999999998</v>
      </c>
      <c r="AS60" s="138">
        <v>2.1190000000000002</v>
      </c>
      <c r="BA60" s="138">
        <v>2.0146999999999999</v>
      </c>
      <c r="BB60" s="138">
        <v>2.0507</v>
      </c>
      <c r="BC60" s="138">
        <v>2.1063999999999998</v>
      </c>
      <c r="BD60" s="138">
        <v>2.1562000000000001</v>
      </c>
      <c r="BE60" s="138">
        <v>2.2484000000000002</v>
      </c>
      <c r="BF60" s="138">
        <v>2.2957999999999998</v>
      </c>
      <c r="BG60" s="138">
        <v>2.4076</v>
      </c>
      <c r="BH60" s="138">
        <v>2.4992999999999999</v>
      </c>
      <c r="BJ60" s="138">
        <v>1.9511000000000001</v>
      </c>
      <c r="BN60" s="138">
        <f t="shared" si="0"/>
        <v>1.9511000000000001</v>
      </c>
      <c r="BO60" s="138">
        <f t="shared" si="1"/>
        <v>2016</v>
      </c>
    </row>
    <row r="61" spans="2:67" x14ac:dyDescent="0.25">
      <c r="B61" s="138" t="s">
        <v>469</v>
      </c>
      <c r="C61" s="138" t="s">
        <v>33</v>
      </c>
      <c r="D61" s="138" t="s">
        <v>1191</v>
      </c>
      <c r="E61" s="138" t="s">
        <v>1190</v>
      </c>
      <c r="P61" s="138">
        <v>1.8</v>
      </c>
      <c r="Q61" s="138">
        <v>1.9</v>
      </c>
      <c r="R61" s="138">
        <v>1.9</v>
      </c>
      <c r="S61" s="138">
        <v>1.9</v>
      </c>
      <c r="T61" s="138">
        <v>2</v>
      </c>
      <c r="U61" s="138">
        <v>2</v>
      </c>
      <c r="V61" s="138">
        <v>2.1</v>
      </c>
      <c r="W61" s="138">
        <v>2.1</v>
      </c>
      <c r="X61" s="138">
        <v>2.1</v>
      </c>
      <c r="Y61" s="138">
        <v>2.2000000000000002</v>
      </c>
      <c r="Z61" s="138">
        <v>2.2999999999999998</v>
      </c>
      <c r="AA61" s="138">
        <v>2.2999999999999998</v>
      </c>
      <c r="AB61" s="138">
        <v>2.4</v>
      </c>
      <c r="AC61" s="138">
        <v>2.5</v>
      </c>
      <c r="AD61" s="138">
        <v>2.5</v>
      </c>
      <c r="AE61" s="138">
        <v>2.6</v>
      </c>
      <c r="AF61" s="138">
        <v>2.6</v>
      </c>
      <c r="AG61" s="138">
        <v>2.6</v>
      </c>
      <c r="AH61" s="138">
        <v>2.7</v>
      </c>
      <c r="AI61" s="138">
        <v>2.7</v>
      </c>
      <c r="AJ61" s="138">
        <v>2.7</v>
      </c>
      <c r="AK61" s="138">
        <v>2.7</v>
      </c>
      <c r="AL61" s="138">
        <v>2.7</v>
      </c>
      <c r="AM61" s="138">
        <v>2.9</v>
      </c>
      <c r="AN61" s="138">
        <v>2.9</v>
      </c>
      <c r="AO61" s="138">
        <v>3</v>
      </c>
      <c r="AP61" s="138">
        <v>3</v>
      </c>
      <c r="AQ61" s="138">
        <v>3.1</v>
      </c>
      <c r="AR61" s="138">
        <v>3</v>
      </c>
      <c r="AS61" s="138">
        <v>3.1</v>
      </c>
      <c r="AT61" s="138">
        <v>3.4</v>
      </c>
      <c r="AU61" s="138">
        <v>3.4</v>
      </c>
      <c r="AV61" s="138">
        <v>3.5</v>
      </c>
      <c r="AW61" s="138">
        <v>3.5129999999999999</v>
      </c>
      <c r="AZ61" s="138">
        <v>3.58</v>
      </c>
      <c r="BA61" s="138">
        <v>3.61</v>
      </c>
      <c r="BB61" s="138">
        <v>3.625</v>
      </c>
      <c r="BD61" s="138">
        <v>3.5743999999999998</v>
      </c>
      <c r="BE61" s="138">
        <v>3.6116999999999999</v>
      </c>
      <c r="BF61" s="138">
        <v>3.6482999999999999</v>
      </c>
      <c r="BG61" s="138">
        <v>3.66</v>
      </c>
      <c r="BJ61" s="138">
        <v>4.3140000000000001</v>
      </c>
      <c r="BN61" s="138">
        <f t="shared" si="0"/>
        <v>4.3140000000000001</v>
      </c>
      <c r="BO61" s="138">
        <f t="shared" si="1"/>
        <v>2016</v>
      </c>
    </row>
    <row r="62" spans="2:67" x14ac:dyDescent="0.25">
      <c r="B62" s="138" t="s">
        <v>506</v>
      </c>
      <c r="C62" s="138" t="s">
        <v>34</v>
      </c>
      <c r="D62" s="138" t="s">
        <v>1191</v>
      </c>
      <c r="E62" s="138" t="s">
        <v>1190</v>
      </c>
      <c r="AK62" s="138">
        <v>2.8</v>
      </c>
      <c r="AL62" s="138">
        <v>2.8</v>
      </c>
      <c r="AM62" s="138">
        <v>2.9</v>
      </c>
      <c r="AN62" s="138">
        <v>3</v>
      </c>
      <c r="AO62" s="138">
        <v>3.1</v>
      </c>
      <c r="AP62" s="138">
        <v>3.1</v>
      </c>
      <c r="AQ62" s="138">
        <v>3.1</v>
      </c>
      <c r="AR62" s="138">
        <v>3.2</v>
      </c>
      <c r="AS62" s="138">
        <v>3.2</v>
      </c>
      <c r="AT62" s="138">
        <v>3.3</v>
      </c>
      <c r="AU62" s="138">
        <v>3.3</v>
      </c>
      <c r="AV62" s="138">
        <v>3.3</v>
      </c>
      <c r="AW62" s="138">
        <v>3.3690000000000002</v>
      </c>
      <c r="AZ62" s="138">
        <v>3.44</v>
      </c>
      <c r="BA62" s="138">
        <v>3.4830000000000001</v>
      </c>
      <c r="BB62" s="138">
        <v>3.5310000000000001</v>
      </c>
      <c r="BD62" s="138">
        <v>3.7536</v>
      </c>
      <c r="BE62" s="138">
        <v>3.8454000000000002</v>
      </c>
      <c r="BF62" s="138">
        <v>3.9152</v>
      </c>
      <c r="BG62" s="138">
        <v>4.0042999999999997</v>
      </c>
      <c r="BH62" s="138">
        <v>4.0827</v>
      </c>
      <c r="BI62" s="138">
        <v>4.1383000000000001</v>
      </c>
      <c r="BJ62" s="138">
        <v>4.2087000000000003</v>
      </c>
      <c r="BN62" s="138">
        <f t="shared" si="0"/>
        <v>4.2087000000000003</v>
      </c>
      <c r="BO62" s="138">
        <f t="shared" si="1"/>
        <v>2016</v>
      </c>
    </row>
    <row r="63" spans="2:67" x14ac:dyDescent="0.25">
      <c r="B63" s="138" t="s">
        <v>231</v>
      </c>
      <c r="C63" s="138" t="s">
        <v>35</v>
      </c>
      <c r="D63" s="138" t="s">
        <v>1191</v>
      </c>
      <c r="E63" s="138" t="s">
        <v>1190</v>
      </c>
      <c r="F63" s="138">
        <v>0.157</v>
      </c>
      <c r="P63" s="138">
        <v>0.28399999999999997</v>
      </c>
      <c r="AA63" s="138">
        <v>0.224</v>
      </c>
      <c r="AD63" s="138">
        <v>0.23799999999999999</v>
      </c>
      <c r="AJ63" s="138">
        <v>0.16200000000000001</v>
      </c>
      <c r="AO63" s="138">
        <v>0.191</v>
      </c>
      <c r="AP63" s="138">
        <v>0.14000000000000001</v>
      </c>
      <c r="AS63" s="138">
        <v>0.1328</v>
      </c>
      <c r="AX63" s="138">
        <v>0.16739999999999999</v>
      </c>
      <c r="AY63" s="138">
        <v>0.17879999999999999</v>
      </c>
      <c r="AZ63" s="138">
        <v>0.2324</v>
      </c>
      <c r="BD63" s="138">
        <v>0.22900000000000001</v>
      </c>
      <c r="BH63" s="138">
        <v>0.2203</v>
      </c>
      <c r="BN63" s="138">
        <f t="shared" si="0"/>
        <v>0.2203</v>
      </c>
      <c r="BO63" s="138">
        <f t="shared" si="1"/>
        <v>2014</v>
      </c>
    </row>
    <row r="64" spans="2:67" x14ac:dyDescent="0.25">
      <c r="B64" s="138" t="s">
        <v>471</v>
      </c>
      <c r="C64" s="138" t="s">
        <v>472</v>
      </c>
      <c r="D64" s="138" t="s">
        <v>1191</v>
      </c>
      <c r="E64" s="138" t="s">
        <v>1190</v>
      </c>
      <c r="F64" s="138">
        <v>0.13300000000000001</v>
      </c>
      <c r="P64" s="138">
        <v>0.161</v>
      </c>
      <c r="AD64" s="138">
        <v>0.33900000000000002</v>
      </c>
      <c r="AJ64" s="138">
        <v>0.46</v>
      </c>
      <c r="AK64" s="138">
        <v>0.52800000000000002</v>
      </c>
      <c r="AO64" s="138">
        <v>0.47</v>
      </c>
      <c r="AP64" s="138">
        <v>0.49299999999999999</v>
      </c>
      <c r="AQ64" s="138">
        <v>0.53669999999999995</v>
      </c>
      <c r="AU64" s="138">
        <v>1.7790999999999999</v>
      </c>
      <c r="BK64" s="138">
        <v>1.0825</v>
      </c>
      <c r="BN64" s="138">
        <f t="shared" si="0"/>
        <v>1.0825</v>
      </c>
      <c r="BO64" s="138">
        <f t="shared" si="1"/>
        <v>2017</v>
      </c>
    </row>
    <row r="65" spans="2:67" x14ac:dyDescent="0.25">
      <c r="B65" s="138" t="s">
        <v>470</v>
      </c>
      <c r="C65" s="138" t="s">
        <v>36</v>
      </c>
      <c r="D65" s="138" t="s">
        <v>1191</v>
      </c>
      <c r="E65" s="138" t="s">
        <v>1190</v>
      </c>
      <c r="Z65" s="138">
        <v>1.8</v>
      </c>
      <c r="AA65" s="138">
        <v>1.8</v>
      </c>
      <c r="AB65" s="138">
        <v>2</v>
      </c>
      <c r="AC65" s="138">
        <v>2.1</v>
      </c>
      <c r="AD65" s="138">
        <v>2.2999999999999998</v>
      </c>
      <c r="AE65" s="138">
        <v>2.2999999999999998</v>
      </c>
      <c r="AF65" s="138">
        <v>2.2999999999999998</v>
      </c>
      <c r="AG65" s="138">
        <v>2.2999999999999998</v>
      </c>
      <c r="AH65" s="138">
        <v>2.4</v>
      </c>
      <c r="AI65" s="138">
        <v>2.5</v>
      </c>
      <c r="AJ65" s="138">
        <v>2.5</v>
      </c>
      <c r="AK65" s="138">
        <v>2.4</v>
      </c>
      <c r="AL65" s="138">
        <v>2.6</v>
      </c>
      <c r="AM65" s="138">
        <v>2.6</v>
      </c>
      <c r="AN65" s="138">
        <v>2.8978999999999999</v>
      </c>
      <c r="AO65" s="138">
        <v>2.9033000000000002</v>
      </c>
      <c r="AP65" s="138">
        <v>2.6</v>
      </c>
      <c r="AQ65" s="138">
        <v>2.9159000000000002</v>
      </c>
      <c r="AR65" s="138">
        <v>2.8</v>
      </c>
      <c r="AU65" s="138">
        <v>3.6579999999999999</v>
      </c>
      <c r="AV65" s="138">
        <v>2.9249999999999998</v>
      </c>
      <c r="AW65" s="138">
        <v>2.9983</v>
      </c>
      <c r="AX65" s="138">
        <v>3.0427</v>
      </c>
      <c r="AY65" s="138">
        <v>3.2000999999999999</v>
      </c>
      <c r="AZ65" s="138">
        <v>3.1629999999999998</v>
      </c>
      <c r="BA65" s="138">
        <v>3.419</v>
      </c>
      <c r="BB65" s="138">
        <v>3.3935</v>
      </c>
      <c r="BC65" s="138">
        <v>3.4013</v>
      </c>
      <c r="BD65" s="138">
        <v>3.5790999999999999</v>
      </c>
      <c r="BE65" s="138">
        <v>3.6183999999999998</v>
      </c>
      <c r="BF65" s="138">
        <v>3.6461000000000001</v>
      </c>
      <c r="BG65" s="138">
        <v>3.6395</v>
      </c>
      <c r="BH65" s="138">
        <v>3.6440000000000001</v>
      </c>
      <c r="BI65" s="138">
        <v>3.6743000000000001</v>
      </c>
      <c r="BJ65" s="138">
        <v>4.4566999999999997</v>
      </c>
      <c r="BN65" s="138">
        <f t="shared" si="0"/>
        <v>4.4566999999999997</v>
      </c>
      <c r="BO65" s="138">
        <f t="shared" si="1"/>
        <v>2016</v>
      </c>
    </row>
    <row r="66" spans="2:67" x14ac:dyDescent="0.25">
      <c r="B66" s="138" t="s">
        <v>473</v>
      </c>
      <c r="C66" s="138" t="s">
        <v>474</v>
      </c>
      <c r="D66" s="138" t="s">
        <v>1191</v>
      </c>
      <c r="E66" s="138" t="s">
        <v>1190</v>
      </c>
      <c r="F66" s="138">
        <v>0.121</v>
      </c>
      <c r="K66" s="138">
        <v>0.58799999999999997</v>
      </c>
      <c r="U66" s="138">
        <v>0.435</v>
      </c>
      <c r="AD66" s="138">
        <v>0.56399999999999995</v>
      </c>
      <c r="AH66" s="138">
        <v>1.0740000000000001</v>
      </c>
      <c r="AJ66" s="138">
        <v>1.49</v>
      </c>
      <c r="AM66" s="138">
        <v>1.054</v>
      </c>
      <c r="AO66" s="138">
        <v>1.5</v>
      </c>
      <c r="AQ66" s="138">
        <v>2.1560000000000001</v>
      </c>
      <c r="AT66" s="138">
        <v>1.8301000000000001</v>
      </c>
      <c r="BB66" s="138">
        <v>1.0777000000000001</v>
      </c>
      <c r="BE66" s="138">
        <v>1.4943</v>
      </c>
      <c r="BK66" s="138">
        <v>1.56</v>
      </c>
      <c r="BN66" s="138">
        <f t="shared" si="0"/>
        <v>1.56</v>
      </c>
      <c r="BO66" s="138">
        <f t="shared" si="1"/>
        <v>2017</v>
      </c>
    </row>
    <row r="67" spans="2:67" x14ac:dyDescent="0.25">
      <c r="B67" s="138" t="s">
        <v>420</v>
      </c>
      <c r="C67" s="138" t="s">
        <v>37</v>
      </c>
      <c r="D67" s="138" t="s">
        <v>1191</v>
      </c>
      <c r="E67" s="138" t="s">
        <v>1190</v>
      </c>
      <c r="F67" s="138">
        <v>0.17299999999999999</v>
      </c>
      <c r="K67" s="138">
        <v>0.11600000000000001</v>
      </c>
      <c r="P67" s="138">
        <v>0.123</v>
      </c>
      <c r="Y67" s="138">
        <v>0.38</v>
      </c>
      <c r="AD67" s="138">
        <v>0.42699999999999999</v>
      </c>
      <c r="AH67" s="138">
        <v>0.42899999999999999</v>
      </c>
      <c r="AJ67" s="138">
        <v>0.94199999999999995</v>
      </c>
      <c r="AM67" s="138">
        <v>0.82099999999999995</v>
      </c>
      <c r="AO67" s="138">
        <v>0.84599999999999997</v>
      </c>
      <c r="AR67" s="138">
        <v>1</v>
      </c>
      <c r="AV67" s="138">
        <v>1.1053999999999999</v>
      </c>
      <c r="AY67" s="138">
        <v>1.0199</v>
      </c>
      <c r="BA67" s="138">
        <v>1.1912</v>
      </c>
      <c r="BD67" s="138">
        <v>1.2070000000000001</v>
      </c>
      <c r="BJ67" s="138">
        <v>1.83</v>
      </c>
      <c r="BN67" s="138">
        <f t="shared" si="0"/>
        <v>1.83</v>
      </c>
      <c r="BO67" s="138">
        <f t="shared" si="1"/>
        <v>2016</v>
      </c>
    </row>
    <row r="68" spans="2:67" x14ac:dyDescent="0.25">
      <c r="B68" s="138" t="s">
        <v>479</v>
      </c>
      <c r="C68" s="138" t="s">
        <v>480</v>
      </c>
      <c r="D68" s="138" t="s">
        <v>1191</v>
      </c>
      <c r="E68" s="138" t="s">
        <v>1190</v>
      </c>
      <c r="AJ68" s="138">
        <v>0.85058523913436868</v>
      </c>
      <c r="AT68" s="138">
        <v>1.0064622250608266</v>
      </c>
      <c r="BI68" s="138">
        <v>1.4761485003558619</v>
      </c>
      <c r="BN68" s="138">
        <f t="shared" si="0"/>
        <v>1.4761485003558619</v>
      </c>
      <c r="BO68" s="138">
        <f t="shared" si="1"/>
        <v>2015</v>
      </c>
    </row>
    <row r="69" spans="2:67" x14ac:dyDescent="0.25">
      <c r="B69" s="138" t="s">
        <v>475</v>
      </c>
      <c r="C69" s="138" t="s">
        <v>476</v>
      </c>
      <c r="D69" s="138" t="s">
        <v>1191</v>
      </c>
      <c r="E69" s="138" t="s">
        <v>1190</v>
      </c>
      <c r="AJ69" s="138">
        <v>0.87325614569788945</v>
      </c>
      <c r="AT69" s="138">
        <v>0.75437138259027836</v>
      </c>
      <c r="BI69" s="138">
        <v>0.94011084109972498</v>
      </c>
      <c r="BN69" s="138">
        <f t="shared" si="0"/>
        <v>0.94011084109972498</v>
      </c>
      <c r="BO69" s="138">
        <f t="shared" si="1"/>
        <v>2015</v>
      </c>
    </row>
    <row r="70" spans="2:67" x14ac:dyDescent="0.25">
      <c r="B70" s="138" t="s">
        <v>477</v>
      </c>
      <c r="C70" s="138" t="s">
        <v>478</v>
      </c>
      <c r="D70" s="138" t="s">
        <v>1191</v>
      </c>
      <c r="E70" s="138" t="s">
        <v>1190</v>
      </c>
      <c r="AJ70" s="138">
        <v>0.92615972782662315</v>
      </c>
      <c r="AT70" s="138">
        <v>1.094840183834624</v>
      </c>
      <c r="BI70" s="138">
        <v>1.5767725519397087</v>
      </c>
      <c r="BN70" s="138">
        <f t="shared" si="0"/>
        <v>1.5767725519397087</v>
      </c>
      <c r="BO70" s="138">
        <f t="shared" si="1"/>
        <v>2015</v>
      </c>
    </row>
    <row r="71" spans="2:67" x14ac:dyDescent="0.25">
      <c r="B71" s="138" t="s">
        <v>491</v>
      </c>
      <c r="C71" s="138" t="s">
        <v>492</v>
      </c>
      <c r="D71" s="138" t="s">
        <v>1191</v>
      </c>
      <c r="E71" s="138" t="s">
        <v>1190</v>
      </c>
      <c r="AJ71" s="138">
        <v>3.3384666699126808</v>
      </c>
      <c r="AT71" s="138">
        <v>3.1658773755261795</v>
      </c>
      <c r="BI71" s="138">
        <v>3.045276370500583</v>
      </c>
      <c r="BN71" s="138">
        <f t="shared" si="0"/>
        <v>3.045276370500583</v>
      </c>
      <c r="BO71" s="138">
        <f t="shared" si="1"/>
        <v>2015</v>
      </c>
    </row>
    <row r="72" spans="2:67" x14ac:dyDescent="0.25">
      <c r="B72" s="138" t="s">
        <v>489</v>
      </c>
      <c r="C72" s="138" t="s">
        <v>490</v>
      </c>
      <c r="D72" s="138" t="s">
        <v>1191</v>
      </c>
      <c r="E72" s="138" t="s">
        <v>1190</v>
      </c>
      <c r="AJ72" s="138">
        <v>3.0138411222447261</v>
      </c>
      <c r="AT72" s="138">
        <v>3.2039927181533172</v>
      </c>
      <c r="BI72" s="138">
        <v>3.3729252519521515</v>
      </c>
      <c r="BN72" s="138">
        <f t="shared" si="0"/>
        <v>3.3729252519521515</v>
      </c>
      <c r="BO72" s="138">
        <f t="shared" si="1"/>
        <v>2015</v>
      </c>
    </row>
    <row r="73" spans="2:67" x14ac:dyDescent="0.25">
      <c r="B73" s="138" t="s">
        <v>483</v>
      </c>
      <c r="C73" s="138" t="s">
        <v>38</v>
      </c>
      <c r="D73" s="138" t="s">
        <v>1191</v>
      </c>
      <c r="E73" s="138" t="s">
        <v>1190</v>
      </c>
      <c r="F73" s="138">
        <v>0.39600000000000002</v>
      </c>
      <c r="K73" s="138">
        <v>0.33500000000000002</v>
      </c>
      <c r="P73" s="138">
        <v>0.34799999999999998</v>
      </c>
      <c r="U73" s="138">
        <v>0.35099999999999998</v>
      </c>
      <c r="W73" s="138">
        <v>0.63700000000000001</v>
      </c>
      <c r="AJ73" s="138">
        <v>0.95760000000000001</v>
      </c>
      <c r="AK73" s="138">
        <v>1.1667000000000001</v>
      </c>
      <c r="AL73" s="138">
        <v>1.2005999999999999</v>
      </c>
      <c r="AM73" s="138">
        <v>1.1093999999999999</v>
      </c>
      <c r="AN73" s="138">
        <v>1.2746</v>
      </c>
      <c r="AO73" s="138">
        <v>1.2474000000000001</v>
      </c>
      <c r="AP73" s="138">
        <v>1.3170999999999999</v>
      </c>
      <c r="AQ73" s="138">
        <v>1.3305</v>
      </c>
      <c r="AR73" s="138">
        <v>1.3167</v>
      </c>
      <c r="AS73" s="138">
        <v>1.3772</v>
      </c>
      <c r="AT73" s="138">
        <v>1.4519</v>
      </c>
      <c r="AU73" s="138">
        <v>1.5512999999999999</v>
      </c>
      <c r="AV73" s="138">
        <v>1.5752999999999999</v>
      </c>
      <c r="AW73" s="138">
        <v>1.5064</v>
      </c>
      <c r="BC73" s="138">
        <v>1.6073</v>
      </c>
      <c r="BD73" s="138">
        <v>2.1219000000000001</v>
      </c>
      <c r="BE73" s="138">
        <v>1.6654</v>
      </c>
      <c r="BI73" s="138">
        <v>2.0733999999999999</v>
      </c>
      <c r="BJ73" s="138">
        <v>2.0499999999999998</v>
      </c>
      <c r="BN73" s="138">
        <f t="shared" ref="BN73:BN136" si="2">IFERROR(LOOKUP(2,1/(ISNUMBER(G73:BM73)),G73:BM73),"No reported value")</f>
        <v>2.0499999999999998</v>
      </c>
      <c r="BO73" s="138">
        <f t="shared" ref="BO73:BO136" si="3">IFERROR(INDEX($G$8:$BM$8,1,MATCH($BN73,$G73:$BM73,0)),"No reported value")</f>
        <v>2016</v>
      </c>
    </row>
    <row r="74" spans="2:67" x14ac:dyDescent="0.25">
      <c r="B74" s="138" t="s">
        <v>484</v>
      </c>
      <c r="C74" s="138" t="s">
        <v>39</v>
      </c>
      <c r="D74" s="138" t="s">
        <v>1191</v>
      </c>
      <c r="E74" s="138" t="s">
        <v>1190</v>
      </c>
      <c r="F74" s="138">
        <v>0.39100000000000001</v>
      </c>
      <c r="K74" s="138">
        <v>0.435</v>
      </c>
      <c r="P74" s="138">
        <v>0.52700000000000002</v>
      </c>
      <c r="U74" s="138">
        <v>0.53600000000000003</v>
      </c>
      <c r="Z74" s="138">
        <v>1.0649999999999999</v>
      </c>
      <c r="AA74" s="138">
        <v>1.3640000000000001</v>
      </c>
      <c r="AB74" s="138">
        <v>1.365</v>
      </c>
      <c r="AF74" s="138">
        <v>1.304</v>
      </c>
      <c r="AJ74" s="138">
        <v>0.76</v>
      </c>
      <c r="AN74" s="138">
        <v>1.84</v>
      </c>
      <c r="AP74" s="138">
        <v>2.02</v>
      </c>
      <c r="AQ74" s="138">
        <v>1.6</v>
      </c>
      <c r="AT74" s="138">
        <v>2.1179999999999999</v>
      </c>
      <c r="AW74" s="138">
        <v>0.5202</v>
      </c>
      <c r="AY74" s="138">
        <v>2.4009999999999998</v>
      </c>
      <c r="BA74" s="138">
        <v>2.6040000000000001</v>
      </c>
      <c r="BC74" s="138">
        <v>2.8039999999999998</v>
      </c>
      <c r="BD74" s="138">
        <v>2.83</v>
      </c>
      <c r="BH74" s="138">
        <v>0.79400000000000004</v>
      </c>
      <c r="BI74" s="138">
        <v>0.81</v>
      </c>
      <c r="BJ74" s="138">
        <v>0.81069999999999998</v>
      </c>
      <c r="BK74" s="138">
        <v>0.79020000000000001</v>
      </c>
      <c r="BN74" s="138">
        <f t="shared" si="2"/>
        <v>0.79020000000000001</v>
      </c>
      <c r="BO74" s="138">
        <f t="shared" si="3"/>
        <v>2017</v>
      </c>
    </row>
    <row r="75" spans="2:67" x14ac:dyDescent="0.25">
      <c r="B75" s="138" t="s">
        <v>487</v>
      </c>
      <c r="C75" s="138" t="s">
        <v>488</v>
      </c>
      <c r="D75" s="138" t="s">
        <v>1191</v>
      </c>
      <c r="E75" s="138" t="s">
        <v>1190</v>
      </c>
      <c r="AJ75" s="138">
        <v>3.0348344201515713</v>
      </c>
      <c r="AT75" s="138">
        <v>3.6855896341408787</v>
      </c>
      <c r="BI75" s="138">
        <v>3.8477576041724832</v>
      </c>
      <c r="BN75" s="138">
        <f t="shared" si="2"/>
        <v>3.8477576041724832</v>
      </c>
      <c r="BO75" s="138">
        <f t="shared" si="3"/>
        <v>2015</v>
      </c>
    </row>
    <row r="76" spans="2:67" x14ac:dyDescent="0.25">
      <c r="B76" s="138" t="s">
        <v>192</v>
      </c>
      <c r="C76" s="138" t="s">
        <v>168</v>
      </c>
      <c r="D76" s="138" t="s">
        <v>1191</v>
      </c>
      <c r="E76" s="138" t="s">
        <v>1190</v>
      </c>
      <c r="AM76" s="138">
        <v>1.9E-2</v>
      </c>
      <c r="AP76" s="138">
        <v>0.03</v>
      </c>
      <c r="AX76" s="138">
        <v>5.57E-2</v>
      </c>
      <c r="BN76" s="138">
        <f t="shared" si="2"/>
        <v>5.57E-2</v>
      </c>
      <c r="BO76" s="138">
        <f t="shared" si="3"/>
        <v>2004</v>
      </c>
    </row>
    <row r="77" spans="2:67" x14ac:dyDescent="0.25">
      <c r="B77" s="138" t="s">
        <v>636</v>
      </c>
      <c r="C77" s="138" t="s">
        <v>40</v>
      </c>
      <c r="D77" s="138" t="s">
        <v>1191</v>
      </c>
      <c r="E77" s="138" t="s">
        <v>1190</v>
      </c>
      <c r="AJ77" s="138">
        <v>3.7835999999999999</v>
      </c>
      <c r="AK77" s="138">
        <v>3.8906999999999998</v>
      </c>
      <c r="AL77" s="138">
        <v>3.9502999999999999</v>
      </c>
      <c r="AM77" s="138">
        <v>4.0186000000000002</v>
      </c>
      <c r="AN77" s="138">
        <v>4.0762</v>
      </c>
      <c r="AO77" s="138">
        <v>4.0773999999999999</v>
      </c>
      <c r="AP77" s="138">
        <v>4.1379999999999999</v>
      </c>
      <c r="AQ77" s="138">
        <v>4.1921999999999997</v>
      </c>
      <c r="AR77" s="138">
        <v>4.2561999999999998</v>
      </c>
      <c r="AS77" s="138">
        <v>4.3147000000000002</v>
      </c>
      <c r="AT77" s="138">
        <v>4.3769</v>
      </c>
      <c r="AU77" s="138">
        <v>4.3586999999999998</v>
      </c>
      <c r="AV77" s="138">
        <v>4.4279000000000002</v>
      </c>
      <c r="AW77" s="138">
        <v>4.4701000000000004</v>
      </c>
      <c r="AX77" s="138">
        <v>4.4904000000000002</v>
      </c>
      <c r="AY77" s="138">
        <v>4.5210999999999997</v>
      </c>
      <c r="AZ77" s="138">
        <v>4.5407999999999999</v>
      </c>
      <c r="BA77" s="138">
        <v>4.5842999999999998</v>
      </c>
      <c r="BB77" s="138">
        <v>4.6519000000000004</v>
      </c>
      <c r="BC77" s="138">
        <v>4.7127999999999997</v>
      </c>
      <c r="BD77" s="138">
        <v>3.7408999999999999</v>
      </c>
      <c r="BE77" s="138">
        <v>3.8216000000000001</v>
      </c>
      <c r="BF77" s="138">
        <v>3.8165</v>
      </c>
      <c r="BG77" s="138">
        <v>3.8046000000000002</v>
      </c>
      <c r="BH77" s="138">
        <v>3.7974999999999999</v>
      </c>
      <c r="BI77" s="138">
        <v>3.8492999999999999</v>
      </c>
      <c r="BJ77" s="138">
        <v>4.0690999999999997</v>
      </c>
      <c r="BN77" s="138">
        <f t="shared" si="2"/>
        <v>4.0690999999999997</v>
      </c>
      <c r="BO77" s="138">
        <f t="shared" si="3"/>
        <v>2016</v>
      </c>
    </row>
    <row r="78" spans="2:67" x14ac:dyDescent="0.25">
      <c r="B78" s="138" t="s">
        <v>485</v>
      </c>
      <c r="C78" s="138" t="s">
        <v>41</v>
      </c>
      <c r="D78" s="138" t="s">
        <v>1191</v>
      </c>
      <c r="E78" s="138" t="s">
        <v>1190</v>
      </c>
      <c r="Z78" s="138">
        <v>2.9380000000000002</v>
      </c>
      <c r="AE78" s="138">
        <v>3.35</v>
      </c>
      <c r="AF78" s="138">
        <v>3.4079999999999999</v>
      </c>
      <c r="AG78" s="138">
        <v>3.484</v>
      </c>
      <c r="AH78" s="138">
        <v>3.4849999999999999</v>
      </c>
      <c r="AI78" s="138">
        <v>3.49</v>
      </c>
      <c r="AJ78" s="138">
        <v>3.504</v>
      </c>
      <c r="AK78" s="138">
        <v>3.536</v>
      </c>
      <c r="AL78" s="138">
        <v>3.2639999999999998</v>
      </c>
      <c r="AM78" s="138">
        <v>3.2069999999999999</v>
      </c>
      <c r="AN78" s="138">
        <v>3.2</v>
      </c>
      <c r="AO78" s="138">
        <v>3.1909999999999998</v>
      </c>
      <c r="AP78" s="138">
        <v>3.1480000000000001</v>
      </c>
      <c r="AQ78" s="138">
        <v>3.1139999999999999</v>
      </c>
      <c r="AR78" s="138">
        <v>3.11</v>
      </c>
      <c r="AS78" s="138">
        <v>3.206</v>
      </c>
      <c r="AT78" s="138">
        <v>4.3727999999999998</v>
      </c>
      <c r="AU78" s="138">
        <v>3.16</v>
      </c>
      <c r="AZ78" s="138">
        <v>3.33</v>
      </c>
      <c r="BB78" s="138">
        <v>3.4089999999999998</v>
      </c>
      <c r="BD78" s="138">
        <v>3.2422</v>
      </c>
      <c r="BE78" s="138">
        <v>3.2911999999999999</v>
      </c>
      <c r="BF78" s="138">
        <v>3.278</v>
      </c>
      <c r="BG78" s="138">
        <v>3.3254999999999999</v>
      </c>
      <c r="BH78" s="138">
        <v>3.3100999999999998</v>
      </c>
      <c r="BI78" s="138">
        <v>3.4152</v>
      </c>
      <c r="BJ78" s="138">
        <v>3.4651000000000001</v>
      </c>
      <c r="BN78" s="138">
        <f t="shared" si="2"/>
        <v>3.4651000000000001</v>
      </c>
      <c r="BO78" s="138">
        <f t="shared" si="3"/>
        <v>2016</v>
      </c>
    </row>
    <row r="79" spans="2:67" x14ac:dyDescent="0.25">
      <c r="B79" s="138" t="s">
        <v>194</v>
      </c>
      <c r="C79" s="138" t="s">
        <v>42</v>
      </c>
      <c r="D79" s="138" t="s">
        <v>1191</v>
      </c>
      <c r="E79" s="138" t="s">
        <v>1190</v>
      </c>
      <c r="F79" s="138">
        <v>8.9999999999999993E-3</v>
      </c>
      <c r="K79" s="138">
        <v>1.4E-2</v>
      </c>
      <c r="P79" s="138">
        <v>1.2E-2</v>
      </c>
      <c r="U79" s="138">
        <v>1.2E-2</v>
      </c>
      <c r="Z79" s="138">
        <v>1.0999999999999999E-2</v>
      </c>
      <c r="AA79" s="138">
        <v>1.0999999999999999E-2</v>
      </c>
      <c r="AD79" s="138">
        <v>1.2999999999999999E-2</v>
      </c>
      <c r="AH79" s="138">
        <v>3.1E-2</v>
      </c>
      <c r="AN79" s="138">
        <v>2.9000000000000001E-2</v>
      </c>
      <c r="AP79" s="138">
        <v>2.5000000000000001E-2</v>
      </c>
      <c r="AQ79" s="138">
        <v>2.3E-2</v>
      </c>
      <c r="AR79" s="138">
        <v>2.1000000000000001E-2</v>
      </c>
      <c r="AS79" s="138">
        <v>0.02</v>
      </c>
      <c r="AT79" s="138">
        <v>2.1000000000000001E-2</v>
      </c>
      <c r="AU79" s="138">
        <v>2.8000000000000001E-2</v>
      </c>
      <c r="AV79" s="138">
        <v>2.9000000000000001E-2</v>
      </c>
      <c r="AW79" s="138">
        <v>2.6700000000000002E-2</v>
      </c>
      <c r="AX79" s="138">
        <v>2.6700000000000002E-2</v>
      </c>
      <c r="AY79" s="138">
        <v>3.2000000000000001E-2</v>
      </c>
      <c r="AZ79" s="138">
        <v>2.6800000000000001E-2</v>
      </c>
      <c r="BA79" s="138">
        <v>2.23E-2</v>
      </c>
      <c r="BB79" s="138">
        <v>2.5100000000000001E-2</v>
      </c>
      <c r="BC79" s="138">
        <v>2.52E-2</v>
      </c>
      <c r="BD79" s="138">
        <v>2.1999999999999999E-2</v>
      </c>
      <c r="BK79" s="138">
        <v>0.1</v>
      </c>
      <c r="BN79" s="138">
        <f t="shared" si="2"/>
        <v>0.1</v>
      </c>
      <c r="BO79" s="138">
        <f t="shared" si="3"/>
        <v>2017</v>
      </c>
    </row>
    <row r="80" spans="2:67" x14ac:dyDescent="0.25">
      <c r="B80" s="138" t="s">
        <v>495</v>
      </c>
      <c r="C80" s="138" t="s">
        <v>496</v>
      </c>
      <c r="D80" s="138" t="s">
        <v>1191</v>
      </c>
      <c r="E80" s="138" t="s">
        <v>1190</v>
      </c>
      <c r="AJ80" s="138">
        <v>2.6607423815373603</v>
      </c>
      <c r="AT80" s="138">
        <v>3.1704253691017117</v>
      </c>
      <c r="BI80" s="138">
        <v>3.5742495045037481</v>
      </c>
      <c r="BN80" s="138">
        <f t="shared" si="2"/>
        <v>3.5742495045037481</v>
      </c>
      <c r="BO80" s="138">
        <f t="shared" si="3"/>
        <v>2015</v>
      </c>
    </row>
    <row r="81" spans="2:67" x14ac:dyDescent="0.25">
      <c r="B81" s="138" t="s">
        <v>500</v>
      </c>
      <c r="C81" s="138" t="s">
        <v>501</v>
      </c>
      <c r="D81" s="138" t="s">
        <v>1191</v>
      </c>
      <c r="E81" s="138" t="s">
        <v>1190</v>
      </c>
      <c r="AJ81" s="138">
        <v>0.19575425362731189</v>
      </c>
      <c r="AT81" s="138">
        <v>0.35426913358995793</v>
      </c>
      <c r="BI81" s="138">
        <v>0.39973797980833775</v>
      </c>
      <c r="BN81" s="138">
        <f t="shared" si="2"/>
        <v>0.39973797980833775</v>
      </c>
      <c r="BO81" s="138">
        <f t="shared" si="3"/>
        <v>2015</v>
      </c>
    </row>
    <row r="82" spans="2:67" x14ac:dyDescent="0.25">
      <c r="B82" s="138" t="s">
        <v>499</v>
      </c>
      <c r="C82" s="138" t="s">
        <v>43</v>
      </c>
      <c r="D82" s="138" t="s">
        <v>1191</v>
      </c>
      <c r="E82" s="138" t="s">
        <v>1190</v>
      </c>
      <c r="AJ82" s="138">
        <v>2</v>
      </c>
      <c r="AK82" s="138">
        <v>2</v>
      </c>
      <c r="AL82" s="138">
        <v>2.1</v>
      </c>
      <c r="AM82" s="138">
        <v>2.1</v>
      </c>
      <c r="AN82" s="138">
        <v>2.2000000000000002</v>
      </c>
      <c r="AO82" s="138">
        <v>2.2000000000000002</v>
      </c>
      <c r="AP82" s="138">
        <v>2.2999999999999998</v>
      </c>
      <c r="AQ82" s="138">
        <v>2.4</v>
      </c>
      <c r="AR82" s="138">
        <v>2.4</v>
      </c>
      <c r="AS82" s="138">
        <v>2.5</v>
      </c>
      <c r="AT82" s="138">
        <v>2.6</v>
      </c>
      <c r="AU82" s="138">
        <v>2.6</v>
      </c>
      <c r="AV82" s="138">
        <v>3.1545999999999998</v>
      </c>
      <c r="AW82" s="138">
        <v>2.6</v>
      </c>
      <c r="AZ82" s="138">
        <v>3.3</v>
      </c>
      <c r="BA82" s="138">
        <v>3.319</v>
      </c>
      <c r="BB82" s="138">
        <v>2.7349999999999999</v>
      </c>
      <c r="BC82" s="138">
        <v>2.8795000000000002</v>
      </c>
      <c r="BD82" s="138">
        <v>2.9874000000000001</v>
      </c>
      <c r="BE82" s="138">
        <v>2.9855999999999998</v>
      </c>
      <c r="BF82" s="138">
        <v>3.0693000000000001</v>
      </c>
      <c r="BG82" s="138">
        <v>3.1482999999999999</v>
      </c>
      <c r="BH82" s="138">
        <v>3.2073</v>
      </c>
      <c r="BJ82" s="138">
        <v>3.8079999999999998</v>
      </c>
      <c r="BN82" s="138">
        <f t="shared" si="2"/>
        <v>3.8079999999999998</v>
      </c>
      <c r="BO82" s="138">
        <f t="shared" si="3"/>
        <v>2016</v>
      </c>
    </row>
    <row r="83" spans="2:67" x14ac:dyDescent="0.25">
      <c r="B83" s="138" t="s">
        <v>248</v>
      </c>
      <c r="C83" s="138" t="s">
        <v>44</v>
      </c>
      <c r="D83" s="138" t="s">
        <v>1191</v>
      </c>
      <c r="E83" s="138" t="s">
        <v>1190</v>
      </c>
      <c r="F83" s="138">
        <v>0.495</v>
      </c>
      <c r="P83" s="138">
        <v>0.47099999999999997</v>
      </c>
      <c r="U83" s="138">
        <v>0.47599999999999998</v>
      </c>
      <c r="Z83" s="138">
        <v>0.44800000000000001</v>
      </c>
      <c r="AB83" s="138">
        <v>0.49399999999999999</v>
      </c>
      <c r="AI83" s="138">
        <v>0.35799999999999998</v>
      </c>
      <c r="AL83" s="138">
        <v>0.47199999999999998</v>
      </c>
      <c r="AN83" s="138">
        <v>0.376</v>
      </c>
      <c r="AQ83" s="138">
        <v>0.47599999999999998</v>
      </c>
      <c r="AR83" s="138">
        <v>0.35699999999999998</v>
      </c>
      <c r="AS83" s="138">
        <v>0.33600000000000002</v>
      </c>
      <c r="AW83" s="138">
        <v>0.46529999999999999</v>
      </c>
      <c r="BB83" s="138">
        <v>0.39960000000000001</v>
      </c>
      <c r="BC83" s="138">
        <v>0.43659999999999999</v>
      </c>
      <c r="BD83" s="138">
        <v>0.42599999999999999</v>
      </c>
      <c r="BG83" s="138">
        <v>0.80249999999999999</v>
      </c>
      <c r="BI83" s="138">
        <v>0.83740000000000003</v>
      </c>
      <c r="BN83" s="138">
        <f t="shared" si="2"/>
        <v>0.83740000000000003</v>
      </c>
      <c r="BO83" s="138">
        <f t="shared" si="3"/>
        <v>2015</v>
      </c>
    </row>
    <row r="84" spans="2:67" x14ac:dyDescent="0.25">
      <c r="B84" s="138" t="s">
        <v>502</v>
      </c>
      <c r="C84" s="138" t="s">
        <v>45</v>
      </c>
      <c r="D84" s="138" t="s">
        <v>1191</v>
      </c>
      <c r="E84" s="138" t="s">
        <v>1190</v>
      </c>
      <c r="P84" s="138">
        <v>1.2</v>
      </c>
      <c r="Q84" s="138">
        <v>1.3</v>
      </c>
      <c r="R84" s="138">
        <v>1.3</v>
      </c>
      <c r="S84" s="138">
        <v>1.4</v>
      </c>
      <c r="T84" s="138">
        <v>1.4</v>
      </c>
      <c r="U84" s="138">
        <v>1.5</v>
      </c>
      <c r="V84" s="138">
        <v>1.5</v>
      </c>
      <c r="W84" s="138">
        <v>1.6</v>
      </c>
      <c r="X84" s="138">
        <v>1.7</v>
      </c>
      <c r="Y84" s="138">
        <v>1.8</v>
      </c>
      <c r="Z84" s="138">
        <v>1.9</v>
      </c>
      <c r="AA84" s="138">
        <v>2</v>
      </c>
      <c r="AB84" s="138">
        <v>2.1</v>
      </c>
      <c r="AC84" s="138">
        <v>2.1</v>
      </c>
      <c r="AD84" s="138">
        <v>2.5</v>
      </c>
      <c r="AE84" s="138">
        <v>2.7</v>
      </c>
      <c r="AF84" s="138">
        <v>2.8</v>
      </c>
      <c r="AG84" s="138">
        <v>2.8</v>
      </c>
      <c r="AH84" s="138">
        <v>2.9</v>
      </c>
      <c r="AI84" s="138">
        <v>3</v>
      </c>
      <c r="AJ84" s="138">
        <v>3.1</v>
      </c>
      <c r="AK84" s="138">
        <v>3.0661999999999998</v>
      </c>
      <c r="AP84" s="138">
        <v>3.2222</v>
      </c>
      <c r="BA84" s="138">
        <v>3.6745999999999999</v>
      </c>
      <c r="BE84" s="138">
        <v>3.1560999999999999</v>
      </c>
      <c r="BF84" s="138">
        <v>3.1711</v>
      </c>
      <c r="BG84" s="138">
        <v>3.1835</v>
      </c>
      <c r="BH84" s="138">
        <v>3.2117</v>
      </c>
      <c r="BI84" s="138">
        <v>3.2237</v>
      </c>
      <c r="BJ84" s="138">
        <v>3.2349000000000001</v>
      </c>
      <c r="BN84" s="138">
        <f t="shared" si="2"/>
        <v>3.2349000000000001</v>
      </c>
      <c r="BO84" s="138">
        <f t="shared" si="3"/>
        <v>2016</v>
      </c>
    </row>
    <row r="85" spans="2:67" x14ac:dyDescent="0.25">
      <c r="B85" s="138" t="s">
        <v>497</v>
      </c>
      <c r="C85" s="138" t="s">
        <v>498</v>
      </c>
      <c r="D85" s="138" t="s">
        <v>1191</v>
      </c>
      <c r="E85" s="138" t="s">
        <v>1190</v>
      </c>
      <c r="BN85" s="138" t="str">
        <f t="shared" si="2"/>
        <v>No reported value</v>
      </c>
      <c r="BO85" s="138" t="str">
        <f t="shared" si="3"/>
        <v>No reported value</v>
      </c>
    </row>
    <row r="86" spans="2:67" x14ac:dyDescent="0.25">
      <c r="B86" s="138" t="s">
        <v>570</v>
      </c>
      <c r="C86" s="138" t="s">
        <v>571</v>
      </c>
      <c r="D86" s="138" t="s">
        <v>1191</v>
      </c>
      <c r="E86" s="138" t="s">
        <v>1190</v>
      </c>
      <c r="AM86" s="138">
        <v>0.45100000000000001</v>
      </c>
      <c r="AS86" s="138">
        <v>0.57299999999999995</v>
      </c>
      <c r="AT86" s="138">
        <v>0.59589999999999999</v>
      </c>
      <c r="AW86" s="138">
        <v>0.56179999999999997</v>
      </c>
      <c r="AY86" s="138">
        <v>0.58379999999999999</v>
      </c>
      <c r="BB86" s="138">
        <v>0.61240000000000006</v>
      </c>
      <c r="BC86" s="138">
        <v>0.1923</v>
      </c>
      <c r="BD86" s="138">
        <v>0.17699999999999999</v>
      </c>
      <c r="BN86" s="138">
        <f t="shared" si="2"/>
        <v>0.17699999999999999</v>
      </c>
      <c r="BO86" s="138">
        <f t="shared" si="3"/>
        <v>2010</v>
      </c>
    </row>
    <row r="87" spans="2:67" x14ac:dyDescent="0.25">
      <c r="B87" s="138" t="s">
        <v>195</v>
      </c>
      <c r="C87" s="138" t="s">
        <v>46</v>
      </c>
      <c r="D87" s="138" t="s">
        <v>1191</v>
      </c>
      <c r="E87" s="138" t="s">
        <v>1190</v>
      </c>
      <c r="F87" s="138">
        <v>0.11700000000000001</v>
      </c>
      <c r="P87" s="138">
        <v>0.191</v>
      </c>
      <c r="AA87" s="138">
        <v>0.45700000000000002</v>
      </c>
      <c r="AC87" s="138">
        <v>0.433</v>
      </c>
      <c r="AE87" s="138">
        <v>0.51800000000000002</v>
      </c>
      <c r="AH87" s="138">
        <v>0.246</v>
      </c>
      <c r="AI87" s="138">
        <v>0.49399999999999999</v>
      </c>
      <c r="AK87" s="138">
        <v>0.19320000000000001</v>
      </c>
      <c r="AM87" s="138">
        <v>0.21809999999999999</v>
      </c>
      <c r="AN87" s="138">
        <v>0.2616</v>
      </c>
      <c r="AO87" s="138">
        <v>0.29559999999999997</v>
      </c>
      <c r="AX87" s="138">
        <v>0.28949999999999998</v>
      </c>
      <c r="BJ87" s="138">
        <v>0.36109999999999998</v>
      </c>
      <c r="BN87" s="138">
        <f t="shared" si="2"/>
        <v>0.36109999999999998</v>
      </c>
      <c r="BO87" s="138">
        <f t="shared" si="3"/>
        <v>2016</v>
      </c>
    </row>
    <row r="88" spans="2:67" x14ac:dyDescent="0.25">
      <c r="B88" s="138" t="s">
        <v>662</v>
      </c>
      <c r="C88" s="138" t="s">
        <v>47</v>
      </c>
      <c r="D88" s="138" t="s">
        <v>1191</v>
      </c>
      <c r="E88" s="138" t="s">
        <v>1190</v>
      </c>
      <c r="F88" s="138">
        <v>0.8</v>
      </c>
      <c r="G88" s="138">
        <v>0.9</v>
      </c>
      <c r="H88" s="138">
        <v>0.9</v>
      </c>
      <c r="I88" s="138">
        <v>0.9</v>
      </c>
      <c r="J88" s="138">
        <v>0.9</v>
      </c>
      <c r="K88" s="138">
        <v>0.9</v>
      </c>
      <c r="L88" s="138">
        <v>0.9</v>
      </c>
      <c r="M88" s="138">
        <v>0.9</v>
      </c>
      <c r="N88" s="138">
        <v>0.9</v>
      </c>
      <c r="O88" s="138">
        <v>0.9</v>
      </c>
      <c r="P88" s="138">
        <v>0.9</v>
      </c>
      <c r="Q88" s="138">
        <v>1</v>
      </c>
      <c r="R88" s="138">
        <v>1</v>
      </c>
      <c r="S88" s="138">
        <v>1.1000000000000001</v>
      </c>
      <c r="T88" s="138">
        <v>1.1000000000000001</v>
      </c>
      <c r="U88" s="138">
        <v>1.1000000000000001</v>
      </c>
      <c r="V88" s="138">
        <v>1.2</v>
      </c>
      <c r="W88" s="138">
        <v>1.2</v>
      </c>
      <c r="X88" s="138">
        <v>1.2</v>
      </c>
      <c r="Y88" s="138">
        <v>1.3</v>
      </c>
      <c r="Z88" s="138">
        <v>1.3</v>
      </c>
      <c r="AA88" s="138">
        <v>1.3</v>
      </c>
      <c r="AB88" s="138">
        <v>1.3</v>
      </c>
      <c r="AC88" s="138">
        <v>1.4</v>
      </c>
      <c r="AD88" s="138">
        <v>1.4</v>
      </c>
      <c r="AE88" s="138">
        <v>1.4</v>
      </c>
      <c r="AF88" s="138">
        <v>1.4</v>
      </c>
      <c r="AG88" s="138">
        <v>1.5</v>
      </c>
      <c r="AH88" s="138">
        <v>1.5</v>
      </c>
      <c r="AI88" s="138">
        <v>1.5</v>
      </c>
      <c r="AJ88" s="138">
        <v>1.6</v>
      </c>
      <c r="AK88" s="138">
        <v>1.6</v>
      </c>
      <c r="AL88" s="138">
        <v>1.6</v>
      </c>
      <c r="AM88" s="138">
        <v>1.7</v>
      </c>
      <c r="AN88" s="138">
        <v>1.7</v>
      </c>
      <c r="AO88" s="138">
        <v>1.7</v>
      </c>
      <c r="AP88" s="138">
        <v>1.8</v>
      </c>
      <c r="AQ88" s="138">
        <v>2.2905000000000002</v>
      </c>
      <c r="AR88" s="138">
        <v>1.9</v>
      </c>
      <c r="AS88" s="138">
        <v>1.9</v>
      </c>
      <c r="AT88" s="138">
        <v>1.9</v>
      </c>
      <c r="AU88" s="138">
        <v>2</v>
      </c>
      <c r="AV88" s="138">
        <v>2.2999999999999998</v>
      </c>
      <c r="AW88" s="138">
        <v>2.2000000000000002</v>
      </c>
      <c r="BD88" s="138">
        <v>2.6724000000000001</v>
      </c>
      <c r="BE88" s="138">
        <v>2.7176</v>
      </c>
      <c r="BF88" s="138">
        <v>2.7279</v>
      </c>
      <c r="BG88" s="138">
        <v>2.7484999999999999</v>
      </c>
      <c r="BH88" s="138">
        <v>2.7768999999999999</v>
      </c>
      <c r="BI88" s="138">
        <v>2.778</v>
      </c>
      <c r="BJ88" s="138">
        <v>2.7959000000000001</v>
      </c>
      <c r="BK88" s="138">
        <v>2.8058000000000001</v>
      </c>
      <c r="BN88" s="138">
        <f t="shared" si="2"/>
        <v>2.8058000000000001</v>
      </c>
      <c r="BO88" s="138">
        <f t="shared" si="3"/>
        <v>2017</v>
      </c>
    </row>
    <row r="89" spans="2:67" x14ac:dyDescent="0.25">
      <c r="B89" s="138" t="s">
        <v>236</v>
      </c>
      <c r="C89" s="138" t="s">
        <v>48</v>
      </c>
      <c r="D89" s="138" t="s">
        <v>1191</v>
      </c>
      <c r="E89" s="138" t="s">
        <v>1190</v>
      </c>
      <c r="P89" s="138">
        <v>3.2</v>
      </c>
      <c r="Q89" s="138">
        <v>3.3</v>
      </c>
      <c r="R89" s="138">
        <v>3.32</v>
      </c>
      <c r="S89" s="138">
        <v>3.4</v>
      </c>
      <c r="T89" s="138">
        <v>3.4750000000000001</v>
      </c>
      <c r="U89" s="138">
        <v>3.63</v>
      </c>
      <c r="V89" s="138">
        <v>3.72</v>
      </c>
      <c r="W89" s="138">
        <v>3.81</v>
      </c>
      <c r="X89" s="138">
        <v>3.95</v>
      </c>
      <c r="Y89" s="138">
        <v>4</v>
      </c>
      <c r="Z89" s="138">
        <v>4.1230000000000002</v>
      </c>
      <c r="AA89" s="138">
        <v>4.2119999999999997</v>
      </c>
      <c r="AB89" s="138">
        <v>4.319</v>
      </c>
      <c r="AC89" s="138">
        <v>4.3330000000000002</v>
      </c>
      <c r="AD89" s="138">
        <v>4.4710000000000001</v>
      </c>
      <c r="AE89" s="138">
        <v>4.6109999999999998</v>
      </c>
      <c r="AF89" s="138">
        <v>4.6989999999999998</v>
      </c>
      <c r="AG89" s="138">
        <v>4.8079999999999998</v>
      </c>
      <c r="AH89" s="138">
        <v>4.8680000000000003</v>
      </c>
      <c r="AI89" s="138">
        <v>4.9710000000000001</v>
      </c>
      <c r="AJ89" s="138">
        <v>4.9260000000000002</v>
      </c>
      <c r="AK89" s="138">
        <v>4.8979999999999997</v>
      </c>
      <c r="AL89" s="138">
        <v>4.726</v>
      </c>
      <c r="AM89" s="138">
        <v>5.0030000000000001</v>
      </c>
      <c r="AN89" s="138">
        <v>4.899</v>
      </c>
      <c r="AO89" s="138">
        <v>4.7919999999999998</v>
      </c>
      <c r="AP89" s="138">
        <v>4.4569999999999999</v>
      </c>
      <c r="AQ89" s="138">
        <v>5.1920000000000002</v>
      </c>
      <c r="AR89" s="138">
        <v>5.0419999999999998</v>
      </c>
      <c r="AS89" s="138">
        <v>3.7679999999999998</v>
      </c>
      <c r="AT89" s="138">
        <v>4.7309999999999999</v>
      </c>
      <c r="AU89" s="138">
        <v>4.2949999999999999</v>
      </c>
      <c r="AV89" s="138">
        <v>3.907</v>
      </c>
      <c r="AW89" s="138">
        <v>4.0890000000000004</v>
      </c>
      <c r="AZ89" s="138">
        <v>4.6500000000000004</v>
      </c>
      <c r="BA89" s="138">
        <v>4.5380000000000003</v>
      </c>
      <c r="BB89" s="138">
        <v>4.6661000000000001</v>
      </c>
      <c r="BC89" s="138">
        <v>4.8064999999999998</v>
      </c>
      <c r="BD89" s="138">
        <v>4.3072999999999997</v>
      </c>
      <c r="BE89" s="138">
        <v>4.4028999999999998</v>
      </c>
      <c r="BF89" s="138">
        <v>4.4391999999999996</v>
      </c>
      <c r="BG89" s="138">
        <v>4.5176999999999996</v>
      </c>
      <c r="BH89" s="138">
        <v>4.8266999999999998</v>
      </c>
      <c r="BI89" s="138">
        <v>5.0975999999999999</v>
      </c>
      <c r="BN89" s="138">
        <f t="shared" si="2"/>
        <v>5.0975999999999999</v>
      </c>
      <c r="BO89" s="138">
        <f t="shared" si="3"/>
        <v>2015</v>
      </c>
    </row>
    <row r="90" spans="2:67" x14ac:dyDescent="0.25">
      <c r="B90" s="138" t="s">
        <v>196</v>
      </c>
      <c r="C90" s="138" t="s">
        <v>162</v>
      </c>
      <c r="D90" s="138" t="s">
        <v>1191</v>
      </c>
      <c r="E90" s="138" t="s">
        <v>1190</v>
      </c>
      <c r="F90" s="138">
        <v>4.7E-2</v>
      </c>
      <c r="K90" s="138">
        <v>7.2999999999999995E-2</v>
      </c>
      <c r="P90" s="138">
        <v>7.8E-2</v>
      </c>
      <c r="U90" s="138">
        <v>7.8E-2</v>
      </c>
      <c r="AD90" s="138">
        <v>6.7000000000000004E-2</v>
      </c>
      <c r="AG90" s="138">
        <v>4.9000000000000002E-2</v>
      </c>
      <c r="AI90" s="138">
        <v>4.2999999999999997E-2</v>
      </c>
      <c r="AP90" s="138">
        <v>6.2E-2</v>
      </c>
      <c r="AV90" s="138">
        <v>0.09</v>
      </c>
      <c r="AX90" s="138">
        <v>0.15440000000000001</v>
      </c>
      <c r="BA90" s="138">
        <v>7.3300000000000004E-2</v>
      </c>
      <c r="BB90" s="138">
        <v>0.111</v>
      </c>
      <c r="BC90" s="138">
        <v>8.5000000000000006E-2</v>
      </c>
      <c r="BD90" s="138">
        <v>9.4899999999999998E-2</v>
      </c>
      <c r="BG90" s="138">
        <v>0.1686</v>
      </c>
      <c r="BJ90" s="138">
        <v>0.1283</v>
      </c>
      <c r="BK90" s="138">
        <v>0.18</v>
      </c>
      <c r="BN90" s="138">
        <f t="shared" si="2"/>
        <v>0.18</v>
      </c>
      <c r="BO90" s="138">
        <f t="shared" si="3"/>
        <v>2017</v>
      </c>
    </row>
    <row r="91" spans="2:67" x14ac:dyDescent="0.25">
      <c r="B91" s="138" t="s">
        <v>507</v>
      </c>
      <c r="C91" s="138" t="s">
        <v>508</v>
      </c>
      <c r="D91" s="138" t="s">
        <v>1191</v>
      </c>
      <c r="E91" s="138" t="s">
        <v>1190</v>
      </c>
      <c r="BN91" s="138" t="str">
        <f t="shared" si="2"/>
        <v>No reported value</v>
      </c>
      <c r="BO91" s="138" t="str">
        <f t="shared" si="3"/>
        <v>No reported value</v>
      </c>
    </row>
    <row r="92" spans="2:67" x14ac:dyDescent="0.25">
      <c r="B92" s="138" t="s">
        <v>197</v>
      </c>
      <c r="C92" s="138" t="s">
        <v>49</v>
      </c>
      <c r="D92" s="138" t="s">
        <v>1191</v>
      </c>
      <c r="E92" s="138" t="s">
        <v>1190</v>
      </c>
      <c r="F92" s="138">
        <v>3.5999999999999997E-2</v>
      </c>
      <c r="K92" s="138">
        <v>2.1999999999999999E-2</v>
      </c>
      <c r="P92" s="138">
        <v>0.02</v>
      </c>
      <c r="AA92" s="138">
        <v>2.1999999999999999E-2</v>
      </c>
      <c r="AB92" s="138">
        <v>2.1999999999999999E-2</v>
      </c>
      <c r="AE92" s="138">
        <v>2.5999999999999999E-2</v>
      </c>
      <c r="AJ92" s="138">
        <v>0.13400000000000001</v>
      </c>
      <c r="AN92" s="138">
        <v>0.152</v>
      </c>
      <c r="AO92" s="138">
        <v>0.13</v>
      </c>
      <c r="AT92" s="138">
        <v>8.6699999999999999E-2</v>
      </c>
      <c r="AX92" s="138">
        <v>0.104</v>
      </c>
      <c r="AY92" s="138">
        <v>9.7100000000000006E-2</v>
      </c>
      <c r="BD92" s="138">
        <v>0.1</v>
      </c>
      <c r="BJ92" s="138">
        <v>7.8799999999999995E-2</v>
      </c>
      <c r="BN92" s="138">
        <f t="shared" si="2"/>
        <v>7.8799999999999995E-2</v>
      </c>
      <c r="BO92" s="138">
        <f t="shared" si="3"/>
        <v>2016</v>
      </c>
    </row>
    <row r="93" spans="2:67" x14ac:dyDescent="0.25">
      <c r="B93" s="138" t="s">
        <v>505</v>
      </c>
      <c r="C93" s="138" t="s">
        <v>50</v>
      </c>
      <c r="D93" s="138" t="s">
        <v>1191</v>
      </c>
      <c r="E93" s="138" t="s">
        <v>1190</v>
      </c>
      <c r="F93" s="138">
        <v>4.2999999999999997E-2</v>
      </c>
      <c r="P93" s="138">
        <v>4.1000000000000002E-2</v>
      </c>
      <c r="U93" s="138">
        <v>0.04</v>
      </c>
      <c r="AE93" s="138">
        <v>8.1000000000000003E-2</v>
      </c>
      <c r="AM93" s="138">
        <v>1.6E-2</v>
      </c>
      <c r="AQ93" s="138">
        <v>3.5000000000000003E-2</v>
      </c>
      <c r="AW93" s="138">
        <v>0.1152</v>
      </c>
      <c r="AX93" s="138">
        <v>0.1187</v>
      </c>
      <c r="AY93" s="138">
        <v>0.1149</v>
      </c>
      <c r="AZ93" s="138">
        <v>0.1174</v>
      </c>
      <c r="BA93" s="138">
        <v>0.1033</v>
      </c>
      <c r="BB93" s="138">
        <v>0.11020000000000001</v>
      </c>
      <c r="BD93" s="138">
        <v>3.7999999999999999E-2</v>
      </c>
      <c r="BI93" s="138">
        <v>0.1077</v>
      </c>
      <c r="BN93" s="138">
        <f t="shared" si="2"/>
        <v>0.1077</v>
      </c>
      <c r="BO93" s="138">
        <f t="shared" si="3"/>
        <v>2015</v>
      </c>
    </row>
    <row r="94" spans="2:67" x14ac:dyDescent="0.25">
      <c r="B94" s="138" t="s">
        <v>198</v>
      </c>
      <c r="C94" s="138" t="s">
        <v>172</v>
      </c>
      <c r="D94" s="138" t="s">
        <v>1191</v>
      </c>
      <c r="E94" s="138" t="s">
        <v>1190</v>
      </c>
      <c r="F94" s="138">
        <v>4.4999999999999998E-2</v>
      </c>
      <c r="P94" s="138">
        <v>5.1999999999999998E-2</v>
      </c>
      <c r="Z94" s="138">
        <v>0.14099999999999999</v>
      </c>
      <c r="AE94" s="138">
        <v>0.14399999999999999</v>
      </c>
      <c r="AN94" s="138">
        <v>0.17699999999999999</v>
      </c>
      <c r="AP94" s="138">
        <v>0.16600000000000001</v>
      </c>
      <c r="AX94" s="138">
        <v>0.13919999999999999</v>
      </c>
      <c r="BB94" s="138">
        <v>5.2699999999999997E-2</v>
      </c>
      <c r="BC94" s="138">
        <v>8.1699999999999995E-2</v>
      </c>
      <c r="BD94" s="138">
        <v>4.4999999999999998E-2</v>
      </c>
      <c r="BE94" s="138">
        <v>6.2600000000000003E-2</v>
      </c>
      <c r="BI94" s="138">
        <v>0.2</v>
      </c>
      <c r="BN94" s="138">
        <f t="shared" si="2"/>
        <v>0.2</v>
      </c>
      <c r="BO94" s="138">
        <f t="shared" si="3"/>
        <v>2015</v>
      </c>
    </row>
    <row r="95" spans="2:67" x14ac:dyDescent="0.25">
      <c r="B95" s="138" t="s">
        <v>191</v>
      </c>
      <c r="C95" s="138" t="s">
        <v>174</v>
      </c>
      <c r="D95" s="138" t="s">
        <v>1191</v>
      </c>
      <c r="E95" s="138" t="s">
        <v>1190</v>
      </c>
      <c r="F95" s="138">
        <v>0.16700000000000001</v>
      </c>
      <c r="P95" s="138">
        <v>8.5999999999999993E-2</v>
      </c>
      <c r="AJ95" s="138">
        <v>0.28100000000000003</v>
      </c>
      <c r="AO95" s="138">
        <v>0.20799999999999999</v>
      </c>
      <c r="AP95" s="138">
        <v>0.246</v>
      </c>
      <c r="AX95" s="138">
        <v>0.21110000000000001</v>
      </c>
      <c r="BK95" s="138">
        <v>0.4</v>
      </c>
      <c r="BN95" s="138">
        <f t="shared" si="2"/>
        <v>0.4</v>
      </c>
      <c r="BO95" s="138">
        <f t="shared" si="3"/>
        <v>2017</v>
      </c>
    </row>
    <row r="96" spans="2:67" x14ac:dyDescent="0.25">
      <c r="B96" s="138" t="s">
        <v>509</v>
      </c>
      <c r="C96" s="138" t="s">
        <v>51</v>
      </c>
      <c r="D96" s="138" t="s">
        <v>1191</v>
      </c>
      <c r="E96" s="138" t="s">
        <v>1190</v>
      </c>
      <c r="F96" s="138">
        <v>1.3</v>
      </c>
      <c r="G96" s="138">
        <v>1.2</v>
      </c>
      <c r="H96" s="138">
        <v>1.3</v>
      </c>
      <c r="I96" s="138">
        <v>1.3</v>
      </c>
      <c r="J96" s="138">
        <v>1.4</v>
      </c>
      <c r="K96" s="138">
        <v>1.4</v>
      </c>
      <c r="L96" s="138">
        <v>1.4</v>
      </c>
      <c r="M96" s="138">
        <v>1.5</v>
      </c>
      <c r="N96" s="138">
        <v>1.5</v>
      </c>
      <c r="O96" s="138">
        <v>1.6</v>
      </c>
      <c r="P96" s="138">
        <v>1.6</v>
      </c>
      <c r="Q96" s="138">
        <v>1.7</v>
      </c>
      <c r="R96" s="138">
        <v>1.7</v>
      </c>
      <c r="S96" s="138">
        <v>1.9</v>
      </c>
      <c r="T96" s="138">
        <v>2</v>
      </c>
      <c r="U96" s="138">
        <v>2</v>
      </c>
      <c r="V96" s="138">
        <v>2.1</v>
      </c>
      <c r="W96" s="138">
        <v>2.2000000000000002</v>
      </c>
      <c r="X96" s="138">
        <v>2.2999999999999998</v>
      </c>
      <c r="Y96" s="138">
        <v>2.2999999999999998</v>
      </c>
      <c r="Z96" s="138">
        <v>2.4</v>
      </c>
      <c r="AA96" s="138">
        <v>2.5</v>
      </c>
      <c r="AB96" s="138">
        <v>2.6</v>
      </c>
      <c r="AC96" s="138">
        <v>2.8</v>
      </c>
      <c r="AD96" s="138">
        <v>2.9</v>
      </c>
      <c r="AE96" s="138">
        <v>2.9</v>
      </c>
      <c r="AF96" s="138">
        <v>3.1</v>
      </c>
      <c r="AG96" s="138">
        <v>3.3</v>
      </c>
      <c r="AH96" s="138">
        <v>3.2</v>
      </c>
      <c r="AI96" s="138">
        <v>3.3</v>
      </c>
      <c r="AJ96" s="138">
        <v>3.4</v>
      </c>
      <c r="AK96" s="138">
        <v>3.6</v>
      </c>
      <c r="AL96" s="138">
        <v>3.7</v>
      </c>
      <c r="AM96" s="138">
        <v>3.8</v>
      </c>
      <c r="AN96" s="138">
        <v>3.8</v>
      </c>
      <c r="AO96" s="138">
        <v>3.9</v>
      </c>
      <c r="AP96" s="138">
        <v>3.9</v>
      </c>
      <c r="AQ96" s="138">
        <v>4</v>
      </c>
      <c r="AR96" s="138">
        <v>4.0999999999999996</v>
      </c>
      <c r="AS96" s="138">
        <v>4.2</v>
      </c>
      <c r="AT96" s="138">
        <v>4.3</v>
      </c>
      <c r="AU96" s="138">
        <v>4.38</v>
      </c>
      <c r="AY96" s="138">
        <v>5</v>
      </c>
      <c r="AZ96" s="138">
        <v>5.35</v>
      </c>
      <c r="BB96" s="138">
        <v>6.0430000000000001</v>
      </c>
      <c r="BD96" s="138">
        <v>6.0514999999999999</v>
      </c>
      <c r="BE96" s="138">
        <v>6.0785999999999998</v>
      </c>
      <c r="BF96" s="138">
        <v>6.0831</v>
      </c>
      <c r="BG96" s="138">
        <v>6.0846</v>
      </c>
      <c r="BH96" s="138">
        <v>6.1082000000000001</v>
      </c>
      <c r="BJ96" s="138">
        <v>4.5919999999999996</v>
      </c>
      <c r="BN96" s="138">
        <f t="shared" si="2"/>
        <v>4.5919999999999996</v>
      </c>
      <c r="BO96" s="138">
        <f t="shared" si="3"/>
        <v>2016</v>
      </c>
    </row>
    <row r="97" spans="2:67" x14ac:dyDescent="0.25">
      <c r="B97" s="138" t="s">
        <v>512</v>
      </c>
      <c r="C97" s="138" t="s">
        <v>52</v>
      </c>
      <c r="D97" s="138" t="s">
        <v>1191</v>
      </c>
      <c r="E97" s="138" t="s">
        <v>1190</v>
      </c>
      <c r="F97" s="138">
        <v>0.222</v>
      </c>
      <c r="P97" s="138">
        <v>0.34599999999999997</v>
      </c>
      <c r="AD97" s="138">
        <v>0.49</v>
      </c>
      <c r="AH97" s="138">
        <v>0.55300000000000005</v>
      </c>
      <c r="AJ97" s="138">
        <v>0.5</v>
      </c>
      <c r="AM97" s="138">
        <v>0.57799999999999996</v>
      </c>
      <c r="AO97" s="138">
        <v>0.65</v>
      </c>
      <c r="AQ97" s="138">
        <v>0.40550000000000003</v>
      </c>
      <c r="AS97" s="138">
        <v>0.58189999999999997</v>
      </c>
      <c r="AT97" s="138">
        <v>0.57089999999999996</v>
      </c>
      <c r="AU97" s="138">
        <v>0.56969999999999998</v>
      </c>
      <c r="AV97" s="138">
        <v>0.56810000000000005</v>
      </c>
      <c r="AW97" s="138">
        <v>0.56640000000000001</v>
      </c>
      <c r="AZ97" s="138">
        <v>0.66800000000000004</v>
      </c>
      <c r="BK97" s="138">
        <v>1.4471000000000001</v>
      </c>
      <c r="BN97" s="138">
        <f t="shared" si="2"/>
        <v>1.4471000000000001</v>
      </c>
      <c r="BO97" s="138">
        <f t="shared" si="3"/>
        <v>2017</v>
      </c>
    </row>
    <row r="98" spans="2:67" x14ac:dyDescent="0.25">
      <c r="B98" s="138" t="s">
        <v>510</v>
      </c>
      <c r="C98" s="138" t="s">
        <v>511</v>
      </c>
      <c r="D98" s="138" t="s">
        <v>1191</v>
      </c>
      <c r="E98" s="138" t="s">
        <v>1190</v>
      </c>
      <c r="F98" s="138">
        <v>1.169</v>
      </c>
      <c r="P98" s="138">
        <v>0.90500000000000003</v>
      </c>
      <c r="Z98" s="138">
        <v>1.135</v>
      </c>
      <c r="BN98" s="138">
        <f t="shared" si="2"/>
        <v>1.135</v>
      </c>
      <c r="BO98" s="138">
        <f t="shared" si="3"/>
        <v>1980</v>
      </c>
    </row>
    <row r="99" spans="2:67" x14ac:dyDescent="0.25">
      <c r="B99" s="138" t="s">
        <v>223</v>
      </c>
      <c r="C99" s="138" t="s">
        <v>53</v>
      </c>
      <c r="D99" s="138" t="s">
        <v>1191</v>
      </c>
      <c r="E99" s="138" t="s">
        <v>1190</v>
      </c>
      <c r="F99" s="138">
        <v>0.184</v>
      </c>
      <c r="K99" s="138">
        <v>0.27100000000000002</v>
      </c>
      <c r="P99" s="138">
        <v>0.27400000000000002</v>
      </c>
      <c r="AD99" s="138">
        <v>0.47</v>
      </c>
      <c r="AH99" s="138">
        <v>0.26</v>
      </c>
      <c r="AJ99" s="138">
        <v>0.78</v>
      </c>
      <c r="AM99" s="138">
        <v>0.25</v>
      </c>
      <c r="AO99" s="138">
        <v>1.1000000000000001</v>
      </c>
      <c r="AQ99" s="138">
        <v>0.93300000000000005</v>
      </c>
      <c r="AS99" s="138">
        <v>0.87509999999999999</v>
      </c>
      <c r="BC99" s="138">
        <v>0.90390000000000004</v>
      </c>
      <c r="BL99" s="138">
        <v>0.35499999999999998</v>
      </c>
      <c r="BN99" s="138">
        <f t="shared" si="2"/>
        <v>0.35499999999999998</v>
      </c>
      <c r="BO99" s="138">
        <f t="shared" si="3"/>
        <v>2018</v>
      </c>
    </row>
    <row r="100" spans="2:67" x14ac:dyDescent="0.25">
      <c r="B100" s="138" t="s">
        <v>513</v>
      </c>
      <c r="C100" s="138" t="s">
        <v>514</v>
      </c>
      <c r="D100" s="138" t="s">
        <v>1191</v>
      </c>
      <c r="E100" s="138" t="s">
        <v>1190</v>
      </c>
      <c r="AF100" s="138">
        <v>1.1870000000000001</v>
      </c>
      <c r="AS100" s="138">
        <v>1.0840000000000001</v>
      </c>
      <c r="BN100" s="138">
        <f t="shared" si="2"/>
        <v>1.0840000000000001</v>
      </c>
      <c r="BO100" s="138">
        <f t="shared" si="3"/>
        <v>1999</v>
      </c>
    </row>
    <row r="101" spans="2:67" x14ac:dyDescent="0.25">
      <c r="B101" s="138" t="s">
        <v>224</v>
      </c>
      <c r="C101" s="138" t="s">
        <v>54</v>
      </c>
      <c r="D101" s="138" t="s">
        <v>1191</v>
      </c>
      <c r="E101" s="138" t="s">
        <v>1190</v>
      </c>
      <c r="F101" s="138">
        <v>0.255</v>
      </c>
      <c r="P101" s="138">
        <v>0.23499999999999999</v>
      </c>
      <c r="U101" s="138">
        <v>0.249</v>
      </c>
      <c r="AD101" s="138">
        <v>0.16500000000000001</v>
      </c>
      <c r="AE101" s="138">
        <v>0.16800000000000001</v>
      </c>
      <c r="AJ101" s="138">
        <v>0.17</v>
      </c>
      <c r="AM101" s="138">
        <v>0.112</v>
      </c>
      <c r="AO101" s="138">
        <v>0.33</v>
      </c>
      <c r="AQ101" s="138">
        <v>0.18099999999999999</v>
      </c>
      <c r="AT101" s="138">
        <v>0.4859</v>
      </c>
      <c r="BC101" s="138">
        <v>0.21590000000000001</v>
      </c>
      <c r="BD101" s="138">
        <v>0.68979999999999997</v>
      </c>
      <c r="BL101" s="138">
        <v>0.79900000000000004</v>
      </c>
      <c r="BN101" s="138">
        <f t="shared" si="2"/>
        <v>0.79900000000000004</v>
      </c>
      <c r="BO101" s="138">
        <f t="shared" si="3"/>
        <v>2018</v>
      </c>
    </row>
    <row r="102" spans="2:67" x14ac:dyDescent="0.25">
      <c r="B102" s="138" t="s">
        <v>517</v>
      </c>
      <c r="C102" s="138" t="s">
        <v>518</v>
      </c>
      <c r="D102" s="138" t="s">
        <v>1191</v>
      </c>
      <c r="E102" s="138" t="s">
        <v>1190</v>
      </c>
      <c r="AJ102" s="138">
        <v>2.1117815575588645</v>
      </c>
      <c r="AT102" s="138">
        <v>2.6252843015597116</v>
      </c>
      <c r="BI102" s="138">
        <v>3.0035446137299346</v>
      </c>
      <c r="BN102" s="138">
        <f t="shared" si="2"/>
        <v>3.0035446137299346</v>
      </c>
      <c r="BO102" s="138">
        <f t="shared" si="3"/>
        <v>2015</v>
      </c>
    </row>
    <row r="103" spans="2:67" x14ac:dyDescent="0.25">
      <c r="B103" s="138" t="s">
        <v>519</v>
      </c>
      <c r="C103" s="138" t="s">
        <v>520</v>
      </c>
      <c r="D103" s="138" t="s">
        <v>1191</v>
      </c>
      <c r="E103" s="138" t="s">
        <v>1190</v>
      </c>
      <c r="F103" s="138">
        <v>0.32700000000000001</v>
      </c>
      <c r="K103" s="138">
        <v>0.39600000000000002</v>
      </c>
      <c r="P103" s="138">
        <v>0.66300000000000003</v>
      </c>
      <c r="U103" s="138">
        <v>0.67200000000000004</v>
      </c>
      <c r="Z103" s="138">
        <v>0.82599999999999996</v>
      </c>
      <c r="AF103" s="138">
        <v>0.93200000000000005</v>
      </c>
      <c r="AM103" s="138">
        <v>1.204</v>
      </c>
      <c r="AN103" s="138">
        <v>1.2709999999999999</v>
      </c>
      <c r="AO103" s="138">
        <v>1.319</v>
      </c>
      <c r="BN103" s="138">
        <f t="shared" si="2"/>
        <v>1.319</v>
      </c>
      <c r="BO103" s="138">
        <f t="shared" si="3"/>
        <v>1995</v>
      </c>
    </row>
    <row r="104" spans="2:67" x14ac:dyDescent="0.25">
      <c r="B104" s="138" t="s">
        <v>226</v>
      </c>
      <c r="C104" s="138" t="s">
        <v>166</v>
      </c>
      <c r="D104" s="138" t="s">
        <v>1191</v>
      </c>
      <c r="E104" s="138" t="s">
        <v>1190</v>
      </c>
      <c r="F104" s="138">
        <v>8.1000000000000003E-2</v>
      </c>
      <c r="K104" s="138">
        <v>0.19</v>
      </c>
      <c r="P104" s="138">
        <v>0.26900000000000002</v>
      </c>
      <c r="U104" s="138">
        <v>0.26900000000000002</v>
      </c>
      <c r="Y104" s="138">
        <v>0.33100000000000002</v>
      </c>
      <c r="AA104" s="138">
        <v>0.33200000000000002</v>
      </c>
      <c r="AD104" s="138">
        <v>0.69099999999999995</v>
      </c>
      <c r="AH104" s="138">
        <v>0.82899999999999996</v>
      </c>
      <c r="AJ104" s="138">
        <v>0.7</v>
      </c>
      <c r="AK104" s="138">
        <v>0.41099999999999998</v>
      </c>
      <c r="AO104" s="138">
        <v>0.65</v>
      </c>
      <c r="AQ104" s="138">
        <v>0.83199999999999996</v>
      </c>
      <c r="AT104" s="138">
        <v>0.56340000000000001</v>
      </c>
      <c r="AY104" s="138">
        <v>0.36349999999999999</v>
      </c>
      <c r="BG104" s="138">
        <v>0.99990000000000001</v>
      </c>
      <c r="BJ104" s="138">
        <v>0.60860000000000003</v>
      </c>
      <c r="BK104" s="138">
        <v>0.31440000000000001</v>
      </c>
      <c r="BN104" s="138">
        <f t="shared" si="2"/>
        <v>0.31440000000000001</v>
      </c>
      <c r="BO104" s="138">
        <f t="shared" si="3"/>
        <v>2017</v>
      </c>
    </row>
    <row r="105" spans="2:67" x14ac:dyDescent="0.25">
      <c r="B105" s="138" t="s">
        <v>515</v>
      </c>
      <c r="C105" s="138" t="s">
        <v>516</v>
      </c>
      <c r="D105" s="138" t="s">
        <v>1191</v>
      </c>
      <c r="E105" s="138" t="s">
        <v>1190</v>
      </c>
      <c r="AJ105" s="138">
        <v>8.7580108337591153E-2</v>
      </c>
      <c r="AT105" s="138">
        <v>0.11372587568850917</v>
      </c>
      <c r="BI105" s="138">
        <v>0.15767389400786444</v>
      </c>
      <c r="BN105" s="138">
        <f t="shared" si="2"/>
        <v>0.15767389400786444</v>
      </c>
      <c r="BO105" s="138">
        <f t="shared" si="3"/>
        <v>2015</v>
      </c>
    </row>
    <row r="106" spans="2:67" x14ac:dyDescent="0.25">
      <c r="B106" s="138" t="s">
        <v>465</v>
      </c>
      <c r="C106" s="138" t="s">
        <v>55</v>
      </c>
      <c r="D106" s="138" t="s">
        <v>1191</v>
      </c>
      <c r="E106" s="138" t="s">
        <v>1190</v>
      </c>
      <c r="Z106" s="138">
        <v>1.673</v>
      </c>
      <c r="AA106" s="138">
        <v>1.738</v>
      </c>
      <c r="AB106" s="138">
        <v>1.8080000000000001</v>
      </c>
      <c r="AC106" s="138">
        <v>1.8580000000000001</v>
      </c>
      <c r="AD106" s="138">
        <v>1.88</v>
      </c>
      <c r="AE106" s="138">
        <v>1.944</v>
      </c>
      <c r="AJ106" s="138">
        <v>2.1255000000000002</v>
      </c>
      <c r="AK106" s="138">
        <v>1.9543999999999999</v>
      </c>
      <c r="AL106" s="138">
        <v>1.9958</v>
      </c>
      <c r="AM106" s="138">
        <v>1.9755</v>
      </c>
      <c r="AN106" s="138">
        <v>1.9619</v>
      </c>
      <c r="AO106" s="138">
        <v>1.9689000000000001</v>
      </c>
      <c r="AP106" s="138">
        <v>2.0596999999999999</v>
      </c>
      <c r="AQ106" s="138">
        <v>2.0552000000000001</v>
      </c>
      <c r="AR106" s="138">
        <v>1.9146000000000001</v>
      </c>
      <c r="AS106" s="138">
        <v>1.8055000000000001</v>
      </c>
      <c r="AT106" s="138">
        <v>2.383</v>
      </c>
      <c r="AU106" s="138">
        <v>2.3740000000000001</v>
      </c>
      <c r="AV106" s="138">
        <v>2.4</v>
      </c>
      <c r="AW106" s="138">
        <v>2.444</v>
      </c>
      <c r="AX106" s="138">
        <v>2.4</v>
      </c>
      <c r="AY106" s="138">
        <v>2.5</v>
      </c>
      <c r="AZ106" s="138">
        <v>2.4700000000000002</v>
      </c>
      <c r="BA106" s="138">
        <v>2.59</v>
      </c>
      <c r="BB106" s="138">
        <v>2.661</v>
      </c>
      <c r="BD106" s="138">
        <v>2.8428</v>
      </c>
      <c r="BE106" s="138">
        <v>2.8956</v>
      </c>
      <c r="BF106" s="138">
        <v>2.9727000000000001</v>
      </c>
      <c r="BG106" s="138">
        <v>3.0169999999999999</v>
      </c>
      <c r="BH106" s="138">
        <v>3.1244000000000001</v>
      </c>
      <c r="BJ106" s="138">
        <v>2.9962</v>
      </c>
      <c r="BN106" s="138">
        <f t="shared" si="2"/>
        <v>2.9962</v>
      </c>
      <c r="BO106" s="138">
        <f t="shared" si="3"/>
        <v>2016</v>
      </c>
    </row>
    <row r="107" spans="2:67" x14ac:dyDescent="0.25">
      <c r="B107" s="138" t="s">
        <v>225</v>
      </c>
      <c r="C107" s="138" t="s">
        <v>56</v>
      </c>
      <c r="D107" s="138" t="s">
        <v>1191</v>
      </c>
      <c r="E107" s="138" t="s">
        <v>1190</v>
      </c>
      <c r="F107" s="138">
        <v>0.105</v>
      </c>
      <c r="K107" s="138">
        <v>7.0000000000000007E-2</v>
      </c>
      <c r="P107" s="138">
        <v>0.08</v>
      </c>
      <c r="U107" s="138">
        <v>8.1000000000000003E-2</v>
      </c>
      <c r="AA107" s="138">
        <v>0.11</v>
      </c>
      <c r="AD107" s="138">
        <v>0.14099999999999999</v>
      </c>
      <c r="AE107" s="138">
        <v>0.13700000000000001</v>
      </c>
      <c r="AH107" s="138">
        <v>0.14299999999999999</v>
      </c>
      <c r="AJ107" s="138">
        <v>0.08</v>
      </c>
      <c r="AL107" s="138">
        <v>8.4000000000000005E-2</v>
      </c>
      <c r="AM107" s="138">
        <v>9.1999999999999998E-2</v>
      </c>
      <c r="AO107" s="138">
        <v>0.16</v>
      </c>
      <c r="AR107" s="138">
        <v>0.23599999999999999</v>
      </c>
      <c r="BE107" s="138">
        <v>0.13719999999999999</v>
      </c>
      <c r="BL107" s="138">
        <v>0.23449999999999999</v>
      </c>
      <c r="BN107" s="138">
        <f t="shared" si="2"/>
        <v>0.23449999999999999</v>
      </c>
      <c r="BO107" s="138">
        <f t="shared" si="3"/>
        <v>2018</v>
      </c>
    </row>
    <row r="108" spans="2:67" x14ac:dyDescent="0.25">
      <c r="B108" s="138" t="s">
        <v>521</v>
      </c>
      <c r="C108" s="138" t="s">
        <v>57</v>
      </c>
      <c r="D108" s="138" t="s">
        <v>1191</v>
      </c>
      <c r="E108" s="138" t="s">
        <v>1190</v>
      </c>
      <c r="F108" s="138">
        <v>1.5</v>
      </c>
      <c r="G108" s="138">
        <v>1.6</v>
      </c>
      <c r="H108" s="138">
        <v>1.7</v>
      </c>
      <c r="I108" s="138">
        <v>1.7</v>
      </c>
      <c r="J108" s="138">
        <v>1.8</v>
      </c>
      <c r="K108" s="138">
        <v>1.9</v>
      </c>
      <c r="L108" s="138">
        <v>1.9</v>
      </c>
      <c r="M108" s="138">
        <v>2</v>
      </c>
      <c r="N108" s="138">
        <v>1.9</v>
      </c>
      <c r="O108" s="138">
        <v>2</v>
      </c>
      <c r="P108" s="138">
        <v>2</v>
      </c>
      <c r="Q108" s="138">
        <v>2.1</v>
      </c>
      <c r="R108" s="138">
        <v>2.1</v>
      </c>
      <c r="S108" s="138">
        <v>2.2000000000000002</v>
      </c>
      <c r="T108" s="138">
        <v>2.2000000000000002</v>
      </c>
      <c r="U108" s="138">
        <v>2.2000000000000002</v>
      </c>
      <c r="V108" s="138">
        <v>2.2999999999999998</v>
      </c>
      <c r="W108" s="138">
        <v>2.2999999999999998</v>
      </c>
      <c r="X108" s="138">
        <v>2.4</v>
      </c>
      <c r="Y108" s="138">
        <v>2.5</v>
      </c>
      <c r="Z108" s="138">
        <v>2.2999999999999998</v>
      </c>
      <c r="AA108" s="138">
        <v>2.2999999999999998</v>
      </c>
      <c r="AB108" s="138">
        <v>2.4</v>
      </c>
      <c r="AC108" s="138">
        <v>2.4</v>
      </c>
      <c r="AD108" s="138">
        <v>2.5</v>
      </c>
      <c r="AE108" s="138">
        <v>2.5</v>
      </c>
      <c r="AF108" s="138">
        <v>2.6</v>
      </c>
      <c r="AG108" s="138">
        <v>2.7</v>
      </c>
      <c r="AH108" s="138">
        <v>2.7</v>
      </c>
      <c r="AI108" s="138">
        <v>2.7</v>
      </c>
      <c r="AJ108" s="138">
        <v>3.1686999999999999</v>
      </c>
      <c r="AK108" s="138">
        <v>3.2671000000000001</v>
      </c>
      <c r="AL108" s="138">
        <v>3.3348</v>
      </c>
      <c r="AM108" s="138">
        <v>3.2909999999999999</v>
      </c>
      <c r="AN108" s="138">
        <v>3.3424999999999998</v>
      </c>
      <c r="AO108" s="138">
        <v>3.3462999999999998</v>
      </c>
      <c r="AP108" s="138">
        <v>3.3896999999999999</v>
      </c>
      <c r="AQ108" s="138">
        <v>3.4413999999999998</v>
      </c>
      <c r="AR108" s="138">
        <v>3.5158</v>
      </c>
      <c r="AS108" s="138">
        <v>3.5499000000000001</v>
      </c>
      <c r="AV108" s="138">
        <v>3.6678999999999999</v>
      </c>
      <c r="AW108" s="138">
        <v>3.7706</v>
      </c>
      <c r="AX108" s="138">
        <v>3.8435000000000001</v>
      </c>
      <c r="AY108" s="138">
        <v>3.2284000000000002</v>
      </c>
      <c r="AZ108" s="138">
        <v>3.5076000000000001</v>
      </c>
      <c r="BA108" s="138">
        <v>3.2124999999999999</v>
      </c>
      <c r="BB108" s="138">
        <v>3.6120000000000001</v>
      </c>
      <c r="BC108" s="138">
        <v>3.5341</v>
      </c>
      <c r="BD108" s="138">
        <v>2.8894000000000002</v>
      </c>
      <c r="BE108" s="138">
        <v>2.9803000000000002</v>
      </c>
      <c r="BF108" s="138">
        <v>3.1046</v>
      </c>
      <c r="BG108" s="138">
        <v>3.2259000000000002</v>
      </c>
      <c r="BH108" s="138">
        <v>3.3414999999999999</v>
      </c>
      <c r="BI108" s="138">
        <v>3.1158999999999999</v>
      </c>
      <c r="BJ108" s="138">
        <v>3.2311999999999999</v>
      </c>
      <c r="BN108" s="138">
        <f t="shared" si="2"/>
        <v>3.2311999999999999</v>
      </c>
      <c r="BO108" s="138">
        <f t="shared" si="3"/>
        <v>2016</v>
      </c>
    </row>
    <row r="109" spans="2:67" x14ac:dyDescent="0.25">
      <c r="B109" s="138" t="s">
        <v>909</v>
      </c>
      <c r="C109" s="138" t="s">
        <v>910</v>
      </c>
      <c r="D109" s="138" t="s">
        <v>1191</v>
      </c>
      <c r="E109" s="138" t="s">
        <v>1190</v>
      </c>
      <c r="AJ109" s="138">
        <v>1.236218381572145</v>
      </c>
      <c r="AT109" s="138">
        <v>1.1762766229538242</v>
      </c>
      <c r="BI109" s="138">
        <v>1.4561130577046284</v>
      </c>
      <c r="BN109" s="138">
        <f t="shared" si="2"/>
        <v>1.4561130577046284</v>
      </c>
      <c r="BO109" s="138">
        <f t="shared" si="3"/>
        <v>2015</v>
      </c>
    </row>
    <row r="110" spans="2:67" x14ac:dyDescent="0.25">
      <c r="B110" s="138" t="s">
        <v>911</v>
      </c>
      <c r="C110" s="138" t="s">
        <v>912</v>
      </c>
      <c r="D110" s="138" t="s">
        <v>1191</v>
      </c>
      <c r="E110" s="138" t="s">
        <v>1190</v>
      </c>
      <c r="AJ110" s="138">
        <v>1.0697709710863452</v>
      </c>
      <c r="AT110" s="138">
        <v>1.0228361531917838</v>
      </c>
      <c r="BI110" s="138">
        <v>1.2057369708980019</v>
      </c>
      <c r="BN110" s="138">
        <f t="shared" si="2"/>
        <v>1.2057369708980019</v>
      </c>
      <c r="BO110" s="138">
        <f t="shared" si="3"/>
        <v>2015</v>
      </c>
    </row>
    <row r="111" spans="2:67" x14ac:dyDescent="0.25">
      <c r="B111" s="138" t="s">
        <v>913</v>
      </c>
      <c r="C111" s="138" t="s">
        <v>914</v>
      </c>
      <c r="D111" s="138" t="s">
        <v>1191</v>
      </c>
      <c r="E111" s="138" t="s">
        <v>1190</v>
      </c>
      <c r="AJ111" s="138">
        <v>0.31975884020674478</v>
      </c>
      <c r="AT111" s="138">
        <v>0.3808657432766584</v>
      </c>
      <c r="BI111" s="138">
        <v>0.44472649538513387</v>
      </c>
      <c r="BN111" s="138">
        <f t="shared" si="2"/>
        <v>0.44472649538513387</v>
      </c>
      <c r="BO111" s="138">
        <f t="shared" si="3"/>
        <v>2015</v>
      </c>
    </row>
    <row r="112" spans="2:67" x14ac:dyDescent="0.25">
      <c r="B112" s="138" t="s">
        <v>915</v>
      </c>
      <c r="C112" s="138" t="s">
        <v>916</v>
      </c>
      <c r="D112" s="138" t="s">
        <v>1191</v>
      </c>
      <c r="E112" s="138" t="s">
        <v>1190</v>
      </c>
      <c r="AJ112" s="138">
        <v>0.56782544831315251</v>
      </c>
      <c r="AT112" s="138">
        <v>0.64606356522193331</v>
      </c>
      <c r="BI112" s="138">
        <v>0.7199389124387725</v>
      </c>
      <c r="BN112" s="138">
        <f t="shared" si="2"/>
        <v>0.7199389124387725</v>
      </c>
      <c r="BO112" s="138">
        <f t="shared" si="3"/>
        <v>2015</v>
      </c>
    </row>
    <row r="113" spans="2:67" x14ac:dyDescent="0.25">
      <c r="B113" s="138" t="s">
        <v>242</v>
      </c>
      <c r="C113" s="138" t="s">
        <v>58</v>
      </c>
      <c r="D113" s="138" t="s">
        <v>1191</v>
      </c>
      <c r="E113" s="138" t="s">
        <v>1190</v>
      </c>
      <c r="F113" s="138">
        <v>2.1000000000000001E-2</v>
      </c>
      <c r="K113" s="138">
        <v>3.2000000000000001E-2</v>
      </c>
      <c r="P113" s="138">
        <v>3.6999999999999998E-2</v>
      </c>
      <c r="U113" s="138">
        <v>3.6999999999999998E-2</v>
      </c>
      <c r="Y113" s="138">
        <v>8.5000000000000006E-2</v>
      </c>
      <c r="AA113" s="138">
        <v>0.08</v>
      </c>
      <c r="AC113" s="138">
        <v>0.106</v>
      </c>
      <c r="AI113" s="138">
        <v>0.14199999999999999</v>
      </c>
      <c r="AJ113" s="138">
        <v>0.14399999999999999</v>
      </c>
      <c r="AK113" s="138">
        <v>0.14799999999999999</v>
      </c>
      <c r="AM113" s="138">
        <v>5.8000000000000003E-2</v>
      </c>
      <c r="AN113" s="138">
        <v>0.16</v>
      </c>
      <c r="AT113" s="138">
        <v>0.16200000000000001</v>
      </c>
      <c r="AW113" s="138">
        <v>0.1338</v>
      </c>
      <c r="AZ113" s="138">
        <v>0.13</v>
      </c>
      <c r="BA113" s="138">
        <v>0.28799999999999998</v>
      </c>
      <c r="BC113" s="138">
        <v>0.14430000000000001</v>
      </c>
      <c r="BD113" s="138">
        <v>0.1391</v>
      </c>
      <c r="BF113" s="138">
        <v>0.3075</v>
      </c>
      <c r="BG113" s="138">
        <v>0.31180000000000002</v>
      </c>
      <c r="BI113" s="138">
        <v>0.27400000000000002</v>
      </c>
      <c r="BK113" s="138">
        <v>0.37769999999999998</v>
      </c>
      <c r="BN113" s="138">
        <f t="shared" si="2"/>
        <v>0.37769999999999998</v>
      </c>
      <c r="BO113" s="138">
        <f t="shared" si="3"/>
        <v>2017</v>
      </c>
    </row>
    <row r="114" spans="2:67" x14ac:dyDescent="0.25">
      <c r="B114" s="138" t="s">
        <v>917</v>
      </c>
      <c r="C114" s="138" t="s">
        <v>918</v>
      </c>
      <c r="D114" s="138" t="s">
        <v>1191</v>
      </c>
      <c r="E114" s="138" t="s">
        <v>1190</v>
      </c>
      <c r="AJ114" s="138">
        <v>0.17444376399589753</v>
      </c>
      <c r="AT114" s="138">
        <v>0.22184405454061945</v>
      </c>
      <c r="BI114" s="138">
        <v>0.30155749417718902</v>
      </c>
      <c r="BN114" s="138">
        <f t="shared" si="2"/>
        <v>0.30155749417718902</v>
      </c>
      <c r="BO114" s="138">
        <f t="shared" si="3"/>
        <v>2015</v>
      </c>
    </row>
    <row r="115" spans="2:67" x14ac:dyDescent="0.25">
      <c r="B115" s="138" t="s">
        <v>527</v>
      </c>
      <c r="C115" s="138" t="s">
        <v>528</v>
      </c>
      <c r="D115" s="138" t="s">
        <v>1191</v>
      </c>
      <c r="E115" s="138" t="s">
        <v>1190</v>
      </c>
      <c r="F115" s="138">
        <v>0.248</v>
      </c>
      <c r="K115" s="138">
        <v>0.26</v>
      </c>
      <c r="P115" s="138">
        <v>0.308</v>
      </c>
      <c r="AA115" s="138">
        <v>0.68400000000000005</v>
      </c>
      <c r="AF115" s="138">
        <v>0.78700000000000003</v>
      </c>
      <c r="AJ115" s="138">
        <v>0.57699999999999996</v>
      </c>
      <c r="BD115" s="138">
        <v>1.4490000000000001</v>
      </c>
      <c r="BN115" s="138">
        <f t="shared" si="2"/>
        <v>1.4490000000000001</v>
      </c>
      <c r="BO115" s="138">
        <f t="shared" si="3"/>
        <v>2010</v>
      </c>
    </row>
    <row r="116" spans="2:67" x14ac:dyDescent="0.25">
      <c r="B116" s="138" t="s">
        <v>523</v>
      </c>
      <c r="C116" s="138" t="s">
        <v>59</v>
      </c>
      <c r="D116" s="138" t="s">
        <v>1191</v>
      </c>
      <c r="E116" s="138" t="s">
        <v>1190</v>
      </c>
      <c r="F116" s="138">
        <v>0.21</v>
      </c>
      <c r="K116" s="138">
        <v>0.20499999999999999</v>
      </c>
      <c r="P116" s="138">
        <v>0.20499999999999999</v>
      </c>
      <c r="U116" s="138">
        <v>0.20399999999999999</v>
      </c>
      <c r="Z116" s="138">
        <v>0.371</v>
      </c>
      <c r="AA116" s="138">
        <v>0.27</v>
      </c>
      <c r="AD116" s="138">
        <v>0.39600000000000002</v>
      </c>
      <c r="AH116" s="138">
        <v>0.40699999999999997</v>
      </c>
      <c r="AK116" s="138">
        <v>1.2252000000000001</v>
      </c>
      <c r="AL116" s="138">
        <v>0.48</v>
      </c>
      <c r="AM116" s="138">
        <v>0.40699999999999997</v>
      </c>
      <c r="AR116" s="138">
        <v>0.51300000000000001</v>
      </c>
      <c r="AT116" s="138">
        <v>0.52759999999999996</v>
      </c>
      <c r="AU116" s="138">
        <v>0.53859999999999997</v>
      </c>
      <c r="AV116" s="138">
        <v>0.55700000000000005</v>
      </c>
      <c r="AW116" s="138">
        <v>0.56440000000000001</v>
      </c>
      <c r="AX116" s="138">
        <v>0.57350000000000001</v>
      </c>
      <c r="AY116" s="138">
        <v>0.5776</v>
      </c>
      <c r="AZ116" s="138">
        <v>0.58689999999999998</v>
      </c>
      <c r="BA116" s="138">
        <v>0.60019999999999996</v>
      </c>
      <c r="BB116" s="138">
        <v>0.61539999999999995</v>
      </c>
      <c r="BC116" s="138">
        <v>0.62370000000000003</v>
      </c>
      <c r="BD116" s="138">
        <v>0.66339999999999999</v>
      </c>
      <c r="BE116" s="138">
        <v>0.73939999999999995</v>
      </c>
      <c r="BF116" s="138">
        <v>0.69969999999999999</v>
      </c>
      <c r="BG116" s="138">
        <v>0.71819999999999995</v>
      </c>
      <c r="BH116" s="138">
        <v>0.72560000000000002</v>
      </c>
      <c r="BJ116" s="138">
        <v>0.75919999999999999</v>
      </c>
      <c r="BK116" s="138">
        <v>0.77759999999999996</v>
      </c>
      <c r="BN116" s="138">
        <f t="shared" si="2"/>
        <v>0.77759999999999996</v>
      </c>
      <c r="BO116" s="138">
        <f t="shared" si="3"/>
        <v>2017</v>
      </c>
    </row>
    <row r="117" spans="2:67" x14ac:dyDescent="0.25">
      <c r="B117" s="138" t="s">
        <v>595</v>
      </c>
      <c r="C117" s="138" t="s">
        <v>596</v>
      </c>
      <c r="D117" s="138" t="s">
        <v>1191</v>
      </c>
      <c r="E117" s="138" t="s">
        <v>1190</v>
      </c>
      <c r="BN117" s="138" t="str">
        <f t="shared" si="2"/>
        <v>No reported value</v>
      </c>
      <c r="BO117" s="138" t="str">
        <f t="shared" si="3"/>
        <v>No reported value</v>
      </c>
    </row>
    <row r="118" spans="2:67" x14ac:dyDescent="0.25">
      <c r="B118" s="138" t="s">
        <v>526</v>
      </c>
      <c r="C118" s="138" t="s">
        <v>60</v>
      </c>
      <c r="D118" s="138" t="s">
        <v>1191</v>
      </c>
      <c r="E118" s="138" t="s">
        <v>1190</v>
      </c>
      <c r="AL118" s="138">
        <v>2</v>
      </c>
      <c r="AM118" s="138">
        <v>2</v>
      </c>
      <c r="AN118" s="138">
        <v>2</v>
      </c>
      <c r="AO118" s="138">
        <v>2.1</v>
      </c>
      <c r="AP118" s="138">
        <v>2.1</v>
      </c>
      <c r="AQ118" s="138">
        <v>2.1</v>
      </c>
      <c r="AR118" s="138">
        <v>2.2000000000000002</v>
      </c>
      <c r="AS118" s="138">
        <v>2.2999999999999998</v>
      </c>
      <c r="AT118" s="138">
        <v>2.2000000000000002</v>
      </c>
      <c r="AU118" s="138">
        <v>2.4</v>
      </c>
      <c r="AV118" s="138">
        <v>2.4</v>
      </c>
      <c r="AW118" s="138">
        <v>2.6</v>
      </c>
      <c r="AX118" s="138">
        <v>2.786</v>
      </c>
      <c r="AZ118" s="138">
        <v>2.347</v>
      </c>
      <c r="BA118" s="138">
        <v>3.08</v>
      </c>
      <c r="BB118" s="138">
        <v>3.1869999999999998</v>
      </c>
      <c r="BE118" s="138">
        <v>2.6198000000000001</v>
      </c>
      <c r="BF118" s="138">
        <v>2.6613000000000002</v>
      </c>
      <c r="BG118" s="138">
        <v>2.6414</v>
      </c>
      <c r="BH118" s="138">
        <v>2.7702</v>
      </c>
      <c r="BI118" s="138">
        <v>2.7818999999999998</v>
      </c>
      <c r="BJ118" s="138">
        <v>2.9535999999999998</v>
      </c>
      <c r="BK118" s="138">
        <v>3.0861000000000001</v>
      </c>
      <c r="BN118" s="138">
        <f t="shared" si="2"/>
        <v>3.0861000000000001</v>
      </c>
      <c r="BO118" s="138">
        <f t="shared" si="3"/>
        <v>2017</v>
      </c>
    </row>
    <row r="119" spans="2:67" x14ac:dyDescent="0.25">
      <c r="B119" s="138" t="s">
        <v>524</v>
      </c>
      <c r="C119" s="138" t="s">
        <v>61</v>
      </c>
      <c r="D119" s="138" t="s">
        <v>1191</v>
      </c>
      <c r="E119" s="138" t="s">
        <v>1190</v>
      </c>
      <c r="F119" s="138">
        <v>0.24399999999999999</v>
      </c>
      <c r="K119" s="138">
        <v>0.25700000000000001</v>
      </c>
      <c r="P119" s="138">
        <v>0.30599999999999999</v>
      </c>
      <c r="AA119" s="138">
        <v>0.33800000000000002</v>
      </c>
      <c r="AF119" s="138">
        <v>0.34699999999999998</v>
      </c>
      <c r="AG119" s="138">
        <v>0.376</v>
      </c>
      <c r="AH119" s="138">
        <v>0.318</v>
      </c>
      <c r="AM119" s="138">
        <v>0.318</v>
      </c>
      <c r="AP119" s="138">
        <v>0.85</v>
      </c>
      <c r="AR119" s="138">
        <v>1.0489999999999999</v>
      </c>
      <c r="AX119" s="138">
        <v>0.87319999999999998</v>
      </c>
      <c r="AY119" s="138">
        <v>0.87860000000000005</v>
      </c>
      <c r="AZ119" s="138">
        <v>0.53100000000000003</v>
      </c>
      <c r="BD119" s="138">
        <v>0.89</v>
      </c>
      <c r="BH119" s="138">
        <v>1.4862</v>
      </c>
      <c r="BI119" s="138">
        <v>1.1399999999999999</v>
      </c>
      <c r="BN119" s="138">
        <f t="shared" si="2"/>
        <v>1.1399999999999999</v>
      </c>
      <c r="BO119" s="138">
        <f t="shared" si="3"/>
        <v>2015</v>
      </c>
    </row>
    <row r="120" spans="2:67" x14ac:dyDescent="0.25">
      <c r="B120" s="138" t="s">
        <v>525</v>
      </c>
      <c r="C120" s="138" t="s">
        <v>62</v>
      </c>
      <c r="D120" s="138" t="s">
        <v>1191</v>
      </c>
      <c r="E120" s="138" t="s">
        <v>1190</v>
      </c>
      <c r="F120" s="138">
        <v>0.19500000000000001</v>
      </c>
      <c r="K120" s="138">
        <v>0.2</v>
      </c>
      <c r="P120" s="138">
        <v>0.309</v>
      </c>
      <c r="Z120" s="138">
        <v>0.56299999999999994</v>
      </c>
      <c r="AA120" s="138">
        <v>0.56799999999999995</v>
      </c>
      <c r="AF120" s="138">
        <v>0.59599999999999997</v>
      </c>
      <c r="AG120" s="138">
        <v>0.57599999999999996</v>
      </c>
      <c r="AJ120" s="138">
        <v>0.60299999999999998</v>
      </c>
      <c r="AM120" s="138">
        <v>0.60299999999999998</v>
      </c>
      <c r="AR120" s="138">
        <v>0.55000000000000004</v>
      </c>
      <c r="AU120" s="138">
        <v>0.54300000000000004</v>
      </c>
      <c r="AX120" s="138">
        <v>0.65800000000000003</v>
      </c>
      <c r="AY120" s="138">
        <v>0.66</v>
      </c>
      <c r="BA120" s="138">
        <v>0.52800000000000002</v>
      </c>
      <c r="BD120" s="138">
        <v>0.64159999999999995</v>
      </c>
      <c r="BH120" s="138">
        <v>0.86070000000000002</v>
      </c>
      <c r="BJ120" s="138">
        <v>0.84</v>
      </c>
      <c r="BK120" s="138">
        <v>0.82169999999999999</v>
      </c>
      <c r="BN120" s="138">
        <f t="shared" si="2"/>
        <v>0.82169999999999999</v>
      </c>
      <c r="BO120" s="138">
        <f t="shared" si="3"/>
        <v>2017</v>
      </c>
    </row>
    <row r="121" spans="2:67" x14ac:dyDescent="0.25">
      <c r="B121" s="138" t="s">
        <v>522</v>
      </c>
      <c r="C121" s="138" t="s">
        <v>63</v>
      </c>
      <c r="D121" s="138" t="s">
        <v>1191</v>
      </c>
      <c r="E121" s="138" t="s">
        <v>1190</v>
      </c>
      <c r="F121" s="138">
        <v>1.2</v>
      </c>
      <c r="G121" s="138">
        <v>1.2</v>
      </c>
      <c r="H121" s="138">
        <v>1.2</v>
      </c>
      <c r="I121" s="138">
        <v>1.2</v>
      </c>
      <c r="J121" s="138">
        <v>1.2</v>
      </c>
      <c r="K121" s="138">
        <v>1.2</v>
      </c>
      <c r="L121" s="138">
        <v>1.2</v>
      </c>
      <c r="M121" s="138">
        <v>1.2</v>
      </c>
      <c r="N121" s="138">
        <v>1.3</v>
      </c>
      <c r="O121" s="138">
        <v>1.3</v>
      </c>
      <c r="P121" s="138">
        <v>1.4</v>
      </c>
      <c r="Q121" s="138">
        <v>1.5</v>
      </c>
      <c r="R121" s="138">
        <v>1.6</v>
      </c>
      <c r="S121" s="138">
        <v>1.6</v>
      </c>
      <c r="T121" s="138">
        <v>1.7</v>
      </c>
      <c r="U121" s="138">
        <v>1.8</v>
      </c>
      <c r="V121" s="138">
        <v>1.9</v>
      </c>
      <c r="W121" s="138">
        <v>1.9</v>
      </c>
      <c r="X121" s="138">
        <v>2</v>
      </c>
      <c r="Y121" s="138">
        <v>2</v>
      </c>
      <c r="Z121" s="138">
        <v>2.1</v>
      </c>
      <c r="AA121" s="138">
        <v>2.2000000000000002</v>
      </c>
      <c r="AB121" s="138">
        <v>2.2999999999999998</v>
      </c>
      <c r="AC121" s="138">
        <v>2.2999999999999998</v>
      </c>
      <c r="AD121" s="138">
        <v>2.4</v>
      </c>
      <c r="AE121" s="138">
        <v>2.6</v>
      </c>
      <c r="AF121" s="138">
        <v>2.6</v>
      </c>
      <c r="AG121" s="138">
        <v>2.7</v>
      </c>
      <c r="AH121" s="138">
        <v>2.7</v>
      </c>
      <c r="AI121" s="138">
        <v>2.8</v>
      </c>
      <c r="AJ121" s="138">
        <v>2.8</v>
      </c>
      <c r="AK121" s="138">
        <v>2.8</v>
      </c>
      <c r="AL121" s="138">
        <v>3</v>
      </c>
      <c r="AM121" s="138">
        <v>3</v>
      </c>
      <c r="AN121" s="138">
        <v>3</v>
      </c>
      <c r="AO121" s="138">
        <v>3</v>
      </c>
      <c r="AP121" s="138">
        <v>3.1</v>
      </c>
      <c r="AQ121" s="138">
        <v>3.3</v>
      </c>
      <c r="AR121" s="138">
        <v>3.3</v>
      </c>
      <c r="AS121" s="138">
        <v>3.4</v>
      </c>
      <c r="AT121" s="138">
        <v>3.4521999999999999</v>
      </c>
      <c r="AU121" s="138">
        <v>3.4994999999999998</v>
      </c>
      <c r="AV121" s="138">
        <v>3.6067</v>
      </c>
      <c r="AW121" s="138">
        <v>3.6354000000000002</v>
      </c>
      <c r="AX121" s="138">
        <v>3.6276000000000002</v>
      </c>
      <c r="AY121" s="138">
        <v>3.6271</v>
      </c>
      <c r="AZ121" s="138">
        <v>3.6469999999999998</v>
      </c>
      <c r="BA121" s="138">
        <v>3.6926999999999999</v>
      </c>
      <c r="BB121" s="138">
        <v>3.7246999999999999</v>
      </c>
      <c r="BC121" s="138">
        <v>3.6919</v>
      </c>
      <c r="BD121" s="138">
        <v>3.5653999999999999</v>
      </c>
      <c r="BE121" s="138">
        <v>3.4569999999999999</v>
      </c>
      <c r="BF121" s="138">
        <v>3.5084</v>
      </c>
      <c r="BG121" s="138">
        <v>3.5718999999999999</v>
      </c>
      <c r="BH121" s="138">
        <v>3.6316999999999999</v>
      </c>
      <c r="BI121" s="138">
        <v>3.7826</v>
      </c>
      <c r="BJ121" s="138">
        <v>3.8856999999999999</v>
      </c>
      <c r="BK121" s="138">
        <v>3.9701</v>
      </c>
      <c r="BN121" s="138">
        <f t="shared" si="2"/>
        <v>3.9701</v>
      </c>
      <c r="BO121" s="138">
        <f t="shared" si="3"/>
        <v>2017</v>
      </c>
    </row>
    <row r="122" spans="2:67" x14ac:dyDescent="0.25">
      <c r="B122" s="138" t="s">
        <v>529</v>
      </c>
      <c r="C122" s="138" t="s">
        <v>64</v>
      </c>
      <c r="D122" s="138" t="s">
        <v>1191</v>
      </c>
      <c r="E122" s="138" t="s">
        <v>1190</v>
      </c>
      <c r="F122" s="138">
        <v>2.472</v>
      </c>
      <c r="K122" s="138">
        <v>2.5</v>
      </c>
      <c r="P122" s="138">
        <v>2.8809999999999998</v>
      </c>
      <c r="Q122" s="138">
        <v>2.9740000000000002</v>
      </c>
      <c r="R122" s="138">
        <v>3.1560000000000001</v>
      </c>
      <c r="S122" s="138">
        <v>3.3039999999999998</v>
      </c>
      <c r="Y122" s="138">
        <v>2.694</v>
      </c>
      <c r="Z122" s="138">
        <v>3.0939999999999999</v>
      </c>
      <c r="AA122" s="138">
        <v>3.1669999999999998</v>
      </c>
      <c r="AB122" s="138">
        <v>3.214</v>
      </c>
      <c r="AC122" s="138">
        <v>3.323</v>
      </c>
      <c r="AD122" s="138">
        <v>3.3530000000000002</v>
      </c>
      <c r="AE122" s="138">
        <v>3.2149999999999999</v>
      </c>
      <c r="AF122" s="138">
        <v>3.2</v>
      </c>
      <c r="AG122" s="138">
        <v>3.2069999999999999</v>
      </c>
      <c r="AH122" s="138">
        <v>3.21</v>
      </c>
      <c r="AI122" s="138">
        <v>3.1949999999999998</v>
      </c>
      <c r="AJ122" s="138">
        <v>3.2069999999999999</v>
      </c>
      <c r="AK122" s="138">
        <v>3.3029999999999999</v>
      </c>
      <c r="AL122" s="138">
        <v>3.657</v>
      </c>
      <c r="AM122" s="138">
        <v>3.6960000000000002</v>
      </c>
      <c r="AN122" s="138">
        <v>3.7309999999999999</v>
      </c>
      <c r="AO122" s="138">
        <v>4.8555000000000001</v>
      </c>
      <c r="AP122" s="138">
        <v>3.766</v>
      </c>
      <c r="AQ122" s="138">
        <v>3.7930000000000001</v>
      </c>
      <c r="AR122" s="138">
        <v>3.7749999999999999</v>
      </c>
      <c r="AS122" s="138">
        <v>3.915</v>
      </c>
      <c r="AT122" s="138">
        <v>3.766</v>
      </c>
      <c r="AU122" s="138">
        <v>3.91</v>
      </c>
      <c r="AW122" s="138">
        <v>3.82</v>
      </c>
      <c r="AZ122" s="138">
        <v>3.67</v>
      </c>
      <c r="BA122" s="138">
        <v>3.633</v>
      </c>
      <c r="BD122" s="138">
        <v>3.4114</v>
      </c>
      <c r="BE122" s="138">
        <v>3.3426999999999998</v>
      </c>
      <c r="BF122" s="138">
        <v>3.3422999999999998</v>
      </c>
      <c r="BG122" s="138">
        <v>3.5375000000000001</v>
      </c>
      <c r="BH122" s="138">
        <v>3.0844</v>
      </c>
      <c r="BI122" s="138">
        <v>3.1905999999999999</v>
      </c>
      <c r="BJ122" s="138">
        <v>3.2176</v>
      </c>
      <c r="BN122" s="138">
        <f t="shared" si="2"/>
        <v>3.2176</v>
      </c>
      <c r="BO122" s="138">
        <f t="shared" si="3"/>
        <v>2016</v>
      </c>
    </row>
    <row r="123" spans="2:67" x14ac:dyDescent="0.25">
      <c r="B123" s="138" t="s">
        <v>530</v>
      </c>
      <c r="C123" s="138" t="s">
        <v>65</v>
      </c>
      <c r="D123" s="138" t="s">
        <v>1191</v>
      </c>
      <c r="E123" s="138" t="s">
        <v>1190</v>
      </c>
      <c r="AM123" s="138">
        <v>3.8</v>
      </c>
      <c r="AN123" s="138">
        <v>3.7</v>
      </c>
      <c r="AO123" s="138">
        <v>3.9</v>
      </c>
      <c r="AP123" s="138">
        <v>4.0999999999999996</v>
      </c>
      <c r="AQ123" s="138">
        <v>4</v>
      </c>
      <c r="AR123" s="138">
        <v>4.0999999999999996</v>
      </c>
      <c r="AS123" s="138">
        <v>4.2</v>
      </c>
      <c r="AT123" s="138">
        <v>4.2</v>
      </c>
      <c r="AU123" s="138">
        <v>4.4000000000000004</v>
      </c>
      <c r="AV123" s="138">
        <v>4.4000000000000004</v>
      </c>
      <c r="AW123" s="138">
        <v>4.0999999999999996</v>
      </c>
      <c r="AX123" s="138">
        <v>4.2030000000000003</v>
      </c>
      <c r="AZ123" s="138">
        <v>3.7</v>
      </c>
      <c r="BB123" s="138">
        <v>4.242</v>
      </c>
      <c r="BC123" s="138">
        <v>3.802</v>
      </c>
      <c r="BF123" s="138">
        <v>3.8607999999999998</v>
      </c>
      <c r="BG123" s="138">
        <v>3.9371</v>
      </c>
      <c r="BH123" s="138">
        <v>3.9588000000000001</v>
      </c>
      <c r="BI123" s="138">
        <v>3.9174000000000002</v>
      </c>
      <c r="BJ123" s="138">
        <v>4.0323000000000002</v>
      </c>
      <c r="BK123" s="138">
        <v>4.0930999999999997</v>
      </c>
      <c r="BN123" s="138">
        <f t="shared" si="2"/>
        <v>4.0930999999999997</v>
      </c>
      <c r="BO123" s="138">
        <f t="shared" si="3"/>
        <v>2017</v>
      </c>
    </row>
    <row r="124" spans="2:67" x14ac:dyDescent="0.25">
      <c r="B124" s="138" t="s">
        <v>531</v>
      </c>
      <c r="C124" s="138" t="s">
        <v>66</v>
      </c>
      <c r="D124" s="138" t="s">
        <v>1191</v>
      </c>
      <c r="E124" s="138" t="s">
        <v>1190</v>
      </c>
      <c r="F124" s="138">
        <v>0.38600000000000001</v>
      </c>
      <c r="K124" s="138">
        <v>0.502</v>
      </c>
      <c r="P124" s="138">
        <v>0.38</v>
      </c>
      <c r="Y124" s="138">
        <v>0.36099999999999999</v>
      </c>
      <c r="AA124" s="138">
        <v>0.35899999999999999</v>
      </c>
      <c r="AD124" s="138">
        <v>0.48899999999999999</v>
      </c>
      <c r="AJ124" s="138">
        <v>0.56999999999999995</v>
      </c>
      <c r="AM124" s="138">
        <v>0.47199999999999998</v>
      </c>
      <c r="AO124" s="138">
        <v>0.56999999999999995</v>
      </c>
      <c r="AP124" s="138">
        <v>1.401</v>
      </c>
      <c r="AQ124" s="138">
        <v>1.401</v>
      </c>
      <c r="AW124" s="138">
        <v>0.8306</v>
      </c>
      <c r="BB124" s="138">
        <v>0.39529999999999998</v>
      </c>
      <c r="BF124" s="138">
        <v>0.35410000000000003</v>
      </c>
      <c r="BG124" s="138">
        <v>0.46879999999999999</v>
      </c>
      <c r="BH124" s="138">
        <v>0.38150000000000001</v>
      </c>
      <c r="BI124" s="138">
        <v>0.41749999999999998</v>
      </c>
      <c r="BJ124" s="138">
        <v>0.45879999999999999</v>
      </c>
      <c r="BK124" s="138">
        <v>1.3199000000000001</v>
      </c>
      <c r="BN124" s="138">
        <f t="shared" si="2"/>
        <v>1.3199000000000001</v>
      </c>
      <c r="BO124" s="138">
        <f t="shared" si="3"/>
        <v>2017</v>
      </c>
    </row>
    <row r="125" spans="2:67" x14ac:dyDescent="0.25">
      <c r="B125" s="138" t="s">
        <v>533</v>
      </c>
      <c r="C125" s="138" t="s">
        <v>67</v>
      </c>
      <c r="D125" s="138" t="s">
        <v>1191</v>
      </c>
      <c r="E125" s="138" t="s">
        <v>1190</v>
      </c>
      <c r="F125" s="138">
        <v>0.34599999999999997</v>
      </c>
      <c r="K125" s="138">
        <v>0.37</v>
      </c>
      <c r="P125" s="138">
        <v>0.40400000000000003</v>
      </c>
      <c r="U125" s="138">
        <v>0.378</v>
      </c>
      <c r="Z125" s="138">
        <v>0.78600000000000003</v>
      </c>
      <c r="AA125" s="138">
        <v>1.1140000000000001</v>
      </c>
      <c r="AB125" s="138">
        <v>1.1279999999999999</v>
      </c>
      <c r="AD125" s="138">
        <v>1.159</v>
      </c>
      <c r="AK125" s="138">
        <v>1.3480000000000001</v>
      </c>
      <c r="AN125" s="138">
        <v>1.625</v>
      </c>
      <c r="AQ125" s="138">
        <v>1.66</v>
      </c>
      <c r="AR125" s="138">
        <v>0.99209999999999998</v>
      </c>
      <c r="AS125" s="138">
        <v>1.9314</v>
      </c>
      <c r="AT125" s="138">
        <v>1.8763000000000001</v>
      </c>
      <c r="AU125" s="138">
        <v>2.0461999999999998</v>
      </c>
      <c r="AV125" s="138">
        <v>2.2155999999999998</v>
      </c>
      <c r="AW125" s="138">
        <v>2.2930000000000001</v>
      </c>
      <c r="AX125" s="138">
        <v>2.0590000000000002</v>
      </c>
      <c r="AY125" s="138">
        <v>2.2591000000000001</v>
      </c>
      <c r="AZ125" s="138">
        <v>2.3132000000000001</v>
      </c>
      <c r="BA125" s="138">
        <v>2.4670999999999998</v>
      </c>
      <c r="BB125" s="138">
        <v>2.246</v>
      </c>
      <c r="BC125" s="138">
        <v>2.1513</v>
      </c>
      <c r="BD125" s="138">
        <v>2.2572000000000001</v>
      </c>
      <c r="BG125" s="138">
        <v>2.2223000000000002</v>
      </c>
      <c r="BH125" s="138">
        <v>2.2311999999999999</v>
      </c>
      <c r="BI125" s="138">
        <v>2.8407</v>
      </c>
      <c r="BJ125" s="138">
        <v>1.4098999999999999</v>
      </c>
      <c r="BK125" s="138">
        <v>2.3435999999999999</v>
      </c>
      <c r="BN125" s="138">
        <f t="shared" si="2"/>
        <v>2.3435999999999999</v>
      </c>
      <c r="BO125" s="138">
        <f t="shared" si="3"/>
        <v>2017</v>
      </c>
    </row>
    <row r="126" spans="2:67" x14ac:dyDescent="0.25">
      <c r="B126" s="138" t="s">
        <v>532</v>
      </c>
      <c r="C126" s="138" t="s">
        <v>68</v>
      </c>
      <c r="D126" s="138" t="s">
        <v>1191</v>
      </c>
      <c r="E126" s="138" t="s">
        <v>1190</v>
      </c>
      <c r="F126" s="138">
        <v>1</v>
      </c>
      <c r="G126" s="138">
        <v>1</v>
      </c>
      <c r="H126" s="138">
        <v>1</v>
      </c>
      <c r="I126" s="138">
        <v>1</v>
      </c>
      <c r="J126" s="138">
        <v>1</v>
      </c>
      <c r="K126" s="138">
        <v>1</v>
      </c>
      <c r="L126" s="138">
        <v>1</v>
      </c>
      <c r="M126" s="138">
        <v>1</v>
      </c>
      <c r="N126" s="138">
        <v>1</v>
      </c>
      <c r="O126" s="138">
        <v>1.1000000000000001</v>
      </c>
      <c r="P126" s="138">
        <v>1.1000000000000001</v>
      </c>
      <c r="Q126" s="138">
        <v>1.1000000000000001</v>
      </c>
      <c r="R126" s="138">
        <v>1.1000000000000001</v>
      </c>
      <c r="S126" s="138">
        <v>1.1000000000000001</v>
      </c>
      <c r="T126" s="138">
        <v>1.1000000000000001</v>
      </c>
      <c r="U126" s="138">
        <v>1.1000000000000001</v>
      </c>
      <c r="V126" s="138">
        <v>1.1000000000000001</v>
      </c>
      <c r="W126" s="138">
        <v>1.2</v>
      </c>
      <c r="X126" s="138">
        <v>1.2</v>
      </c>
      <c r="Y126" s="138">
        <v>1.2</v>
      </c>
      <c r="AA126" s="138">
        <v>1.3</v>
      </c>
      <c r="AE126" s="138">
        <v>1.5</v>
      </c>
      <c r="AJ126" s="138">
        <v>1.7010000000000001</v>
      </c>
      <c r="AL126" s="138">
        <v>1.7527999999999999</v>
      </c>
      <c r="AN126" s="138">
        <v>1.8286</v>
      </c>
      <c r="AP126" s="138">
        <v>1.9020999999999999</v>
      </c>
      <c r="AR126" s="138">
        <v>1.9556</v>
      </c>
      <c r="AT126" s="138">
        <v>2.0057</v>
      </c>
      <c r="AV126" s="138">
        <v>2.0537999999999998</v>
      </c>
      <c r="AX126" s="138">
        <v>2.1088</v>
      </c>
      <c r="AZ126" s="138">
        <v>2.1640000000000001</v>
      </c>
      <c r="BB126" s="138">
        <v>2.2302</v>
      </c>
      <c r="BD126" s="138">
        <v>2.2469999999999999</v>
      </c>
      <c r="BF126" s="138">
        <v>2.274</v>
      </c>
      <c r="BH126" s="138">
        <v>2.3414000000000001</v>
      </c>
      <c r="BJ126" s="138">
        <v>2.4117999999999999</v>
      </c>
      <c r="BN126" s="138">
        <f t="shared" si="2"/>
        <v>2.4117999999999999</v>
      </c>
      <c r="BO126" s="138">
        <f t="shared" si="3"/>
        <v>2016</v>
      </c>
    </row>
    <row r="127" spans="2:67" x14ac:dyDescent="0.25">
      <c r="B127" s="138" t="s">
        <v>534</v>
      </c>
      <c r="C127" s="138" t="s">
        <v>69</v>
      </c>
      <c r="D127" s="138" t="s">
        <v>1191</v>
      </c>
      <c r="E127" s="138" t="s">
        <v>1190</v>
      </c>
      <c r="Z127" s="138">
        <v>3.036</v>
      </c>
      <c r="AA127" s="138">
        <v>3.1539999999999999</v>
      </c>
      <c r="AB127" s="138">
        <v>3.2530000000000001</v>
      </c>
      <c r="AC127" s="138">
        <v>3.3959999999999999</v>
      </c>
      <c r="AD127" s="138">
        <v>3.5310000000000001</v>
      </c>
      <c r="AE127" s="138">
        <v>3.629</v>
      </c>
      <c r="AF127" s="138">
        <v>3.7240000000000002</v>
      </c>
      <c r="AG127" s="138">
        <v>3.7909999999999999</v>
      </c>
      <c r="AH127" s="138">
        <v>3.8719999999999999</v>
      </c>
      <c r="AI127" s="138">
        <v>3.9620000000000002</v>
      </c>
      <c r="AJ127" s="138">
        <v>3.976</v>
      </c>
      <c r="AK127" s="138">
        <v>3.839</v>
      </c>
      <c r="AL127" s="138">
        <v>3.9079999999999999</v>
      </c>
      <c r="AM127" s="138">
        <v>3.766</v>
      </c>
      <c r="AN127" s="138">
        <v>3.6040000000000001</v>
      </c>
      <c r="AO127" s="138">
        <v>3.6349999999999998</v>
      </c>
      <c r="AP127" s="138">
        <v>3.6389999999999998</v>
      </c>
      <c r="AQ127" s="138">
        <v>3.3010000000000002</v>
      </c>
      <c r="AR127" s="138">
        <v>3.528</v>
      </c>
      <c r="AS127" s="138">
        <v>3.2010000000000001</v>
      </c>
      <c r="AT127" s="138">
        <v>3.2919999999999998</v>
      </c>
      <c r="AU127" s="138">
        <v>3.302</v>
      </c>
      <c r="AV127" s="138">
        <v>3.6120000000000001</v>
      </c>
      <c r="AW127" s="138">
        <v>3.5390000000000001</v>
      </c>
      <c r="AX127" s="138">
        <v>3.6</v>
      </c>
      <c r="AY127" s="138">
        <v>3.7</v>
      </c>
      <c r="AZ127" s="138">
        <v>3.88</v>
      </c>
      <c r="BA127" s="138">
        <v>3.8769999999999998</v>
      </c>
      <c r="BB127" s="138">
        <v>3.7</v>
      </c>
      <c r="BC127" s="138">
        <v>3.6869999999999998</v>
      </c>
      <c r="BD127" s="138">
        <v>3.4866999999999999</v>
      </c>
      <c r="BE127" s="138">
        <v>3.5278999999999998</v>
      </c>
      <c r="BF127" s="138">
        <v>3.4683999999999999</v>
      </c>
      <c r="BG127" s="138">
        <v>3.4794999999999998</v>
      </c>
      <c r="BH127" s="138">
        <v>3.2522000000000002</v>
      </c>
      <c r="BN127" s="138">
        <f t="shared" si="2"/>
        <v>3.2522000000000002</v>
      </c>
      <c r="BO127" s="138">
        <f t="shared" si="3"/>
        <v>2014</v>
      </c>
    </row>
    <row r="128" spans="2:67" x14ac:dyDescent="0.25">
      <c r="B128" s="138" t="s">
        <v>199</v>
      </c>
      <c r="C128" s="138" t="s">
        <v>70</v>
      </c>
      <c r="D128" s="138" t="s">
        <v>1191</v>
      </c>
      <c r="E128" s="138" t="s">
        <v>1190</v>
      </c>
      <c r="F128" s="138">
        <v>9.1999999999999998E-2</v>
      </c>
      <c r="K128" s="138">
        <v>7.4999999999999997E-2</v>
      </c>
      <c r="P128" s="138">
        <v>0.125</v>
      </c>
      <c r="U128" s="138">
        <v>0.127</v>
      </c>
      <c r="AA128" s="138">
        <v>9.9000000000000005E-2</v>
      </c>
      <c r="AB128" s="138">
        <v>0.12</v>
      </c>
      <c r="AE128" s="138">
        <v>0.154</v>
      </c>
      <c r="AJ128" s="138">
        <v>4.4999999999999998E-2</v>
      </c>
      <c r="AM128" s="138">
        <v>0.13800000000000001</v>
      </c>
      <c r="AO128" s="138">
        <v>0.13200000000000001</v>
      </c>
      <c r="AV128" s="138">
        <v>0.13569999999999999</v>
      </c>
      <c r="BB128" s="138">
        <v>0.16919999999999999</v>
      </c>
      <c r="BC128" s="138">
        <v>0.1714</v>
      </c>
      <c r="BD128" s="138">
        <v>0.1724</v>
      </c>
      <c r="BE128" s="138">
        <v>0.1777</v>
      </c>
      <c r="BF128" s="138">
        <v>0.18540000000000001</v>
      </c>
      <c r="BG128" s="138">
        <v>0.19370000000000001</v>
      </c>
      <c r="BH128" s="138">
        <v>0.1988</v>
      </c>
      <c r="BN128" s="138">
        <f t="shared" si="2"/>
        <v>0.1988</v>
      </c>
      <c r="BO128" s="138">
        <f t="shared" si="3"/>
        <v>2014</v>
      </c>
    </row>
    <row r="129" spans="2:67" x14ac:dyDescent="0.25">
      <c r="B129" s="138" t="s">
        <v>539</v>
      </c>
      <c r="C129" s="138" t="s">
        <v>71</v>
      </c>
      <c r="D129" s="138" t="s">
        <v>1191</v>
      </c>
      <c r="E129" s="138" t="s">
        <v>1190</v>
      </c>
      <c r="Z129" s="138">
        <v>2.6019999999999999</v>
      </c>
      <c r="AA129" s="138">
        <v>3.0880000000000001</v>
      </c>
      <c r="AB129" s="138">
        <v>2.7690000000000001</v>
      </c>
      <c r="AC129" s="138">
        <v>3.0609999999999999</v>
      </c>
      <c r="AD129" s="138">
        <v>2.9279999999999999</v>
      </c>
      <c r="AE129" s="138">
        <v>3.0390000000000001</v>
      </c>
      <c r="AF129" s="138">
        <v>3.1469999999999998</v>
      </c>
      <c r="AG129" s="138">
        <v>3.25</v>
      </c>
      <c r="AH129" s="138">
        <v>3.323</v>
      </c>
      <c r="AI129" s="138">
        <v>3.3690000000000002</v>
      </c>
      <c r="AJ129" s="138">
        <v>3.3740000000000001</v>
      </c>
      <c r="AK129" s="138">
        <v>3.4119999999999999</v>
      </c>
      <c r="AL129" s="138">
        <v>3.3490000000000002</v>
      </c>
      <c r="AM129" s="138">
        <v>3.1179999999999999</v>
      </c>
      <c r="AN129" s="138">
        <v>3.0960000000000001</v>
      </c>
      <c r="AO129" s="138">
        <v>3.2080000000000002</v>
      </c>
      <c r="AP129" s="138">
        <v>3.2930000000000001</v>
      </c>
      <c r="AQ129" s="138">
        <v>3.0579999999999998</v>
      </c>
      <c r="AR129" s="138">
        <v>3.01</v>
      </c>
      <c r="AS129" s="138">
        <v>2.875</v>
      </c>
      <c r="AT129" s="138">
        <v>2.823</v>
      </c>
      <c r="AU129" s="138">
        <v>2.6789999999999998</v>
      </c>
      <c r="AV129" s="138">
        <v>2.6</v>
      </c>
      <c r="AW129" s="138">
        <v>2.6</v>
      </c>
      <c r="AX129" s="138">
        <v>2.5</v>
      </c>
      <c r="AZ129" s="138">
        <v>2.39</v>
      </c>
      <c r="BA129" s="138">
        <v>2.3010000000000002</v>
      </c>
      <c r="BB129" s="138">
        <v>2.4822000000000002</v>
      </c>
      <c r="BC129" s="138">
        <v>2.4594</v>
      </c>
      <c r="BD129" s="138">
        <v>1.8953</v>
      </c>
      <c r="BE129" s="138">
        <v>1.927</v>
      </c>
      <c r="BF129" s="138">
        <v>1.9124000000000001</v>
      </c>
      <c r="BG129" s="138">
        <v>1.9068000000000001</v>
      </c>
      <c r="BH129" s="138">
        <v>1.8759999999999999</v>
      </c>
      <c r="BN129" s="138">
        <f t="shared" si="2"/>
        <v>1.8759999999999999</v>
      </c>
      <c r="BO129" s="138">
        <f t="shared" si="3"/>
        <v>2014</v>
      </c>
    </row>
    <row r="130" spans="2:67" x14ac:dyDescent="0.25">
      <c r="B130" s="138" t="s">
        <v>247</v>
      </c>
      <c r="C130" s="138" t="s">
        <v>72</v>
      </c>
      <c r="D130" s="138" t="s">
        <v>1191</v>
      </c>
      <c r="E130" s="138" t="s">
        <v>1190</v>
      </c>
      <c r="F130" s="138">
        <v>2.8000000000000001E-2</v>
      </c>
      <c r="K130" s="138">
        <v>4.4999999999999998E-2</v>
      </c>
      <c r="P130" s="138">
        <v>6.2E-2</v>
      </c>
      <c r="AC130" s="138">
        <v>5.8000000000000003E-2</v>
      </c>
      <c r="AL130" s="138">
        <v>0.107</v>
      </c>
      <c r="AM130" s="138">
        <v>0.104</v>
      </c>
      <c r="AN130" s="138">
        <v>0.105</v>
      </c>
      <c r="AP130" s="138">
        <v>0.11360000000000001</v>
      </c>
      <c r="AR130" s="138">
        <v>0.14749999999999999</v>
      </c>
      <c r="AS130" s="138">
        <v>0.29599999999999999</v>
      </c>
      <c r="AT130" s="138">
        <v>0.16839999999999999</v>
      </c>
      <c r="BB130" s="138">
        <v>0.24440000000000001</v>
      </c>
      <c r="BC130" s="138">
        <v>0.23780000000000001</v>
      </c>
      <c r="BD130" s="138">
        <v>0.23019999999999999</v>
      </c>
      <c r="BE130" s="138">
        <v>0.22639999999999999</v>
      </c>
      <c r="BF130" s="138">
        <v>0.1651</v>
      </c>
      <c r="BG130" s="138">
        <v>0.47589999999999999</v>
      </c>
      <c r="BH130" s="138">
        <v>0.16819999999999999</v>
      </c>
      <c r="BN130" s="138">
        <f t="shared" si="2"/>
        <v>0.16819999999999999</v>
      </c>
      <c r="BO130" s="138">
        <f t="shared" si="3"/>
        <v>2014</v>
      </c>
    </row>
    <row r="131" spans="2:67" x14ac:dyDescent="0.25">
      <c r="B131" s="138" t="s">
        <v>249</v>
      </c>
      <c r="C131" s="138" t="s">
        <v>73</v>
      </c>
      <c r="D131" s="138" t="s">
        <v>1191</v>
      </c>
      <c r="E131" s="138" t="s">
        <v>1190</v>
      </c>
      <c r="F131" s="138">
        <v>0.54100000000000004</v>
      </c>
      <c r="P131" s="138">
        <v>0.61299999999999999</v>
      </c>
      <c r="Z131" s="138">
        <v>0.51600000000000001</v>
      </c>
      <c r="AF131" s="138">
        <v>0.497</v>
      </c>
      <c r="AJ131" s="138">
        <v>0.193</v>
      </c>
      <c r="AK131" s="138">
        <v>0.17599999999999999</v>
      </c>
      <c r="AL131" s="138">
        <v>0.186</v>
      </c>
      <c r="AM131" s="138">
        <v>0.13</v>
      </c>
      <c r="BB131" s="138">
        <v>0.25409999999999999</v>
      </c>
      <c r="BC131" s="138">
        <v>0.32700000000000001</v>
      </c>
      <c r="BD131" s="138">
        <v>0.39960000000000001</v>
      </c>
      <c r="BE131" s="138">
        <v>0.14330000000000001</v>
      </c>
      <c r="BG131" s="138">
        <v>0.20280000000000001</v>
      </c>
      <c r="BN131" s="138">
        <f t="shared" si="2"/>
        <v>0.20280000000000001</v>
      </c>
      <c r="BO131" s="138">
        <f t="shared" si="3"/>
        <v>2013</v>
      </c>
    </row>
    <row r="132" spans="2:67" x14ac:dyDescent="0.25">
      <c r="B132" s="138" t="s">
        <v>637</v>
      </c>
      <c r="C132" s="138" t="s">
        <v>638</v>
      </c>
      <c r="D132" s="138" t="s">
        <v>1191</v>
      </c>
      <c r="E132" s="138" t="s">
        <v>1190</v>
      </c>
      <c r="F132" s="138">
        <v>0.23499999999999999</v>
      </c>
      <c r="P132" s="138">
        <v>0.312</v>
      </c>
      <c r="Z132" s="138">
        <v>0.36</v>
      </c>
      <c r="AD132" s="138">
        <v>0.45800000000000002</v>
      </c>
      <c r="AJ132" s="138">
        <v>0.68630000000000002</v>
      </c>
      <c r="AK132" s="138">
        <v>0.68289999999999995</v>
      </c>
      <c r="AL132" s="138">
        <v>0.74880000000000002</v>
      </c>
      <c r="AM132" s="138">
        <v>0.76559999999999995</v>
      </c>
      <c r="AN132" s="138">
        <v>0.91979999999999995</v>
      </c>
      <c r="AO132" s="138">
        <v>1.0723</v>
      </c>
      <c r="AP132" s="138">
        <v>1.1060000000000001</v>
      </c>
      <c r="AQ132" s="138">
        <v>1.0959000000000001</v>
      </c>
      <c r="AR132" s="138">
        <v>1.0384</v>
      </c>
      <c r="AS132" s="138">
        <v>1.0267999999999999</v>
      </c>
      <c r="AT132" s="138">
        <v>1.095</v>
      </c>
      <c r="AU132" s="138">
        <v>1.0651999999999999</v>
      </c>
      <c r="BI132" s="138">
        <v>2.5230000000000001</v>
      </c>
      <c r="BN132" s="138">
        <f t="shared" si="2"/>
        <v>2.5230000000000001</v>
      </c>
      <c r="BO132" s="138">
        <f t="shared" si="3"/>
        <v>2015</v>
      </c>
    </row>
    <row r="133" spans="2:67" x14ac:dyDescent="0.25">
      <c r="B133" s="138" t="s">
        <v>536</v>
      </c>
      <c r="C133" s="138" t="s">
        <v>74</v>
      </c>
      <c r="D133" s="138" t="s">
        <v>1191</v>
      </c>
      <c r="E133" s="138" t="s">
        <v>1190</v>
      </c>
      <c r="AA133" s="138">
        <v>0.5</v>
      </c>
      <c r="AB133" s="138">
        <v>0.5</v>
      </c>
      <c r="AC133" s="138">
        <v>0.5</v>
      </c>
      <c r="AD133" s="138">
        <v>0.6</v>
      </c>
      <c r="AE133" s="138">
        <v>0.6</v>
      </c>
      <c r="AF133" s="138">
        <v>0.6</v>
      </c>
      <c r="AG133" s="138">
        <v>0.7</v>
      </c>
      <c r="AH133" s="138">
        <v>0.7</v>
      </c>
      <c r="AI133" s="138">
        <v>0.8</v>
      </c>
      <c r="AJ133" s="138">
        <v>0.8</v>
      </c>
      <c r="AK133" s="138">
        <v>0.9</v>
      </c>
      <c r="AL133" s="138">
        <v>1</v>
      </c>
      <c r="AM133" s="138">
        <v>1</v>
      </c>
      <c r="AN133" s="138">
        <v>1.1000000000000001</v>
      </c>
      <c r="AO133" s="138">
        <v>1.1000000000000001</v>
      </c>
      <c r="AP133" s="138">
        <v>1.2</v>
      </c>
      <c r="AQ133" s="138">
        <v>1.2</v>
      </c>
      <c r="AR133" s="138">
        <v>1.3</v>
      </c>
      <c r="AS133" s="138">
        <v>1.3</v>
      </c>
      <c r="AT133" s="138">
        <v>1.3</v>
      </c>
      <c r="AU133" s="138">
        <v>1.4</v>
      </c>
      <c r="AV133" s="138">
        <v>1.5</v>
      </c>
      <c r="AW133" s="138">
        <v>1.573</v>
      </c>
      <c r="AX133" s="138">
        <v>1.6907000000000001</v>
      </c>
      <c r="AY133" s="138">
        <v>1.7526999999999999</v>
      </c>
      <c r="AZ133" s="138">
        <v>1.8041</v>
      </c>
      <c r="BA133" s="138">
        <v>1.8645</v>
      </c>
      <c r="BB133" s="138">
        <v>1.9319</v>
      </c>
      <c r="BC133" s="138">
        <v>1.9934000000000001</v>
      </c>
      <c r="BD133" s="138">
        <v>1.9836</v>
      </c>
      <c r="BE133" s="138">
        <v>2.0377999999999998</v>
      </c>
      <c r="BF133" s="138">
        <v>2.0842999999999998</v>
      </c>
      <c r="BG133" s="138">
        <v>2.1707999999999998</v>
      </c>
      <c r="BH133" s="138">
        <v>2.2168000000000001</v>
      </c>
      <c r="BI133" s="138">
        <v>2.2595999999999998</v>
      </c>
      <c r="BJ133" s="138">
        <v>2.3123999999999998</v>
      </c>
      <c r="BK133" s="138">
        <v>2.3660999999999999</v>
      </c>
      <c r="BN133" s="138">
        <f t="shared" si="2"/>
        <v>2.3660999999999999</v>
      </c>
      <c r="BO133" s="138">
        <f t="shared" si="3"/>
        <v>2017</v>
      </c>
    </row>
    <row r="134" spans="2:67" x14ac:dyDescent="0.25">
      <c r="B134" s="138" t="s">
        <v>538</v>
      </c>
      <c r="C134" s="138" t="s">
        <v>75</v>
      </c>
      <c r="D134" s="138" t="s">
        <v>1191</v>
      </c>
      <c r="E134" s="138" t="s">
        <v>1190</v>
      </c>
      <c r="F134" s="138">
        <v>0.871</v>
      </c>
      <c r="K134" s="138">
        <v>1.2629999999999999</v>
      </c>
      <c r="P134" s="138">
        <v>0.95399999999999996</v>
      </c>
      <c r="Z134" s="138">
        <v>1.698</v>
      </c>
      <c r="AA134" s="138">
        <v>1.4119999999999999</v>
      </c>
      <c r="AB134" s="138">
        <v>1.62</v>
      </c>
      <c r="AF134" s="138">
        <v>1.5660000000000001</v>
      </c>
      <c r="AJ134" s="138">
        <v>0.183</v>
      </c>
      <c r="AO134" s="138">
        <v>1.7829999999999999</v>
      </c>
      <c r="AQ134" s="138">
        <v>1.89</v>
      </c>
      <c r="AW134" s="138">
        <v>1.9</v>
      </c>
      <c r="AX134" s="138">
        <v>1.5</v>
      </c>
      <c r="AY134" s="138">
        <v>1.8</v>
      </c>
      <c r="AZ134" s="138">
        <v>1.4520999999999999</v>
      </c>
      <c r="BA134" s="138">
        <v>1.8817999999999999</v>
      </c>
      <c r="BB134" s="138">
        <v>1.8833</v>
      </c>
      <c r="BC134" s="138">
        <v>1.8944000000000001</v>
      </c>
      <c r="BD134" s="138">
        <v>2.4245000000000001</v>
      </c>
      <c r="BE134" s="138">
        <v>2.4382999999999999</v>
      </c>
      <c r="BF134" s="138">
        <v>2.4323000000000001</v>
      </c>
      <c r="BG134" s="138">
        <v>2.4824999999999999</v>
      </c>
      <c r="BH134" s="138">
        <v>2.5880000000000001</v>
      </c>
      <c r="BI134" s="138">
        <v>2.5789</v>
      </c>
      <c r="BN134" s="138">
        <f t="shared" si="2"/>
        <v>2.5789</v>
      </c>
      <c r="BO134" s="138">
        <f t="shared" si="3"/>
        <v>2015</v>
      </c>
    </row>
    <row r="135" spans="2:67" x14ac:dyDescent="0.25">
      <c r="B135" s="138" t="s">
        <v>545</v>
      </c>
      <c r="C135" s="138" t="s">
        <v>546</v>
      </c>
      <c r="D135" s="138" t="s">
        <v>1191</v>
      </c>
      <c r="E135" s="138" t="s">
        <v>1190</v>
      </c>
      <c r="AJ135" s="138">
        <v>1.219335209549929</v>
      </c>
      <c r="AT135" s="138">
        <v>1.6109996109473501</v>
      </c>
      <c r="BI135" s="138">
        <v>2.1902000281646443</v>
      </c>
      <c r="BN135" s="138">
        <f t="shared" si="2"/>
        <v>2.1902000281646443</v>
      </c>
      <c r="BO135" s="138">
        <f t="shared" si="3"/>
        <v>2015</v>
      </c>
    </row>
    <row r="136" spans="2:67" x14ac:dyDescent="0.25">
      <c r="B136" s="138" t="s">
        <v>540</v>
      </c>
      <c r="C136" s="138" t="s">
        <v>76</v>
      </c>
      <c r="D136" s="138" t="s">
        <v>1191</v>
      </c>
      <c r="E136" s="138" t="s">
        <v>1190</v>
      </c>
      <c r="F136" s="138">
        <v>0.02</v>
      </c>
      <c r="K136" s="138">
        <v>4.1000000000000002E-2</v>
      </c>
      <c r="P136" s="138">
        <v>6.6000000000000003E-2</v>
      </c>
      <c r="V136" s="138">
        <v>5.0999999999999997E-2</v>
      </c>
      <c r="AE136" s="138">
        <v>0.72899999999999998</v>
      </c>
      <c r="AJ136" s="138">
        <v>0.23400000000000001</v>
      </c>
      <c r="AO136" s="138">
        <v>0.34129999999999999</v>
      </c>
      <c r="AP136" s="138">
        <v>0.58599999999999997</v>
      </c>
      <c r="AT136" s="138">
        <v>0.28470000000000001</v>
      </c>
      <c r="AX136" s="138">
        <v>0.35310000000000002</v>
      </c>
      <c r="AY136" s="138">
        <v>0.28050000000000003</v>
      </c>
      <c r="BC136" s="138">
        <v>0.1968</v>
      </c>
      <c r="BD136" s="138">
        <v>0.8306</v>
      </c>
      <c r="BF136" s="138">
        <v>0.18079999999999999</v>
      </c>
      <c r="BG136" s="138">
        <v>0.45250000000000001</v>
      </c>
      <c r="BH136" s="138">
        <v>0.49969999999999998</v>
      </c>
      <c r="BN136" s="138">
        <f t="shared" si="2"/>
        <v>0.49969999999999998</v>
      </c>
      <c r="BO136" s="138">
        <f t="shared" si="3"/>
        <v>2014</v>
      </c>
    </row>
    <row r="137" spans="2:67" x14ac:dyDescent="0.25">
      <c r="B137" s="138" t="s">
        <v>552</v>
      </c>
      <c r="C137" s="138" t="s">
        <v>77</v>
      </c>
      <c r="D137" s="138" t="s">
        <v>1191</v>
      </c>
      <c r="E137" s="138" t="s">
        <v>1190</v>
      </c>
      <c r="F137" s="138">
        <v>0.77800000000000002</v>
      </c>
      <c r="K137" s="138">
        <v>0.93799999999999994</v>
      </c>
      <c r="P137" s="138">
        <v>0.72599999999999998</v>
      </c>
      <c r="Y137" s="138">
        <v>1.6930000000000001</v>
      </c>
      <c r="AA137" s="138">
        <v>1.714</v>
      </c>
      <c r="AC137" s="138">
        <v>1.2549999999999999</v>
      </c>
      <c r="AI137" s="138">
        <v>1.8620000000000001</v>
      </c>
      <c r="AK137" s="138">
        <v>1.3260000000000001</v>
      </c>
      <c r="AM137" s="138">
        <v>1.8620000000000001</v>
      </c>
      <c r="AQ137" s="138">
        <v>2.1</v>
      </c>
      <c r="AU137" s="138">
        <v>3.4241999999999999</v>
      </c>
      <c r="AZ137" s="138">
        <v>2.8984000000000001</v>
      </c>
      <c r="BA137" s="138">
        <v>2.7372999999999998</v>
      </c>
      <c r="BD137" s="138">
        <v>2.6707000000000001</v>
      </c>
      <c r="BE137" s="138">
        <v>2.9704999999999999</v>
      </c>
      <c r="BG137" s="138">
        <v>2.52</v>
      </c>
      <c r="BH137" s="138">
        <v>2.3168000000000002</v>
      </c>
      <c r="BI137" s="138">
        <v>2.3477999999999999</v>
      </c>
      <c r="BJ137" s="138">
        <v>2.2484999999999999</v>
      </c>
      <c r="BK137" s="138">
        <v>2.2709999999999999</v>
      </c>
      <c r="BN137" s="138">
        <f t="shared" ref="BN137:BN200" si="4">IFERROR(LOOKUP(2,1/(ISNUMBER(G137:BM137)),G137:BM137),"No reported value")</f>
        <v>2.2709999999999999</v>
      </c>
      <c r="BO137" s="138">
        <f t="shared" ref="BO137:BO200" si="5">IFERROR(INDEX($G$8:$BM$8,1,MATCH($BN137,$G137:$BM137,0)),"No reported value")</f>
        <v>2017</v>
      </c>
    </row>
    <row r="138" spans="2:67" x14ac:dyDescent="0.25">
      <c r="B138" s="138" t="s">
        <v>201</v>
      </c>
      <c r="C138" s="138" t="s">
        <v>78</v>
      </c>
      <c r="D138" s="138" t="s">
        <v>1191</v>
      </c>
      <c r="E138" s="138" t="s">
        <v>1190</v>
      </c>
      <c r="F138" s="138">
        <v>7.6999999999999999E-2</v>
      </c>
      <c r="K138" s="138">
        <v>0.08</v>
      </c>
      <c r="P138" s="138">
        <v>7.9000000000000001E-2</v>
      </c>
      <c r="U138" s="138">
        <v>0.08</v>
      </c>
      <c r="AA138" s="138">
        <v>0.106</v>
      </c>
      <c r="AC138" s="138">
        <v>0.107</v>
      </c>
      <c r="AQ138" s="138">
        <v>2.3E-2</v>
      </c>
      <c r="AX138" s="138">
        <v>3.2399999999999998E-2</v>
      </c>
      <c r="BB138" s="138">
        <v>1.3899999999999999E-2</v>
      </c>
      <c r="BD138" s="138">
        <v>2.2800000000000001E-2</v>
      </c>
      <c r="BI138" s="138">
        <v>3.73E-2</v>
      </c>
      <c r="BN138" s="138">
        <f t="shared" si="4"/>
        <v>3.73E-2</v>
      </c>
      <c r="BO138" s="138">
        <f t="shared" si="5"/>
        <v>2015</v>
      </c>
    </row>
    <row r="139" spans="2:67" x14ac:dyDescent="0.25">
      <c r="B139" s="138" t="s">
        <v>553</v>
      </c>
      <c r="C139" s="138" t="s">
        <v>79</v>
      </c>
      <c r="D139" s="138" t="s">
        <v>1191</v>
      </c>
      <c r="E139" s="138" t="s">
        <v>1190</v>
      </c>
      <c r="F139" s="138">
        <v>0.152</v>
      </c>
      <c r="K139" s="138">
        <v>0.25900000000000001</v>
      </c>
      <c r="P139" s="138">
        <v>0.36799999999999999</v>
      </c>
      <c r="Z139" s="138">
        <v>1.333</v>
      </c>
      <c r="AA139" s="138">
        <v>1.633</v>
      </c>
      <c r="AB139" s="138">
        <v>1.5620000000000001</v>
      </c>
      <c r="AC139" s="138">
        <v>1.44</v>
      </c>
      <c r="AJ139" s="138">
        <v>1.071</v>
      </c>
      <c r="AM139" s="138">
        <v>1.4410000000000001</v>
      </c>
      <c r="AQ139" s="138">
        <v>1.2450000000000001</v>
      </c>
      <c r="AX139" s="138">
        <v>1.2393000000000001</v>
      </c>
      <c r="BB139" s="138">
        <v>1.8442000000000001</v>
      </c>
      <c r="BC139" s="138">
        <v>1.9619</v>
      </c>
      <c r="BD139" s="138">
        <v>1.9</v>
      </c>
      <c r="BH139" s="138">
        <v>2.1107</v>
      </c>
      <c r="BI139" s="138">
        <v>1.95</v>
      </c>
      <c r="BK139" s="138">
        <v>2.1581000000000001</v>
      </c>
      <c r="BN139" s="138">
        <f t="shared" si="4"/>
        <v>2.1581000000000001</v>
      </c>
      <c r="BO139" s="138">
        <f t="shared" si="5"/>
        <v>2017</v>
      </c>
    </row>
    <row r="140" spans="2:67" x14ac:dyDescent="0.25">
      <c r="B140" s="138" t="s">
        <v>639</v>
      </c>
      <c r="C140" s="138" t="s">
        <v>80</v>
      </c>
      <c r="D140" s="138" t="s">
        <v>1191</v>
      </c>
      <c r="E140" s="138" t="s">
        <v>1190</v>
      </c>
      <c r="F140" s="138">
        <v>0.13900000000000001</v>
      </c>
      <c r="P140" s="138">
        <v>0.187</v>
      </c>
      <c r="AD140" s="138">
        <v>0.28499999999999998</v>
      </c>
      <c r="AJ140" s="138">
        <v>0.35</v>
      </c>
      <c r="AK140" s="138">
        <v>0.39300000000000002</v>
      </c>
      <c r="AM140" s="138">
        <v>0.54400000000000004</v>
      </c>
      <c r="AO140" s="138">
        <v>0.56000000000000005</v>
      </c>
      <c r="AQ140" s="138">
        <v>0.47299999999999998</v>
      </c>
      <c r="AU140" s="138">
        <v>0.81899999999999995</v>
      </c>
      <c r="AV140" s="138">
        <v>0.438</v>
      </c>
      <c r="AW140" s="138">
        <v>0.46579999999999999</v>
      </c>
      <c r="AX140" s="138">
        <v>0.41920000000000002</v>
      </c>
      <c r="AY140" s="138">
        <v>0.50700000000000001</v>
      </c>
      <c r="BA140" s="138">
        <v>0.18529999999999999</v>
      </c>
      <c r="BB140" s="138">
        <v>0.15959999999999999</v>
      </c>
      <c r="BC140" s="138">
        <v>0.1053</v>
      </c>
      <c r="BN140" s="138">
        <f t="shared" si="4"/>
        <v>0.1053</v>
      </c>
      <c r="BO140" s="138">
        <f t="shared" si="5"/>
        <v>2009</v>
      </c>
    </row>
    <row r="141" spans="2:67" x14ac:dyDescent="0.25">
      <c r="B141" s="138" t="s">
        <v>543</v>
      </c>
      <c r="C141" s="138" t="s">
        <v>544</v>
      </c>
      <c r="D141" s="138" t="s">
        <v>1191</v>
      </c>
      <c r="E141" s="138" t="s">
        <v>1190</v>
      </c>
      <c r="AJ141" s="138">
        <v>1.2311986550221603</v>
      </c>
      <c r="AT141" s="138">
        <v>1.6004821679808159</v>
      </c>
      <c r="BI141" s="138">
        <v>2.1699311232596692</v>
      </c>
      <c r="BN141" s="138">
        <f t="shared" si="4"/>
        <v>2.1699311232596692</v>
      </c>
      <c r="BO141" s="138">
        <f t="shared" si="5"/>
        <v>2015</v>
      </c>
    </row>
    <row r="142" spans="2:67" x14ac:dyDescent="0.25">
      <c r="B142" s="138" t="s">
        <v>550</v>
      </c>
      <c r="C142" s="138" t="s">
        <v>551</v>
      </c>
      <c r="D142" s="138" t="s">
        <v>1191</v>
      </c>
      <c r="E142" s="138" t="s">
        <v>1190</v>
      </c>
      <c r="AJ142" s="138">
        <v>8.7339276036205116E-2</v>
      </c>
      <c r="AT142" s="138">
        <v>0.13877320828279599</v>
      </c>
      <c r="BI142" s="138">
        <v>0.25851559412471237</v>
      </c>
      <c r="BN142" s="138">
        <f t="shared" si="4"/>
        <v>0.25851559412471237</v>
      </c>
      <c r="BO142" s="138">
        <f t="shared" si="5"/>
        <v>2015</v>
      </c>
    </row>
    <row r="143" spans="2:67" x14ac:dyDescent="0.25">
      <c r="B143" s="138" t="s">
        <v>559</v>
      </c>
      <c r="C143" s="138" t="s">
        <v>560</v>
      </c>
      <c r="D143" s="138" t="s">
        <v>1191</v>
      </c>
      <c r="E143" s="138" t="s">
        <v>1190</v>
      </c>
      <c r="AJ143" s="138">
        <v>0.13765008333749479</v>
      </c>
      <c r="AT143" s="138">
        <v>0.17237701072668812</v>
      </c>
      <c r="BI143" s="138">
        <v>0.32490662919929747</v>
      </c>
      <c r="BN143" s="138">
        <f t="shared" si="4"/>
        <v>0.32490662919929747</v>
      </c>
      <c r="BO143" s="138">
        <f t="shared" si="5"/>
        <v>2015</v>
      </c>
    </row>
    <row r="144" spans="2:67" x14ac:dyDescent="0.25">
      <c r="B144" s="138" t="s">
        <v>554</v>
      </c>
      <c r="C144" s="138" t="s">
        <v>555</v>
      </c>
      <c r="D144" s="138" t="s">
        <v>1191</v>
      </c>
      <c r="E144" s="138" t="s">
        <v>1190</v>
      </c>
      <c r="BN144" s="138" t="str">
        <f t="shared" si="4"/>
        <v>No reported value</v>
      </c>
      <c r="BO144" s="138" t="str">
        <f t="shared" si="5"/>
        <v>No reported value</v>
      </c>
    </row>
    <row r="145" spans="2:67" x14ac:dyDescent="0.25">
      <c r="B145" s="138" t="s">
        <v>245</v>
      </c>
      <c r="C145" s="138" t="s">
        <v>81</v>
      </c>
      <c r="D145" s="138" t="s">
        <v>1191</v>
      </c>
      <c r="E145" s="138" t="s">
        <v>1190</v>
      </c>
      <c r="F145" s="138">
        <v>0.223</v>
      </c>
      <c r="K145" s="138">
        <v>0.17199999999999999</v>
      </c>
      <c r="P145" s="138">
        <v>0.16900000000000001</v>
      </c>
      <c r="U145" s="138">
        <v>0.16900000000000001</v>
      </c>
      <c r="AA145" s="138">
        <v>0.13400000000000001</v>
      </c>
      <c r="AB145" s="138">
        <v>0.13400000000000001</v>
      </c>
      <c r="AE145" s="138">
        <v>0.18099999999999999</v>
      </c>
      <c r="AI145" s="138">
        <v>0.14599999999999999</v>
      </c>
      <c r="AK145" s="138">
        <v>0.1391</v>
      </c>
      <c r="AL145" s="138">
        <v>0.16539999999999999</v>
      </c>
      <c r="AM145" s="138">
        <v>0.20710000000000001</v>
      </c>
      <c r="AN145" s="138">
        <v>0.18479999999999999</v>
      </c>
      <c r="AO145" s="138">
        <v>0.2218</v>
      </c>
      <c r="AP145" s="138">
        <v>0.27850000000000003</v>
      </c>
      <c r="AQ145" s="138">
        <v>0.30459999999999998</v>
      </c>
      <c r="AR145" s="138">
        <v>0.34610000000000002</v>
      </c>
      <c r="AS145" s="138">
        <v>0.37459999999999999</v>
      </c>
      <c r="AT145" s="138">
        <v>0.42399999999999999</v>
      </c>
      <c r="AU145" s="138">
        <v>0.44330000000000003</v>
      </c>
      <c r="AX145" s="138">
        <v>0.54090000000000005</v>
      </c>
      <c r="AY145" s="138">
        <v>0.52229999999999999</v>
      </c>
      <c r="AZ145" s="138">
        <v>0.52259999999999995</v>
      </c>
      <c r="BA145" s="138">
        <v>0.55640000000000001</v>
      </c>
      <c r="BB145" s="138">
        <v>0.62560000000000004</v>
      </c>
      <c r="BC145" s="138">
        <v>0.68430000000000002</v>
      </c>
      <c r="BD145" s="138">
        <v>0.72619999999999996</v>
      </c>
      <c r="BG145" s="138">
        <v>1.0869</v>
      </c>
      <c r="BI145" s="138">
        <v>0.97460000000000002</v>
      </c>
      <c r="BJ145" s="138">
        <v>1.0578000000000001</v>
      </c>
      <c r="BK145" s="138">
        <v>0.95799999999999996</v>
      </c>
      <c r="BN145" s="138">
        <f t="shared" si="4"/>
        <v>0.95799999999999996</v>
      </c>
      <c r="BO145" s="138">
        <f t="shared" si="5"/>
        <v>2017</v>
      </c>
    </row>
    <row r="146" spans="2:67" x14ac:dyDescent="0.25">
      <c r="B146" s="138" t="s">
        <v>561</v>
      </c>
      <c r="C146" s="138" t="s">
        <v>562</v>
      </c>
      <c r="D146" s="138" t="s">
        <v>1191</v>
      </c>
      <c r="E146" s="138" t="s">
        <v>1190</v>
      </c>
      <c r="AJ146" s="138">
        <v>0.87594571321191605</v>
      </c>
      <c r="AT146" s="138">
        <v>0.6154650631376487</v>
      </c>
      <c r="BI146" s="138">
        <v>0.74709085356064975</v>
      </c>
      <c r="BN146" s="138">
        <f t="shared" si="4"/>
        <v>0.74709085356064975</v>
      </c>
      <c r="BO146" s="138">
        <f t="shared" si="5"/>
        <v>2015</v>
      </c>
    </row>
    <row r="147" spans="2:67" x14ac:dyDescent="0.25">
      <c r="B147" s="138" t="s">
        <v>557</v>
      </c>
      <c r="C147" s="138" t="s">
        <v>558</v>
      </c>
      <c r="D147" s="138" t="s">
        <v>1191</v>
      </c>
      <c r="E147" s="138" t="s">
        <v>1190</v>
      </c>
      <c r="AJ147" s="138">
        <v>1.0637687379764684</v>
      </c>
      <c r="AT147" s="138">
        <v>1.0216518092992626</v>
      </c>
      <c r="BI147" s="138">
        <v>1.2178516305659948</v>
      </c>
      <c r="BN147" s="138">
        <f t="shared" si="4"/>
        <v>1.2178516305659948</v>
      </c>
      <c r="BO147" s="138">
        <f t="shared" si="5"/>
        <v>2015</v>
      </c>
    </row>
    <row r="148" spans="2:67" x14ac:dyDescent="0.25">
      <c r="B148" s="138" t="s">
        <v>200</v>
      </c>
      <c r="C148" s="138" t="s">
        <v>167</v>
      </c>
      <c r="D148" s="138" t="s">
        <v>1191</v>
      </c>
      <c r="E148" s="138" t="s">
        <v>1190</v>
      </c>
      <c r="F148" s="138">
        <v>4.2000000000000003E-2</v>
      </c>
      <c r="K148" s="138">
        <v>4.8000000000000001E-2</v>
      </c>
      <c r="P148" s="138">
        <v>3.2000000000000001E-2</v>
      </c>
      <c r="U148" s="138">
        <v>3.2000000000000001E-2</v>
      </c>
      <c r="AE148" s="138">
        <v>7.0999999999999994E-2</v>
      </c>
      <c r="AJ148" s="138">
        <v>4.2999999999999997E-2</v>
      </c>
      <c r="AM148" s="138">
        <v>0.05</v>
      </c>
      <c r="AO148" s="138">
        <v>5.3999999999999999E-2</v>
      </c>
      <c r="AW148" s="138">
        <v>4.6399999999999997E-2</v>
      </c>
      <c r="BD148" s="138">
        <v>6.7599999999999993E-2</v>
      </c>
      <c r="BN148" s="138">
        <f t="shared" si="4"/>
        <v>6.7599999999999993E-2</v>
      </c>
      <c r="BO148" s="138">
        <f t="shared" si="5"/>
        <v>2010</v>
      </c>
    </row>
    <row r="149" spans="2:67" x14ac:dyDescent="0.25">
      <c r="B149" s="138" t="s">
        <v>541</v>
      </c>
      <c r="C149" s="138" t="s">
        <v>542</v>
      </c>
      <c r="D149" s="138" t="s">
        <v>1191</v>
      </c>
      <c r="E149" s="138" t="s">
        <v>1190</v>
      </c>
      <c r="AJ149" s="138">
        <v>1.3671398726791915</v>
      </c>
      <c r="AT149" s="138">
        <v>1.4538187370888338</v>
      </c>
      <c r="BI149" s="138">
        <v>1.9456894274001637</v>
      </c>
      <c r="BN149" s="138">
        <f t="shared" si="4"/>
        <v>1.9456894274001637</v>
      </c>
      <c r="BO149" s="138">
        <f t="shared" si="5"/>
        <v>2015</v>
      </c>
    </row>
    <row r="150" spans="2:67" x14ac:dyDescent="0.25">
      <c r="B150" s="138" t="s">
        <v>556</v>
      </c>
      <c r="C150" s="138" t="s">
        <v>82</v>
      </c>
      <c r="D150" s="138" t="s">
        <v>1191</v>
      </c>
      <c r="E150" s="138" t="s">
        <v>1190</v>
      </c>
      <c r="AE150" s="138">
        <v>3.72</v>
      </c>
      <c r="AF150" s="138">
        <v>3.8159999999999998</v>
      </c>
      <c r="AG150" s="138">
        <v>3.8849999999999998</v>
      </c>
      <c r="AH150" s="138">
        <v>3.9409999999999998</v>
      </c>
      <c r="AI150" s="138">
        <v>3.9769999999999999</v>
      </c>
      <c r="AJ150" s="138">
        <v>4.0270000000000001</v>
      </c>
      <c r="AK150" s="138">
        <v>3.9049999999999998</v>
      </c>
      <c r="AL150" s="138">
        <v>3.9279999999999999</v>
      </c>
      <c r="AM150" s="138">
        <v>3.9780000000000002</v>
      </c>
      <c r="AN150" s="138">
        <v>4.0910000000000002</v>
      </c>
      <c r="AO150" s="138">
        <v>4.0636000000000001</v>
      </c>
      <c r="AP150" s="138">
        <v>4.0965999999999996</v>
      </c>
      <c r="AQ150" s="138">
        <v>4.1222000000000003</v>
      </c>
      <c r="AR150" s="138">
        <v>4.1130000000000004</v>
      </c>
      <c r="AS150" s="138">
        <v>4.1307</v>
      </c>
      <c r="AT150" s="138">
        <v>4.01</v>
      </c>
      <c r="AU150" s="138">
        <v>4.0270000000000001</v>
      </c>
      <c r="AZ150" s="138">
        <v>3.95</v>
      </c>
      <c r="BA150" s="138">
        <v>4.0339999999999998</v>
      </c>
      <c r="BB150" s="138">
        <v>3.6640000000000001</v>
      </c>
      <c r="BD150" s="138">
        <v>3.9138000000000002</v>
      </c>
      <c r="BE150" s="138">
        <v>4.0284000000000004</v>
      </c>
      <c r="BF150" s="138">
        <v>4.1497000000000002</v>
      </c>
      <c r="BG150" s="138">
        <v>4.2205000000000004</v>
      </c>
      <c r="BH150" s="138">
        <v>4.2645999999999997</v>
      </c>
      <c r="BI150" s="138">
        <v>4.2992999999999997</v>
      </c>
      <c r="BJ150" s="138">
        <v>4.3369999999999997</v>
      </c>
      <c r="BN150" s="138">
        <f t="shared" si="4"/>
        <v>4.3369999999999997</v>
      </c>
      <c r="BO150" s="138">
        <f t="shared" si="5"/>
        <v>2016</v>
      </c>
    </row>
    <row r="151" spans="2:67" x14ac:dyDescent="0.25">
      <c r="B151" s="138" t="s">
        <v>563</v>
      </c>
      <c r="C151" s="138" t="s">
        <v>83</v>
      </c>
      <c r="D151" s="138" t="s">
        <v>1191</v>
      </c>
      <c r="E151" s="138" t="s">
        <v>1190</v>
      </c>
      <c r="F151" s="138">
        <v>1</v>
      </c>
      <c r="G151" s="138">
        <v>1</v>
      </c>
      <c r="H151" s="138">
        <v>1</v>
      </c>
      <c r="I151" s="138">
        <v>1</v>
      </c>
      <c r="J151" s="138">
        <v>1</v>
      </c>
      <c r="K151" s="138">
        <v>1</v>
      </c>
      <c r="L151" s="138">
        <v>1</v>
      </c>
      <c r="M151" s="138">
        <v>1</v>
      </c>
      <c r="N151" s="138">
        <v>1.1000000000000001</v>
      </c>
      <c r="O151" s="138">
        <v>1.1000000000000001</v>
      </c>
      <c r="P151" s="138">
        <v>1.1000000000000001</v>
      </c>
      <c r="Q151" s="138">
        <v>1.2</v>
      </c>
      <c r="R151" s="138">
        <v>1.2</v>
      </c>
      <c r="S151" s="138">
        <v>1.2</v>
      </c>
      <c r="T151" s="138">
        <v>1.2</v>
      </c>
      <c r="U151" s="138">
        <v>1.3</v>
      </c>
      <c r="V151" s="138">
        <v>1.3</v>
      </c>
      <c r="W151" s="138">
        <v>1.3</v>
      </c>
      <c r="X151" s="138">
        <v>1.5</v>
      </c>
      <c r="Y151" s="138">
        <v>1.6</v>
      </c>
      <c r="Z151" s="138">
        <v>1.7</v>
      </c>
      <c r="AA151" s="138">
        <v>1.5</v>
      </c>
      <c r="AB151" s="138">
        <v>1.7</v>
      </c>
      <c r="AC151" s="138">
        <v>1.7</v>
      </c>
      <c r="AD151" s="138">
        <v>1.7</v>
      </c>
      <c r="AE151" s="138">
        <v>1.8</v>
      </c>
      <c r="AF151" s="138">
        <v>1.9</v>
      </c>
      <c r="AG151" s="138">
        <v>1.8</v>
      </c>
      <c r="AH151" s="138">
        <v>1.9</v>
      </c>
      <c r="AI151" s="138">
        <v>2</v>
      </c>
      <c r="AJ151" s="138">
        <v>2</v>
      </c>
      <c r="AK151" s="138">
        <v>2</v>
      </c>
      <c r="AL151" s="138">
        <v>2.1</v>
      </c>
      <c r="AM151" s="138">
        <v>2.1</v>
      </c>
      <c r="AN151" s="138">
        <v>2.2000000000000002</v>
      </c>
      <c r="AO151" s="138">
        <v>2.2000000000000002</v>
      </c>
      <c r="AP151" s="138">
        <v>2.2999999999999998</v>
      </c>
      <c r="AQ151" s="138">
        <v>2.4</v>
      </c>
      <c r="AR151" s="138">
        <v>2.4</v>
      </c>
      <c r="AS151" s="138">
        <v>2.5</v>
      </c>
      <c r="AT151" s="138">
        <v>2.5</v>
      </c>
      <c r="AU151" s="138">
        <v>2.5</v>
      </c>
      <c r="AV151" s="138">
        <v>2.6</v>
      </c>
      <c r="AW151" s="138">
        <v>2.7</v>
      </c>
      <c r="AX151" s="138">
        <v>2.73</v>
      </c>
      <c r="AY151" s="138">
        <v>2.8519999999999999</v>
      </c>
      <c r="BA151" s="138">
        <v>2.8620000000000001</v>
      </c>
      <c r="BD151" s="138">
        <v>2.7643</v>
      </c>
      <c r="BE151" s="138">
        <v>2.7486000000000002</v>
      </c>
      <c r="BF151" s="138">
        <v>2.7761</v>
      </c>
      <c r="BG151" s="138">
        <v>2.7997000000000001</v>
      </c>
      <c r="BH151" s="138">
        <v>2.8563999999999998</v>
      </c>
      <c r="BI151" s="138">
        <v>2.9222000000000001</v>
      </c>
      <c r="BJ151" s="138">
        <v>2.9234</v>
      </c>
      <c r="BK151" s="138">
        <v>3.0266000000000002</v>
      </c>
      <c r="BN151" s="138">
        <f t="shared" si="4"/>
        <v>3.0266000000000002</v>
      </c>
      <c r="BO151" s="138">
        <f t="shared" si="5"/>
        <v>2017</v>
      </c>
    </row>
    <row r="152" spans="2:67" x14ac:dyDescent="0.25">
      <c r="B152" s="138" t="s">
        <v>549</v>
      </c>
      <c r="C152" s="138" t="s">
        <v>84</v>
      </c>
      <c r="D152" s="138" t="s">
        <v>1191</v>
      </c>
      <c r="E152" s="138" t="s">
        <v>1190</v>
      </c>
      <c r="Z152" s="138">
        <v>3.6230000000000002</v>
      </c>
      <c r="AE152" s="138">
        <v>4.0990000000000002</v>
      </c>
      <c r="AF152" s="138">
        <v>4.077</v>
      </c>
      <c r="AG152" s="138">
        <v>4.1120000000000001</v>
      </c>
      <c r="AH152" s="138">
        <v>4.1829999999999998</v>
      </c>
      <c r="AI152" s="138">
        <v>4.1619999999999999</v>
      </c>
      <c r="AJ152" s="138">
        <v>4.6933999999999996</v>
      </c>
      <c r="AK152" s="138">
        <v>4.6063000000000001</v>
      </c>
      <c r="AL152" s="138">
        <v>4.0839999999999996</v>
      </c>
      <c r="AM152" s="138">
        <v>3.6198999999999999</v>
      </c>
      <c r="AN152" s="138">
        <v>3.4133</v>
      </c>
      <c r="AO152" s="138">
        <v>3.3481999999999998</v>
      </c>
      <c r="AP152" s="138">
        <v>3.4803000000000002</v>
      </c>
      <c r="AQ152" s="138">
        <v>3.4218999999999999</v>
      </c>
      <c r="AR152" s="138">
        <v>3.2766999999999999</v>
      </c>
      <c r="AS152" s="138">
        <v>3.3391000000000002</v>
      </c>
      <c r="AT152" s="138">
        <v>3.4117999999999999</v>
      </c>
      <c r="AU152" s="138">
        <v>3.2831999999999999</v>
      </c>
      <c r="AV152" s="138">
        <v>3.3959000000000001</v>
      </c>
      <c r="AW152" s="138">
        <v>3.4188000000000001</v>
      </c>
      <c r="AX152" s="138">
        <v>3.5486</v>
      </c>
      <c r="AY152" s="138">
        <v>3.6442999999999999</v>
      </c>
      <c r="AZ152" s="138">
        <v>3.7484000000000002</v>
      </c>
      <c r="BA152" s="138">
        <v>3.6452</v>
      </c>
      <c r="BB152" s="138">
        <v>3.8845999999999998</v>
      </c>
      <c r="BC152" s="138">
        <v>3.7122999999999999</v>
      </c>
      <c r="BD152" s="138">
        <v>3.0758000000000001</v>
      </c>
      <c r="BE152" s="138">
        <v>3.0853000000000002</v>
      </c>
      <c r="BF152" s="138">
        <v>3.0952000000000002</v>
      </c>
      <c r="BG152" s="138">
        <v>3.1473</v>
      </c>
      <c r="BH152" s="138">
        <v>3.1804000000000001</v>
      </c>
      <c r="BI152" s="138">
        <v>3.1736</v>
      </c>
      <c r="BJ152" s="138">
        <v>3.1945999999999999</v>
      </c>
      <c r="BN152" s="138">
        <f t="shared" si="4"/>
        <v>3.1945999999999999</v>
      </c>
      <c r="BO152" s="138">
        <f t="shared" si="5"/>
        <v>2016</v>
      </c>
    </row>
    <row r="153" spans="2:67" x14ac:dyDescent="0.25">
      <c r="B153" s="138" t="s">
        <v>564</v>
      </c>
      <c r="C153" s="138" t="s">
        <v>565</v>
      </c>
      <c r="D153" s="138" t="s">
        <v>1191</v>
      </c>
      <c r="E153" s="138" t="s">
        <v>1190</v>
      </c>
      <c r="F153" s="138">
        <v>0.41</v>
      </c>
      <c r="P153" s="138">
        <v>0.63400000000000001</v>
      </c>
      <c r="Z153" s="138">
        <v>1.0669999999999999</v>
      </c>
      <c r="AA153" s="138">
        <v>1.1220000000000001</v>
      </c>
      <c r="AF153" s="138">
        <v>2.4279999999999999</v>
      </c>
      <c r="AG153" s="138">
        <v>1.5620000000000001</v>
      </c>
      <c r="BN153" s="138">
        <f t="shared" si="4"/>
        <v>1.5620000000000001</v>
      </c>
      <c r="BO153" s="138">
        <f t="shared" si="5"/>
        <v>1987</v>
      </c>
    </row>
    <row r="154" spans="2:67" x14ac:dyDescent="0.25">
      <c r="B154" s="138" t="s">
        <v>640</v>
      </c>
      <c r="C154" s="138" t="s">
        <v>641</v>
      </c>
      <c r="D154" s="138" t="s">
        <v>1191</v>
      </c>
      <c r="E154" s="138" t="s">
        <v>1190</v>
      </c>
      <c r="BN154" s="138" t="str">
        <f t="shared" si="4"/>
        <v>No reported value</v>
      </c>
      <c r="BO154" s="138" t="str">
        <f t="shared" si="5"/>
        <v>No reported value</v>
      </c>
    </row>
    <row r="155" spans="2:67" x14ac:dyDescent="0.25">
      <c r="B155" s="138" t="s">
        <v>583</v>
      </c>
      <c r="C155" s="138" t="s">
        <v>85</v>
      </c>
      <c r="D155" s="138" t="s">
        <v>1191</v>
      </c>
      <c r="E155" s="138" t="s">
        <v>1190</v>
      </c>
      <c r="F155" s="138">
        <v>0.106</v>
      </c>
      <c r="K155" s="138">
        <v>8.2000000000000003E-2</v>
      </c>
      <c r="P155" s="138">
        <v>7.5999999999999998E-2</v>
      </c>
      <c r="U155" s="138">
        <v>7.5999999999999998E-2</v>
      </c>
      <c r="AA155" s="138">
        <v>5.3999999999999999E-2</v>
      </c>
      <c r="AB155" s="138">
        <v>6.4000000000000001E-2</v>
      </c>
      <c r="AG155" s="138">
        <v>0.217</v>
      </c>
      <c r="AH155" s="138">
        <v>0.214</v>
      </c>
      <c r="AM155" s="138">
        <v>0.214</v>
      </c>
      <c r="AN155" s="138">
        <v>0.36299999999999999</v>
      </c>
      <c r="AQ155" s="138">
        <v>0.46</v>
      </c>
      <c r="AU155" s="138">
        <v>0.48299999999999998</v>
      </c>
      <c r="AX155" s="138">
        <v>0.52990000000000004</v>
      </c>
      <c r="BA155" s="138">
        <v>0.58509999999999995</v>
      </c>
      <c r="BC155" s="138">
        <v>0.64649999999999996</v>
      </c>
      <c r="BD155" s="138">
        <v>0.62</v>
      </c>
      <c r="BG155" s="138">
        <v>0.63</v>
      </c>
      <c r="BH155" s="138">
        <v>0.61040000000000005</v>
      </c>
      <c r="BK155" s="138">
        <v>0.72729999999999995</v>
      </c>
      <c r="BN155" s="138">
        <f t="shared" si="4"/>
        <v>0.72729999999999995</v>
      </c>
      <c r="BO155" s="138">
        <f t="shared" si="5"/>
        <v>2017</v>
      </c>
    </row>
    <row r="156" spans="2:67" x14ac:dyDescent="0.25">
      <c r="B156" s="138" t="s">
        <v>581</v>
      </c>
      <c r="C156" s="138" t="s">
        <v>86</v>
      </c>
      <c r="D156" s="138" t="s">
        <v>1191</v>
      </c>
      <c r="E156" s="138" t="s">
        <v>1190</v>
      </c>
      <c r="P156" s="138">
        <v>2.4</v>
      </c>
      <c r="Q156" s="138">
        <v>1.958</v>
      </c>
      <c r="R156" s="138">
        <v>2.2080000000000002</v>
      </c>
      <c r="S156" s="138">
        <v>2.25</v>
      </c>
      <c r="T156" s="138">
        <v>2.375</v>
      </c>
      <c r="U156" s="138">
        <v>2.36</v>
      </c>
      <c r="V156" s="138">
        <v>2.4169999999999998</v>
      </c>
      <c r="W156" s="138">
        <v>2.4</v>
      </c>
      <c r="X156" s="138">
        <v>2.3199999999999998</v>
      </c>
      <c r="Y156" s="138">
        <v>2.36</v>
      </c>
      <c r="Z156" s="138">
        <v>2.3849999999999998</v>
      </c>
      <c r="AA156" s="138">
        <v>2.2309999999999999</v>
      </c>
      <c r="AB156" s="138">
        <v>2.1850000000000001</v>
      </c>
      <c r="AI156" s="138">
        <v>2.8570000000000002</v>
      </c>
      <c r="AL156" s="138">
        <v>3</v>
      </c>
      <c r="AO156" s="138">
        <v>5.81</v>
      </c>
      <c r="BE156" s="138">
        <v>6.6666999999999996</v>
      </c>
      <c r="BF156" s="138">
        <v>6.7195999999999998</v>
      </c>
      <c r="BG156" s="138">
        <v>6.5789</v>
      </c>
      <c r="BH156" s="138">
        <v>6.5617000000000001</v>
      </c>
      <c r="BN156" s="138">
        <f t="shared" si="4"/>
        <v>6.5617000000000001</v>
      </c>
      <c r="BO156" s="138">
        <f t="shared" si="5"/>
        <v>2014</v>
      </c>
    </row>
    <row r="157" spans="2:67" x14ac:dyDescent="0.25">
      <c r="B157" s="138" t="s">
        <v>580</v>
      </c>
      <c r="C157" s="138" t="s">
        <v>87</v>
      </c>
      <c r="D157" s="138" t="s">
        <v>1191</v>
      </c>
      <c r="E157" s="138" t="s">
        <v>1190</v>
      </c>
      <c r="Z157" s="138">
        <v>2.8159999999999998</v>
      </c>
      <c r="AA157" s="138">
        <v>2.895</v>
      </c>
      <c r="AB157" s="138">
        <v>3.0070000000000001</v>
      </c>
      <c r="AC157" s="138">
        <v>3.089</v>
      </c>
      <c r="AD157" s="138">
        <v>3.1930000000000001</v>
      </c>
      <c r="AE157" s="138">
        <v>3.2970000000000002</v>
      </c>
      <c r="AF157" s="138">
        <v>3.37</v>
      </c>
      <c r="AG157" s="138">
        <v>3.444</v>
      </c>
      <c r="AH157" s="138">
        <v>3.52</v>
      </c>
      <c r="AI157" s="138">
        <v>3.573</v>
      </c>
      <c r="AJ157" s="138">
        <v>3.55</v>
      </c>
      <c r="AK157" s="138">
        <v>3.484</v>
      </c>
      <c r="AL157" s="138">
        <v>3.51</v>
      </c>
      <c r="AM157" s="138">
        <v>3.5550000000000002</v>
      </c>
      <c r="AN157" s="138">
        <v>3.5640000000000001</v>
      </c>
      <c r="AO157" s="138">
        <v>3.5129999999999999</v>
      </c>
      <c r="AP157" s="138">
        <v>3.5619999999999998</v>
      </c>
      <c r="AQ157" s="138">
        <v>3.5819999999999999</v>
      </c>
      <c r="AR157" s="138">
        <v>3.6309999999999998</v>
      </c>
      <c r="AS157" s="138">
        <v>3.2450000000000001</v>
      </c>
      <c r="AT157" s="138">
        <v>3.18</v>
      </c>
      <c r="AU157" s="138">
        <v>2.694</v>
      </c>
      <c r="AW157" s="138">
        <v>2.6360000000000001</v>
      </c>
      <c r="AZ157" s="138">
        <v>2.66</v>
      </c>
      <c r="BA157" s="138">
        <v>2.6680000000000001</v>
      </c>
      <c r="BD157" s="138">
        <v>2.4390000000000001</v>
      </c>
      <c r="BE157" s="138">
        <v>2.4672999999999998</v>
      </c>
      <c r="BF157" s="138">
        <v>2.4695</v>
      </c>
      <c r="BG157" s="138">
        <v>2.5619000000000001</v>
      </c>
      <c r="BH157" s="138">
        <v>2.5388999999999999</v>
      </c>
      <c r="BI157" s="138">
        <v>3.2002000000000002</v>
      </c>
      <c r="BN157" s="138">
        <f t="shared" si="4"/>
        <v>3.2002000000000002</v>
      </c>
      <c r="BO157" s="138">
        <f t="shared" si="5"/>
        <v>2015</v>
      </c>
    </row>
    <row r="158" spans="2:67" x14ac:dyDescent="0.25">
      <c r="B158" s="138" t="s">
        <v>202</v>
      </c>
      <c r="C158" s="138" t="s">
        <v>88</v>
      </c>
      <c r="D158" s="138" t="s">
        <v>1191</v>
      </c>
      <c r="E158" s="138" t="s">
        <v>1190</v>
      </c>
      <c r="F158" s="138">
        <v>0.115</v>
      </c>
      <c r="K158" s="138">
        <v>9.2999999999999999E-2</v>
      </c>
      <c r="P158" s="138">
        <v>9.7000000000000003E-2</v>
      </c>
      <c r="U158" s="138">
        <v>9.6000000000000002E-2</v>
      </c>
      <c r="AA158" s="138">
        <v>9.9000000000000005E-2</v>
      </c>
      <c r="AE158" s="138">
        <v>0.10100000000000001</v>
      </c>
      <c r="AJ158" s="138">
        <v>0.12</v>
      </c>
      <c r="AO158" s="138">
        <v>0.27200000000000002</v>
      </c>
      <c r="AP158" s="138">
        <v>0.107</v>
      </c>
      <c r="AU158" s="138">
        <v>8.6999999999999994E-2</v>
      </c>
      <c r="AV158" s="138">
        <v>0.13619999999999999</v>
      </c>
      <c r="AW158" s="138">
        <v>0.14760000000000001</v>
      </c>
      <c r="AX158" s="138">
        <v>0.15620000000000001</v>
      </c>
      <c r="AY158" s="138">
        <v>0.18010000000000001</v>
      </c>
      <c r="AZ158" s="138">
        <v>0.17050000000000001</v>
      </c>
      <c r="BA158" s="138">
        <v>0.18129999999999999</v>
      </c>
      <c r="BB158" s="138">
        <v>0.186</v>
      </c>
      <c r="BC158" s="138">
        <v>0.18129999999999999</v>
      </c>
      <c r="BD158" s="138">
        <v>0.1953</v>
      </c>
      <c r="BE158" s="138">
        <v>0.14399999999999999</v>
      </c>
      <c r="BF158" s="138">
        <v>0.14269999999999999</v>
      </c>
      <c r="BH158" s="138">
        <v>0.1812</v>
      </c>
      <c r="BN158" s="138">
        <f t="shared" si="4"/>
        <v>0.1812</v>
      </c>
      <c r="BO158" s="138">
        <f t="shared" si="5"/>
        <v>2014</v>
      </c>
    </row>
    <row r="159" spans="2:67" x14ac:dyDescent="0.25">
      <c r="B159" s="138" t="s">
        <v>243</v>
      </c>
      <c r="C159" s="138" t="s">
        <v>89</v>
      </c>
      <c r="D159" s="138" t="s">
        <v>1191</v>
      </c>
      <c r="E159" s="138" t="s">
        <v>1190</v>
      </c>
      <c r="P159" s="138">
        <v>3.3000000000000002E-2</v>
      </c>
      <c r="AA159" s="138">
        <v>4.9000000000000002E-2</v>
      </c>
      <c r="AB159" s="138">
        <v>6.5000000000000002E-2</v>
      </c>
      <c r="AJ159" s="138">
        <v>7.0000000000000007E-2</v>
      </c>
      <c r="AK159" s="138">
        <v>0.1915</v>
      </c>
      <c r="AM159" s="138">
        <v>0.28449999999999998</v>
      </c>
      <c r="AO159" s="138">
        <v>0.4</v>
      </c>
      <c r="AP159" s="138">
        <v>0.66720000000000002</v>
      </c>
      <c r="AT159" s="138">
        <v>0.77700000000000002</v>
      </c>
      <c r="AX159" s="138">
        <v>0.97289999999999999</v>
      </c>
      <c r="BA159" s="138">
        <v>1.6424000000000001</v>
      </c>
      <c r="BC159" s="138">
        <v>1.4838</v>
      </c>
      <c r="BD159" s="138">
        <v>1.4402999999999999</v>
      </c>
      <c r="BH159" s="138">
        <v>1.8863000000000001</v>
      </c>
      <c r="BI159" s="138">
        <v>3.1381000000000001</v>
      </c>
      <c r="BJ159" s="138">
        <v>1.0379</v>
      </c>
      <c r="BN159" s="138">
        <f t="shared" si="4"/>
        <v>1.0379</v>
      </c>
      <c r="BO159" s="138">
        <f t="shared" si="5"/>
        <v>2016</v>
      </c>
    </row>
    <row r="160" spans="2:67" x14ac:dyDescent="0.25">
      <c r="B160" s="138" t="s">
        <v>572</v>
      </c>
      <c r="C160" s="138" t="s">
        <v>573</v>
      </c>
      <c r="D160" s="138" t="s">
        <v>1191</v>
      </c>
      <c r="E160" s="138" t="s">
        <v>1190</v>
      </c>
      <c r="AJ160" s="138">
        <v>0.68343453377920638</v>
      </c>
      <c r="AT160" s="138">
        <v>1.2504479845910703</v>
      </c>
      <c r="BI160" s="138">
        <v>1.2594005996531696</v>
      </c>
      <c r="BN160" s="138">
        <f t="shared" si="4"/>
        <v>1.2594005996531696</v>
      </c>
      <c r="BO160" s="138">
        <f t="shared" si="5"/>
        <v>2015</v>
      </c>
    </row>
    <row r="161" spans="2:67" x14ac:dyDescent="0.25">
      <c r="B161" s="138" t="s">
        <v>569</v>
      </c>
      <c r="C161" s="138" t="s">
        <v>90</v>
      </c>
      <c r="D161" s="138" t="s">
        <v>1191</v>
      </c>
      <c r="E161" s="138" t="s">
        <v>1190</v>
      </c>
      <c r="AJ161" s="138">
        <v>1</v>
      </c>
      <c r="AK161" s="138">
        <v>1.1000000000000001</v>
      </c>
      <c r="AL161" s="138">
        <v>1.3</v>
      </c>
      <c r="AM161" s="138">
        <v>1.4</v>
      </c>
      <c r="AN161" s="138">
        <v>1.5</v>
      </c>
      <c r="AO161" s="138">
        <v>1.6</v>
      </c>
      <c r="AP161" s="138">
        <v>1.6</v>
      </c>
      <c r="AQ161" s="138">
        <v>1.4</v>
      </c>
      <c r="AR161" s="138">
        <v>1.2</v>
      </c>
      <c r="AS161" s="138">
        <v>1.7</v>
      </c>
      <c r="AT161" s="138">
        <v>1.9258999999999999</v>
      </c>
      <c r="AU161" s="138">
        <v>1.5</v>
      </c>
      <c r="AV161" s="138">
        <v>1.5</v>
      </c>
      <c r="AW161" s="138">
        <v>1.5</v>
      </c>
      <c r="AX161" s="138">
        <v>2.8929999999999998</v>
      </c>
      <c r="AY161" s="138">
        <v>1.7490000000000001</v>
      </c>
      <c r="AZ161" s="138">
        <v>1.8640000000000001</v>
      </c>
      <c r="BA161" s="138">
        <v>1.8879999999999999</v>
      </c>
      <c r="BB161" s="138">
        <v>1.925</v>
      </c>
      <c r="BC161" s="138">
        <v>1.9590000000000001</v>
      </c>
      <c r="BD161" s="138">
        <v>2.1747000000000001</v>
      </c>
      <c r="BE161" s="138">
        <v>2.0405000000000002</v>
      </c>
      <c r="BF161" s="138">
        <v>2.0497000000000001</v>
      </c>
      <c r="BG161" s="138">
        <v>2.0914999999999999</v>
      </c>
      <c r="BH161" s="138">
        <v>2.1383000000000001</v>
      </c>
      <c r="BI161" s="138">
        <v>2.2513000000000001</v>
      </c>
      <c r="BJ161" s="138">
        <v>2.2477999999999998</v>
      </c>
      <c r="BN161" s="138">
        <f t="shared" si="4"/>
        <v>2.2477999999999998</v>
      </c>
      <c r="BO161" s="138">
        <f t="shared" si="5"/>
        <v>2016</v>
      </c>
    </row>
    <row r="162" spans="2:67" x14ac:dyDescent="0.25">
      <c r="B162" s="138" t="s">
        <v>568</v>
      </c>
      <c r="C162" s="138" t="s">
        <v>91</v>
      </c>
      <c r="D162" s="138" t="s">
        <v>1191</v>
      </c>
      <c r="E162" s="138" t="s">
        <v>1190</v>
      </c>
      <c r="AP162" s="138">
        <v>0.42199999999999999</v>
      </c>
      <c r="AT162" s="138">
        <v>0.47099999999999997</v>
      </c>
      <c r="BA162" s="138">
        <v>0.59499999999999997</v>
      </c>
      <c r="BB162" s="138">
        <v>0.45600000000000002</v>
      </c>
      <c r="BD162" s="138">
        <v>0.61070000000000002</v>
      </c>
      <c r="BE162" s="138">
        <v>0.62860000000000005</v>
      </c>
      <c r="BF162" s="138">
        <v>0.45540000000000003</v>
      </c>
      <c r="BN162" s="138">
        <f t="shared" si="4"/>
        <v>0.45540000000000003</v>
      </c>
      <c r="BO162" s="138">
        <f t="shared" si="5"/>
        <v>2012</v>
      </c>
    </row>
    <row r="163" spans="2:67" x14ac:dyDescent="0.25">
      <c r="B163" s="138" t="s">
        <v>578</v>
      </c>
      <c r="C163" s="138" t="s">
        <v>579</v>
      </c>
      <c r="D163" s="138" t="s">
        <v>1191</v>
      </c>
      <c r="E163" s="138" t="s">
        <v>1190</v>
      </c>
      <c r="AJ163" s="138">
        <v>1.1261610542668827</v>
      </c>
      <c r="AT163" s="138">
        <v>1.0825461104118281</v>
      </c>
      <c r="BI163" s="138">
        <v>1.3224198732485886</v>
      </c>
      <c r="BN163" s="138">
        <f t="shared" si="4"/>
        <v>1.3224198732485886</v>
      </c>
      <c r="BO163" s="138">
        <f t="shared" si="5"/>
        <v>2015</v>
      </c>
    </row>
    <row r="164" spans="2:67" x14ac:dyDescent="0.25">
      <c r="B164" s="138" t="s">
        <v>590</v>
      </c>
      <c r="C164" s="138" t="s">
        <v>591</v>
      </c>
      <c r="D164" s="138" t="s">
        <v>1191</v>
      </c>
      <c r="E164" s="138" t="s">
        <v>1190</v>
      </c>
      <c r="P164" s="138">
        <v>0.89</v>
      </c>
      <c r="Q164" s="138">
        <v>0.91900000000000004</v>
      </c>
      <c r="R164" s="138">
        <v>0.95299999999999996</v>
      </c>
      <c r="S164" s="138">
        <v>1.012</v>
      </c>
      <c r="T164" s="138">
        <v>1.0249999999999999</v>
      </c>
      <c r="U164" s="138">
        <v>1.121</v>
      </c>
      <c r="V164" s="138">
        <v>1.1140000000000001</v>
      </c>
      <c r="W164" s="138">
        <v>1.1579999999999999</v>
      </c>
      <c r="X164" s="138">
        <v>1.238</v>
      </c>
      <c r="Y164" s="138">
        <v>1.3109999999999999</v>
      </c>
      <c r="Z164" s="138">
        <v>1.3440000000000001</v>
      </c>
      <c r="AA164" s="138">
        <v>1.466</v>
      </c>
      <c r="AB164" s="138">
        <v>1.4950000000000001</v>
      </c>
      <c r="AC164" s="138">
        <v>1.679</v>
      </c>
      <c r="AD164" s="138">
        <v>1.671</v>
      </c>
      <c r="AE164" s="138">
        <v>1.8089999999999999</v>
      </c>
      <c r="AF164" s="138">
        <v>1.901</v>
      </c>
      <c r="AG164" s="138">
        <v>1.952</v>
      </c>
      <c r="AH164" s="138">
        <v>2.0329999999999999</v>
      </c>
      <c r="AI164" s="138">
        <v>2.14</v>
      </c>
      <c r="AJ164" s="138">
        <v>2.1680000000000001</v>
      </c>
      <c r="AK164" s="138">
        <v>2.3420000000000001</v>
      </c>
      <c r="AL164" s="138">
        <v>2.371</v>
      </c>
      <c r="AM164" s="138">
        <v>2.343</v>
      </c>
      <c r="AN164" s="138">
        <v>2.3149999999999999</v>
      </c>
      <c r="AO164" s="138">
        <v>2.2970000000000002</v>
      </c>
      <c r="AP164" s="138">
        <v>2.2509999999999999</v>
      </c>
      <c r="AQ164" s="138">
        <v>2.2490000000000001</v>
      </c>
      <c r="AR164" s="138">
        <v>2.246</v>
      </c>
      <c r="AS164" s="138">
        <v>2.2109999999999999</v>
      </c>
      <c r="AT164" s="138">
        <v>2.2010000000000001</v>
      </c>
      <c r="AU164" s="138">
        <v>2.1909999999999998</v>
      </c>
      <c r="AZ164" s="138">
        <v>2.5459999999999998</v>
      </c>
      <c r="BB164" s="138">
        <v>2.6269999999999998</v>
      </c>
      <c r="BC164" s="138">
        <v>2.5924</v>
      </c>
      <c r="BD164" s="138">
        <v>2.6758999999999999</v>
      </c>
      <c r="BE164" s="138">
        <v>2.7258</v>
      </c>
      <c r="BF164" s="138">
        <v>2.7747999999999999</v>
      </c>
      <c r="BG164" s="138">
        <v>2.7961999999999998</v>
      </c>
      <c r="BI164" s="138">
        <v>2.8736000000000002</v>
      </c>
      <c r="BN164" s="138">
        <f t="shared" si="4"/>
        <v>2.8736000000000002</v>
      </c>
      <c r="BO164" s="138">
        <f t="shared" si="5"/>
        <v>2015</v>
      </c>
    </row>
    <row r="165" spans="2:67" x14ac:dyDescent="0.25">
      <c r="B165" s="138" t="s">
        <v>204</v>
      </c>
      <c r="C165" s="138" t="s">
        <v>92</v>
      </c>
      <c r="D165" s="138" t="s">
        <v>1191</v>
      </c>
      <c r="E165" s="138" t="s">
        <v>1190</v>
      </c>
      <c r="F165" s="138">
        <v>1.4E-2</v>
      </c>
      <c r="K165" s="138">
        <v>1.9E-2</v>
      </c>
      <c r="P165" s="138">
        <v>2.3E-2</v>
      </c>
      <c r="U165" s="138">
        <v>2.3E-2</v>
      </c>
      <c r="Z165" s="138">
        <v>3.9E-2</v>
      </c>
      <c r="AA165" s="138">
        <v>3.7999999999999999E-2</v>
      </c>
      <c r="AE165" s="138">
        <v>3.9E-2</v>
      </c>
      <c r="AG165" s="138">
        <v>4.2999999999999997E-2</v>
      </c>
      <c r="AH165" s="138">
        <v>5.3999999999999999E-2</v>
      </c>
      <c r="AJ165" s="138">
        <v>5.0999999999999997E-2</v>
      </c>
      <c r="AN165" s="138">
        <v>4.7E-2</v>
      </c>
      <c r="AO165" s="138">
        <v>4.2999999999999997E-2</v>
      </c>
      <c r="AP165" s="138">
        <v>6.3E-2</v>
      </c>
      <c r="AT165" s="138">
        <v>4.3999999999999997E-2</v>
      </c>
      <c r="AX165" s="138">
        <v>8.5000000000000006E-2</v>
      </c>
      <c r="BA165" s="138">
        <v>7.7499999999999999E-2</v>
      </c>
      <c r="BB165" s="138">
        <v>4.9000000000000002E-2</v>
      </c>
      <c r="BC165" s="138">
        <v>9.2200000000000004E-2</v>
      </c>
      <c r="BD165" s="138">
        <v>0.1019</v>
      </c>
      <c r="BE165" s="138">
        <v>0.10349999999999999</v>
      </c>
      <c r="BF165" s="138">
        <v>0.1069</v>
      </c>
      <c r="BJ165" s="138">
        <v>0.13930000000000001</v>
      </c>
      <c r="BN165" s="138">
        <f t="shared" si="4"/>
        <v>0.13930000000000001</v>
      </c>
      <c r="BO165" s="138">
        <f t="shared" si="5"/>
        <v>2016</v>
      </c>
    </row>
    <row r="166" spans="2:67" x14ac:dyDescent="0.25">
      <c r="B166" s="138" t="s">
        <v>567</v>
      </c>
      <c r="C166" s="138" t="s">
        <v>93</v>
      </c>
      <c r="D166" s="138" t="s">
        <v>1191</v>
      </c>
      <c r="E166" s="138" t="s">
        <v>1190</v>
      </c>
      <c r="F166" s="138">
        <v>0.89100000000000001</v>
      </c>
      <c r="P166" s="138">
        <v>1.0720000000000001</v>
      </c>
      <c r="Q166" s="138">
        <v>1.026</v>
      </c>
      <c r="U166" s="138">
        <v>1.276</v>
      </c>
      <c r="AA166" s="138">
        <v>1.1719999999999999</v>
      </c>
      <c r="AB166" s="138">
        <v>1.266</v>
      </c>
      <c r="AD166" s="138">
        <v>1.38</v>
      </c>
      <c r="AG166" s="138">
        <v>2.032</v>
      </c>
      <c r="AH166" s="138">
        <v>2.0150000000000001</v>
      </c>
      <c r="AI166" s="138">
        <v>1.9730000000000001</v>
      </c>
      <c r="AJ166" s="138">
        <v>2.2589999999999999</v>
      </c>
      <c r="AK166" s="138">
        <v>2.4460000000000002</v>
      </c>
      <c r="AL166" s="138">
        <v>2.4220000000000002</v>
      </c>
      <c r="AM166" s="138">
        <v>2.4529999999999998</v>
      </c>
      <c r="AQ166" s="138">
        <v>2.4649999999999999</v>
      </c>
      <c r="AR166" s="138">
        <v>2.6070000000000002</v>
      </c>
      <c r="AS166" s="138">
        <v>2.5910000000000002</v>
      </c>
      <c r="AT166" s="138">
        <v>2.6539999999999999</v>
      </c>
      <c r="AU166" s="138">
        <v>2.9260000000000002</v>
      </c>
      <c r="AW166" s="138">
        <v>3.1829999999999998</v>
      </c>
      <c r="AZ166" s="138">
        <v>3.88</v>
      </c>
      <c r="BA166" s="138">
        <v>3.351</v>
      </c>
      <c r="BC166" s="138">
        <v>3.073</v>
      </c>
      <c r="BD166" s="138">
        <v>3.0737999999999999</v>
      </c>
      <c r="BE166" s="138">
        <v>3.1524999999999999</v>
      </c>
      <c r="BF166" s="138">
        <v>3.2818000000000001</v>
      </c>
      <c r="BG166" s="138">
        <v>3.4641000000000002</v>
      </c>
      <c r="BH166" s="138">
        <v>3.6795</v>
      </c>
      <c r="BI166" s="138">
        <v>3.8260000000000001</v>
      </c>
      <c r="BN166" s="138">
        <f t="shared" si="4"/>
        <v>3.8260000000000001</v>
      </c>
      <c r="BO166" s="138">
        <f t="shared" si="5"/>
        <v>2015</v>
      </c>
    </row>
    <row r="167" spans="2:67" x14ac:dyDescent="0.25">
      <c r="B167" s="138" t="s">
        <v>244</v>
      </c>
      <c r="C167" s="138" t="s">
        <v>94</v>
      </c>
      <c r="D167" s="138" t="s">
        <v>1191</v>
      </c>
      <c r="E167" s="138" t="s">
        <v>1190</v>
      </c>
      <c r="F167" s="138">
        <v>6.5000000000000002E-2</v>
      </c>
      <c r="K167" s="138">
        <v>8.5000000000000006E-2</v>
      </c>
      <c r="P167" s="138">
        <v>0.114</v>
      </c>
      <c r="AA167" s="138">
        <v>0.20300000000000001</v>
      </c>
      <c r="AE167" s="138">
        <v>0.27</v>
      </c>
      <c r="AI167" s="138">
        <v>8.1000000000000003E-2</v>
      </c>
      <c r="AJ167" s="138">
        <v>7.8E-2</v>
      </c>
      <c r="AO167" s="138">
        <v>0.29299999999999998</v>
      </c>
      <c r="AS167" s="138">
        <v>0.29699999999999999</v>
      </c>
      <c r="AT167" s="138">
        <v>0.30199999999999999</v>
      </c>
      <c r="AX167" s="138">
        <v>0.37009999999999998</v>
      </c>
      <c r="AY167" s="138">
        <v>0.38329999999999997</v>
      </c>
      <c r="AZ167" s="138">
        <v>0.41970000000000002</v>
      </c>
      <c r="BA167" s="138">
        <v>0.44330000000000003</v>
      </c>
      <c r="BB167" s="138">
        <v>0.47920000000000001</v>
      </c>
      <c r="BC167" s="138">
        <v>0.49270000000000003</v>
      </c>
      <c r="BD167" s="138">
        <v>0.52710000000000001</v>
      </c>
      <c r="BE167" s="138">
        <v>0.5554</v>
      </c>
      <c r="BF167" s="138">
        <v>0.58509999999999995</v>
      </c>
      <c r="BJ167" s="138">
        <v>0.62139999999999995</v>
      </c>
      <c r="BK167" s="138">
        <v>0.86399999999999999</v>
      </c>
      <c r="BN167" s="138">
        <f t="shared" si="4"/>
        <v>0.86399999999999999</v>
      </c>
      <c r="BO167" s="138">
        <f t="shared" si="5"/>
        <v>2017</v>
      </c>
    </row>
    <row r="168" spans="2:67" x14ac:dyDescent="0.25">
      <c r="B168" s="138" t="s">
        <v>574</v>
      </c>
      <c r="C168" s="138" t="s">
        <v>575</v>
      </c>
      <c r="D168" s="138" t="s">
        <v>1191</v>
      </c>
      <c r="E168" s="138" t="s">
        <v>1190</v>
      </c>
      <c r="AJ168" s="138">
        <v>0.57490006051476839</v>
      </c>
      <c r="AT168" s="138">
        <v>1.2214687489627283</v>
      </c>
      <c r="BI168" s="138">
        <v>1.0694376664304048</v>
      </c>
      <c r="BN168" s="138">
        <f t="shared" si="4"/>
        <v>1.0694376664304048</v>
      </c>
      <c r="BO168" s="138">
        <f t="shared" si="5"/>
        <v>2015</v>
      </c>
    </row>
    <row r="169" spans="2:67" x14ac:dyDescent="0.25">
      <c r="B169" s="138" t="s">
        <v>582</v>
      </c>
      <c r="C169" s="138" t="s">
        <v>95</v>
      </c>
      <c r="D169" s="138" t="s">
        <v>1191</v>
      </c>
      <c r="E169" s="138" t="s">
        <v>1190</v>
      </c>
      <c r="AZ169" s="138">
        <v>2.0299999999999998</v>
      </c>
      <c r="BA169" s="138">
        <v>1.986</v>
      </c>
      <c r="BC169" s="138">
        <v>2.0870000000000002</v>
      </c>
      <c r="BD169" s="138">
        <v>2.0310999999999999</v>
      </c>
      <c r="BE169" s="138">
        <v>2</v>
      </c>
      <c r="BF169" s="138">
        <v>2.0226999999999999</v>
      </c>
      <c r="BG169" s="138">
        <v>2.1335999999999999</v>
      </c>
      <c r="BH169" s="138">
        <v>2.1793999999999998</v>
      </c>
      <c r="BI169" s="138">
        <v>2.3336999999999999</v>
      </c>
      <c r="BN169" s="138">
        <f t="shared" si="4"/>
        <v>2.3336999999999999</v>
      </c>
      <c r="BO169" s="138">
        <f t="shared" si="5"/>
        <v>2015</v>
      </c>
    </row>
    <row r="170" spans="2:67" x14ac:dyDescent="0.25">
      <c r="B170" s="138" t="s">
        <v>250</v>
      </c>
      <c r="C170" s="138" t="s">
        <v>96</v>
      </c>
      <c r="D170" s="138" t="s">
        <v>1191</v>
      </c>
      <c r="E170" s="138" t="s">
        <v>1190</v>
      </c>
      <c r="F170" s="138">
        <v>0.91</v>
      </c>
      <c r="K170" s="138">
        <v>1.3779999999999999</v>
      </c>
      <c r="P170" s="138">
        <v>1.7290000000000001</v>
      </c>
      <c r="AJ170" s="138">
        <v>2.5379999999999998</v>
      </c>
      <c r="AK170" s="138">
        <v>2.6949999999999998</v>
      </c>
      <c r="AL170" s="138">
        <v>2.6179999999999999</v>
      </c>
      <c r="AR170" s="138">
        <v>2.4329999999999998</v>
      </c>
      <c r="AS170" s="138">
        <v>2.54</v>
      </c>
      <c r="AV170" s="138">
        <v>2.7547999999999999</v>
      </c>
      <c r="BB170" s="138">
        <v>2.8856999999999999</v>
      </c>
      <c r="BC170" s="138">
        <v>2.6758999999999999</v>
      </c>
      <c r="BD170" s="138">
        <v>2.7637</v>
      </c>
      <c r="BE170" s="138">
        <v>2.8763000000000001</v>
      </c>
      <c r="BF170" s="138">
        <v>3.0548999999999999</v>
      </c>
      <c r="BG170" s="138">
        <v>3.1059000000000001</v>
      </c>
      <c r="BH170" s="138">
        <v>3.1806999999999999</v>
      </c>
      <c r="BI170" s="138">
        <v>3.2425999999999999</v>
      </c>
      <c r="BJ170" s="138">
        <v>2.8866000000000001</v>
      </c>
      <c r="BN170" s="138">
        <f t="shared" si="4"/>
        <v>2.8866000000000001</v>
      </c>
      <c r="BO170" s="138">
        <f t="shared" si="5"/>
        <v>2016</v>
      </c>
    </row>
    <row r="171" spans="2:67" x14ac:dyDescent="0.25">
      <c r="B171" s="138" t="s">
        <v>592</v>
      </c>
      <c r="C171" s="138" t="s">
        <v>593</v>
      </c>
      <c r="D171" s="138" t="s">
        <v>1191</v>
      </c>
      <c r="E171" s="138" t="s">
        <v>1190</v>
      </c>
      <c r="AS171" s="138">
        <v>0.44500000000000001</v>
      </c>
      <c r="BN171" s="138">
        <f t="shared" si="4"/>
        <v>0.44500000000000001</v>
      </c>
      <c r="BO171" s="138">
        <f t="shared" si="5"/>
        <v>1999</v>
      </c>
    </row>
    <row r="172" spans="2:67" x14ac:dyDescent="0.25">
      <c r="B172" s="138" t="s">
        <v>207</v>
      </c>
      <c r="C172" s="138" t="s">
        <v>97</v>
      </c>
      <c r="D172" s="138" t="s">
        <v>1191</v>
      </c>
      <c r="E172" s="138" t="s">
        <v>1190</v>
      </c>
      <c r="F172" s="138">
        <v>4.2999999999999997E-2</v>
      </c>
      <c r="K172" s="138">
        <v>5.6000000000000001E-2</v>
      </c>
      <c r="P172" s="138">
        <v>5.2999999999999999E-2</v>
      </c>
      <c r="Z172" s="138">
        <v>2.5000000000000001E-2</v>
      </c>
      <c r="AA172" s="138">
        <v>2.7E-2</v>
      </c>
      <c r="AB172" s="138">
        <v>2.5999999999999999E-2</v>
      </c>
      <c r="AE172" s="138">
        <v>2.1000000000000001E-2</v>
      </c>
      <c r="AI172" s="138">
        <v>2.8000000000000001E-2</v>
      </c>
      <c r="AJ172" s="138">
        <v>1.2E-2</v>
      </c>
      <c r="AT172" s="138">
        <v>2.4E-2</v>
      </c>
      <c r="AX172" s="138">
        <v>2.53E-2</v>
      </c>
      <c r="AZ172" s="138">
        <v>2.5399999999999999E-2</v>
      </c>
      <c r="BB172" s="138">
        <v>2.5999999999999999E-2</v>
      </c>
      <c r="BC172" s="138">
        <v>4.4299999999999999E-2</v>
      </c>
      <c r="BD172" s="138">
        <v>4.7300000000000002E-2</v>
      </c>
      <c r="BE172" s="138">
        <v>5.0799999999999998E-2</v>
      </c>
      <c r="BF172" s="138">
        <v>5.2900000000000003E-2</v>
      </c>
      <c r="BG172" s="138">
        <v>5.4899999999999997E-2</v>
      </c>
      <c r="BK172" s="138">
        <v>7.3499999999999996E-2</v>
      </c>
      <c r="BN172" s="138">
        <f t="shared" si="4"/>
        <v>7.3499999999999996E-2</v>
      </c>
      <c r="BO172" s="138">
        <f t="shared" si="5"/>
        <v>2017</v>
      </c>
    </row>
    <row r="173" spans="2:67" x14ac:dyDescent="0.25">
      <c r="B173" s="138" t="s">
        <v>205</v>
      </c>
      <c r="C173" s="138" t="s">
        <v>98</v>
      </c>
      <c r="D173" s="138" t="s">
        <v>1191</v>
      </c>
      <c r="E173" s="138" t="s">
        <v>1190</v>
      </c>
      <c r="F173" s="138">
        <v>2.4E-2</v>
      </c>
      <c r="K173" s="138">
        <v>2.7E-2</v>
      </c>
      <c r="P173" s="138">
        <v>5.6000000000000001E-2</v>
      </c>
      <c r="U173" s="138">
        <v>5.5E-2</v>
      </c>
      <c r="W173" s="138">
        <v>6.9000000000000006E-2</v>
      </c>
      <c r="AD173" s="138">
        <v>8.3000000000000004E-2</v>
      </c>
      <c r="AE173" s="138">
        <v>0.113</v>
      </c>
      <c r="AJ173" s="138">
        <v>6.3E-2</v>
      </c>
      <c r="AM173" s="138">
        <v>6.3E-2</v>
      </c>
      <c r="AO173" s="138">
        <v>0.13800000000000001</v>
      </c>
      <c r="AX173" s="138">
        <v>0.10290000000000001</v>
      </c>
      <c r="BC173" s="138">
        <v>0.12690000000000001</v>
      </c>
      <c r="BD173" s="138">
        <v>0.1515</v>
      </c>
      <c r="BG173" s="138">
        <v>6.8000000000000005E-2</v>
      </c>
      <c r="BH173" s="138">
        <v>0.15310000000000001</v>
      </c>
      <c r="BI173" s="138">
        <v>0.16550000000000001</v>
      </c>
      <c r="BK173" s="138">
        <v>0.17899999999999999</v>
      </c>
      <c r="BN173" s="138">
        <f t="shared" si="4"/>
        <v>0.17899999999999999</v>
      </c>
      <c r="BO173" s="138">
        <f t="shared" si="5"/>
        <v>2017</v>
      </c>
    </row>
    <row r="174" spans="2:67" x14ac:dyDescent="0.25">
      <c r="B174" s="138" t="s">
        <v>206</v>
      </c>
      <c r="C174" s="138" t="s">
        <v>99</v>
      </c>
      <c r="D174" s="138" t="s">
        <v>1191</v>
      </c>
      <c r="E174" s="138" t="s">
        <v>1190</v>
      </c>
      <c r="F174" s="138">
        <v>0.215</v>
      </c>
      <c r="K174" s="138">
        <v>0.255</v>
      </c>
      <c r="P174" s="138">
        <v>0.24</v>
      </c>
      <c r="U174" s="138">
        <v>0.23499999999999999</v>
      </c>
      <c r="Z174" s="138">
        <v>0.52100000000000002</v>
      </c>
      <c r="AA174" s="138">
        <v>0.55200000000000005</v>
      </c>
      <c r="AE174" s="138">
        <v>0.52900000000000003</v>
      </c>
      <c r="AI174" s="138">
        <v>0.85799999999999998</v>
      </c>
      <c r="AJ174" s="138">
        <v>0.81100000000000005</v>
      </c>
      <c r="AK174" s="138">
        <v>0.83499999999999996</v>
      </c>
      <c r="AL174" s="138">
        <v>0.84699999999999998</v>
      </c>
      <c r="AM174" s="138">
        <v>0.84399999999999997</v>
      </c>
      <c r="AN174" s="138">
        <v>0.84499999999999997</v>
      </c>
      <c r="AO174" s="138">
        <v>0.85</v>
      </c>
      <c r="AX174" s="138">
        <v>1.0718000000000001</v>
      </c>
      <c r="BA174" s="138">
        <v>1.1549</v>
      </c>
      <c r="BB174" s="138">
        <v>1.17</v>
      </c>
      <c r="BC174" s="138">
        <v>1.1857</v>
      </c>
      <c r="BD174" s="138">
        <v>1.2019</v>
      </c>
      <c r="BE174" s="138">
        <v>1.4468000000000001</v>
      </c>
      <c r="BF174" s="138">
        <v>1.3738999999999999</v>
      </c>
      <c r="BG174" s="138">
        <v>1.6298999999999999</v>
      </c>
      <c r="BH174" s="138">
        <v>1.9320999999999999</v>
      </c>
      <c r="BI174" s="138">
        <v>2.0246</v>
      </c>
      <c r="BN174" s="138">
        <f t="shared" si="4"/>
        <v>2.0246</v>
      </c>
      <c r="BO174" s="138">
        <f t="shared" si="5"/>
        <v>2015</v>
      </c>
    </row>
    <row r="175" spans="2:67" x14ac:dyDescent="0.25">
      <c r="B175" s="138" t="s">
        <v>203</v>
      </c>
      <c r="C175" s="138" t="s">
        <v>100</v>
      </c>
      <c r="D175" s="138" t="s">
        <v>1191</v>
      </c>
      <c r="E175" s="138" t="s">
        <v>1190</v>
      </c>
      <c r="F175" s="138">
        <v>2.7E-2</v>
      </c>
      <c r="K175" s="138">
        <v>2.1000000000000001E-2</v>
      </c>
      <c r="P175" s="138">
        <v>1.2999999999999999E-2</v>
      </c>
      <c r="AA175" s="138">
        <v>1.9E-2</v>
      </c>
      <c r="AD175" s="138">
        <v>8.6999999999999994E-2</v>
      </c>
      <c r="AI175" s="138">
        <v>2.3E-2</v>
      </c>
      <c r="AJ175" s="138">
        <v>2.1999999999999999E-2</v>
      </c>
      <c r="AM175" s="138">
        <v>2.8000000000000001E-2</v>
      </c>
      <c r="AW175" s="138">
        <v>1.0999999999999999E-2</v>
      </c>
      <c r="AX175" s="138">
        <v>2.1000000000000001E-2</v>
      </c>
      <c r="BB175" s="138">
        <v>1.7999999999999999E-2</v>
      </c>
      <c r="BC175" s="138">
        <v>1.7999999999999999E-2</v>
      </c>
      <c r="BD175" s="138">
        <v>1.9E-2</v>
      </c>
      <c r="BJ175" s="138">
        <v>1.5699999999999999E-2</v>
      </c>
      <c r="BN175" s="138">
        <f t="shared" si="4"/>
        <v>1.5699999999999999E-2</v>
      </c>
      <c r="BO175" s="138">
        <f t="shared" si="5"/>
        <v>2016</v>
      </c>
    </row>
    <row r="176" spans="2:67" x14ac:dyDescent="0.25">
      <c r="B176" s="138" t="s">
        <v>566</v>
      </c>
      <c r="C176" s="138" t="s">
        <v>101</v>
      </c>
      <c r="D176" s="138" t="s">
        <v>1191</v>
      </c>
      <c r="E176" s="138" t="s">
        <v>1190</v>
      </c>
      <c r="F176" s="138">
        <v>0.14299999999999999</v>
      </c>
      <c r="K176" s="138">
        <v>0.161</v>
      </c>
      <c r="P176" s="138">
        <v>0.23200000000000001</v>
      </c>
      <c r="U176" s="138">
        <v>0.23400000000000001</v>
      </c>
      <c r="Z176" s="138">
        <v>0.255</v>
      </c>
      <c r="AA176" s="138">
        <v>0.255</v>
      </c>
      <c r="AE176" s="138">
        <v>0.315</v>
      </c>
      <c r="AF176" s="138">
        <v>0.33500000000000002</v>
      </c>
      <c r="AG176" s="138">
        <v>0.34799999999999998</v>
      </c>
      <c r="AH176" s="138">
        <v>0.36699999999999999</v>
      </c>
      <c r="AI176" s="138">
        <v>0.374</v>
      </c>
      <c r="AJ176" s="138">
        <v>0.39200000000000002</v>
      </c>
      <c r="AK176" s="138">
        <v>0.39300000000000002</v>
      </c>
      <c r="AL176" s="138">
        <v>0.41099999999999998</v>
      </c>
      <c r="AM176" s="138">
        <v>0.43099999999999999</v>
      </c>
      <c r="AN176" s="138">
        <v>0.44900000000000001</v>
      </c>
      <c r="AO176" s="138">
        <v>0.47799999999999998</v>
      </c>
      <c r="AP176" s="138">
        <v>0.496</v>
      </c>
      <c r="AQ176" s="138">
        <v>0.65800000000000003</v>
      </c>
      <c r="AS176" s="138">
        <v>0.68300000000000005</v>
      </c>
      <c r="AT176" s="138">
        <v>0.69640000000000002</v>
      </c>
      <c r="AV176" s="138">
        <v>0.70330000000000004</v>
      </c>
      <c r="BB176" s="138">
        <v>0.92589999999999995</v>
      </c>
      <c r="BD176" s="138">
        <v>1.1731</v>
      </c>
      <c r="BE176" s="138">
        <v>1.2784</v>
      </c>
      <c r="BF176" s="138">
        <v>1.3272999999999999</v>
      </c>
      <c r="BI176" s="138">
        <v>1.5132000000000001</v>
      </c>
      <c r="BN176" s="138">
        <f t="shared" si="4"/>
        <v>1.5132000000000001</v>
      </c>
      <c r="BO176" s="138">
        <f t="shared" si="5"/>
        <v>2015</v>
      </c>
    </row>
    <row r="177" spans="2:67" x14ac:dyDescent="0.25">
      <c r="B177" s="138" t="s">
        <v>588</v>
      </c>
      <c r="C177" s="138" t="s">
        <v>589</v>
      </c>
      <c r="D177" s="138" t="s">
        <v>1191</v>
      </c>
      <c r="E177" s="138" t="s">
        <v>1190</v>
      </c>
      <c r="AJ177" s="138">
        <v>1.8299564294121926</v>
      </c>
      <c r="AT177" s="138">
        <v>2.5225892637530483</v>
      </c>
      <c r="BI177" s="138">
        <v>2.5963425209695612</v>
      </c>
      <c r="BN177" s="138">
        <f t="shared" si="4"/>
        <v>2.5963425209695612</v>
      </c>
      <c r="BO177" s="138">
        <f t="shared" si="5"/>
        <v>2015</v>
      </c>
    </row>
    <row r="178" spans="2:67" x14ac:dyDescent="0.25">
      <c r="B178" s="138" t="s">
        <v>208</v>
      </c>
      <c r="C178" s="138" t="s">
        <v>102</v>
      </c>
      <c r="D178" s="138" t="s">
        <v>1191</v>
      </c>
      <c r="E178" s="138" t="s">
        <v>1190</v>
      </c>
      <c r="AK178" s="138">
        <v>0.23100000000000001</v>
      </c>
      <c r="AL178" s="138">
        <v>0.23200000000000001</v>
      </c>
      <c r="AQ178" s="138">
        <v>0.29499999999999998</v>
      </c>
      <c r="AX178" s="138">
        <v>0.29759999999999998</v>
      </c>
      <c r="BA178" s="138">
        <v>0.37209999999999999</v>
      </c>
      <c r="BD178" s="138">
        <v>0.374</v>
      </c>
      <c r="BN178" s="138">
        <f t="shared" si="4"/>
        <v>0.374</v>
      </c>
      <c r="BO178" s="138">
        <f t="shared" si="5"/>
        <v>2010</v>
      </c>
    </row>
    <row r="179" spans="2:67" x14ac:dyDescent="0.25">
      <c r="B179" s="138" t="s">
        <v>585</v>
      </c>
      <c r="C179" s="138" t="s">
        <v>586</v>
      </c>
      <c r="D179" s="138" t="s">
        <v>1191</v>
      </c>
      <c r="E179" s="138" t="s">
        <v>1190</v>
      </c>
      <c r="AC179" s="138">
        <v>0.65300000000000002</v>
      </c>
      <c r="AS179" s="138">
        <v>1.982</v>
      </c>
      <c r="BN179" s="138">
        <f t="shared" si="4"/>
        <v>1.982</v>
      </c>
      <c r="BO179" s="138">
        <f t="shared" si="5"/>
        <v>1999</v>
      </c>
    </row>
    <row r="180" spans="2:67" x14ac:dyDescent="0.25">
      <c r="B180" s="138" t="s">
        <v>209</v>
      </c>
      <c r="C180" s="138" t="s">
        <v>103</v>
      </c>
      <c r="D180" s="138" t="s">
        <v>1191</v>
      </c>
      <c r="E180" s="138" t="s">
        <v>1190</v>
      </c>
      <c r="F180" s="138">
        <v>1.0999999999999999E-2</v>
      </c>
      <c r="K180" s="138">
        <v>1.6E-2</v>
      </c>
      <c r="P180" s="138">
        <v>1.7000000000000001E-2</v>
      </c>
      <c r="U180" s="138">
        <v>1.6E-2</v>
      </c>
      <c r="AD180" s="138">
        <v>2.5000000000000001E-2</v>
      </c>
      <c r="AJ180" s="138">
        <v>1.7999999999999999E-2</v>
      </c>
      <c r="AL180" s="138">
        <v>2.7E-2</v>
      </c>
      <c r="AN180" s="138">
        <v>2.3E-2</v>
      </c>
      <c r="AP180" s="138">
        <v>2.4E-2</v>
      </c>
      <c r="AQ180" s="138">
        <v>3.5000000000000003E-2</v>
      </c>
      <c r="AR180" s="138">
        <v>3.3000000000000002E-2</v>
      </c>
      <c r="AV180" s="138">
        <v>3.3000000000000002E-2</v>
      </c>
      <c r="AX180" s="138">
        <v>2.2499999999999999E-2</v>
      </c>
      <c r="BB180" s="138">
        <v>1.89E-2</v>
      </c>
      <c r="BC180" s="138">
        <v>2.7799999999999998E-2</v>
      </c>
      <c r="BD180" s="138">
        <v>1.9E-2</v>
      </c>
      <c r="BG180" s="138">
        <v>5.1299999999999998E-2</v>
      </c>
      <c r="BH180" s="138">
        <v>0.05</v>
      </c>
      <c r="BN180" s="138">
        <f t="shared" si="4"/>
        <v>0.05</v>
      </c>
      <c r="BO180" s="138">
        <f t="shared" si="5"/>
        <v>2014</v>
      </c>
    </row>
    <row r="181" spans="2:67" x14ac:dyDescent="0.25">
      <c r="B181" s="138" t="s">
        <v>177</v>
      </c>
      <c r="C181" s="138" t="s">
        <v>104</v>
      </c>
      <c r="D181" s="138" t="s">
        <v>1191</v>
      </c>
      <c r="E181" s="138" t="s">
        <v>1190</v>
      </c>
      <c r="F181" s="138">
        <v>1.7000000000000001E-2</v>
      </c>
      <c r="K181" s="138">
        <v>4.2999999999999997E-2</v>
      </c>
      <c r="P181" s="138">
        <v>0.05</v>
      </c>
      <c r="U181" s="138">
        <v>4.9000000000000002E-2</v>
      </c>
      <c r="Z181" s="138">
        <v>0.113</v>
      </c>
      <c r="AB181" s="138">
        <v>0.14899999999999999</v>
      </c>
      <c r="AE181" s="138">
        <v>0.192</v>
      </c>
      <c r="AF181" s="138">
        <v>0.187</v>
      </c>
      <c r="AI181" s="138">
        <v>0.192</v>
      </c>
      <c r="AL181" s="138">
        <v>0.185</v>
      </c>
      <c r="AM181" s="138">
        <v>0.192</v>
      </c>
      <c r="AT181" s="138">
        <v>0.26900000000000002</v>
      </c>
      <c r="AW181" s="138">
        <v>0.2646</v>
      </c>
      <c r="AY181" s="138">
        <v>0.28220000000000001</v>
      </c>
      <c r="AZ181" s="138">
        <v>0.34789999999999999</v>
      </c>
      <c r="BA181" s="138">
        <v>0.37819999999999998</v>
      </c>
      <c r="BB181" s="138">
        <v>0.376</v>
      </c>
      <c r="BC181" s="138">
        <v>0.378</v>
      </c>
      <c r="BD181" s="138">
        <v>0.18360000000000001</v>
      </c>
      <c r="BG181" s="138">
        <v>0.38269999999999998</v>
      </c>
      <c r="BN181" s="138">
        <f t="shared" si="4"/>
        <v>0.38269999999999998</v>
      </c>
      <c r="BO181" s="138">
        <f t="shared" si="5"/>
        <v>2013</v>
      </c>
    </row>
    <row r="182" spans="2:67" x14ac:dyDescent="0.25">
      <c r="B182" s="138" t="s">
        <v>227</v>
      </c>
      <c r="C182" s="138" t="s">
        <v>105</v>
      </c>
      <c r="D182" s="138" t="s">
        <v>1191</v>
      </c>
      <c r="E182" s="138" t="s">
        <v>1190</v>
      </c>
      <c r="F182" s="138">
        <v>0.34</v>
      </c>
      <c r="K182" s="138">
        <v>0.378</v>
      </c>
      <c r="P182" s="138">
        <v>0.45300000000000001</v>
      </c>
      <c r="U182" s="138">
        <v>0.46</v>
      </c>
      <c r="Z182" s="138">
        <v>0.41599999999999998</v>
      </c>
      <c r="AA182" s="138">
        <v>0.42599999999999999</v>
      </c>
      <c r="AD182" s="138">
        <v>0.63700000000000001</v>
      </c>
      <c r="AH182" s="138">
        <v>0.47099999999999997</v>
      </c>
      <c r="AJ182" s="138">
        <v>0.65700000000000003</v>
      </c>
      <c r="AO182" s="138">
        <v>0.82</v>
      </c>
      <c r="AQ182" s="138">
        <v>0.85599999999999998</v>
      </c>
      <c r="AW182" s="138">
        <v>0.39019999999999999</v>
      </c>
      <c r="AY182" s="138">
        <v>0.50509999999999999</v>
      </c>
      <c r="AZ182" s="138">
        <v>0.49809999999999999</v>
      </c>
      <c r="BA182" s="138">
        <v>0.53290000000000004</v>
      </c>
      <c r="BB182" s="138">
        <v>0.65710000000000002</v>
      </c>
      <c r="BC182" s="138">
        <v>0.71289999999999998</v>
      </c>
      <c r="BD182" s="138">
        <v>0.73880000000000001</v>
      </c>
      <c r="BE182" s="138">
        <v>0.82699999999999996</v>
      </c>
      <c r="BF182" s="138">
        <v>0.87590000000000001</v>
      </c>
      <c r="BG182" s="138">
        <v>0.91579999999999995</v>
      </c>
      <c r="BH182" s="138">
        <v>0.91369999999999996</v>
      </c>
      <c r="BL182" s="138">
        <v>1.0056</v>
      </c>
      <c r="BN182" s="138">
        <f t="shared" si="4"/>
        <v>1.0056</v>
      </c>
      <c r="BO182" s="138">
        <f t="shared" si="5"/>
        <v>2018</v>
      </c>
    </row>
    <row r="183" spans="2:67" x14ac:dyDescent="0.25">
      <c r="B183" s="138" t="s">
        <v>584</v>
      </c>
      <c r="C183" s="138" t="s">
        <v>106</v>
      </c>
      <c r="D183" s="138" t="s">
        <v>1191</v>
      </c>
      <c r="E183" s="138" t="s">
        <v>1190</v>
      </c>
      <c r="F183" s="138">
        <v>1.1000000000000001</v>
      </c>
      <c r="G183" s="138">
        <v>1.1000000000000001</v>
      </c>
      <c r="H183" s="138">
        <v>1.1000000000000001</v>
      </c>
      <c r="I183" s="138">
        <v>1.1000000000000001</v>
      </c>
      <c r="J183" s="138">
        <v>1.1000000000000001</v>
      </c>
      <c r="K183" s="138">
        <v>1.2</v>
      </c>
      <c r="L183" s="138">
        <v>1.2</v>
      </c>
      <c r="M183" s="138">
        <v>1.2</v>
      </c>
      <c r="N183" s="138">
        <v>1.2</v>
      </c>
      <c r="O183" s="138">
        <v>1.2</v>
      </c>
      <c r="P183" s="138">
        <v>1.2</v>
      </c>
      <c r="Q183" s="138">
        <v>1.3</v>
      </c>
      <c r="R183" s="138">
        <v>1.4</v>
      </c>
      <c r="S183" s="138">
        <v>1.4</v>
      </c>
      <c r="T183" s="138">
        <v>1.5</v>
      </c>
      <c r="U183" s="138">
        <v>1.6</v>
      </c>
      <c r="V183" s="138">
        <v>1.7</v>
      </c>
      <c r="W183" s="138">
        <v>1.7</v>
      </c>
      <c r="X183" s="138">
        <v>1.8</v>
      </c>
      <c r="Y183" s="138">
        <v>1.8</v>
      </c>
      <c r="Z183" s="138">
        <v>1.9</v>
      </c>
      <c r="AA183" s="138">
        <v>2</v>
      </c>
      <c r="AB183" s="138">
        <v>2</v>
      </c>
      <c r="AC183" s="138">
        <v>2.1</v>
      </c>
      <c r="AD183" s="138">
        <v>2.2000000000000002</v>
      </c>
      <c r="AE183" s="138">
        <v>2.2000000000000002</v>
      </c>
      <c r="AF183" s="138">
        <v>2.2999999999999998</v>
      </c>
      <c r="AG183" s="138">
        <v>2.4</v>
      </c>
      <c r="AH183" s="138">
        <v>2.4</v>
      </c>
      <c r="AI183" s="138">
        <v>2.4</v>
      </c>
      <c r="AJ183" s="138">
        <v>2.5</v>
      </c>
      <c r="AK183" s="138">
        <v>2.6</v>
      </c>
      <c r="AR183" s="138">
        <v>2.9</v>
      </c>
      <c r="AS183" s="138">
        <v>3.1</v>
      </c>
      <c r="AT183" s="138">
        <v>3.2</v>
      </c>
      <c r="AU183" s="138">
        <v>3.3</v>
      </c>
      <c r="AV183" s="138">
        <v>3.1</v>
      </c>
      <c r="AW183" s="138">
        <v>3.149</v>
      </c>
      <c r="AY183" s="138">
        <v>3.71</v>
      </c>
      <c r="BA183" s="138">
        <v>3.9209999999999998</v>
      </c>
      <c r="BD183" s="138">
        <v>2.9516</v>
      </c>
      <c r="BE183" s="138">
        <v>3.1244999999999998</v>
      </c>
      <c r="BF183" s="138">
        <v>3.2467999999999999</v>
      </c>
      <c r="BG183" s="138">
        <v>3.3065000000000002</v>
      </c>
      <c r="BH183" s="138">
        <v>3.42</v>
      </c>
      <c r="BI183" s="138">
        <v>3.4874999999999998</v>
      </c>
      <c r="BJ183" s="138">
        <v>3.5066999999999999</v>
      </c>
      <c r="BN183" s="138">
        <f t="shared" si="4"/>
        <v>3.5066999999999999</v>
      </c>
      <c r="BO183" s="138">
        <f t="shared" si="5"/>
        <v>2016</v>
      </c>
    </row>
    <row r="184" spans="2:67" x14ac:dyDescent="0.25">
      <c r="B184" s="138" t="s">
        <v>594</v>
      </c>
      <c r="C184" s="138" t="s">
        <v>107</v>
      </c>
      <c r="D184" s="138" t="s">
        <v>1191</v>
      </c>
      <c r="E184" s="138" t="s">
        <v>1190</v>
      </c>
      <c r="F184" s="138">
        <v>1.2</v>
      </c>
      <c r="H184" s="138">
        <v>1.2</v>
      </c>
      <c r="I184" s="138">
        <v>1.1000000000000001</v>
      </c>
      <c r="J184" s="138">
        <v>1.2</v>
      </c>
      <c r="K184" s="138">
        <v>1.3</v>
      </c>
      <c r="L184" s="138">
        <v>1.3</v>
      </c>
      <c r="M184" s="138">
        <v>1.3</v>
      </c>
      <c r="N184" s="138">
        <v>1.4</v>
      </c>
      <c r="O184" s="138">
        <v>1.4</v>
      </c>
      <c r="P184" s="138">
        <v>1.4</v>
      </c>
      <c r="Q184" s="138">
        <v>1.5</v>
      </c>
      <c r="R184" s="138">
        <v>1.5</v>
      </c>
      <c r="S184" s="138">
        <v>1.6</v>
      </c>
      <c r="T184" s="138">
        <v>1.7</v>
      </c>
      <c r="U184" s="138">
        <v>1.7</v>
      </c>
      <c r="V184" s="138">
        <v>1.8</v>
      </c>
      <c r="W184" s="138">
        <v>1.9</v>
      </c>
      <c r="X184" s="138">
        <v>1.9</v>
      </c>
      <c r="Y184" s="138">
        <v>1.9</v>
      </c>
      <c r="Z184" s="138">
        <v>2</v>
      </c>
      <c r="AA184" s="138">
        <v>2</v>
      </c>
      <c r="AB184" s="138">
        <v>2.1</v>
      </c>
      <c r="AC184" s="138">
        <v>2.1</v>
      </c>
      <c r="AD184" s="138">
        <v>2.2000000000000002</v>
      </c>
      <c r="AE184" s="138">
        <v>2.2000000000000002</v>
      </c>
      <c r="AF184" s="138">
        <v>2.2999999999999998</v>
      </c>
      <c r="AG184" s="138">
        <v>2.5</v>
      </c>
      <c r="AK184" s="138">
        <v>2.6</v>
      </c>
      <c r="AL184" s="138">
        <v>2.6</v>
      </c>
      <c r="AM184" s="138">
        <v>2.6</v>
      </c>
      <c r="AN184" s="138">
        <v>2.7</v>
      </c>
      <c r="AO184" s="138">
        <v>2.8</v>
      </c>
      <c r="AP184" s="138">
        <v>2.8</v>
      </c>
      <c r="AQ184" s="138">
        <v>2.5</v>
      </c>
      <c r="AR184" s="138">
        <v>2.7</v>
      </c>
      <c r="AS184" s="138">
        <v>2.8</v>
      </c>
      <c r="AT184" s="138">
        <v>2.9</v>
      </c>
      <c r="AU184" s="138">
        <v>3</v>
      </c>
      <c r="AV184" s="138">
        <v>3.1</v>
      </c>
      <c r="AW184" s="138">
        <v>3.1</v>
      </c>
      <c r="AZ184" s="138">
        <v>3.77</v>
      </c>
      <c r="BA184" s="138">
        <v>3.8889999999999998</v>
      </c>
      <c r="BB184" s="138">
        <v>4.0759999999999996</v>
      </c>
      <c r="BC184" s="138">
        <v>4.056</v>
      </c>
      <c r="BD184" s="138">
        <v>4.1166999999999998</v>
      </c>
      <c r="BE184" s="138">
        <v>4.1927000000000003</v>
      </c>
      <c r="BF184" s="138">
        <v>4.2374000000000001</v>
      </c>
      <c r="BG184" s="138">
        <v>4.3083999999999998</v>
      </c>
      <c r="BH184" s="138">
        <v>4.4265999999999996</v>
      </c>
      <c r="BI184" s="138">
        <v>4.3940000000000001</v>
      </c>
      <c r="BJ184" s="138">
        <v>4.4947999999999997</v>
      </c>
      <c r="BK184" s="138">
        <v>4.6336000000000004</v>
      </c>
      <c r="BN184" s="138">
        <f t="shared" si="4"/>
        <v>4.6336000000000004</v>
      </c>
      <c r="BO184" s="138">
        <f t="shared" si="5"/>
        <v>2017</v>
      </c>
    </row>
    <row r="185" spans="2:67" x14ac:dyDescent="0.25">
      <c r="B185" s="138" t="s">
        <v>179</v>
      </c>
      <c r="C185" s="138" t="s">
        <v>108</v>
      </c>
      <c r="D185" s="138" t="s">
        <v>1191</v>
      </c>
      <c r="E185" s="138" t="s">
        <v>1190</v>
      </c>
      <c r="F185" s="138">
        <v>1.2999999999999999E-2</v>
      </c>
      <c r="K185" s="138">
        <v>2.1000000000000001E-2</v>
      </c>
      <c r="P185" s="138">
        <v>1.9E-2</v>
      </c>
      <c r="U185" s="138">
        <v>1.9E-2</v>
      </c>
      <c r="Z185" s="138">
        <v>3.4000000000000002E-2</v>
      </c>
      <c r="AD185" s="138">
        <v>3.1E-2</v>
      </c>
      <c r="AE185" s="138">
        <v>3.4000000000000002E-2</v>
      </c>
      <c r="AG185" s="138">
        <v>5.0999999999999997E-2</v>
      </c>
      <c r="AH185" s="138">
        <v>5.0999999999999997E-2</v>
      </c>
      <c r="AI185" s="138">
        <v>5.3999999999999999E-2</v>
      </c>
      <c r="AJ185" s="138">
        <v>5.0999999999999997E-2</v>
      </c>
      <c r="AK185" s="138">
        <v>6.2E-2</v>
      </c>
      <c r="AL185" s="138">
        <v>7.5999999999999998E-2</v>
      </c>
      <c r="AM185" s="138">
        <v>7.3999999999999996E-2</v>
      </c>
      <c r="AO185" s="138">
        <v>0.04</v>
      </c>
      <c r="AP185" s="138">
        <v>0.04</v>
      </c>
      <c r="AQ185" s="138">
        <v>0.04</v>
      </c>
      <c r="AR185" s="138">
        <v>0.04</v>
      </c>
      <c r="AU185" s="138">
        <v>5.1999999999999998E-2</v>
      </c>
      <c r="AX185" s="138">
        <v>0.2127</v>
      </c>
      <c r="BF185" s="138">
        <v>0.50360000000000005</v>
      </c>
      <c r="BG185" s="138">
        <v>0.54249999999999998</v>
      </c>
      <c r="BH185" s="138">
        <v>0.59509999999999996</v>
      </c>
      <c r="BK185" s="138">
        <v>0.65069999999999995</v>
      </c>
      <c r="BN185" s="138">
        <f t="shared" si="4"/>
        <v>0.65069999999999995</v>
      </c>
      <c r="BO185" s="138">
        <f t="shared" si="5"/>
        <v>2017</v>
      </c>
    </row>
    <row r="186" spans="2:67" x14ac:dyDescent="0.25">
      <c r="B186" s="138" t="s">
        <v>251</v>
      </c>
      <c r="C186" s="138" t="s">
        <v>109</v>
      </c>
      <c r="D186" s="138" t="s">
        <v>1191</v>
      </c>
      <c r="E186" s="138" t="s">
        <v>1190</v>
      </c>
      <c r="AO186" s="138">
        <v>1.6</v>
      </c>
      <c r="AX186" s="138">
        <v>0.99009999999999998</v>
      </c>
      <c r="BB186" s="138">
        <v>1.0101</v>
      </c>
      <c r="BC186" s="138">
        <v>1.0101</v>
      </c>
      <c r="BD186" s="138">
        <v>1.1000000000000001</v>
      </c>
      <c r="BE186" s="138">
        <v>1.3725000000000001</v>
      </c>
      <c r="BI186" s="138">
        <v>1.2388999999999999</v>
      </c>
      <c r="BN186" s="138">
        <f t="shared" si="4"/>
        <v>1.2388999999999999</v>
      </c>
      <c r="BO186" s="138">
        <f t="shared" si="5"/>
        <v>2015</v>
      </c>
    </row>
    <row r="187" spans="2:67" x14ac:dyDescent="0.25">
      <c r="B187" s="138" t="s">
        <v>587</v>
      </c>
      <c r="C187" s="138" t="s">
        <v>110</v>
      </c>
      <c r="D187" s="138" t="s">
        <v>1191</v>
      </c>
      <c r="E187" s="138" t="s">
        <v>1190</v>
      </c>
      <c r="G187" s="138">
        <v>1.1000000000000001</v>
      </c>
      <c r="L187" s="138">
        <v>1.1000000000000001</v>
      </c>
      <c r="Q187" s="138">
        <v>1.1000000000000001</v>
      </c>
      <c r="S187" s="138">
        <v>1.2</v>
      </c>
      <c r="V187" s="138">
        <v>1.3</v>
      </c>
      <c r="W187" s="138">
        <v>1.4</v>
      </c>
      <c r="X187" s="138">
        <v>1.4</v>
      </c>
      <c r="Y187" s="138">
        <v>1.5</v>
      </c>
      <c r="Z187" s="138">
        <v>1.6</v>
      </c>
      <c r="AA187" s="138">
        <v>1.6</v>
      </c>
      <c r="AB187" s="138">
        <v>1.6</v>
      </c>
      <c r="AC187" s="138">
        <v>1.7</v>
      </c>
      <c r="AD187" s="138">
        <v>1.7</v>
      </c>
      <c r="AE187" s="138">
        <v>1.7</v>
      </c>
      <c r="AF187" s="138">
        <v>1.8</v>
      </c>
      <c r="AG187" s="138">
        <v>1.8</v>
      </c>
      <c r="AH187" s="138">
        <v>1.9</v>
      </c>
      <c r="AI187" s="138">
        <v>1.9</v>
      </c>
      <c r="AJ187" s="138">
        <v>1.9</v>
      </c>
      <c r="AK187" s="138">
        <v>1.9</v>
      </c>
      <c r="AL187" s="138">
        <v>1.9</v>
      </c>
      <c r="AM187" s="138">
        <v>1.9</v>
      </c>
      <c r="AN187" s="138">
        <v>2</v>
      </c>
      <c r="AO187" s="138">
        <v>2</v>
      </c>
      <c r="AP187" s="138">
        <v>2</v>
      </c>
      <c r="AQ187" s="138">
        <v>2.2000000000000002</v>
      </c>
      <c r="AR187" s="138">
        <v>2.2000000000000002</v>
      </c>
      <c r="AS187" s="138">
        <v>2.2000000000000002</v>
      </c>
      <c r="AU187" s="138">
        <v>2.3098999999999998</v>
      </c>
      <c r="AV187" s="138">
        <v>2.0665</v>
      </c>
      <c r="AW187" s="138">
        <v>2.2000000000000002</v>
      </c>
      <c r="BA187" s="138">
        <v>2.3048999999999999</v>
      </c>
      <c r="BB187" s="138">
        <v>2.5470000000000002</v>
      </c>
      <c r="BC187" s="138">
        <v>2.6789999999999998</v>
      </c>
      <c r="BD187" s="138">
        <v>2.6114000000000002</v>
      </c>
      <c r="BE187" s="138">
        <v>2.6331000000000002</v>
      </c>
      <c r="BF187" s="138">
        <v>2.6787999999999998</v>
      </c>
      <c r="BG187" s="138">
        <v>2.7856000000000001</v>
      </c>
      <c r="BH187" s="138">
        <v>2.8073000000000001</v>
      </c>
      <c r="BI187" s="138">
        <v>3.0003000000000002</v>
      </c>
      <c r="BJ187" s="138">
        <v>3.0251999999999999</v>
      </c>
      <c r="BN187" s="138">
        <f t="shared" si="4"/>
        <v>3.0251999999999999</v>
      </c>
      <c r="BO187" s="138">
        <f t="shared" si="5"/>
        <v>2016</v>
      </c>
    </row>
    <row r="188" spans="2:67" x14ac:dyDescent="0.25">
      <c r="B188" s="138" t="s">
        <v>597</v>
      </c>
      <c r="C188" s="138" t="s">
        <v>598</v>
      </c>
      <c r="D188" s="138" t="s">
        <v>1191</v>
      </c>
      <c r="E188" s="138" t="s">
        <v>1190</v>
      </c>
      <c r="AJ188" s="138">
        <v>1.9982643388057317</v>
      </c>
      <c r="AT188" s="138">
        <v>2.5399982459486417</v>
      </c>
      <c r="BI188" s="138">
        <v>2.8919392858942818</v>
      </c>
      <c r="BN188" s="138">
        <f t="shared" si="4"/>
        <v>2.8919392858942818</v>
      </c>
      <c r="BO188" s="138">
        <f t="shared" si="5"/>
        <v>2015</v>
      </c>
    </row>
    <row r="189" spans="2:67" x14ac:dyDescent="0.25">
      <c r="B189" s="138" t="s">
        <v>599</v>
      </c>
      <c r="C189" s="138" t="s">
        <v>111</v>
      </c>
      <c r="D189" s="138" t="s">
        <v>1191</v>
      </c>
      <c r="E189" s="138" t="s">
        <v>1190</v>
      </c>
      <c r="F189" s="138">
        <v>0.03</v>
      </c>
      <c r="K189" s="138">
        <v>3.7999999999999999E-2</v>
      </c>
      <c r="AB189" s="138">
        <v>0.54900000000000004</v>
      </c>
      <c r="AG189" s="138">
        <v>0.83399999999999996</v>
      </c>
      <c r="AI189" s="138">
        <v>0.88300000000000001</v>
      </c>
      <c r="AJ189" s="138">
        <v>0.79520000000000002</v>
      </c>
      <c r="AM189" s="138">
        <v>0.88400000000000001</v>
      </c>
      <c r="AO189" s="138">
        <v>1.1236999999999999</v>
      </c>
      <c r="AQ189" s="138">
        <v>0.85389999999999999</v>
      </c>
      <c r="AR189" s="138">
        <v>0.93210000000000004</v>
      </c>
      <c r="AS189" s="138">
        <v>0.96409999999999996</v>
      </c>
      <c r="AT189" s="138">
        <v>1.4365000000000001</v>
      </c>
      <c r="AV189" s="138">
        <v>1.2569999999999999</v>
      </c>
      <c r="AX189" s="138">
        <v>1.5833999999999999</v>
      </c>
      <c r="AY189" s="138">
        <v>1.6653</v>
      </c>
      <c r="AZ189" s="138">
        <v>1.7726999999999999</v>
      </c>
      <c r="BA189" s="138">
        <v>1.8431999999999999</v>
      </c>
      <c r="BB189" s="138">
        <v>1.8826000000000001</v>
      </c>
      <c r="BC189" s="138">
        <v>1.9296</v>
      </c>
      <c r="BD189" s="138">
        <v>1.9273</v>
      </c>
      <c r="BE189" s="138">
        <v>1.9547000000000001</v>
      </c>
      <c r="BF189" s="138">
        <v>2.0363000000000002</v>
      </c>
      <c r="BG189" s="138">
        <v>2.0674000000000001</v>
      </c>
      <c r="BH189" s="138">
        <v>2.1840999999999999</v>
      </c>
      <c r="BI189" s="138">
        <v>2.1225000000000001</v>
      </c>
      <c r="BJ189" s="138">
        <v>2.0184000000000002</v>
      </c>
      <c r="BK189" s="138">
        <v>1.9697</v>
      </c>
      <c r="BN189" s="138">
        <f t="shared" si="4"/>
        <v>1.9697</v>
      </c>
      <c r="BO189" s="138">
        <f t="shared" si="5"/>
        <v>2017</v>
      </c>
    </row>
    <row r="190" spans="2:67" x14ac:dyDescent="0.25">
      <c r="B190" s="138" t="s">
        <v>600</v>
      </c>
      <c r="C190" s="138" t="s">
        <v>601</v>
      </c>
      <c r="D190" s="138" t="s">
        <v>1191</v>
      </c>
      <c r="E190" s="138" t="s">
        <v>1190</v>
      </c>
      <c r="AJ190" s="138">
        <v>0.86668950835113323</v>
      </c>
      <c r="BI190" s="138">
        <v>0.765803865988685</v>
      </c>
      <c r="BN190" s="138">
        <f t="shared" si="4"/>
        <v>0.765803865988685</v>
      </c>
      <c r="BO190" s="138">
        <f t="shared" si="5"/>
        <v>2015</v>
      </c>
    </row>
    <row r="191" spans="2:67" x14ac:dyDescent="0.25">
      <c r="B191" s="138" t="s">
        <v>176</v>
      </c>
      <c r="C191" s="138" t="s">
        <v>112</v>
      </c>
      <c r="D191" s="138" t="s">
        <v>1191</v>
      </c>
      <c r="E191" s="138" t="s">
        <v>1190</v>
      </c>
      <c r="F191" s="138">
        <v>0.185</v>
      </c>
      <c r="P191" s="138">
        <v>0.23200000000000001</v>
      </c>
      <c r="U191" s="138">
        <v>0.23300000000000001</v>
      </c>
      <c r="Z191" s="138">
        <v>0.28499999999999998</v>
      </c>
      <c r="AA191" s="138">
        <v>0.34399999999999997</v>
      </c>
      <c r="AB191" s="138">
        <v>0.34200000000000003</v>
      </c>
      <c r="AF191" s="138">
        <v>0.35099999999999998</v>
      </c>
      <c r="AJ191" s="138">
        <v>0.46200000000000002</v>
      </c>
      <c r="AK191" s="138">
        <v>0.48</v>
      </c>
      <c r="AL191" s="138">
        <v>0.52790000000000004</v>
      </c>
      <c r="AM191" s="138">
        <v>0.53959999999999997</v>
      </c>
      <c r="AN191" s="138">
        <v>0.55269999999999997</v>
      </c>
      <c r="AO191" s="138">
        <v>0.56740000000000002</v>
      </c>
      <c r="AP191" s="138">
        <v>0.58940000000000003</v>
      </c>
      <c r="AQ191" s="138">
        <v>0.6079</v>
      </c>
      <c r="AR191" s="138">
        <v>0.62519999999999998</v>
      </c>
      <c r="AS191" s="138">
        <v>0.64329999999999998</v>
      </c>
      <c r="AT191" s="138">
        <v>0.66290000000000004</v>
      </c>
      <c r="AU191" s="138">
        <v>0.67969999999999997</v>
      </c>
      <c r="AX191" s="138">
        <v>0.77129999999999999</v>
      </c>
      <c r="AY191" s="138">
        <v>0.82089999999999996</v>
      </c>
      <c r="BA191" s="138">
        <v>0.79749999999999999</v>
      </c>
      <c r="BB191" s="138">
        <v>0.81869999999999998</v>
      </c>
      <c r="BC191" s="138">
        <v>0.83540000000000003</v>
      </c>
      <c r="BD191" s="138">
        <v>0.84960000000000002</v>
      </c>
      <c r="BE191" s="138">
        <v>0.87480000000000002</v>
      </c>
      <c r="BH191" s="138">
        <v>0.80600000000000005</v>
      </c>
      <c r="BI191" s="138">
        <v>0.97529999999999994</v>
      </c>
      <c r="BN191" s="138">
        <f t="shared" si="4"/>
        <v>0.97529999999999994</v>
      </c>
      <c r="BO191" s="138">
        <f t="shared" si="5"/>
        <v>2015</v>
      </c>
    </row>
    <row r="192" spans="2:67" x14ac:dyDescent="0.25">
      <c r="B192" s="138" t="s">
        <v>606</v>
      </c>
      <c r="C192" s="138" t="s">
        <v>113</v>
      </c>
      <c r="D192" s="138" t="s">
        <v>1191</v>
      </c>
      <c r="E192" s="138" t="s">
        <v>1190</v>
      </c>
      <c r="F192" s="138">
        <v>0.35599999999999998</v>
      </c>
      <c r="K192" s="138">
        <v>0.47799999999999998</v>
      </c>
      <c r="P192" s="138">
        <v>0.61299999999999999</v>
      </c>
      <c r="U192" s="138">
        <v>0.59699999999999998</v>
      </c>
      <c r="AA192" s="138">
        <v>0.99299999999999999</v>
      </c>
      <c r="AD192" s="138">
        <v>1.0209999999999999</v>
      </c>
      <c r="AE192" s="138">
        <v>1.006</v>
      </c>
      <c r="AH192" s="138">
        <v>1.7929999999999999</v>
      </c>
      <c r="AJ192" s="138">
        <v>1.1129</v>
      </c>
      <c r="AK192" s="138">
        <v>1.1220000000000001</v>
      </c>
      <c r="AL192" s="138">
        <v>1.1439999999999999</v>
      </c>
      <c r="AM192" s="138">
        <v>1.1777</v>
      </c>
      <c r="AN192" s="138">
        <v>1.1254999999999999</v>
      </c>
      <c r="AO192" s="138">
        <v>1.1666000000000001</v>
      </c>
      <c r="AP192" s="138">
        <v>1.2055</v>
      </c>
      <c r="AQ192" s="138">
        <v>1.2033</v>
      </c>
      <c r="AR192" s="138">
        <v>1.1932</v>
      </c>
      <c r="AS192" s="138">
        <v>1.2324999999999999</v>
      </c>
      <c r="AT192" s="138">
        <v>1.502</v>
      </c>
      <c r="AU192" s="138">
        <v>1.2438</v>
      </c>
      <c r="AV192" s="138">
        <v>1.3346</v>
      </c>
      <c r="AW192" s="138">
        <v>1.3402000000000001</v>
      </c>
      <c r="AX192" s="138">
        <v>1.3216000000000001</v>
      </c>
      <c r="AY192" s="138">
        <v>1.3474999999999999</v>
      </c>
      <c r="AZ192" s="138">
        <v>1.3488</v>
      </c>
      <c r="BA192" s="138">
        <v>1.3031999999999999</v>
      </c>
      <c r="BB192" s="138">
        <v>1.3807</v>
      </c>
      <c r="BC192" s="138">
        <v>1.3091999999999999</v>
      </c>
      <c r="BD192" s="138">
        <v>1.4056</v>
      </c>
      <c r="BE192" s="138">
        <v>1.4971000000000001</v>
      </c>
      <c r="BF192" s="138">
        <v>1.5969</v>
      </c>
      <c r="BG192" s="138">
        <v>1.5808</v>
      </c>
      <c r="BJ192" s="138">
        <v>1.5699000000000001</v>
      </c>
      <c r="BN192" s="138">
        <f t="shared" si="4"/>
        <v>1.5699000000000001</v>
      </c>
      <c r="BO192" s="138">
        <f t="shared" si="5"/>
        <v>2016</v>
      </c>
    </row>
    <row r="193" spans="2:67" x14ac:dyDescent="0.25">
      <c r="B193" s="138" t="s">
        <v>607</v>
      </c>
      <c r="C193" s="138" t="s">
        <v>114</v>
      </c>
      <c r="D193" s="138" t="s">
        <v>1191</v>
      </c>
      <c r="E193" s="138" t="s">
        <v>1190</v>
      </c>
      <c r="F193" s="138">
        <v>0.51</v>
      </c>
      <c r="K193" s="138">
        <v>0.60499999999999998</v>
      </c>
      <c r="P193" s="138">
        <v>0.52100000000000002</v>
      </c>
      <c r="U193" s="138">
        <v>0.52600000000000002</v>
      </c>
      <c r="Y193" s="138">
        <v>0.69199999999999995</v>
      </c>
      <c r="Z193" s="138">
        <v>0.71599999999999997</v>
      </c>
      <c r="AA193" s="138">
        <v>0.76</v>
      </c>
      <c r="AB193" s="138">
        <v>0.84599999999999997</v>
      </c>
      <c r="AC193" s="138">
        <v>0.90200000000000002</v>
      </c>
      <c r="AD193" s="138">
        <v>0.90800000000000003</v>
      </c>
      <c r="AE193" s="138">
        <v>0.92900000000000005</v>
      </c>
      <c r="AF193" s="138">
        <v>0.98399999999999999</v>
      </c>
      <c r="AG193" s="138">
        <v>0.98299999999999998</v>
      </c>
      <c r="AH193" s="138">
        <v>0.96499999999999997</v>
      </c>
      <c r="AI193" s="138">
        <v>1.0349999999999999</v>
      </c>
      <c r="AJ193" s="138">
        <v>1.0640000000000001</v>
      </c>
      <c r="AL193" s="138">
        <v>1.03</v>
      </c>
      <c r="AO193" s="138">
        <v>0.98</v>
      </c>
      <c r="AQ193" s="138">
        <v>0.93200000000000005</v>
      </c>
      <c r="AS193" s="138">
        <v>1.1657999999999999</v>
      </c>
      <c r="BA193" s="138">
        <v>1.6672</v>
      </c>
      <c r="BC193" s="138">
        <v>0.94040000000000001</v>
      </c>
      <c r="BD193" s="138">
        <v>0.92</v>
      </c>
      <c r="BF193" s="138">
        <v>1.1164000000000001</v>
      </c>
      <c r="BJ193" s="138">
        <v>1.27</v>
      </c>
      <c r="BN193" s="138">
        <f t="shared" si="4"/>
        <v>1.27</v>
      </c>
      <c r="BO193" s="138">
        <f t="shared" si="5"/>
        <v>2016</v>
      </c>
    </row>
    <row r="194" spans="2:67" x14ac:dyDescent="0.25">
      <c r="B194" s="138" t="s">
        <v>253</v>
      </c>
      <c r="C194" s="138" t="s">
        <v>115</v>
      </c>
      <c r="D194" s="138" t="s">
        <v>1191</v>
      </c>
      <c r="E194" s="138" t="s">
        <v>1190</v>
      </c>
      <c r="F194" s="138">
        <v>0.14599999999999999</v>
      </c>
      <c r="P194" s="138">
        <v>0.111</v>
      </c>
      <c r="U194" s="138">
        <v>0.113</v>
      </c>
      <c r="Z194" s="138">
        <v>0.128</v>
      </c>
      <c r="AA194" s="138">
        <v>0.15</v>
      </c>
      <c r="AD194" s="138">
        <v>0.154</v>
      </c>
      <c r="AE194" s="138">
        <v>0.154</v>
      </c>
      <c r="AI194" s="138">
        <v>0.124</v>
      </c>
      <c r="AJ194" s="138">
        <v>0.11899999999999999</v>
      </c>
      <c r="AL194" s="138">
        <v>0.108</v>
      </c>
      <c r="AP194" s="138">
        <v>1.23</v>
      </c>
      <c r="AQ194" s="138">
        <v>1.24</v>
      </c>
      <c r="AT194" s="138">
        <v>1.2184999999999999</v>
      </c>
      <c r="AU194" s="138">
        <v>1.2202</v>
      </c>
      <c r="AV194" s="138">
        <v>1.1109</v>
      </c>
      <c r="AW194" s="138">
        <v>1.2259</v>
      </c>
      <c r="AX194" s="138">
        <v>1.1085</v>
      </c>
      <c r="AY194" s="138">
        <v>1.2296</v>
      </c>
      <c r="AZ194" s="138">
        <v>1.2372000000000001</v>
      </c>
      <c r="BA194" s="138">
        <v>1.2457</v>
      </c>
      <c r="BB194" s="138">
        <v>1.2579</v>
      </c>
      <c r="BC194" s="138">
        <v>1.2658</v>
      </c>
      <c r="BD194" s="138">
        <v>1.2749999999999999</v>
      </c>
      <c r="BN194" s="138">
        <f t="shared" si="4"/>
        <v>1.2749999999999999</v>
      </c>
      <c r="BO194" s="138">
        <f t="shared" si="5"/>
        <v>2010</v>
      </c>
    </row>
    <row r="195" spans="2:67" x14ac:dyDescent="0.25">
      <c r="B195" s="138" t="s">
        <v>604</v>
      </c>
      <c r="C195" s="138" t="s">
        <v>605</v>
      </c>
      <c r="D195" s="138" t="s">
        <v>1191</v>
      </c>
      <c r="E195" s="138" t="s">
        <v>1190</v>
      </c>
      <c r="AR195" s="138">
        <v>1.4054</v>
      </c>
      <c r="AT195" s="138">
        <v>1.58</v>
      </c>
      <c r="AZ195" s="138">
        <v>1.3</v>
      </c>
      <c r="BC195" s="138">
        <v>1.4286000000000001</v>
      </c>
      <c r="BD195" s="138">
        <v>1.4146000000000001</v>
      </c>
      <c r="BH195" s="138">
        <v>1.1848000000000001</v>
      </c>
      <c r="BN195" s="138">
        <f t="shared" si="4"/>
        <v>1.1848000000000001</v>
      </c>
      <c r="BO195" s="138">
        <f t="shared" si="5"/>
        <v>2014</v>
      </c>
    </row>
    <row r="196" spans="2:67" x14ac:dyDescent="0.25">
      <c r="B196" s="138" t="s">
        <v>252</v>
      </c>
      <c r="C196" s="138" t="s">
        <v>116</v>
      </c>
      <c r="D196" s="138" t="s">
        <v>1191</v>
      </c>
      <c r="E196" s="138" t="s">
        <v>1190</v>
      </c>
      <c r="K196" s="138">
        <v>7.9000000000000001E-2</v>
      </c>
      <c r="P196" s="138">
        <v>8.5999999999999993E-2</v>
      </c>
      <c r="S196" s="138">
        <v>5.6000000000000001E-2</v>
      </c>
      <c r="U196" s="138">
        <v>8.5000000000000006E-2</v>
      </c>
      <c r="Z196" s="138">
        <v>6.2E-2</v>
      </c>
      <c r="AA196" s="138">
        <v>6.2E-2</v>
      </c>
      <c r="AE196" s="138">
        <v>0.16200000000000001</v>
      </c>
      <c r="AJ196" s="138">
        <v>7.2999999999999995E-2</v>
      </c>
      <c r="AR196" s="138">
        <v>7.2999999999999995E-2</v>
      </c>
      <c r="AT196" s="138">
        <v>4.9399999999999999E-2</v>
      </c>
      <c r="BB196" s="138">
        <v>4.9099999999999998E-2</v>
      </c>
      <c r="BD196" s="138">
        <v>5.2900000000000003E-2</v>
      </c>
      <c r="BN196" s="138">
        <f t="shared" si="4"/>
        <v>5.2900000000000003E-2</v>
      </c>
      <c r="BO196" s="138">
        <f t="shared" si="5"/>
        <v>2010</v>
      </c>
    </row>
    <row r="197" spans="2:67" x14ac:dyDescent="0.25">
      <c r="B197" s="138" t="s">
        <v>608</v>
      </c>
      <c r="C197" s="138" t="s">
        <v>117</v>
      </c>
      <c r="D197" s="138" t="s">
        <v>1191</v>
      </c>
      <c r="E197" s="138" t="s">
        <v>1190</v>
      </c>
      <c r="F197" s="138">
        <v>1</v>
      </c>
      <c r="G197" s="138">
        <v>1</v>
      </c>
      <c r="H197" s="138">
        <v>1.1000000000000001</v>
      </c>
      <c r="I197" s="138">
        <v>1.1000000000000001</v>
      </c>
      <c r="J197" s="138">
        <v>1.2</v>
      </c>
      <c r="K197" s="138">
        <v>1.2</v>
      </c>
      <c r="L197" s="138">
        <v>1.3</v>
      </c>
      <c r="M197" s="138">
        <v>1.3</v>
      </c>
      <c r="N197" s="138">
        <v>1.4</v>
      </c>
      <c r="O197" s="138">
        <v>1.4</v>
      </c>
      <c r="P197" s="138">
        <v>1.4</v>
      </c>
      <c r="Q197" s="138">
        <v>1.5</v>
      </c>
      <c r="R197" s="138">
        <v>1.5</v>
      </c>
      <c r="S197" s="138">
        <v>1.5</v>
      </c>
      <c r="T197" s="138">
        <v>1.6</v>
      </c>
      <c r="U197" s="138">
        <v>1.6</v>
      </c>
      <c r="V197" s="138">
        <v>1.6</v>
      </c>
      <c r="W197" s="138">
        <v>1.7</v>
      </c>
      <c r="X197" s="138">
        <v>1.7</v>
      </c>
      <c r="Y197" s="138">
        <v>1.7</v>
      </c>
      <c r="Z197" s="138">
        <v>1.8</v>
      </c>
      <c r="AA197" s="138">
        <v>1.8</v>
      </c>
      <c r="AB197" s="138">
        <v>1.8</v>
      </c>
      <c r="AC197" s="138">
        <v>1.9</v>
      </c>
      <c r="AD197" s="138">
        <v>1.9</v>
      </c>
      <c r="AE197" s="138">
        <v>2</v>
      </c>
      <c r="AF197" s="138">
        <v>2</v>
      </c>
      <c r="AG197" s="138">
        <v>2.1</v>
      </c>
      <c r="AH197" s="138">
        <v>2.1</v>
      </c>
      <c r="AI197" s="138">
        <v>2.1</v>
      </c>
      <c r="AJ197" s="138">
        <v>2.1</v>
      </c>
      <c r="AK197" s="138">
        <v>2.2000000000000002</v>
      </c>
      <c r="AL197" s="138">
        <v>2.2000000000000002</v>
      </c>
      <c r="AM197" s="138">
        <v>2.2000000000000002</v>
      </c>
      <c r="AN197" s="138">
        <v>2.2999999999999998</v>
      </c>
      <c r="AO197" s="138">
        <v>2.2999999999999998</v>
      </c>
      <c r="AP197" s="138">
        <v>2.4</v>
      </c>
      <c r="AQ197" s="138">
        <v>2.4</v>
      </c>
      <c r="AR197" s="138">
        <v>2.2999999999999998</v>
      </c>
      <c r="AS197" s="138">
        <v>2.2999999999999998</v>
      </c>
      <c r="AT197" s="138">
        <v>2.2000000000000002</v>
      </c>
      <c r="AU197" s="138">
        <v>2.2999999999999998</v>
      </c>
      <c r="AV197" s="138">
        <v>2.2999999999999998</v>
      </c>
      <c r="AW197" s="138">
        <v>2.4689999999999999</v>
      </c>
      <c r="AY197" s="138">
        <v>1.97</v>
      </c>
      <c r="AZ197" s="138">
        <v>2.012</v>
      </c>
      <c r="BB197" s="138">
        <v>2.1440000000000001</v>
      </c>
      <c r="BD197" s="138">
        <v>2.1709999999999998</v>
      </c>
      <c r="BE197" s="138">
        <v>2.1978</v>
      </c>
      <c r="BF197" s="138">
        <v>2.2189999999999999</v>
      </c>
      <c r="BG197" s="138">
        <v>2.2252000000000001</v>
      </c>
      <c r="BH197" s="138">
        <v>2.2898999999999998</v>
      </c>
      <c r="BI197" s="138">
        <v>2.3111999999999999</v>
      </c>
      <c r="BJ197" s="138">
        <v>2.3997999999999999</v>
      </c>
      <c r="BN197" s="138">
        <f t="shared" si="4"/>
        <v>2.3997999999999999</v>
      </c>
      <c r="BO197" s="138">
        <f t="shared" si="5"/>
        <v>2016</v>
      </c>
    </row>
    <row r="198" spans="2:67" x14ac:dyDescent="0.25">
      <c r="B198" s="138" t="s">
        <v>612</v>
      </c>
      <c r="C198" s="138" t="s">
        <v>613</v>
      </c>
      <c r="D198" s="138" t="s">
        <v>1191</v>
      </c>
      <c r="E198" s="138" t="s">
        <v>1190</v>
      </c>
      <c r="AJ198" s="138">
        <v>0.12578525756842826</v>
      </c>
      <c r="AT198" s="138">
        <v>0.1740127451433342</v>
      </c>
      <c r="BI198" s="138">
        <v>0.21840284487090372</v>
      </c>
      <c r="BN198" s="138">
        <f t="shared" si="4"/>
        <v>0.21840284487090372</v>
      </c>
      <c r="BO198" s="138">
        <f t="shared" si="5"/>
        <v>2015</v>
      </c>
    </row>
    <row r="199" spans="2:67" x14ac:dyDescent="0.25">
      <c r="B199" s="138" t="s">
        <v>614</v>
      </c>
      <c r="C199" s="138" t="s">
        <v>615</v>
      </c>
      <c r="D199" s="138" t="s">
        <v>1191</v>
      </c>
      <c r="E199" s="138" t="s">
        <v>1190</v>
      </c>
      <c r="AO199" s="138">
        <v>1.75</v>
      </c>
      <c r="BN199" s="138">
        <f t="shared" si="4"/>
        <v>1.75</v>
      </c>
      <c r="BO199" s="138">
        <f t="shared" si="5"/>
        <v>1995</v>
      </c>
    </row>
    <row r="200" spans="2:67" x14ac:dyDescent="0.25">
      <c r="B200" s="138" t="s">
        <v>535</v>
      </c>
      <c r="C200" s="138" t="s">
        <v>158</v>
      </c>
      <c r="D200" s="138" t="s">
        <v>1191</v>
      </c>
      <c r="E200" s="138" t="s">
        <v>1190</v>
      </c>
      <c r="AB200" s="138">
        <v>2.5489999999999999</v>
      </c>
      <c r="AC200" s="138">
        <v>2.5110000000000001</v>
      </c>
      <c r="AO200" s="138">
        <v>2.97</v>
      </c>
      <c r="AW200" s="138">
        <v>3.1690999999999998</v>
      </c>
      <c r="BB200" s="138">
        <v>3.2846000000000002</v>
      </c>
      <c r="BE200" s="138">
        <v>2.7770000000000001</v>
      </c>
      <c r="BF200" s="138">
        <v>3.4388999999999998</v>
      </c>
      <c r="BH200" s="138">
        <v>3.4973000000000001</v>
      </c>
      <c r="BJ200" s="138">
        <v>3.6922000000000001</v>
      </c>
      <c r="BK200" s="138">
        <v>3.6745000000000001</v>
      </c>
      <c r="BN200" s="138">
        <f t="shared" si="4"/>
        <v>3.6745000000000001</v>
      </c>
      <c r="BO200" s="138">
        <f t="shared" si="5"/>
        <v>2017</v>
      </c>
    </row>
    <row r="201" spans="2:67" x14ac:dyDescent="0.25">
      <c r="B201" s="138" t="s">
        <v>609</v>
      </c>
      <c r="C201" s="138" t="s">
        <v>118</v>
      </c>
      <c r="D201" s="138" t="s">
        <v>1191</v>
      </c>
      <c r="E201" s="138" t="s">
        <v>1190</v>
      </c>
      <c r="F201" s="138">
        <v>0.8</v>
      </c>
      <c r="G201" s="138">
        <v>0.8</v>
      </c>
      <c r="H201" s="138">
        <v>0.9</v>
      </c>
      <c r="I201" s="138">
        <v>0.8</v>
      </c>
      <c r="J201" s="138">
        <v>0.8</v>
      </c>
      <c r="K201" s="138">
        <v>0.9</v>
      </c>
      <c r="L201" s="138">
        <v>0.9</v>
      </c>
      <c r="M201" s="138">
        <v>0.9</v>
      </c>
      <c r="N201" s="138">
        <v>1</v>
      </c>
      <c r="O201" s="138">
        <v>0.9</v>
      </c>
      <c r="P201" s="138">
        <v>0.9</v>
      </c>
      <c r="Q201" s="138">
        <v>1</v>
      </c>
      <c r="R201" s="138">
        <v>1</v>
      </c>
      <c r="S201" s="138">
        <v>1.1000000000000001</v>
      </c>
      <c r="T201" s="138">
        <v>1.2</v>
      </c>
      <c r="U201" s="138">
        <v>1.2</v>
      </c>
      <c r="V201" s="138">
        <v>1.3</v>
      </c>
      <c r="W201" s="138">
        <v>1.5</v>
      </c>
      <c r="X201" s="138">
        <v>1.7</v>
      </c>
      <c r="Y201" s="138">
        <v>1.9</v>
      </c>
      <c r="Z201" s="138">
        <v>2</v>
      </c>
      <c r="AA201" s="138">
        <v>2.1</v>
      </c>
      <c r="AB201" s="138">
        <v>2.2000000000000002</v>
      </c>
      <c r="AC201" s="138">
        <v>2.2999999999999998</v>
      </c>
      <c r="AD201" s="138">
        <v>2.4</v>
      </c>
      <c r="AE201" s="138">
        <v>2.5</v>
      </c>
      <c r="AF201" s="138">
        <v>2.6</v>
      </c>
      <c r="AG201" s="138">
        <v>2.6</v>
      </c>
      <c r="AH201" s="138">
        <v>2.7</v>
      </c>
      <c r="AI201" s="138">
        <v>2.8</v>
      </c>
      <c r="AJ201" s="138">
        <v>2.8</v>
      </c>
      <c r="AK201" s="138">
        <v>2.8</v>
      </c>
      <c r="AL201" s="138">
        <v>2.9</v>
      </c>
      <c r="AM201" s="138">
        <v>2.9</v>
      </c>
      <c r="AN201" s="138">
        <v>2.9</v>
      </c>
      <c r="AO201" s="138">
        <v>2.9</v>
      </c>
      <c r="AP201" s="138">
        <v>3</v>
      </c>
      <c r="AQ201" s="138">
        <v>3</v>
      </c>
      <c r="AR201" s="138">
        <v>3.1</v>
      </c>
      <c r="AS201" s="138">
        <v>3.1</v>
      </c>
      <c r="AT201" s="138">
        <v>3.2</v>
      </c>
      <c r="AU201" s="138">
        <v>3.2</v>
      </c>
      <c r="AV201" s="138">
        <v>3.2317</v>
      </c>
      <c r="AW201" s="138">
        <v>3.2839999999999998</v>
      </c>
      <c r="AX201" s="138">
        <v>3.3445999999999998</v>
      </c>
      <c r="AY201" s="138">
        <v>3.4203000000000001</v>
      </c>
      <c r="AZ201" s="138">
        <v>3.4834000000000001</v>
      </c>
      <c r="BA201" s="138">
        <v>3.5657000000000001</v>
      </c>
      <c r="BB201" s="138">
        <v>3.6549</v>
      </c>
      <c r="BC201" s="138">
        <v>3.7610000000000001</v>
      </c>
      <c r="BD201" s="138">
        <v>3.8180999999999998</v>
      </c>
      <c r="BE201" s="138">
        <v>3.9579</v>
      </c>
      <c r="BF201" s="138">
        <v>4.0751999999999997</v>
      </c>
      <c r="BG201" s="138">
        <v>4.2321999999999997</v>
      </c>
      <c r="BH201" s="138">
        <v>4.3963999999999999</v>
      </c>
      <c r="BJ201" s="138">
        <v>3.3355999999999999</v>
      </c>
      <c r="BN201" s="138">
        <f t="shared" ref="BN201:BN264" si="6">IFERROR(LOOKUP(2,1/(ISNUMBER(G201:BM201)),G201:BM201),"No reported value")</f>
        <v>3.3355999999999999</v>
      </c>
      <c r="BO201" s="138">
        <f t="shared" ref="BO201:BO264" si="7">IFERROR(INDEX($G$8:$BM$8,1,MATCH($BN201,$G201:$BM201,0)),"No reported value")</f>
        <v>2016</v>
      </c>
    </row>
    <row r="202" spans="2:67" x14ac:dyDescent="0.25">
      <c r="B202" s="138" t="s">
        <v>228</v>
      </c>
      <c r="C202" s="138" t="s">
        <v>119</v>
      </c>
      <c r="D202" s="138" t="s">
        <v>1191</v>
      </c>
      <c r="E202" s="138" t="s">
        <v>1190</v>
      </c>
      <c r="F202" s="138">
        <v>0.53400000000000003</v>
      </c>
      <c r="K202" s="138">
        <v>0.53300000000000003</v>
      </c>
      <c r="P202" s="138">
        <v>0.435</v>
      </c>
      <c r="U202" s="138">
        <v>0.439</v>
      </c>
      <c r="Y202" s="138">
        <v>0.56299999999999994</v>
      </c>
      <c r="AA202" s="138">
        <v>0.57899999999999996</v>
      </c>
      <c r="AD202" s="138">
        <v>0.70099999999999996</v>
      </c>
      <c r="AE202" s="138">
        <v>0.67500000000000004</v>
      </c>
      <c r="AH202" s="138">
        <v>0.64</v>
      </c>
      <c r="AJ202" s="138">
        <v>0.65</v>
      </c>
      <c r="AK202" s="138">
        <v>0.81299999999999994</v>
      </c>
      <c r="AN202" s="138">
        <v>0.28000000000000003</v>
      </c>
      <c r="AO202" s="138">
        <v>0.73</v>
      </c>
      <c r="AQ202" s="138">
        <v>1.0980000000000001</v>
      </c>
      <c r="AT202" s="138">
        <v>1.17</v>
      </c>
      <c r="AV202" s="138">
        <v>1.1536999999999999</v>
      </c>
      <c r="BF202" s="138">
        <v>1.2859</v>
      </c>
      <c r="BK202" s="138">
        <v>0.2399</v>
      </c>
      <c r="BL202" s="138">
        <v>1.3660000000000001</v>
      </c>
      <c r="BN202" s="138">
        <f t="shared" si="6"/>
        <v>1.3660000000000001</v>
      </c>
      <c r="BO202" s="138">
        <f t="shared" si="7"/>
        <v>2018</v>
      </c>
    </row>
    <row r="203" spans="2:67" x14ac:dyDescent="0.25">
      <c r="B203" s="138" t="s">
        <v>674</v>
      </c>
      <c r="C203" s="138" t="s">
        <v>675</v>
      </c>
      <c r="D203" s="138" t="s">
        <v>1191</v>
      </c>
      <c r="E203" s="138" t="s">
        <v>1190</v>
      </c>
      <c r="AR203" s="138">
        <v>0.5</v>
      </c>
      <c r="AU203" s="138">
        <v>0.83699999999999997</v>
      </c>
      <c r="BN203" s="138">
        <f t="shared" si="6"/>
        <v>0.83699999999999997</v>
      </c>
      <c r="BO203" s="138">
        <f t="shared" si="7"/>
        <v>2001</v>
      </c>
    </row>
    <row r="204" spans="2:67" x14ac:dyDescent="0.25">
      <c r="B204" s="138" t="s">
        <v>602</v>
      </c>
      <c r="C204" s="138" t="s">
        <v>603</v>
      </c>
      <c r="D204" s="138" t="s">
        <v>1191</v>
      </c>
      <c r="E204" s="138" t="s">
        <v>1190</v>
      </c>
      <c r="AJ204" s="138">
        <v>0.27596149830882022</v>
      </c>
      <c r="AT204" s="138">
        <v>0.36921475385188629</v>
      </c>
      <c r="BI204" s="138">
        <v>0.47855072594996245</v>
      </c>
      <c r="BN204" s="138">
        <f t="shared" si="6"/>
        <v>0.47855072594996245</v>
      </c>
      <c r="BO204" s="138">
        <f t="shared" si="7"/>
        <v>2015</v>
      </c>
    </row>
    <row r="205" spans="2:67" x14ac:dyDescent="0.25">
      <c r="B205" s="138" t="s">
        <v>610</v>
      </c>
      <c r="C205" s="138" t="s">
        <v>611</v>
      </c>
      <c r="D205" s="138" t="s">
        <v>1191</v>
      </c>
      <c r="E205" s="138" t="s">
        <v>1190</v>
      </c>
      <c r="AJ205" s="138">
        <v>2.322679065371795</v>
      </c>
      <c r="AT205" s="138">
        <v>2.7879533072155445</v>
      </c>
      <c r="BI205" s="138">
        <v>3.1621791156419099</v>
      </c>
      <c r="BN205" s="138">
        <f t="shared" si="6"/>
        <v>3.1621791156419099</v>
      </c>
      <c r="BO205" s="138">
        <f t="shared" si="7"/>
        <v>2015</v>
      </c>
    </row>
    <row r="206" spans="2:67" x14ac:dyDescent="0.25">
      <c r="B206" s="138" t="s">
        <v>503</v>
      </c>
      <c r="C206" s="138" t="s">
        <v>504</v>
      </c>
      <c r="D206" s="138" t="s">
        <v>1191</v>
      </c>
      <c r="E206" s="138" t="s">
        <v>1190</v>
      </c>
      <c r="AE206" s="138">
        <v>1.252</v>
      </c>
      <c r="AT206" s="138">
        <v>1.6970000000000001</v>
      </c>
      <c r="BN206" s="138">
        <f t="shared" si="6"/>
        <v>1.6970000000000001</v>
      </c>
      <c r="BO206" s="138">
        <f t="shared" si="7"/>
        <v>2000</v>
      </c>
    </row>
    <row r="207" spans="2:67" x14ac:dyDescent="0.25">
      <c r="B207" s="138" t="s">
        <v>616</v>
      </c>
      <c r="C207" s="138" t="s">
        <v>120</v>
      </c>
      <c r="D207" s="138" t="s">
        <v>1191</v>
      </c>
      <c r="E207" s="138" t="s">
        <v>1190</v>
      </c>
      <c r="P207" s="138">
        <v>0.51300000000000001</v>
      </c>
      <c r="AA207" s="138">
        <v>0.73799999999999999</v>
      </c>
      <c r="AF207" s="138">
        <v>1.6759999999999999</v>
      </c>
      <c r="AJ207" s="138">
        <v>1.5</v>
      </c>
      <c r="AP207" s="138">
        <v>1.26</v>
      </c>
      <c r="AQ207" s="138">
        <v>1.26</v>
      </c>
      <c r="AU207" s="138">
        <v>2.2170000000000001</v>
      </c>
      <c r="AY207" s="138">
        <v>2.4857999999999998</v>
      </c>
      <c r="AZ207" s="138">
        <v>2.2892000000000001</v>
      </c>
      <c r="BB207" s="138">
        <v>3.3182</v>
      </c>
      <c r="BC207" s="138">
        <v>3.2223000000000002</v>
      </c>
      <c r="BD207" s="138">
        <v>3.8877000000000002</v>
      </c>
      <c r="BH207" s="138">
        <v>1.7970999999999999</v>
      </c>
      <c r="BJ207" s="138">
        <v>2.7831000000000001</v>
      </c>
      <c r="BK207" s="138">
        <v>8.0000000000000004E-4</v>
      </c>
      <c r="BN207" s="138">
        <f t="shared" si="6"/>
        <v>8.0000000000000004E-4</v>
      </c>
      <c r="BO207" s="138">
        <f t="shared" si="7"/>
        <v>2017</v>
      </c>
    </row>
    <row r="208" spans="2:67" x14ac:dyDescent="0.25">
      <c r="B208" s="138" t="s">
        <v>617</v>
      </c>
      <c r="C208" s="138" t="s">
        <v>121</v>
      </c>
      <c r="D208" s="138" t="s">
        <v>1191</v>
      </c>
      <c r="E208" s="138" t="s">
        <v>1190</v>
      </c>
      <c r="F208" s="138">
        <v>1.2689999999999999</v>
      </c>
      <c r="K208" s="138">
        <v>1.3160000000000001</v>
      </c>
      <c r="P208" s="138">
        <v>1.1850000000000001</v>
      </c>
      <c r="Q208" s="138">
        <v>1.208</v>
      </c>
      <c r="S208" s="138">
        <v>1.242</v>
      </c>
      <c r="U208" s="138">
        <v>1.3180000000000001</v>
      </c>
      <c r="V208" s="138">
        <v>1.3320000000000001</v>
      </c>
      <c r="W208" s="138">
        <v>1.355</v>
      </c>
      <c r="X208" s="138">
        <v>1.377</v>
      </c>
      <c r="Y208" s="138">
        <v>1.413</v>
      </c>
      <c r="Z208" s="138">
        <v>1.476</v>
      </c>
      <c r="AA208" s="138">
        <v>1.5409999999999999</v>
      </c>
      <c r="AB208" s="138">
        <v>1.635</v>
      </c>
      <c r="AC208" s="138">
        <v>1.972</v>
      </c>
      <c r="AD208" s="138">
        <v>1.724</v>
      </c>
      <c r="AE208" s="138">
        <v>1.762</v>
      </c>
      <c r="AF208" s="138">
        <v>1.7829999999999999</v>
      </c>
      <c r="AG208" s="138">
        <v>1.79</v>
      </c>
      <c r="AH208" s="138">
        <v>1.8049999999999999</v>
      </c>
      <c r="AI208" s="138">
        <v>1.8109999999999999</v>
      </c>
      <c r="AJ208" s="138">
        <v>1.802</v>
      </c>
      <c r="AK208" s="138">
        <v>1.8160000000000001</v>
      </c>
      <c r="AL208" s="138">
        <v>1.8660000000000001</v>
      </c>
      <c r="AM208" s="138">
        <v>1.77</v>
      </c>
      <c r="AN208" s="138">
        <v>1.7649999999999999</v>
      </c>
      <c r="AO208" s="138">
        <v>1.768</v>
      </c>
      <c r="AP208" s="138">
        <v>1.81</v>
      </c>
      <c r="AQ208" s="138">
        <v>1.7909999999999999</v>
      </c>
      <c r="AR208" s="138">
        <v>1.8360000000000001</v>
      </c>
      <c r="AS208" s="138">
        <v>1.909</v>
      </c>
      <c r="AT208" s="138">
        <v>1.889</v>
      </c>
      <c r="AU208" s="138">
        <v>1.887</v>
      </c>
      <c r="AV208" s="138">
        <v>1.9718</v>
      </c>
      <c r="AW208" s="138">
        <v>1.905</v>
      </c>
      <c r="AZ208" s="138">
        <v>1.917</v>
      </c>
      <c r="BD208" s="138">
        <v>2.4842</v>
      </c>
      <c r="BE208" s="138">
        <v>2.5207000000000002</v>
      </c>
      <c r="BF208" s="138">
        <v>2.5958999999999999</v>
      </c>
      <c r="BG208" s="138">
        <v>2.6324000000000001</v>
      </c>
      <c r="BJ208" s="138">
        <v>2.2585999999999999</v>
      </c>
      <c r="BN208" s="138">
        <f t="shared" si="6"/>
        <v>2.2585999999999999</v>
      </c>
      <c r="BO208" s="138">
        <f t="shared" si="7"/>
        <v>2016</v>
      </c>
    </row>
    <row r="209" spans="2:67" x14ac:dyDescent="0.25">
      <c r="B209" s="138" t="s">
        <v>618</v>
      </c>
      <c r="C209" s="138" t="s">
        <v>122</v>
      </c>
      <c r="D209" s="138" t="s">
        <v>1191</v>
      </c>
      <c r="E209" s="138" t="s">
        <v>1190</v>
      </c>
      <c r="AE209" s="138">
        <v>3.871</v>
      </c>
      <c r="AF209" s="138">
        <v>3.9390000000000001</v>
      </c>
      <c r="AG209" s="138">
        <v>4.0039999999999996</v>
      </c>
      <c r="AH209" s="138">
        <v>4.04</v>
      </c>
      <c r="AI209" s="138">
        <v>4.085</v>
      </c>
      <c r="AJ209" s="138">
        <v>4.07</v>
      </c>
      <c r="AK209" s="138">
        <v>4.0460000000000003</v>
      </c>
      <c r="AL209" s="138">
        <v>3.8719999999999999</v>
      </c>
      <c r="AM209" s="138">
        <v>3.972</v>
      </c>
      <c r="AN209" s="138">
        <v>3.835</v>
      </c>
      <c r="AO209" s="138">
        <v>3.859</v>
      </c>
      <c r="AP209" s="138">
        <v>4.0960000000000001</v>
      </c>
      <c r="AQ209" s="138">
        <v>4.1550000000000002</v>
      </c>
      <c r="AR209" s="138">
        <v>4.2089999999999996</v>
      </c>
      <c r="AS209" s="138">
        <v>4.194</v>
      </c>
      <c r="AU209" s="138">
        <v>4.1719999999999997</v>
      </c>
      <c r="AV209" s="138">
        <v>4</v>
      </c>
      <c r="AW209" s="138">
        <v>4.2519999999999998</v>
      </c>
      <c r="AX209" s="138">
        <v>4</v>
      </c>
      <c r="AY209" s="138">
        <v>4</v>
      </c>
      <c r="AZ209" s="138">
        <v>4.3090000000000002</v>
      </c>
      <c r="BD209" s="138">
        <v>2.3984000000000001</v>
      </c>
      <c r="BE209" s="138">
        <v>4.2426000000000004</v>
      </c>
      <c r="BF209" s="138">
        <v>4.0275999999999996</v>
      </c>
      <c r="BG209" s="138">
        <v>4.0152999999999999</v>
      </c>
      <c r="BH209" s="138">
        <v>4.1531000000000002</v>
      </c>
      <c r="BI209" s="138">
        <v>3.9632000000000001</v>
      </c>
      <c r="BJ209" s="138">
        <v>4.0138999999999996</v>
      </c>
      <c r="BN209" s="138">
        <f t="shared" si="6"/>
        <v>4.0138999999999996</v>
      </c>
      <c r="BO209" s="138">
        <f t="shared" si="7"/>
        <v>2016</v>
      </c>
    </row>
    <row r="210" spans="2:67" x14ac:dyDescent="0.25">
      <c r="B210" s="138" t="s">
        <v>210</v>
      </c>
      <c r="C210" s="138" t="s">
        <v>123</v>
      </c>
      <c r="D210" s="138" t="s">
        <v>1191</v>
      </c>
      <c r="E210" s="138" t="s">
        <v>1190</v>
      </c>
      <c r="F210" s="138">
        <v>8.0000000000000002E-3</v>
      </c>
      <c r="K210" s="138">
        <v>1.4E-2</v>
      </c>
      <c r="P210" s="138">
        <v>1.7000000000000001E-2</v>
      </c>
      <c r="U210" s="138">
        <v>1.7000000000000001E-2</v>
      </c>
      <c r="Z210" s="138">
        <v>3.2000000000000001E-2</v>
      </c>
      <c r="AA210" s="138">
        <v>3.1E-2</v>
      </c>
      <c r="AC210" s="138">
        <v>2.9000000000000001E-2</v>
      </c>
      <c r="AE210" s="138">
        <v>2.7E-2</v>
      </c>
      <c r="AI210" s="138">
        <v>0.04</v>
      </c>
      <c r="AM210" s="138">
        <v>0.04</v>
      </c>
      <c r="AV210" s="138">
        <v>1.9E-2</v>
      </c>
      <c r="AX210" s="138">
        <v>4.9000000000000002E-2</v>
      </c>
      <c r="AY210" s="138">
        <v>2.4E-2</v>
      </c>
      <c r="BB210" s="138">
        <v>5.1999999999999998E-2</v>
      </c>
      <c r="BC210" s="138">
        <v>5.5E-2</v>
      </c>
      <c r="BD210" s="138">
        <v>5.5E-2</v>
      </c>
      <c r="BG210" s="138">
        <v>9.98E-2</v>
      </c>
      <c r="BH210" s="138">
        <v>0.124</v>
      </c>
      <c r="BI210" s="138">
        <v>0.14080000000000001</v>
      </c>
      <c r="BJ210" s="138">
        <v>0.14000000000000001</v>
      </c>
      <c r="BK210" s="138">
        <v>0.1346</v>
      </c>
      <c r="BN210" s="138">
        <f t="shared" si="6"/>
        <v>0.1346</v>
      </c>
      <c r="BO210" s="138">
        <f t="shared" si="7"/>
        <v>2017</v>
      </c>
    </row>
    <row r="211" spans="2:67" x14ac:dyDescent="0.25">
      <c r="B211" s="138" t="s">
        <v>630</v>
      </c>
      <c r="C211" s="138" t="s">
        <v>631</v>
      </c>
      <c r="D211" s="138" t="s">
        <v>1191</v>
      </c>
      <c r="E211" s="138" t="s">
        <v>1190</v>
      </c>
      <c r="AJ211" s="138">
        <v>1.0082568083419561</v>
      </c>
      <c r="AT211" s="138">
        <v>0.50056637364761247</v>
      </c>
      <c r="BI211" s="138">
        <v>0.76812752286180397</v>
      </c>
      <c r="BN211" s="138">
        <f t="shared" si="6"/>
        <v>0.76812752286180397</v>
      </c>
      <c r="BO211" s="138">
        <f t="shared" si="7"/>
        <v>2015</v>
      </c>
    </row>
    <row r="212" spans="2:67" x14ac:dyDescent="0.25">
      <c r="B212" s="138" t="s">
        <v>620</v>
      </c>
      <c r="C212" s="138" t="s">
        <v>124</v>
      </c>
      <c r="D212" s="138" t="s">
        <v>1191</v>
      </c>
      <c r="E212" s="138" t="s">
        <v>1190</v>
      </c>
      <c r="F212" s="138">
        <v>6.0999999999999999E-2</v>
      </c>
      <c r="K212" s="138">
        <v>0.106</v>
      </c>
      <c r="P212" s="138">
        <v>0.13400000000000001</v>
      </c>
      <c r="AA212" s="138">
        <v>0.55000000000000004</v>
      </c>
      <c r="AF212" s="138">
        <v>1.3460000000000001</v>
      </c>
      <c r="AJ212" s="138">
        <v>1.4330000000000001</v>
      </c>
      <c r="AM212" s="138">
        <v>1.335</v>
      </c>
      <c r="AQ212" s="138">
        <v>1.66</v>
      </c>
      <c r="AT212" s="138">
        <v>0.72</v>
      </c>
      <c r="AU212" s="138">
        <v>0.67889999999999995</v>
      </c>
      <c r="AX212" s="138">
        <v>1.37</v>
      </c>
      <c r="BA212" s="138">
        <v>1.6220000000000001</v>
      </c>
      <c r="BB212" s="138">
        <v>2.0583999999999998</v>
      </c>
      <c r="BC212" s="138">
        <v>2.0735999999999999</v>
      </c>
      <c r="BD212" s="138">
        <v>2.407</v>
      </c>
      <c r="BE212" s="138">
        <v>2.4632999999999998</v>
      </c>
      <c r="BF212" s="138">
        <v>2.4588000000000001</v>
      </c>
      <c r="BH212" s="138">
        <v>2.577</v>
      </c>
      <c r="BJ212" s="138">
        <v>2.39</v>
      </c>
      <c r="BN212" s="138">
        <f t="shared" si="6"/>
        <v>2.39</v>
      </c>
      <c r="BO212" s="138">
        <f t="shared" si="7"/>
        <v>2016</v>
      </c>
    </row>
    <row r="213" spans="2:67" x14ac:dyDescent="0.25">
      <c r="B213" s="138" t="s">
        <v>233</v>
      </c>
      <c r="C213" s="138" t="s">
        <v>125</v>
      </c>
      <c r="D213" s="138" t="s">
        <v>1191</v>
      </c>
      <c r="E213" s="138" t="s">
        <v>1190</v>
      </c>
      <c r="F213" s="138">
        <v>0.03</v>
      </c>
      <c r="K213" s="138">
        <v>4.1000000000000002E-2</v>
      </c>
      <c r="P213" s="138">
        <v>6.8000000000000005E-2</v>
      </c>
      <c r="U213" s="138">
        <v>6.8000000000000005E-2</v>
      </c>
      <c r="Z213" s="138">
        <v>0.11</v>
      </c>
      <c r="AA213" s="138">
        <v>0.10100000000000001</v>
      </c>
      <c r="AD213" s="138">
        <v>9.6000000000000002E-2</v>
      </c>
      <c r="AF213" s="138">
        <v>0.09</v>
      </c>
      <c r="AN213" s="138">
        <v>0.105</v>
      </c>
      <c r="AP213" s="138">
        <v>0.09</v>
      </c>
      <c r="AT213" s="138">
        <v>0.158</v>
      </c>
      <c r="AX213" s="138">
        <v>0.25019999999999998</v>
      </c>
      <c r="AZ213" s="138">
        <v>0.35060000000000002</v>
      </c>
      <c r="BA213" s="138">
        <v>0.35120000000000001</v>
      </c>
      <c r="BB213" s="138">
        <v>0.3281</v>
      </c>
      <c r="BD213" s="138">
        <v>0.28000000000000003</v>
      </c>
      <c r="BI213" s="138">
        <v>0.41</v>
      </c>
      <c r="BN213" s="138">
        <f t="shared" si="6"/>
        <v>0.41</v>
      </c>
      <c r="BO213" s="138">
        <f t="shared" si="7"/>
        <v>2015</v>
      </c>
    </row>
    <row r="214" spans="2:67" x14ac:dyDescent="0.25">
      <c r="B214" s="138" t="s">
        <v>212</v>
      </c>
      <c r="C214" s="138" t="s">
        <v>126</v>
      </c>
      <c r="D214" s="138" t="s">
        <v>1191</v>
      </c>
      <c r="E214" s="138" t="s">
        <v>1190</v>
      </c>
      <c r="F214" s="138">
        <v>4.3999999999999997E-2</v>
      </c>
      <c r="K214" s="138">
        <v>5.0999999999999997E-2</v>
      </c>
      <c r="P214" s="138">
        <v>6.3E-2</v>
      </c>
      <c r="U214" s="138">
        <v>6.0999999999999999E-2</v>
      </c>
      <c r="AA214" s="138">
        <v>7.9000000000000001E-2</v>
      </c>
      <c r="AB214" s="138">
        <v>7.6999999999999999E-2</v>
      </c>
      <c r="AJ214" s="138">
        <v>5.5E-2</v>
      </c>
      <c r="AL214" s="138">
        <v>6.8000000000000005E-2</v>
      </c>
      <c r="AN214" s="138">
        <v>9.6000000000000002E-2</v>
      </c>
      <c r="AO214" s="138">
        <v>7.4999999999999997E-2</v>
      </c>
      <c r="AP214" s="138">
        <v>9.2999999999999999E-2</v>
      </c>
      <c r="AQ214" s="138">
        <v>9.2999999999999999E-2</v>
      </c>
      <c r="AR214" s="138">
        <v>9.5000000000000001E-2</v>
      </c>
      <c r="AX214" s="138">
        <v>5.4199999999999998E-2</v>
      </c>
      <c r="BB214" s="138">
        <v>6.0699999999999997E-2</v>
      </c>
      <c r="BD214" s="138">
        <v>5.8999999999999997E-2</v>
      </c>
      <c r="BG214" s="138">
        <v>0.31030000000000002</v>
      </c>
      <c r="BI214" s="138">
        <v>0.20180000000000001</v>
      </c>
      <c r="BJ214" s="138">
        <v>6.9199999999999998E-2</v>
      </c>
      <c r="BN214" s="138">
        <f t="shared" si="6"/>
        <v>6.9199999999999998E-2</v>
      </c>
      <c r="BO214" s="138">
        <f t="shared" si="7"/>
        <v>2016</v>
      </c>
    </row>
    <row r="215" spans="2:67" x14ac:dyDescent="0.25">
      <c r="B215" s="138" t="s">
        <v>622</v>
      </c>
      <c r="C215" s="138" t="s">
        <v>127</v>
      </c>
      <c r="D215" s="138" t="s">
        <v>1191</v>
      </c>
      <c r="E215" s="138" t="s">
        <v>1190</v>
      </c>
      <c r="F215" s="138">
        <v>0.42</v>
      </c>
      <c r="K215" s="138">
        <v>0.52600000000000002</v>
      </c>
      <c r="P215" s="138">
        <v>0.65700000000000003</v>
      </c>
      <c r="U215" s="138">
        <v>0.66700000000000004</v>
      </c>
      <c r="Z215" s="138">
        <v>0.85099999999999998</v>
      </c>
      <c r="AA215" s="138">
        <v>0.877</v>
      </c>
      <c r="AE215" s="138">
        <v>0.998</v>
      </c>
      <c r="AF215" s="138">
        <v>0.72299999999999998</v>
      </c>
      <c r="AH215" s="138">
        <v>1.111</v>
      </c>
      <c r="AJ215" s="138">
        <v>1.266</v>
      </c>
      <c r="AK215" s="138">
        <v>1.32</v>
      </c>
      <c r="AL215" s="138">
        <v>1.3480000000000001</v>
      </c>
      <c r="AM215" s="138">
        <v>1.385</v>
      </c>
      <c r="AN215" s="138">
        <v>1.411</v>
      </c>
      <c r="AR215" s="138">
        <v>1.627</v>
      </c>
      <c r="AS215" s="138">
        <v>1.3945000000000001</v>
      </c>
      <c r="AU215" s="138">
        <v>1.43</v>
      </c>
      <c r="AW215" s="138">
        <v>1.5014000000000001</v>
      </c>
      <c r="AX215" s="138">
        <v>1.4856</v>
      </c>
      <c r="AY215" s="138">
        <v>1.5025999999999999</v>
      </c>
      <c r="AZ215" s="138">
        <v>1.5028999999999999</v>
      </c>
      <c r="BA215" s="138">
        <v>1.5603</v>
      </c>
      <c r="BB215" s="138">
        <v>1.6163000000000001</v>
      </c>
      <c r="BC215" s="138">
        <v>1.6761999999999999</v>
      </c>
      <c r="BD215" s="138">
        <v>1.738</v>
      </c>
      <c r="BE215" s="138">
        <v>1.7523</v>
      </c>
      <c r="BF215" s="138">
        <v>1.83</v>
      </c>
      <c r="BG215" s="138">
        <v>1.9286000000000001</v>
      </c>
      <c r="BH215" s="138">
        <v>2.0409999999999999</v>
      </c>
      <c r="BJ215" s="138">
        <v>2.3062999999999998</v>
      </c>
      <c r="BN215" s="138">
        <f t="shared" si="6"/>
        <v>2.3062999999999998</v>
      </c>
      <c r="BO215" s="138">
        <f t="shared" si="7"/>
        <v>2016</v>
      </c>
    </row>
    <row r="216" spans="2:67" x14ac:dyDescent="0.25">
      <c r="B216" s="138" t="s">
        <v>255</v>
      </c>
      <c r="C216" s="138" t="s">
        <v>128</v>
      </c>
      <c r="D216" s="138" t="s">
        <v>1191</v>
      </c>
      <c r="E216" s="138" t="s">
        <v>1190</v>
      </c>
      <c r="F216" s="138">
        <v>0.186</v>
      </c>
      <c r="P216" s="138">
        <v>0.20499999999999999</v>
      </c>
      <c r="AF216" s="138">
        <v>0.13500000000000001</v>
      </c>
      <c r="AI216" s="138">
        <v>0.152</v>
      </c>
      <c r="AL216" s="138">
        <v>0.157</v>
      </c>
      <c r="AO216" s="138">
        <v>0.14000000000000001</v>
      </c>
      <c r="AS216" s="138">
        <v>0.13450000000000001</v>
      </c>
      <c r="AW216" s="138">
        <v>0.1343</v>
      </c>
      <c r="AY216" s="138">
        <v>0.18940000000000001</v>
      </c>
      <c r="BB216" s="138">
        <v>0.1764</v>
      </c>
      <c r="BD216" s="138">
        <v>0.224</v>
      </c>
      <c r="BE216" s="138">
        <v>0.20200000000000001</v>
      </c>
      <c r="BF216" s="138">
        <v>0.15590000000000001</v>
      </c>
      <c r="BG216" s="138">
        <v>0.18990000000000001</v>
      </c>
      <c r="BJ216" s="138">
        <v>0.19989999999999999</v>
      </c>
      <c r="BN216" s="138">
        <f t="shared" si="6"/>
        <v>0.19989999999999999</v>
      </c>
      <c r="BO216" s="138">
        <f t="shared" si="7"/>
        <v>2016</v>
      </c>
    </row>
    <row r="217" spans="2:67" x14ac:dyDescent="0.25">
      <c r="B217" s="138" t="s">
        <v>214</v>
      </c>
      <c r="C217" s="138" t="s">
        <v>129</v>
      </c>
      <c r="D217" s="138" t="s">
        <v>1191</v>
      </c>
      <c r="E217" s="138" t="s">
        <v>1190</v>
      </c>
      <c r="F217" s="138">
        <v>4.7E-2</v>
      </c>
      <c r="K217" s="138">
        <v>5.8999999999999997E-2</v>
      </c>
      <c r="P217" s="138">
        <v>5.6000000000000001E-2</v>
      </c>
      <c r="U217" s="138">
        <v>5.3999999999999999E-2</v>
      </c>
      <c r="Z217" s="138">
        <v>5.8000000000000003E-2</v>
      </c>
      <c r="AA217" s="138">
        <v>5.2999999999999999E-2</v>
      </c>
      <c r="AD217" s="138">
        <v>7.4999999999999997E-2</v>
      </c>
      <c r="AP217" s="138">
        <v>7.2999999999999995E-2</v>
      </c>
      <c r="AX217" s="138">
        <v>3.09E-2</v>
      </c>
      <c r="BB217" s="138">
        <v>1.54E-2</v>
      </c>
      <c r="BD217" s="138">
        <v>2.1100000000000001E-2</v>
      </c>
      <c r="BE217" s="138">
        <v>2.5000000000000001E-2</v>
      </c>
      <c r="BN217" s="138">
        <f t="shared" si="6"/>
        <v>2.5000000000000001E-2</v>
      </c>
      <c r="BO217" s="138">
        <f t="shared" si="7"/>
        <v>2011</v>
      </c>
    </row>
    <row r="218" spans="2:67" x14ac:dyDescent="0.25">
      <c r="B218" s="138" t="s">
        <v>222</v>
      </c>
      <c r="C218" s="138" t="s">
        <v>164</v>
      </c>
      <c r="D218" s="138" t="s">
        <v>1191</v>
      </c>
      <c r="E218" s="138" t="s">
        <v>1190</v>
      </c>
      <c r="F218" s="138">
        <v>0.187</v>
      </c>
      <c r="P218" s="138">
        <v>0.24299999999999999</v>
      </c>
      <c r="U218" s="138">
        <v>0.24199999999999999</v>
      </c>
      <c r="Z218" s="138">
        <v>0.32600000000000001</v>
      </c>
      <c r="AA218" s="138">
        <v>0.38700000000000001</v>
      </c>
      <c r="AD218" s="138">
        <v>0.35199999999999998</v>
      </c>
      <c r="AH218" s="138">
        <v>0.64700000000000002</v>
      </c>
      <c r="AJ218" s="138">
        <v>0.84</v>
      </c>
      <c r="AM218" s="138">
        <v>0.66</v>
      </c>
      <c r="AO218" s="138">
        <v>0.91</v>
      </c>
      <c r="AQ218" s="138">
        <v>1.071</v>
      </c>
      <c r="AS218" s="138">
        <v>1.2477</v>
      </c>
      <c r="AT218" s="138">
        <v>1.2110000000000001</v>
      </c>
      <c r="AV218" s="138">
        <v>1.3363</v>
      </c>
      <c r="AY218" s="138">
        <v>1.7175</v>
      </c>
      <c r="AZ218" s="138">
        <v>1.5</v>
      </c>
      <c r="BB218" s="138">
        <v>1.8889</v>
      </c>
      <c r="BD218" s="138">
        <v>1.5960000000000001</v>
      </c>
      <c r="BJ218" s="138">
        <v>1.569</v>
      </c>
      <c r="BN218" s="138">
        <f t="shared" si="6"/>
        <v>1.569</v>
      </c>
      <c r="BO218" s="138">
        <f t="shared" si="7"/>
        <v>2016</v>
      </c>
    </row>
    <row r="219" spans="2:67" x14ac:dyDescent="0.25">
      <c r="B219" s="138" t="s">
        <v>619</v>
      </c>
      <c r="C219" s="138" t="s">
        <v>130</v>
      </c>
      <c r="D219" s="138" t="s">
        <v>1191</v>
      </c>
      <c r="E219" s="138" t="s">
        <v>1190</v>
      </c>
      <c r="Z219" s="138">
        <v>2.06</v>
      </c>
      <c r="AA219" s="138">
        <v>2.218</v>
      </c>
      <c r="AB219" s="138">
        <v>2.181</v>
      </c>
      <c r="AC219" s="138">
        <v>2.2469999999999999</v>
      </c>
      <c r="AD219" s="138">
        <v>2.1659999999999999</v>
      </c>
      <c r="AE219" s="138">
        <v>2.2869999999999999</v>
      </c>
      <c r="AF219" s="138">
        <v>2.399</v>
      </c>
      <c r="AG219" s="138">
        <v>2.5190000000000001</v>
      </c>
      <c r="AH219" s="138">
        <v>2.5379999999999998</v>
      </c>
      <c r="AI219" s="138">
        <v>2.423</v>
      </c>
      <c r="BE219" s="138">
        <v>4.9206000000000003</v>
      </c>
      <c r="BF219" s="138">
        <v>5.1410999999999998</v>
      </c>
      <c r="BG219" s="138">
        <v>5.0773999999999999</v>
      </c>
      <c r="BH219" s="138">
        <v>6.1467999999999998</v>
      </c>
      <c r="BN219" s="138">
        <f t="shared" si="6"/>
        <v>6.1467999999999998</v>
      </c>
      <c r="BO219" s="138">
        <f t="shared" si="7"/>
        <v>2014</v>
      </c>
    </row>
    <row r="220" spans="2:67" x14ac:dyDescent="0.25">
      <c r="B220" s="138" t="s">
        <v>232</v>
      </c>
      <c r="C220" s="138" t="s">
        <v>171</v>
      </c>
      <c r="D220" s="138" t="s">
        <v>1191</v>
      </c>
      <c r="E220" s="138" t="s">
        <v>1190</v>
      </c>
      <c r="F220" s="138">
        <v>2.4E-2</v>
      </c>
      <c r="K220" s="138">
        <v>2.7E-2</v>
      </c>
      <c r="P220" s="138">
        <v>3.6999999999999998E-2</v>
      </c>
      <c r="U220" s="138">
        <v>3.7999999999999999E-2</v>
      </c>
      <c r="Z220" s="138">
        <v>4.5999999999999999E-2</v>
      </c>
      <c r="AA220" s="138">
        <v>4.1000000000000002E-2</v>
      </c>
      <c r="AD220" s="138">
        <v>7.0999999999999994E-2</v>
      </c>
      <c r="AM220" s="138">
        <v>4.2000000000000003E-2</v>
      </c>
      <c r="AQ220" s="138">
        <v>0.04</v>
      </c>
      <c r="AZ220" s="138">
        <v>2.8000000000000001E-2</v>
      </c>
      <c r="BD220" s="138">
        <v>3.5000000000000003E-2</v>
      </c>
      <c r="BH220" s="138">
        <v>2.29E-2</v>
      </c>
      <c r="BN220" s="138">
        <f t="shared" si="6"/>
        <v>2.29E-2</v>
      </c>
      <c r="BO220" s="138">
        <f t="shared" si="7"/>
        <v>2014</v>
      </c>
    </row>
    <row r="221" spans="2:67" x14ac:dyDescent="0.25">
      <c r="B221" s="138" t="s">
        <v>621</v>
      </c>
      <c r="C221" s="138" t="s">
        <v>131</v>
      </c>
      <c r="D221" s="138" t="s">
        <v>1191</v>
      </c>
      <c r="E221" s="138" t="s">
        <v>1190</v>
      </c>
      <c r="AZ221" s="138">
        <v>1.99</v>
      </c>
      <c r="BA221" s="138">
        <v>2.0350000000000001</v>
      </c>
      <c r="BC221" s="138">
        <v>2.2974000000000001</v>
      </c>
      <c r="BD221" s="138">
        <v>2.4714</v>
      </c>
      <c r="BE221" s="138">
        <v>2.492</v>
      </c>
      <c r="BF221" s="138">
        <v>2.4912999999999998</v>
      </c>
      <c r="BG221" s="138">
        <v>2.4941</v>
      </c>
      <c r="BH221" s="138">
        <v>2.4649000000000001</v>
      </c>
      <c r="BJ221" s="138">
        <v>3.125</v>
      </c>
      <c r="BN221" s="138">
        <f t="shared" si="6"/>
        <v>3.125</v>
      </c>
      <c r="BO221" s="138">
        <f t="shared" si="7"/>
        <v>2016</v>
      </c>
    </row>
    <row r="222" spans="2:67" x14ac:dyDescent="0.25">
      <c r="B222" s="138" t="s">
        <v>646</v>
      </c>
      <c r="C222" s="138" t="s">
        <v>647</v>
      </c>
      <c r="D222" s="138" t="s">
        <v>1191</v>
      </c>
      <c r="E222" s="138" t="s">
        <v>1190</v>
      </c>
      <c r="AJ222" s="138">
        <v>0.13676665371665406</v>
      </c>
      <c r="AT222" s="138">
        <v>0.12275672687922147</v>
      </c>
      <c r="BI222" s="138">
        <v>0.2195762670475227</v>
      </c>
      <c r="BN222" s="138">
        <f t="shared" si="6"/>
        <v>0.2195762670475227</v>
      </c>
      <c r="BO222" s="138">
        <f t="shared" si="7"/>
        <v>2015</v>
      </c>
    </row>
    <row r="223" spans="2:67" x14ac:dyDescent="0.25">
      <c r="B223" s="138" t="s">
        <v>634</v>
      </c>
      <c r="C223" s="138" t="s">
        <v>635</v>
      </c>
      <c r="D223" s="138" t="s">
        <v>1191</v>
      </c>
      <c r="E223" s="138" t="s">
        <v>1190</v>
      </c>
      <c r="BN223" s="138" t="str">
        <f t="shared" si="6"/>
        <v>No reported value</v>
      </c>
      <c r="BO223" s="138" t="str">
        <f t="shared" si="7"/>
        <v>No reported value</v>
      </c>
    </row>
    <row r="224" spans="2:67" x14ac:dyDescent="0.25">
      <c r="B224" s="138" t="s">
        <v>644</v>
      </c>
      <c r="C224" s="138" t="s">
        <v>645</v>
      </c>
      <c r="D224" s="138" t="s">
        <v>1191</v>
      </c>
      <c r="E224" s="138" t="s">
        <v>1190</v>
      </c>
      <c r="AJ224" s="138">
        <v>0.136766653716654</v>
      </c>
      <c r="AT224" s="138">
        <v>0.12275672687922148</v>
      </c>
      <c r="BI224" s="138">
        <v>0.2196453959396874</v>
      </c>
      <c r="BN224" s="138">
        <f t="shared" si="6"/>
        <v>0.2196453959396874</v>
      </c>
      <c r="BO224" s="138">
        <f t="shared" si="7"/>
        <v>2015</v>
      </c>
    </row>
    <row r="225" spans="2:67" x14ac:dyDescent="0.25">
      <c r="B225" s="138" t="s">
        <v>628</v>
      </c>
      <c r="C225" s="138" t="s">
        <v>629</v>
      </c>
      <c r="D225" s="138" t="s">
        <v>1191</v>
      </c>
      <c r="E225" s="138" t="s">
        <v>1190</v>
      </c>
      <c r="AJ225" s="138">
        <v>0.75497918763941696</v>
      </c>
      <c r="BI225" s="138">
        <v>0.89873717540380282</v>
      </c>
      <c r="BN225" s="138">
        <f t="shared" si="6"/>
        <v>0.89873717540380282</v>
      </c>
      <c r="BO225" s="138">
        <f t="shared" si="7"/>
        <v>2015</v>
      </c>
    </row>
    <row r="226" spans="2:67" x14ac:dyDescent="0.25">
      <c r="B226" s="138" t="s">
        <v>211</v>
      </c>
      <c r="C226" s="138" t="s">
        <v>175</v>
      </c>
      <c r="D226" s="138" t="s">
        <v>1191</v>
      </c>
      <c r="E226" s="138" t="s">
        <v>1190</v>
      </c>
      <c r="F226" s="138">
        <v>0.3</v>
      </c>
      <c r="P226" s="138">
        <v>0.23300000000000001</v>
      </c>
      <c r="Z226" s="138">
        <v>0.438</v>
      </c>
      <c r="AA226" s="138">
        <v>0.41899999999999998</v>
      </c>
      <c r="AC226" s="138">
        <v>0.53700000000000003</v>
      </c>
      <c r="AI226" s="138">
        <v>0.54600000000000004</v>
      </c>
      <c r="AJ226" s="138">
        <v>0.53</v>
      </c>
      <c r="AL226" s="138">
        <v>0.32800000000000001</v>
      </c>
      <c r="AP226" s="138">
        <v>0.46700000000000003</v>
      </c>
      <c r="AX226" s="138">
        <v>0.53290000000000004</v>
      </c>
      <c r="BI226" s="138">
        <v>0.32</v>
      </c>
      <c r="BN226" s="138">
        <f t="shared" si="6"/>
        <v>0.32</v>
      </c>
      <c r="BO226" s="138">
        <f t="shared" si="7"/>
        <v>2015</v>
      </c>
    </row>
    <row r="227" spans="2:67" x14ac:dyDescent="0.25">
      <c r="B227" s="138" t="s">
        <v>229</v>
      </c>
      <c r="C227" s="138" t="s">
        <v>170</v>
      </c>
      <c r="D227" s="138" t="s">
        <v>1191</v>
      </c>
      <c r="E227" s="138" t="s">
        <v>1190</v>
      </c>
      <c r="F227" s="138">
        <v>0.51</v>
      </c>
      <c r="P227" s="138">
        <v>0.46500000000000002</v>
      </c>
      <c r="AD227" s="138">
        <v>0.79100000000000004</v>
      </c>
      <c r="AJ227" s="138">
        <v>0.75</v>
      </c>
      <c r="AM227" s="138">
        <v>0.76200000000000001</v>
      </c>
      <c r="AO227" s="138">
        <v>0.75</v>
      </c>
      <c r="AP227" s="138">
        <v>0.252</v>
      </c>
      <c r="AT227" s="138">
        <v>0.40429999999999999</v>
      </c>
      <c r="AX227" s="138">
        <v>0.81040000000000001</v>
      </c>
      <c r="BC227" s="138">
        <v>0.70879999999999999</v>
      </c>
      <c r="BL227" s="138">
        <v>1.2264999999999999</v>
      </c>
      <c r="BN227" s="138">
        <f t="shared" si="6"/>
        <v>1.2264999999999999</v>
      </c>
      <c r="BO227" s="138">
        <f t="shared" si="7"/>
        <v>2018</v>
      </c>
    </row>
    <row r="228" spans="2:67" x14ac:dyDescent="0.25">
      <c r="B228" s="138" t="s">
        <v>625</v>
      </c>
      <c r="C228" s="138" t="s">
        <v>626</v>
      </c>
      <c r="D228" s="138" t="s">
        <v>1191</v>
      </c>
      <c r="E228" s="138" t="s">
        <v>1190</v>
      </c>
      <c r="AT228" s="138">
        <v>3.2</v>
      </c>
      <c r="AU228" s="138">
        <v>3.1</v>
      </c>
      <c r="AV228" s="138">
        <v>3.1</v>
      </c>
      <c r="AW228" s="138">
        <v>3.1789999999999998</v>
      </c>
      <c r="AX228" s="138">
        <v>3.12</v>
      </c>
      <c r="BA228" s="138">
        <v>3.0049999999999999</v>
      </c>
      <c r="BC228" s="138">
        <v>3.2955000000000001</v>
      </c>
      <c r="BG228" s="138">
        <v>3.3833000000000002</v>
      </c>
      <c r="BI228" s="138">
        <v>3.4413999999999998</v>
      </c>
      <c r="BJ228" s="138">
        <v>2.4643000000000002</v>
      </c>
      <c r="BN228" s="138">
        <f t="shared" si="6"/>
        <v>2.4643000000000002</v>
      </c>
      <c r="BO228" s="138">
        <f t="shared" si="7"/>
        <v>2016</v>
      </c>
    </row>
    <row r="229" spans="2:67" x14ac:dyDescent="0.25">
      <c r="B229" s="138" t="s">
        <v>627</v>
      </c>
      <c r="C229" s="138" t="s">
        <v>132</v>
      </c>
      <c r="D229" s="138" t="s">
        <v>1191</v>
      </c>
      <c r="E229" s="138" t="s">
        <v>1190</v>
      </c>
      <c r="Z229" s="138">
        <v>1.7709999999999999</v>
      </c>
      <c r="AB229" s="138">
        <v>1.843</v>
      </c>
      <c r="AD229" s="138">
        <v>1.861</v>
      </c>
      <c r="AE229" s="138">
        <v>1.879</v>
      </c>
      <c r="AF229" s="138">
        <v>1.8819999999999999</v>
      </c>
      <c r="AG229" s="138">
        <v>2.004</v>
      </c>
      <c r="AH229" s="138">
        <v>2.024</v>
      </c>
      <c r="AI229" s="138">
        <v>2.0630000000000002</v>
      </c>
      <c r="AJ229" s="138">
        <v>1.99</v>
      </c>
      <c r="AK229" s="138">
        <v>2.0790000000000002</v>
      </c>
      <c r="AL229" s="138">
        <v>2.0910000000000002</v>
      </c>
      <c r="AM229" s="138">
        <v>2.0299999999999998</v>
      </c>
      <c r="AN229" s="138">
        <v>2.19</v>
      </c>
      <c r="AO229" s="138">
        <v>2.121</v>
      </c>
      <c r="AP229" s="138">
        <v>2.1349999999999998</v>
      </c>
      <c r="AQ229" s="138">
        <v>2.1469999999999998</v>
      </c>
      <c r="AR229" s="138">
        <v>2.1779999999999999</v>
      </c>
      <c r="AS229" s="138">
        <v>2.1349999999999998</v>
      </c>
      <c r="AT229" s="138">
        <v>2.17</v>
      </c>
      <c r="AU229" s="138">
        <v>2.194</v>
      </c>
      <c r="AV229" s="138">
        <v>2.2530000000000001</v>
      </c>
      <c r="AY229" s="138">
        <v>2.4</v>
      </c>
      <c r="AZ229" s="138">
        <v>2.4239999999999999</v>
      </c>
      <c r="BB229" s="138">
        <v>2.4729999999999999</v>
      </c>
      <c r="BD229" s="138">
        <v>2.4344999999999999</v>
      </c>
      <c r="BE229" s="138">
        <v>2.4939</v>
      </c>
      <c r="BF229" s="138">
        <v>2.5373999999999999</v>
      </c>
      <c r="BG229" s="138">
        <v>2.6214</v>
      </c>
      <c r="BH229" s="138">
        <v>2.7582</v>
      </c>
      <c r="BI229" s="138">
        <v>2.8098999999999998</v>
      </c>
      <c r="BJ229" s="138">
        <v>2.9952999999999999</v>
      </c>
      <c r="BN229" s="138">
        <f t="shared" si="6"/>
        <v>2.9952999999999999</v>
      </c>
      <c r="BO229" s="138">
        <f t="shared" si="7"/>
        <v>2016</v>
      </c>
    </row>
    <row r="230" spans="2:67" x14ac:dyDescent="0.25">
      <c r="B230" s="138" t="s">
        <v>650</v>
      </c>
      <c r="C230" s="138" t="s">
        <v>133</v>
      </c>
      <c r="D230" s="138" t="s">
        <v>1191</v>
      </c>
      <c r="E230" s="138" t="s">
        <v>1190</v>
      </c>
      <c r="F230" s="138">
        <v>1</v>
      </c>
      <c r="G230" s="138">
        <v>1</v>
      </c>
      <c r="H230" s="138">
        <v>1</v>
      </c>
      <c r="I230" s="138">
        <v>1</v>
      </c>
      <c r="J230" s="138">
        <v>1.1000000000000001</v>
      </c>
      <c r="K230" s="138">
        <v>1.1000000000000001</v>
      </c>
      <c r="L230" s="138">
        <v>1.1000000000000001</v>
      </c>
      <c r="M230" s="138">
        <v>1.2</v>
      </c>
      <c r="N230" s="138">
        <v>1.2</v>
      </c>
      <c r="O230" s="138">
        <v>1.3</v>
      </c>
      <c r="P230" s="138">
        <v>1.3</v>
      </c>
      <c r="Q230" s="138">
        <v>1.4</v>
      </c>
      <c r="R230" s="138">
        <v>1.5</v>
      </c>
      <c r="S230" s="138">
        <v>1.5</v>
      </c>
      <c r="T230" s="138">
        <v>1.6</v>
      </c>
      <c r="U230" s="138">
        <v>1.7</v>
      </c>
      <c r="V230" s="138">
        <v>1.8</v>
      </c>
      <c r="W230" s="138">
        <v>1.9</v>
      </c>
      <c r="X230" s="138">
        <v>2</v>
      </c>
      <c r="Y230" s="138">
        <v>2</v>
      </c>
      <c r="Z230" s="138">
        <v>2.2000000000000002</v>
      </c>
      <c r="AA230" s="138">
        <v>2.2999999999999998</v>
      </c>
      <c r="AB230" s="138">
        <v>2.2999999999999998</v>
      </c>
      <c r="AC230" s="138">
        <v>2.4</v>
      </c>
      <c r="AD230" s="138">
        <v>2.6</v>
      </c>
      <c r="AE230" s="138">
        <v>2.6</v>
      </c>
      <c r="AF230" s="138">
        <v>2.8</v>
      </c>
      <c r="AG230" s="138">
        <v>2.8</v>
      </c>
      <c r="AH230" s="138">
        <v>2.8</v>
      </c>
      <c r="AI230" s="138">
        <v>2.8</v>
      </c>
      <c r="AJ230" s="138">
        <v>2.9</v>
      </c>
      <c r="AL230" s="138">
        <v>2.7</v>
      </c>
      <c r="AM230" s="138">
        <v>2.7</v>
      </c>
      <c r="AN230" s="138">
        <v>2.8</v>
      </c>
      <c r="AO230" s="138">
        <v>2.9</v>
      </c>
      <c r="AP230" s="138">
        <v>2.9</v>
      </c>
      <c r="AQ230" s="138">
        <v>2.9</v>
      </c>
      <c r="AR230" s="138">
        <v>3</v>
      </c>
      <c r="AS230" s="138">
        <v>3</v>
      </c>
      <c r="AT230" s="138">
        <v>3.1</v>
      </c>
      <c r="AU230" s="138">
        <v>3.2</v>
      </c>
      <c r="AV230" s="138">
        <v>3.2839999999999998</v>
      </c>
      <c r="AX230" s="138">
        <v>3.28</v>
      </c>
      <c r="AZ230" s="138">
        <v>3.5830000000000002</v>
      </c>
      <c r="BA230" s="138">
        <v>3.2404999999999999</v>
      </c>
      <c r="BB230" s="138">
        <v>3.77</v>
      </c>
      <c r="BC230" s="138">
        <v>3.8679999999999999</v>
      </c>
      <c r="BD230" s="138">
        <v>3.8871000000000002</v>
      </c>
      <c r="BE230" s="138">
        <v>3.9582000000000002</v>
      </c>
      <c r="BF230" s="138">
        <v>4.0396000000000001</v>
      </c>
      <c r="BG230" s="138">
        <v>4.1271000000000004</v>
      </c>
      <c r="BH230" s="138">
        <v>4.2049000000000003</v>
      </c>
      <c r="BI230" s="138">
        <v>4.2861000000000002</v>
      </c>
      <c r="BJ230" s="138">
        <v>5.3996000000000004</v>
      </c>
      <c r="BN230" s="138">
        <f t="shared" si="6"/>
        <v>5.3996000000000004</v>
      </c>
      <c r="BO230" s="138">
        <f t="shared" si="7"/>
        <v>2016</v>
      </c>
    </row>
    <row r="231" spans="2:67" x14ac:dyDescent="0.25">
      <c r="B231" s="138" t="s">
        <v>486</v>
      </c>
      <c r="C231" s="138" t="s">
        <v>134</v>
      </c>
      <c r="D231" s="138" t="s">
        <v>1191</v>
      </c>
      <c r="E231" s="138" t="s">
        <v>1190</v>
      </c>
      <c r="F231" s="138">
        <v>0.104</v>
      </c>
      <c r="P231" s="138">
        <v>0.124</v>
      </c>
      <c r="AC231" s="138">
        <v>5.2999999999999999E-2</v>
      </c>
      <c r="AJ231" s="138">
        <v>0.108</v>
      </c>
      <c r="AP231" s="138">
        <v>0.151</v>
      </c>
      <c r="AU231" s="138">
        <v>0.1668</v>
      </c>
      <c r="AW231" s="138">
        <v>0.14710000000000001</v>
      </c>
      <c r="AX231" s="138">
        <v>0.15620000000000001</v>
      </c>
      <c r="BC231" s="138">
        <v>0.14649999999999999</v>
      </c>
      <c r="BE231" s="138">
        <v>8.8999999999999996E-2</v>
      </c>
      <c r="BJ231" s="138">
        <v>7.9600000000000004E-2</v>
      </c>
      <c r="BN231" s="138">
        <f t="shared" si="6"/>
        <v>7.9600000000000004E-2</v>
      </c>
      <c r="BO231" s="138">
        <f t="shared" si="7"/>
        <v>2016</v>
      </c>
    </row>
    <row r="232" spans="2:67" x14ac:dyDescent="0.25">
      <c r="B232" s="138" t="s">
        <v>623</v>
      </c>
      <c r="C232" s="138" t="s">
        <v>624</v>
      </c>
      <c r="D232" s="138" t="s">
        <v>1191</v>
      </c>
      <c r="E232" s="138" t="s">
        <v>1190</v>
      </c>
      <c r="BN232" s="138" t="str">
        <f t="shared" si="6"/>
        <v>No reported value</v>
      </c>
      <c r="BO232" s="138" t="str">
        <f t="shared" si="7"/>
        <v>No reported value</v>
      </c>
    </row>
    <row r="233" spans="2:67" x14ac:dyDescent="0.25">
      <c r="B233" s="138" t="s">
        <v>213</v>
      </c>
      <c r="C233" s="138" t="s">
        <v>135</v>
      </c>
      <c r="D233" s="138" t="s">
        <v>1191</v>
      </c>
      <c r="E233" s="138" t="s">
        <v>1190</v>
      </c>
      <c r="F233" s="138">
        <v>0.312</v>
      </c>
      <c r="P233" s="138">
        <v>0.224</v>
      </c>
      <c r="U233" s="138">
        <v>0.218</v>
      </c>
      <c r="AC233" s="138">
        <v>0.40699999999999997</v>
      </c>
      <c r="AE233" s="138">
        <v>0.44500000000000001</v>
      </c>
      <c r="AM233" s="138">
        <v>1.0269999999999999</v>
      </c>
      <c r="AP233" s="138">
        <v>1.3240000000000001</v>
      </c>
      <c r="AX233" s="138">
        <v>1.3829</v>
      </c>
      <c r="AY233" s="138">
        <v>1.1725000000000001</v>
      </c>
      <c r="AZ233" s="138">
        <v>0.83609999999999995</v>
      </c>
      <c r="BA233" s="138">
        <v>1.0078</v>
      </c>
      <c r="BB233" s="138">
        <v>0.77180000000000004</v>
      </c>
      <c r="BC233" s="138">
        <v>1.1318999999999999</v>
      </c>
      <c r="BD233" s="138">
        <v>1.0941000000000001</v>
      </c>
      <c r="BE233" s="138">
        <v>1.1656</v>
      </c>
      <c r="BF233" s="138">
        <v>1.0076000000000001</v>
      </c>
      <c r="BJ233" s="138">
        <v>0.94579999999999997</v>
      </c>
      <c r="BN233" s="138">
        <f t="shared" si="6"/>
        <v>0.94579999999999997</v>
      </c>
      <c r="BO233" s="138">
        <f t="shared" si="7"/>
        <v>2016</v>
      </c>
    </row>
    <row r="234" spans="2:67" x14ac:dyDescent="0.25">
      <c r="B234" s="138" t="s">
        <v>652</v>
      </c>
      <c r="C234" s="138" t="s">
        <v>136</v>
      </c>
      <c r="D234" s="138" t="s">
        <v>1191</v>
      </c>
      <c r="E234" s="138" t="s">
        <v>1190</v>
      </c>
      <c r="F234" s="138">
        <v>0.216</v>
      </c>
      <c r="K234" s="138">
        <v>0.185</v>
      </c>
      <c r="P234" s="138">
        <v>0.25900000000000001</v>
      </c>
      <c r="U234" s="138">
        <v>0.25600000000000001</v>
      </c>
      <c r="Z234" s="138">
        <v>0.44600000000000001</v>
      </c>
      <c r="AA234" s="138">
        <v>0.46300000000000002</v>
      </c>
      <c r="AF234" s="138">
        <v>0.80700000000000005</v>
      </c>
      <c r="AG234" s="138">
        <v>0.78300000000000003</v>
      </c>
      <c r="AI234" s="138">
        <v>0.86299999999999999</v>
      </c>
      <c r="AJ234" s="138">
        <v>0.83499999999999996</v>
      </c>
      <c r="AQ234" s="138">
        <v>1.2965</v>
      </c>
      <c r="AR234" s="138">
        <v>1.3388</v>
      </c>
      <c r="AS234" s="138">
        <v>1.3357000000000001</v>
      </c>
      <c r="AT234" s="138">
        <v>1.3653999999999999</v>
      </c>
      <c r="AU234" s="138">
        <v>1.399</v>
      </c>
      <c r="AV234" s="138">
        <v>1.4673</v>
      </c>
      <c r="AW234" s="138">
        <v>1.4053</v>
      </c>
      <c r="AX234" s="138">
        <v>1.454</v>
      </c>
      <c r="AY234" s="138">
        <v>1.544</v>
      </c>
      <c r="AZ234" s="138">
        <v>0.53</v>
      </c>
      <c r="BA234" s="138">
        <v>1.5067999999999999</v>
      </c>
      <c r="BB234" s="138">
        <v>1.5105</v>
      </c>
      <c r="BC234" s="138">
        <v>1.4371</v>
      </c>
      <c r="BD234" s="138">
        <v>1.4841</v>
      </c>
      <c r="BH234" s="138">
        <v>1.5115000000000001</v>
      </c>
      <c r="BJ234" s="138">
        <v>1.22</v>
      </c>
      <c r="BN234" s="138">
        <f t="shared" si="6"/>
        <v>1.22</v>
      </c>
      <c r="BO234" s="138">
        <f t="shared" si="7"/>
        <v>2016</v>
      </c>
    </row>
    <row r="235" spans="2:67" x14ac:dyDescent="0.25">
      <c r="B235" s="138" t="s">
        <v>659</v>
      </c>
      <c r="C235" s="138" t="s">
        <v>660</v>
      </c>
      <c r="D235" s="138" t="s">
        <v>1191</v>
      </c>
      <c r="E235" s="138" t="s">
        <v>1190</v>
      </c>
      <c r="BN235" s="138" t="str">
        <f t="shared" si="6"/>
        <v>No reported value</v>
      </c>
      <c r="BO235" s="138" t="str">
        <f t="shared" si="7"/>
        <v>No reported value</v>
      </c>
    </row>
    <row r="236" spans="2:67" x14ac:dyDescent="0.25">
      <c r="B236" s="138" t="s">
        <v>189</v>
      </c>
      <c r="C236" s="138" t="s">
        <v>169</v>
      </c>
      <c r="D236" s="138" t="s">
        <v>1191</v>
      </c>
      <c r="E236" s="138" t="s">
        <v>1190</v>
      </c>
      <c r="F236" s="138">
        <v>1.4E-2</v>
      </c>
      <c r="K236" s="138">
        <v>1.4E-2</v>
      </c>
      <c r="P236" s="138">
        <v>1.6E-2</v>
      </c>
      <c r="X236" s="138">
        <v>2.1000000000000001E-2</v>
      </c>
      <c r="AF236" s="138">
        <v>2.5999999999999999E-2</v>
      </c>
      <c r="AI236" s="138">
        <v>2.5999999999999999E-2</v>
      </c>
      <c r="AN236" s="138">
        <v>3.3000000000000002E-2</v>
      </c>
      <c r="AQ236" s="138">
        <v>2.5999999999999999E-2</v>
      </c>
      <c r="AR236" s="138">
        <v>2.01E-2</v>
      </c>
      <c r="AS236" s="138">
        <v>2.8799999999999999E-2</v>
      </c>
      <c r="AT236" s="138">
        <v>2.8199999999999999E-2</v>
      </c>
      <c r="AU236" s="138">
        <v>2.5000000000000001E-2</v>
      </c>
      <c r="AX236" s="138">
        <v>3.5499999999999997E-2</v>
      </c>
      <c r="AZ236" s="138">
        <v>3.5299999999999998E-2</v>
      </c>
      <c r="BF236" s="138">
        <v>4.1599999999999998E-2</v>
      </c>
      <c r="BG236" s="138">
        <v>4.36E-2</v>
      </c>
      <c r="BJ236" s="138">
        <v>4.7500000000000001E-2</v>
      </c>
      <c r="BN236" s="138">
        <f t="shared" si="6"/>
        <v>4.7500000000000001E-2</v>
      </c>
      <c r="BO236" s="138">
        <f t="shared" si="7"/>
        <v>2016</v>
      </c>
    </row>
    <row r="237" spans="2:67" x14ac:dyDescent="0.25">
      <c r="B237" s="138" t="s">
        <v>481</v>
      </c>
      <c r="C237" s="138" t="s">
        <v>482</v>
      </c>
      <c r="D237" s="138" t="s">
        <v>1191</v>
      </c>
      <c r="E237" s="138" t="s">
        <v>1190</v>
      </c>
      <c r="AJ237" s="138">
        <v>0.85058523913436845</v>
      </c>
      <c r="AT237" s="138">
        <v>1.0064756120114491</v>
      </c>
      <c r="BI237" s="138">
        <v>1.4486429865861432</v>
      </c>
      <c r="BN237" s="138">
        <f t="shared" si="6"/>
        <v>1.4486429865861432</v>
      </c>
      <c r="BO237" s="138">
        <f t="shared" si="7"/>
        <v>2015</v>
      </c>
    </row>
    <row r="238" spans="2:67" x14ac:dyDescent="0.25">
      <c r="B238" s="138" t="s">
        <v>493</v>
      </c>
      <c r="C238" s="138" t="s">
        <v>494</v>
      </c>
      <c r="D238" s="138" t="s">
        <v>1191</v>
      </c>
      <c r="E238" s="138" t="s">
        <v>1190</v>
      </c>
      <c r="AJ238" s="138">
        <v>3.2117666586615448</v>
      </c>
      <c r="AT238" s="138">
        <v>3.0707442629675255</v>
      </c>
      <c r="BI238" s="138">
        <v>2.9904806133074908</v>
      </c>
      <c r="BN238" s="138">
        <f t="shared" si="6"/>
        <v>2.9904806133074908</v>
      </c>
      <c r="BO238" s="138">
        <f t="shared" si="7"/>
        <v>2015</v>
      </c>
    </row>
    <row r="239" spans="2:67" x14ac:dyDescent="0.25">
      <c r="B239" s="138" t="s">
        <v>215</v>
      </c>
      <c r="C239" s="138" t="s">
        <v>137</v>
      </c>
      <c r="D239" s="138" t="s">
        <v>1191</v>
      </c>
      <c r="E239" s="138" t="s">
        <v>1190</v>
      </c>
      <c r="F239" s="138">
        <v>2.1000000000000001E-2</v>
      </c>
      <c r="K239" s="138">
        <v>4.2999999999999997E-2</v>
      </c>
      <c r="P239" s="138">
        <v>3.5000000000000003E-2</v>
      </c>
      <c r="U239" s="138">
        <v>3.5000000000000003E-2</v>
      </c>
      <c r="Z239" s="138">
        <v>5.5E-2</v>
      </c>
      <c r="AA239" s="138">
        <v>4.9000000000000002E-2</v>
      </c>
      <c r="AD239" s="138">
        <v>0.11700000000000001</v>
      </c>
      <c r="AF239" s="138">
        <v>8.5000000000000006E-2</v>
      </c>
      <c r="AK239" s="138">
        <v>8.7999999999999995E-2</v>
      </c>
      <c r="AN239" s="138">
        <v>5.6000000000000001E-2</v>
      </c>
      <c r="AO239" s="138">
        <v>7.5999999999999998E-2</v>
      </c>
      <c r="AU239" s="138">
        <v>5.7000000000000002E-2</v>
      </c>
      <c r="AX239" s="138">
        <v>4.41E-2</v>
      </c>
      <c r="BA239" s="138">
        <v>4.8399999999999999E-2</v>
      </c>
      <c r="BB239" s="138">
        <v>5.6599999999999998E-2</v>
      </c>
      <c r="BD239" s="138">
        <v>0.20219999999999999</v>
      </c>
      <c r="BI239" s="138">
        <v>4.87E-2</v>
      </c>
      <c r="BN239" s="138">
        <f t="shared" si="6"/>
        <v>4.87E-2</v>
      </c>
      <c r="BO239" s="138">
        <f t="shared" si="7"/>
        <v>2015</v>
      </c>
    </row>
    <row r="240" spans="2:67" x14ac:dyDescent="0.25">
      <c r="B240" s="138" t="s">
        <v>654</v>
      </c>
      <c r="C240" s="138" t="s">
        <v>138</v>
      </c>
      <c r="D240" s="138" t="s">
        <v>1191</v>
      </c>
      <c r="E240" s="138" t="s">
        <v>1190</v>
      </c>
      <c r="F240" s="138">
        <v>0.129</v>
      </c>
      <c r="K240" s="138">
        <v>0.14000000000000001</v>
      </c>
      <c r="P240" s="138">
        <v>0.121</v>
      </c>
      <c r="Z240" s="138">
        <v>0.14699999999999999</v>
      </c>
      <c r="AD240" s="138">
        <v>0.16</v>
      </c>
      <c r="AF240" s="138">
        <v>0.182</v>
      </c>
      <c r="AH240" s="138">
        <v>0.21</v>
      </c>
      <c r="AJ240" s="138">
        <v>0.22500000000000001</v>
      </c>
      <c r="AK240" s="138">
        <v>0.22359999999999999</v>
      </c>
      <c r="AL240" s="138">
        <v>0.23400000000000001</v>
      </c>
      <c r="AM240" s="138">
        <v>0.2336</v>
      </c>
      <c r="AN240" s="138">
        <v>0.23799999999999999</v>
      </c>
      <c r="AO240" s="138">
        <v>0.2384</v>
      </c>
      <c r="AP240" s="138">
        <v>0.26900000000000002</v>
      </c>
      <c r="AQ240" s="138">
        <v>0.2722</v>
      </c>
      <c r="AR240" s="138">
        <v>0.29149999999999998</v>
      </c>
      <c r="AS240" s="138">
        <v>0.29110000000000003</v>
      </c>
      <c r="AT240" s="138">
        <v>0.36799999999999999</v>
      </c>
      <c r="AU240" s="138">
        <v>0.29820000000000002</v>
      </c>
      <c r="AV240" s="138">
        <v>0.29630000000000001</v>
      </c>
      <c r="AW240" s="138">
        <v>0.27700000000000002</v>
      </c>
      <c r="AX240" s="138">
        <v>0.29099999999999998</v>
      </c>
      <c r="AY240" s="138">
        <v>0.29299999999999998</v>
      </c>
      <c r="AZ240" s="138">
        <v>0.28739999999999999</v>
      </c>
      <c r="BA240" s="138">
        <v>0.2959</v>
      </c>
      <c r="BB240" s="138">
        <v>0.31630000000000003</v>
      </c>
      <c r="BC240" s="138">
        <v>0.3387</v>
      </c>
      <c r="BD240" s="138">
        <v>0.39050000000000001</v>
      </c>
      <c r="BI240" s="138">
        <v>0.46550000000000002</v>
      </c>
      <c r="BJ240" s="138">
        <v>0.44569999999999999</v>
      </c>
      <c r="BK240" s="138">
        <v>0.80959999999999999</v>
      </c>
      <c r="BN240" s="138">
        <f t="shared" si="6"/>
        <v>0.80959999999999999</v>
      </c>
      <c r="BO240" s="138">
        <f t="shared" si="7"/>
        <v>2017</v>
      </c>
    </row>
    <row r="241" spans="2:67" x14ac:dyDescent="0.25">
      <c r="B241" s="138" t="s">
        <v>238</v>
      </c>
      <c r="C241" s="138" t="s">
        <v>163</v>
      </c>
      <c r="D241" s="138" t="s">
        <v>1191</v>
      </c>
      <c r="E241" s="138" t="s">
        <v>1190</v>
      </c>
      <c r="AE241" s="138">
        <v>2.5270000000000001</v>
      </c>
      <c r="AF241" s="138">
        <v>2.556</v>
      </c>
      <c r="AG241" s="138">
        <v>2.5819999999999999</v>
      </c>
      <c r="AH241" s="138">
        <v>2.6970000000000001</v>
      </c>
      <c r="AI241" s="138">
        <v>2.6779999999999999</v>
      </c>
      <c r="AJ241" s="138">
        <v>2.5510000000000002</v>
      </c>
      <c r="AK241" s="138">
        <v>2.6219000000000001</v>
      </c>
      <c r="AL241" s="138">
        <v>2.266</v>
      </c>
      <c r="AM241" s="138">
        <v>2.177</v>
      </c>
      <c r="AN241" s="138">
        <v>2.254</v>
      </c>
      <c r="AO241" s="138">
        <v>2.1360000000000001</v>
      </c>
      <c r="AP241" s="138">
        <v>2.0859999999999999</v>
      </c>
      <c r="AQ241" s="138">
        <v>2.0230000000000001</v>
      </c>
      <c r="AR241" s="138">
        <v>2.0842999999999998</v>
      </c>
      <c r="AS241" s="138">
        <v>2.1202000000000001</v>
      </c>
      <c r="AT241" s="138">
        <v>2.1717</v>
      </c>
      <c r="AU241" s="138">
        <v>2.1212</v>
      </c>
      <c r="AV241" s="138">
        <v>2.0344000000000002</v>
      </c>
      <c r="AW241" s="138">
        <v>1.9292</v>
      </c>
      <c r="AX241" s="138">
        <v>1.9366000000000001</v>
      </c>
      <c r="AY241" s="138">
        <v>1.9362999999999999</v>
      </c>
      <c r="AZ241" s="138">
        <v>1.8953</v>
      </c>
      <c r="BA241" s="138">
        <v>1.8724000000000001</v>
      </c>
      <c r="BB241" s="138">
        <v>1.9028</v>
      </c>
      <c r="BD241" s="138">
        <v>1.6721999999999999</v>
      </c>
      <c r="BE241" s="138">
        <v>1.6949000000000001</v>
      </c>
      <c r="BF241" s="138">
        <v>1.7009000000000001</v>
      </c>
      <c r="BG241" s="138">
        <v>1.6848000000000001</v>
      </c>
      <c r="BH241" s="138">
        <v>1.7002999999999999</v>
      </c>
      <c r="BN241" s="138">
        <f t="shared" si="6"/>
        <v>1.7002999999999999</v>
      </c>
      <c r="BO241" s="138">
        <f t="shared" si="7"/>
        <v>2014</v>
      </c>
    </row>
    <row r="242" spans="2:67" x14ac:dyDescent="0.25">
      <c r="B242" s="138" t="s">
        <v>658</v>
      </c>
      <c r="C242" s="138" t="s">
        <v>139</v>
      </c>
      <c r="D242" s="138" t="s">
        <v>1191</v>
      </c>
      <c r="E242" s="138" t="s">
        <v>1190</v>
      </c>
      <c r="Z242" s="138">
        <v>2.839</v>
      </c>
      <c r="AE242" s="138">
        <v>3.3039999999999998</v>
      </c>
      <c r="AF242" s="138">
        <v>3.44</v>
      </c>
      <c r="AG242" s="138">
        <v>3.5270000000000001</v>
      </c>
      <c r="AH242" s="138">
        <v>3.55</v>
      </c>
      <c r="AI242" s="138">
        <v>3.6</v>
      </c>
      <c r="AJ242" s="138">
        <v>3.6139999999999999</v>
      </c>
      <c r="AK242" s="138">
        <v>3.673</v>
      </c>
      <c r="AL242" s="138">
        <v>3.589</v>
      </c>
      <c r="AM242" s="138">
        <v>3.57</v>
      </c>
      <c r="AN242" s="138">
        <v>3.5350000000000001</v>
      </c>
      <c r="AO242" s="138">
        <v>3.17</v>
      </c>
      <c r="AP242" s="138">
        <v>3.222</v>
      </c>
      <c r="AQ242" s="138">
        <v>3.1709999999999998</v>
      </c>
      <c r="AV242" s="138">
        <v>4.3452999999999999</v>
      </c>
      <c r="AZ242" s="138">
        <v>2.4900000000000002</v>
      </c>
      <c r="BA242" s="138">
        <v>2.4380000000000002</v>
      </c>
      <c r="BD242" s="138">
        <v>2.2743000000000002</v>
      </c>
      <c r="BE242" s="138">
        <v>2.2841</v>
      </c>
      <c r="BF242" s="138">
        <v>2.2376</v>
      </c>
      <c r="BG242" s="138">
        <v>2.2124999999999999</v>
      </c>
      <c r="BH242" s="138">
        <v>2.2248000000000001</v>
      </c>
      <c r="BN242" s="138">
        <f t="shared" si="6"/>
        <v>2.2248000000000001</v>
      </c>
      <c r="BO242" s="138">
        <f t="shared" si="7"/>
        <v>2014</v>
      </c>
    </row>
    <row r="243" spans="2:67" x14ac:dyDescent="0.25">
      <c r="B243" s="138" t="s">
        <v>547</v>
      </c>
      <c r="C243" s="138" t="s">
        <v>548</v>
      </c>
      <c r="D243" s="138" t="s">
        <v>1191</v>
      </c>
      <c r="E243" s="138" t="s">
        <v>1190</v>
      </c>
      <c r="AJ243" s="138">
        <v>1.1709061744333213</v>
      </c>
      <c r="AT243" s="138">
        <v>1.5043117313537127</v>
      </c>
      <c r="BI243" s="138">
        <v>2.0517429280473296</v>
      </c>
      <c r="BN243" s="138">
        <f t="shared" si="6"/>
        <v>2.0517429280473296</v>
      </c>
      <c r="BO243" s="138">
        <f t="shared" si="7"/>
        <v>2015</v>
      </c>
    </row>
    <row r="244" spans="2:67" x14ac:dyDescent="0.25">
      <c r="B244" s="138" t="s">
        <v>246</v>
      </c>
      <c r="C244" s="138" t="s">
        <v>140</v>
      </c>
      <c r="D244" s="138" t="s">
        <v>1191</v>
      </c>
      <c r="E244" s="138" t="s">
        <v>1190</v>
      </c>
      <c r="AX244" s="138">
        <v>8.2000000000000003E-2</v>
      </c>
      <c r="BA244" s="138">
        <v>3.4000000000000002E-2</v>
      </c>
      <c r="BB244" s="138">
        <v>3.6999999999999998E-2</v>
      </c>
      <c r="BC244" s="138">
        <v>4.3999999999999997E-2</v>
      </c>
      <c r="BD244" s="138">
        <v>7.9000000000000001E-2</v>
      </c>
      <c r="BE244" s="138">
        <v>7.8E-2</v>
      </c>
      <c r="BG244" s="138">
        <v>0.30990000000000001</v>
      </c>
      <c r="BH244" s="138">
        <v>0.66049999999999998</v>
      </c>
      <c r="BI244" s="138">
        <v>0.66959999999999997</v>
      </c>
      <c r="BK244" s="138">
        <v>0.71970000000000001</v>
      </c>
      <c r="BN244" s="138">
        <f t="shared" si="6"/>
        <v>0.71970000000000001</v>
      </c>
      <c r="BO244" s="138">
        <f t="shared" si="7"/>
        <v>2017</v>
      </c>
    </row>
    <row r="245" spans="2:67" x14ac:dyDescent="0.25">
      <c r="B245" s="138" t="s">
        <v>576</v>
      </c>
      <c r="C245" s="138" t="s">
        <v>577</v>
      </c>
      <c r="D245" s="138" t="s">
        <v>1191</v>
      </c>
      <c r="E245" s="138" t="s">
        <v>1190</v>
      </c>
      <c r="AJ245" s="138">
        <v>0.57490006051476839</v>
      </c>
      <c r="AT245" s="138">
        <v>1.2256144250066947</v>
      </c>
      <c r="BI245" s="138">
        <v>1.0694376664304046</v>
      </c>
      <c r="BN245" s="138">
        <f t="shared" si="6"/>
        <v>1.0694376664304046</v>
      </c>
      <c r="BO245" s="138">
        <f t="shared" si="7"/>
        <v>2015</v>
      </c>
    </row>
    <row r="246" spans="2:67" x14ac:dyDescent="0.25">
      <c r="B246" s="138" t="s">
        <v>256</v>
      </c>
      <c r="C246" s="138" t="s">
        <v>141</v>
      </c>
      <c r="D246" s="138" t="s">
        <v>1191</v>
      </c>
      <c r="E246" s="138" t="s">
        <v>1190</v>
      </c>
      <c r="F246" s="138">
        <v>0.375</v>
      </c>
      <c r="P246" s="138">
        <v>0.25600000000000001</v>
      </c>
      <c r="Z246" s="138">
        <v>0.36199999999999999</v>
      </c>
      <c r="AA246" s="138">
        <v>0.60199999999999998</v>
      </c>
      <c r="AB246" s="138">
        <v>0.6</v>
      </c>
      <c r="AI246" s="138">
        <v>0.49199999999999999</v>
      </c>
      <c r="AK246" s="138">
        <v>0.50800000000000001</v>
      </c>
      <c r="AQ246" s="138">
        <v>0.44</v>
      </c>
      <c r="AT246" s="138">
        <v>0.499</v>
      </c>
      <c r="AU246" s="138">
        <v>0.35499999999999998</v>
      </c>
      <c r="AV246" s="138">
        <v>0.3024</v>
      </c>
      <c r="BA246" s="138">
        <v>0.56299999999999994</v>
      </c>
      <c r="BB246" s="138">
        <v>0.5534</v>
      </c>
      <c r="BC246" s="138">
        <v>0.59850000000000003</v>
      </c>
      <c r="BD246" s="138">
        <v>0.55720000000000003</v>
      </c>
      <c r="BG246" s="138">
        <v>0.52229999999999999</v>
      </c>
      <c r="BN246" s="138">
        <f t="shared" si="6"/>
        <v>0.52229999999999999</v>
      </c>
      <c r="BO246" s="138">
        <f t="shared" si="7"/>
        <v>2013</v>
      </c>
    </row>
    <row r="247" spans="2:67" x14ac:dyDescent="0.25">
      <c r="B247" s="138" t="s">
        <v>632</v>
      </c>
      <c r="C247" s="138" t="s">
        <v>633</v>
      </c>
      <c r="D247" s="138" t="s">
        <v>1191</v>
      </c>
      <c r="E247" s="138" t="s">
        <v>1190</v>
      </c>
      <c r="AJ247" s="138">
        <v>1.0082568083419563</v>
      </c>
      <c r="AT247" s="138">
        <v>0.50056637364761247</v>
      </c>
      <c r="BI247" s="138">
        <v>0.76812752286180397</v>
      </c>
      <c r="BN247" s="138">
        <f t="shared" si="6"/>
        <v>0.76812752286180397</v>
      </c>
      <c r="BO247" s="138">
        <f t="shared" si="7"/>
        <v>2015</v>
      </c>
    </row>
    <row r="248" spans="2:67" x14ac:dyDescent="0.25">
      <c r="B248" s="138" t="s">
        <v>648</v>
      </c>
      <c r="C248" s="138" t="s">
        <v>649</v>
      </c>
      <c r="D248" s="138" t="s">
        <v>1191</v>
      </c>
      <c r="E248" s="138" t="s">
        <v>1190</v>
      </c>
      <c r="AJ248" s="138">
        <v>0.136766653716654</v>
      </c>
      <c r="AT248" s="138">
        <v>0.12275672687922148</v>
      </c>
      <c r="BI248" s="138">
        <v>0.2196453959396874</v>
      </c>
      <c r="BN248" s="138">
        <f t="shared" si="6"/>
        <v>0.2196453959396874</v>
      </c>
      <c r="BO248" s="138">
        <f t="shared" si="7"/>
        <v>2015</v>
      </c>
    </row>
    <row r="249" spans="2:67" x14ac:dyDescent="0.25">
      <c r="B249" s="138" t="s">
        <v>655</v>
      </c>
      <c r="C249" s="138" t="s">
        <v>142</v>
      </c>
      <c r="D249" s="138" t="s">
        <v>1191</v>
      </c>
      <c r="E249" s="138" t="s">
        <v>1190</v>
      </c>
      <c r="F249" s="138">
        <v>0.41799999999999998</v>
      </c>
      <c r="K249" s="138">
        <v>0.26200000000000001</v>
      </c>
      <c r="P249" s="138">
        <v>0.44500000000000001</v>
      </c>
      <c r="U249" s="138">
        <v>0.45400000000000001</v>
      </c>
      <c r="Z249" s="138">
        <v>0.72599999999999998</v>
      </c>
      <c r="AA249" s="138">
        <v>0.67300000000000004</v>
      </c>
      <c r="AD249" s="138">
        <v>1.0429999999999999</v>
      </c>
      <c r="AJ249" s="138">
        <v>0.72</v>
      </c>
      <c r="AK249" s="138">
        <v>0.73199999999999998</v>
      </c>
      <c r="AM249" s="138">
        <v>0.65800000000000003</v>
      </c>
      <c r="AN249" s="138">
        <v>0.78800000000000003</v>
      </c>
      <c r="AO249" s="138">
        <v>0.94259999999999999</v>
      </c>
      <c r="AP249" s="138">
        <v>0.76049999999999995</v>
      </c>
      <c r="AQ249" s="138">
        <v>0.75280000000000002</v>
      </c>
      <c r="AR249" s="138">
        <v>0.93859999999999999</v>
      </c>
      <c r="AS249" s="138">
        <v>0.92579999999999996</v>
      </c>
      <c r="AT249" s="138">
        <v>1.0055000000000001</v>
      </c>
      <c r="AU249" s="138">
        <v>0.9698</v>
      </c>
      <c r="AV249" s="138">
        <v>0.82489999999999997</v>
      </c>
      <c r="AW249" s="138">
        <v>0.80840000000000001</v>
      </c>
      <c r="AZ249" s="138">
        <v>1.2217</v>
      </c>
      <c r="BA249" s="138">
        <v>1.1785000000000001</v>
      </c>
      <c r="BC249" s="138">
        <v>1.5073000000000001</v>
      </c>
      <c r="BD249" s="138">
        <v>1.8086</v>
      </c>
      <c r="BE249" s="138">
        <v>1.8211999999999999</v>
      </c>
      <c r="BI249" s="138">
        <v>2.6697000000000002</v>
      </c>
      <c r="BN249" s="138">
        <f t="shared" si="6"/>
        <v>2.6697000000000002</v>
      </c>
      <c r="BO249" s="138">
        <f t="shared" si="7"/>
        <v>2015</v>
      </c>
    </row>
    <row r="250" spans="2:67" x14ac:dyDescent="0.25">
      <c r="B250" s="138" t="s">
        <v>656</v>
      </c>
      <c r="C250" s="138" t="s">
        <v>143</v>
      </c>
      <c r="D250" s="138" t="s">
        <v>1191</v>
      </c>
      <c r="E250" s="138" t="s">
        <v>1190</v>
      </c>
      <c r="F250" s="138">
        <v>0.1</v>
      </c>
      <c r="K250" s="138">
        <v>0.125</v>
      </c>
      <c r="P250" s="138">
        <v>0.16900000000000001</v>
      </c>
      <c r="U250" s="138">
        <v>0.16900000000000001</v>
      </c>
      <c r="Z250" s="138">
        <v>0.27100000000000002</v>
      </c>
      <c r="AA250" s="138">
        <v>0.27500000000000002</v>
      </c>
      <c r="AF250" s="138">
        <v>0.46100000000000002</v>
      </c>
      <c r="AJ250" s="138">
        <v>0.53739999999999999</v>
      </c>
      <c r="AK250" s="138">
        <v>0.53459999999999996</v>
      </c>
      <c r="AL250" s="138">
        <v>0.5927</v>
      </c>
      <c r="AM250" s="138">
        <v>0.59840000000000004</v>
      </c>
      <c r="AN250" s="138">
        <v>0.59670000000000001</v>
      </c>
      <c r="AO250" s="138">
        <v>0.65449999999999997</v>
      </c>
      <c r="AP250" s="138">
        <v>0.66739999999999999</v>
      </c>
      <c r="AQ250" s="138">
        <v>0.68879999999999997</v>
      </c>
      <c r="AR250" s="138">
        <v>0.71779999999999999</v>
      </c>
      <c r="AS250" s="138">
        <v>0.74439999999999995</v>
      </c>
      <c r="AT250" s="138">
        <v>0.76749999999999996</v>
      </c>
      <c r="AU250" s="138">
        <v>0.79369999999999996</v>
      </c>
      <c r="AV250" s="138">
        <v>0.80740000000000001</v>
      </c>
      <c r="AW250" s="138">
        <v>0.82389999999999997</v>
      </c>
      <c r="AX250" s="138">
        <v>1.3307</v>
      </c>
      <c r="AY250" s="138">
        <v>0.93259999999999998</v>
      </c>
      <c r="BA250" s="138">
        <v>1.0247999999999999</v>
      </c>
      <c r="BB250" s="138">
        <v>1.1082000000000001</v>
      </c>
      <c r="BD250" s="138">
        <v>1.2214</v>
      </c>
      <c r="BH250" s="138">
        <v>1.2677</v>
      </c>
      <c r="BI250" s="138">
        <v>1.2999000000000001</v>
      </c>
      <c r="BJ250" s="138">
        <v>1.2722</v>
      </c>
      <c r="BN250" s="138">
        <f t="shared" si="6"/>
        <v>1.2722</v>
      </c>
      <c r="BO250" s="138">
        <f t="shared" si="7"/>
        <v>2016</v>
      </c>
    </row>
    <row r="251" spans="2:67" x14ac:dyDescent="0.25">
      <c r="B251" s="138" t="s">
        <v>657</v>
      </c>
      <c r="C251" s="138" t="s">
        <v>144</v>
      </c>
      <c r="D251" s="138" t="s">
        <v>1191</v>
      </c>
      <c r="E251" s="138" t="s">
        <v>1190</v>
      </c>
      <c r="F251" s="138">
        <v>0.3</v>
      </c>
      <c r="G251" s="138">
        <v>0.3</v>
      </c>
      <c r="H251" s="138">
        <v>0.4</v>
      </c>
      <c r="I251" s="138">
        <v>0.4</v>
      </c>
      <c r="J251" s="138">
        <v>0.3</v>
      </c>
      <c r="K251" s="138">
        <v>0.4</v>
      </c>
      <c r="L251" s="138">
        <v>0.4</v>
      </c>
      <c r="M251" s="138">
        <v>0.4</v>
      </c>
      <c r="N251" s="138">
        <v>0.4</v>
      </c>
      <c r="O251" s="138">
        <v>0.4</v>
      </c>
      <c r="AJ251" s="138">
        <v>0.93910000000000005</v>
      </c>
      <c r="AK251" s="138">
        <v>0.97130000000000005</v>
      </c>
      <c r="AL251" s="138">
        <v>1.0222</v>
      </c>
      <c r="AM251" s="138">
        <v>1.0775999999999999</v>
      </c>
      <c r="AN251" s="138">
        <v>1.1435999999999999</v>
      </c>
      <c r="AO251" s="138">
        <v>1.1857</v>
      </c>
      <c r="AP251" s="138">
        <v>1.1939</v>
      </c>
      <c r="AQ251" s="138">
        <v>1.2201</v>
      </c>
      <c r="AR251" s="138">
        <v>1.2611000000000001</v>
      </c>
      <c r="AS251" s="138">
        <v>1.3163</v>
      </c>
      <c r="AT251" s="138">
        <v>1.3479000000000001</v>
      </c>
      <c r="AU251" s="138">
        <v>1.399</v>
      </c>
      <c r="AV251" s="138">
        <v>1.4115</v>
      </c>
      <c r="AW251" s="138">
        <v>1.4294</v>
      </c>
      <c r="AX251" s="138">
        <v>1.4492</v>
      </c>
      <c r="AY251" s="138">
        <v>1.4852000000000001</v>
      </c>
      <c r="AZ251" s="138">
        <v>1.5193000000000001</v>
      </c>
      <c r="BA251" s="138">
        <v>1.5576000000000001</v>
      </c>
      <c r="BB251" s="138">
        <v>1.6063000000000001</v>
      </c>
      <c r="BC251" s="138">
        <v>1.6631</v>
      </c>
      <c r="BD251" s="138">
        <v>1.7068000000000001</v>
      </c>
      <c r="BE251" s="138">
        <v>1.7168000000000001</v>
      </c>
      <c r="BF251" s="138">
        <v>1.7403</v>
      </c>
      <c r="BG251" s="138">
        <v>1.7650999999999999</v>
      </c>
      <c r="BH251" s="138">
        <v>1.7605</v>
      </c>
      <c r="BN251" s="138">
        <f t="shared" si="6"/>
        <v>1.7605</v>
      </c>
      <c r="BO251" s="138">
        <f t="shared" si="7"/>
        <v>2014</v>
      </c>
    </row>
    <row r="252" spans="2:67" x14ac:dyDescent="0.25">
      <c r="B252" s="138" t="s">
        <v>257</v>
      </c>
      <c r="C252" s="138" t="s">
        <v>145</v>
      </c>
      <c r="D252" s="138" t="s">
        <v>1191</v>
      </c>
      <c r="E252" s="138" t="s">
        <v>1190</v>
      </c>
      <c r="AV252" s="138">
        <v>0.625</v>
      </c>
      <c r="AW252" s="138">
        <v>1.0204</v>
      </c>
      <c r="BB252" s="138">
        <v>0.97089999999999999</v>
      </c>
      <c r="BC252" s="138">
        <v>1.1537999999999999</v>
      </c>
      <c r="BD252" s="138">
        <v>1.091</v>
      </c>
      <c r="BH252" s="138">
        <v>0.91739999999999999</v>
      </c>
      <c r="BN252" s="138">
        <f t="shared" si="6"/>
        <v>0.91739999999999999</v>
      </c>
      <c r="BO252" s="138">
        <f t="shared" si="7"/>
        <v>2014</v>
      </c>
    </row>
    <row r="253" spans="2:67" x14ac:dyDescent="0.25">
      <c r="B253" s="138" t="s">
        <v>653</v>
      </c>
      <c r="C253" s="138" t="s">
        <v>146</v>
      </c>
      <c r="D253" s="138" t="s">
        <v>1191</v>
      </c>
      <c r="E253" s="138" t="s">
        <v>1190</v>
      </c>
      <c r="F253" s="138">
        <v>5.5E-2</v>
      </c>
      <c r="G253" s="138">
        <v>0.04</v>
      </c>
      <c r="K253" s="138">
        <v>4.4999999999999998E-2</v>
      </c>
      <c r="P253" s="138">
        <v>4.3999999999999997E-2</v>
      </c>
      <c r="U253" s="138">
        <v>4.3999999999999997E-2</v>
      </c>
      <c r="AD253" s="138">
        <v>3.9E-2</v>
      </c>
      <c r="AE253" s="138">
        <v>3.5000000000000003E-2</v>
      </c>
      <c r="AG253" s="138">
        <v>3.9E-2</v>
      </c>
      <c r="AN253" s="138">
        <v>4.2000000000000003E-2</v>
      </c>
      <c r="AO253" s="138">
        <v>4.1000000000000002E-2</v>
      </c>
      <c r="AV253" s="138">
        <v>2.2800000000000001E-2</v>
      </c>
      <c r="BD253" s="138">
        <v>8.0000000000000002E-3</v>
      </c>
      <c r="BF253" s="138">
        <v>3.0200000000000001E-2</v>
      </c>
      <c r="BH253" s="138">
        <v>3.9899999999999998E-2</v>
      </c>
      <c r="BN253" s="138">
        <f t="shared" si="6"/>
        <v>3.9899999999999998E-2</v>
      </c>
      <c r="BO253" s="138">
        <f t="shared" si="7"/>
        <v>2014</v>
      </c>
    </row>
    <row r="254" spans="2:67" x14ac:dyDescent="0.25">
      <c r="B254" s="138" t="s">
        <v>216</v>
      </c>
      <c r="C254" s="138" t="s">
        <v>147</v>
      </c>
      <c r="D254" s="138" t="s">
        <v>1191</v>
      </c>
      <c r="E254" s="138" t="s">
        <v>1190</v>
      </c>
      <c r="F254" s="138">
        <v>7.3999999999999996E-2</v>
      </c>
      <c r="K254" s="138">
        <v>0.09</v>
      </c>
      <c r="P254" s="138">
        <v>0.108</v>
      </c>
      <c r="U254" s="138">
        <v>0.108</v>
      </c>
      <c r="AA254" s="138">
        <v>4.7E-2</v>
      </c>
      <c r="AB254" s="138">
        <v>4.5999999999999999E-2</v>
      </c>
      <c r="AD254" s="138">
        <v>4.3999999999999997E-2</v>
      </c>
      <c r="AI254" s="138">
        <v>4.4999999999999998E-2</v>
      </c>
      <c r="AM254" s="138">
        <v>0.04</v>
      </c>
      <c r="AV254" s="138">
        <v>4.7E-2</v>
      </c>
      <c r="AX254" s="138">
        <v>8.0100000000000005E-2</v>
      </c>
      <c r="AY254" s="138">
        <v>0.1177</v>
      </c>
      <c r="BD254" s="138">
        <v>0.11700000000000001</v>
      </c>
      <c r="BF254" s="138">
        <v>9.2799999999999994E-2</v>
      </c>
      <c r="BI254" s="138">
        <v>9.0800000000000006E-2</v>
      </c>
      <c r="BN254" s="138">
        <f t="shared" si="6"/>
        <v>9.0800000000000006E-2</v>
      </c>
      <c r="BO254" s="138">
        <f t="shared" si="7"/>
        <v>2015</v>
      </c>
    </row>
    <row r="255" spans="2:67" x14ac:dyDescent="0.25">
      <c r="B255" s="138" t="s">
        <v>239</v>
      </c>
      <c r="C255" s="138" t="s">
        <v>148</v>
      </c>
      <c r="D255" s="138" t="s">
        <v>1191</v>
      </c>
      <c r="E255" s="138" t="s">
        <v>1190</v>
      </c>
      <c r="Z255" s="138">
        <v>3.5150000000000001</v>
      </c>
      <c r="AA255" s="138">
        <v>3.6309999999999998</v>
      </c>
      <c r="AB255" s="138">
        <v>3.7410000000000001</v>
      </c>
      <c r="AC255" s="138">
        <v>3.82</v>
      </c>
      <c r="AD255" s="138">
        <v>3.9089999999999998</v>
      </c>
      <c r="AE255" s="138">
        <v>4.0019999999999998</v>
      </c>
      <c r="AF255" s="138">
        <v>4.0599999999999996</v>
      </c>
      <c r="AG255" s="138">
        <v>4.1429999999999998</v>
      </c>
      <c r="AH255" s="138">
        <v>4.2</v>
      </c>
      <c r="AI255" s="138">
        <v>4.2750000000000004</v>
      </c>
      <c r="AJ255" s="138">
        <v>4.29</v>
      </c>
      <c r="AK255" s="138">
        <v>4.3449999999999998</v>
      </c>
      <c r="AL255" s="138">
        <v>4.2969999999999997</v>
      </c>
      <c r="AM255" s="138">
        <v>4.3419999999999996</v>
      </c>
      <c r="AN255" s="138">
        <v>4.3140000000000001</v>
      </c>
      <c r="AO255" s="138">
        <v>4.407</v>
      </c>
      <c r="AP255" s="138">
        <v>2.992</v>
      </c>
      <c r="AQ255" s="138">
        <v>2.97</v>
      </c>
      <c r="AR255" s="138">
        <v>2.99</v>
      </c>
      <c r="AS255" s="138">
        <v>2.9860000000000002</v>
      </c>
      <c r="AT255" s="138">
        <v>2.9780000000000002</v>
      </c>
      <c r="AW255" s="138">
        <v>2.9510000000000001</v>
      </c>
      <c r="AZ255" s="138">
        <v>3.125</v>
      </c>
      <c r="BD255" s="138">
        <v>3.4830000000000001</v>
      </c>
      <c r="BE255" s="138">
        <v>3.4874999999999998</v>
      </c>
      <c r="BF255" s="138">
        <v>3.4990999999999999</v>
      </c>
      <c r="BG255" s="138">
        <v>3.5097</v>
      </c>
      <c r="BH255" s="138">
        <v>3.0074999999999998</v>
      </c>
      <c r="BN255" s="138">
        <f t="shared" si="6"/>
        <v>3.0074999999999998</v>
      </c>
      <c r="BO255" s="138">
        <f t="shared" si="7"/>
        <v>2014</v>
      </c>
    </row>
    <row r="256" spans="2:67" x14ac:dyDescent="0.25">
      <c r="B256" s="138" t="s">
        <v>664</v>
      </c>
      <c r="C256" s="138" t="s">
        <v>665</v>
      </c>
      <c r="D256" s="138" t="s">
        <v>1191</v>
      </c>
      <c r="E256" s="138" t="s">
        <v>1190</v>
      </c>
      <c r="AJ256" s="138">
        <v>1.3512353438311562</v>
      </c>
      <c r="AT256" s="138">
        <v>1.5414672573077715</v>
      </c>
      <c r="BI256" s="138">
        <v>1.9712890693055864</v>
      </c>
      <c r="BN256" s="138">
        <f t="shared" si="6"/>
        <v>1.9712890693055864</v>
      </c>
      <c r="BO256" s="138">
        <f t="shared" si="7"/>
        <v>2015</v>
      </c>
    </row>
    <row r="257" spans="2:67" x14ac:dyDescent="0.25">
      <c r="B257" s="138" t="s">
        <v>666</v>
      </c>
      <c r="C257" s="138" t="s">
        <v>667</v>
      </c>
      <c r="D257" s="138" t="s">
        <v>1191</v>
      </c>
      <c r="E257" s="138" t="s">
        <v>1190</v>
      </c>
      <c r="F257" s="138">
        <v>1.0640000000000001</v>
      </c>
      <c r="K257" s="138">
        <v>1.1359999999999999</v>
      </c>
      <c r="P257" s="138">
        <v>1.093</v>
      </c>
      <c r="U257" s="138">
        <v>1.111</v>
      </c>
      <c r="AA257" s="138">
        <v>1.9970000000000001</v>
      </c>
      <c r="AD257" s="138">
        <v>1.9259999999999999</v>
      </c>
      <c r="AE257" s="138">
        <v>1.9470000000000001</v>
      </c>
      <c r="AJ257" s="138">
        <v>3.68</v>
      </c>
      <c r="AL257" s="138">
        <v>3.226</v>
      </c>
      <c r="AO257" s="138">
        <v>3.56</v>
      </c>
      <c r="AP257" s="138">
        <v>3.7029999999999998</v>
      </c>
      <c r="AS257" s="138">
        <v>3.7450000000000001</v>
      </c>
      <c r="AV257" s="138">
        <v>3.7214</v>
      </c>
      <c r="BA257" s="138">
        <v>4.181</v>
      </c>
      <c r="BB257" s="138">
        <v>3.9384999999999999</v>
      </c>
      <c r="BD257" s="138">
        <v>3.7360000000000002</v>
      </c>
      <c r="BJ257" s="138">
        <v>3.9329000000000001</v>
      </c>
      <c r="BK257" s="138">
        <v>5.0499000000000001</v>
      </c>
      <c r="BN257" s="138">
        <f t="shared" si="6"/>
        <v>5.0499000000000001</v>
      </c>
      <c r="BO257" s="138">
        <f t="shared" si="7"/>
        <v>2017</v>
      </c>
    </row>
    <row r="258" spans="2:67" x14ac:dyDescent="0.25">
      <c r="B258" s="138" t="s">
        <v>663</v>
      </c>
      <c r="C258" s="138" t="s">
        <v>149</v>
      </c>
      <c r="D258" s="138" t="s">
        <v>1191</v>
      </c>
      <c r="E258" s="138" t="s">
        <v>1190</v>
      </c>
      <c r="F258" s="138">
        <v>1.1000000000000001</v>
      </c>
      <c r="K258" s="138">
        <v>1.2</v>
      </c>
      <c r="P258" s="138">
        <v>1.2</v>
      </c>
      <c r="U258" s="138">
        <v>1.3</v>
      </c>
      <c r="V258" s="138">
        <v>1.3</v>
      </c>
      <c r="W258" s="138">
        <v>1.3</v>
      </c>
      <c r="X258" s="138">
        <v>1.4</v>
      </c>
      <c r="Y258" s="138">
        <v>1.4</v>
      </c>
      <c r="Z258" s="138">
        <v>1.5</v>
      </c>
      <c r="AA258" s="138">
        <v>1.5</v>
      </c>
      <c r="AB258" s="138">
        <v>1.6</v>
      </c>
      <c r="AC258" s="138">
        <v>1.6</v>
      </c>
      <c r="AF258" s="138">
        <v>1.7</v>
      </c>
      <c r="AG258" s="138">
        <v>1.8</v>
      </c>
      <c r="AH258" s="138">
        <v>1.8</v>
      </c>
      <c r="AI258" s="138">
        <v>1.8</v>
      </c>
      <c r="AJ258" s="138">
        <v>1.8</v>
      </c>
      <c r="AK258" s="138">
        <v>1.9</v>
      </c>
      <c r="AL258" s="138">
        <v>1.9</v>
      </c>
      <c r="AM258" s="138">
        <v>1.9</v>
      </c>
      <c r="AO258" s="138">
        <v>2.4340000000000002</v>
      </c>
      <c r="AP258" s="138">
        <v>2</v>
      </c>
      <c r="AQ258" s="138">
        <v>2.1</v>
      </c>
      <c r="AR258" s="138">
        <v>2.1</v>
      </c>
      <c r="AS258" s="138">
        <v>2.2000000000000002</v>
      </c>
      <c r="AT258" s="138">
        <v>2.5916999999999999</v>
      </c>
      <c r="AU258" s="138">
        <v>2.2000000000000002</v>
      </c>
      <c r="AV258" s="138">
        <v>2.2999999999999998</v>
      </c>
      <c r="AX258" s="138">
        <v>2.7130000000000001</v>
      </c>
      <c r="AY258" s="138">
        <v>2.9401000000000002</v>
      </c>
      <c r="AZ258" s="138">
        <v>2.4020000000000001</v>
      </c>
      <c r="BA258" s="138">
        <v>2.41</v>
      </c>
      <c r="BB258" s="138">
        <v>2.4159999999999999</v>
      </c>
      <c r="BC258" s="138">
        <v>2.4220000000000002</v>
      </c>
      <c r="BD258" s="138">
        <v>2.4382999999999999</v>
      </c>
      <c r="BE258" s="138">
        <v>2.4683000000000002</v>
      </c>
      <c r="BF258" s="138">
        <v>2.5041000000000002</v>
      </c>
      <c r="BG258" s="138">
        <v>2.5666000000000002</v>
      </c>
      <c r="BH258" s="138">
        <v>2.5817000000000001</v>
      </c>
      <c r="BI258" s="138">
        <v>2.5857999999999999</v>
      </c>
      <c r="BJ258" s="138">
        <v>2.5948000000000002</v>
      </c>
      <c r="BN258" s="138">
        <f t="shared" si="6"/>
        <v>2.5948000000000002</v>
      </c>
      <c r="BO258" s="138">
        <f t="shared" si="7"/>
        <v>2016</v>
      </c>
    </row>
    <row r="259" spans="2:67" x14ac:dyDescent="0.25">
      <c r="B259" s="138" t="s">
        <v>668</v>
      </c>
      <c r="C259" s="138" t="s">
        <v>150</v>
      </c>
      <c r="D259" s="138" t="s">
        <v>1191</v>
      </c>
      <c r="E259" s="138" t="s">
        <v>1190</v>
      </c>
      <c r="Z259" s="138">
        <v>2.669</v>
      </c>
      <c r="AE259" s="138">
        <v>2.694</v>
      </c>
      <c r="AF259" s="138">
        <v>3.2549999999999999</v>
      </c>
      <c r="AG259" s="138">
        <v>3.319</v>
      </c>
      <c r="AH259" s="138">
        <v>3.3639999999999999</v>
      </c>
      <c r="AI259" s="138">
        <v>3.3860000000000001</v>
      </c>
      <c r="AJ259" s="138">
        <v>3.3879999999999999</v>
      </c>
      <c r="AK259" s="138">
        <v>3.4249999999999998</v>
      </c>
      <c r="AL259" s="138">
        <v>3.3210000000000002</v>
      </c>
      <c r="AM259" s="138">
        <v>3.3380000000000001</v>
      </c>
      <c r="AN259" s="138">
        <v>3.2949999999999999</v>
      </c>
      <c r="AO259" s="138">
        <v>3.2389999999999999</v>
      </c>
      <c r="AP259" s="138">
        <v>3.1709999999999998</v>
      </c>
      <c r="AQ259" s="138">
        <v>3.1150000000000002</v>
      </c>
      <c r="AR259" s="138">
        <v>3.085</v>
      </c>
      <c r="AS259" s="138">
        <v>2.9750000000000001</v>
      </c>
      <c r="AT259" s="138">
        <v>2.9460000000000002</v>
      </c>
      <c r="AU259" s="138">
        <v>2.8849999999999998</v>
      </c>
      <c r="AW259" s="138">
        <v>2.7450000000000001</v>
      </c>
      <c r="AY259" s="138">
        <v>2.65</v>
      </c>
      <c r="BA259" s="138">
        <v>2.617</v>
      </c>
      <c r="BC259" s="138">
        <v>2.5609999999999999</v>
      </c>
      <c r="BD259" s="138">
        <v>2.5352000000000001</v>
      </c>
      <c r="BE259" s="138">
        <v>2.4958</v>
      </c>
      <c r="BF259" s="138">
        <v>2.4375</v>
      </c>
      <c r="BG259" s="138">
        <v>2.3975</v>
      </c>
      <c r="BH259" s="138">
        <v>2.3685</v>
      </c>
      <c r="BN259" s="138">
        <f t="shared" si="6"/>
        <v>2.3685</v>
      </c>
      <c r="BO259" s="138">
        <f t="shared" si="7"/>
        <v>2014</v>
      </c>
    </row>
    <row r="260" spans="2:67" x14ac:dyDescent="0.25">
      <c r="B260" s="138" t="s">
        <v>642</v>
      </c>
      <c r="C260" s="138" t="s">
        <v>643</v>
      </c>
      <c r="D260" s="138" t="s">
        <v>1191</v>
      </c>
      <c r="E260" s="138" t="s">
        <v>1190</v>
      </c>
      <c r="F260" s="138">
        <v>0.1</v>
      </c>
      <c r="P260" s="138">
        <v>0.182</v>
      </c>
      <c r="AD260" s="138">
        <v>0.26600000000000001</v>
      </c>
      <c r="AJ260" s="138">
        <v>0.46</v>
      </c>
      <c r="AK260" s="138">
        <v>0.13500000000000001</v>
      </c>
      <c r="AO260" s="138">
        <v>0.46</v>
      </c>
      <c r="AQ260" s="138">
        <v>0.93520000000000003</v>
      </c>
      <c r="AT260" s="138">
        <v>0.82479999999999998</v>
      </c>
      <c r="AU260" s="138">
        <v>0.57410000000000005</v>
      </c>
      <c r="AX260" s="138">
        <v>0.93</v>
      </c>
      <c r="BD260" s="138">
        <v>0.65869999999999995</v>
      </c>
      <c r="BN260" s="138">
        <f t="shared" si="6"/>
        <v>0.65869999999999995</v>
      </c>
      <c r="BO260" s="138">
        <f t="shared" si="7"/>
        <v>2010</v>
      </c>
    </row>
    <row r="261" spans="2:67" x14ac:dyDescent="0.25">
      <c r="B261" s="138" t="s">
        <v>669</v>
      </c>
      <c r="C261" s="138" t="s">
        <v>670</v>
      </c>
      <c r="D261" s="138" t="s">
        <v>1191</v>
      </c>
      <c r="E261" s="138" t="s">
        <v>1190</v>
      </c>
      <c r="F261" s="138">
        <v>0.66600000000000004</v>
      </c>
      <c r="K261" s="138">
        <v>0.81499999999999995</v>
      </c>
      <c r="P261" s="138">
        <v>0.88300000000000001</v>
      </c>
      <c r="T261" s="138">
        <v>0.90400000000000003</v>
      </c>
      <c r="U261" s="138">
        <v>0.90400000000000003</v>
      </c>
      <c r="V261" s="138">
        <v>0.90400000000000003</v>
      </c>
      <c r="Z261" s="138">
        <v>0.83</v>
      </c>
      <c r="AA261" s="138">
        <v>0.996</v>
      </c>
      <c r="AB261" s="138">
        <v>0.83299999999999996</v>
      </c>
      <c r="AD261" s="138">
        <v>1.4359999999999999</v>
      </c>
      <c r="AE261" s="138">
        <v>1.196</v>
      </c>
      <c r="AF261" s="138">
        <v>1.399</v>
      </c>
      <c r="AG261" s="138">
        <v>1.401</v>
      </c>
      <c r="AH261" s="138">
        <v>1.6</v>
      </c>
      <c r="AI261" s="138">
        <v>1.6950000000000001</v>
      </c>
      <c r="AJ261" s="138">
        <v>1.5640000000000001</v>
      </c>
      <c r="AO261" s="138">
        <v>1.94</v>
      </c>
      <c r="AU261" s="138">
        <v>1.9239999999999999</v>
      </c>
      <c r="BN261" s="138">
        <f t="shared" si="6"/>
        <v>1.9239999999999999</v>
      </c>
      <c r="BO261" s="138">
        <f t="shared" si="7"/>
        <v>2001</v>
      </c>
    </row>
    <row r="262" spans="2:67" x14ac:dyDescent="0.25">
      <c r="B262" s="138" t="s">
        <v>444</v>
      </c>
      <c r="C262" s="138" t="s">
        <v>445</v>
      </c>
      <c r="D262" s="138" t="s">
        <v>1191</v>
      </c>
      <c r="E262" s="138" t="s">
        <v>1190</v>
      </c>
      <c r="BN262" s="138" t="str">
        <f t="shared" si="6"/>
        <v>No reported value</v>
      </c>
      <c r="BO262" s="138" t="str">
        <f t="shared" si="7"/>
        <v>No reported value</v>
      </c>
    </row>
    <row r="263" spans="2:67" x14ac:dyDescent="0.25">
      <c r="B263" s="138" t="s">
        <v>672</v>
      </c>
      <c r="C263" s="138" t="s">
        <v>673</v>
      </c>
      <c r="D263" s="138" t="s">
        <v>1191</v>
      </c>
      <c r="E263" s="138" t="s">
        <v>1190</v>
      </c>
      <c r="AJ263" s="138">
        <v>1.65</v>
      </c>
      <c r="AO263" s="138">
        <v>1.645</v>
      </c>
      <c r="BN263" s="138">
        <f t="shared" si="6"/>
        <v>1.645</v>
      </c>
      <c r="BO263" s="138">
        <f t="shared" si="7"/>
        <v>1995</v>
      </c>
    </row>
    <row r="264" spans="2:67" x14ac:dyDescent="0.25">
      <c r="B264" s="138" t="s">
        <v>671</v>
      </c>
      <c r="C264" s="138" t="s">
        <v>160</v>
      </c>
      <c r="D264" s="138" t="s">
        <v>1191</v>
      </c>
      <c r="E264" s="138" t="s">
        <v>1190</v>
      </c>
      <c r="Z264" s="138">
        <v>0.24099999999999999</v>
      </c>
      <c r="AA264" s="138">
        <v>0.247</v>
      </c>
      <c r="AF264" s="138">
        <v>1.056</v>
      </c>
      <c r="AI264" s="138">
        <v>0.39100000000000001</v>
      </c>
      <c r="AJ264" s="138">
        <v>0.40400000000000003</v>
      </c>
      <c r="AK264" s="138">
        <v>0.40699999999999997</v>
      </c>
      <c r="AL264" s="138">
        <v>0.437</v>
      </c>
      <c r="AQ264" s="138">
        <v>0.56899999999999995</v>
      </c>
      <c r="AR264" s="138">
        <v>0.48</v>
      </c>
      <c r="AS264" s="138">
        <v>0.51500000000000001</v>
      </c>
      <c r="AU264" s="138">
        <v>0.52170000000000005</v>
      </c>
      <c r="AV264" s="138">
        <v>0.54859999999999998</v>
      </c>
      <c r="AY264" s="138">
        <v>0.61040000000000005</v>
      </c>
      <c r="AZ264" s="138">
        <v>0.62039999999999995</v>
      </c>
      <c r="BA264" s="138">
        <v>0.63800000000000001</v>
      </c>
      <c r="BB264" s="138">
        <v>0.66120000000000001</v>
      </c>
      <c r="BC264" s="138">
        <v>0.69440000000000002</v>
      </c>
      <c r="BD264" s="138">
        <v>0.70599999999999996</v>
      </c>
      <c r="BE264" s="138">
        <v>1.1519999999999999</v>
      </c>
      <c r="BF264" s="138">
        <v>0.81499999999999995</v>
      </c>
      <c r="BG264" s="138">
        <v>1.18</v>
      </c>
      <c r="BH264" s="138">
        <v>0.77600000000000002</v>
      </c>
      <c r="BI264" s="138">
        <v>0.78869999999999996</v>
      </c>
      <c r="BJ264" s="138">
        <v>0.81989999999999996</v>
      </c>
      <c r="BN264" s="138">
        <f t="shared" si="6"/>
        <v>0.81989999999999996</v>
      </c>
      <c r="BO264" s="138">
        <f t="shared" si="7"/>
        <v>2016</v>
      </c>
    </row>
    <row r="265" spans="2:67" x14ac:dyDescent="0.25">
      <c r="B265" s="138" t="s">
        <v>258</v>
      </c>
      <c r="C265" s="138" t="s">
        <v>151</v>
      </c>
      <c r="D265" s="138" t="s">
        <v>1191</v>
      </c>
      <c r="E265" s="138" t="s">
        <v>1190</v>
      </c>
      <c r="F265" s="138">
        <v>0.27700000000000002</v>
      </c>
      <c r="P265" s="138">
        <v>0.30099999999999999</v>
      </c>
      <c r="Z265" s="138">
        <v>0.191</v>
      </c>
      <c r="AA265" s="138">
        <v>0.189</v>
      </c>
      <c r="AF265" s="138">
        <v>0.20399999999999999</v>
      </c>
      <c r="AI265" s="138">
        <v>0.125</v>
      </c>
      <c r="AK265" s="138">
        <v>9.9000000000000005E-2</v>
      </c>
      <c r="AQ265" s="138">
        <v>0.1143</v>
      </c>
      <c r="AX265" s="138">
        <v>0.14699999999999999</v>
      </c>
      <c r="BA265" s="138">
        <v>0.1182</v>
      </c>
      <c r="BB265" s="138">
        <v>0.1154</v>
      </c>
      <c r="BD265" s="138">
        <v>0.11600000000000001</v>
      </c>
      <c r="BF265" s="138">
        <v>0.18590000000000001</v>
      </c>
      <c r="BJ265" s="138">
        <v>0.1706</v>
      </c>
      <c r="BN265" s="138">
        <f t="shared" ref="BN265:BN272" si="8">IFERROR(LOOKUP(2,1/(ISNUMBER(G265:BM265)),G265:BM265),"No reported value")</f>
        <v>0.1706</v>
      </c>
      <c r="BO265" s="138">
        <f t="shared" ref="BO265:BO272" si="9">IFERROR(INDEX($G$8:$BM$8,1,MATCH($BN265,$G265:$BM265,0)),"No reported value")</f>
        <v>2016</v>
      </c>
    </row>
    <row r="266" spans="2:67" x14ac:dyDescent="0.25">
      <c r="B266" s="138" t="s">
        <v>676</v>
      </c>
      <c r="C266" s="138" t="s">
        <v>677</v>
      </c>
      <c r="D266" s="138" t="s">
        <v>1191</v>
      </c>
      <c r="E266" s="138" t="s">
        <v>1190</v>
      </c>
      <c r="AJ266" s="138">
        <v>1.2545835247600869</v>
      </c>
      <c r="AT266" s="138">
        <v>1.2946687533766257</v>
      </c>
      <c r="BI266" s="138">
        <v>1.5021258721421249</v>
      </c>
      <c r="BN266" s="138">
        <f t="shared" si="8"/>
        <v>1.5021258721421249</v>
      </c>
      <c r="BO266" s="138">
        <f t="shared" si="9"/>
        <v>2015</v>
      </c>
    </row>
    <row r="267" spans="2:67" x14ac:dyDescent="0.25">
      <c r="B267" s="138" t="s">
        <v>254</v>
      </c>
      <c r="C267" s="138" t="s">
        <v>152</v>
      </c>
      <c r="D267" s="138" t="s">
        <v>1191</v>
      </c>
      <c r="E267" s="138" t="s">
        <v>1190</v>
      </c>
      <c r="F267" s="138">
        <v>0.441</v>
      </c>
      <c r="P267" s="138">
        <v>0.35</v>
      </c>
      <c r="Z267" s="138">
        <v>0.36099999999999999</v>
      </c>
      <c r="AA267" s="138">
        <v>0.40400000000000003</v>
      </c>
      <c r="AF267" s="138">
        <v>0.28000000000000003</v>
      </c>
      <c r="AI267" s="138">
        <v>0.20699999999999999</v>
      </c>
      <c r="AL267" s="138">
        <v>0.36499999999999999</v>
      </c>
      <c r="AP267" s="138">
        <v>0.34399999999999997</v>
      </c>
      <c r="AR267" s="138">
        <v>0.33</v>
      </c>
      <c r="AS267" s="138">
        <v>0.69040000000000001</v>
      </c>
      <c r="AW267" s="138">
        <v>0.28139999999999998</v>
      </c>
      <c r="AY267" s="138">
        <v>0.27789999999999998</v>
      </c>
      <c r="BB267" s="138">
        <v>0.4632</v>
      </c>
      <c r="BD267" s="138">
        <v>0.34370000000000001</v>
      </c>
      <c r="BF267" s="138">
        <v>0.3805</v>
      </c>
      <c r="BG267" s="138">
        <v>0.48220000000000002</v>
      </c>
      <c r="BJ267" s="138">
        <v>0.34089999999999998</v>
      </c>
      <c r="BN267" s="138">
        <f t="shared" si="8"/>
        <v>0.34089999999999998</v>
      </c>
      <c r="BO267" s="138">
        <f t="shared" si="9"/>
        <v>2016</v>
      </c>
    </row>
    <row r="268" spans="2:67" x14ac:dyDescent="0.25">
      <c r="B268" s="138" t="s">
        <v>237</v>
      </c>
      <c r="C268" s="138" t="s">
        <v>537</v>
      </c>
      <c r="D268" s="138" t="s">
        <v>1191</v>
      </c>
      <c r="E268" s="138" t="s">
        <v>1190</v>
      </c>
      <c r="BN268" s="138" t="str">
        <f t="shared" si="8"/>
        <v>No reported value</v>
      </c>
      <c r="BO268" s="138" t="str">
        <f t="shared" si="9"/>
        <v>No reported value</v>
      </c>
    </row>
    <row r="269" spans="2:67" x14ac:dyDescent="0.25">
      <c r="B269" s="138" t="s">
        <v>678</v>
      </c>
      <c r="C269" s="138" t="s">
        <v>153</v>
      </c>
      <c r="D269" s="138" t="s">
        <v>1191</v>
      </c>
      <c r="E269" s="138" t="s">
        <v>1190</v>
      </c>
      <c r="F269" s="138">
        <v>2.3E-2</v>
      </c>
      <c r="K269" s="138">
        <v>3.2000000000000001E-2</v>
      </c>
      <c r="P269" s="138">
        <v>2.9000000000000001E-2</v>
      </c>
      <c r="AA269" s="138">
        <v>0.14499999999999999</v>
      </c>
      <c r="AE269" s="138">
        <v>0.17100000000000001</v>
      </c>
      <c r="AJ269" s="138">
        <v>7.0000000000000001E-3</v>
      </c>
      <c r="AO269" s="138">
        <v>0.247</v>
      </c>
      <c r="AP269" s="138">
        <v>0.23</v>
      </c>
      <c r="AQ269" s="138">
        <v>0.2324</v>
      </c>
      <c r="AR269" s="138">
        <v>0.2</v>
      </c>
      <c r="AU269" s="138">
        <v>0.219</v>
      </c>
      <c r="AX269" s="138">
        <v>0.3367</v>
      </c>
      <c r="BB269" s="138">
        <v>0.309</v>
      </c>
      <c r="BC269" s="138">
        <v>0.31019999999999998</v>
      </c>
      <c r="BH269" s="138">
        <v>0.31040000000000001</v>
      </c>
      <c r="BN269" s="138">
        <f t="shared" si="8"/>
        <v>0.31040000000000001</v>
      </c>
      <c r="BO269" s="138">
        <f t="shared" si="9"/>
        <v>2014</v>
      </c>
    </row>
    <row r="270" spans="2:67" x14ac:dyDescent="0.25">
      <c r="B270" s="138" t="s">
        <v>178</v>
      </c>
      <c r="C270" s="138" t="s">
        <v>154</v>
      </c>
      <c r="D270" s="138" t="s">
        <v>1191</v>
      </c>
      <c r="E270" s="138" t="s">
        <v>1190</v>
      </c>
      <c r="K270" s="138">
        <v>0.48799999999999999</v>
      </c>
      <c r="U270" s="138">
        <v>0.53900000000000003</v>
      </c>
      <c r="X270" s="138">
        <v>0.55100000000000005</v>
      </c>
      <c r="AG270" s="138">
        <v>0.61299999999999999</v>
      </c>
      <c r="AL270" s="138">
        <v>0.624</v>
      </c>
      <c r="AP270" s="138">
        <v>0.59299999999999997</v>
      </c>
      <c r="AX270" s="138">
        <v>0.72189999999999999</v>
      </c>
      <c r="BD270" s="138">
        <v>0.72889999999999999</v>
      </c>
      <c r="BE270" s="138">
        <v>0.71430000000000005</v>
      </c>
      <c r="BF270" s="138">
        <v>0.72540000000000004</v>
      </c>
      <c r="BG270" s="138">
        <v>0.74109999999999998</v>
      </c>
      <c r="BH270" s="138">
        <v>0.75419999999999998</v>
      </c>
      <c r="BI270" s="138">
        <v>0.78269999999999995</v>
      </c>
      <c r="BJ270" s="138">
        <v>0.8024</v>
      </c>
      <c r="BK270" s="138">
        <v>0.91010000000000002</v>
      </c>
      <c r="BN270" s="138">
        <f t="shared" si="8"/>
        <v>0.91010000000000002</v>
      </c>
      <c r="BO270" s="138">
        <f t="shared" si="9"/>
        <v>2017</v>
      </c>
    </row>
    <row r="271" spans="2:67" x14ac:dyDescent="0.25">
      <c r="B271" s="138" t="s">
        <v>217</v>
      </c>
      <c r="C271" s="138" t="s">
        <v>155</v>
      </c>
      <c r="D271" s="138" t="s">
        <v>1191</v>
      </c>
      <c r="E271" s="138" t="s">
        <v>1190</v>
      </c>
      <c r="F271" s="138">
        <v>0.107</v>
      </c>
      <c r="K271" s="138">
        <v>8.7999999999999995E-2</v>
      </c>
      <c r="P271" s="138">
        <v>7.2999999999999995E-2</v>
      </c>
      <c r="U271" s="138">
        <v>7.3999999999999996E-2</v>
      </c>
      <c r="Z271" s="138">
        <v>7.5999999999999998E-2</v>
      </c>
      <c r="AA271" s="138">
        <v>0.126</v>
      </c>
      <c r="AC271" s="138">
        <v>0.14000000000000001</v>
      </c>
      <c r="AE271" s="138">
        <v>0.14099999999999999</v>
      </c>
      <c r="AJ271" s="138">
        <v>9.1999999999999998E-2</v>
      </c>
      <c r="AO271" s="138">
        <v>6.9000000000000006E-2</v>
      </c>
      <c r="AX271" s="138">
        <v>0.1278</v>
      </c>
      <c r="AY271" s="138">
        <v>5.3600000000000002E-2</v>
      </c>
      <c r="AZ271" s="138">
        <v>5.2400000000000002E-2</v>
      </c>
      <c r="BB271" s="138">
        <v>6.08E-2</v>
      </c>
      <c r="BC271" s="138">
        <v>5.9499999999999997E-2</v>
      </c>
      <c r="BD271" s="138">
        <v>6.0400000000000002E-2</v>
      </c>
      <c r="BE271" s="138">
        <v>0.16209999999999999</v>
      </c>
      <c r="BF271" s="138">
        <v>0.16320000000000001</v>
      </c>
      <c r="BJ271" s="138">
        <v>9.1300000000000006E-2</v>
      </c>
      <c r="BN271" s="138">
        <f t="shared" si="8"/>
        <v>9.1300000000000006E-2</v>
      </c>
      <c r="BO271" s="138">
        <f t="shared" si="9"/>
        <v>2016</v>
      </c>
    </row>
    <row r="272" spans="2:67" x14ac:dyDescent="0.25">
      <c r="B272" s="138" t="s">
        <v>218</v>
      </c>
      <c r="C272" s="138" t="s">
        <v>156</v>
      </c>
      <c r="D272" s="138" t="s">
        <v>1191</v>
      </c>
      <c r="E272" s="138" t="s">
        <v>1190</v>
      </c>
      <c r="F272" s="138">
        <v>0.20200000000000001</v>
      </c>
      <c r="K272" s="138">
        <v>0.125</v>
      </c>
      <c r="P272" s="138">
        <v>0.16200000000000001</v>
      </c>
      <c r="U272" s="138">
        <v>0.158</v>
      </c>
      <c r="Z272" s="138">
        <v>0.161</v>
      </c>
      <c r="AA272" s="138">
        <v>0.13900000000000001</v>
      </c>
      <c r="AG272" s="138">
        <v>0.13500000000000001</v>
      </c>
      <c r="AJ272" s="138">
        <v>0.12959999999999999</v>
      </c>
      <c r="AO272" s="138">
        <v>0.14399999999999999</v>
      </c>
      <c r="AV272" s="138">
        <v>5.7000000000000002E-2</v>
      </c>
      <c r="AX272" s="138">
        <v>0.1633</v>
      </c>
      <c r="BA272" s="138">
        <v>0.05</v>
      </c>
      <c r="BB272" s="138">
        <v>5.4399999999999997E-2</v>
      </c>
      <c r="BC272" s="138">
        <v>5.9900000000000002E-2</v>
      </c>
      <c r="BD272" s="138">
        <v>6.5000000000000002E-2</v>
      </c>
      <c r="BE272" s="138">
        <v>7.3300000000000004E-2</v>
      </c>
      <c r="BF272" s="138">
        <v>7.1999999999999995E-2</v>
      </c>
      <c r="BG272" s="138">
        <v>7.3999999999999996E-2</v>
      </c>
      <c r="BH272" s="138">
        <v>7.6300000000000007E-2</v>
      </c>
      <c r="BN272" s="138">
        <f t="shared" si="8"/>
        <v>7.6300000000000007E-2</v>
      </c>
      <c r="BO272" s="138">
        <f t="shared" si="9"/>
        <v>2014</v>
      </c>
    </row>
  </sheetData>
  <sheetProtection algorithmName="SHA-512" hashValue="PwOI4KpiTlox1O4WPu43kt5jsKSY/nSNOVDZHc87dhUgLSztBnwiEm1ZO1OnmL7GIhTSL4LpQQz1M0kM9VzVBA==" saltValue="YUS+StjzidwCEQ9oSU3w8w==" spinCount="100000" sheet="1" objects="1" scenarios="1"/>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M126"/>
  <sheetViews>
    <sheetView showGridLines="0" zoomScaleNormal="100" workbookViewId="0"/>
  </sheetViews>
  <sheetFormatPr defaultColWidth="9.28515625" defaultRowHeight="12.75" x14ac:dyDescent="0.25"/>
  <cols>
    <col min="1" max="1" width="3.28515625" style="346" customWidth="1"/>
    <col min="2" max="3" width="20.5703125" style="346" customWidth="1"/>
    <col min="4" max="4" width="9.28515625" style="346"/>
    <col min="5" max="5" width="19.42578125" style="346" customWidth="1"/>
    <col min="6" max="6" width="27.28515625" style="346" customWidth="1"/>
    <col min="7" max="7" width="9.28515625" style="346"/>
    <col min="8" max="8" width="14" style="346" bestFit="1" customWidth="1"/>
    <col min="9" max="16384" width="9.28515625" style="346"/>
  </cols>
  <sheetData>
    <row r="1" spans="2:13" s="138" customFormat="1" ht="15" x14ac:dyDescent="0.25"/>
    <row r="2" spans="2:13" s="73" customFormat="1" ht="18.75" x14ac:dyDescent="0.3">
      <c r="B2" s="73" t="s">
        <v>1302</v>
      </c>
      <c r="E2" s="74"/>
      <c r="F2" s="74"/>
      <c r="G2" s="74"/>
    </row>
    <row r="3" spans="2:13" s="75" customFormat="1" ht="15" x14ac:dyDescent="0.25">
      <c r="B3" s="75" t="s">
        <v>1223</v>
      </c>
      <c r="E3" s="76"/>
      <c r="F3" s="76"/>
      <c r="G3" s="76"/>
    </row>
    <row r="4" spans="2:13" s="16" customFormat="1" ht="15" x14ac:dyDescent="0.25">
      <c r="B4" s="16" t="s">
        <v>1339</v>
      </c>
      <c r="E4" s="345"/>
      <c r="F4" s="345"/>
      <c r="G4" s="345"/>
    </row>
    <row r="5" spans="2:13" s="138" customFormat="1" ht="15" x14ac:dyDescent="0.25"/>
    <row r="6" spans="2:13" ht="60.75" thickBot="1" x14ac:dyDescent="0.3">
      <c r="B6" s="358" t="s">
        <v>260</v>
      </c>
      <c r="C6" s="358" t="s">
        <v>684</v>
      </c>
      <c r="D6" s="358" t="s">
        <v>361</v>
      </c>
      <c r="E6" s="357" t="s">
        <v>1222</v>
      </c>
      <c r="F6" s="357" t="s">
        <v>1221</v>
      </c>
      <c r="G6" s="356" t="s">
        <v>259</v>
      </c>
      <c r="H6" s="355" t="s">
        <v>1220</v>
      </c>
      <c r="I6" s="355" t="s">
        <v>1219</v>
      </c>
    </row>
    <row r="7" spans="2:13" ht="15" x14ac:dyDescent="0.25">
      <c r="B7" s="352" t="s">
        <v>420</v>
      </c>
      <c r="C7" s="352" t="str">
        <f>INDEX('Tabular Pop Data by Age'!$C$8:$C$271,MATCH('WHO Labs Data'!$B7,'Tabular Pop Data by Age'!$B$8:$B$271,0))</f>
        <v>DZA</v>
      </c>
      <c r="D7" s="352" t="s">
        <v>1217</v>
      </c>
      <c r="E7" s="350" t="s">
        <v>1195</v>
      </c>
      <c r="F7" s="350">
        <v>4922</v>
      </c>
      <c r="G7" s="349">
        <f t="shared" ref="G7:G38" si="0">SUM(E7:F7)</f>
        <v>4922</v>
      </c>
      <c r="H7" s="348">
        <v>42228429</v>
      </c>
      <c r="I7" s="347">
        <f t="shared" ref="I7:I38" si="1">IFERROR(G7/H7*1000,0)</f>
        <v>0.11655655009093518</v>
      </c>
      <c r="L7" s="354" t="s">
        <v>1218</v>
      </c>
      <c r="M7" s="353">
        <f>AVERAGE(I7:I126)</f>
        <v>0.2276050738661016</v>
      </c>
    </row>
    <row r="8" spans="2:13" ht="15" x14ac:dyDescent="0.25">
      <c r="B8" s="352" t="s">
        <v>182</v>
      </c>
      <c r="C8" s="352" t="str">
        <f>INDEX('Tabular Pop Data by Age'!$C$8:$C$271,MATCH('WHO Labs Data'!$B8,'Tabular Pop Data by Age'!$B$8:$B$271,0))</f>
        <v>AGO</v>
      </c>
      <c r="D8" s="352" t="s">
        <v>1201</v>
      </c>
      <c r="E8" s="350" t="s">
        <v>1195</v>
      </c>
      <c r="F8" s="350">
        <v>1376</v>
      </c>
      <c r="G8" s="349">
        <f t="shared" si="0"/>
        <v>1376</v>
      </c>
      <c r="H8" s="348">
        <v>30809762</v>
      </c>
      <c r="I8" s="347">
        <f t="shared" si="1"/>
        <v>4.4661169404684141E-2</v>
      </c>
    </row>
    <row r="9" spans="2:13" ht="15" x14ac:dyDescent="0.25">
      <c r="B9" s="352" t="s">
        <v>423</v>
      </c>
      <c r="C9" s="352" t="str">
        <f>INDEX('Tabular Pop Data by Age'!$C$8:$C$271,MATCH('WHO Labs Data'!$B9,'Tabular Pop Data by Age'!$B$8:$B$271,0))</f>
        <v>ATG</v>
      </c>
      <c r="D9" s="352" t="s">
        <v>1217</v>
      </c>
      <c r="E9" s="350" t="s">
        <v>1195</v>
      </c>
      <c r="F9" s="350">
        <v>8</v>
      </c>
      <c r="G9" s="349">
        <f t="shared" si="0"/>
        <v>8</v>
      </c>
      <c r="H9" s="348">
        <v>96286</v>
      </c>
      <c r="I9" s="347">
        <f t="shared" si="1"/>
        <v>8.3085806867041936E-2</v>
      </c>
    </row>
    <row r="10" spans="2:13" ht="15.75" customHeight="1" x14ac:dyDescent="0.25">
      <c r="B10" s="352" t="s">
        <v>427</v>
      </c>
      <c r="C10" s="352" t="str">
        <f>INDEX('Tabular Pop Data by Age'!$C$8:$C$271,MATCH('WHO Labs Data'!$B10,'Tabular Pop Data by Age'!$B$8:$B$271,0))</f>
        <v>ARG</v>
      </c>
      <c r="D10" s="352" t="s">
        <v>1201</v>
      </c>
      <c r="E10" s="351">
        <v>19629</v>
      </c>
      <c r="F10" s="350" t="s">
        <v>1195</v>
      </c>
      <c r="G10" s="349">
        <f t="shared" si="0"/>
        <v>19629</v>
      </c>
      <c r="H10" s="348">
        <v>44494502</v>
      </c>
      <c r="I10" s="347">
        <f t="shared" si="1"/>
        <v>0.44115562862126201</v>
      </c>
    </row>
    <row r="11" spans="2:13" ht="15.75" customHeight="1" x14ac:dyDescent="0.25">
      <c r="B11" s="352" t="s">
        <v>433</v>
      </c>
      <c r="C11" s="352" t="str">
        <f>INDEX('Tabular Pop Data by Age'!$C$8:$C$271,MATCH('WHO Labs Data'!$B11,'Tabular Pop Data by Age'!$B$8:$B$271,0))</f>
        <v>BHS</v>
      </c>
      <c r="D11" s="352" t="s">
        <v>1203</v>
      </c>
      <c r="E11" s="350" t="s">
        <v>1195</v>
      </c>
      <c r="F11" s="350">
        <v>104</v>
      </c>
      <c r="G11" s="349">
        <f t="shared" si="0"/>
        <v>104</v>
      </c>
      <c r="H11" s="348">
        <v>385640</v>
      </c>
      <c r="I11" s="347">
        <f t="shared" si="1"/>
        <v>0.26968156830204337</v>
      </c>
    </row>
    <row r="12" spans="2:13" ht="15" x14ac:dyDescent="0.25">
      <c r="B12" s="352" t="s">
        <v>434</v>
      </c>
      <c r="C12" s="352" t="str">
        <f>INDEX('Tabular Pop Data by Age'!$C$8:$C$271,MATCH('WHO Labs Data'!$B12,'Tabular Pop Data by Age'!$B$8:$B$271,0))</f>
        <v>BHR</v>
      </c>
      <c r="D12" s="352" t="s">
        <v>1200</v>
      </c>
      <c r="E12" s="350" t="s">
        <v>1195</v>
      </c>
      <c r="F12" s="350">
        <v>295</v>
      </c>
      <c r="G12" s="349">
        <f t="shared" si="0"/>
        <v>295</v>
      </c>
      <c r="H12" s="348">
        <v>1569439</v>
      </c>
      <c r="I12" s="347">
        <f t="shared" si="1"/>
        <v>0.18796525382636728</v>
      </c>
    </row>
    <row r="13" spans="2:13" ht="15.75" customHeight="1" x14ac:dyDescent="0.25">
      <c r="B13" s="352" t="s">
        <v>240</v>
      </c>
      <c r="C13" s="352" t="str">
        <f>INDEX('Tabular Pop Data by Age'!$C$8:$C$271,MATCH('WHO Labs Data'!$B13,'Tabular Pop Data by Age'!$B$8:$B$271,0))</f>
        <v>BGD</v>
      </c>
      <c r="D13" s="352" t="s">
        <v>1199</v>
      </c>
      <c r="E13" s="350" t="s">
        <v>1195</v>
      </c>
      <c r="F13" s="351">
        <v>6614</v>
      </c>
      <c r="G13" s="349">
        <f t="shared" si="0"/>
        <v>6614</v>
      </c>
      <c r="H13" s="348">
        <v>161356039</v>
      </c>
      <c r="I13" s="347">
        <f t="shared" si="1"/>
        <v>4.0990098920313731E-2</v>
      </c>
    </row>
    <row r="14" spans="2:13" ht="16.5" customHeight="1" x14ac:dyDescent="0.25">
      <c r="B14" s="352" t="s">
        <v>435</v>
      </c>
      <c r="C14" s="352" t="str">
        <f>INDEX('Tabular Pop Data by Age'!$C$8:$C$271,MATCH('WHO Labs Data'!$B14,'Tabular Pop Data by Age'!$B$8:$B$271,0))</f>
        <v>BRB</v>
      </c>
      <c r="D14" s="352" t="s">
        <v>1204</v>
      </c>
      <c r="E14" s="350" t="s">
        <v>1195</v>
      </c>
      <c r="F14" s="351">
        <v>2</v>
      </c>
      <c r="G14" s="349">
        <f t="shared" si="0"/>
        <v>2</v>
      </c>
      <c r="H14" s="348">
        <v>286641</v>
      </c>
      <c r="I14" s="347">
        <f t="shared" si="1"/>
        <v>6.9773689039600061E-3</v>
      </c>
    </row>
    <row r="15" spans="2:13" ht="15" x14ac:dyDescent="0.25">
      <c r="B15" s="352" t="s">
        <v>183</v>
      </c>
      <c r="C15" s="352" t="str">
        <f>INDEX('Tabular Pop Data by Age'!$C$8:$C$271,MATCH('WHO Labs Data'!$B15,'Tabular Pop Data by Age'!$B$8:$B$271,0))</f>
        <v>BEN</v>
      </c>
      <c r="D15" s="352" t="s">
        <v>1197</v>
      </c>
      <c r="E15" s="350" t="s">
        <v>1195</v>
      </c>
      <c r="F15" s="351">
        <v>1166</v>
      </c>
      <c r="G15" s="349">
        <f t="shared" si="0"/>
        <v>1166</v>
      </c>
      <c r="H15" s="348">
        <v>11485048</v>
      </c>
      <c r="I15" s="347">
        <f t="shared" si="1"/>
        <v>0.10152330229703874</v>
      </c>
    </row>
    <row r="16" spans="2:13" ht="15" x14ac:dyDescent="0.25">
      <c r="B16" s="352" t="s">
        <v>241</v>
      </c>
      <c r="C16" s="352" t="str">
        <f>INDEX('Tabular Pop Data by Age'!$C$8:$C$271,MATCH('WHO Labs Data'!$B16,'Tabular Pop Data by Age'!$B$8:$B$271,0))</f>
        <v>BTN</v>
      </c>
      <c r="D16" s="352" t="s">
        <v>1208</v>
      </c>
      <c r="E16" s="351">
        <v>63</v>
      </c>
      <c r="F16" s="351">
        <v>245</v>
      </c>
      <c r="G16" s="349">
        <f t="shared" si="0"/>
        <v>308</v>
      </c>
      <c r="H16" s="348">
        <v>754394</v>
      </c>
      <c r="I16" s="347">
        <f t="shared" si="1"/>
        <v>0.40827472116692343</v>
      </c>
    </row>
    <row r="17" spans="2:9" ht="15.75" customHeight="1" x14ac:dyDescent="0.25">
      <c r="B17" s="352" t="s">
        <v>219</v>
      </c>
      <c r="C17" s="352" t="str">
        <f>INDEX('Tabular Pop Data by Age'!$C$8:$C$271,MATCH('WHO Labs Data'!$B17,'Tabular Pop Data by Age'!$B$8:$B$271,0))</f>
        <v>BOL</v>
      </c>
      <c r="D17" s="352" t="s">
        <v>1203</v>
      </c>
      <c r="E17" s="350" t="s">
        <v>1195</v>
      </c>
      <c r="F17" s="351">
        <v>562</v>
      </c>
      <c r="G17" s="349">
        <f t="shared" si="0"/>
        <v>562</v>
      </c>
      <c r="H17" s="348">
        <v>11353142</v>
      </c>
      <c r="I17" s="347">
        <f t="shared" si="1"/>
        <v>4.9501715031838762E-2</v>
      </c>
    </row>
    <row r="18" spans="2:9" ht="15.75" customHeight="1" x14ac:dyDescent="0.25">
      <c r="B18" s="352" t="s">
        <v>184</v>
      </c>
      <c r="C18" s="352" t="str">
        <f>INDEX('Tabular Pop Data by Age'!$C$8:$C$271,MATCH('WHO Labs Data'!$B18,'Tabular Pop Data by Age'!$B$8:$B$271,0))</f>
        <v>BWA</v>
      </c>
      <c r="D18" s="352" t="s">
        <v>1211</v>
      </c>
      <c r="E18" s="350" t="s">
        <v>1195</v>
      </c>
      <c r="F18" s="351">
        <v>317</v>
      </c>
      <c r="G18" s="349">
        <f t="shared" si="0"/>
        <v>317</v>
      </c>
      <c r="H18" s="348">
        <v>2254126</v>
      </c>
      <c r="I18" s="347">
        <f t="shared" si="1"/>
        <v>0.14063100288093922</v>
      </c>
    </row>
    <row r="19" spans="2:9" ht="15" x14ac:dyDescent="0.25">
      <c r="B19" s="352" t="s">
        <v>443</v>
      </c>
      <c r="C19" s="352" t="str">
        <f>INDEX('Tabular Pop Data by Age'!$C$8:$C$271,MATCH('WHO Labs Data'!$B19,'Tabular Pop Data by Age'!$B$8:$B$271,0))</f>
        <v>BRA</v>
      </c>
      <c r="D19" s="352" t="s">
        <v>1208</v>
      </c>
      <c r="E19" s="350" t="s">
        <v>1195</v>
      </c>
      <c r="F19" s="351">
        <v>43744</v>
      </c>
      <c r="G19" s="349">
        <f t="shared" si="0"/>
        <v>43744</v>
      </c>
      <c r="H19" s="348">
        <v>209469333</v>
      </c>
      <c r="I19" s="347">
        <f t="shared" si="1"/>
        <v>0.20883247859484996</v>
      </c>
    </row>
    <row r="20" spans="2:9" ht="15" x14ac:dyDescent="0.25">
      <c r="B20" s="352" t="s">
        <v>446</v>
      </c>
      <c r="C20" s="352" t="str">
        <f>INDEX('Tabular Pop Data by Age'!$C$8:$C$271,MATCH('WHO Labs Data'!$B20,'Tabular Pop Data by Age'!$B$8:$B$271,0))</f>
        <v>BRN</v>
      </c>
      <c r="D20" s="352" t="s">
        <v>1200</v>
      </c>
      <c r="E20" s="351">
        <v>113</v>
      </c>
      <c r="F20" s="351">
        <v>27</v>
      </c>
      <c r="G20" s="349">
        <f t="shared" si="0"/>
        <v>140</v>
      </c>
      <c r="H20" s="348">
        <v>428962</v>
      </c>
      <c r="I20" s="347">
        <f t="shared" si="1"/>
        <v>0.32636923550337793</v>
      </c>
    </row>
    <row r="21" spans="2:9" ht="15.75" customHeight="1" x14ac:dyDescent="0.25">
      <c r="B21" s="352" t="s">
        <v>185</v>
      </c>
      <c r="C21" s="352" t="str">
        <f>INDEX('Tabular Pop Data by Age'!$C$8:$C$271,MATCH('WHO Labs Data'!$B21,'Tabular Pop Data by Age'!$B$8:$B$271,0))</f>
        <v>BFA</v>
      </c>
      <c r="D21" s="352" t="s">
        <v>1199</v>
      </c>
      <c r="E21" s="350" t="s">
        <v>1195</v>
      </c>
      <c r="F21" s="351">
        <v>458</v>
      </c>
      <c r="G21" s="349">
        <f t="shared" si="0"/>
        <v>458</v>
      </c>
      <c r="H21" s="348">
        <v>19751535</v>
      </c>
      <c r="I21" s="347">
        <f t="shared" si="1"/>
        <v>2.3188071205605034E-2</v>
      </c>
    </row>
    <row r="22" spans="2:9" ht="15" x14ac:dyDescent="0.25">
      <c r="B22" s="352" t="s">
        <v>186</v>
      </c>
      <c r="C22" s="352" t="str">
        <f>INDEX('Tabular Pop Data by Age'!$C$8:$C$271,MATCH('WHO Labs Data'!$B22,'Tabular Pop Data by Age'!$B$8:$B$271,0))</f>
        <v>BDI</v>
      </c>
      <c r="D22" s="352" t="s">
        <v>1198</v>
      </c>
      <c r="E22" s="351">
        <v>16</v>
      </c>
      <c r="F22" s="351">
        <v>335</v>
      </c>
      <c r="G22" s="349">
        <f t="shared" si="0"/>
        <v>351</v>
      </c>
      <c r="H22" s="348">
        <v>11175378</v>
      </c>
      <c r="I22" s="347">
        <f t="shared" si="1"/>
        <v>3.1408333570461772E-2</v>
      </c>
    </row>
    <row r="23" spans="2:9" ht="15" x14ac:dyDescent="0.25">
      <c r="B23" s="352" t="s">
        <v>247</v>
      </c>
      <c r="C23" s="352" t="str">
        <f>INDEX('Tabular Pop Data by Age'!$C$8:$C$271,MATCH('WHO Labs Data'!$B23,'Tabular Pop Data by Age'!$B$8:$B$271,0))</f>
        <v>KHM</v>
      </c>
      <c r="D23" s="352" t="s">
        <v>1196</v>
      </c>
      <c r="E23" s="351">
        <v>554</v>
      </c>
      <c r="F23" s="350" t="s">
        <v>1195</v>
      </c>
      <c r="G23" s="349">
        <f t="shared" si="0"/>
        <v>554</v>
      </c>
      <c r="H23" s="348">
        <v>16249798</v>
      </c>
      <c r="I23" s="347">
        <f t="shared" si="1"/>
        <v>3.4092731491185302E-2</v>
      </c>
    </row>
    <row r="24" spans="2:9" ht="15" x14ac:dyDescent="0.25">
      <c r="B24" s="352" t="s">
        <v>187</v>
      </c>
      <c r="C24" s="352" t="str">
        <f>INDEX('Tabular Pop Data by Age'!$C$8:$C$271,MATCH('WHO Labs Data'!$B24,'Tabular Pop Data by Age'!$B$8:$B$271,0))</f>
        <v>CMR</v>
      </c>
      <c r="D24" s="352" t="s">
        <v>1201</v>
      </c>
      <c r="E24" s="350" t="s">
        <v>1195</v>
      </c>
      <c r="F24" s="351">
        <v>1793</v>
      </c>
      <c r="G24" s="349">
        <f t="shared" si="0"/>
        <v>1793</v>
      </c>
      <c r="H24" s="348">
        <v>25216237</v>
      </c>
      <c r="I24" s="347">
        <f t="shared" si="1"/>
        <v>7.110497890704312E-2</v>
      </c>
    </row>
    <row r="25" spans="2:9" ht="15" x14ac:dyDescent="0.25">
      <c r="B25" s="352" t="s">
        <v>449</v>
      </c>
      <c r="C25" s="352" t="str">
        <f>INDEX('Tabular Pop Data by Age'!$C$8:$C$271,MATCH('WHO Labs Data'!$B25,'Tabular Pop Data by Age'!$B$8:$B$271,0))</f>
        <v>CAN</v>
      </c>
      <c r="D25" s="352" t="s">
        <v>1211</v>
      </c>
      <c r="E25" s="350" t="s">
        <v>1195</v>
      </c>
      <c r="F25" s="351">
        <v>19885</v>
      </c>
      <c r="G25" s="349">
        <f t="shared" si="0"/>
        <v>19885</v>
      </c>
      <c r="H25" s="348">
        <v>37058856</v>
      </c>
      <c r="I25" s="347">
        <f t="shared" si="1"/>
        <v>0.53657889493404753</v>
      </c>
    </row>
    <row r="26" spans="2:9" ht="15.75" customHeight="1" x14ac:dyDescent="0.25">
      <c r="B26" s="352" t="s">
        <v>188</v>
      </c>
      <c r="C26" s="352" t="str">
        <f>INDEX('Tabular Pop Data by Age'!$C$8:$C$271,MATCH('WHO Labs Data'!$B26,'Tabular Pop Data by Age'!$B$8:$B$271,0))</f>
        <v>CAF</v>
      </c>
      <c r="D26" s="352" t="s">
        <v>1211</v>
      </c>
      <c r="E26" s="350" t="s">
        <v>1195</v>
      </c>
      <c r="F26" s="351">
        <v>40</v>
      </c>
      <c r="G26" s="349">
        <f t="shared" si="0"/>
        <v>40</v>
      </c>
      <c r="H26" s="348">
        <v>4666377</v>
      </c>
      <c r="I26" s="347">
        <f t="shared" si="1"/>
        <v>8.5719606452714821E-3</v>
      </c>
    </row>
    <row r="27" spans="2:9" ht="15" x14ac:dyDescent="0.25">
      <c r="B27" s="352" t="s">
        <v>189</v>
      </c>
      <c r="C27" s="352" t="str">
        <f>INDEX('Tabular Pop Data by Age'!$C$8:$C$271,MATCH('WHO Labs Data'!$B27,'Tabular Pop Data by Age'!$B$8:$B$271,0))</f>
        <v>TCD</v>
      </c>
      <c r="D27" s="352" t="s">
        <v>1201</v>
      </c>
      <c r="E27" s="351">
        <v>111</v>
      </c>
      <c r="F27" s="351">
        <v>195</v>
      </c>
      <c r="G27" s="349">
        <f t="shared" si="0"/>
        <v>306</v>
      </c>
      <c r="H27" s="348">
        <v>15477751</v>
      </c>
      <c r="I27" s="347">
        <f t="shared" si="1"/>
        <v>1.9770314175489707E-2</v>
      </c>
    </row>
    <row r="28" spans="2:9" ht="15" x14ac:dyDescent="0.25">
      <c r="B28" s="352" t="s">
        <v>220</v>
      </c>
      <c r="C28" s="352" t="str">
        <f>INDEX('Tabular Pop Data by Age'!$C$8:$C$271,MATCH('WHO Labs Data'!$B28,'Tabular Pop Data by Age'!$B$8:$B$271,0))</f>
        <v>CHL</v>
      </c>
      <c r="D28" s="352" t="s">
        <v>1211</v>
      </c>
      <c r="E28" s="351">
        <v>29</v>
      </c>
      <c r="F28" s="350" t="s">
        <v>1195</v>
      </c>
      <c r="G28" s="349">
        <f t="shared" si="0"/>
        <v>29</v>
      </c>
      <c r="H28" s="348">
        <v>18729160</v>
      </c>
      <c r="I28" s="347">
        <f t="shared" si="1"/>
        <v>1.5483876479244132E-3</v>
      </c>
    </row>
    <row r="29" spans="2:9" ht="15" x14ac:dyDescent="0.25">
      <c r="B29" s="352" t="s">
        <v>458</v>
      </c>
      <c r="C29" s="352" t="str">
        <f>INDEX('Tabular Pop Data by Age'!$C$8:$C$271,MATCH('WHO Labs Data'!$B29,'Tabular Pop Data by Age'!$B$8:$B$271,0))</f>
        <v>CHN</v>
      </c>
      <c r="D29" s="352" t="s">
        <v>1198</v>
      </c>
      <c r="E29" s="350" t="s">
        <v>1195</v>
      </c>
      <c r="F29" s="351">
        <v>230572</v>
      </c>
      <c r="G29" s="349">
        <f t="shared" si="0"/>
        <v>230572</v>
      </c>
      <c r="H29" s="348">
        <v>1392730000</v>
      </c>
      <c r="I29" s="347">
        <f t="shared" si="1"/>
        <v>0.16555398390212028</v>
      </c>
    </row>
    <row r="30" spans="2:9" ht="15" x14ac:dyDescent="0.25">
      <c r="B30" s="352" t="s">
        <v>190</v>
      </c>
      <c r="C30" s="352" t="str">
        <f>INDEX('Tabular Pop Data by Age'!$C$8:$C$271,MATCH('WHO Labs Data'!$B30,'Tabular Pop Data by Age'!$B$8:$B$271,0))</f>
        <v>COM</v>
      </c>
      <c r="D30" s="352" t="s">
        <v>1199</v>
      </c>
      <c r="E30" s="350" t="s">
        <v>1195</v>
      </c>
      <c r="F30" s="351">
        <v>86</v>
      </c>
      <c r="G30" s="349">
        <f t="shared" si="0"/>
        <v>86</v>
      </c>
      <c r="H30" s="348">
        <v>832322</v>
      </c>
      <c r="I30" s="347">
        <f t="shared" si="1"/>
        <v>0.1033253957002218</v>
      </c>
    </row>
    <row r="31" spans="2:9" ht="15" x14ac:dyDescent="0.25">
      <c r="B31" s="352" t="s">
        <v>462</v>
      </c>
      <c r="C31" s="352" t="str">
        <f>INDEX('Tabular Pop Data by Age'!$C$8:$C$271,MATCH('WHO Labs Data'!$B31,'Tabular Pop Data by Age'!$B$8:$B$271,0))</f>
        <v>COG</v>
      </c>
      <c r="D31" s="352" t="s">
        <v>1217</v>
      </c>
      <c r="E31" s="351">
        <v>280</v>
      </c>
      <c r="F31" s="351">
        <v>54</v>
      </c>
      <c r="G31" s="349">
        <f t="shared" si="0"/>
        <v>334</v>
      </c>
      <c r="H31" s="348">
        <v>5244363</v>
      </c>
      <c r="I31" s="347">
        <f t="shared" si="1"/>
        <v>6.3687429722160724E-2</v>
      </c>
    </row>
    <row r="32" spans="2:9" ht="15" x14ac:dyDescent="0.25">
      <c r="B32" s="352" t="s">
        <v>1216</v>
      </c>
      <c r="C32" s="352" t="e">
        <f>INDEX('Tabular Pop Data by Age'!$C$8:$C$271,MATCH('WHO Labs Data'!$B32,'Tabular Pop Data by Age'!$B$8:$B$271,0))</f>
        <v>#N/A</v>
      </c>
      <c r="D32" s="352" t="s">
        <v>1196</v>
      </c>
      <c r="E32" s="351">
        <v>10</v>
      </c>
      <c r="F32" s="350" t="s">
        <v>1195</v>
      </c>
      <c r="G32" s="349">
        <f t="shared" si="0"/>
        <v>10</v>
      </c>
      <c r="H32" s="348" t="e">
        <v>#N/A</v>
      </c>
      <c r="I32" s="347">
        <f t="shared" si="1"/>
        <v>0</v>
      </c>
    </row>
    <row r="33" spans="2:9" ht="15" x14ac:dyDescent="0.25">
      <c r="B33" s="352" t="s">
        <v>463</v>
      </c>
      <c r="C33" s="352" t="str">
        <f>INDEX('Tabular Pop Data by Age'!$C$8:$C$271,MATCH('WHO Labs Data'!$B33,'Tabular Pop Data by Age'!$B$8:$B$271,0))</f>
        <v>CRI</v>
      </c>
      <c r="D33" s="352" t="s">
        <v>1202</v>
      </c>
      <c r="E33" s="351">
        <v>624</v>
      </c>
      <c r="F33" s="350" t="s">
        <v>1195</v>
      </c>
      <c r="G33" s="349">
        <f t="shared" si="0"/>
        <v>624</v>
      </c>
      <c r="H33" s="348">
        <v>4999441</v>
      </c>
      <c r="I33" s="347">
        <f t="shared" si="1"/>
        <v>0.12481395420007955</v>
      </c>
    </row>
    <row r="34" spans="2:9" ht="15" x14ac:dyDescent="0.25">
      <c r="B34" s="352" t="s">
        <v>1215</v>
      </c>
      <c r="C34" s="352" t="str">
        <f>'Tabular Pop Data by Age'!C55</f>
        <v>CIV</v>
      </c>
      <c r="D34" s="352" t="s">
        <v>1196</v>
      </c>
      <c r="E34" s="351">
        <v>2380</v>
      </c>
      <c r="F34" s="351">
        <v>1600</v>
      </c>
      <c r="G34" s="349">
        <f t="shared" si="0"/>
        <v>3980</v>
      </c>
      <c r="H34" s="348" t="e">
        <v>#N/A</v>
      </c>
      <c r="I34" s="347">
        <f t="shared" si="1"/>
        <v>0</v>
      </c>
    </row>
    <row r="35" spans="2:9" ht="15" x14ac:dyDescent="0.25">
      <c r="B35" s="352" t="s">
        <v>221</v>
      </c>
      <c r="C35" s="352" t="str">
        <f>INDEX('Tabular Pop Data by Age'!$C$8:$C$271,MATCH('WHO Labs Data'!$B35,'Tabular Pop Data by Age'!$B$8:$B$271,0))</f>
        <v>CUB</v>
      </c>
      <c r="D35" s="352" t="s">
        <v>1196</v>
      </c>
      <c r="E35" s="350" t="s">
        <v>1195</v>
      </c>
      <c r="F35" s="351">
        <v>6015</v>
      </c>
      <c r="G35" s="349">
        <f t="shared" si="0"/>
        <v>6015</v>
      </c>
      <c r="H35" s="348">
        <v>11338138</v>
      </c>
      <c r="I35" s="347">
        <f t="shared" si="1"/>
        <v>0.53051038891923885</v>
      </c>
    </row>
    <row r="36" spans="2:9" ht="15" x14ac:dyDescent="0.25">
      <c r="B36" s="352" t="s">
        <v>468</v>
      </c>
      <c r="C36" s="352" t="str">
        <f>INDEX('Tabular Pop Data by Age'!$C$8:$C$271,MATCH('WHO Labs Data'!$B36,'Tabular Pop Data by Age'!$B$8:$B$271,0))</f>
        <v>CYP</v>
      </c>
      <c r="D36" s="352" t="s">
        <v>1209</v>
      </c>
      <c r="E36" s="351">
        <v>22</v>
      </c>
      <c r="F36" s="351">
        <v>312</v>
      </c>
      <c r="G36" s="349">
        <f t="shared" si="0"/>
        <v>334</v>
      </c>
      <c r="H36" s="348">
        <v>1189265</v>
      </c>
      <c r="I36" s="347">
        <f t="shared" si="1"/>
        <v>0.28084573244819283</v>
      </c>
    </row>
    <row r="37" spans="2:9" ht="15" x14ac:dyDescent="0.25">
      <c r="B37" s="352" t="s">
        <v>461</v>
      </c>
      <c r="C37" s="352" t="str">
        <f>INDEX('Tabular Pop Data by Age'!$C$8:$C$271,MATCH('WHO Labs Data'!$B37,'Tabular Pop Data by Age'!$B$8:$B$271,0))</f>
        <v>COD</v>
      </c>
      <c r="D37" s="352" t="s">
        <v>1211</v>
      </c>
      <c r="E37" s="350" t="s">
        <v>1195</v>
      </c>
      <c r="F37" s="351">
        <v>2126</v>
      </c>
      <c r="G37" s="349">
        <f t="shared" si="0"/>
        <v>2126</v>
      </c>
      <c r="H37" s="348">
        <v>84068091</v>
      </c>
      <c r="I37" s="347">
        <f t="shared" si="1"/>
        <v>2.5289024345753253E-2</v>
      </c>
    </row>
    <row r="38" spans="2:9" ht="15" x14ac:dyDescent="0.25">
      <c r="B38" s="352" t="s">
        <v>231</v>
      </c>
      <c r="C38" s="352" t="str">
        <f>INDEX('Tabular Pop Data by Age'!$C$8:$C$271,MATCH('WHO Labs Data'!$B38,'Tabular Pop Data by Age'!$B$8:$B$271,0))</f>
        <v>DJI</v>
      </c>
      <c r="D38" s="352" t="s">
        <v>1204</v>
      </c>
      <c r="E38" s="351">
        <v>3</v>
      </c>
      <c r="F38" s="351">
        <v>56</v>
      </c>
      <c r="G38" s="349">
        <f t="shared" si="0"/>
        <v>59</v>
      </c>
      <c r="H38" s="348">
        <v>958920</v>
      </c>
      <c r="I38" s="347">
        <f t="shared" si="1"/>
        <v>6.1527551829141124E-2</v>
      </c>
    </row>
    <row r="39" spans="2:9" ht="15" x14ac:dyDescent="0.25">
      <c r="B39" s="352" t="s">
        <v>483</v>
      </c>
      <c r="C39" s="352" t="str">
        <f>INDEX('Tabular Pop Data by Age'!$C$8:$C$271,MATCH('WHO Labs Data'!$B39,'Tabular Pop Data by Age'!$B$8:$B$271,0))</f>
        <v>ECU</v>
      </c>
      <c r="D39" s="352" t="s">
        <v>1200</v>
      </c>
      <c r="E39" s="350" t="s">
        <v>1195</v>
      </c>
      <c r="F39" s="351">
        <v>4140</v>
      </c>
      <c r="G39" s="349">
        <f t="shared" ref="G39:G70" si="2">SUM(E39:F39)</f>
        <v>4140</v>
      </c>
      <c r="H39" s="348">
        <v>17084357</v>
      </c>
      <c r="I39" s="347">
        <f t="shared" ref="I39:I70" si="3">IFERROR(G39/H39*1000,0)</f>
        <v>0.24232694271139382</v>
      </c>
    </row>
    <row r="40" spans="2:9" ht="15" x14ac:dyDescent="0.25">
      <c r="B40" s="352" t="s">
        <v>484</v>
      </c>
      <c r="C40" s="352" t="str">
        <f>INDEX('Tabular Pop Data by Age'!$C$8:$C$271,MATCH('WHO Labs Data'!$B40,'Tabular Pop Data by Age'!$B$8:$B$271,0))</f>
        <v>EGY</v>
      </c>
      <c r="D40" s="352" t="s">
        <v>1208</v>
      </c>
      <c r="E40" s="351">
        <v>2122</v>
      </c>
      <c r="F40" s="351">
        <v>14133</v>
      </c>
      <c r="G40" s="349">
        <f t="shared" si="2"/>
        <v>16255</v>
      </c>
      <c r="H40" s="348">
        <v>98423595</v>
      </c>
      <c r="I40" s="347">
        <f t="shared" si="3"/>
        <v>0.1651534878399839</v>
      </c>
    </row>
    <row r="41" spans="2:9" ht="15" x14ac:dyDescent="0.25">
      <c r="B41" s="352" t="s">
        <v>222</v>
      </c>
      <c r="C41" s="352" t="str">
        <f>INDEX('Tabular Pop Data by Age'!$C$8:$C$271,MATCH('WHO Labs Data'!$B41,'Tabular Pop Data by Age'!$B$8:$B$271,0))</f>
        <v>SLV</v>
      </c>
      <c r="D41" s="352" t="s">
        <v>1197</v>
      </c>
      <c r="E41" s="350" t="s">
        <v>1195</v>
      </c>
      <c r="F41" s="351">
        <v>2049</v>
      </c>
      <c r="G41" s="349">
        <f t="shared" si="2"/>
        <v>2049</v>
      </c>
      <c r="H41" s="348">
        <v>6420744</v>
      </c>
      <c r="I41" s="347">
        <f t="shared" si="3"/>
        <v>0.31912189615409053</v>
      </c>
    </row>
    <row r="42" spans="2:9" ht="15" x14ac:dyDescent="0.25">
      <c r="B42" s="352" t="s">
        <v>191</v>
      </c>
      <c r="C42" s="352" t="str">
        <f>INDEX('Tabular Pop Data by Age'!$C$8:$C$271,MATCH('WHO Labs Data'!$B42,'Tabular Pop Data by Age'!$B$8:$B$271,0))</f>
        <v>GNQ</v>
      </c>
      <c r="D42" s="352" t="s">
        <v>1201</v>
      </c>
      <c r="E42" s="351">
        <v>3</v>
      </c>
      <c r="F42" s="351">
        <v>80</v>
      </c>
      <c r="G42" s="349">
        <f t="shared" si="2"/>
        <v>83</v>
      </c>
      <c r="H42" s="348">
        <v>1308974</v>
      </c>
      <c r="I42" s="347">
        <f t="shared" si="3"/>
        <v>6.3408440503783886E-2</v>
      </c>
    </row>
    <row r="43" spans="2:9" ht="15" x14ac:dyDescent="0.25">
      <c r="B43" s="352" t="s">
        <v>192</v>
      </c>
      <c r="C43" s="352" t="str">
        <f>INDEX('Tabular Pop Data by Age'!$C$8:$C$271,MATCH('WHO Labs Data'!$B43,'Tabular Pop Data by Age'!$B$8:$B$271,0))</f>
        <v>ERI</v>
      </c>
      <c r="D43" s="352" t="s">
        <v>1201</v>
      </c>
      <c r="E43" s="351">
        <v>17</v>
      </c>
      <c r="F43" s="351">
        <v>183</v>
      </c>
      <c r="G43" s="349">
        <f t="shared" si="2"/>
        <v>200</v>
      </c>
      <c r="H43" s="348">
        <v>0</v>
      </c>
      <c r="I43" s="347">
        <f t="shared" si="3"/>
        <v>0</v>
      </c>
    </row>
    <row r="44" spans="2:9" ht="15" x14ac:dyDescent="0.25">
      <c r="B44" s="352" t="s">
        <v>486</v>
      </c>
      <c r="C44" s="352" t="str">
        <f>INDEX('Tabular Pop Data by Age'!$C$8:$C$271,MATCH('WHO Labs Data'!$B44,'Tabular Pop Data by Age'!$B$8:$B$271,0))</f>
        <v>SWZ</v>
      </c>
      <c r="D44" s="352" t="s">
        <v>1203</v>
      </c>
      <c r="E44" s="350" t="s">
        <v>1195</v>
      </c>
      <c r="F44" s="351">
        <v>41</v>
      </c>
      <c r="G44" s="349">
        <f t="shared" si="2"/>
        <v>41</v>
      </c>
      <c r="H44" s="348">
        <v>1136191</v>
      </c>
      <c r="I44" s="347">
        <f t="shared" si="3"/>
        <v>3.6085482106441615E-2</v>
      </c>
    </row>
    <row r="45" spans="2:9" ht="15" x14ac:dyDescent="0.25">
      <c r="B45" s="352" t="s">
        <v>194</v>
      </c>
      <c r="C45" s="352" t="str">
        <f>INDEX('Tabular Pop Data by Age'!$C$8:$C$271,MATCH('WHO Labs Data'!$B45,'Tabular Pop Data by Age'!$B$8:$B$271,0))</f>
        <v>ETH</v>
      </c>
      <c r="D45" s="352" t="s">
        <v>1211</v>
      </c>
      <c r="E45" s="350" t="s">
        <v>1195</v>
      </c>
      <c r="F45" s="351">
        <v>2823</v>
      </c>
      <c r="G45" s="349">
        <f t="shared" si="2"/>
        <v>2823</v>
      </c>
      <c r="H45" s="348">
        <v>109224559</v>
      </c>
      <c r="I45" s="347">
        <f t="shared" si="3"/>
        <v>2.5845835642147111E-2</v>
      </c>
    </row>
    <row r="46" spans="2:9" ht="15" x14ac:dyDescent="0.25">
      <c r="B46" s="352" t="s">
        <v>248</v>
      </c>
      <c r="C46" s="352" t="str">
        <f>INDEX('Tabular Pop Data by Age'!$C$8:$C$271,MATCH('WHO Labs Data'!$B46,'Tabular Pop Data by Age'!$B$8:$B$271,0))</f>
        <v>FJI</v>
      </c>
      <c r="D46" s="352" t="s">
        <v>1200</v>
      </c>
      <c r="E46" s="351">
        <v>177</v>
      </c>
      <c r="F46" s="350" t="s">
        <v>1195</v>
      </c>
      <c r="G46" s="349">
        <f t="shared" si="2"/>
        <v>177</v>
      </c>
      <c r="H46" s="348">
        <v>883483</v>
      </c>
      <c r="I46" s="347">
        <f t="shared" si="3"/>
        <v>0.20034341351220114</v>
      </c>
    </row>
    <row r="47" spans="2:9" ht="15" x14ac:dyDescent="0.25">
      <c r="B47" s="352" t="s">
        <v>499</v>
      </c>
      <c r="C47" s="352" t="str">
        <f>INDEX('Tabular Pop Data by Age'!$C$8:$C$271,MATCH('WHO Labs Data'!$B47,'Tabular Pop Data by Age'!$B$8:$B$271,0))</f>
        <v>FIN</v>
      </c>
      <c r="D47" s="352" t="s">
        <v>1214</v>
      </c>
      <c r="E47" s="350" t="s">
        <v>1195</v>
      </c>
      <c r="F47" s="351">
        <v>6822</v>
      </c>
      <c r="G47" s="349">
        <f t="shared" si="2"/>
        <v>6822</v>
      </c>
      <c r="H47" s="348">
        <v>5518050</v>
      </c>
      <c r="I47" s="347">
        <f t="shared" si="3"/>
        <v>1.236306303857341</v>
      </c>
    </row>
    <row r="48" spans="2:9" ht="15" x14ac:dyDescent="0.25">
      <c r="B48" s="352" t="s">
        <v>195</v>
      </c>
      <c r="C48" s="352" t="str">
        <f>INDEX('Tabular Pop Data by Age'!$C$8:$C$271,MATCH('WHO Labs Data'!$B48,'Tabular Pop Data by Age'!$B$8:$B$271,0))</f>
        <v>GAB</v>
      </c>
      <c r="D48" s="352" t="s">
        <v>1197</v>
      </c>
      <c r="E48" s="350" t="s">
        <v>1195</v>
      </c>
      <c r="F48" s="351">
        <v>287</v>
      </c>
      <c r="G48" s="349">
        <f t="shared" si="2"/>
        <v>287</v>
      </c>
      <c r="H48" s="348">
        <v>2119275</v>
      </c>
      <c r="I48" s="347">
        <f t="shared" si="3"/>
        <v>0.1354236708308266</v>
      </c>
    </row>
    <row r="49" spans="2:9" ht="15" x14ac:dyDescent="0.25">
      <c r="B49" s="352" t="s">
        <v>505</v>
      </c>
      <c r="C49" s="352" t="str">
        <f>INDEX('Tabular Pop Data by Age'!$C$8:$C$271,MATCH('WHO Labs Data'!$B49,'Tabular Pop Data by Age'!$B$8:$B$271,0))</f>
        <v>GMB</v>
      </c>
      <c r="D49" s="352" t="s">
        <v>1200</v>
      </c>
      <c r="E49" s="351">
        <v>11</v>
      </c>
      <c r="F49" s="351">
        <v>141</v>
      </c>
      <c r="G49" s="349">
        <f t="shared" si="2"/>
        <v>152</v>
      </c>
      <c r="H49" s="348">
        <v>2280102</v>
      </c>
      <c r="I49" s="347">
        <f t="shared" si="3"/>
        <v>6.6663684343946025E-2</v>
      </c>
    </row>
    <row r="50" spans="2:9" ht="15" x14ac:dyDescent="0.25">
      <c r="B50" s="352" t="s">
        <v>196</v>
      </c>
      <c r="C50" s="352" t="str">
        <f>INDEX('Tabular Pop Data by Age'!$C$8:$C$271,MATCH('WHO Labs Data'!$B50,'Tabular Pop Data by Age'!$B$8:$B$271,0))</f>
        <v>GHA</v>
      </c>
      <c r="D50" s="352" t="s">
        <v>1202</v>
      </c>
      <c r="E50" s="350" t="s">
        <v>1195</v>
      </c>
      <c r="F50" s="351">
        <v>3987</v>
      </c>
      <c r="G50" s="349">
        <f t="shared" si="2"/>
        <v>3987</v>
      </c>
      <c r="H50" s="348">
        <v>29767108</v>
      </c>
      <c r="I50" s="347">
        <f t="shared" si="3"/>
        <v>0.13393978346838398</v>
      </c>
    </row>
    <row r="51" spans="2:9" ht="15" x14ac:dyDescent="0.25">
      <c r="B51" s="352" t="s">
        <v>509</v>
      </c>
      <c r="C51" s="352" t="str">
        <f>INDEX('Tabular Pop Data by Age'!$C$8:$C$271,MATCH('WHO Labs Data'!$B51,'Tabular Pop Data by Age'!$B$8:$B$271,0))</f>
        <v>GRC</v>
      </c>
      <c r="D51" s="352" t="s">
        <v>1203</v>
      </c>
      <c r="E51" s="350" t="s">
        <v>1195</v>
      </c>
      <c r="F51" s="351">
        <v>6190</v>
      </c>
      <c r="G51" s="349">
        <f t="shared" si="2"/>
        <v>6190</v>
      </c>
      <c r="H51" s="348">
        <v>10727668</v>
      </c>
      <c r="I51" s="347">
        <f t="shared" si="3"/>
        <v>0.57701263685639781</v>
      </c>
    </row>
    <row r="52" spans="2:9" ht="15" x14ac:dyDescent="0.25">
      <c r="B52" s="352" t="s">
        <v>512</v>
      </c>
      <c r="C52" s="352" t="str">
        <f>INDEX('Tabular Pop Data by Age'!$C$8:$C$271,MATCH('WHO Labs Data'!$B52,'Tabular Pop Data by Age'!$B$8:$B$271,0))</f>
        <v>GRD</v>
      </c>
      <c r="D52" s="352" t="s">
        <v>1213</v>
      </c>
      <c r="E52" s="350" t="s">
        <v>1195</v>
      </c>
      <c r="F52" s="351">
        <v>13</v>
      </c>
      <c r="G52" s="349">
        <f t="shared" si="2"/>
        <v>13</v>
      </c>
      <c r="H52" s="348">
        <v>111454</v>
      </c>
      <c r="I52" s="347">
        <f t="shared" si="3"/>
        <v>0.11664004880937427</v>
      </c>
    </row>
    <row r="53" spans="2:9" ht="15" x14ac:dyDescent="0.25">
      <c r="B53" s="352" t="s">
        <v>223</v>
      </c>
      <c r="C53" s="352" t="str">
        <f>INDEX('Tabular Pop Data by Age'!$C$8:$C$271,MATCH('WHO Labs Data'!$B53,'Tabular Pop Data by Age'!$B$8:$B$271,0))</f>
        <v>GTM</v>
      </c>
      <c r="D53" s="352" t="s">
        <v>1212</v>
      </c>
      <c r="E53" s="351">
        <v>127</v>
      </c>
      <c r="F53" s="351">
        <v>399</v>
      </c>
      <c r="G53" s="349">
        <f t="shared" si="2"/>
        <v>526</v>
      </c>
      <c r="H53" s="348">
        <v>17247807</v>
      </c>
      <c r="I53" s="347">
        <f t="shared" si="3"/>
        <v>3.0496630673105284E-2</v>
      </c>
    </row>
    <row r="54" spans="2:9" ht="15" x14ac:dyDescent="0.25">
      <c r="B54" s="352" t="s">
        <v>197</v>
      </c>
      <c r="C54" s="352" t="str">
        <f>INDEX('Tabular Pop Data by Age'!$C$8:$C$271,MATCH('WHO Labs Data'!$B54,'Tabular Pop Data by Age'!$B$8:$B$271,0))</f>
        <v>GIN</v>
      </c>
      <c r="D54" s="352" t="s">
        <v>1197</v>
      </c>
      <c r="E54" s="350" t="s">
        <v>1195</v>
      </c>
      <c r="F54" s="351">
        <v>209</v>
      </c>
      <c r="G54" s="349">
        <f t="shared" si="2"/>
        <v>209</v>
      </c>
      <c r="H54" s="348">
        <v>12414318</v>
      </c>
      <c r="I54" s="347">
        <f t="shared" si="3"/>
        <v>1.6835399254312641E-2</v>
      </c>
    </row>
    <row r="55" spans="2:9" ht="15" x14ac:dyDescent="0.25">
      <c r="B55" s="352" t="s">
        <v>198</v>
      </c>
      <c r="C55" s="352" t="str">
        <f>INDEX('Tabular Pop Data by Age'!$C$8:$C$271,MATCH('WHO Labs Data'!$B55,'Tabular Pop Data by Age'!$B$8:$B$271,0))</f>
        <v>GNB</v>
      </c>
      <c r="D55" s="352" t="s">
        <v>1211</v>
      </c>
      <c r="E55" s="350" t="s">
        <v>1195</v>
      </c>
      <c r="F55" s="351">
        <v>207</v>
      </c>
      <c r="G55" s="349">
        <f t="shared" si="2"/>
        <v>207</v>
      </c>
      <c r="H55" s="348">
        <v>1874309</v>
      </c>
      <c r="I55" s="347">
        <f t="shared" si="3"/>
        <v>0.11044070107970458</v>
      </c>
    </row>
    <row r="56" spans="2:9" ht="15" x14ac:dyDescent="0.25">
      <c r="B56" s="352" t="s">
        <v>224</v>
      </c>
      <c r="C56" s="352" t="str">
        <f>INDEX('Tabular Pop Data by Age'!$C$8:$C$271,MATCH('WHO Labs Data'!$B56,'Tabular Pop Data by Age'!$B$8:$B$271,0))</f>
        <v>GUY</v>
      </c>
      <c r="D56" s="352" t="s">
        <v>1212</v>
      </c>
      <c r="E56" s="350" t="s">
        <v>1195</v>
      </c>
      <c r="F56" s="351">
        <v>21</v>
      </c>
      <c r="G56" s="349">
        <f t="shared" si="2"/>
        <v>21</v>
      </c>
      <c r="H56" s="348">
        <v>779004</v>
      </c>
      <c r="I56" s="347">
        <f t="shared" si="3"/>
        <v>2.695749957638215E-2</v>
      </c>
    </row>
    <row r="57" spans="2:9" ht="15" x14ac:dyDescent="0.25">
      <c r="B57" s="352" t="s">
        <v>225</v>
      </c>
      <c r="C57" s="352" t="str">
        <f>INDEX('Tabular Pop Data by Age'!$C$8:$C$271,MATCH('WHO Labs Data'!$B57,'Tabular Pop Data by Age'!$B$8:$B$271,0))</f>
        <v>HTI</v>
      </c>
      <c r="D57" s="352" t="s">
        <v>1212</v>
      </c>
      <c r="E57" s="350" t="s">
        <v>1195</v>
      </c>
      <c r="F57" s="351">
        <v>1731</v>
      </c>
      <c r="G57" s="349">
        <f t="shared" si="2"/>
        <v>1731</v>
      </c>
      <c r="H57" s="348">
        <v>11123176</v>
      </c>
      <c r="I57" s="347">
        <f t="shared" si="3"/>
        <v>0.15562102047113163</v>
      </c>
    </row>
    <row r="58" spans="2:9" ht="15" x14ac:dyDescent="0.25">
      <c r="B58" s="352" t="s">
        <v>522</v>
      </c>
      <c r="C58" s="352" t="str">
        <f>INDEX('Tabular Pop Data by Age'!$C$8:$C$271,MATCH('WHO Labs Data'!$B58,'Tabular Pop Data by Age'!$B$8:$B$271,0))</f>
        <v>ISL</v>
      </c>
      <c r="D58" s="352" t="s">
        <v>1211</v>
      </c>
      <c r="E58" s="351">
        <v>299</v>
      </c>
      <c r="F58" s="350" t="s">
        <v>1195</v>
      </c>
      <c r="G58" s="349">
        <f t="shared" si="2"/>
        <v>299</v>
      </c>
      <c r="H58" s="348">
        <v>353574</v>
      </c>
      <c r="I58" s="347">
        <f t="shared" si="3"/>
        <v>0.84565041547172592</v>
      </c>
    </row>
    <row r="59" spans="2:9" ht="15" x14ac:dyDescent="0.25">
      <c r="B59" s="352" t="s">
        <v>242</v>
      </c>
      <c r="C59" s="352" t="str">
        <f>INDEX('Tabular Pop Data by Age'!$C$8:$C$271,MATCH('WHO Labs Data'!$B59,'Tabular Pop Data by Age'!$B$8:$B$271,0))</f>
        <v>IDN</v>
      </c>
      <c r="D59" s="352" t="s">
        <v>1211</v>
      </c>
      <c r="E59" s="350" t="s">
        <v>1195</v>
      </c>
      <c r="F59" s="351">
        <v>1829</v>
      </c>
      <c r="G59" s="349">
        <f t="shared" si="2"/>
        <v>1829</v>
      </c>
      <c r="H59" s="348">
        <v>267663435</v>
      </c>
      <c r="I59" s="347">
        <f t="shared" si="3"/>
        <v>6.8332082788969666E-3</v>
      </c>
    </row>
    <row r="60" spans="2:9" ht="15.75" customHeight="1" x14ac:dyDescent="0.25">
      <c r="B60" s="352" t="s">
        <v>524</v>
      </c>
      <c r="C60" s="352" t="str">
        <f>INDEX('Tabular Pop Data by Age'!$C$8:$C$271,MATCH('WHO Labs Data'!$B60,'Tabular Pop Data by Age'!$B$8:$B$271,0))</f>
        <v>IRN</v>
      </c>
      <c r="D60" s="352" t="s">
        <v>1206</v>
      </c>
      <c r="E60" s="350" t="s">
        <v>1195</v>
      </c>
      <c r="F60" s="351">
        <v>7930</v>
      </c>
      <c r="G60" s="349">
        <f t="shared" si="2"/>
        <v>7930</v>
      </c>
      <c r="H60" s="348">
        <v>81800269</v>
      </c>
      <c r="I60" s="347">
        <f t="shared" si="3"/>
        <v>9.6943446481820253E-2</v>
      </c>
    </row>
    <row r="61" spans="2:9" ht="15" x14ac:dyDescent="0.25">
      <c r="B61" s="352" t="s">
        <v>531</v>
      </c>
      <c r="C61" s="352" t="str">
        <f>INDEX('Tabular Pop Data by Age'!$C$8:$C$271,MATCH('WHO Labs Data'!$B61,'Tabular Pop Data by Age'!$B$8:$B$271,0))</f>
        <v>JAM</v>
      </c>
      <c r="D61" s="352" t="s">
        <v>1197</v>
      </c>
      <c r="E61" s="350" t="s">
        <v>1195</v>
      </c>
      <c r="F61" s="351">
        <v>130</v>
      </c>
      <c r="G61" s="349">
        <f t="shared" si="2"/>
        <v>130</v>
      </c>
      <c r="H61" s="348">
        <v>2934855</v>
      </c>
      <c r="I61" s="347">
        <f t="shared" si="3"/>
        <v>4.4295203681272162E-2</v>
      </c>
    </row>
    <row r="62" spans="2:9" ht="15" x14ac:dyDescent="0.25">
      <c r="B62" s="352" t="s">
        <v>533</v>
      </c>
      <c r="C62" s="352" t="str">
        <f>INDEX('Tabular Pop Data by Age'!$C$8:$C$271,MATCH('WHO Labs Data'!$B62,'Tabular Pop Data by Age'!$B$8:$B$271,0))</f>
        <v>JOR</v>
      </c>
      <c r="D62" s="352" t="s">
        <v>1201</v>
      </c>
      <c r="E62" s="351">
        <v>2000</v>
      </c>
      <c r="F62" s="351">
        <v>2350</v>
      </c>
      <c r="G62" s="349">
        <f t="shared" si="2"/>
        <v>4350</v>
      </c>
      <c r="H62" s="348">
        <v>9956011</v>
      </c>
      <c r="I62" s="347">
        <f t="shared" si="3"/>
        <v>0.43692197608058086</v>
      </c>
    </row>
    <row r="63" spans="2:9" ht="15" x14ac:dyDescent="0.25">
      <c r="B63" s="352" t="s">
        <v>199</v>
      </c>
      <c r="C63" s="352" t="str">
        <f>INDEX('Tabular Pop Data by Age'!$C$8:$C$271,MATCH('WHO Labs Data'!$B63,'Tabular Pop Data by Age'!$B$8:$B$271,0))</f>
        <v>KEN</v>
      </c>
      <c r="D63" s="352" t="s">
        <v>1201</v>
      </c>
      <c r="E63" s="351">
        <v>6000</v>
      </c>
      <c r="F63" s="350" t="s">
        <v>1195</v>
      </c>
      <c r="G63" s="349">
        <f t="shared" si="2"/>
        <v>6000</v>
      </c>
      <c r="H63" s="348">
        <v>51393010</v>
      </c>
      <c r="I63" s="347">
        <f t="shared" si="3"/>
        <v>0.11674739424680516</v>
      </c>
    </row>
    <row r="64" spans="2:9" ht="15" x14ac:dyDescent="0.25">
      <c r="B64" s="352" t="s">
        <v>249</v>
      </c>
      <c r="C64" s="352" t="str">
        <f>INDEX('Tabular Pop Data by Age'!$C$8:$C$271,MATCH('WHO Labs Data'!$B64,'Tabular Pop Data by Age'!$B$8:$B$271,0))</f>
        <v>KIR</v>
      </c>
      <c r="D64" s="352" t="s">
        <v>1202</v>
      </c>
      <c r="E64" s="350" t="s">
        <v>1195</v>
      </c>
      <c r="F64" s="351">
        <v>20</v>
      </c>
      <c r="G64" s="349">
        <f t="shared" si="2"/>
        <v>20</v>
      </c>
      <c r="H64" s="348">
        <v>115847</v>
      </c>
      <c r="I64" s="347">
        <f t="shared" si="3"/>
        <v>0.17264150129049521</v>
      </c>
    </row>
    <row r="65" spans="2:9" ht="15.75" customHeight="1" x14ac:dyDescent="0.25">
      <c r="B65" s="352" t="s">
        <v>540</v>
      </c>
      <c r="C65" s="352" t="str">
        <f>INDEX('Tabular Pop Data by Age'!$C$8:$C$271,MATCH('WHO Labs Data'!$B65,'Tabular Pop Data by Age'!$B$8:$B$271,0))</f>
        <v>LAO</v>
      </c>
      <c r="D65" s="352" t="s">
        <v>1196</v>
      </c>
      <c r="E65" s="351">
        <v>636</v>
      </c>
      <c r="F65" s="350" t="s">
        <v>1195</v>
      </c>
      <c r="G65" s="349">
        <f t="shared" si="2"/>
        <v>636</v>
      </c>
      <c r="H65" s="348">
        <v>7061507</v>
      </c>
      <c r="I65" s="347">
        <f t="shared" si="3"/>
        <v>9.0065760750502682E-2</v>
      </c>
    </row>
    <row r="66" spans="2:9" ht="15" x14ac:dyDescent="0.25">
      <c r="B66" s="352" t="s">
        <v>552</v>
      </c>
      <c r="C66" s="352" t="str">
        <f>INDEX('Tabular Pop Data by Age'!$C$8:$C$271,MATCH('WHO Labs Data'!$B66,'Tabular Pop Data by Age'!$B$8:$B$271,0))</f>
        <v>LBN</v>
      </c>
      <c r="D66" s="352" t="s">
        <v>1204</v>
      </c>
      <c r="E66" s="351">
        <v>535</v>
      </c>
      <c r="F66" s="350" t="s">
        <v>1195</v>
      </c>
      <c r="G66" s="349">
        <f t="shared" si="2"/>
        <v>535</v>
      </c>
      <c r="H66" s="348">
        <v>6848925</v>
      </c>
      <c r="I66" s="347">
        <f t="shared" si="3"/>
        <v>7.8114448617848789E-2</v>
      </c>
    </row>
    <row r="67" spans="2:9" ht="15" x14ac:dyDescent="0.25">
      <c r="B67" s="352" t="s">
        <v>200</v>
      </c>
      <c r="C67" s="352" t="str">
        <f>INDEX('Tabular Pop Data by Age'!$C$8:$C$271,MATCH('WHO Labs Data'!$B67,'Tabular Pop Data by Age'!$B$8:$B$271,0))</f>
        <v>LSO</v>
      </c>
      <c r="D67" s="352" t="s">
        <v>1213</v>
      </c>
      <c r="E67" s="350" t="s">
        <v>1195</v>
      </c>
      <c r="F67" s="351">
        <v>73</v>
      </c>
      <c r="G67" s="349">
        <f t="shared" si="2"/>
        <v>73</v>
      </c>
      <c r="H67" s="348">
        <v>2108132</v>
      </c>
      <c r="I67" s="347">
        <f t="shared" si="3"/>
        <v>3.4627812679661425E-2</v>
      </c>
    </row>
    <row r="68" spans="2:9" ht="15" x14ac:dyDescent="0.25">
      <c r="B68" s="352" t="s">
        <v>201</v>
      </c>
      <c r="C68" s="352" t="str">
        <f>INDEX('Tabular Pop Data by Age'!$C$8:$C$271,MATCH('WHO Labs Data'!$B68,'Tabular Pop Data by Age'!$B$8:$B$271,0))</f>
        <v>LBR</v>
      </c>
      <c r="D68" s="352" t="s">
        <v>1198</v>
      </c>
      <c r="E68" s="350" t="s">
        <v>1195</v>
      </c>
      <c r="F68" s="351">
        <v>376</v>
      </c>
      <c r="G68" s="349">
        <f t="shared" si="2"/>
        <v>376</v>
      </c>
      <c r="H68" s="348">
        <v>4818977</v>
      </c>
      <c r="I68" s="347">
        <f t="shared" si="3"/>
        <v>7.8024858803019806E-2</v>
      </c>
    </row>
    <row r="69" spans="2:9" ht="15" x14ac:dyDescent="0.25">
      <c r="B69" s="352" t="s">
        <v>203</v>
      </c>
      <c r="C69" s="352" t="str">
        <f>INDEX('Tabular Pop Data by Age'!$C$8:$C$271,MATCH('WHO Labs Data'!$B69,'Tabular Pop Data by Age'!$B$8:$B$271,0))</f>
        <v>MWI</v>
      </c>
      <c r="D69" s="352" t="s">
        <v>1197</v>
      </c>
      <c r="E69" s="350" t="s">
        <v>1195</v>
      </c>
      <c r="F69" s="351">
        <v>397</v>
      </c>
      <c r="G69" s="349">
        <f t="shared" si="2"/>
        <v>397</v>
      </c>
      <c r="H69" s="348">
        <v>18143315</v>
      </c>
      <c r="I69" s="347">
        <f t="shared" si="3"/>
        <v>2.1881337561520591E-2</v>
      </c>
    </row>
    <row r="70" spans="2:9" ht="15" x14ac:dyDescent="0.25">
      <c r="B70" s="352" t="s">
        <v>566</v>
      </c>
      <c r="C70" s="352" t="str">
        <f>INDEX('Tabular Pop Data by Age'!$C$8:$C$271,MATCH('WHO Labs Data'!$B70,'Tabular Pop Data by Age'!$B$8:$B$271,0))</f>
        <v>MYS</v>
      </c>
      <c r="D70" s="352" t="s">
        <v>1200</v>
      </c>
      <c r="E70" s="350" t="s">
        <v>1195</v>
      </c>
      <c r="F70" s="351">
        <v>6324</v>
      </c>
      <c r="G70" s="349">
        <f t="shared" si="2"/>
        <v>6324</v>
      </c>
      <c r="H70" s="348">
        <v>31528585</v>
      </c>
      <c r="I70" s="347">
        <f t="shared" si="3"/>
        <v>0.20057988647444849</v>
      </c>
    </row>
    <row r="71" spans="2:9" ht="15" x14ac:dyDescent="0.25">
      <c r="B71" s="352" t="s">
        <v>243</v>
      </c>
      <c r="C71" s="352" t="str">
        <f>INDEX('Tabular Pop Data by Age'!$C$8:$C$271,MATCH('WHO Labs Data'!$B71,'Tabular Pop Data by Age'!$B$8:$B$271,0))</f>
        <v>MDV</v>
      </c>
      <c r="D71" s="352" t="s">
        <v>1197</v>
      </c>
      <c r="E71" s="351">
        <v>10</v>
      </c>
      <c r="F71" s="351">
        <v>139</v>
      </c>
      <c r="G71" s="349">
        <f t="shared" ref="G71:G102" si="4">SUM(E71:F71)</f>
        <v>149</v>
      </c>
      <c r="H71" s="348">
        <v>515696</v>
      </c>
      <c r="I71" s="347">
        <f t="shared" ref="I71:I102" si="5">IFERROR(G71/H71*1000,0)</f>
        <v>0.28892991219633274</v>
      </c>
    </row>
    <row r="72" spans="2:9" ht="15" x14ac:dyDescent="0.25">
      <c r="B72" s="352" t="s">
        <v>204</v>
      </c>
      <c r="C72" s="352" t="str">
        <f>INDEX('Tabular Pop Data by Age'!$C$8:$C$271,MATCH('WHO Labs Data'!$B72,'Tabular Pop Data by Age'!$B$8:$B$271,0))</f>
        <v>MLI</v>
      </c>
      <c r="D72" s="352" t="s">
        <v>1198</v>
      </c>
      <c r="E72" s="351">
        <v>28</v>
      </c>
      <c r="F72" s="351">
        <v>398</v>
      </c>
      <c r="G72" s="349">
        <f t="shared" si="4"/>
        <v>426</v>
      </c>
      <c r="H72" s="348">
        <v>19077690</v>
      </c>
      <c r="I72" s="347">
        <f t="shared" si="5"/>
        <v>2.2329747469426328E-2</v>
      </c>
    </row>
    <row r="73" spans="2:9" ht="15" x14ac:dyDescent="0.25">
      <c r="B73" s="352" t="s">
        <v>568</v>
      </c>
      <c r="C73" s="352" t="str">
        <f>INDEX('Tabular Pop Data by Age'!$C$8:$C$271,MATCH('WHO Labs Data'!$B73,'Tabular Pop Data by Age'!$B$8:$B$271,0))</f>
        <v>MHL</v>
      </c>
      <c r="D73" s="352" t="s">
        <v>1199</v>
      </c>
      <c r="E73" s="350" t="s">
        <v>1195</v>
      </c>
      <c r="F73" s="351">
        <v>19</v>
      </c>
      <c r="G73" s="349">
        <f t="shared" si="4"/>
        <v>19</v>
      </c>
      <c r="H73" s="348">
        <v>58413</v>
      </c>
      <c r="I73" s="347">
        <f t="shared" si="5"/>
        <v>0.32527005974697415</v>
      </c>
    </row>
    <row r="74" spans="2:9" ht="15" x14ac:dyDescent="0.25">
      <c r="B74" s="352" t="s">
        <v>205</v>
      </c>
      <c r="C74" s="352" t="str">
        <f>INDEX('Tabular Pop Data by Age'!$C$8:$C$271,MATCH('WHO Labs Data'!$B74,'Tabular Pop Data by Age'!$B$8:$B$271,0))</f>
        <v>MRT</v>
      </c>
      <c r="D74" s="352" t="s">
        <v>1211</v>
      </c>
      <c r="E74" s="351">
        <v>70</v>
      </c>
      <c r="F74" s="351">
        <v>41</v>
      </c>
      <c r="G74" s="349">
        <f t="shared" si="4"/>
        <v>111</v>
      </c>
      <c r="H74" s="348">
        <v>4403319</v>
      </c>
      <c r="I74" s="347">
        <f t="shared" si="5"/>
        <v>2.5208257680172617E-2</v>
      </c>
    </row>
    <row r="75" spans="2:9" ht="15" x14ac:dyDescent="0.25">
      <c r="B75" s="352" t="s">
        <v>206</v>
      </c>
      <c r="C75" s="352" t="str">
        <f>INDEX('Tabular Pop Data by Age'!$C$8:$C$271,MATCH('WHO Labs Data'!$B75,'Tabular Pop Data by Age'!$B$8:$B$271,0))</f>
        <v>MUS</v>
      </c>
      <c r="D75" s="352" t="s">
        <v>1203</v>
      </c>
      <c r="E75" s="351">
        <v>1</v>
      </c>
      <c r="F75" s="351">
        <v>361</v>
      </c>
      <c r="G75" s="349">
        <f t="shared" si="4"/>
        <v>362</v>
      </c>
      <c r="H75" s="348">
        <v>1265303</v>
      </c>
      <c r="I75" s="347">
        <f t="shared" si="5"/>
        <v>0.28609748020829795</v>
      </c>
    </row>
    <row r="76" spans="2:9" ht="15" x14ac:dyDescent="0.25">
      <c r="B76" s="352" t="s">
        <v>569</v>
      </c>
      <c r="C76" s="352" t="str">
        <f>INDEX('Tabular Pop Data by Age'!$C$8:$C$271,MATCH('WHO Labs Data'!$B76,'Tabular Pop Data by Age'!$B$8:$B$271,0))</f>
        <v>MEX</v>
      </c>
      <c r="D76" s="352" t="s">
        <v>1198</v>
      </c>
      <c r="E76" s="350" t="s">
        <v>1195</v>
      </c>
      <c r="F76" s="351">
        <v>21674</v>
      </c>
      <c r="G76" s="349">
        <f t="shared" si="4"/>
        <v>21674</v>
      </c>
      <c r="H76" s="348">
        <v>126190788</v>
      </c>
      <c r="I76" s="347">
        <f t="shared" si="5"/>
        <v>0.17175580201622959</v>
      </c>
    </row>
    <row r="77" spans="2:9" ht="15" x14ac:dyDescent="0.25">
      <c r="B77" s="352" t="s">
        <v>570</v>
      </c>
      <c r="C77" s="352" t="str">
        <f>INDEX('Tabular Pop Data by Age'!$C$8:$C$271,MATCH('WHO Labs Data'!$B77,'Tabular Pop Data by Age'!$B$8:$B$271,0))</f>
        <v>FSM</v>
      </c>
      <c r="D77" s="352" t="s">
        <v>1209</v>
      </c>
      <c r="E77" s="350" t="s">
        <v>1195</v>
      </c>
      <c r="F77" s="351">
        <v>33</v>
      </c>
      <c r="G77" s="349">
        <f t="shared" si="4"/>
        <v>33</v>
      </c>
      <c r="H77" s="348">
        <v>112640</v>
      </c>
      <c r="I77" s="347">
        <f t="shared" si="5"/>
        <v>0.29296875</v>
      </c>
    </row>
    <row r="78" spans="2:9" ht="15" x14ac:dyDescent="0.25">
      <c r="B78" s="352" t="s">
        <v>250</v>
      </c>
      <c r="C78" s="352" t="str">
        <f>INDEX('Tabular Pop Data by Age'!$C$8:$C$271,MATCH('WHO Labs Data'!$B78,'Tabular Pop Data by Age'!$B$8:$B$271,0))</f>
        <v>MNG</v>
      </c>
      <c r="D78" s="352" t="s">
        <v>1197</v>
      </c>
      <c r="E78" s="350" t="s">
        <v>1195</v>
      </c>
      <c r="F78" s="351">
        <v>435</v>
      </c>
      <c r="G78" s="349">
        <f t="shared" si="4"/>
        <v>435</v>
      </c>
      <c r="H78" s="348">
        <v>3170208</v>
      </c>
      <c r="I78" s="347">
        <f t="shared" si="5"/>
        <v>0.13721497138358113</v>
      </c>
    </row>
    <row r="79" spans="2:9" ht="15" x14ac:dyDescent="0.25">
      <c r="B79" s="352" t="s">
        <v>583</v>
      </c>
      <c r="C79" s="352" t="str">
        <f>INDEX('Tabular Pop Data by Age'!$C$8:$C$271,MATCH('WHO Labs Data'!$B79,'Tabular Pop Data by Age'!$B$8:$B$271,0))</f>
        <v>MAR</v>
      </c>
      <c r="D79" s="352" t="s">
        <v>1208</v>
      </c>
      <c r="E79" s="351">
        <v>595</v>
      </c>
      <c r="F79" s="350" t="s">
        <v>1195</v>
      </c>
      <c r="G79" s="349">
        <f t="shared" si="4"/>
        <v>595</v>
      </c>
      <c r="H79" s="348">
        <v>36029138</v>
      </c>
      <c r="I79" s="347">
        <f t="shared" si="5"/>
        <v>1.6514411196848509E-2</v>
      </c>
    </row>
    <row r="80" spans="2:9" ht="15" x14ac:dyDescent="0.25">
      <c r="B80" s="352" t="s">
        <v>207</v>
      </c>
      <c r="C80" s="352" t="str">
        <f>INDEX('Tabular Pop Data by Age'!$C$8:$C$271,MATCH('WHO Labs Data'!$B80,'Tabular Pop Data by Age'!$B$8:$B$271,0))</f>
        <v>MOZ</v>
      </c>
      <c r="D80" s="352" t="s">
        <v>1208</v>
      </c>
      <c r="E80" s="350" t="s">
        <v>1195</v>
      </c>
      <c r="F80" s="351">
        <v>1955</v>
      </c>
      <c r="G80" s="349">
        <f t="shared" si="4"/>
        <v>1955</v>
      </c>
      <c r="H80" s="348">
        <v>29495962</v>
      </c>
      <c r="I80" s="347">
        <f t="shared" si="5"/>
        <v>6.6280258972397643E-2</v>
      </c>
    </row>
    <row r="81" spans="2:9" ht="15" x14ac:dyDescent="0.25">
      <c r="B81" s="352" t="s">
        <v>244</v>
      </c>
      <c r="C81" s="352" t="str">
        <f>INDEX('Tabular Pop Data by Age'!$C$8:$C$271,MATCH('WHO Labs Data'!$B81,'Tabular Pop Data by Age'!$B$8:$B$271,0))</f>
        <v>MMR</v>
      </c>
      <c r="D81" s="352" t="s">
        <v>1200</v>
      </c>
      <c r="E81" s="350" t="s">
        <v>1195</v>
      </c>
      <c r="F81" s="351">
        <v>4258</v>
      </c>
      <c r="G81" s="349">
        <f t="shared" si="4"/>
        <v>4258</v>
      </c>
      <c r="H81" s="348">
        <v>53708395</v>
      </c>
      <c r="I81" s="347">
        <f t="shared" si="5"/>
        <v>7.9279971036185309E-2</v>
      </c>
    </row>
    <row r="82" spans="2:9" ht="15" x14ac:dyDescent="0.25">
      <c r="B82" s="352" t="s">
        <v>208</v>
      </c>
      <c r="C82" s="352" t="str">
        <f>INDEX('Tabular Pop Data by Age'!$C$8:$C$271,MATCH('WHO Labs Data'!$B82,'Tabular Pop Data by Age'!$B$8:$B$271,0))</f>
        <v>NAM</v>
      </c>
      <c r="D82" s="352" t="s">
        <v>1201</v>
      </c>
      <c r="E82" s="350" t="s">
        <v>1195</v>
      </c>
      <c r="F82" s="351">
        <v>160</v>
      </c>
      <c r="G82" s="349">
        <f t="shared" si="4"/>
        <v>160</v>
      </c>
      <c r="H82" s="348">
        <v>2448255</v>
      </c>
      <c r="I82" s="347">
        <f t="shared" si="5"/>
        <v>6.5352669554437748E-2</v>
      </c>
    </row>
    <row r="83" spans="2:9" ht="15" x14ac:dyDescent="0.25">
      <c r="B83" s="352" t="s">
        <v>251</v>
      </c>
      <c r="C83" s="352" t="str">
        <f>INDEX('Tabular Pop Data by Age'!$C$8:$C$271,MATCH('WHO Labs Data'!$B83,'Tabular Pop Data by Age'!$B$8:$B$271,0))</f>
        <v>NRU</v>
      </c>
      <c r="D83" s="352" t="s">
        <v>1200</v>
      </c>
      <c r="E83" s="351">
        <v>4</v>
      </c>
      <c r="F83" s="351">
        <v>3</v>
      </c>
      <c r="G83" s="349">
        <f t="shared" si="4"/>
        <v>7</v>
      </c>
      <c r="H83" s="348">
        <v>12704</v>
      </c>
      <c r="I83" s="347">
        <f t="shared" si="5"/>
        <v>0.55100755667506296</v>
      </c>
    </row>
    <row r="84" spans="2:9" ht="15" x14ac:dyDescent="0.25">
      <c r="B84" s="352" t="s">
        <v>179</v>
      </c>
      <c r="C84" s="352" t="str">
        <f>INDEX('Tabular Pop Data by Age'!$C$8:$C$271,MATCH('WHO Labs Data'!$B84,'Tabular Pop Data by Age'!$B$8:$B$271,0))</f>
        <v>NPL</v>
      </c>
      <c r="D84" s="352" t="s">
        <v>1201</v>
      </c>
      <c r="E84" s="350" t="s">
        <v>1195</v>
      </c>
      <c r="F84" s="351">
        <v>3104</v>
      </c>
      <c r="G84" s="349">
        <f t="shared" si="4"/>
        <v>3104</v>
      </c>
      <c r="H84" s="348">
        <v>28087871</v>
      </c>
      <c r="I84" s="347">
        <f t="shared" si="5"/>
        <v>0.11051033380208845</v>
      </c>
    </row>
    <row r="85" spans="2:9" ht="15" x14ac:dyDescent="0.25">
      <c r="B85" s="352" t="s">
        <v>587</v>
      </c>
      <c r="C85" s="352" t="str">
        <f>INDEX('Tabular Pop Data by Age'!$C$8:$C$271,MATCH('WHO Labs Data'!$B85,'Tabular Pop Data by Age'!$B$8:$B$271,0))</f>
        <v>NZL</v>
      </c>
      <c r="D85" s="352" t="s">
        <v>1202</v>
      </c>
      <c r="E85" s="351">
        <v>3232</v>
      </c>
      <c r="F85" s="350" t="s">
        <v>1195</v>
      </c>
      <c r="G85" s="349">
        <f t="shared" si="4"/>
        <v>3232</v>
      </c>
      <c r="H85" s="348">
        <v>4885500</v>
      </c>
      <c r="I85" s="347">
        <f t="shared" si="5"/>
        <v>0.66154948316446638</v>
      </c>
    </row>
    <row r="86" spans="2:9" ht="15" x14ac:dyDescent="0.25">
      <c r="B86" s="352" t="s">
        <v>227</v>
      </c>
      <c r="C86" s="352" t="str">
        <f>INDEX('Tabular Pop Data by Age'!$C$8:$C$271,MATCH('WHO Labs Data'!$B86,'Tabular Pop Data by Age'!$B$8:$B$271,0))</f>
        <v>NIC</v>
      </c>
      <c r="D86" s="352" t="s">
        <v>1212</v>
      </c>
      <c r="E86" s="350" t="s">
        <v>1195</v>
      </c>
      <c r="F86" s="351">
        <v>1270</v>
      </c>
      <c r="G86" s="349">
        <f t="shared" si="4"/>
        <v>1270</v>
      </c>
      <c r="H86" s="348">
        <v>6465513</v>
      </c>
      <c r="I86" s="347">
        <f t="shared" si="5"/>
        <v>0.19642679552264453</v>
      </c>
    </row>
    <row r="87" spans="2:9" ht="15" x14ac:dyDescent="0.25">
      <c r="B87" s="352" t="s">
        <v>209</v>
      </c>
      <c r="C87" s="352" t="str">
        <f>INDEX('Tabular Pop Data by Age'!$C$8:$C$271,MATCH('WHO Labs Data'!$B87,'Tabular Pop Data by Age'!$B$8:$B$271,0))</f>
        <v>NER</v>
      </c>
      <c r="D87" s="352" t="s">
        <v>1211</v>
      </c>
      <c r="E87" s="351">
        <v>369</v>
      </c>
      <c r="F87" s="350" t="s">
        <v>1195</v>
      </c>
      <c r="G87" s="349">
        <f t="shared" si="4"/>
        <v>369</v>
      </c>
      <c r="H87" s="348">
        <v>22442948</v>
      </c>
      <c r="I87" s="347">
        <f t="shared" si="5"/>
        <v>1.6441690280617323E-2</v>
      </c>
    </row>
    <row r="88" spans="2:9" ht="15" x14ac:dyDescent="0.25">
      <c r="B88" s="352" t="s">
        <v>177</v>
      </c>
      <c r="C88" s="352" t="str">
        <f>INDEX('Tabular Pop Data by Age'!$C$8:$C$271,MATCH('WHO Labs Data'!$B88,'Tabular Pop Data by Age'!$B$8:$B$271,0))</f>
        <v>NGA</v>
      </c>
      <c r="D88" s="352" t="s">
        <v>1209</v>
      </c>
      <c r="E88" s="351">
        <v>12703</v>
      </c>
      <c r="F88" s="351">
        <v>9980</v>
      </c>
      <c r="G88" s="349">
        <f t="shared" si="4"/>
        <v>22683</v>
      </c>
      <c r="H88" s="348">
        <v>195874740</v>
      </c>
      <c r="I88" s="347">
        <f t="shared" si="5"/>
        <v>0.11580359979035582</v>
      </c>
    </row>
    <row r="89" spans="2:9" ht="15" x14ac:dyDescent="0.25">
      <c r="B89" s="352" t="s">
        <v>1210</v>
      </c>
      <c r="C89" s="352" t="e">
        <f>INDEX('Tabular Pop Data by Age'!$C$8:$C$271,MATCH('WHO Labs Data'!$B89,'Tabular Pop Data by Age'!$B$8:$B$271,0))</f>
        <v>#N/A</v>
      </c>
      <c r="D89" s="352" t="s">
        <v>1209</v>
      </c>
      <c r="E89" s="350" t="s">
        <v>1195</v>
      </c>
      <c r="F89" s="351">
        <v>1</v>
      </c>
      <c r="G89" s="349">
        <f t="shared" si="4"/>
        <v>1</v>
      </c>
      <c r="H89" s="348" t="e">
        <v>#N/A</v>
      </c>
      <c r="I89" s="347">
        <f t="shared" si="5"/>
        <v>0</v>
      </c>
    </row>
    <row r="90" spans="2:9" ht="15" x14ac:dyDescent="0.25">
      <c r="B90" s="352" t="s">
        <v>599</v>
      </c>
      <c r="C90" s="352" t="str">
        <f>INDEX('Tabular Pop Data by Age'!$C$8:$C$271,MATCH('WHO Labs Data'!$B90,'Tabular Pop Data by Age'!$B$8:$B$271,0))</f>
        <v>OMN</v>
      </c>
      <c r="D90" s="352" t="s">
        <v>1208</v>
      </c>
      <c r="E90" s="350" t="s">
        <v>1195</v>
      </c>
      <c r="F90" s="351">
        <v>2387</v>
      </c>
      <c r="G90" s="349">
        <f t="shared" si="4"/>
        <v>2387</v>
      </c>
      <c r="H90" s="348">
        <v>4829483</v>
      </c>
      <c r="I90" s="347">
        <f t="shared" si="5"/>
        <v>0.49425580336445946</v>
      </c>
    </row>
    <row r="91" spans="2:9" ht="15" x14ac:dyDescent="0.25">
      <c r="B91" s="352" t="s">
        <v>176</v>
      </c>
      <c r="C91" s="352" t="str">
        <f>INDEX('Tabular Pop Data by Age'!$C$8:$C$271,MATCH('WHO Labs Data'!$B91,'Tabular Pop Data by Age'!$B$8:$B$271,0))</f>
        <v>PAK</v>
      </c>
      <c r="D91" s="352" t="s">
        <v>1200</v>
      </c>
      <c r="E91" s="350" t="s">
        <v>1195</v>
      </c>
      <c r="F91" s="351">
        <v>37613</v>
      </c>
      <c r="G91" s="349">
        <f t="shared" si="4"/>
        <v>37613</v>
      </c>
      <c r="H91" s="348">
        <v>212215030</v>
      </c>
      <c r="I91" s="347">
        <f t="shared" si="5"/>
        <v>0.17724003808778294</v>
      </c>
    </row>
    <row r="92" spans="2:9" ht="15" x14ac:dyDescent="0.25">
      <c r="B92" s="352" t="s">
        <v>604</v>
      </c>
      <c r="C92" s="352" t="str">
        <f>INDEX('Tabular Pop Data by Age'!$C$8:$C$271,MATCH('WHO Labs Data'!$B92,'Tabular Pop Data by Age'!$B$8:$B$271,0))</f>
        <v>PLW</v>
      </c>
      <c r="D92" s="352" t="s">
        <v>1207</v>
      </c>
      <c r="E92" s="350" t="s">
        <v>1195</v>
      </c>
      <c r="F92" s="351">
        <v>13</v>
      </c>
      <c r="G92" s="349">
        <f t="shared" si="4"/>
        <v>13</v>
      </c>
      <c r="H92" s="348">
        <v>17907</v>
      </c>
      <c r="I92" s="347">
        <f t="shared" si="5"/>
        <v>0.72597308315184006</v>
      </c>
    </row>
    <row r="93" spans="2:9" ht="15" x14ac:dyDescent="0.25">
      <c r="B93" s="352" t="s">
        <v>228</v>
      </c>
      <c r="C93" s="352" t="str">
        <f>INDEX('Tabular Pop Data by Age'!$C$8:$C$271,MATCH('WHO Labs Data'!$B93,'Tabular Pop Data by Age'!$B$8:$B$271,0))</f>
        <v>PRY</v>
      </c>
      <c r="D93" s="352" t="s">
        <v>1199</v>
      </c>
      <c r="E93" s="351">
        <v>1395</v>
      </c>
      <c r="F93" s="350" t="s">
        <v>1195</v>
      </c>
      <c r="G93" s="349">
        <f t="shared" si="4"/>
        <v>1395</v>
      </c>
      <c r="H93" s="348">
        <v>6956071</v>
      </c>
      <c r="I93" s="347">
        <f t="shared" si="5"/>
        <v>0.20054424401361057</v>
      </c>
    </row>
    <row r="94" spans="2:9" ht="15" x14ac:dyDescent="0.25">
      <c r="B94" s="352" t="s">
        <v>607</v>
      </c>
      <c r="C94" s="352" t="str">
        <f>INDEX('Tabular Pop Data by Age'!$C$8:$C$271,MATCH('WHO Labs Data'!$B94,'Tabular Pop Data by Age'!$B$8:$B$271,0))</f>
        <v>PER</v>
      </c>
      <c r="D94" s="352" t="s">
        <v>1199</v>
      </c>
      <c r="E94" s="351">
        <v>1512</v>
      </c>
      <c r="F94" s="350" t="s">
        <v>1195</v>
      </c>
      <c r="G94" s="349">
        <f t="shared" si="4"/>
        <v>1512</v>
      </c>
      <c r="H94" s="348">
        <v>31989256</v>
      </c>
      <c r="I94" s="347">
        <f t="shared" si="5"/>
        <v>4.7265869515689896E-2</v>
      </c>
    </row>
    <row r="95" spans="2:9" ht="15" x14ac:dyDescent="0.25">
      <c r="B95" s="352" t="s">
        <v>616</v>
      </c>
      <c r="C95" s="352" t="str">
        <f>INDEX('Tabular Pop Data by Age'!$C$8:$C$271,MATCH('WHO Labs Data'!$B95,'Tabular Pop Data by Age'!$B$8:$B$271,0))</f>
        <v>QAT</v>
      </c>
      <c r="D95" s="352" t="s">
        <v>1206</v>
      </c>
      <c r="E95" s="351">
        <v>504</v>
      </c>
      <c r="F95" s="350" t="s">
        <v>1195</v>
      </c>
      <c r="G95" s="349">
        <f t="shared" si="4"/>
        <v>504</v>
      </c>
      <c r="H95" s="348">
        <v>2781677</v>
      </c>
      <c r="I95" s="347">
        <f t="shared" si="5"/>
        <v>0.18118566605684266</v>
      </c>
    </row>
    <row r="96" spans="2:9" ht="15" x14ac:dyDescent="0.25">
      <c r="B96" s="352" t="s">
        <v>536</v>
      </c>
      <c r="C96" s="352" t="str">
        <f>INDEX('Tabular Pop Data by Age'!$C$8:$C$271,MATCH('WHO Labs Data'!$B96,'Tabular Pop Data by Age'!$B$8:$B$271,0))</f>
        <v>KOR</v>
      </c>
      <c r="D96" s="352" t="s">
        <v>1201</v>
      </c>
      <c r="E96" s="350" t="s">
        <v>1195</v>
      </c>
      <c r="F96" s="351">
        <v>35220</v>
      </c>
      <c r="G96" s="349">
        <f t="shared" si="4"/>
        <v>35220</v>
      </c>
      <c r="H96" s="348">
        <v>51635256</v>
      </c>
      <c r="I96" s="347">
        <f t="shared" si="5"/>
        <v>0.68209209614454125</v>
      </c>
    </row>
    <row r="97" spans="2:9" ht="15" x14ac:dyDescent="0.25">
      <c r="B97" s="352" t="s">
        <v>580</v>
      </c>
      <c r="C97" s="352" t="str">
        <f>INDEX('Tabular Pop Data by Age'!$C$8:$C$271,MATCH('WHO Labs Data'!$B97,'Tabular Pop Data by Age'!$B$8:$B$271,0))</f>
        <v>MDA</v>
      </c>
      <c r="D97" s="352" t="s">
        <v>1200</v>
      </c>
      <c r="E97" s="350" t="s">
        <v>1195</v>
      </c>
      <c r="F97" s="351">
        <v>17776</v>
      </c>
      <c r="G97" s="349">
        <f t="shared" si="4"/>
        <v>17776</v>
      </c>
      <c r="H97" s="348">
        <v>3545883</v>
      </c>
      <c r="I97" s="347">
        <f t="shared" si="5"/>
        <v>5.0131377713252245</v>
      </c>
    </row>
    <row r="98" spans="2:9" ht="15" x14ac:dyDescent="0.25">
      <c r="B98" s="352" t="s">
        <v>617</v>
      </c>
      <c r="C98" s="352" t="str">
        <f>INDEX('Tabular Pop Data by Age'!$C$8:$C$271,MATCH('WHO Labs Data'!$B98,'Tabular Pop Data by Age'!$B$8:$B$271,0))</f>
        <v>ROU</v>
      </c>
      <c r="D98" s="352" t="s">
        <v>1203</v>
      </c>
      <c r="E98" s="350" t="s">
        <v>1195</v>
      </c>
      <c r="F98" s="351">
        <v>460</v>
      </c>
      <c r="G98" s="349">
        <f t="shared" si="4"/>
        <v>460</v>
      </c>
      <c r="H98" s="348">
        <v>19473936</v>
      </c>
      <c r="I98" s="347">
        <f t="shared" si="5"/>
        <v>2.362131620438724E-2</v>
      </c>
    </row>
    <row r="99" spans="2:9" ht="15" x14ac:dyDescent="0.25">
      <c r="B99" s="352" t="s">
        <v>210</v>
      </c>
      <c r="C99" s="352" t="str">
        <f>INDEX('Tabular Pop Data by Age'!$C$8:$C$271,MATCH('WHO Labs Data'!$B99,'Tabular Pop Data by Age'!$B$8:$B$271,0))</f>
        <v>RWA</v>
      </c>
      <c r="D99" s="352" t="s">
        <v>1200</v>
      </c>
      <c r="E99" s="350" t="s">
        <v>1195</v>
      </c>
      <c r="F99" s="351">
        <v>1545</v>
      </c>
      <c r="G99" s="349">
        <f t="shared" si="4"/>
        <v>1545</v>
      </c>
      <c r="H99" s="348">
        <v>12301939</v>
      </c>
      <c r="I99" s="347">
        <f t="shared" si="5"/>
        <v>0.12558995781071586</v>
      </c>
    </row>
    <row r="100" spans="2:9" ht="30" x14ac:dyDescent="0.25">
      <c r="B100" s="352" t="s">
        <v>642</v>
      </c>
      <c r="C100" s="352" t="str">
        <f>INDEX('Tabular Pop Data by Age'!$C$8:$C$271,MATCH('WHO Labs Data'!$B100,'Tabular Pop Data by Age'!$B$8:$B$271,0))</f>
        <v>VCT</v>
      </c>
      <c r="D100" s="352" t="s">
        <v>1201</v>
      </c>
      <c r="E100" s="350" t="s">
        <v>1195</v>
      </c>
      <c r="F100" s="351">
        <v>13</v>
      </c>
      <c r="G100" s="349">
        <f t="shared" si="4"/>
        <v>13</v>
      </c>
      <c r="H100" s="348">
        <v>110210</v>
      </c>
      <c r="I100" s="347">
        <f t="shared" si="5"/>
        <v>0.11795662825514926</v>
      </c>
    </row>
    <row r="101" spans="2:9" ht="15" x14ac:dyDescent="0.25">
      <c r="B101" s="352" t="s">
        <v>254</v>
      </c>
      <c r="C101" s="352" t="str">
        <f>INDEX('Tabular Pop Data by Age'!$C$8:$C$271,MATCH('WHO Labs Data'!$B101,'Tabular Pop Data by Age'!$B$8:$B$271,0))</f>
        <v>WSM</v>
      </c>
      <c r="D101" s="352" t="s">
        <v>1196</v>
      </c>
      <c r="E101" s="351">
        <v>37</v>
      </c>
      <c r="F101" s="350" t="s">
        <v>1195</v>
      </c>
      <c r="G101" s="349">
        <f t="shared" si="4"/>
        <v>37</v>
      </c>
      <c r="H101" s="348">
        <v>196130</v>
      </c>
      <c r="I101" s="347">
        <f t="shared" si="5"/>
        <v>0.18865038494875846</v>
      </c>
    </row>
    <row r="102" spans="2:9" ht="30" x14ac:dyDescent="0.25">
      <c r="B102" s="352" t="s">
        <v>1205</v>
      </c>
      <c r="C102" s="352" t="str">
        <f>'Tabular Pop Data by Age'!C173</f>
        <v>STP</v>
      </c>
      <c r="D102" s="352" t="s">
        <v>1201</v>
      </c>
      <c r="E102" s="350" t="s">
        <v>1195</v>
      </c>
      <c r="F102" s="351">
        <v>44</v>
      </c>
      <c r="G102" s="349">
        <f t="shared" si="4"/>
        <v>44</v>
      </c>
      <c r="H102" s="348" t="e">
        <v>#N/A</v>
      </c>
      <c r="I102" s="347">
        <f t="shared" si="5"/>
        <v>0</v>
      </c>
    </row>
    <row r="103" spans="2:9" ht="15" x14ac:dyDescent="0.25">
      <c r="B103" s="352" t="s">
        <v>212</v>
      </c>
      <c r="C103" s="352" t="str">
        <f>INDEX('Tabular Pop Data by Age'!$C$8:$C$271,MATCH('WHO Labs Data'!$B103,'Tabular Pop Data by Age'!$B$8:$B$271,0))</f>
        <v>SEN</v>
      </c>
      <c r="D103" s="352" t="s">
        <v>1197</v>
      </c>
      <c r="E103" s="350" t="s">
        <v>1195</v>
      </c>
      <c r="F103" s="351">
        <v>37</v>
      </c>
      <c r="G103" s="349">
        <f t="shared" ref="G103:G126" si="6">SUM(E103:F103)</f>
        <v>37</v>
      </c>
      <c r="H103" s="348">
        <v>15854360</v>
      </c>
      <c r="I103" s="347">
        <f t="shared" ref="I103:I126" si="7">IFERROR(G103/H103*1000,0)</f>
        <v>2.3337428946989974E-3</v>
      </c>
    </row>
    <row r="104" spans="2:9" ht="15" x14ac:dyDescent="0.25">
      <c r="B104" s="352" t="s">
        <v>621</v>
      </c>
      <c r="C104" s="352" t="str">
        <f>INDEX('Tabular Pop Data by Age'!$C$8:$C$271,MATCH('WHO Labs Data'!$B104,'Tabular Pop Data by Age'!$B$8:$B$271,0))</f>
        <v>SRB</v>
      </c>
      <c r="D104" s="352" t="s">
        <v>1197</v>
      </c>
      <c r="E104" s="350" t="s">
        <v>1195</v>
      </c>
      <c r="F104" s="351">
        <v>5652</v>
      </c>
      <c r="G104" s="349">
        <f t="shared" si="6"/>
        <v>5652</v>
      </c>
      <c r="H104" s="348">
        <v>6982084</v>
      </c>
      <c r="I104" s="347">
        <f t="shared" si="7"/>
        <v>0.80950042995758864</v>
      </c>
    </row>
    <row r="105" spans="2:9" ht="15" x14ac:dyDescent="0.25">
      <c r="B105" s="352" t="s">
        <v>213</v>
      </c>
      <c r="C105" s="352" t="str">
        <f>INDEX('Tabular Pop Data by Age'!$C$8:$C$271,MATCH('WHO Labs Data'!$B105,'Tabular Pop Data by Age'!$B$8:$B$271,0))</f>
        <v>SYC</v>
      </c>
      <c r="D105" s="352" t="s">
        <v>1201</v>
      </c>
      <c r="E105" s="350" t="s">
        <v>1195</v>
      </c>
      <c r="F105" s="351">
        <v>46</v>
      </c>
      <c r="G105" s="349">
        <f t="shared" si="6"/>
        <v>46</v>
      </c>
      <c r="H105" s="348">
        <v>96762</v>
      </c>
      <c r="I105" s="347">
        <f t="shared" si="7"/>
        <v>0.47539323288067631</v>
      </c>
    </row>
    <row r="106" spans="2:9" ht="15" x14ac:dyDescent="0.25">
      <c r="B106" s="352" t="s">
        <v>214</v>
      </c>
      <c r="C106" s="352" t="str">
        <f>INDEX('Tabular Pop Data by Age'!$C$8:$C$271,MATCH('WHO Labs Data'!$B106,'Tabular Pop Data by Age'!$B$8:$B$271,0))</f>
        <v>SLE</v>
      </c>
      <c r="D106" s="352" t="s">
        <v>1203</v>
      </c>
      <c r="E106" s="351">
        <v>183</v>
      </c>
      <c r="F106" s="351">
        <v>78</v>
      </c>
      <c r="G106" s="349">
        <f t="shared" si="6"/>
        <v>261</v>
      </c>
      <c r="H106" s="348">
        <v>7650154</v>
      </c>
      <c r="I106" s="347">
        <f t="shared" si="7"/>
        <v>3.4116960259884963E-2</v>
      </c>
    </row>
    <row r="107" spans="2:9" ht="15" x14ac:dyDescent="0.25">
      <c r="B107" s="352" t="s">
        <v>625</v>
      </c>
      <c r="C107" s="352" t="str">
        <f>INDEX('Tabular Pop Data by Age'!$C$8:$C$271,MATCH('WHO Labs Data'!$B107,'Tabular Pop Data by Age'!$B$8:$B$271,0))</f>
        <v>SVK</v>
      </c>
      <c r="D107" s="352" t="s">
        <v>1200</v>
      </c>
      <c r="E107" s="350" t="s">
        <v>1195</v>
      </c>
      <c r="F107" s="351">
        <v>3147</v>
      </c>
      <c r="G107" s="349">
        <f t="shared" si="6"/>
        <v>3147</v>
      </c>
      <c r="H107" s="348">
        <v>5447011</v>
      </c>
      <c r="I107" s="347">
        <f t="shared" si="7"/>
        <v>0.57774805301476351</v>
      </c>
    </row>
    <row r="108" spans="2:9" ht="15" x14ac:dyDescent="0.25">
      <c r="B108" s="352" t="s">
        <v>255</v>
      </c>
      <c r="C108" s="352" t="str">
        <f>INDEX('Tabular Pop Data by Age'!$C$8:$C$271,MATCH('WHO Labs Data'!$B108,'Tabular Pop Data by Age'!$B$8:$B$271,0))</f>
        <v>SLB</v>
      </c>
      <c r="D108" s="352" t="s">
        <v>1202</v>
      </c>
      <c r="E108" s="350" t="s">
        <v>1195</v>
      </c>
      <c r="F108" s="351">
        <v>42</v>
      </c>
      <c r="G108" s="349">
        <f t="shared" si="6"/>
        <v>42</v>
      </c>
      <c r="H108" s="348">
        <v>652858</v>
      </c>
      <c r="I108" s="347">
        <f t="shared" si="7"/>
        <v>6.4332519475904404E-2</v>
      </c>
    </row>
    <row r="109" spans="2:9" ht="15" x14ac:dyDescent="0.25">
      <c r="B109" s="352" t="s">
        <v>232</v>
      </c>
      <c r="C109" s="352" t="str">
        <f>INDEX('Tabular Pop Data by Age'!$C$8:$C$271,MATCH('WHO Labs Data'!$B109,'Tabular Pop Data by Age'!$B$8:$B$271,0))</f>
        <v>SOM</v>
      </c>
      <c r="D109" s="352" t="s">
        <v>1204</v>
      </c>
      <c r="E109" s="350" t="s">
        <v>1195</v>
      </c>
      <c r="F109" s="351">
        <v>149</v>
      </c>
      <c r="G109" s="349">
        <f t="shared" si="6"/>
        <v>149</v>
      </c>
      <c r="H109" s="348">
        <v>15008154</v>
      </c>
      <c r="I109" s="347">
        <f t="shared" si="7"/>
        <v>9.9279365070481015E-3</v>
      </c>
    </row>
    <row r="110" spans="2:9" ht="15" x14ac:dyDescent="0.25">
      <c r="B110" s="352" t="s">
        <v>178</v>
      </c>
      <c r="C110" s="352" t="str">
        <f>INDEX('Tabular Pop Data by Age'!$C$8:$C$271,MATCH('WHO Labs Data'!$B110,'Tabular Pop Data by Age'!$B$8:$B$271,0))</f>
        <v>ZAF</v>
      </c>
      <c r="D110" s="352" t="s">
        <v>1200</v>
      </c>
      <c r="E110" s="351">
        <v>149</v>
      </c>
      <c r="F110" s="351">
        <v>453</v>
      </c>
      <c r="G110" s="349">
        <f t="shared" si="6"/>
        <v>602</v>
      </c>
      <c r="H110" s="348">
        <v>57779622</v>
      </c>
      <c r="I110" s="347">
        <f t="shared" si="7"/>
        <v>1.0418898206014569E-2</v>
      </c>
    </row>
    <row r="111" spans="2:9" ht="15" x14ac:dyDescent="0.25">
      <c r="B111" s="352" t="s">
        <v>245</v>
      </c>
      <c r="C111" s="352" t="str">
        <f>INDEX('Tabular Pop Data by Age'!$C$8:$C$271,MATCH('WHO Labs Data'!$B111,'Tabular Pop Data by Age'!$B$8:$B$271,0))</f>
        <v>LKA</v>
      </c>
      <c r="D111" s="352" t="s">
        <v>1200</v>
      </c>
      <c r="E111" s="350" t="s">
        <v>1195</v>
      </c>
      <c r="F111" s="351">
        <v>1799</v>
      </c>
      <c r="G111" s="349">
        <f t="shared" si="6"/>
        <v>1799</v>
      </c>
      <c r="H111" s="348">
        <v>21670000</v>
      </c>
      <c r="I111" s="347">
        <f t="shared" si="7"/>
        <v>8.3017997231195198E-2</v>
      </c>
    </row>
    <row r="112" spans="2:9" ht="15" x14ac:dyDescent="0.25">
      <c r="B112" s="352" t="s">
        <v>233</v>
      </c>
      <c r="C112" s="352" t="str">
        <f>INDEX('Tabular Pop Data by Age'!$C$8:$C$271,MATCH('WHO Labs Data'!$B112,'Tabular Pop Data by Age'!$B$8:$B$271,0))</f>
        <v>SDN</v>
      </c>
      <c r="D112" s="352" t="s">
        <v>1201</v>
      </c>
      <c r="E112" s="351">
        <v>35</v>
      </c>
      <c r="F112" s="351">
        <v>2416</v>
      </c>
      <c r="G112" s="349">
        <f t="shared" si="6"/>
        <v>2451</v>
      </c>
      <c r="H112" s="348">
        <v>41801533</v>
      </c>
      <c r="I112" s="347">
        <f t="shared" si="7"/>
        <v>5.8634213247633765E-2</v>
      </c>
    </row>
    <row r="113" spans="2:9" ht="15" x14ac:dyDescent="0.25">
      <c r="B113" s="352" t="s">
        <v>654</v>
      </c>
      <c r="C113" s="352" t="str">
        <f>INDEX('Tabular Pop Data by Age'!$C$8:$C$271,MATCH('WHO Labs Data'!$B113,'Tabular Pop Data by Age'!$B$8:$B$271,0))</f>
        <v>THA</v>
      </c>
      <c r="D113" s="352" t="s">
        <v>1197</v>
      </c>
      <c r="E113" s="350" t="s">
        <v>1195</v>
      </c>
      <c r="F113" s="351">
        <v>2442</v>
      </c>
      <c r="G113" s="349">
        <f t="shared" si="6"/>
        <v>2442</v>
      </c>
      <c r="H113" s="348">
        <v>69428524</v>
      </c>
      <c r="I113" s="347">
        <f t="shared" si="7"/>
        <v>3.5172863533725708E-2</v>
      </c>
    </row>
    <row r="114" spans="2:9" ht="15" x14ac:dyDescent="0.25">
      <c r="B114" s="352" t="s">
        <v>246</v>
      </c>
      <c r="C114" s="352" t="str">
        <f>INDEX('Tabular Pop Data by Age'!$C$8:$C$271,MATCH('WHO Labs Data'!$B114,'Tabular Pop Data by Age'!$B$8:$B$271,0))</f>
        <v>TLS</v>
      </c>
      <c r="D114" s="352" t="s">
        <v>1203</v>
      </c>
      <c r="E114" s="350" t="s">
        <v>1195</v>
      </c>
      <c r="F114" s="351">
        <v>132</v>
      </c>
      <c r="G114" s="349">
        <f t="shared" si="6"/>
        <v>132</v>
      </c>
      <c r="H114" s="348">
        <v>1267972</v>
      </c>
      <c r="I114" s="347">
        <f t="shared" si="7"/>
        <v>0.10410324518207026</v>
      </c>
    </row>
    <row r="115" spans="2:9" ht="15" x14ac:dyDescent="0.25">
      <c r="B115" s="352" t="s">
        <v>215</v>
      </c>
      <c r="C115" s="352" t="str">
        <f>INDEX('Tabular Pop Data by Age'!$C$8:$C$271,MATCH('WHO Labs Data'!$B115,'Tabular Pop Data by Age'!$B$8:$B$271,0))</f>
        <v>TGO</v>
      </c>
      <c r="D115" s="352" t="s">
        <v>1200</v>
      </c>
      <c r="E115" s="351">
        <v>407</v>
      </c>
      <c r="F115" s="350" t="s">
        <v>1195</v>
      </c>
      <c r="G115" s="349">
        <f t="shared" si="6"/>
        <v>407</v>
      </c>
      <c r="H115" s="348">
        <v>7889094</v>
      </c>
      <c r="I115" s="347">
        <f t="shared" si="7"/>
        <v>5.1590207950367936E-2</v>
      </c>
    </row>
    <row r="116" spans="2:9" ht="15" x14ac:dyDescent="0.25">
      <c r="B116" s="352" t="s">
        <v>256</v>
      </c>
      <c r="C116" s="352" t="str">
        <f>INDEX('Tabular Pop Data by Age'!$C$8:$C$271,MATCH('WHO Labs Data'!$B116,'Tabular Pop Data by Age'!$B$8:$B$271,0))</f>
        <v>TON</v>
      </c>
      <c r="D116" s="352" t="s">
        <v>1202</v>
      </c>
      <c r="E116" s="350" t="s">
        <v>1195</v>
      </c>
      <c r="F116" s="351">
        <v>25</v>
      </c>
      <c r="G116" s="349">
        <f t="shared" si="6"/>
        <v>25</v>
      </c>
      <c r="H116" s="348">
        <v>103197</v>
      </c>
      <c r="I116" s="347">
        <f t="shared" si="7"/>
        <v>0.24225510431504793</v>
      </c>
    </row>
    <row r="117" spans="2:9" ht="15" x14ac:dyDescent="0.25">
      <c r="B117" s="352" t="s">
        <v>656</v>
      </c>
      <c r="C117" s="352" t="str">
        <f>INDEX('Tabular Pop Data by Age'!$C$8:$C$271,MATCH('WHO Labs Data'!$B117,'Tabular Pop Data by Age'!$B$8:$B$271,0))</f>
        <v>TUN</v>
      </c>
      <c r="D117" s="352" t="s">
        <v>1201</v>
      </c>
      <c r="E117" s="351">
        <v>358</v>
      </c>
      <c r="F117" s="351">
        <v>1942</v>
      </c>
      <c r="G117" s="349">
        <f t="shared" si="6"/>
        <v>2300</v>
      </c>
      <c r="H117" s="348">
        <v>11565204</v>
      </c>
      <c r="I117" s="347">
        <f t="shared" si="7"/>
        <v>0.1988724107244455</v>
      </c>
    </row>
    <row r="118" spans="2:9" ht="15" x14ac:dyDescent="0.25">
      <c r="B118" s="352" t="s">
        <v>257</v>
      </c>
      <c r="C118" s="352" t="str">
        <f>INDEX('Tabular Pop Data by Age'!$C$8:$C$271,MATCH('WHO Labs Data'!$B118,'Tabular Pop Data by Age'!$B$8:$B$271,0))</f>
        <v>TUV</v>
      </c>
      <c r="D118" s="352" t="s">
        <v>1196</v>
      </c>
      <c r="E118" s="350" t="s">
        <v>1195</v>
      </c>
      <c r="F118" s="351">
        <v>2</v>
      </c>
      <c r="G118" s="349">
        <f t="shared" si="6"/>
        <v>2</v>
      </c>
      <c r="H118" s="348">
        <v>11508</v>
      </c>
      <c r="I118" s="347">
        <f t="shared" si="7"/>
        <v>0.17379214459506431</v>
      </c>
    </row>
    <row r="119" spans="2:9" ht="15" x14ac:dyDescent="0.25">
      <c r="B119" s="352" t="s">
        <v>216</v>
      </c>
      <c r="C119" s="352" t="str">
        <f>INDEX('Tabular Pop Data by Age'!$C$8:$C$271,MATCH('WHO Labs Data'!$B119,'Tabular Pop Data by Age'!$B$8:$B$271,0))</f>
        <v>UGA</v>
      </c>
      <c r="D119" s="352" t="s">
        <v>1200</v>
      </c>
      <c r="E119" s="350" t="s">
        <v>1195</v>
      </c>
      <c r="F119" s="351">
        <v>2447</v>
      </c>
      <c r="G119" s="349">
        <f t="shared" si="6"/>
        <v>2447</v>
      </c>
      <c r="H119" s="348">
        <v>42723139</v>
      </c>
      <c r="I119" s="347">
        <f t="shared" si="7"/>
        <v>5.7275754012363185E-2</v>
      </c>
    </row>
    <row r="120" spans="2:9" ht="15.75" customHeight="1" x14ac:dyDescent="0.25">
      <c r="B120" s="352" t="s">
        <v>653</v>
      </c>
      <c r="C120" s="352" t="str">
        <f>INDEX('Tabular Pop Data by Age'!$C$8:$C$271,MATCH('WHO Labs Data'!$B120,'Tabular Pop Data by Age'!$B$8:$B$271,0))</f>
        <v>TZA</v>
      </c>
      <c r="D120" s="352" t="s">
        <v>1196</v>
      </c>
      <c r="E120" s="351">
        <v>93</v>
      </c>
      <c r="F120" s="351">
        <v>2508</v>
      </c>
      <c r="G120" s="349">
        <f t="shared" si="6"/>
        <v>2601</v>
      </c>
      <c r="H120" s="348">
        <v>56318348</v>
      </c>
      <c r="I120" s="347">
        <f t="shared" si="7"/>
        <v>4.6183883092593553E-2</v>
      </c>
    </row>
    <row r="121" spans="2:9" ht="15.75" customHeight="1" x14ac:dyDescent="0.25">
      <c r="B121" s="352" t="s">
        <v>663</v>
      </c>
      <c r="C121" s="352" t="str">
        <f>INDEX('Tabular Pop Data by Age'!$C$8:$C$271,MATCH('WHO Labs Data'!$B121,'Tabular Pop Data by Age'!$B$8:$B$271,0))</f>
        <v>USA</v>
      </c>
      <c r="D121" s="352" t="s">
        <v>1198</v>
      </c>
      <c r="E121" s="351">
        <v>552276</v>
      </c>
      <c r="F121" s="350" t="s">
        <v>1195</v>
      </c>
      <c r="G121" s="349">
        <f t="shared" si="6"/>
        <v>552276</v>
      </c>
      <c r="H121" s="348">
        <v>327167434</v>
      </c>
      <c r="I121" s="347">
        <f t="shared" si="7"/>
        <v>1.6880530963848925</v>
      </c>
    </row>
    <row r="122" spans="2:9" ht="15" x14ac:dyDescent="0.25">
      <c r="B122" s="352" t="s">
        <v>666</v>
      </c>
      <c r="C122" s="352" t="str">
        <f>INDEX('Tabular Pop Data by Age'!$C$8:$C$271,MATCH('WHO Labs Data'!$B122,'Tabular Pop Data by Age'!$B$8:$B$271,0))</f>
        <v>URY</v>
      </c>
      <c r="D122" s="352" t="s">
        <v>1197</v>
      </c>
      <c r="E122" s="350" t="s">
        <v>1195</v>
      </c>
      <c r="F122" s="351">
        <v>1420</v>
      </c>
      <c r="G122" s="349">
        <f t="shared" si="6"/>
        <v>1420</v>
      </c>
      <c r="H122" s="348">
        <v>3449299</v>
      </c>
      <c r="I122" s="347">
        <f t="shared" si="7"/>
        <v>0.41167785106481058</v>
      </c>
    </row>
    <row r="123" spans="2:9" ht="15" x14ac:dyDescent="0.25">
      <c r="B123" s="352" t="s">
        <v>258</v>
      </c>
      <c r="C123" s="352" t="str">
        <f>INDEX('Tabular Pop Data by Age'!$C$8:$C$271,MATCH('WHO Labs Data'!$B123,'Tabular Pop Data by Age'!$B$8:$B$271,0))</f>
        <v>VUT</v>
      </c>
      <c r="D123" s="352" t="s">
        <v>1199</v>
      </c>
      <c r="E123" s="351">
        <v>59</v>
      </c>
      <c r="F123" s="350" t="s">
        <v>1195</v>
      </c>
      <c r="G123" s="349">
        <f t="shared" si="6"/>
        <v>59</v>
      </c>
      <c r="H123" s="348">
        <v>292680</v>
      </c>
      <c r="I123" s="347">
        <f t="shared" si="7"/>
        <v>0.20158534918682522</v>
      </c>
    </row>
    <row r="124" spans="2:9" ht="15" x14ac:dyDescent="0.25">
      <c r="B124" s="352" t="s">
        <v>678</v>
      </c>
      <c r="C124" s="352" t="str">
        <f>INDEX('Tabular Pop Data by Age'!$C$8:$C$271,MATCH('WHO Labs Data'!$B124,'Tabular Pop Data by Age'!$B$8:$B$271,0))</f>
        <v>YEM</v>
      </c>
      <c r="D124" s="352" t="s">
        <v>1198</v>
      </c>
      <c r="E124" s="351">
        <v>1113</v>
      </c>
      <c r="F124" s="351">
        <v>1809</v>
      </c>
      <c r="G124" s="349">
        <f t="shared" si="6"/>
        <v>2922</v>
      </c>
      <c r="H124" s="348">
        <v>28498687</v>
      </c>
      <c r="I124" s="347">
        <f t="shared" si="7"/>
        <v>0.10253103941244732</v>
      </c>
    </row>
    <row r="125" spans="2:9" ht="15" x14ac:dyDescent="0.25">
      <c r="B125" s="352" t="s">
        <v>217</v>
      </c>
      <c r="C125" s="352" t="str">
        <f>INDEX('Tabular Pop Data by Age'!$C$8:$C$271,MATCH('WHO Labs Data'!$B125,'Tabular Pop Data by Age'!$B$8:$B$271,0))</f>
        <v>ZMB</v>
      </c>
      <c r="D125" s="352" t="s">
        <v>1197</v>
      </c>
      <c r="E125" s="351">
        <v>921</v>
      </c>
      <c r="F125" s="350" t="s">
        <v>1195</v>
      </c>
      <c r="G125" s="349">
        <f t="shared" si="6"/>
        <v>921</v>
      </c>
      <c r="H125" s="348">
        <v>17351822</v>
      </c>
      <c r="I125" s="347">
        <f t="shared" si="7"/>
        <v>5.307799953226814E-2</v>
      </c>
    </row>
    <row r="126" spans="2:9" ht="15" x14ac:dyDescent="0.25">
      <c r="B126" s="352" t="s">
        <v>218</v>
      </c>
      <c r="C126" s="352" t="str">
        <f>INDEX('Tabular Pop Data by Age'!$C$8:$C$271,MATCH('WHO Labs Data'!$B126,'Tabular Pop Data by Age'!$B$8:$B$271,0))</f>
        <v>ZWE</v>
      </c>
      <c r="D126" s="352" t="s">
        <v>1196</v>
      </c>
      <c r="E126" s="351">
        <v>355</v>
      </c>
      <c r="F126" s="350" t="s">
        <v>1195</v>
      </c>
      <c r="G126" s="349">
        <f t="shared" si="6"/>
        <v>355</v>
      </c>
      <c r="H126" s="348">
        <v>14439018</v>
      </c>
      <c r="I126" s="347">
        <f t="shared" si="7"/>
        <v>2.4586159529685465E-2</v>
      </c>
    </row>
  </sheetData>
  <sheetProtection algorithmName="SHA-512" hashValue="Y4z4I8YK6nBg5jZXbQetaVgDdMKMfXOMioVpeMKaIqmmgVWECKpKIhzhdlde5hRl9a1KtkLnj31d8ljT5Qizgg==" saltValue="XiAnZY3a9FV7mViwjxNZkw==" spinCount="100000" sheet="1" objects="1" scenarios="1"/>
  <hyperlinks>
    <hyperlink ref="E6" r:id="rId1" display="http://apps.who.int/gho/data/node.wrapper.imr?x-id=5332"/>
    <hyperlink ref="F6" r:id="rId2" display="http://apps.who.int/gho/data/node.wrapper.imr?x-id=5333"/>
  </hyperlinks>
  <pageMargins left="0.75" right="0.75" top="1" bottom="1" header="0.5" footer="0.5"/>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0.499984740745262"/>
  </sheetPr>
  <dimension ref="B2:BP274"/>
  <sheetViews>
    <sheetView showGridLines="0" zoomScale="70" zoomScaleNormal="70" workbookViewId="0"/>
  </sheetViews>
  <sheetFormatPr defaultColWidth="9.28515625" defaultRowHeight="15" outlineLevelCol="1" x14ac:dyDescent="0.25"/>
  <cols>
    <col min="1" max="1" width="5.28515625" style="138" customWidth="1"/>
    <col min="2" max="2" width="44" style="138" bestFit="1" customWidth="1"/>
    <col min="3" max="3" width="25.5703125" style="138" bestFit="1" customWidth="1"/>
    <col min="4" max="4" width="38" style="138" bestFit="1" customWidth="1"/>
    <col min="5" max="5" width="16.42578125" style="138" bestFit="1" customWidth="1"/>
    <col min="6" max="35" width="5" style="138" hidden="1" customWidth="1" outlineLevel="1"/>
    <col min="36" max="36" width="11.42578125" style="138" bestFit="1" customWidth="1" collapsed="1"/>
    <col min="37" max="45" width="5.42578125" style="138" bestFit="1" customWidth="1"/>
    <col min="46" max="46" width="11.42578125" style="138" bestFit="1" customWidth="1"/>
    <col min="47" max="47" width="5.42578125" style="138" bestFit="1" customWidth="1"/>
    <col min="48" max="55" width="7.42578125" style="138" bestFit="1" customWidth="1"/>
    <col min="56" max="56" width="5.42578125" style="138" bestFit="1" customWidth="1"/>
    <col min="57" max="57" width="11.42578125" style="138" bestFit="1" customWidth="1"/>
    <col min="58" max="62" width="5.42578125" style="138" bestFit="1" customWidth="1"/>
    <col min="63" max="64" width="6.28515625" style="138" bestFit="1" customWidth="1"/>
    <col min="65" max="65" width="5" style="138" bestFit="1" customWidth="1"/>
    <col min="66" max="67" width="17.42578125" style="138" bestFit="1" customWidth="1"/>
    <col min="68" max="259" width="9.28515625" style="138" customWidth="1"/>
    <col min="260" max="16384" width="9.28515625" style="138"/>
  </cols>
  <sheetData>
    <row r="2" spans="2:68" s="73" customFormat="1" ht="18.75" x14ac:dyDescent="0.3">
      <c r="B2" s="73" t="s">
        <v>1230</v>
      </c>
      <c r="E2" s="74"/>
      <c r="F2" s="74"/>
      <c r="G2" s="74"/>
    </row>
    <row r="3" spans="2:68" s="75" customFormat="1" x14ac:dyDescent="0.25">
      <c r="B3" s="75" t="s">
        <v>1229</v>
      </c>
      <c r="E3" s="76"/>
      <c r="F3" s="76"/>
      <c r="G3" s="76"/>
    </row>
    <row r="4" spans="2:68" s="16" customFormat="1" x14ac:dyDescent="0.25">
      <c r="B4" s="16" t="s">
        <v>1228</v>
      </c>
      <c r="E4" s="345"/>
      <c r="F4" s="345"/>
      <c r="G4" s="345"/>
    </row>
    <row r="5" spans="2:68" s="361" customFormat="1" x14ac:dyDescent="0.25">
      <c r="B5" s="361" t="s">
        <v>1342</v>
      </c>
      <c r="E5" s="362"/>
      <c r="F5" s="362"/>
      <c r="G5" s="362"/>
    </row>
    <row r="6" spans="2:68" s="8" customFormat="1" x14ac:dyDescent="0.25">
      <c r="E6" s="360"/>
      <c r="F6" s="360"/>
      <c r="G6" s="360"/>
    </row>
    <row r="7" spans="2:68" x14ac:dyDescent="0.25">
      <c r="B7" s="138" t="s">
        <v>901</v>
      </c>
      <c r="C7" s="138" t="s">
        <v>902</v>
      </c>
    </row>
    <row r="8" spans="2:68" x14ac:dyDescent="0.25">
      <c r="B8" s="138" t="s">
        <v>903</v>
      </c>
      <c r="C8" s="161">
        <v>43819</v>
      </c>
      <c r="BN8" s="138" t="s">
        <v>1303</v>
      </c>
      <c r="BO8" s="138">
        <v>0.4</v>
      </c>
      <c r="BP8" s="138" t="s">
        <v>1304</v>
      </c>
    </row>
    <row r="10" spans="2:68" x14ac:dyDescent="0.25">
      <c r="B10" s="138" t="s">
        <v>683</v>
      </c>
      <c r="C10" s="138" t="s">
        <v>684</v>
      </c>
      <c r="D10" s="138" t="s">
        <v>904</v>
      </c>
      <c r="E10" s="138" t="s">
        <v>905</v>
      </c>
      <c r="F10" s="138">
        <v>1960</v>
      </c>
      <c r="G10" s="138">
        <v>1961</v>
      </c>
      <c r="H10" s="138">
        <v>1962</v>
      </c>
      <c r="I10" s="138">
        <v>1963</v>
      </c>
      <c r="J10" s="138">
        <v>1964</v>
      </c>
      <c r="K10" s="138">
        <v>1965</v>
      </c>
      <c r="L10" s="138">
        <v>1966</v>
      </c>
      <c r="M10" s="138">
        <v>1967</v>
      </c>
      <c r="N10" s="138">
        <v>1968</v>
      </c>
      <c r="O10" s="138">
        <v>1969</v>
      </c>
      <c r="P10" s="138">
        <v>1970</v>
      </c>
      <c r="Q10" s="138">
        <v>1971</v>
      </c>
      <c r="R10" s="138">
        <v>1972</v>
      </c>
      <c r="S10" s="138">
        <v>1973</v>
      </c>
      <c r="T10" s="138">
        <v>1974</v>
      </c>
      <c r="U10" s="138">
        <v>1975</v>
      </c>
      <c r="V10" s="138">
        <v>1976</v>
      </c>
      <c r="W10" s="138">
        <v>1977</v>
      </c>
      <c r="X10" s="138">
        <v>1978</v>
      </c>
      <c r="Y10" s="138">
        <v>1979</v>
      </c>
      <c r="Z10" s="138">
        <v>1980</v>
      </c>
      <c r="AA10" s="138">
        <v>1981</v>
      </c>
      <c r="AB10" s="138">
        <v>1982</v>
      </c>
      <c r="AC10" s="138">
        <v>1983</v>
      </c>
      <c r="AD10" s="138">
        <v>1984</v>
      </c>
      <c r="AE10" s="138">
        <v>1985</v>
      </c>
      <c r="AF10" s="138">
        <v>1986</v>
      </c>
      <c r="AG10" s="138">
        <v>1987</v>
      </c>
      <c r="AH10" s="138">
        <v>1988</v>
      </c>
      <c r="AI10" s="138">
        <v>1989</v>
      </c>
      <c r="AJ10" s="138">
        <v>1990</v>
      </c>
      <c r="AK10" s="138">
        <v>1991</v>
      </c>
      <c r="AL10" s="138">
        <v>1992</v>
      </c>
      <c r="AM10" s="138">
        <v>1993</v>
      </c>
      <c r="AN10" s="138">
        <v>1994</v>
      </c>
      <c r="AO10" s="138">
        <v>1995</v>
      </c>
      <c r="AP10" s="138">
        <v>1996</v>
      </c>
      <c r="AQ10" s="138">
        <v>1997</v>
      </c>
      <c r="AR10" s="138">
        <v>1998</v>
      </c>
      <c r="AS10" s="138">
        <v>1999</v>
      </c>
      <c r="AT10" s="138">
        <v>2000</v>
      </c>
      <c r="AU10" s="138">
        <v>2001</v>
      </c>
      <c r="AV10" s="138">
        <v>2002</v>
      </c>
      <c r="AW10" s="138">
        <v>2003</v>
      </c>
      <c r="AX10" s="138">
        <v>2004</v>
      </c>
      <c r="AY10" s="138">
        <v>2005</v>
      </c>
      <c r="AZ10" s="138">
        <v>2006</v>
      </c>
      <c r="BA10" s="138">
        <v>2007</v>
      </c>
      <c r="BB10" s="138">
        <v>2008</v>
      </c>
      <c r="BC10" s="138">
        <v>2009</v>
      </c>
      <c r="BD10" s="138">
        <v>2010</v>
      </c>
      <c r="BE10" s="138">
        <v>2011</v>
      </c>
      <c r="BF10" s="138">
        <v>2012</v>
      </c>
      <c r="BG10" s="138">
        <v>2013</v>
      </c>
      <c r="BH10" s="138">
        <v>2014</v>
      </c>
      <c r="BI10" s="138">
        <v>2015</v>
      </c>
      <c r="BJ10" s="138">
        <v>2016</v>
      </c>
      <c r="BK10" s="138">
        <v>2017</v>
      </c>
      <c r="BL10" s="138">
        <v>2018</v>
      </c>
      <c r="BM10" s="138">
        <v>2019</v>
      </c>
      <c r="BN10" s="12" t="s">
        <v>1227</v>
      </c>
      <c r="BO10" s="12" t="s">
        <v>1192</v>
      </c>
      <c r="BP10" s="359" t="s">
        <v>1226</v>
      </c>
    </row>
    <row r="11" spans="2:68" x14ac:dyDescent="0.25">
      <c r="B11" s="138" t="s">
        <v>429</v>
      </c>
      <c r="C11" s="138" t="s">
        <v>430</v>
      </c>
      <c r="D11" s="138" t="s">
        <v>1225</v>
      </c>
      <c r="E11" s="138" t="s">
        <v>1224</v>
      </c>
      <c r="BN11" s="138" t="str">
        <f t="shared" ref="BN11:BN74" si="0">IFERROR(LOOKUP(2,1/(ISNUMBER(F11:BM11)),F11:BM11),"No reported value")</f>
        <v>No reported value</v>
      </c>
      <c r="BO11" s="138" t="str">
        <f t="shared" ref="BO11:BO74" si="1">IFERROR(INDEX($F$10:$BM$10,1,MATCH($BN11,$F11:$BM11,0)),"No reported value")</f>
        <v>No reported value</v>
      </c>
      <c r="BP11" s="138">
        <f>IF(BN11="No reported value",BO$8,BN11)</f>
        <v>0.4</v>
      </c>
    </row>
    <row r="12" spans="2:68" x14ac:dyDescent="0.25">
      <c r="B12" s="138" t="s">
        <v>230</v>
      </c>
      <c r="C12" s="138" t="s">
        <v>0</v>
      </c>
      <c r="D12" s="138" t="s">
        <v>1225</v>
      </c>
      <c r="E12" s="138" t="s">
        <v>1224</v>
      </c>
      <c r="BN12" s="138" t="str">
        <f t="shared" si="0"/>
        <v>No reported value</v>
      </c>
      <c r="BO12" s="138" t="str">
        <f t="shared" si="1"/>
        <v>No reported value</v>
      </c>
      <c r="BP12" s="138">
        <f t="shared" ref="BP12:BP75" si="2">IF(BN12="No reported value",BO$8,BN12)</f>
        <v>0.4</v>
      </c>
    </row>
    <row r="13" spans="2:68" x14ac:dyDescent="0.25">
      <c r="B13" s="138" t="s">
        <v>182</v>
      </c>
      <c r="C13" s="138" t="s">
        <v>165</v>
      </c>
      <c r="D13" s="138" t="s">
        <v>1225</v>
      </c>
      <c r="E13" s="138" t="s">
        <v>1224</v>
      </c>
      <c r="BN13" s="138" t="str">
        <f t="shared" si="0"/>
        <v>No reported value</v>
      </c>
      <c r="BO13" s="138" t="str">
        <f t="shared" si="1"/>
        <v>No reported value</v>
      </c>
      <c r="BP13" s="138">
        <f t="shared" si="2"/>
        <v>0.4</v>
      </c>
    </row>
    <row r="14" spans="2:68" x14ac:dyDescent="0.25">
      <c r="B14" s="138" t="s">
        <v>418</v>
      </c>
      <c r="C14" s="138" t="s">
        <v>419</v>
      </c>
      <c r="D14" s="138" t="s">
        <v>1225</v>
      </c>
      <c r="E14" s="138" t="s">
        <v>1224</v>
      </c>
      <c r="BN14" s="138" t="str">
        <f t="shared" si="0"/>
        <v>No reported value</v>
      </c>
      <c r="BO14" s="138" t="str">
        <f t="shared" si="1"/>
        <v>No reported value</v>
      </c>
      <c r="BP14" s="138">
        <f t="shared" si="2"/>
        <v>0.4</v>
      </c>
    </row>
    <row r="15" spans="2:68" x14ac:dyDescent="0.25">
      <c r="B15" s="138" t="s">
        <v>422</v>
      </c>
      <c r="C15" s="138" t="s">
        <v>1</v>
      </c>
      <c r="D15" s="138" t="s">
        <v>1225</v>
      </c>
      <c r="E15" s="138" t="s">
        <v>1224</v>
      </c>
      <c r="BN15" s="138" t="str">
        <f t="shared" si="0"/>
        <v>No reported value</v>
      </c>
      <c r="BO15" s="138" t="str">
        <f t="shared" si="1"/>
        <v>No reported value</v>
      </c>
      <c r="BP15" s="138">
        <f t="shared" si="2"/>
        <v>0.4</v>
      </c>
    </row>
    <row r="16" spans="2:68" x14ac:dyDescent="0.25">
      <c r="B16" s="138" t="s">
        <v>425</v>
      </c>
      <c r="C16" s="138" t="s">
        <v>426</v>
      </c>
      <c r="D16" s="138" t="s">
        <v>1225</v>
      </c>
      <c r="E16" s="138" t="s">
        <v>1224</v>
      </c>
      <c r="BN16" s="138" t="str">
        <f t="shared" si="0"/>
        <v>No reported value</v>
      </c>
      <c r="BO16" s="138" t="str">
        <f t="shared" si="1"/>
        <v>No reported value</v>
      </c>
      <c r="BP16" s="138">
        <f t="shared" si="2"/>
        <v>0.4</v>
      </c>
    </row>
    <row r="17" spans="2:68" x14ac:dyDescent="0.25">
      <c r="B17" s="138" t="s">
        <v>661</v>
      </c>
      <c r="C17" s="138" t="s">
        <v>2</v>
      </c>
      <c r="D17" s="138" t="s">
        <v>1225</v>
      </c>
      <c r="E17" s="138" t="s">
        <v>1224</v>
      </c>
      <c r="BN17" s="138" t="str">
        <f t="shared" si="0"/>
        <v>No reported value</v>
      </c>
      <c r="BO17" s="138" t="str">
        <f t="shared" si="1"/>
        <v>No reported value</v>
      </c>
      <c r="BP17" s="138">
        <f t="shared" si="2"/>
        <v>0.4</v>
      </c>
    </row>
    <row r="18" spans="2:68" x14ac:dyDescent="0.25">
      <c r="B18" s="138" t="s">
        <v>427</v>
      </c>
      <c r="C18" s="138" t="s">
        <v>428</v>
      </c>
      <c r="D18" s="138" t="s">
        <v>1225</v>
      </c>
      <c r="E18" s="138" t="s">
        <v>1224</v>
      </c>
      <c r="BN18" s="138" t="str">
        <f t="shared" si="0"/>
        <v>No reported value</v>
      </c>
      <c r="BO18" s="138" t="str">
        <f t="shared" si="1"/>
        <v>No reported value</v>
      </c>
      <c r="BP18" s="138">
        <f t="shared" si="2"/>
        <v>0.4</v>
      </c>
    </row>
    <row r="19" spans="2:68" x14ac:dyDescent="0.25">
      <c r="B19" s="138" t="s">
        <v>234</v>
      </c>
      <c r="C19" s="138" t="s">
        <v>3</v>
      </c>
      <c r="D19" s="138" t="s">
        <v>1225</v>
      </c>
      <c r="E19" s="138" t="s">
        <v>1224</v>
      </c>
      <c r="BN19" s="138" t="str">
        <f t="shared" si="0"/>
        <v>No reported value</v>
      </c>
      <c r="BO19" s="138" t="str">
        <f t="shared" si="1"/>
        <v>No reported value</v>
      </c>
      <c r="BP19" s="138">
        <f t="shared" si="2"/>
        <v>0.4</v>
      </c>
    </row>
    <row r="20" spans="2:68" x14ac:dyDescent="0.25">
      <c r="B20" s="138" t="s">
        <v>421</v>
      </c>
      <c r="C20" s="138" t="s">
        <v>193</v>
      </c>
      <c r="D20" s="138" t="s">
        <v>1225</v>
      </c>
      <c r="E20" s="138" t="s">
        <v>1224</v>
      </c>
      <c r="BN20" s="138" t="str">
        <f t="shared" si="0"/>
        <v>No reported value</v>
      </c>
      <c r="BO20" s="138" t="str">
        <f t="shared" si="1"/>
        <v>No reported value</v>
      </c>
      <c r="BP20" s="138">
        <f t="shared" si="2"/>
        <v>0.4</v>
      </c>
    </row>
    <row r="21" spans="2:68" x14ac:dyDescent="0.25">
      <c r="B21" s="138" t="s">
        <v>423</v>
      </c>
      <c r="C21" s="138" t="s">
        <v>424</v>
      </c>
      <c r="D21" s="138" t="s">
        <v>1225</v>
      </c>
      <c r="E21" s="138" t="s">
        <v>1224</v>
      </c>
      <c r="BN21" s="138" t="str">
        <f t="shared" si="0"/>
        <v>No reported value</v>
      </c>
      <c r="BO21" s="138" t="str">
        <f t="shared" si="1"/>
        <v>No reported value</v>
      </c>
      <c r="BP21" s="138">
        <f t="shared" si="2"/>
        <v>0.4</v>
      </c>
    </row>
    <row r="22" spans="2:68" x14ac:dyDescent="0.25">
      <c r="B22" s="138" t="s">
        <v>431</v>
      </c>
      <c r="C22" s="138" t="s">
        <v>4</v>
      </c>
      <c r="D22" s="138" t="s">
        <v>1225</v>
      </c>
      <c r="E22" s="138" t="s">
        <v>1224</v>
      </c>
      <c r="AP22" s="138">
        <v>3.9E-2</v>
      </c>
      <c r="AU22" s="138">
        <v>0.19700000000000001</v>
      </c>
      <c r="AZ22" s="138">
        <v>4.9000000000000002E-2</v>
      </c>
      <c r="BN22" s="138">
        <f t="shared" si="0"/>
        <v>4.9000000000000002E-2</v>
      </c>
      <c r="BO22" s="138">
        <f t="shared" si="1"/>
        <v>2006</v>
      </c>
      <c r="BP22" s="138">
        <f t="shared" si="2"/>
        <v>4.9000000000000002E-2</v>
      </c>
    </row>
    <row r="23" spans="2:68" x14ac:dyDescent="0.25">
      <c r="B23" s="138" t="s">
        <v>432</v>
      </c>
      <c r="C23" s="138" t="s">
        <v>5</v>
      </c>
      <c r="D23" s="138" t="s">
        <v>1225</v>
      </c>
      <c r="E23" s="138" t="s">
        <v>1224</v>
      </c>
      <c r="BN23" s="138" t="str">
        <f t="shared" si="0"/>
        <v>No reported value</v>
      </c>
      <c r="BO23" s="138" t="str">
        <f t="shared" si="1"/>
        <v>No reported value</v>
      </c>
      <c r="BP23" s="138">
        <f t="shared" si="2"/>
        <v>0.4</v>
      </c>
    </row>
    <row r="24" spans="2:68" x14ac:dyDescent="0.25">
      <c r="B24" s="138" t="s">
        <v>235</v>
      </c>
      <c r="C24" s="138" t="s">
        <v>6</v>
      </c>
      <c r="D24" s="138" t="s">
        <v>1225</v>
      </c>
      <c r="E24" s="138" t="s">
        <v>1224</v>
      </c>
      <c r="BN24" s="138" t="str">
        <f t="shared" si="0"/>
        <v>No reported value</v>
      </c>
      <c r="BO24" s="138" t="str">
        <f t="shared" si="1"/>
        <v>No reported value</v>
      </c>
      <c r="BP24" s="138">
        <f t="shared" si="2"/>
        <v>0.4</v>
      </c>
    </row>
    <row r="25" spans="2:68" x14ac:dyDescent="0.25">
      <c r="B25" s="138" t="s">
        <v>186</v>
      </c>
      <c r="C25" s="138" t="s">
        <v>7</v>
      </c>
      <c r="D25" s="138" t="s">
        <v>1225</v>
      </c>
      <c r="E25" s="138" t="s">
        <v>1224</v>
      </c>
      <c r="AX25" s="138">
        <v>7.1999999999999995E-2</v>
      </c>
      <c r="BN25" s="138">
        <f t="shared" si="0"/>
        <v>7.1999999999999995E-2</v>
      </c>
      <c r="BO25" s="138">
        <f t="shared" si="1"/>
        <v>2004</v>
      </c>
      <c r="BP25" s="138">
        <f t="shared" si="2"/>
        <v>7.1999999999999995E-2</v>
      </c>
    </row>
    <row r="26" spans="2:68" x14ac:dyDescent="0.25">
      <c r="B26" s="138" t="s">
        <v>438</v>
      </c>
      <c r="C26" s="138" t="s">
        <v>8</v>
      </c>
      <c r="D26" s="138" t="s">
        <v>1225</v>
      </c>
      <c r="E26" s="138" t="s">
        <v>1224</v>
      </c>
      <c r="BN26" s="138" t="str">
        <f t="shared" si="0"/>
        <v>No reported value</v>
      </c>
      <c r="BO26" s="138" t="str">
        <f t="shared" si="1"/>
        <v>No reported value</v>
      </c>
      <c r="BP26" s="138">
        <f t="shared" si="2"/>
        <v>0.4</v>
      </c>
    </row>
    <row r="27" spans="2:68" x14ac:dyDescent="0.25">
      <c r="B27" s="138" t="s">
        <v>183</v>
      </c>
      <c r="C27" s="138" t="s">
        <v>9</v>
      </c>
      <c r="D27" s="138" t="s">
        <v>1225</v>
      </c>
      <c r="E27" s="138" t="s">
        <v>1224</v>
      </c>
      <c r="BN27" s="138" t="str">
        <f t="shared" si="0"/>
        <v>No reported value</v>
      </c>
      <c r="BO27" s="138" t="str">
        <f t="shared" si="1"/>
        <v>No reported value</v>
      </c>
      <c r="BP27" s="138">
        <f t="shared" si="2"/>
        <v>0.4</v>
      </c>
    </row>
    <row r="28" spans="2:68" x14ac:dyDescent="0.25">
      <c r="B28" s="138" t="s">
        <v>185</v>
      </c>
      <c r="C28" s="138" t="s">
        <v>10</v>
      </c>
      <c r="D28" s="138" t="s">
        <v>1225</v>
      </c>
      <c r="E28" s="138" t="s">
        <v>1224</v>
      </c>
      <c r="AX28" s="138">
        <v>9.1999999999999998E-2</v>
      </c>
      <c r="AZ28" s="138">
        <v>9.0999999999999998E-2</v>
      </c>
      <c r="BD28" s="138">
        <v>0.126</v>
      </c>
      <c r="BF28" s="138">
        <v>0.127</v>
      </c>
      <c r="BN28" s="138">
        <f t="shared" si="0"/>
        <v>0.127</v>
      </c>
      <c r="BO28" s="138">
        <f t="shared" si="1"/>
        <v>2012</v>
      </c>
      <c r="BP28" s="138">
        <f>IF(BN28="No reported value",BO$8,BN28)</f>
        <v>0.127</v>
      </c>
    </row>
    <row r="29" spans="2:68" x14ac:dyDescent="0.25">
      <c r="B29" s="138" t="s">
        <v>240</v>
      </c>
      <c r="C29" s="138" t="s">
        <v>11</v>
      </c>
      <c r="D29" s="138" t="s">
        <v>1225</v>
      </c>
      <c r="E29" s="138" t="s">
        <v>1224</v>
      </c>
      <c r="AX29" s="138">
        <v>0.151</v>
      </c>
      <c r="AY29" s="138">
        <v>0.14699999999999999</v>
      </c>
      <c r="BE29" s="138">
        <v>0.39300000000000002</v>
      </c>
      <c r="BF29" s="138">
        <v>0.47599999999999998</v>
      </c>
      <c r="BN29" s="138">
        <f t="shared" si="0"/>
        <v>0.47599999999999998</v>
      </c>
      <c r="BO29" s="138">
        <f t="shared" si="1"/>
        <v>2012</v>
      </c>
      <c r="BP29" s="138">
        <f t="shared" si="2"/>
        <v>0.47599999999999998</v>
      </c>
    </row>
    <row r="30" spans="2:68" x14ac:dyDescent="0.25">
      <c r="B30" s="138" t="s">
        <v>447</v>
      </c>
      <c r="C30" s="138" t="s">
        <v>12</v>
      </c>
      <c r="D30" s="138" t="s">
        <v>1225</v>
      </c>
      <c r="E30" s="138" t="s">
        <v>1224</v>
      </c>
      <c r="BN30" s="138" t="str">
        <f t="shared" si="0"/>
        <v>No reported value</v>
      </c>
      <c r="BO30" s="138" t="str">
        <f t="shared" si="1"/>
        <v>No reported value</v>
      </c>
      <c r="BP30" s="138">
        <f t="shared" si="2"/>
        <v>0.4</v>
      </c>
    </row>
    <row r="31" spans="2:68" x14ac:dyDescent="0.25">
      <c r="B31" s="138" t="s">
        <v>434</v>
      </c>
      <c r="C31" s="138" t="s">
        <v>13</v>
      </c>
      <c r="D31" s="138" t="s">
        <v>1225</v>
      </c>
      <c r="E31" s="138" t="s">
        <v>1224</v>
      </c>
      <c r="BN31" s="138" t="str">
        <f t="shared" si="0"/>
        <v>No reported value</v>
      </c>
      <c r="BO31" s="138" t="str">
        <f t="shared" si="1"/>
        <v>No reported value</v>
      </c>
      <c r="BP31" s="138">
        <f t="shared" si="2"/>
        <v>0.4</v>
      </c>
    </row>
    <row r="32" spans="2:68" x14ac:dyDescent="0.25">
      <c r="B32" s="138" t="s">
        <v>433</v>
      </c>
      <c r="C32" s="138" t="s">
        <v>14</v>
      </c>
      <c r="D32" s="138" t="s">
        <v>1225</v>
      </c>
      <c r="E32" s="138" t="s">
        <v>1224</v>
      </c>
      <c r="BN32" s="138" t="str">
        <f t="shared" si="0"/>
        <v>No reported value</v>
      </c>
      <c r="BO32" s="138" t="str">
        <f t="shared" si="1"/>
        <v>No reported value</v>
      </c>
      <c r="BP32" s="138">
        <f t="shared" si="2"/>
        <v>0.4</v>
      </c>
    </row>
    <row r="33" spans="2:68" x14ac:dyDescent="0.25">
      <c r="B33" s="138" t="s">
        <v>442</v>
      </c>
      <c r="C33" s="138" t="s">
        <v>15</v>
      </c>
      <c r="D33" s="138" t="s">
        <v>1225</v>
      </c>
      <c r="E33" s="138" t="s">
        <v>1224</v>
      </c>
      <c r="BN33" s="138" t="str">
        <f t="shared" si="0"/>
        <v>No reported value</v>
      </c>
      <c r="BO33" s="138" t="str">
        <f t="shared" si="1"/>
        <v>No reported value</v>
      </c>
      <c r="BP33" s="138">
        <f t="shared" si="2"/>
        <v>0.4</v>
      </c>
    </row>
    <row r="34" spans="2:68" x14ac:dyDescent="0.25">
      <c r="B34" s="138" t="s">
        <v>437</v>
      </c>
      <c r="C34" s="138" t="s">
        <v>16</v>
      </c>
      <c r="D34" s="138" t="s">
        <v>1225</v>
      </c>
      <c r="E34" s="138" t="s">
        <v>1224</v>
      </c>
      <c r="BN34" s="138" t="str">
        <f t="shared" si="0"/>
        <v>No reported value</v>
      </c>
      <c r="BO34" s="138" t="str">
        <f t="shared" si="1"/>
        <v>No reported value</v>
      </c>
      <c r="BP34" s="138">
        <f t="shared" si="2"/>
        <v>0.4</v>
      </c>
    </row>
    <row r="35" spans="2:68" x14ac:dyDescent="0.25">
      <c r="B35" s="138" t="s">
        <v>439</v>
      </c>
      <c r="C35" s="138" t="s">
        <v>17</v>
      </c>
      <c r="D35" s="138" t="s">
        <v>1225</v>
      </c>
      <c r="E35" s="138" t="s">
        <v>1224</v>
      </c>
      <c r="BC35" s="138">
        <v>0.503</v>
      </c>
      <c r="BN35" s="138">
        <f t="shared" si="0"/>
        <v>0.503</v>
      </c>
      <c r="BO35" s="138">
        <f t="shared" si="1"/>
        <v>2009</v>
      </c>
      <c r="BP35" s="138">
        <f t="shared" si="2"/>
        <v>0.503</v>
      </c>
    </row>
    <row r="36" spans="2:68" x14ac:dyDescent="0.25">
      <c r="B36" s="138" t="s">
        <v>440</v>
      </c>
      <c r="C36" s="138" t="s">
        <v>441</v>
      </c>
      <c r="D36" s="138" t="s">
        <v>1225</v>
      </c>
      <c r="E36" s="138" t="s">
        <v>1224</v>
      </c>
      <c r="BN36" s="138" t="str">
        <f t="shared" si="0"/>
        <v>No reported value</v>
      </c>
      <c r="BO36" s="138" t="str">
        <f t="shared" si="1"/>
        <v>No reported value</v>
      </c>
      <c r="BP36" s="138">
        <f t="shared" si="2"/>
        <v>0.4</v>
      </c>
    </row>
    <row r="37" spans="2:68" x14ac:dyDescent="0.25">
      <c r="B37" s="138" t="s">
        <v>219</v>
      </c>
      <c r="C37" s="138" t="s">
        <v>18</v>
      </c>
      <c r="D37" s="138" t="s">
        <v>1225</v>
      </c>
      <c r="E37" s="138" t="s">
        <v>1224</v>
      </c>
      <c r="AU37" s="138">
        <v>0.11799999999999999</v>
      </c>
      <c r="BN37" s="138">
        <f t="shared" si="0"/>
        <v>0.11799999999999999</v>
      </c>
      <c r="BO37" s="138">
        <f t="shared" si="1"/>
        <v>2001</v>
      </c>
      <c r="BP37" s="138">
        <f t="shared" si="2"/>
        <v>0.11799999999999999</v>
      </c>
    </row>
    <row r="38" spans="2:68" x14ac:dyDescent="0.25">
      <c r="B38" s="138" t="s">
        <v>443</v>
      </c>
      <c r="C38" s="138" t="s">
        <v>19</v>
      </c>
      <c r="D38" s="138" t="s">
        <v>1225</v>
      </c>
      <c r="E38" s="138" t="s">
        <v>1224</v>
      </c>
      <c r="BN38" s="138" t="str">
        <f t="shared" si="0"/>
        <v>No reported value</v>
      </c>
      <c r="BO38" s="138" t="str">
        <f t="shared" si="1"/>
        <v>No reported value</v>
      </c>
      <c r="BP38" s="138">
        <f t="shared" si="2"/>
        <v>0.4</v>
      </c>
    </row>
    <row r="39" spans="2:68" x14ac:dyDescent="0.25">
      <c r="B39" s="138" t="s">
        <v>435</v>
      </c>
      <c r="C39" s="138" t="s">
        <v>436</v>
      </c>
      <c r="D39" s="138" t="s">
        <v>1225</v>
      </c>
      <c r="E39" s="138" t="s">
        <v>1224</v>
      </c>
      <c r="BN39" s="138" t="str">
        <f t="shared" si="0"/>
        <v>No reported value</v>
      </c>
      <c r="BO39" s="138" t="str">
        <f t="shared" si="1"/>
        <v>No reported value</v>
      </c>
      <c r="BP39" s="138">
        <f t="shared" si="2"/>
        <v>0.4</v>
      </c>
    </row>
    <row r="40" spans="2:68" x14ac:dyDescent="0.25">
      <c r="B40" s="138" t="s">
        <v>446</v>
      </c>
      <c r="C40" s="138" t="s">
        <v>20</v>
      </c>
      <c r="D40" s="138" t="s">
        <v>1225</v>
      </c>
      <c r="E40" s="138" t="s">
        <v>1224</v>
      </c>
      <c r="BN40" s="138" t="str">
        <f t="shared" si="0"/>
        <v>No reported value</v>
      </c>
      <c r="BO40" s="138" t="str">
        <f t="shared" si="1"/>
        <v>No reported value</v>
      </c>
      <c r="BP40" s="138">
        <f t="shared" si="2"/>
        <v>0.4</v>
      </c>
    </row>
    <row r="41" spans="2:68" x14ac:dyDescent="0.25">
      <c r="B41" s="138" t="s">
        <v>241</v>
      </c>
      <c r="C41" s="138" t="s">
        <v>21</v>
      </c>
      <c r="D41" s="138" t="s">
        <v>1225</v>
      </c>
      <c r="E41" s="138" t="s">
        <v>1224</v>
      </c>
      <c r="AX41" s="138">
        <v>0.73199999999999998</v>
      </c>
      <c r="BA41" s="138">
        <v>0.72799999999999998</v>
      </c>
      <c r="BB41" s="138">
        <v>0.129</v>
      </c>
      <c r="BF41" s="138">
        <v>0.90900000000000003</v>
      </c>
      <c r="BG41" s="138">
        <v>0.155</v>
      </c>
      <c r="BH41" s="138">
        <v>0.17799999999999999</v>
      </c>
      <c r="BI41" s="138">
        <v>0.19</v>
      </c>
      <c r="BJ41" s="138">
        <v>6.9000000000000006E-2</v>
      </c>
      <c r="BN41" s="138">
        <f t="shared" si="0"/>
        <v>6.9000000000000006E-2</v>
      </c>
      <c r="BO41" s="138">
        <f t="shared" si="1"/>
        <v>2016</v>
      </c>
      <c r="BP41" s="138">
        <f t="shared" si="2"/>
        <v>6.9000000000000006E-2</v>
      </c>
    </row>
    <row r="42" spans="2:68" x14ac:dyDescent="0.25">
      <c r="B42" s="138" t="s">
        <v>184</v>
      </c>
      <c r="C42" s="138" t="s">
        <v>22</v>
      </c>
      <c r="D42" s="138" t="s">
        <v>1225</v>
      </c>
      <c r="E42" s="138" t="s">
        <v>1224</v>
      </c>
      <c r="AR42" s="138">
        <v>0.442</v>
      </c>
      <c r="AS42" s="138">
        <v>0.45400000000000001</v>
      </c>
      <c r="AT42" s="138">
        <v>0.73099999999999998</v>
      </c>
      <c r="AU42" s="138">
        <v>0.46600000000000003</v>
      </c>
      <c r="AV42" s="138">
        <v>0.48199999999999998</v>
      </c>
      <c r="AW42" s="138">
        <v>0.47899999999999998</v>
      </c>
      <c r="AY42" s="138">
        <v>0.49399999999999999</v>
      </c>
      <c r="AZ42" s="138">
        <v>0.48499999999999999</v>
      </c>
      <c r="BB42" s="138">
        <v>0.22900000000000001</v>
      </c>
      <c r="BC42" s="138">
        <v>8.3000000000000004E-2</v>
      </c>
      <c r="BN42" s="138">
        <f t="shared" si="0"/>
        <v>8.3000000000000004E-2</v>
      </c>
      <c r="BO42" s="138">
        <f t="shared" si="1"/>
        <v>2009</v>
      </c>
      <c r="BP42" s="138">
        <f t="shared" si="2"/>
        <v>8.3000000000000004E-2</v>
      </c>
    </row>
    <row r="43" spans="2:68" x14ac:dyDescent="0.25">
      <c r="B43" s="138" t="s">
        <v>188</v>
      </c>
      <c r="C43" s="138" t="s">
        <v>173</v>
      </c>
      <c r="D43" s="138" t="s">
        <v>1225</v>
      </c>
      <c r="E43" s="138" t="s">
        <v>1224</v>
      </c>
      <c r="AX43" s="138">
        <v>2.5000000000000001E-2</v>
      </c>
      <c r="BB43" s="138">
        <v>0.40799999999999997</v>
      </c>
      <c r="BC43" s="138">
        <v>0.39300000000000002</v>
      </c>
      <c r="BN43" s="138">
        <f t="shared" si="0"/>
        <v>0.39300000000000002</v>
      </c>
      <c r="BO43" s="138">
        <f t="shared" si="1"/>
        <v>2009</v>
      </c>
      <c r="BP43" s="138">
        <f t="shared" si="2"/>
        <v>0.39300000000000002</v>
      </c>
    </row>
    <row r="44" spans="2:68" x14ac:dyDescent="0.25">
      <c r="B44" s="138" t="s">
        <v>449</v>
      </c>
      <c r="C44" s="138" t="s">
        <v>159</v>
      </c>
      <c r="D44" s="138" t="s">
        <v>1225</v>
      </c>
      <c r="E44" s="138" t="s">
        <v>1224</v>
      </c>
      <c r="BN44" s="138" t="str">
        <f t="shared" si="0"/>
        <v>No reported value</v>
      </c>
      <c r="BO44" s="138" t="str">
        <f t="shared" si="1"/>
        <v>No reported value</v>
      </c>
      <c r="BP44" s="138">
        <f t="shared" si="2"/>
        <v>0.4</v>
      </c>
    </row>
    <row r="45" spans="2:68" x14ac:dyDescent="0.25">
      <c r="B45" s="138" t="s">
        <v>454</v>
      </c>
      <c r="C45" s="138" t="s">
        <v>455</v>
      </c>
      <c r="D45" s="138" t="s">
        <v>1225</v>
      </c>
      <c r="E45" s="138" t="s">
        <v>1224</v>
      </c>
      <c r="BN45" s="138" t="str">
        <f t="shared" si="0"/>
        <v>No reported value</v>
      </c>
      <c r="BO45" s="138" t="str">
        <f t="shared" si="1"/>
        <v>No reported value</v>
      </c>
      <c r="BP45" s="138">
        <f t="shared" si="2"/>
        <v>0.4</v>
      </c>
    </row>
    <row r="46" spans="2:68" x14ac:dyDescent="0.25">
      <c r="B46" s="138" t="s">
        <v>651</v>
      </c>
      <c r="C46" s="138" t="s">
        <v>23</v>
      </c>
      <c r="D46" s="138" t="s">
        <v>1225</v>
      </c>
      <c r="E46" s="138" t="s">
        <v>1224</v>
      </c>
      <c r="BN46" s="138" t="str">
        <f t="shared" si="0"/>
        <v>No reported value</v>
      </c>
      <c r="BO46" s="138" t="str">
        <f t="shared" si="1"/>
        <v>No reported value</v>
      </c>
      <c r="BP46" s="138">
        <f t="shared" si="2"/>
        <v>0.4</v>
      </c>
    </row>
    <row r="47" spans="2:68" x14ac:dyDescent="0.25">
      <c r="B47" s="138" t="s">
        <v>456</v>
      </c>
      <c r="C47" s="138" t="s">
        <v>457</v>
      </c>
      <c r="D47" s="138" t="s">
        <v>1225</v>
      </c>
      <c r="E47" s="138" t="s">
        <v>1224</v>
      </c>
      <c r="BN47" s="138" t="str">
        <f t="shared" si="0"/>
        <v>No reported value</v>
      </c>
      <c r="BO47" s="138" t="str">
        <f t="shared" si="1"/>
        <v>No reported value</v>
      </c>
      <c r="BP47" s="138">
        <f t="shared" si="2"/>
        <v>0.4</v>
      </c>
    </row>
    <row r="48" spans="2:68" x14ac:dyDescent="0.25">
      <c r="B48" s="138" t="s">
        <v>220</v>
      </c>
      <c r="C48" s="138" t="s">
        <v>24</v>
      </c>
      <c r="D48" s="138" t="s">
        <v>1225</v>
      </c>
      <c r="E48" s="138" t="s">
        <v>1224</v>
      </c>
      <c r="AL48" s="138">
        <v>2.1000000000000001E-2</v>
      </c>
      <c r="BN48" s="138">
        <f t="shared" si="0"/>
        <v>2.1000000000000001E-2</v>
      </c>
      <c r="BO48" s="138">
        <f t="shared" si="1"/>
        <v>1992</v>
      </c>
      <c r="BP48" s="138">
        <f t="shared" si="2"/>
        <v>2.1000000000000001E-2</v>
      </c>
    </row>
    <row r="49" spans="2:68" x14ac:dyDescent="0.25">
      <c r="B49" s="138" t="s">
        <v>458</v>
      </c>
      <c r="C49" s="138" t="s">
        <v>25</v>
      </c>
      <c r="D49" s="138" t="s">
        <v>1225</v>
      </c>
      <c r="E49" s="138" t="s">
        <v>1224</v>
      </c>
      <c r="AJ49" s="138">
        <v>1.0609999999999999</v>
      </c>
      <c r="AO49" s="138">
        <v>1.0780000000000001</v>
      </c>
      <c r="AP49" s="138">
        <v>1.0569999999999999</v>
      </c>
      <c r="AQ49" s="138">
        <v>1.0509999999999999</v>
      </c>
      <c r="AR49" s="138">
        <v>1.052</v>
      </c>
      <c r="AS49" s="138">
        <v>1.0429999999999999</v>
      </c>
      <c r="AT49" s="138">
        <v>1.0329999999999999</v>
      </c>
      <c r="AU49" s="138">
        <v>8.4000000000000005E-2</v>
      </c>
      <c r="AW49" s="138">
        <v>0.66800000000000004</v>
      </c>
      <c r="AX49" s="138">
        <v>0.67600000000000005</v>
      </c>
      <c r="AY49" s="138">
        <v>0.69799999999999995</v>
      </c>
      <c r="AZ49" s="138">
        <v>0.72499999999999998</v>
      </c>
      <c r="BA49" s="138">
        <v>0.70199999999999996</v>
      </c>
      <c r="BB49" s="138">
        <v>0.70299999999999996</v>
      </c>
      <c r="BC49" s="138">
        <v>0.83</v>
      </c>
      <c r="BD49" s="138">
        <v>0.81</v>
      </c>
      <c r="BE49" s="138">
        <v>0.83099999999999996</v>
      </c>
      <c r="BN49" s="138">
        <f t="shared" si="0"/>
        <v>0.83099999999999996</v>
      </c>
      <c r="BO49" s="138">
        <f t="shared" si="1"/>
        <v>2011</v>
      </c>
      <c r="BP49" s="138">
        <f t="shared" si="2"/>
        <v>0.83099999999999996</v>
      </c>
    </row>
    <row r="50" spans="2:68" x14ac:dyDescent="0.25">
      <c r="B50" s="138" t="s">
        <v>464</v>
      </c>
      <c r="C50" s="138" t="s">
        <v>26</v>
      </c>
      <c r="D50" s="138" t="s">
        <v>1225</v>
      </c>
      <c r="E50" s="138" t="s">
        <v>1224</v>
      </c>
      <c r="BN50" s="138" t="str">
        <f t="shared" si="0"/>
        <v>No reported value</v>
      </c>
      <c r="BO50" s="138" t="str">
        <f t="shared" si="1"/>
        <v>No reported value</v>
      </c>
      <c r="BP50" s="138">
        <f t="shared" si="2"/>
        <v>0.4</v>
      </c>
    </row>
    <row r="51" spans="2:68" x14ac:dyDescent="0.25">
      <c r="B51" s="138" t="s">
        <v>187</v>
      </c>
      <c r="C51" s="138" t="s">
        <v>27</v>
      </c>
      <c r="D51" s="138" t="s">
        <v>1225</v>
      </c>
      <c r="E51" s="138" t="s">
        <v>1224</v>
      </c>
      <c r="BN51" s="138" t="str">
        <f t="shared" si="0"/>
        <v>No reported value</v>
      </c>
      <c r="BO51" s="138" t="str">
        <f t="shared" si="1"/>
        <v>No reported value</v>
      </c>
      <c r="BP51" s="138">
        <f t="shared" si="2"/>
        <v>0.4</v>
      </c>
    </row>
    <row r="52" spans="2:68" x14ac:dyDescent="0.25">
      <c r="B52" s="138" t="s">
        <v>461</v>
      </c>
      <c r="C52" s="138" t="s">
        <v>28</v>
      </c>
      <c r="D52" s="138" t="s">
        <v>1225</v>
      </c>
      <c r="E52" s="138" t="s">
        <v>1224</v>
      </c>
      <c r="BN52" s="138" t="str">
        <f t="shared" si="0"/>
        <v>No reported value</v>
      </c>
      <c r="BO52" s="138" t="str">
        <f t="shared" si="1"/>
        <v>No reported value</v>
      </c>
      <c r="BP52" s="138">
        <f t="shared" si="2"/>
        <v>0.4</v>
      </c>
    </row>
    <row r="53" spans="2:68" x14ac:dyDescent="0.25">
      <c r="B53" s="138" t="s">
        <v>462</v>
      </c>
      <c r="C53" s="138" t="s">
        <v>29</v>
      </c>
      <c r="D53" s="138" t="s">
        <v>1225</v>
      </c>
      <c r="E53" s="138" t="s">
        <v>1224</v>
      </c>
      <c r="BN53" s="138" t="str">
        <f t="shared" si="0"/>
        <v>No reported value</v>
      </c>
      <c r="BO53" s="138" t="str">
        <f t="shared" si="1"/>
        <v>No reported value</v>
      </c>
      <c r="BP53" s="138">
        <f t="shared" si="2"/>
        <v>0.4</v>
      </c>
    </row>
    <row r="54" spans="2:68" x14ac:dyDescent="0.25">
      <c r="B54" s="138" t="s">
        <v>459</v>
      </c>
      <c r="C54" s="138" t="s">
        <v>460</v>
      </c>
      <c r="D54" s="138" t="s">
        <v>1225</v>
      </c>
      <c r="E54" s="138" t="s">
        <v>1224</v>
      </c>
      <c r="BN54" s="138" t="str">
        <f t="shared" si="0"/>
        <v>No reported value</v>
      </c>
      <c r="BO54" s="138" t="str">
        <f t="shared" si="1"/>
        <v>No reported value</v>
      </c>
      <c r="BP54" s="138">
        <f t="shared" si="2"/>
        <v>0.4</v>
      </c>
    </row>
    <row r="55" spans="2:68" x14ac:dyDescent="0.25">
      <c r="B55" s="138" t="s">
        <v>190</v>
      </c>
      <c r="C55" s="138" t="s">
        <v>157</v>
      </c>
      <c r="D55" s="138" t="s">
        <v>1225</v>
      </c>
      <c r="E55" s="138" t="s">
        <v>1224</v>
      </c>
      <c r="BN55" s="138" t="str">
        <f t="shared" si="0"/>
        <v>No reported value</v>
      </c>
      <c r="BO55" s="138" t="str">
        <f t="shared" si="1"/>
        <v>No reported value</v>
      </c>
      <c r="BP55" s="138">
        <f t="shared" si="2"/>
        <v>0.4</v>
      </c>
    </row>
    <row r="56" spans="2:68" x14ac:dyDescent="0.25">
      <c r="B56" s="138" t="s">
        <v>448</v>
      </c>
      <c r="C56" s="138" t="s">
        <v>30</v>
      </c>
      <c r="D56" s="138" t="s">
        <v>1225</v>
      </c>
      <c r="E56" s="138" t="s">
        <v>1224</v>
      </c>
      <c r="AX56" s="138">
        <v>0.13900000000000001</v>
      </c>
      <c r="BN56" s="138">
        <f t="shared" si="0"/>
        <v>0.13900000000000001</v>
      </c>
      <c r="BO56" s="138">
        <f t="shared" si="1"/>
        <v>2004</v>
      </c>
      <c r="BP56" s="138">
        <f t="shared" si="2"/>
        <v>0.13900000000000001</v>
      </c>
    </row>
    <row r="57" spans="2:68" x14ac:dyDescent="0.25">
      <c r="B57" s="138" t="s">
        <v>463</v>
      </c>
      <c r="C57" s="138" t="s">
        <v>31</v>
      </c>
      <c r="D57" s="138" t="s">
        <v>1225</v>
      </c>
      <c r="E57" s="138" t="s">
        <v>1224</v>
      </c>
      <c r="BN57" s="138" t="str">
        <f t="shared" si="0"/>
        <v>No reported value</v>
      </c>
      <c r="BO57" s="138" t="str">
        <f t="shared" si="1"/>
        <v>No reported value</v>
      </c>
      <c r="BP57" s="138">
        <f t="shared" si="2"/>
        <v>0.4</v>
      </c>
    </row>
    <row r="58" spans="2:68" x14ac:dyDescent="0.25">
      <c r="B58" s="138" t="s">
        <v>450</v>
      </c>
      <c r="C58" s="138" t="s">
        <v>451</v>
      </c>
      <c r="D58" s="138" t="s">
        <v>1225</v>
      </c>
      <c r="E58" s="138" t="s">
        <v>1224</v>
      </c>
      <c r="BN58" s="138" t="str">
        <f t="shared" si="0"/>
        <v>No reported value</v>
      </c>
      <c r="BO58" s="138" t="str">
        <f t="shared" si="1"/>
        <v>No reported value</v>
      </c>
      <c r="BP58" s="138">
        <f t="shared" si="2"/>
        <v>0.4</v>
      </c>
    </row>
    <row r="59" spans="2:68" x14ac:dyDescent="0.25">
      <c r="B59" s="138" t="s">
        <v>221</v>
      </c>
      <c r="C59" s="138" t="s">
        <v>161</v>
      </c>
      <c r="D59" s="138" t="s">
        <v>1225</v>
      </c>
      <c r="E59" s="138" t="s">
        <v>1224</v>
      </c>
      <c r="BN59" s="138" t="str">
        <f t="shared" si="0"/>
        <v>No reported value</v>
      </c>
      <c r="BO59" s="138" t="str">
        <f t="shared" si="1"/>
        <v>No reported value</v>
      </c>
      <c r="BP59" s="138">
        <f t="shared" si="2"/>
        <v>0.4</v>
      </c>
    </row>
    <row r="60" spans="2:68" x14ac:dyDescent="0.25">
      <c r="B60" s="138" t="s">
        <v>466</v>
      </c>
      <c r="C60" s="138" t="s">
        <v>467</v>
      </c>
      <c r="D60" s="138" t="s">
        <v>1225</v>
      </c>
      <c r="E60" s="138" t="s">
        <v>1224</v>
      </c>
      <c r="BN60" s="138" t="str">
        <f t="shared" si="0"/>
        <v>No reported value</v>
      </c>
      <c r="BO60" s="138" t="str">
        <f t="shared" si="1"/>
        <v>No reported value</v>
      </c>
      <c r="BP60" s="138">
        <f t="shared" si="2"/>
        <v>0.4</v>
      </c>
    </row>
    <row r="61" spans="2:68" x14ac:dyDescent="0.25">
      <c r="B61" s="138" t="s">
        <v>452</v>
      </c>
      <c r="C61" s="138" t="s">
        <v>453</v>
      </c>
      <c r="D61" s="138" t="s">
        <v>1225</v>
      </c>
      <c r="E61" s="138" t="s">
        <v>1224</v>
      </c>
      <c r="BN61" s="138" t="str">
        <f t="shared" si="0"/>
        <v>No reported value</v>
      </c>
      <c r="BO61" s="138" t="str">
        <f t="shared" si="1"/>
        <v>No reported value</v>
      </c>
      <c r="BP61" s="138">
        <f t="shared" si="2"/>
        <v>0.4</v>
      </c>
    </row>
    <row r="62" spans="2:68" x14ac:dyDescent="0.25">
      <c r="B62" s="138" t="s">
        <v>468</v>
      </c>
      <c r="C62" s="138" t="s">
        <v>32</v>
      </c>
      <c r="D62" s="138" t="s">
        <v>1225</v>
      </c>
      <c r="E62" s="138" t="s">
        <v>1224</v>
      </c>
      <c r="BN62" s="138" t="str">
        <f t="shared" si="0"/>
        <v>No reported value</v>
      </c>
      <c r="BO62" s="138" t="str">
        <f t="shared" si="1"/>
        <v>No reported value</v>
      </c>
      <c r="BP62" s="138">
        <f t="shared" si="2"/>
        <v>0.4</v>
      </c>
    </row>
    <row r="63" spans="2:68" x14ac:dyDescent="0.25">
      <c r="B63" s="138" t="s">
        <v>469</v>
      </c>
      <c r="C63" s="138" t="s">
        <v>33</v>
      </c>
      <c r="D63" s="138" t="s">
        <v>1225</v>
      </c>
      <c r="E63" s="138" t="s">
        <v>1224</v>
      </c>
      <c r="BN63" s="138" t="str">
        <f t="shared" si="0"/>
        <v>No reported value</v>
      </c>
      <c r="BO63" s="138" t="str">
        <f t="shared" si="1"/>
        <v>No reported value</v>
      </c>
      <c r="BP63" s="138">
        <f t="shared" si="2"/>
        <v>0.4</v>
      </c>
    </row>
    <row r="64" spans="2:68" x14ac:dyDescent="0.25">
      <c r="B64" s="138" t="s">
        <v>506</v>
      </c>
      <c r="C64" s="138" t="s">
        <v>34</v>
      </c>
      <c r="D64" s="138" t="s">
        <v>1225</v>
      </c>
      <c r="E64" s="138" t="s">
        <v>1224</v>
      </c>
      <c r="BN64" s="138" t="str">
        <f t="shared" si="0"/>
        <v>No reported value</v>
      </c>
      <c r="BO64" s="138" t="str">
        <f t="shared" si="1"/>
        <v>No reported value</v>
      </c>
      <c r="BP64" s="138">
        <f t="shared" si="2"/>
        <v>0.4</v>
      </c>
    </row>
    <row r="65" spans="2:68" x14ac:dyDescent="0.25">
      <c r="B65" s="138" t="s">
        <v>231</v>
      </c>
      <c r="C65" s="138" t="s">
        <v>35</v>
      </c>
      <c r="D65" s="138" t="s">
        <v>1225</v>
      </c>
      <c r="E65" s="138" t="s">
        <v>1224</v>
      </c>
      <c r="BN65" s="138" t="str">
        <f t="shared" si="0"/>
        <v>No reported value</v>
      </c>
      <c r="BO65" s="138" t="str">
        <f t="shared" si="1"/>
        <v>No reported value</v>
      </c>
      <c r="BP65" s="138">
        <f t="shared" si="2"/>
        <v>0.4</v>
      </c>
    </row>
    <row r="66" spans="2:68" x14ac:dyDescent="0.25">
      <c r="B66" s="138" t="s">
        <v>471</v>
      </c>
      <c r="C66" s="138" t="s">
        <v>472</v>
      </c>
      <c r="D66" s="138" t="s">
        <v>1225</v>
      </c>
      <c r="E66" s="138" t="s">
        <v>1224</v>
      </c>
      <c r="BN66" s="138" t="str">
        <f t="shared" si="0"/>
        <v>No reported value</v>
      </c>
      <c r="BO66" s="138" t="str">
        <f t="shared" si="1"/>
        <v>No reported value</v>
      </c>
      <c r="BP66" s="138">
        <f t="shared" si="2"/>
        <v>0.4</v>
      </c>
    </row>
    <row r="67" spans="2:68" x14ac:dyDescent="0.25">
      <c r="B67" s="138" t="s">
        <v>470</v>
      </c>
      <c r="C67" s="138" t="s">
        <v>36</v>
      </c>
      <c r="D67" s="138" t="s">
        <v>1225</v>
      </c>
      <c r="E67" s="138" t="s">
        <v>1224</v>
      </c>
      <c r="BN67" s="138" t="str">
        <f t="shared" si="0"/>
        <v>No reported value</v>
      </c>
      <c r="BO67" s="138" t="str">
        <f t="shared" si="1"/>
        <v>No reported value</v>
      </c>
      <c r="BP67" s="138">
        <f t="shared" si="2"/>
        <v>0.4</v>
      </c>
    </row>
    <row r="68" spans="2:68" x14ac:dyDescent="0.25">
      <c r="B68" s="138" t="s">
        <v>473</v>
      </c>
      <c r="C68" s="138" t="s">
        <v>474</v>
      </c>
      <c r="D68" s="138" t="s">
        <v>1225</v>
      </c>
      <c r="E68" s="138" t="s">
        <v>1224</v>
      </c>
      <c r="BN68" s="138" t="str">
        <f t="shared" si="0"/>
        <v>No reported value</v>
      </c>
      <c r="BO68" s="138" t="str">
        <f t="shared" si="1"/>
        <v>No reported value</v>
      </c>
      <c r="BP68" s="138">
        <f t="shared" si="2"/>
        <v>0.4</v>
      </c>
    </row>
    <row r="69" spans="2:68" x14ac:dyDescent="0.25">
      <c r="B69" s="138" t="s">
        <v>420</v>
      </c>
      <c r="C69" s="138" t="s">
        <v>37</v>
      </c>
      <c r="D69" s="138" t="s">
        <v>1225</v>
      </c>
      <c r="E69" s="138" t="s">
        <v>1224</v>
      </c>
      <c r="BN69" s="138" t="str">
        <f t="shared" si="0"/>
        <v>No reported value</v>
      </c>
      <c r="BO69" s="138" t="str">
        <f t="shared" si="1"/>
        <v>No reported value</v>
      </c>
      <c r="BP69" s="138">
        <f t="shared" si="2"/>
        <v>0.4</v>
      </c>
    </row>
    <row r="70" spans="2:68" x14ac:dyDescent="0.25">
      <c r="B70" s="138" t="s">
        <v>479</v>
      </c>
      <c r="C70" s="138" t="s">
        <v>480</v>
      </c>
      <c r="D70" s="138" t="s">
        <v>1225</v>
      </c>
      <c r="E70" s="138" t="s">
        <v>1224</v>
      </c>
      <c r="AJ70" s="138">
        <v>1.0609999999999999</v>
      </c>
      <c r="AT70" s="138">
        <v>0.98674473266602269</v>
      </c>
      <c r="BE70" s="138">
        <v>0.6814814941465519</v>
      </c>
      <c r="BN70" s="138">
        <f t="shared" si="0"/>
        <v>0.6814814941465519</v>
      </c>
      <c r="BO70" s="138">
        <f t="shared" si="1"/>
        <v>2011</v>
      </c>
      <c r="BP70" s="138">
        <f t="shared" si="2"/>
        <v>0.6814814941465519</v>
      </c>
    </row>
    <row r="71" spans="2:68" x14ac:dyDescent="0.25">
      <c r="B71" s="138" t="s">
        <v>475</v>
      </c>
      <c r="C71" s="138" t="s">
        <v>476</v>
      </c>
      <c r="D71" s="138" t="s">
        <v>1225</v>
      </c>
      <c r="E71" s="138" t="s">
        <v>1224</v>
      </c>
      <c r="BE71" s="138">
        <v>0.42702452919143652</v>
      </c>
      <c r="BN71" s="138">
        <f t="shared" si="0"/>
        <v>0.42702452919143652</v>
      </c>
      <c r="BO71" s="138">
        <f t="shared" si="1"/>
        <v>2011</v>
      </c>
      <c r="BP71" s="138">
        <f t="shared" si="2"/>
        <v>0.42702452919143652</v>
      </c>
    </row>
    <row r="72" spans="2:68" x14ac:dyDescent="0.25">
      <c r="B72" s="138" t="s">
        <v>477</v>
      </c>
      <c r="C72" s="138" t="s">
        <v>478</v>
      </c>
      <c r="D72" s="138" t="s">
        <v>1225</v>
      </c>
      <c r="E72" s="138" t="s">
        <v>1224</v>
      </c>
      <c r="BE72" s="138">
        <v>0.67218257158545569</v>
      </c>
      <c r="BN72" s="138">
        <f t="shared" si="0"/>
        <v>0.67218257158545569</v>
      </c>
      <c r="BO72" s="138">
        <f t="shared" si="1"/>
        <v>2011</v>
      </c>
      <c r="BP72" s="138">
        <f t="shared" si="2"/>
        <v>0.67218257158545569</v>
      </c>
    </row>
    <row r="73" spans="2:68" x14ac:dyDescent="0.25">
      <c r="B73" s="138" t="s">
        <v>491</v>
      </c>
      <c r="C73" s="138" t="s">
        <v>492</v>
      </c>
      <c r="D73" s="138" t="s">
        <v>1225</v>
      </c>
      <c r="E73" s="138" t="s">
        <v>1224</v>
      </c>
      <c r="BN73" s="138" t="str">
        <f t="shared" si="0"/>
        <v>No reported value</v>
      </c>
      <c r="BO73" s="138" t="str">
        <f t="shared" si="1"/>
        <v>No reported value</v>
      </c>
      <c r="BP73" s="138">
        <f t="shared" si="2"/>
        <v>0.4</v>
      </c>
    </row>
    <row r="74" spans="2:68" x14ac:dyDescent="0.25">
      <c r="B74" s="138" t="s">
        <v>489</v>
      </c>
      <c r="C74" s="138" t="s">
        <v>490</v>
      </c>
      <c r="D74" s="138" t="s">
        <v>1225</v>
      </c>
      <c r="E74" s="138" t="s">
        <v>1224</v>
      </c>
      <c r="BN74" s="138" t="str">
        <f t="shared" si="0"/>
        <v>No reported value</v>
      </c>
      <c r="BO74" s="138" t="str">
        <f t="shared" si="1"/>
        <v>No reported value</v>
      </c>
      <c r="BP74" s="138">
        <f t="shared" si="2"/>
        <v>0.4</v>
      </c>
    </row>
    <row r="75" spans="2:68" x14ac:dyDescent="0.25">
      <c r="B75" s="138" t="s">
        <v>483</v>
      </c>
      <c r="C75" s="138" t="s">
        <v>38</v>
      </c>
      <c r="D75" s="138" t="s">
        <v>1225</v>
      </c>
      <c r="E75" s="138" t="s">
        <v>1224</v>
      </c>
      <c r="BN75" s="138" t="str">
        <f t="shared" ref="BN75:BN138" si="3">IFERROR(LOOKUP(2,1/(ISNUMBER(F75:BM75)),F75:BM75),"No reported value")</f>
        <v>No reported value</v>
      </c>
      <c r="BO75" s="138" t="str">
        <f t="shared" ref="BO75:BO138" si="4">IFERROR(INDEX($F$10:$BM$10,1,MATCH($BN75,$F75:$BM75,0)),"No reported value")</f>
        <v>No reported value</v>
      </c>
      <c r="BP75" s="138">
        <f t="shared" si="2"/>
        <v>0.4</v>
      </c>
    </row>
    <row r="76" spans="2:68" x14ac:dyDescent="0.25">
      <c r="B76" s="138" t="s">
        <v>484</v>
      </c>
      <c r="C76" s="138" t="s">
        <v>39</v>
      </c>
      <c r="D76" s="138" t="s">
        <v>1225</v>
      </c>
      <c r="E76" s="138" t="s">
        <v>1224</v>
      </c>
      <c r="BN76" s="138" t="str">
        <f t="shared" si="3"/>
        <v>No reported value</v>
      </c>
      <c r="BO76" s="138" t="str">
        <f t="shared" si="4"/>
        <v>No reported value</v>
      </c>
      <c r="BP76" s="138">
        <f t="shared" ref="BP76:BP139" si="5">IF(BN76="No reported value",BO$8,BN76)</f>
        <v>0.4</v>
      </c>
    </row>
    <row r="77" spans="2:68" x14ac:dyDescent="0.25">
      <c r="B77" s="138" t="s">
        <v>487</v>
      </c>
      <c r="C77" s="138" t="s">
        <v>488</v>
      </c>
      <c r="D77" s="138" t="s">
        <v>1225</v>
      </c>
      <c r="E77" s="138" t="s">
        <v>1224</v>
      </c>
      <c r="BN77" s="138" t="str">
        <f t="shared" si="3"/>
        <v>No reported value</v>
      </c>
      <c r="BO77" s="138" t="str">
        <f t="shared" si="4"/>
        <v>No reported value</v>
      </c>
      <c r="BP77" s="138">
        <f t="shared" si="5"/>
        <v>0.4</v>
      </c>
    </row>
    <row r="78" spans="2:68" x14ac:dyDescent="0.25">
      <c r="B78" s="138" t="s">
        <v>192</v>
      </c>
      <c r="C78" s="138" t="s">
        <v>168</v>
      </c>
      <c r="D78" s="138" t="s">
        <v>1225</v>
      </c>
      <c r="E78" s="138" t="s">
        <v>1224</v>
      </c>
      <c r="BN78" s="138" t="str">
        <f t="shared" si="3"/>
        <v>No reported value</v>
      </c>
      <c r="BO78" s="138" t="str">
        <f t="shared" si="4"/>
        <v>No reported value</v>
      </c>
      <c r="BP78" s="138">
        <f t="shared" si="5"/>
        <v>0.4</v>
      </c>
    </row>
    <row r="79" spans="2:68" x14ac:dyDescent="0.25">
      <c r="B79" s="138" t="s">
        <v>636</v>
      </c>
      <c r="C79" s="138" t="s">
        <v>40</v>
      </c>
      <c r="D79" s="138" t="s">
        <v>1225</v>
      </c>
      <c r="E79" s="138" t="s">
        <v>1224</v>
      </c>
      <c r="BN79" s="138" t="str">
        <f t="shared" si="3"/>
        <v>No reported value</v>
      </c>
      <c r="BO79" s="138" t="str">
        <f t="shared" si="4"/>
        <v>No reported value</v>
      </c>
      <c r="BP79" s="138">
        <f t="shared" si="5"/>
        <v>0.4</v>
      </c>
    </row>
    <row r="80" spans="2:68" x14ac:dyDescent="0.25">
      <c r="B80" s="138" t="s">
        <v>485</v>
      </c>
      <c r="C80" s="138" t="s">
        <v>41</v>
      </c>
      <c r="D80" s="138" t="s">
        <v>1225</v>
      </c>
      <c r="E80" s="138" t="s">
        <v>1224</v>
      </c>
      <c r="AT80" s="138">
        <v>3.1E-2</v>
      </c>
      <c r="BN80" s="138">
        <f t="shared" si="3"/>
        <v>3.1E-2</v>
      </c>
      <c r="BO80" s="138">
        <f t="shared" si="4"/>
        <v>2000</v>
      </c>
      <c r="BP80" s="138">
        <f t="shared" si="5"/>
        <v>3.1E-2</v>
      </c>
    </row>
    <row r="81" spans="2:68" x14ac:dyDescent="0.25">
      <c r="B81" s="138" t="s">
        <v>194</v>
      </c>
      <c r="C81" s="138" t="s">
        <v>42</v>
      </c>
      <c r="D81" s="138" t="s">
        <v>1225</v>
      </c>
      <c r="E81" s="138" t="s">
        <v>1224</v>
      </c>
      <c r="AW81" s="138">
        <v>0.185</v>
      </c>
      <c r="AX81" s="138">
        <v>0.21099999999999999</v>
      </c>
      <c r="BA81" s="138">
        <v>0.218</v>
      </c>
      <c r="BB81" s="138">
        <v>0.29599999999999999</v>
      </c>
      <c r="BC81" s="138">
        <v>0.36299999999999999</v>
      </c>
      <c r="BN81" s="138">
        <f t="shared" si="3"/>
        <v>0.36299999999999999</v>
      </c>
      <c r="BO81" s="138">
        <f t="shared" si="4"/>
        <v>2009</v>
      </c>
      <c r="BP81" s="138">
        <f t="shared" si="5"/>
        <v>0.36299999999999999</v>
      </c>
    </row>
    <row r="82" spans="2:68" x14ac:dyDescent="0.25">
      <c r="B82" s="138" t="s">
        <v>495</v>
      </c>
      <c r="C82" s="138" t="s">
        <v>496</v>
      </c>
      <c r="D82" s="138" t="s">
        <v>1225</v>
      </c>
      <c r="E82" s="138" t="s">
        <v>1224</v>
      </c>
      <c r="BN82" s="138" t="str">
        <f t="shared" si="3"/>
        <v>No reported value</v>
      </c>
      <c r="BO82" s="138" t="str">
        <f t="shared" si="4"/>
        <v>No reported value</v>
      </c>
      <c r="BP82" s="138">
        <f t="shared" si="5"/>
        <v>0.4</v>
      </c>
    </row>
    <row r="83" spans="2:68" x14ac:dyDescent="0.25">
      <c r="B83" s="138" t="s">
        <v>500</v>
      </c>
      <c r="C83" s="138" t="s">
        <v>501</v>
      </c>
      <c r="D83" s="138" t="s">
        <v>1225</v>
      </c>
      <c r="E83" s="138" t="s">
        <v>1224</v>
      </c>
      <c r="BN83" s="138" t="str">
        <f t="shared" si="3"/>
        <v>No reported value</v>
      </c>
      <c r="BO83" s="138" t="str">
        <f t="shared" si="4"/>
        <v>No reported value</v>
      </c>
      <c r="BP83" s="138">
        <f t="shared" si="5"/>
        <v>0.4</v>
      </c>
    </row>
    <row r="84" spans="2:68" x14ac:dyDescent="0.25">
      <c r="B84" s="138" t="s">
        <v>499</v>
      </c>
      <c r="C84" s="138" t="s">
        <v>43</v>
      </c>
      <c r="D84" s="138" t="s">
        <v>1225</v>
      </c>
      <c r="E84" s="138" t="s">
        <v>1224</v>
      </c>
      <c r="BN84" s="138" t="str">
        <f t="shared" si="3"/>
        <v>No reported value</v>
      </c>
      <c r="BO84" s="138" t="str">
        <f t="shared" si="4"/>
        <v>No reported value</v>
      </c>
      <c r="BP84" s="138">
        <f t="shared" si="5"/>
        <v>0.4</v>
      </c>
    </row>
    <row r="85" spans="2:68" x14ac:dyDescent="0.25">
      <c r="B85" s="138" t="s">
        <v>248</v>
      </c>
      <c r="C85" s="138" t="s">
        <v>44</v>
      </c>
      <c r="D85" s="138" t="s">
        <v>1225</v>
      </c>
      <c r="E85" s="138" t="s">
        <v>1224</v>
      </c>
      <c r="BN85" s="138" t="str">
        <f t="shared" si="3"/>
        <v>No reported value</v>
      </c>
      <c r="BO85" s="138" t="str">
        <f t="shared" si="4"/>
        <v>No reported value</v>
      </c>
      <c r="BP85" s="138">
        <f t="shared" si="5"/>
        <v>0.4</v>
      </c>
    </row>
    <row r="86" spans="2:68" x14ac:dyDescent="0.25">
      <c r="B86" s="138" t="s">
        <v>502</v>
      </c>
      <c r="C86" s="138" t="s">
        <v>45</v>
      </c>
      <c r="D86" s="138" t="s">
        <v>1225</v>
      </c>
      <c r="E86" s="138" t="s">
        <v>1224</v>
      </c>
      <c r="BA86" s="138">
        <v>2.8000000000000001E-2</v>
      </c>
      <c r="BN86" s="138">
        <f t="shared" si="3"/>
        <v>2.8000000000000001E-2</v>
      </c>
      <c r="BO86" s="138">
        <f t="shared" si="4"/>
        <v>2007</v>
      </c>
      <c r="BP86" s="138">
        <f t="shared" si="5"/>
        <v>2.8000000000000001E-2</v>
      </c>
    </row>
    <row r="87" spans="2:68" x14ac:dyDescent="0.25">
      <c r="B87" s="138" t="s">
        <v>497</v>
      </c>
      <c r="C87" s="138" t="s">
        <v>498</v>
      </c>
      <c r="D87" s="138" t="s">
        <v>1225</v>
      </c>
      <c r="E87" s="138" t="s">
        <v>1224</v>
      </c>
      <c r="BN87" s="138" t="str">
        <f t="shared" si="3"/>
        <v>No reported value</v>
      </c>
      <c r="BO87" s="138" t="str">
        <f t="shared" si="4"/>
        <v>No reported value</v>
      </c>
      <c r="BP87" s="138">
        <f t="shared" si="5"/>
        <v>0.4</v>
      </c>
    </row>
    <row r="88" spans="2:68" x14ac:dyDescent="0.25">
      <c r="B88" s="138" t="s">
        <v>570</v>
      </c>
      <c r="C88" s="138" t="s">
        <v>571</v>
      </c>
      <c r="D88" s="138" t="s">
        <v>1225</v>
      </c>
      <c r="E88" s="138" t="s">
        <v>1224</v>
      </c>
      <c r="BB88" s="138">
        <v>0.29699999999999999</v>
      </c>
      <c r="BN88" s="138">
        <f t="shared" si="3"/>
        <v>0.29699999999999999</v>
      </c>
      <c r="BO88" s="138">
        <f t="shared" si="4"/>
        <v>2008</v>
      </c>
      <c r="BP88" s="138">
        <f t="shared" si="5"/>
        <v>0.29699999999999999</v>
      </c>
    </row>
    <row r="89" spans="2:68" x14ac:dyDescent="0.25">
      <c r="B89" s="138" t="s">
        <v>195</v>
      </c>
      <c r="C89" s="138" t="s">
        <v>46</v>
      </c>
      <c r="D89" s="138" t="s">
        <v>1225</v>
      </c>
      <c r="E89" s="138" t="s">
        <v>1224</v>
      </c>
      <c r="BN89" s="138" t="str">
        <f t="shared" si="3"/>
        <v>No reported value</v>
      </c>
      <c r="BO89" s="138" t="str">
        <f t="shared" si="4"/>
        <v>No reported value</v>
      </c>
      <c r="BP89" s="138">
        <f t="shared" si="5"/>
        <v>0.4</v>
      </c>
    </row>
    <row r="90" spans="2:68" x14ac:dyDescent="0.25">
      <c r="B90" s="138" t="s">
        <v>662</v>
      </c>
      <c r="C90" s="138" t="s">
        <v>47</v>
      </c>
      <c r="D90" s="138" t="s">
        <v>1225</v>
      </c>
      <c r="E90" s="138" t="s">
        <v>1224</v>
      </c>
      <c r="BN90" s="138" t="str">
        <f t="shared" si="3"/>
        <v>No reported value</v>
      </c>
      <c r="BO90" s="138" t="str">
        <f t="shared" si="4"/>
        <v>No reported value</v>
      </c>
      <c r="BP90" s="138">
        <f t="shared" si="5"/>
        <v>0.4</v>
      </c>
    </row>
    <row r="91" spans="2:68" x14ac:dyDescent="0.25">
      <c r="B91" s="138" t="s">
        <v>236</v>
      </c>
      <c r="C91" s="138" t="s">
        <v>48</v>
      </c>
      <c r="D91" s="138" t="s">
        <v>1225</v>
      </c>
      <c r="E91" s="138" t="s">
        <v>1224</v>
      </c>
      <c r="BN91" s="138" t="str">
        <f t="shared" si="3"/>
        <v>No reported value</v>
      </c>
      <c r="BO91" s="138" t="str">
        <f t="shared" si="4"/>
        <v>No reported value</v>
      </c>
      <c r="BP91" s="138">
        <f t="shared" si="5"/>
        <v>0.4</v>
      </c>
    </row>
    <row r="92" spans="2:68" x14ac:dyDescent="0.25">
      <c r="B92" s="138" t="s">
        <v>196</v>
      </c>
      <c r="C92" s="138" t="s">
        <v>162</v>
      </c>
      <c r="D92" s="138" t="s">
        <v>1225</v>
      </c>
      <c r="E92" s="138" t="s">
        <v>1224</v>
      </c>
      <c r="AR92" s="138">
        <v>0.48799999999999999</v>
      </c>
      <c r="AS92" s="138">
        <v>0.55600000000000005</v>
      </c>
      <c r="AT92" s="138">
        <v>0.55600000000000005</v>
      </c>
      <c r="AU92" s="138">
        <v>0.55600000000000005</v>
      </c>
      <c r="AV92" s="138">
        <v>0.55600000000000005</v>
      </c>
      <c r="AW92" s="138">
        <v>0.56299999999999994</v>
      </c>
      <c r="BB92" s="138">
        <v>0.19500000000000001</v>
      </c>
      <c r="BN92" s="138">
        <f t="shared" si="3"/>
        <v>0.19500000000000001</v>
      </c>
      <c r="BO92" s="138">
        <f t="shared" si="4"/>
        <v>2008</v>
      </c>
      <c r="BP92" s="138">
        <f t="shared" si="5"/>
        <v>0.19500000000000001</v>
      </c>
    </row>
    <row r="93" spans="2:68" x14ac:dyDescent="0.25">
      <c r="B93" s="138" t="s">
        <v>507</v>
      </c>
      <c r="C93" s="138" t="s">
        <v>508</v>
      </c>
      <c r="D93" s="138" t="s">
        <v>1225</v>
      </c>
      <c r="E93" s="138" t="s">
        <v>1224</v>
      </c>
      <c r="BN93" s="138" t="str">
        <f t="shared" si="3"/>
        <v>No reported value</v>
      </c>
      <c r="BO93" s="138" t="str">
        <f t="shared" si="4"/>
        <v>No reported value</v>
      </c>
      <c r="BP93" s="138">
        <f t="shared" si="5"/>
        <v>0.4</v>
      </c>
    </row>
    <row r="94" spans="2:68" x14ac:dyDescent="0.25">
      <c r="B94" s="138" t="s">
        <v>197</v>
      </c>
      <c r="C94" s="138" t="s">
        <v>49</v>
      </c>
      <c r="D94" s="138" t="s">
        <v>1225</v>
      </c>
      <c r="E94" s="138" t="s">
        <v>1224</v>
      </c>
      <c r="BJ94" s="138">
        <v>0.51700000000000002</v>
      </c>
      <c r="BN94" s="138">
        <f t="shared" si="3"/>
        <v>0.51700000000000002</v>
      </c>
      <c r="BO94" s="138">
        <f t="shared" si="4"/>
        <v>2016</v>
      </c>
      <c r="BP94" s="138">
        <f t="shared" si="5"/>
        <v>0.51700000000000002</v>
      </c>
    </row>
    <row r="95" spans="2:68" x14ac:dyDescent="0.25">
      <c r="B95" s="138" t="s">
        <v>505</v>
      </c>
      <c r="C95" s="138" t="s">
        <v>50</v>
      </c>
      <c r="D95" s="138" t="s">
        <v>1225</v>
      </c>
      <c r="E95" s="138" t="s">
        <v>1224</v>
      </c>
      <c r="AW95" s="138">
        <v>0.30499999999999999</v>
      </c>
      <c r="BA95" s="138">
        <v>0.752</v>
      </c>
      <c r="BB95" s="138">
        <v>0.72499999999999998</v>
      </c>
      <c r="BN95" s="138">
        <f t="shared" si="3"/>
        <v>0.72499999999999998</v>
      </c>
      <c r="BO95" s="138">
        <f t="shared" si="4"/>
        <v>2008</v>
      </c>
      <c r="BP95" s="138">
        <f t="shared" si="5"/>
        <v>0.72499999999999998</v>
      </c>
    </row>
    <row r="96" spans="2:68" x14ac:dyDescent="0.25">
      <c r="B96" s="138" t="s">
        <v>198</v>
      </c>
      <c r="C96" s="138" t="s">
        <v>172</v>
      </c>
      <c r="D96" s="138" t="s">
        <v>1225</v>
      </c>
      <c r="E96" s="138" t="s">
        <v>1224</v>
      </c>
      <c r="AX96" s="138">
        <v>1.645</v>
      </c>
      <c r="BN96" s="138">
        <f t="shared" si="3"/>
        <v>1.645</v>
      </c>
      <c r="BO96" s="138">
        <f t="shared" si="4"/>
        <v>2004</v>
      </c>
      <c r="BP96" s="138">
        <f t="shared" si="5"/>
        <v>1.645</v>
      </c>
    </row>
    <row r="97" spans="2:68" x14ac:dyDescent="0.25">
      <c r="B97" s="138" t="s">
        <v>191</v>
      </c>
      <c r="C97" s="138" t="s">
        <v>174</v>
      </c>
      <c r="D97" s="138" t="s">
        <v>1225</v>
      </c>
      <c r="E97" s="138" t="s">
        <v>1224</v>
      </c>
      <c r="AX97" s="138">
        <v>0.50800000000000001</v>
      </c>
      <c r="BN97" s="138">
        <f t="shared" si="3"/>
        <v>0.50800000000000001</v>
      </c>
      <c r="BO97" s="138">
        <f t="shared" si="4"/>
        <v>2004</v>
      </c>
      <c r="BP97" s="138">
        <f t="shared" si="5"/>
        <v>0.50800000000000001</v>
      </c>
    </row>
    <row r="98" spans="2:68" x14ac:dyDescent="0.25">
      <c r="B98" s="138" t="s">
        <v>509</v>
      </c>
      <c r="C98" s="138" t="s">
        <v>51</v>
      </c>
      <c r="D98" s="138" t="s">
        <v>1225</v>
      </c>
      <c r="E98" s="138" t="s">
        <v>1224</v>
      </c>
      <c r="BN98" s="138" t="str">
        <f t="shared" si="3"/>
        <v>No reported value</v>
      </c>
      <c r="BO98" s="138" t="str">
        <f t="shared" si="4"/>
        <v>No reported value</v>
      </c>
      <c r="BP98" s="138">
        <f t="shared" si="5"/>
        <v>0.4</v>
      </c>
    </row>
    <row r="99" spans="2:68" x14ac:dyDescent="0.25">
      <c r="B99" s="138" t="s">
        <v>512</v>
      </c>
      <c r="C99" s="138" t="s">
        <v>52</v>
      </c>
      <c r="D99" s="138" t="s">
        <v>1225</v>
      </c>
      <c r="E99" s="138" t="s">
        <v>1224</v>
      </c>
      <c r="AR99" s="138">
        <v>0.39500000000000002</v>
      </c>
      <c r="AS99" s="138">
        <v>0.44400000000000001</v>
      </c>
      <c r="AT99" s="138">
        <v>0.443</v>
      </c>
      <c r="AU99" s="138">
        <v>0.442</v>
      </c>
      <c r="AV99" s="138">
        <v>0.441</v>
      </c>
      <c r="AW99" s="138">
        <v>0.44</v>
      </c>
      <c r="BN99" s="138">
        <f t="shared" si="3"/>
        <v>0.44</v>
      </c>
      <c r="BO99" s="138">
        <f t="shared" si="4"/>
        <v>2003</v>
      </c>
      <c r="BP99" s="138">
        <f t="shared" si="5"/>
        <v>0.44</v>
      </c>
    </row>
    <row r="100" spans="2:68" x14ac:dyDescent="0.25">
      <c r="B100" s="138" t="s">
        <v>510</v>
      </c>
      <c r="C100" s="138" t="s">
        <v>511</v>
      </c>
      <c r="D100" s="138" t="s">
        <v>1225</v>
      </c>
      <c r="E100" s="138" t="s">
        <v>1224</v>
      </c>
      <c r="BN100" s="138" t="str">
        <f t="shared" si="3"/>
        <v>No reported value</v>
      </c>
      <c r="BO100" s="138" t="str">
        <f t="shared" si="4"/>
        <v>No reported value</v>
      </c>
      <c r="BP100" s="138">
        <f t="shared" si="5"/>
        <v>0.4</v>
      </c>
    </row>
    <row r="101" spans="2:68" x14ac:dyDescent="0.25">
      <c r="B101" s="138" t="s">
        <v>223</v>
      </c>
      <c r="C101" s="138" t="s">
        <v>53</v>
      </c>
      <c r="D101" s="138" t="s">
        <v>1225</v>
      </c>
      <c r="E101" s="138" t="s">
        <v>1224</v>
      </c>
      <c r="BN101" s="138" t="str">
        <f t="shared" si="3"/>
        <v>No reported value</v>
      </c>
      <c r="BO101" s="138" t="str">
        <f t="shared" si="4"/>
        <v>No reported value</v>
      </c>
      <c r="BP101" s="138">
        <f t="shared" si="5"/>
        <v>0.4</v>
      </c>
    </row>
    <row r="102" spans="2:68" x14ac:dyDescent="0.25">
      <c r="B102" s="138" t="s">
        <v>513</v>
      </c>
      <c r="C102" s="138" t="s">
        <v>514</v>
      </c>
      <c r="D102" s="138" t="s">
        <v>1225</v>
      </c>
      <c r="E102" s="138" t="s">
        <v>1224</v>
      </c>
      <c r="BN102" s="138" t="str">
        <f t="shared" si="3"/>
        <v>No reported value</v>
      </c>
      <c r="BO102" s="138" t="str">
        <f t="shared" si="4"/>
        <v>No reported value</v>
      </c>
      <c r="BP102" s="138">
        <f t="shared" si="5"/>
        <v>0.4</v>
      </c>
    </row>
    <row r="103" spans="2:68" x14ac:dyDescent="0.25">
      <c r="B103" s="138" t="s">
        <v>224</v>
      </c>
      <c r="C103" s="138" t="s">
        <v>54</v>
      </c>
      <c r="D103" s="138" t="s">
        <v>1225</v>
      </c>
      <c r="E103" s="138" t="s">
        <v>1224</v>
      </c>
      <c r="BC103" s="138">
        <v>0.32600000000000001</v>
      </c>
      <c r="BD103" s="138">
        <v>0.32500000000000001</v>
      </c>
      <c r="BN103" s="138">
        <f t="shared" si="3"/>
        <v>0.32500000000000001</v>
      </c>
      <c r="BO103" s="138">
        <f t="shared" si="4"/>
        <v>2010</v>
      </c>
      <c r="BP103" s="138">
        <f t="shared" si="5"/>
        <v>0.32500000000000001</v>
      </c>
    </row>
    <row r="104" spans="2:68" x14ac:dyDescent="0.25">
      <c r="B104" s="138" t="s">
        <v>517</v>
      </c>
      <c r="C104" s="138" t="s">
        <v>518</v>
      </c>
      <c r="D104" s="138" t="s">
        <v>1225</v>
      </c>
      <c r="E104" s="138" t="s">
        <v>1224</v>
      </c>
      <c r="BN104" s="138" t="str">
        <f t="shared" si="3"/>
        <v>No reported value</v>
      </c>
      <c r="BO104" s="138" t="str">
        <f t="shared" si="4"/>
        <v>No reported value</v>
      </c>
      <c r="BP104" s="138">
        <f t="shared" si="5"/>
        <v>0.4</v>
      </c>
    </row>
    <row r="105" spans="2:68" x14ac:dyDescent="0.25">
      <c r="B105" s="138" t="s">
        <v>519</v>
      </c>
      <c r="C105" s="138" t="s">
        <v>520</v>
      </c>
      <c r="D105" s="138" t="s">
        <v>1225</v>
      </c>
      <c r="E105" s="138" t="s">
        <v>1224</v>
      </c>
      <c r="BN105" s="138" t="str">
        <f t="shared" si="3"/>
        <v>No reported value</v>
      </c>
      <c r="BO105" s="138" t="str">
        <f t="shared" si="4"/>
        <v>No reported value</v>
      </c>
      <c r="BP105" s="138">
        <f t="shared" si="5"/>
        <v>0.4</v>
      </c>
    </row>
    <row r="106" spans="2:68" x14ac:dyDescent="0.25">
      <c r="B106" s="138" t="s">
        <v>226</v>
      </c>
      <c r="C106" s="138" t="s">
        <v>166</v>
      </c>
      <c r="D106" s="138" t="s">
        <v>1225</v>
      </c>
      <c r="E106" s="138" t="s">
        <v>1224</v>
      </c>
      <c r="BN106" s="138" t="str">
        <f t="shared" si="3"/>
        <v>No reported value</v>
      </c>
      <c r="BO106" s="138" t="str">
        <f t="shared" si="4"/>
        <v>No reported value</v>
      </c>
      <c r="BP106" s="138">
        <f t="shared" si="5"/>
        <v>0.4</v>
      </c>
    </row>
    <row r="107" spans="2:68" x14ac:dyDescent="0.25">
      <c r="B107" s="138" t="s">
        <v>515</v>
      </c>
      <c r="C107" s="138" t="s">
        <v>516</v>
      </c>
      <c r="D107" s="138" t="s">
        <v>1225</v>
      </c>
      <c r="E107" s="138" t="s">
        <v>1224</v>
      </c>
      <c r="BN107" s="138" t="str">
        <f t="shared" si="3"/>
        <v>No reported value</v>
      </c>
      <c r="BO107" s="138" t="str">
        <f t="shared" si="4"/>
        <v>No reported value</v>
      </c>
      <c r="BP107" s="138">
        <f t="shared" si="5"/>
        <v>0.4</v>
      </c>
    </row>
    <row r="108" spans="2:68" x14ac:dyDescent="0.25">
      <c r="B108" s="138" t="s">
        <v>465</v>
      </c>
      <c r="C108" s="138" t="s">
        <v>55</v>
      </c>
      <c r="D108" s="138" t="s">
        <v>1225</v>
      </c>
      <c r="E108" s="138" t="s">
        <v>1224</v>
      </c>
      <c r="BN108" s="138" t="str">
        <f t="shared" si="3"/>
        <v>No reported value</v>
      </c>
      <c r="BO108" s="138" t="str">
        <f t="shared" si="4"/>
        <v>No reported value</v>
      </c>
      <c r="BP108" s="138">
        <f t="shared" si="5"/>
        <v>0.4</v>
      </c>
    </row>
    <row r="109" spans="2:68" x14ac:dyDescent="0.25">
      <c r="B109" s="138" t="s">
        <v>225</v>
      </c>
      <c r="C109" s="138" t="s">
        <v>56</v>
      </c>
      <c r="D109" s="138" t="s">
        <v>1225</v>
      </c>
      <c r="E109" s="138" t="s">
        <v>1224</v>
      </c>
      <c r="BN109" s="138" t="str">
        <f t="shared" si="3"/>
        <v>No reported value</v>
      </c>
      <c r="BO109" s="138" t="str">
        <f t="shared" si="4"/>
        <v>No reported value</v>
      </c>
      <c r="BP109" s="138">
        <f t="shared" si="5"/>
        <v>0.4</v>
      </c>
    </row>
    <row r="110" spans="2:68" x14ac:dyDescent="0.25">
      <c r="B110" s="138" t="s">
        <v>521</v>
      </c>
      <c r="C110" s="138" t="s">
        <v>57</v>
      </c>
      <c r="D110" s="138" t="s">
        <v>1225</v>
      </c>
      <c r="E110" s="138" t="s">
        <v>1224</v>
      </c>
      <c r="BN110" s="138" t="str">
        <f t="shared" si="3"/>
        <v>No reported value</v>
      </c>
      <c r="BO110" s="138" t="str">
        <f t="shared" si="4"/>
        <v>No reported value</v>
      </c>
      <c r="BP110" s="138">
        <f t="shared" si="5"/>
        <v>0.4</v>
      </c>
    </row>
    <row r="111" spans="2:68" x14ac:dyDescent="0.25">
      <c r="B111" s="138" t="s">
        <v>909</v>
      </c>
      <c r="C111" s="138" t="s">
        <v>910</v>
      </c>
      <c r="D111" s="138" t="s">
        <v>1225</v>
      </c>
      <c r="E111" s="138" t="s">
        <v>1224</v>
      </c>
      <c r="BN111" s="138" t="str">
        <f t="shared" si="3"/>
        <v>No reported value</v>
      </c>
      <c r="BO111" s="138" t="str">
        <f t="shared" si="4"/>
        <v>No reported value</v>
      </c>
      <c r="BP111" s="138">
        <f t="shared" si="5"/>
        <v>0.4</v>
      </c>
    </row>
    <row r="112" spans="2:68" x14ac:dyDescent="0.25">
      <c r="B112" s="138" t="s">
        <v>911</v>
      </c>
      <c r="C112" s="138" t="s">
        <v>912</v>
      </c>
      <c r="D112" s="138" t="s">
        <v>1225</v>
      </c>
      <c r="E112" s="138" t="s">
        <v>1224</v>
      </c>
      <c r="BN112" s="138" t="str">
        <f t="shared" si="3"/>
        <v>No reported value</v>
      </c>
      <c r="BO112" s="138" t="str">
        <f t="shared" si="4"/>
        <v>No reported value</v>
      </c>
      <c r="BP112" s="138">
        <f t="shared" si="5"/>
        <v>0.4</v>
      </c>
    </row>
    <row r="113" spans="2:68" x14ac:dyDescent="0.25">
      <c r="B113" s="138" t="s">
        <v>913</v>
      </c>
      <c r="C113" s="138" t="s">
        <v>914</v>
      </c>
      <c r="D113" s="138" t="s">
        <v>1225</v>
      </c>
      <c r="E113" s="138" t="s">
        <v>1224</v>
      </c>
      <c r="BN113" s="138" t="str">
        <f t="shared" si="3"/>
        <v>No reported value</v>
      </c>
      <c r="BO113" s="138" t="str">
        <f t="shared" si="4"/>
        <v>No reported value</v>
      </c>
      <c r="BP113" s="138">
        <f t="shared" si="5"/>
        <v>0.4</v>
      </c>
    </row>
    <row r="114" spans="2:68" x14ac:dyDescent="0.25">
      <c r="B114" s="138" t="s">
        <v>915</v>
      </c>
      <c r="C114" s="138" t="s">
        <v>916</v>
      </c>
      <c r="D114" s="138" t="s">
        <v>1225</v>
      </c>
      <c r="E114" s="138" t="s">
        <v>1224</v>
      </c>
      <c r="BE114" s="138">
        <v>0.11693482767002192</v>
      </c>
      <c r="BN114" s="138">
        <f t="shared" si="3"/>
        <v>0.11693482767002192</v>
      </c>
      <c r="BO114" s="138">
        <f t="shared" si="4"/>
        <v>2011</v>
      </c>
      <c r="BP114" s="138">
        <f t="shared" si="5"/>
        <v>0.11693482767002192</v>
      </c>
    </row>
    <row r="115" spans="2:68" x14ac:dyDescent="0.25">
      <c r="B115" s="138" t="s">
        <v>242</v>
      </c>
      <c r="C115" s="138" t="s">
        <v>58</v>
      </c>
      <c r="D115" s="138" t="s">
        <v>1225</v>
      </c>
      <c r="E115" s="138" t="s">
        <v>1224</v>
      </c>
      <c r="BI115" s="138">
        <v>0</v>
      </c>
      <c r="BN115" s="138">
        <f t="shared" si="3"/>
        <v>0</v>
      </c>
      <c r="BO115" s="138">
        <f t="shared" si="4"/>
        <v>2015</v>
      </c>
      <c r="BP115" s="138">
        <f t="shared" si="5"/>
        <v>0</v>
      </c>
    </row>
    <row r="116" spans="2:68" x14ac:dyDescent="0.25">
      <c r="B116" s="138" t="s">
        <v>917</v>
      </c>
      <c r="C116" s="138" t="s">
        <v>918</v>
      </c>
      <c r="D116" s="138" t="s">
        <v>1225</v>
      </c>
      <c r="E116" s="138" t="s">
        <v>1224</v>
      </c>
      <c r="BN116" s="138" t="str">
        <f t="shared" si="3"/>
        <v>No reported value</v>
      </c>
      <c r="BO116" s="138" t="str">
        <f t="shared" si="4"/>
        <v>No reported value</v>
      </c>
      <c r="BP116" s="138">
        <f t="shared" si="5"/>
        <v>0.4</v>
      </c>
    </row>
    <row r="117" spans="2:68" x14ac:dyDescent="0.25">
      <c r="B117" s="138" t="s">
        <v>527</v>
      </c>
      <c r="C117" s="138" t="s">
        <v>528</v>
      </c>
      <c r="D117" s="138" t="s">
        <v>1225</v>
      </c>
      <c r="E117" s="138" t="s">
        <v>1224</v>
      </c>
      <c r="BN117" s="138" t="str">
        <f t="shared" si="3"/>
        <v>No reported value</v>
      </c>
      <c r="BO117" s="138" t="str">
        <f t="shared" si="4"/>
        <v>No reported value</v>
      </c>
      <c r="BP117" s="138">
        <f t="shared" si="5"/>
        <v>0.4</v>
      </c>
    </row>
    <row r="118" spans="2:68" x14ac:dyDescent="0.25">
      <c r="B118" s="138" t="s">
        <v>523</v>
      </c>
      <c r="C118" s="138" t="s">
        <v>59</v>
      </c>
      <c r="D118" s="138" t="s">
        <v>1225</v>
      </c>
      <c r="E118" s="138" t="s">
        <v>1224</v>
      </c>
      <c r="AK118" s="138">
        <v>0.154</v>
      </c>
      <c r="AW118" s="138">
        <v>0.627</v>
      </c>
      <c r="AX118" s="138">
        <v>0.621</v>
      </c>
      <c r="AY118" s="138">
        <v>0.627</v>
      </c>
      <c r="AZ118" s="138">
        <v>0.61399999999999999</v>
      </c>
      <c r="BA118" s="138">
        <v>0.61399999999999999</v>
      </c>
      <c r="BB118" s="138">
        <v>0.63</v>
      </c>
      <c r="BC118" s="138">
        <v>0.62</v>
      </c>
      <c r="BD118" s="138">
        <v>0.57799999999999996</v>
      </c>
      <c r="BE118" s="138">
        <v>0.504</v>
      </c>
      <c r="BJ118" s="138">
        <v>0.58099999999999996</v>
      </c>
      <c r="BN118" s="138">
        <f t="shared" si="3"/>
        <v>0.58099999999999996</v>
      </c>
      <c r="BO118" s="138">
        <f t="shared" si="4"/>
        <v>2016</v>
      </c>
      <c r="BP118" s="138">
        <f t="shared" si="5"/>
        <v>0.58099999999999996</v>
      </c>
    </row>
    <row r="119" spans="2:68" x14ac:dyDescent="0.25">
      <c r="B119" s="138" t="s">
        <v>595</v>
      </c>
      <c r="C119" s="138" t="s">
        <v>596</v>
      </c>
      <c r="D119" s="138" t="s">
        <v>1225</v>
      </c>
      <c r="E119" s="138" t="s">
        <v>1224</v>
      </c>
      <c r="BN119" s="138" t="str">
        <f t="shared" si="3"/>
        <v>No reported value</v>
      </c>
      <c r="BO119" s="138" t="str">
        <f t="shared" si="4"/>
        <v>No reported value</v>
      </c>
      <c r="BP119" s="138">
        <f t="shared" si="5"/>
        <v>0.4</v>
      </c>
    </row>
    <row r="120" spans="2:68" x14ac:dyDescent="0.25">
      <c r="B120" s="138" t="s">
        <v>526</v>
      </c>
      <c r="C120" s="138" t="s">
        <v>60</v>
      </c>
      <c r="D120" s="138" t="s">
        <v>1225</v>
      </c>
      <c r="E120" s="138" t="s">
        <v>1224</v>
      </c>
      <c r="BN120" s="138" t="str">
        <f t="shared" si="3"/>
        <v>No reported value</v>
      </c>
      <c r="BO120" s="138" t="str">
        <f t="shared" si="4"/>
        <v>No reported value</v>
      </c>
      <c r="BP120" s="138">
        <f t="shared" si="5"/>
        <v>0.4</v>
      </c>
    </row>
    <row r="121" spans="2:68" x14ac:dyDescent="0.25">
      <c r="B121" s="138" t="s">
        <v>524</v>
      </c>
      <c r="C121" s="138" t="s">
        <v>61</v>
      </c>
      <c r="D121" s="138" t="s">
        <v>1225</v>
      </c>
      <c r="E121" s="138" t="s">
        <v>1224</v>
      </c>
      <c r="AX121" s="138">
        <v>0.36399999999999999</v>
      </c>
      <c r="BN121" s="138">
        <f t="shared" si="3"/>
        <v>0.36399999999999999</v>
      </c>
      <c r="BO121" s="138">
        <f t="shared" si="4"/>
        <v>2004</v>
      </c>
      <c r="BP121" s="138">
        <f t="shared" si="5"/>
        <v>0.36399999999999999</v>
      </c>
    </row>
    <row r="122" spans="2:68" x14ac:dyDescent="0.25">
      <c r="B122" s="138" t="s">
        <v>525</v>
      </c>
      <c r="C122" s="138" t="s">
        <v>62</v>
      </c>
      <c r="D122" s="138" t="s">
        <v>1225</v>
      </c>
      <c r="E122" s="138" t="s">
        <v>1224</v>
      </c>
      <c r="AX122" s="138">
        <v>6.0000000000000001E-3</v>
      </c>
      <c r="BN122" s="138">
        <f t="shared" si="3"/>
        <v>6.0000000000000001E-3</v>
      </c>
      <c r="BO122" s="138">
        <f t="shared" si="4"/>
        <v>2004</v>
      </c>
      <c r="BP122" s="138">
        <f t="shared" si="5"/>
        <v>6.0000000000000001E-3</v>
      </c>
    </row>
    <row r="123" spans="2:68" x14ac:dyDescent="0.25">
      <c r="B123" s="138" t="s">
        <v>522</v>
      </c>
      <c r="C123" s="138" t="s">
        <v>63</v>
      </c>
      <c r="D123" s="138" t="s">
        <v>1225</v>
      </c>
      <c r="E123" s="138" t="s">
        <v>1224</v>
      </c>
      <c r="BN123" s="138" t="str">
        <f t="shared" si="3"/>
        <v>No reported value</v>
      </c>
      <c r="BO123" s="138" t="str">
        <f t="shared" si="4"/>
        <v>No reported value</v>
      </c>
      <c r="BP123" s="138">
        <f t="shared" si="5"/>
        <v>0.4</v>
      </c>
    </row>
    <row r="124" spans="2:68" x14ac:dyDescent="0.25">
      <c r="B124" s="138" t="s">
        <v>529</v>
      </c>
      <c r="C124" s="138" t="s">
        <v>64</v>
      </c>
      <c r="D124" s="138" t="s">
        <v>1225</v>
      </c>
      <c r="E124" s="138" t="s">
        <v>1224</v>
      </c>
      <c r="BN124" s="138" t="str">
        <f t="shared" si="3"/>
        <v>No reported value</v>
      </c>
      <c r="BO124" s="138" t="str">
        <f t="shared" si="4"/>
        <v>No reported value</v>
      </c>
      <c r="BP124" s="138">
        <f t="shared" si="5"/>
        <v>0.4</v>
      </c>
    </row>
    <row r="125" spans="2:68" x14ac:dyDescent="0.25">
      <c r="B125" s="138" t="s">
        <v>530</v>
      </c>
      <c r="C125" s="138" t="s">
        <v>65</v>
      </c>
      <c r="D125" s="138" t="s">
        <v>1225</v>
      </c>
      <c r="E125" s="138" t="s">
        <v>1224</v>
      </c>
      <c r="BN125" s="138" t="str">
        <f t="shared" si="3"/>
        <v>No reported value</v>
      </c>
      <c r="BO125" s="138" t="str">
        <f t="shared" si="4"/>
        <v>No reported value</v>
      </c>
      <c r="BP125" s="138">
        <f t="shared" si="5"/>
        <v>0.4</v>
      </c>
    </row>
    <row r="126" spans="2:68" x14ac:dyDescent="0.25">
      <c r="B126" s="138" t="s">
        <v>531</v>
      </c>
      <c r="C126" s="138" t="s">
        <v>66</v>
      </c>
      <c r="D126" s="138" t="s">
        <v>1225</v>
      </c>
      <c r="E126" s="138" t="s">
        <v>1224</v>
      </c>
      <c r="BB126" s="138">
        <v>0.26800000000000002</v>
      </c>
      <c r="BF126" s="138">
        <v>0.23300000000000001</v>
      </c>
      <c r="BG126" s="138">
        <v>0.251</v>
      </c>
      <c r="BH126" s="138">
        <v>0.255</v>
      </c>
      <c r="BI126" s="138">
        <v>0.307</v>
      </c>
      <c r="BJ126" s="138">
        <v>0.31900000000000001</v>
      </c>
      <c r="BN126" s="138">
        <f t="shared" si="3"/>
        <v>0.31900000000000001</v>
      </c>
      <c r="BO126" s="138">
        <f t="shared" si="4"/>
        <v>2016</v>
      </c>
      <c r="BP126" s="138">
        <f t="shared" si="5"/>
        <v>0.31900000000000001</v>
      </c>
    </row>
    <row r="127" spans="2:68" x14ac:dyDescent="0.25">
      <c r="B127" s="138" t="s">
        <v>533</v>
      </c>
      <c r="C127" s="138" t="s">
        <v>67</v>
      </c>
      <c r="D127" s="138" t="s">
        <v>1225</v>
      </c>
      <c r="E127" s="138" t="s">
        <v>1224</v>
      </c>
      <c r="AX127" s="138">
        <v>0.193</v>
      </c>
      <c r="BN127" s="138">
        <f t="shared" si="3"/>
        <v>0.193</v>
      </c>
      <c r="BO127" s="138">
        <f t="shared" si="4"/>
        <v>2004</v>
      </c>
      <c r="BP127" s="138">
        <f t="shared" si="5"/>
        <v>0.193</v>
      </c>
    </row>
    <row r="128" spans="2:68" x14ac:dyDescent="0.25">
      <c r="B128" s="138" t="s">
        <v>532</v>
      </c>
      <c r="C128" s="138" t="s">
        <v>68</v>
      </c>
      <c r="D128" s="138" t="s">
        <v>1225</v>
      </c>
      <c r="E128" s="138" t="s">
        <v>1224</v>
      </c>
      <c r="BN128" s="138" t="str">
        <f t="shared" si="3"/>
        <v>No reported value</v>
      </c>
      <c r="BO128" s="138" t="str">
        <f t="shared" si="4"/>
        <v>No reported value</v>
      </c>
      <c r="BP128" s="138">
        <f t="shared" si="5"/>
        <v>0.4</v>
      </c>
    </row>
    <row r="129" spans="2:68" x14ac:dyDescent="0.25">
      <c r="B129" s="138" t="s">
        <v>534</v>
      </c>
      <c r="C129" s="138" t="s">
        <v>69</v>
      </c>
      <c r="D129" s="138" t="s">
        <v>1225</v>
      </c>
      <c r="E129" s="138" t="s">
        <v>1224</v>
      </c>
      <c r="BN129" s="138" t="str">
        <f t="shared" si="3"/>
        <v>No reported value</v>
      </c>
      <c r="BO129" s="138" t="str">
        <f t="shared" si="4"/>
        <v>No reported value</v>
      </c>
      <c r="BP129" s="138">
        <f t="shared" si="5"/>
        <v>0.4</v>
      </c>
    </row>
    <row r="130" spans="2:68" x14ac:dyDescent="0.25">
      <c r="B130" s="138" t="s">
        <v>199</v>
      </c>
      <c r="C130" s="138" t="s">
        <v>70</v>
      </c>
      <c r="D130" s="138" t="s">
        <v>1225</v>
      </c>
      <c r="E130" s="138" t="s">
        <v>1224</v>
      </c>
      <c r="BN130" s="138" t="str">
        <f t="shared" si="3"/>
        <v>No reported value</v>
      </c>
      <c r="BO130" s="138" t="str">
        <f t="shared" si="4"/>
        <v>No reported value</v>
      </c>
      <c r="BP130" s="138">
        <f t="shared" si="5"/>
        <v>0.4</v>
      </c>
    </row>
    <row r="131" spans="2:68" x14ac:dyDescent="0.25">
      <c r="B131" s="138" t="s">
        <v>539</v>
      </c>
      <c r="C131" s="138" t="s">
        <v>71</v>
      </c>
      <c r="D131" s="138" t="s">
        <v>1225</v>
      </c>
      <c r="E131" s="138" t="s">
        <v>1224</v>
      </c>
      <c r="BN131" s="138" t="str">
        <f t="shared" si="3"/>
        <v>No reported value</v>
      </c>
      <c r="BO131" s="138" t="str">
        <f t="shared" si="4"/>
        <v>No reported value</v>
      </c>
      <c r="BP131" s="138">
        <f t="shared" si="5"/>
        <v>0.4</v>
      </c>
    </row>
    <row r="132" spans="2:68" x14ac:dyDescent="0.25">
      <c r="B132" s="138" t="s">
        <v>247</v>
      </c>
      <c r="C132" s="138" t="s">
        <v>72</v>
      </c>
      <c r="D132" s="138" t="s">
        <v>1225</v>
      </c>
      <c r="E132" s="138" t="s">
        <v>1224</v>
      </c>
      <c r="AX132" s="138">
        <v>0.125</v>
      </c>
      <c r="BN132" s="138">
        <f t="shared" si="3"/>
        <v>0.125</v>
      </c>
      <c r="BO132" s="138">
        <f t="shared" si="4"/>
        <v>2004</v>
      </c>
      <c r="BP132" s="138">
        <f t="shared" si="5"/>
        <v>0.125</v>
      </c>
    </row>
    <row r="133" spans="2:68" x14ac:dyDescent="0.25">
      <c r="B133" s="138" t="s">
        <v>249</v>
      </c>
      <c r="C133" s="138" t="s">
        <v>73</v>
      </c>
      <c r="D133" s="138" t="s">
        <v>1225</v>
      </c>
      <c r="E133" s="138" t="s">
        <v>1224</v>
      </c>
      <c r="BN133" s="138" t="str">
        <f t="shared" si="3"/>
        <v>No reported value</v>
      </c>
      <c r="BO133" s="138" t="str">
        <f t="shared" si="4"/>
        <v>No reported value</v>
      </c>
      <c r="BP133" s="138">
        <f t="shared" si="5"/>
        <v>0.4</v>
      </c>
    </row>
    <row r="134" spans="2:68" x14ac:dyDescent="0.25">
      <c r="B134" s="138" t="s">
        <v>637</v>
      </c>
      <c r="C134" s="138" t="s">
        <v>638</v>
      </c>
      <c r="D134" s="138" t="s">
        <v>1225</v>
      </c>
      <c r="E134" s="138" t="s">
        <v>1224</v>
      </c>
      <c r="AJ134" s="138">
        <v>0.41599999999999998</v>
      </c>
      <c r="AK134" s="138">
        <v>0.41499999999999998</v>
      </c>
      <c r="AL134" s="138">
        <v>0.41099999999999998</v>
      </c>
      <c r="AM134" s="138">
        <v>0.40600000000000003</v>
      </c>
      <c r="AN134" s="138">
        <v>0.40100000000000002</v>
      </c>
      <c r="AO134" s="138">
        <v>0.39600000000000002</v>
      </c>
      <c r="AP134" s="138">
        <v>0.39200000000000002</v>
      </c>
      <c r="AQ134" s="138">
        <v>0.38700000000000001</v>
      </c>
      <c r="AR134" s="138">
        <v>0.72099999999999997</v>
      </c>
      <c r="AS134" s="138">
        <v>0.71199999999999997</v>
      </c>
      <c r="AU134" s="138">
        <v>1.0389999999999999</v>
      </c>
      <c r="BN134" s="138">
        <f t="shared" si="3"/>
        <v>1.0389999999999999</v>
      </c>
      <c r="BO134" s="138">
        <f t="shared" si="4"/>
        <v>2001</v>
      </c>
      <c r="BP134" s="138">
        <f t="shared" si="5"/>
        <v>1.0389999999999999</v>
      </c>
    </row>
    <row r="135" spans="2:68" x14ac:dyDescent="0.25">
      <c r="B135" s="138" t="s">
        <v>536</v>
      </c>
      <c r="C135" s="138" t="s">
        <v>74</v>
      </c>
      <c r="D135" s="138" t="s">
        <v>1225</v>
      </c>
      <c r="E135" s="138" t="s">
        <v>1224</v>
      </c>
      <c r="AX135" s="138">
        <v>0.32600000000000001</v>
      </c>
      <c r="AY135" s="138">
        <v>0.32100000000000001</v>
      </c>
      <c r="AZ135" s="138">
        <v>0.33200000000000002</v>
      </c>
      <c r="BA135" s="138">
        <v>0.34699999999999998</v>
      </c>
      <c r="BB135" s="138">
        <v>0.36199999999999999</v>
      </c>
      <c r="BC135" s="138">
        <v>0.377</v>
      </c>
      <c r="BN135" s="138">
        <f t="shared" si="3"/>
        <v>0.377</v>
      </c>
      <c r="BO135" s="138">
        <f t="shared" si="4"/>
        <v>2009</v>
      </c>
      <c r="BP135" s="138">
        <f t="shared" si="5"/>
        <v>0.377</v>
      </c>
    </row>
    <row r="136" spans="2:68" x14ac:dyDescent="0.25">
      <c r="B136" s="138" t="s">
        <v>538</v>
      </c>
      <c r="C136" s="138" t="s">
        <v>75</v>
      </c>
      <c r="D136" s="138" t="s">
        <v>1225</v>
      </c>
      <c r="E136" s="138" t="s">
        <v>1224</v>
      </c>
      <c r="BN136" s="138" t="str">
        <f t="shared" si="3"/>
        <v>No reported value</v>
      </c>
      <c r="BO136" s="138" t="str">
        <f t="shared" si="4"/>
        <v>No reported value</v>
      </c>
      <c r="BP136" s="138">
        <f t="shared" si="5"/>
        <v>0.4</v>
      </c>
    </row>
    <row r="137" spans="2:68" x14ac:dyDescent="0.25">
      <c r="B137" s="138" t="s">
        <v>545</v>
      </c>
      <c r="C137" s="138" t="s">
        <v>546</v>
      </c>
      <c r="D137" s="138" t="s">
        <v>1225</v>
      </c>
      <c r="E137" s="138" t="s">
        <v>1224</v>
      </c>
      <c r="BN137" s="138" t="str">
        <f t="shared" si="3"/>
        <v>No reported value</v>
      </c>
      <c r="BO137" s="138" t="str">
        <f t="shared" si="4"/>
        <v>No reported value</v>
      </c>
      <c r="BP137" s="138">
        <f t="shared" si="5"/>
        <v>0.4</v>
      </c>
    </row>
    <row r="138" spans="2:68" x14ac:dyDescent="0.25">
      <c r="B138" s="138" t="s">
        <v>540</v>
      </c>
      <c r="C138" s="138" t="s">
        <v>76</v>
      </c>
      <c r="D138" s="138" t="s">
        <v>1225</v>
      </c>
      <c r="E138" s="138" t="s">
        <v>1224</v>
      </c>
      <c r="BN138" s="138" t="str">
        <f t="shared" si="3"/>
        <v>No reported value</v>
      </c>
      <c r="BO138" s="138" t="str">
        <f t="shared" si="4"/>
        <v>No reported value</v>
      </c>
      <c r="BP138" s="138">
        <f t="shared" si="5"/>
        <v>0.4</v>
      </c>
    </row>
    <row r="139" spans="2:68" x14ac:dyDescent="0.25">
      <c r="B139" s="138" t="s">
        <v>552</v>
      </c>
      <c r="C139" s="138" t="s">
        <v>77</v>
      </c>
      <c r="D139" s="138" t="s">
        <v>1225</v>
      </c>
      <c r="E139" s="138" t="s">
        <v>1224</v>
      </c>
      <c r="BN139" s="138" t="str">
        <f t="shared" ref="BN139:BN202" si="6">IFERROR(LOOKUP(2,1/(ISNUMBER(F139:BM139)),F139:BM139),"No reported value")</f>
        <v>No reported value</v>
      </c>
      <c r="BO139" s="138" t="str">
        <f t="shared" ref="BO139:BO202" si="7">IFERROR(INDEX($F$10:$BM$10,1,MATCH($BN139,$F139:$BM139,0)),"No reported value")</f>
        <v>No reported value</v>
      </c>
      <c r="BP139" s="138">
        <f t="shared" si="5"/>
        <v>0.4</v>
      </c>
    </row>
    <row r="140" spans="2:68" x14ac:dyDescent="0.25">
      <c r="B140" s="138" t="s">
        <v>201</v>
      </c>
      <c r="C140" s="138" t="s">
        <v>78</v>
      </c>
      <c r="D140" s="138" t="s">
        <v>1225</v>
      </c>
      <c r="E140" s="138" t="s">
        <v>1224</v>
      </c>
      <c r="BD140" s="138">
        <v>6.0999999999999999E-2</v>
      </c>
      <c r="BN140" s="138">
        <f t="shared" si="6"/>
        <v>6.0999999999999999E-2</v>
      </c>
      <c r="BO140" s="138">
        <f t="shared" si="7"/>
        <v>2010</v>
      </c>
      <c r="BP140" s="138">
        <f t="shared" ref="BP140:BP203" si="8">IF(BN140="No reported value",BO$8,BN140)</f>
        <v>6.0999999999999999E-2</v>
      </c>
    </row>
    <row r="141" spans="2:68" x14ac:dyDescent="0.25">
      <c r="B141" s="138" t="s">
        <v>553</v>
      </c>
      <c r="C141" s="138" t="s">
        <v>79</v>
      </c>
      <c r="D141" s="138" t="s">
        <v>1225</v>
      </c>
      <c r="E141" s="138" t="s">
        <v>1224</v>
      </c>
      <c r="BN141" s="138" t="str">
        <f t="shared" si="6"/>
        <v>No reported value</v>
      </c>
      <c r="BO141" s="138" t="str">
        <f t="shared" si="7"/>
        <v>No reported value</v>
      </c>
      <c r="BP141" s="138">
        <f t="shared" si="8"/>
        <v>0.4</v>
      </c>
    </row>
    <row r="142" spans="2:68" x14ac:dyDescent="0.25">
      <c r="B142" s="138" t="s">
        <v>639</v>
      </c>
      <c r="C142" s="138" t="s">
        <v>80</v>
      </c>
      <c r="D142" s="138" t="s">
        <v>1225</v>
      </c>
      <c r="E142" s="138" t="s">
        <v>1224</v>
      </c>
      <c r="BN142" s="138" t="str">
        <f t="shared" si="6"/>
        <v>No reported value</v>
      </c>
      <c r="BO142" s="138" t="str">
        <f t="shared" si="7"/>
        <v>No reported value</v>
      </c>
      <c r="BP142" s="138">
        <f t="shared" si="8"/>
        <v>0.4</v>
      </c>
    </row>
    <row r="143" spans="2:68" x14ac:dyDescent="0.25">
      <c r="B143" s="138" t="s">
        <v>543</v>
      </c>
      <c r="C143" s="138" t="s">
        <v>544</v>
      </c>
      <c r="D143" s="138" t="s">
        <v>1225</v>
      </c>
      <c r="E143" s="138" t="s">
        <v>1224</v>
      </c>
      <c r="BN143" s="138" t="str">
        <f t="shared" si="6"/>
        <v>No reported value</v>
      </c>
      <c r="BO143" s="138" t="str">
        <f t="shared" si="7"/>
        <v>No reported value</v>
      </c>
      <c r="BP143" s="138">
        <f t="shared" si="8"/>
        <v>0.4</v>
      </c>
    </row>
    <row r="144" spans="2:68" x14ac:dyDescent="0.25">
      <c r="B144" s="138" t="s">
        <v>550</v>
      </c>
      <c r="C144" s="138" t="s">
        <v>551</v>
      </c>
      <c r="D144" s="138" t="s">
        <v>1225</v>
      </c>
      <c r="E144" s="138" t="s">
        <v>1224</v>
      </c>
      <c r="BN144" s="138" t="str">
        <f t="shared" si="6"/>
        <v>No reported value</v>
      </c>
      <c r="BO144" s="138" t="str">
        <f t="shared" si="7"/>
        <v>No reported value</v>
      </c>
      <c r="BP144" s="138">
        <f t="shared" si="8"/>
        <v>0.4</v>
      </c>
    </row>
    <row r="145" spans="2:68" x14ac:dyDescent="0.25">
      <c r="B145" s="138" t="s">
        <v>559</v>
      </c>
      <c r="C145" s="138" t="s">
        <v>560</v>
      </c>
      <c r="D145" s="138" t="s">
        <v>1225</v>
      </c>
      <c r="E145" s="138" t="s">
        <v>1224</v>
      </c>
      <c r="BN145" s="138" t="str">
        <f t="shared" si="6"/>
        <v>No reported value</v>
      </c>
      <c r="BO145" s="138" t="str">
        <f t="shared" si="7"/>
        <v>No reported value</v>
      </c>
      <c r="BP145" s="138">
        <f t="shared" si="8"/>
        <v>0.4</v>
      </c>
    </row>
    <row r="146" spans="2:68" x14ac:dyDescent="0.25">
      <c r="B146" s="138" t="s">
        <v>554</v>
      </c>
      <c r="C146" s="138" t="s">
        <v>555</v>
      </c>
      <c r="D146" s="138" t="s">
        <v>1225</v>
      </c>
      <c r="E146" s="138" t="s">
        <v>1224</v>
      </c>
      <c r="BN146" s="138" t="str">
        <f t="shared" si="6"/>
        <v>No reported value</v>
      </c>
      <c r="BO146" s="138" t="str">
        <f t="shared" si="7"/>
        <v>No reported value</v>
      </c>
      <c r="BP146" s="138">
        <f t="shared" si="8"/>
        <v>0.4</v>
      </c>
    </row>
    <row r="147" spans="2:68" x14ac:dyDescent="0.25">
      <c r="B147" s="138" t="s">
        <v>245</v>
      </c>
      <c r="C147" s="138" t="s">
        <v>81</v>
      </c>
      <c r="D147" s="138" t="s">
        <v>1225</v>
      </c>
      <c r="E147" s="138" t="s">
        <v>1224</v>
      </c>
      <c r="BN147" s="138" t="str">
        <f t="shared" si="6"/>
        <v>No reported value</v>
      </c>
      <c r="BO147" s="138" t="str">
        <f t="shared" si="7"/>
        <v>No reported value</v>
      </c>
      <c r="BP147" s="138">
        <f t="shared" si="8"/>
        <v>0.4</v>
      </c>
    </row>
    <row r="148" spans="2:68" x14ac:dyDescent="0.25">
      <c r="B148" s="138" t="s">
        <v>561</v>
      </c>
      <c r="C148" s="138" t="s">
        <v>562</v>
      </c>
      <c r="D148" s="138" t="s">
        <v>1225</v>
      </c>
      <c r="E148" s="138" t="s">
        <v>1224</v>
      </c>
      <c r="BE148" s="138">
        <v>0.40748886297282155</v>
      </c>
      <c r="BN148" s="138">
        <f t="shared" si="6"/>
        <v>0.40748886297282155</v>
      </c>
      <c r="BO148" s="138">
        <f t="shared" si="7"/>
        <v>2011</v>
      </c>
      <c r="BP148" s="138">
        <f t="shared" si="8"/>
        <v>0.40748886297282155</v>
      </c>
    </row>
    <row r="149" spans="2:68" x14ac:dyDescent="0.25">
      <c r="B149" s="138" t="s">
        <v>557</v>
      </c>
      <c r="C149" s="138" t="s">
        <v>558</v>
      </c>
      <c r="D149" s="138" t="s">
        <v>1225</v>
      </c>
      <c r="E149" s="138" t="s">
        <v>1224</v>
      </c>
      <c r="BN149" s="138" t="str">
        <f t="shared" si="6"/>
        <v>No reported value</v>
      </c>
      <c r="BO149" s="138" t="str">
        <f t="shared" si="7"/>
        <v>No reported value</v>
      </c>
      <c r="BP149" s="138">
        <f t="shared" si="8"/>
        <v>0.4</v>
      </c>
    </row>
    <row r="150" spans="2:68" x14ac:dyDescent="0.25">
      <c r="B150" s="138" t="s">
        <v>200</v>
      </c>
      <c r="C150" s="138" t="s">
        <v>167</v>
      </c>
      <c r="D150" s="138" t="s">
        <v>1225</v>
      </c>
      <c r="E150" s="138" t="s">
        <v>1224</v>
      </c>
      <c r="BN150" s="138" t="str">
        <f t="shared" si="6"/>
        <v>No reported value</v>
      </c>
      <c r="BO150" s="138" t="str">
        <f t="shared" si="7"/>
        <v>No reported value</v>
      </c>
      <c r="BP150" s="138">
        <f t="shared" si="8"/>
        <v>0.4</v>
      </c>
    </row>
    <row r="151" spans="2:68" x14ac:dyDescent="0.25">
      <c r="B151" s="138" t="s">
        <v>541</v>
      </c>
      <c r="C151" s="138" t="s">
        <v>542</v>
      </c>
      <c r="D151" s="138" t="s">
        <v>1225</v>
      </c>
      <c r="E151" s="138" t="s">
        <v>1224</v>
      </c>
      <c r="BN151" s="138" t="str">
        <f t="shared" si="6"/>
        <v>No reported value</v>
      </c>
      <c r="BO151" s="138" t="str">
        <f t="shared" si="7"/>
        <v>No reported value</v>
      </c>
      <c r="BP151" s="138">
        <f t="shared" si="8"/>
        <v>0.4</v>
      </c>
    </row>
    <row r="152" spans="2:68" x14ac:dyDescent="0.25">
      <c r="B152" s="138" t="s">
        <v>556</v>
      </c>
      <c r="C152" s="138" t="s">
        <v>82</v>
      </c>
      <c r="D152" s="138" t="s">
        <v>1225</v>
      </c>
      <c r="E152" s="138" t="s">
        <v>1224</v>
      </c>
      <c r="BN152" s="138" t="str">
        <f t="shared" si="6"/>
        <v>No reported value</v>
      </c>
      <c r="BO152" s="138" t="str">
        <f t="shared" si="7"/>
        <v>No reported value</v>
      </c>
      <c r="BP152" s="138">
        <f t="shared" si="8"/>
        <v>0.4</v>
      </c>
    </row>
    <row r="153" spans="2:68" x14ac:dyDescent="0.25">
      <c r="B153" s="138" t="s">
        <v>563</v>
      </c>
      <c r="C153" s="138" t="s">
        <v>83</v>
      </c>
      <c r="D153" s="138" t="s">
        <v>1225</v>
      </c>
      <c r="E153" s="138" t="s">
        <v>1224</v>
      </c>
      <c r="BN153" s="138" t="str">
        <f t="shared" si="6"/>
        <v>No reported value</v>
      </c>
      <c r="BO153" s="138" t="str">
        <f t="shared" si="7"/>
        <v>No reported value</v>
      </c>
      <c r="BP153" s="138">
        <f t="shared" si="8"/>
        <v>0.4</v>
      </c>
    </row>
    <row r="154" spans="2:68" x14ac:dyDescent="0.25">
      <c r="B154" s="138" t="s">
        <v>549</v>
      </c>
      <c r="C154" s="138" t="s">
        <v>84</v>
      </c>
      <c r="D154" s="138" t="s">
        <v>1225</v>
      </c>
      <c r="E154" s="138" t="s">
        <v>1224</v>
      </c>
      <c r="BN154" s="138" t="str">
        <f t="shared" si="6"/>
        <v>No reported value</v>
      </c>
      <c r="BO154" s="138" t="str">
        <f t="shared" si="7"/>
        <v>No reported value</v>
      </c>
      <c r="BP154" s="138">
        <f t="shared" si="8"/>
        <v>0.4</v>
      </c>
    </row>
    <row r="155" spans="2:68" x14ac:dyDescent="0.25">
      <c r="B155" s="138" t="s">
        <v>564</v>
      </c>
      <c r="C155" s="138" t="s">
        <v>565</v>
      </c>
      <c r="D155" s="138" t="s">
        <v>1225</v>
      </c>
      <c r="E155" s="138" t="s">
        <v>1224</v>
      </c>
      <c r="BN155" s="138" t="str">
        <f t="shared" si="6"/>
        <v>No reported value</v>
      </c>
      <c r="BO155" s="138" t="str">
        <f t="shared" si="7"/>
        <v>No reported value</v>
      </c>
      <c r="BP155" s="138">
        <f t="shared" si="8"/>
        <v>0.4</v>
      </c>
    </row>
    <row r="156" spans="2:68" x14ac:dyDescent="0.25">
      <c r="B156" s="138" t="s">
        <v>640</v>
      </c>
      <c r="C156" s="138" t="s">
        <v>641</v>
      </c>
      <c r="D156" s="138" t="s">
        <v>1225</v>
      </c>
      <c r="E156" s="138" t="s">
        <v>1224</v>
      </c>
      <c r="BN156" s="138" t="str">
        <f t="shared" si="6"/>
        <v>No reported value</v>
      </c>
      <c r="BO156" s="138" t="str">
        <f t="shared" si="7"/>
        <v>No reported value</v>
      </c>
      <c r="BP156" s="138">
        <f t="shared" si="8"/>
        <v>0.4</v>
      </c>
    </row>
    <row r="157" spans="2:68" x14ac:dyDescent="0.25">
      <c r="B157" s="138" t="s">
        <v>583</v>
      </c>
      <c r="C157" s="138" t="s">
        <v>85</v>
      </c>
      <c r="D157" s="138" t="s">
        <v>1225</v>
      </c>
      <c r="E157" s="138" t="s">
        <v>1224</v>
      </c>
      <c r="BN157" s="138" t="str">
        <f t="shared" si="6"/>
        <v>No reported value</v>
      </c>
      <c r="BO157" s="138" t="str">
        <f t="shared" si="7"/>
        <v>No reported value</v>
      </c>
      <c r="BP157" s="138">
        <f t="shared" si="8"/>
        <v>0.4</v>
      </c>
    </row>
    <row r="158" spans="2:68" x14ac:dyDescent="0.25">
      <c r="B158" s="138" t="s">
        <v>581</v>
      </c>
      <c r="C158" s="138" t="s">
        <v>86</v>
      </c>
      <c r="D158" s="138" t="s">
        <v>1225</v>
      </c>
      <c r="E158" s="138" t="s">
        <v>1224</v>
      </c>
      <c r="BN158" s="138" t="str">
        <f t="shared" si="6"/>
        <v>No reported value</v>
      </c>
      <c r="BO158" s="138" t="str">
        <f t="shared" si="7"/>
        <v>No reported value</v>
      </c>
      <c r="BP158" s="138">
        <f t="shared" si="8"/>
        <v>0.4</v>
      </c>
    </row>
    <row r="159" spans="2:68" x14ac:dyDescent="0.25">
      <c r="B159" s="138" t="s">
        <v>580</v>
      </c>
      <c r="C159" s="138" t="s">
        <v>87</v>
      </c>
      <c r="D159" s="138" t="s">
        <v>1225</v>
      </c>
      <c r="E159" s="138" t="s">
        <v>1224</v>
      </c>
      <c r="BN159" s="138" t="str">
        <f t="shared" si="6"/>
        <v>No reported value</v>
      </c>
      <c r="BO159" s="138" t="str">
        <f t="shared" si="7"/>
        <v>No reported value</v>
      </c>
      <c r="BP159" s="138">
        <f t="shared" si="8"/>
        <v>0.4</v>
      </c>
    </row>
    <row r="160" spans="2:68" x14ac:dyDescent="0.25">
      <c r="B160" s="138" t="s">
        <v>202</v>
      </c>
      <c r="C160" s="138" t="s">
        <v>88</v>
      </c>
      <c r="D160" s="138" t="s">
        <v>1225</v>
      </c>
      <c r="E160" s="138" t="s">
        <v>1224</v>
      </c>
      <c r="BN160" s="138" t="str">
        <f t="shared" si="6"/>
        <v>No reported value</v>
      </c>
      <c r="BO160" s="138" t="str">
        <f t="shared" si="7"/>
        <v>No reported value</v>
      </c>
      <c r="BP160" s="138">
        <f t="shared" si="8"/>
        <v>0.4</v>
      </c>
    </row>
    <row r="161" spans="2:68" x14ac:dyDescent="0.25">
      <c r="B161" s="138" t="s">
        <v>243</v>
      </c>
      <c r="C161" s="138" t="s">
        <v>89</v>
      </c>
      <c r="D161" s="138" t="s">
        <v>1225</v>
      </c>
      <c r="E161" s="138" t="s">
        <v>1224</v>
      </c>
      <c r="AK161" s="138">
        <v>1.0189999999999999</v>
      </c>
      <c r="AM161" s="138">
        <v>1.181</v>
      </c>
      <c r="AP161" s="138">
        <v>1.244</v>
      </c>
      <c r="AX161" s="138">
        <v>1.7170000000000001</v>
      </c>
      <c r="BA161" s="138">
        <v>1.5149999999999999</v>
      </c>
      <c r="BC161" s="138">
        <v>1.57</v>
      </c>
      <c r="BD161" s="138">
        <v>1.7769999999999999</v>
      </c>
      <c r="BH161" s="138">
        <v>1.4239999999999999</v>
      </c>
      <c r="BN161" s="138">
        <f t="shared" si="6"/>
        <v>1.4239999999999999</v>
      </c>
      <c r="BO161" s="138">
        <f t="shared" si="7"/>
        <v>2014</v>
      </c>
      <c r="BP161" s="138">
        <f t="shared" si="8"/>
        <v>1.4239999999999999</v>
      </c>
    </row>
    <row r="162" spans="2:68" x14ac:dyDescent="0.25">
      <c r="B162" s="138" t="s">
        <v>572</v>
      </c>
      <c r="C162" s="138" t="s">
        <v>573</v>
      </c>
      <c r="D162" s="138" t="s">
        <v>1225</v>
      </c>
      <c r="E162" s="138" t="s">
        <v>1224</v>
      </c>
      <c r="BN162" s="138" t="str">
        <f t="shared" si="6"/>
        <v>No reported value</v>
      </c>
      <c r="BO162" s="138" t="str">
        <f t="shared" si="7"/>
        <v>No reported value</v>
      </c>
      <c r="BP162" s="138">
        <f t="shared" si="8"/>
        <v>0.4</v>
      </c>
    </row>
    <row r="163" spans="2:68" x14ac:dyDescent="0.25">
      <c r="B163" s="138" t="s">
        <v>569</v>
      </c>
      <c r="C163" s="138" t="s">
        <v>90</v>
      </c>
      <c r="D163" s="138" t="s">
        <v>1225</v>
      </c>
      <c r="E163" s="138" t="s">
        <v>1224</v>
      </c>
      <c r="BN163" s="138" t="str">
        <f t="shared" si="6"/>
        <v>No reported value</v>
      </c>
      <c r="BO163" s="138" t="str">
        <f t="shared" si="7"/>
        <v>No reported value</v>
      </c>
      <c r="BP163" s="138">
        <f t="shared" si="8"/>
        <v>0.4</v>
      </c>
    </row>
    <row r="164" spans="2:68" x14ac:dyDescent="0.25">
      <c r="B164" s="138" t="s">
        <v>568</v>
      </c>
      <c r="C164" s="138" t="s">
        <v>91</v>
      </c>
      <c r="D164" s="138" t="s">
        <v>1225</v>
      </c>
      <c r="E164" s="138" t="s">
        <v>1224</v>
      </c>
      <c r="BN164" s="138" t="str">
        <f t="shared" si="6"/>
        <v>No reported value</v>
      </c>
      <c r="BO164" s="138" t="str">
        <f t="shared" si="7"/>
        <v>No reported value</v>
      </c>
      <c r="BP164" s="138">
        <f t="shared" si="8"/>
        <v>0.4</v>
      </c>
    </row>
    <row r="165" spans="2:68" x14ac:dyDescent="0.25">
      <c r="B165" s="138" t="s">
        <v>578</v>
      </c>
      <c r="C165" s="138" t="s">
        <v>579</v>
      </c>
      <c r="D165" s="138" t="s">
        <v>1225</v>
      </c>
      <c r="E165" s="138" t="s">
        <v>1224</v>
      </c>
      <c r="BN165" s="138" t="str">
        <f t="shared" si="6"/>
        <v>No reported value</v>
      </c>
      <c r="BO165" s="138" t="str">
        <f t="shared" si="7"/>
        <v>No reported value</v>
      </c>
      <c r="BP165" s="138">
        <f t="shared" si="8"/>
        <v>0.4</v>
      </c>
    </row>
    <row r="166" spans="2:68" x14ac:dyDescent="0.25">
      <c r="B166" s="138" t="s">
        <v>590</v>
      </c>
      <c r="C166" s="138" t="s">
        <v>591</v>
      </c>
      <c r="D166" s="138" t="s">
        <v>1225</v>
      </c>
      <c r="E166" s="138" t="s">
        <v>1224</v>
      </c>
      <c r="BN166" s="138" t="str">
        <f t="shared" si="6"/>
        <v>No reported value</v>
      </c>
      <c r="BO166" s="138" t="str">
        <f t="shared" si="7"/>
        <v>No reported value</v>
      </c>
      <c r="BP166" s="138">
        <f t="shared" si="8"/>
        <v>0.4</v>
      </c>
    </row>
    <row r="167" spans="2:68" x14ac:dyDescent="0.25">
      <c r="B167" s="138" t="s">
        <v>204</v>
      </c>
      <c r="C167" s="138" t="s">
        <v>92</v>
      </c>
      <c r="D167" s="138" t="s">
        <v>1225</v>
      </c>
      <c r="E167" s="138" t="s">
        <v>1224</v>
      </c>
      <c r="BC167" s="138">
        <v>8.0000000000000002E-3</v>
      </c>
      <c r="BD167" s="138">
        <v>7.0000000000000001E-3</v>
      </c>
      <c r="BN167" s="138">
        <f t="shared" si="6"/>
        <v>7.0000000000000001E-3</v>
      </c>
      <c r="BO167" s="138">
        <f t="shared" si="7"/>
        <v>2010</v>
      </c>
      <c r="BP167" s="138">
        <f t="shared" si="8"/>
        <v>7.0000000000000001E-3</v>
      </c>
    </row>
    <row r="168" spans="2:68" x14ac:dyDescent="0.25">
      <c r="B168" s="138" t="s">
        <v>567</v>
      </c>
      <c r="C168" s="138" t="s">
        <v>93</v>
      </c>
      <c r="D168" s="138" t="s">
        <v>1225</v>
      </c>
      <c r="E168" s="138" t="s">
        <v>1224</v>
      </c>
      <c r="BN168" s="138" t="str">
        <f t="shared" si="6"/>
        <v>No reported value</v>
      </c>
      <c r="BO168" s="138" t="str">
        <f t="shared" si="7"/>
        <v>No reported value</v>
      </c>
      <c r="BP168" s="138">
        <f t="shared" si="8"/>
        <v>0.4</v>
      </c>
    </row>
    <row r="169" spans="2:68" x14ac:dyDescent="0.25">
      <c r="B169" s="138" t="s">
        <v>244</v>
      </c>
      <c r="C169" s="138" t="s">
        <v>94</v>
      </c>
      <c r="D169" s="138" t="s">
        <v>1225</v>
      </c>
      <c r="E169" s="138" t="s">
        <v>1224</v>
      </c>
      <c r="AX169" s="138">
        <v>0.999</v>
      </c>
      <c r="AY169" s="138">
        <v>7.6999999999999999E-2</v>
      </c>
      <c r="AZ169" s="138">
        <v>0.08</v>
      </c>
      <c r="BA169" s="138">
        <v>8.2000000000000003E-2</v>
      </c>
      <c r="BB169" s="138">
        <v>8.2000000000000003E-2</v>
      </c>
      <c r="BC169" s="138">
        <v>0.193</v>
      </c>
      <c r="BD169" s="138">
        <v>0.193</v>
      </c>
      <c r="BE169" s="138">
        <v>0.19400000000000001</v>
      </c>
      <c r="BF169" s="138">
        <v>0.19500000000000001</v>
      </c>
      <c r="BN169" s="138">
        <f t="shared" si="6"/>
        <v>0.19500000000000001</v>
      </c>
      <c r="BO169" s="138">
        <f t="shared" si="7"/>
        <v>2012</v>
      </c>
      <c r="BP169" s="138">
        <f t="shared" si="8"/>
        <v>0.19500000000000001</v>
      </c>
    </row>
    <row r="170" spans="2:68" x14ac:dyDescent="0.25">
      <c r="B170" s="138" t="s">
        <v>574</v>
      </c>
      <c r="C170" s="138" t="s">
        <v>575</v>
      </c>
      <c r="D170" s="138" t="s">
        <v>1225</v>
      </c>
      <c r="E170" s="138" t="s">
        <v>1224</v>
      </c>
      <c r="BN170" s="138" t="str">
        <f t="shared" si="6"/>
        <v>No reported value</v>
      </c>
      <c r="BO170" s="138" t="str">
        <f t="shared" si="7"/>
        <v>No reported value</v>
      </c>
      <c r="BP170" s="138">
        <f t="shared" si="8"/>
        <v>0.4</v>
      </c>
    </row>
    <row r="171" spans="2:68" x14ac:dyDescent="0.25">
      <c r="B171" s="138" t="s">
        <v>582</v>
      </c>
      <c r="C171" s="138" t="s">
        <v>95</v>
      </c>
      <c r="D171" s="138" t="s">
        <v>1225</v>
      </c>
      <c r="E171" s="138" t="s">
        <v>1224</v>
      </c>
      <c r="BN171" s="138" t="str">
        <f t="shared" si="6"/>
        <v>No reported value</v>
      </c>
      <c r="BO171" s="138" t="str">
        <f t="shared" si="7"/>
        <v>No reported value</v>
      </c>
      <c r="BP171" s="138">
        <f t="shared" si="8"/>
        <v>0.4</v>
      </c>
    </row>
    <row r="172" spans="2:68" x14ac:dyDescent="0.25">
      <c r="B172" s="138" t="s">
        <v>250</v>
      </c>
      <c r="C172" s="138" t="s">
        <v>96</v>
      </c>
      <c r="D172" s="138" t="s">
        <v>1225</v>
      </c>
      <c r="E172" s="138" t="s">
        <v>1224</v>
      </c>
      <c r="BB172" s="138">
        <v>2.3E-2</v>
      </c>
      <c r="BC172" s="138">
        <v>0.123</v>
      </c>
      <c r="BD172" s="138">
        <v>0.161</v>
      </c>
      <c r="BN172" s="138">
        <f t="shared" si="6"/>
        <v>0.161</v>
      </c>
      <c r="BO172" s="138">
        <f t="shared" si="7"/>
        <v>2010</v>
      </c>
      <c r="BP172" s="138">
        <f t="shared" si="8"/>
        <v>0.161</v>
      </c>
    </row>
    <row r="173" spans="2:68" x14ac:dyDescent="0.25">
      <c r="B173" s="138" t="s">
        <v>592</v>
      </c>
      <c r="C173" s="138" t="s">
        <v>593</v>
      </c>
      <c r="D173" s="138" t="s">
        <v>1225</v>
      </c>
      <c r="E173" s="138" t="s">
        <v>1224</v>
      </c>
      <c r="BN173" s="138" t="str">
        <f t="shared" si="6"/>
        <v>No reported value</v>
      </c>
      <c r="BO173" s="138" t="str">
        <f t="shared" si="7"/>
        <v>No reported value</v>
      </c>
      <c r="BP173" s="138">
        <f t="shared" si="8"/>
        <v>0.4</v>
      </c>
    </row>
    <row r="174" spans="2:68" x14ac:dyDescent="0.25">
      <c r="B174" s="138" t="s">
        <v>207</v>
      </c>
      <c r="C174" s="138" t="s">
        <v>97</v>
      </c>
      <c r="D174" s="138" t="s">
        <v>1225</v>
      </c>
      <c r="E174" s="138" t="s">
        <v>1224</v>
      </c>
      <c r="BF174" s="138">
        <v>4.7E-2</v>
      </c>
      <c r="BG174" s="138">
        <v>4.4999999999999998E-2</v>
      </c>
      <c r="BN174" s="138">
        <f t="shared" si="6"/>
        <v>4.4999999999999998E-2</v>
      </c>
      <c r="BO174" s="138">
        <f t="shared" si="7"/>
        <v>2013</v>
      </c>
      <c r="BP174" s="138">
        <f t="shared" si="8"/>
        <v>4.4999999999999998E-2</v>
      </c>
    </row>
    <row r="175" spans="2:68" x14ac:dyDescent="0.25">
      <c r="B175" s="138" t="s">
        <v>205</v>
      </c>
      <c r="C175" s="138" t="s">
        <v>98</v>
      </c>
      <c r="D175" s="138" t="s">
        <v>1225</v>
      </c>
      <c r="E175" s="138" t="s">
        <v>1224</v>
      </c>
      <c r="BG175" s="138">
        <v>0.3</v>
      </c>
      <c r="BN175" s="138">
        <f t="shared" si="6"/>
        <v>0.3</v>
      </c>
      <c r="BO175" s="138">
        <f t="shared" si="7"/>
        <v>2013</v>
      </c>
      <c r="BP175" s="138">
        <f t="shared" si="8"/>
        <v>0.3</v>
      </c>
    </row>
    <row r="176" spans="2:68" x14ac:dyDescent="0.25">
      <c r="B176" s="138" t="s">
        <v>206</v>
      </c>
      <c r="C176" s="138" t="s">
        <v>99</v>
      </c>
      <c r="D176" s="138" t="s">
        <v>1225</v>
      </c>
      <c r="E176" s="138" t="s">
        <v>1224</v>
      </c>
      <c r="AX176" s="138">
        <v>0.19400000000000001</v>
      </c>
      <c r="BN176" s="138">
        <f t="shared" si="6"/>
        <v>0.19400000000000001</v>
      </c>
      <c r="BO176" s="138">
        <f t="shared" si="7"/>
        <v>2004</v>
      </c>
      <c r="BP176" s="138">
        <f t="shared" si="8"/>
        <v>0.19400000000000001</v>
      </c>
    </row>
    <row r="177" spans="2:68" x14ac:dyDescent="0.25">
      <c r="B177" s="138" t="s">
        <v>203</v>
      </c>
      <c r="C177" s="138" t="s">
        <v>100</v>
      </c>
      <c r="D177" s="138" t="s">
        <v>1225</v>
      </c>
      <c r="E177" s="138" t="s">
        <v>1224</v>
      </c>
      <c r="BB177" s="138">
        <v>0.72299999999999998</v>
      </c>
      <c r="BN177" s="138">
        <f t="shared" si="6"/>
        <v>0.72299999999999998</v>
      </c>
      <c r="BO177" s="138">
        <f t="shared" si="7"/>
        <v>2008</v>
      </c>
      <c r="BP177" s="138">
        <f t="shared" si="8"/>
        <v>0.72299999999999998</v>
      </c>
    </row>
    <row r="178" spans="2:68" x14ac:dyDescent="0.25">
      <c r="B178" s="138" t="s">
        <v>566</v>
      </c>
      <c r="C178" s="138" t="s">
        <v>101</v>
      </c>
      <c r="D178" s="138" t="s">
        <v>1225</v>
      </c>
      <c r="E178" s="138" t="s">
        <v>1224</v>
      </c>
      <c r="BD178" s="138">
        <v>0.435</v>
      </c>
      <c r="BN178" s="138">
        <f t="shared" si="6"/>
        <v>0.435</v>
      </c>
      <c r="BO178" s="138">
        <f t="shared" si="7"/>
        <v>2010</v>
      </c>
      <c r="BP178" s="138">
        <f t="shared" si="8"/>
        <v>0.435</v>
      </c>
    </row>
    <row r="179" spans="2:68" x14ac:dyDescent="0.25">
      <c r="B179" s="138" t="s">
        <v>588</v>
      </c>
      <c r="C179" s="138" t="s">
        <v>589</v>
      </c>
      <c r="D179" s="138" t="s">
        <v>1225</v>
      </c>
      <c r="E179" s="138" t="s">
        <v>1224</v>
      </c>
      <c r="BN179" s="138" t="str">
        <f t="shared" si="6"/>
        <v>No reported value</v>
      </c>
      <c r="BO179" s="138" t="str">
        <f t="shared" si="7"/>
        <v>No reported value</v>
      </c>
      <c r="BP179" s="138">
        <f t="shared" si="8"/>
        <v>0.4</v>
      </c>
    </row>
    <row r="180" spans="2:68" x14ac:dyDescent="0.25">
      <c r="B180" s="138" t="s">
        <v>208</v>
      </c>
      <c r="C180" s="138" t="s">
        <v>102</v>
      </c>
      <c r="D180" s="138" t="s">
        <v>1225</v>
      </c>
      <c r="E180" s="138" t="s">
        <v>1224</v>
      </c>
      <c r="BN180" s="138" t="str">
        <f t="shared" si="6"/>
        <v>No reported value</v>
      </c>
      <c r="BO180" s="138" t="str">
        <f t="shared" si="7"/>
        <v>No reported value</v>
      </c>
      <c r="BP180" s="138">
        <f t="shared" si="8"/>
        <v>0.4</v>
      </c>
    </row>
    <row r="181" spans="2:68" x14ac:dyDescent="0.25">
      <c r="B181" s="138" t="s">
        <v>585</v>
      </c>
      <c r="C181" s="138" t="s">
        <v>586</v>
      </c>
      <c r="D181" s="138" t="s">
        <v>1225</v>
      </c>
      <c r="E181" s="138" t="s">
        <v>1224</v>
      </c>
      <c r="BN181" s="138" t="str">
        <f t="shared" si="6"/>
        <v>No reported value</v>
      </c>
      <c r="BO181" s="138" t="str">
        <f t="shared" si="7"/>
        <v>No reported value</v>
      </c>
      <c r="BP181" s="138">
        <f t="shared" si="8"/>
        <v>0.4</v>
      </c>
    </row>
    <row r="182" spans="2:68" x14ac:dyDescent="0.25">
      <c r="B182" s="138" t="s">
        <v>209</v>
      </c>
      <c r="C182" s="138" t="s">
        <v>103</v>
      </c>
      <c r="D182" s="138" t="s">
        <v>1225</v>
      </c>
      <c r="E182" s="138" t="s">
        <v>1224</v>
      </c>
      <c r="BN182" s="138" t="str">
        <f t="shared" si="6"/>
        <v>No reported value</v>
      </c>
      <c r="BO182" s="138" t="str">
        <f t="shared" si="7"/>
        <v>No reported value</v>
      </c>
      <c r="BP182" s="138">
        <f t="shared" si="8"/>
        <v>0.4</v>
      </c>
    </row>
    <row r="183" spans="2:68" x14ac:dyDescent="0.25">
      <c r="B183" s="138" t="s">
        <v>177</v>
      </c>
      <c r="C183" s="138" t="s">
        <v>104</v>
      </c>
      <c r="D183" s="138" t="s">
        <v>1225</v>
      </c>
      <c r="E183" s="138" t="s">
        <v>1224</v>
      </c>
      <c r="BA183" s="138">
        <v>0.13100000000000001</v>
      </c>
      <c r="BB183" s="138">
        <v>0.128</v>
      </c>
      <c r="BN183" s="138">
        <f t="shared" si="6"/>
        <v>0.128</v>
      </c>
      <c r="BO183" s="138">
        <f t="shared" si="7"/>
        <v>2008</v>
      </c>
      <c r="BP183" s="138">
        <f t="shared" si="8"/>
        <v>0.128</v>
      </c>
    </row>
    <row r="184" spans="2:68" x14ac:dyDescent="0.25">
      <c r="B184" s="138" t="s">
        <v>227</v>
      </c>
      <c r="C184" s="138" t="s">
        <v>105</v>
      </c>
      <c r="D184" s="138" t="s">
        <v>1225</v>
      </c>
      <c r="E184" s="138" t="s">
        <v>1224</v>
      </c>
      <c r="BN184" s="138" t="str">
        <f t="shared" si="6"/>
        <v>No reported value</v>
      </c>
      <c r="BO184" s="138" t="str">
        <f t="shared" si="7"/>
        <v>No reported value</v>
      </c>
      <c r="BP184" s="138">
        <f t="shared" si="8"/>
        <v>0.4</v>
      </c>
    </row>
    <row r="185" spans="2:68" x14ac:dyDescent="0.25">
      <c r="B185" s="138" t="s">
        <v>584</v>
      </c>
      <c r="C185" s="138" t="s">
        <v>106</v>
      </c>
      <c r="D185" s="138" t="s">
        <v>1225</v>
      </c>
      <c r="E185" s="138" t="s">
        <v>1224</v>
      </c>
      <c r="BN185" s="138" t="str">
        <f t="shared" si="6"/>
        <v>No reported value</v>
      </c>
      <c r="BO185" s="138" t="str">
        <f t="shared" si="7"/>
        <v>No reported value</v>
      </c>
      <c r="BP185" s="138">
        <f t="shared" si="8"/>
        <v>0.4</v>
      </c>
    </row>
    <row r="186" spans="2:68" x14ac:dyDescent="0.25">
      <c r="B186" s="138" t="s">
        <v>594</v>
      </c>
      <c r="C186" s="138" t="s">
        <v>107</v>
      </c>
      <c r="D186" s="138" t="s">
        <v>1225</v>
      </c>
      <c r="E186" s="138" t="s">
        <v>1224</v>
      </c>
      <c r="BN186" s="138" t="str">
        <f t="shared" si="6"/>
        <v>No reported value</v>
      </c>
      <c r="BO186" s="138" t="str">
        <f t="shared" si="7"/>
        <v>No reported value</v>
      </c>
      <c r="BP186" s="138">
        <f t="shared" si="8"/>
        <v>0.4</v>
      </c>
    </row>
    <row r="187" spans="2:68" x14ac:dyDescent="0.25">
      <c r="B187" s="138" t="s">
        <v>179</v>
      </c>
      <c r="C187" s="138" t="s">
        <v>108</v>
      </c>
      <c r="D187" s="138" t="s">
        <v>1225</v>
      </c>
      <c r="E187" s="138" t="s">
        <v>1224</v>
      </c>
      <c r="AX187" s="138">
        <v>0.68400000000000005</v>
      </c>
      <c r="BN187" s="138">
        <f t="shared" si="6"/>
        <v>0.68400000000000005</v>
      </c>
      <c r="BO187" s="138">
        <f t="shared" si="7"/>
        <v>2004</v>
      </c>
      <c r="BP187" s="138">
        <f t="shared" si="8"/>
        <v>0.68400000000000005</v>
      </c>
    </row>
    <row r="188" spans="2:68" x14ac:dyDescent="0.25">
      <c r="B188" s="138" t="s">
        <v>251</v>
      </c>
      <c r="C188" s="138" t="s">
        <v>109</v>
      </c>
      <c r="D188" s="138" t="s">
        <v>1225</v>
      </c>
      <c r="E188" s="138" t="s">
        <v>1224</v>
      </c>
      <c r="BB188" s="138">
        <v>1.393</v>
      </c>
      <c r="BC188" s="138">
        <v>0.29899999999999999</v>
      </c>
      <c r="BE188" s="138">
        <v>1.6930000000000001</v>
      </c>
      <c r="BN188" s="138">
        <f t="shared" si="6"/>
        <v>1.6930000000000001</v>
      </c>
      <c r="BO188" s="138">
        <f t="shared" si="7"/>
        <v>2011</v>
      </c>
      <c r="BP188" s="138">
        <f t="shared" si="8"/>
        <v>1.6930000000000001</v>
      </c>
    </row>
    <row r="189" spans="2:68" x14ac:dyDescent="0.25">
      <c r="B189" s="138" t="s">
        <v>587</v>
      </c>
      <c r="C189" s="138" t="s">
        <v>110</v>
      </c>
      <c r="D189" s="138" t="s">
        <v>1225</v>
      </c>
      <c r="E189" s="138" t="s">
        <v>1224</v>
      </c>
      <c r="BN189" s="138" t="str">
        <f t="shared" si="6"/>
        <v>No reported value</v>
      </c>
      <c r="BO189" s="138" t="str">
        <f t="shared" si="7"/>
        <v>No reported value</v>
      </c>
      <c r="BP189" s="138">
        <f t="shared" si="8"/>
        <v>0.4</v>
      </c>
    </row>
    <row r="190" spans="2:68" x14ac:dyDescent="0.25">
      <c r="B190" s="138" t="s">
        <v>597</v>
      </c>
      <c r="C190" s="138" t="s">
        <v>598</v>
      </c>
      <c r="D190" s="138" t="s">
        <v>1225</v>
      </c>
      <c r="E190" s="138" t="s">
        <v>1224</v>
      </c>
      <c r="BN190" s="138" t="str">
        <f t="shared" si="6"/>
        <v>No reported value</v>
      </c>
      <c r="BO190" s="138" t="str">
        <f t="shared" si="7"/>
        <v>No reported value</v>
      </c>
      <c r="BP190" s="138">
        <f t="shared" si="8"/>
        <v>0.4</v>
      </c>
    </row>
    <row r="191" spans="2:68" x14ac:dyDescent="0.25">
      <c r="B191" s="138" t="s">
        <v>599</v>
      </c>
      <c r="C191" s="138" t="s">
        <v>111</v>
      </c>
      <c r="D191" s="138" t="s">
        <v>1225</v>
      </c>
      <c r="E191" s="138" t="s">
        <v>1224</v>
      </c>
      <c r="BN191" s="138" t="str">
        <f t="shared" si="6"/>
        <v>No reported value</v>
      </c>
      <c r="BO191" s="138" t="str">
        <f t="shared" si="7"/>
        <v>No reported value</v>
      </c>
      <c r="BP191" s="138">
        <f t="shared" si="8"/>
        <v>0.4</v>
      </c>
    </row>
    <row r="192" spans="2:68" x14ac:dyDescent="0.25">
      <c r="B192" s="138" t="s">
        <v>600</v>
      </c>
      <c r="C192" s="138" t="s">
        <v>601</v>
      </c>
      <c r="D192" s="138" t="s">
        <v>1225</v>
      </c>
      <c r="E192" s="138" t="s">
        <v>1224</v>
      </c>
      <c r="BN192" s="138" t="str">
        <f t="shared" si="6"/>
        <v>No reported value</v>
      </c>
      <c r="BO192" s="138" t="str">
        <f t="shared" si="7"/>
        <v>No reported value</v>
      </c>
      <c r="BP192" s="138">
        <f t="shared" si="8"/>
        <v>0.4</v>
      </c>
    </row>
    <row r="193" spans="2:68" x14ac:dyDescent="0.25">
      <c r="B193" s="138" t="s">
        <v>176</v>
      </c>
      <c r="C193" s="138" t="s">
        <v>112</v>
      </c>
      <c r="D193" s="138" t="s">
        <v>1225</v>
      </c>
      <c r="E193" s="138" t="s">
        <v>1224</v>
      </c>
      <c r="AL193" s="138">
        <v>3.3000000000000002E-2</v>
      </c>
      <c r="AM193" s="138">
        <v>3.4000000000000002E-2</v>
      </c>
      <c r="AN193" s="138">
        <v>3.4000000000000002E-2</v>
      </c>
      <c r="AO193" s="138">
        <v>3.4000000000000002E-2</v>
      </c>
      <c r="AP193" s="138">
        <v>3.5000000000000003E-2</v>
      </c>
      <c r="AQ193" s="138">
        <v>3.5999999999999997E-2</v>
      </c>
      <c r="AR193" s="138">
        <v>3.7999999999999999E-2</v>
      </c>
      <c r="AS193" s="138">
        <v>3.9E-2</v>
      </c>
      <c r="AT193" s="138">
        <v>3.9E-2</v>
      </c>
      <c r="AU193" s="138">
        <v>0.04</v>
      </c>
      <c r="BB193" s="138">
        <v>6.0999999999999999E-2</v>
      </c>
      <c r="BC193" s="138">
        <v>6.4000000000000001E-2</v>
      </c>
      <c r="BD193" s="138">
        <v>6.8000000000000005E-2</v>
      </c>
      <c r="BE193" s="138">
        <v>7.2999999999999995E-2</v>
      </c>
      <c r="BI193" s="138">
        <v>8.6999999999999994E-2</v>
      </c>
      <c r="BN193" s="138">
        <f t="shared" si="6"/>
        <v>8.6999999999999994E-2</v>
      </c>
      <c r="BO193" s="138">
        <f t="shared" si="7"/>
        <v>2015</v>
      </c>
      <c r="BP193" s="138">
        <f t="shared" si="8"/>
        <v>8.6999999999999994E-2</v>
      </c>
    </row>
    <row r="194" spans="2:68" x14ac:dyDescent="0.25">
      <c r="B194" s="138" t="s">
        <v>606</v>
      </c>
      <c r="C194" s="138" t="s">
        <v>113</v>
      </c>
      <c r="D194" s="138" t="s">
        <v>1225</v>
      </c>
      <c r="E194" s="138" t="s">
        <v>1224</v>
      </c>
      <c r="AT194" s="138">
        <v>0.46</v>
      </c>
      <c r="BN194" s="138">
        <f t="shared" si="6"/>
        <v>0.46</v>
      </c>
      <c r="BO194" s="138">
        <f t="shared" si="7"/>
        <v>2000</v>
      </c>
      <c r="BP194" s="138">
        <f t="shared" si="8"/>
        <v>0.46</v>
      </c>
    </row>
    <row r="195" spans="2:68" x14ac:dyDescent="0.25">
      <c r="B195" s="138" t="s">
        <v>607</v>
      </c>
      <c r="C195" s="138" t="s">
        <v>114</v>
      </c>
      <c r="D195" s="138" t="s">
        <v>1225</v>
      </c>
      <c r="E195" s="138" t="s">
        <v>1224</v>
      </c>
      <c r="BN195" s="138" t="str">
        <f t="shared" si="6"/>
        <v>No reported value</v>
      </c>
      <c r="BO195" s="138" t="str">
        <f t="shared" si="7"/>
        <v>No reported value</v>
      </c>
      <c r="BP195" s="138">
        <f t="shared" si="8"/>
        <v>0.4</v>
      </c>
    </row>
    <row r="196" spans="2:68" x14ac:dyDescent="0.25">
      <c r="B196" s="138" t="s">
        <v>253</v>
      </c>
      <c r="C196" s="138" t="s">
        <v>115</v>
      </c>
      <c r="D196" s="138" t="s">
        <v>1225</v>
      </c>
      <c r="E196" s="138" t="s">
        <v>1224</v>
      </c>
      <c r="BN196" s="138" t="str">
        <f t="shared" si="6"/>
        <v>No reported value</v>
      </c>
      <c r="BO196" s="138" t="str">
        <f t="shared" si="7"/>
        <v>No reported value</v>
      </c>
      <c r="BP196" s="138">
        <f t="shared" si="8"/>
        <v>0.4</v>
      </c>
    </row>
    <row r="197" spans="2:68" x14ac:dyDescent="0.25">
      <c r="B197" s="138" t="s">
        <v>604</v>
      </c>
      <c r="C197" s="138" t="s">
        <v>605</v>
      </c>
      <c r="D197" s="138" t="s">
        <v>1225</v>
      </c>
      <c r="E197" s="138" t="s">
        <v>1224</v>
      </c>
      <c r="BN197" s="138" t="str">
        <f t="shared" si="6"/>
        <v>No reported value</v>
      </c>
      <c r="BO197" s="138" t="str">
        <f t="shared" si="7"/>
        <v>No reported value</v>
      </c>
      <c r="BP197" s="138">
        <f t="shared" si="8"/>
        <v>0.4</v>
      </c>
    </row>
    <row r="198" spans="2:68" x14ac:dyDescent="0.25">
      <c r="B198" s="138" t="s">
        <v>252</v>
      </c>
      <c r="C198" s="138" t="s">
        <v>116</v>
      </c>
      <c r="D198" s="138" t="s">
        <v>1225</v>
      </c>
      <c r="E198" s="138" t="s">
        <v>1224</v>
      </c>
      <c r="BB198" s="138">
        <v>0.59399999999999997</v>
      </c>
      <c r="BN198" s="138">
        <f t="shared" si="6"/>
        <v>0.59399999999999997</v>
      </c>
      <c r="BO198" s="138">
        <f t="shared" si="7"/>
        <v>2008</v>
      </c>
      <c r="BP198" s="138">
        <f t="shared" si="8"/>
        <v>0.59399999999999997</v>
      </c>
    </row>
    <row r="199" spans="2:68" x14ac:dyDescent="0.25">
      <c r="B199" s="138" t="s">
        <v>608</v>
      </c>
      <c r="C199" s="138" t="s">
        <v>117</v>
      </c>
      <c r="D199" s="138" t="s">
        <v>1225</v>
      </c>
      <c r="E199" s="138" t="s">
        <v>1224</v>
      </c>
      <c r="BN199" s="138" t="str">
        <f t="shared" si="6"/>
        <v>No reported value</v>
      </c>
      <c r="BO199" s="138" t="str">
        <f t="shared" si="7"/>
        <v>No reported value</v>
      </c>
      <c r="BP199" s="138">
        <f t="shared" si="8"/>
        <v>0.4</v>
      </c>
    </row>
    <row r="200" spans="2:68" x14ac:dyDescent="0.25">
      <c r="B200" s="138" t="s">
        <v>612</v>
      </c>
      <c r="C200" s="138" t="s">
        <v>613</v>
      </c>
      <c r="D200" s="138" t="s">
        <v>1225</v>
      </c>
      <c r="E200" s="138" t="s">
        <v>1224</v>
      </c>
      <c r="BN200" s="138" t="str">
        <f t="shared" si="6"/>
        <v>No reported value</v>
      </c>
      <c r="BO200" s="138" t="str">
        <f t="shared" si="7"/>
        <v>No reported value</v>
      </c>
      <c r="BP200" s="138">
        <f t="shared" si="8"/>
        <v>0.4</v>
      </c>
    </row>
    <row r="201" spans="2:68" x14ac:dyDescent="0.25">
      <c r="B201" s="138" t="s">
        <v>614</v>
      </c>
      <c r="C201" s="138" t="s">
        <v>615</v>
      </c>
      <c r="D201" s="138" t="s">
        <v>1225</v>
      </c>
      <c r="E201" s="138" t="s">
        <v>1224</v>
      </c>
      <c r="BN201" s="138" t="str">
        <f t="shared" si="6"/>
        <v>No reported value</v>
      </c>
      <c r="BO201" s="138" t="str">
        <f t="shared" si="7"/>
        <v>No reported value</v>
      </c>
      <c r="BP201" s="138">
        <f t="shared" si="8"/>
        <v>0.4</v>
      </c>
    </row>
    <row r="202" spans="2:68" x14ac:dyDescent="0.25">
      <c r="B202" s="138" t="s">
        <v>535</v>
      </c>
      <c r="C202" s="138" t="s">
        <v>158</v>
      </c>
      <c r="D202" s="138" t="s">
        <v>1225</v>
      </c>
      <c r="E202" s="138" t="s">
        <v>1224</v>
      </c>
      <c r="BN202" s="138" t="str">
        <f t="shared" si="6"/>
        <v>No reported value</v>
      </c>
      <c r="BO202" s="138" t="str">
        <f t="shared" si="7"/>
        <v>No reported value</v>
      </c>
      <c r="BP202" s="138">
        <f t="shared" si="8"/>
        <v>0.4</v>
      </c>
    </row>
    <row r="203" spans="2:68" x14ac:dyDescent="0.25">
      <c r="B203" s="138" t="s">
        <v>609</v>
      </c>
      <c r="C203" s="138" t="s">
        <v>118</v>
      </c>
      <c r="D203" s="138" t="s">
        <v>1225</v>
      </c>
      <c r="E203" s="138" t="s">
        <v>1224</v>
      </c>
      <c r="BN203" s="138" t="str">
        <f t="shared" ref="BN203:BN266" si="9">IFERROR(LOOKUP(2,1/(ISNUMBER(F203:BM203)),F203:BM203),"No reported value")</f>
        <v>No reported value</v>
      </c>
      <c r="BO203" s="138" t="str">
        <f t="shared" ref="BO203:BO266" si="10">IFERROR(INDEX($F$10:$BM$10,1,MATCH($BN203,$F203:$BM203,0)),"No reported value")</f>
        <v>No reported value</v>
      </c>
      <c r="BP203" s="138">
        <f t="shared" si="8"/>
        <v>0.4</v>
      </c>
    </row>
    <row r="204" spans="2:68" x14ac:dyDescent="0.25">
      <c r="B204" s="138" t="s">
        <v>228</v>
      </c>
      <c r="C204" s="138" t="s">
        <v>119</v>
      </c>
      <c r="D204" s="138" t="s">
        <v>1225</v>
      </c>
      <c r="E204" s="138" t="s">
        <v>1224</v>
      </c>
      <c r="BN204" s="138" t="str">
        <f t="shared" si="9"/>
        <v>No reported value</v>
      </c>
      <c r="BO204" s="138" t="str">
        <f t="shared" si="10"/>
        <v>No reported value</v>
      </c>
      <c r="BP204" s="138">
        <f t="shared" ref="BP204:BP267" si="11">IF(BN204="No reported value",BO$8,BN204)</f>
        <v>0.4</v>
      </c>
    </row>
    <row r="205" spans="2:68" x14ac:dyDescent="0.25">
      <c r="B205" s="138" t="s">
        <v>674</v>
      </c>
      <c r="C205" s="138" t="s">
        <v>675</v>
      </c>
      <c r="D205" s="138" t="s">
        <v>1225</v>
      </c>
      <c r="E205" s="138" t="s">
        <v>1224</v>
      </c>
      <c r="BN205" s="138" t="str">
        <f t="shared" si="9"/>
        <v>No reported value</v>
      </c>
      <c r="BO205" s="138" t="str">
        <f t="shared" si="10"/>
        <v>No reported value</v>
      </c>
      <c r="BP205" s="138">
        <f t="shared" si="11"/>
        <v>0.4</v>
      </c>
    </row>
    <row r="206" spans="2:68" x14ac:dyDescent="0.25">
      <c r="B206" s="138" t="s">
        <v>602</v>
      </c>
      <c r="C206" s="138" t="s">
        <v>603</v>
      </c>
      <c r="D206" s="138" t="s">
        <v>1225</v>
      </c>
      <c r="E206" s="138" t="s">
        <v>1224</v>
      </c>
      <c r="BN206" s="138" t="str">
        <f t="shared" si="9"/>
        <v>No reported value</v>
      </c>
      <c r="BO206" s="138" t="str">
        <f t="shared" si="10"/>
        <v>No reported value</v>
      </c>
      <c r="BP206" s="138">
        <f t="shared" si="11"/>
        <v>0.4</v>
      </c>
    </row>
    <row r="207" spans="2:68" x14ac:dyDescent="0.25">
      <c r="B207" s="138" t="s">
        <v>610</v>
      </c>
      <c r="C207" s="138" t="s">
        <v>611</v>
      </c>
      <c r="D207" s="138" t="s">
        <v>1225</v>
      </c>
      <c r="E207" s="138" t="s">
        <v>1224</v>
      </c>
      <c r="BN207" s="138" t="str">
        <f t="shared" si="9"/>
        <v>No reported value</v>
      </c>
      <c r="BO207" s="138" t="str">
        <f t="shared" si="10"/>
        <v>No reported value</v>
      </c>
      <c r="BP207" s="138">
        <f t="shared" si="11"/>
        <v>0.4</v>
      </c>
    </row>
    <row r="208" spans="2:68" x14ac:dyDescent="0.25">
      <c r="B208" s="138" t="s">
        <v>503</v>
      </c>
      <c r="C208" s="138" t="s">
        <v>504</v>
      </c>
      <c r="D208" s="138" t="s">
        <v>1225</v>
      </c>
      <c r="E208" s="138" t="s">
        <v>1224</v>
      </c>
      <c r="BN208" s="138" t="str">
        <f t="shared" si="9"/>
        <v>No reported value</v>
      </c>
      <c r="BO208" s="138" t="str">
        <f t="shared" si="10"/>
        <v>No reported value</v>
      </c>
      <c r="BP208" s="138">
        <f t="shared" si="11"/>
        <v>0.4</v>
      </c>
    </row>
    <row r="209" spans="2:68" x14ac:dyDescent="0.25">
      <c r="B209" s="138" t="s">
        <v>616</v>
      </c>
      <c r="C209" s="138" t="s">
        <v>120</v>
      </c>
      <c r="D209" s="138" t="s">
        <v>1225</v>
      </c>
      <c r="E209" s="138" t="s">
        <v>1224</v>
      </c>
      <c r="BN209" s="138" t="str">
        <f t="shared" si="9"/>
        <v>No reported value</v>
      </c>
      <c r="BO209" s="138" t="str">
        <f t="shared" si="10"/>
        <v>No reported value</v>
      </c>
      <c r="BP209" s="138">
        <f t="shared" si="11"/>
        <v>0.4</v>
      </c>
    </row>
    <row r="210" spans="2:68" x14ac:dyDescent="0.25">
      <c r="B210" s="138" t="s">
        <v>617</v>
      </c>
      <c r="C210" s="138" t="s">
        <v>121</v>
      </c>
      <c r="D210" s="138" t="s">
        <v>1225</v>
      </c>
      <c r="E210" s="138" t="s">
        <v>1224</v>
      </c>
      <c r="BN210" s="138" t="str">
        <f t="shared" si="9"/>
        <v>No reported value</v>
      </c>
      <c r="BO210" s="138" t="str">
        <f t="shared" si="10"/>
        <v>No reported value</v>
      </c>
      <c r="BP210" s="138">
        <f t="shared" si="11"/>
        <v>0.4</v>
      </c>
    </row>
    <row r="211" spans="2:68" x14ac:dyDescent="0.25">
      <c r="B211" s="138" t="s">
        <v>618</v>
      </c>
      <c r="C211" s="138" t="s">
        <v>122</v>
      </c>
      <c r="D211" s="138" t="s">
        <v>1225</v>
      </c>
      <c r="E211" s="138" t="s">
        <v>1224</v>
      </c>
      <c r="BN211" s="138" t="str">
        <f t="shared" si="9"/>
        <v>No reported value</v>
      </c>
      <c r="BO211" s="138" t="str">
        <f t="shared" si="10"/>
        <v>No reported value</v>
      </c>
      <c r="BP211" s="138">
        <f t="shared" si="11"/>
        <v>0.4</v>
      </c>
    </row>
    <row r="212" spans="2:68" x14ac:dyDescent="0.25">
      <c r="B212" s="138" t="s">
        <v>210</v>
      </c>
      <c r="C212" s="138" t="s">
        <v>123</v>
      </c>
      <c r="D212" s="138" t="s">
        <v>1225</v>
      </c>
      <c r="E212" s="138" t="s">
        <v>1224</v>
      </c>
      <c r="AX212" s="138">
        <v>1.359</v>
      </c>
      <c r="BN212" s="138">
        <f t="shared" si="9"/>
        <v>1.359</v>
      </c>
      <c r="BO212" s="138">
        <f t="shared" si="10"/>
        <v>2004</v>
      </c>
      <c r="BP212" s="138">
        <f t="shared" si="11"/>
        <v>1.359</v>
      </c>
    </row>
    <row r="213" spans="2:68" x14ac:dyDescent="0.25">
      <c r="B213" s="138" t="s">
        <v>630</v>
      </c>
      <c r="C213" s="138" t="s">
        <v>631</v>
      </c>
      <c r="D213" s="138" t="s">
        <v>1225</v>
      </c>
      <c r="E213" s="138" t="s">
        <v>1224</v>
      </c>
      <c r="AJ213" s="138">
        <v>0.14092108091665279</v>
      </c>
      <c r="BE213" s="138">
        <v>0.51390419136430165</v>
      </c>
      <c r="BN213" s="138">
        <f t="shared" si="9"/>
        <v>0.51390419136430165</v>
      </c>
      <c r="BO213" s="138">
        <f t="shared" si="10"/>
        <v>2011</v>
      </c>
      <c r="BP213" s="138">
        <f t="shared" si="11"/>
        <v>0.51390419136430165</v>
      </c>
    </row>
    <row r="214" spans="2:68" x14ac:dyDescent="0.25">
      <c r="B214" s="138" t="s">
        <v>620</v>
      </c>
      <c r="C214" s="138" t="s">
        <v>124</v>
      </c>
      <c r="D214" s="138" t="s">
        <v>1225</v>
      </c>
      <c r="E214" s="138" t="s">
        <v>1224</v>
      </c>
      <c r="BN214" s="138" t="str">
        <f t="shared" si="9"/>
        <v>No reported value</v>
      </c>
      <c r="BO214" s="138" t="str">
        <f t="shared" si="10"/>
        <v>No reported value</v>
      </c>
      <c r="BP214" s="138">
        <f t="shared" si="11"/>
        <v>0.4</v>
      </c>
    </row>
    <row r="215" spans="2:68" x14ac:dyDescent="0.25">
      <c r="B215" s="138" t="s">
        <v>233</v>
      </c>
      <c r="C215" s="138" t="s">
        <v>125</v>
      </c>
      <c r="D215" s="138" t="s">
        <v>1225</v>
      </c>
      <c r="E215" s="138" t="s">
        <v>1224</v>
      </c>
      <c r="AX215" s="138">
        <v>0.151</v>
      </c>
      <c r="BN215" s="138">
        <f t="shared" si="9"/>
        <v>0.151</v>
      </c>
      <c r="BO215" s="138">
        <f t="shared" si="10"/>
        <v>2004</v>
      </c>
      <c r="BP215" s="138">
        <f t="shared" si="11"/>
        <v>0.151</v>
      </c>
    </row>
    <row r="216" spans="2:68" x14ac:dyDescent="0.25">
      <c r="B216" s="138" t="s">
        <v>212</v>
      </c>
      <c r="C216" s="138" t="s">
        <v>126</v>
      </c>
      <c r="D216" s="138" t="s">
        <v>1225</v>
      </c>
      <c r="E216" s="138" t="s">
        <v>1224</v>
      </c>
      <c r="BJ216" s="138">
        <v>0</v>
      </c>
      <c r="BN216" s="138">
        <f t="shared" si="9"/>
        <v>0</v>
      </c>
      <c r="BO216" s="138">
        <f t="shared" si="10"/>
        <v>2016</v>
      </c>
      <c r="BP216" s="138">
        <f t="shared" si="11"/>
        <v>0</v>
      </c>
    </row>
    <row r="217" spans="2:68" x14ac:dyDescent="0.25">
      <c r="B217" s="138" t="s">
        <v>622</v>
      </c>
      <c r="C217" s="138" t="s">
        <v>127</v>
      </c>
      <c r="D217" s="138" t="s">
        <v>1225</v>
      </c>
      <c r="E217" s="138" t="s">
        <v>1224</v>
      </c>
      <c r="BF217" s="138">
        <v>0.40200000000000002</v>
      </c>
      <c r="BG217" s="138">
        <v>0.39900000000000002</v>
      </c>
      <c r="BJ217" s="138">
        <v>0.503</v>
      </c>
      <c r="BN217" s="138">
        <f t="shared" si="9"/>
        <v>0.503</v>
      </c>
      <c r="BO217" s="138">
        <f t="shared" si="10"/>
        <v>2016</v>
      </c>
      <c r="BP217" s="138">
        <f t="shared" si="11"/>
        <v>0.503</v>
      </c>
    </row>
    <row r="218" spans="2:68" x14ac:dyDescent="0.25">
      <c r="B218" s="138" t="s">
        <v>255</v>
      </c>
      <c r="C218" s="138" t="s">
        <v>128</v>
      </c>
      <c r="D218" s="138" t="s">
        <v>1225</v>
      </c>
      <c r="E218" s="138" t="s">
        <v>1224</v>
      </c>
      <c r="BN218" s="138" t="str">
        <f t="shared" si="9"/>
        <v>No reported value</v>
      </c>
      <c r="BO218" s="138" t="str">
        <f t="shared" si="10"/>
        <v>No reported value</v>
      </c>
      <c r="BP218" s="138">
        <f t="shared" si="11"/>
        <v>0.4</v>
      </c>
    </row>
    <row r="219" spans="2:68" x14ac:dyDescent="0.25">
      <c r="B219" s="138" t="s">
        <v>214</v>
      </c>
      <c r="C219" s="138" t="s">
        <v>129</v>
      </c>
      <c r="D219" s="138" t="s">
        <v>1225</v>
      </c>
      <c r="E219" s="138" t="s">
        <v>1224</v>
      </c>
      <c r="AX219" s="138">
        <v>0.115</v>
      </c>
      <c r="BB219" s="138">
        <v>2.4E-2</v>
      </c>
      <c r="BD219" s="138">
        <v>2.3E-2</v>
      </c>
      <c r="BN219" s="138">
        <f t="shared" si="9"/>
        <v>2.3E-2</v>
      </c>
      <c r="BO219" s="138">
        <f t="shared" si="10"/>
        <v>2010</v>
      </c>
      <c r="BP219" s="138">
        <f t="shared" si="11"/>
        <v>2.3E-2</v>
      </c>
    </row>
    <row r="220" spans="2:68" x14ac:dyDescent="0.25">
      <c r="B220" s="138" t="s">
        <v>222</v>
      </c>
      <c r="C220" s="138" t="s">
        <v>164</v>
      </c>
      <c r="D220" s="138" t="s">
        <v>1225</v>
      </c>
      <c r="E220" s="138" t="s">
        <v>1224</v>
      </c>
      <c r="BN220" s="138" t="str">
        <f t="shared" si="9"/>
        <v>No reported value</v>
      </c>
      <c r="BO220" s="138" t="str">
        <f t="shared" si="10"/>
        <v>No reported value</v>
      </c>
      <c r="BP220" s="138">
        <f t="shared" si="11"/>
        <v>0.4</v>
      </c>
    </row>
    <row r="221" spans="2:68" x14ac:dyDescent="0.25">
      <c r="B221" s="138" t="s">
        <v>619</v>
      </c>
      <c r="C221" s="138" t="s">
        <v>130</v>
      </c>
      <c r="D221" s="138" t="s">
        <v>1225</v>
      </c>
      <c r="E221" s="138" t="s">
        <v>1224</v>
      </c>
      <c r="BN221" s="138" t="str">
        <f t="shared" si="9"/>
        <v>No reported value</v>
      </c>
      <c r="BO221" s="138" t="str">
        <f t="shared" si="10"/>
        <v>No reported value</v>
      </c>
      <c r="BP221" s="138">
        <f t="shared" si="11"/>
        <v>0.4</v>
      </c>
    </row>
    <row r="222" spans="2:68" x14ac:dyDescent="0.25">
      <c r="B222" s="138" t="s">
        <v>232</v>
      </c>
      <c r="C222" s="138" t="s">
        <v>171</v>
      </c>
      <c r="D222" s="138" t="s">
        <v>1225</v>
      </c>
      <c r="E222" s="138" t="s">
        <v>1224</v>
      </c>
      <c r="BN222" s="138" t="str">
        <f t="shared" si="9"/>
        <v>No reported value</v>
      </c>
      <c r="BO222" s="138" t="str">
        <f t="shared" si="10"/>
        <v>No reported value</v>
      </c>
      <c r="BP222" s="138">
        <f t="shared" si="11"/>
        <v>0.4</v>
      </c>
    </row>
    <row r="223" spans="2:68" x14ac:dyDescent="0.25">
      <c r="B223" s="138" t="s">
        <v>621</v>
      </c>
      <c r="C223" s="138" t="s">
        <v>131</v>
      </c>
      <c r="D223" s="138" t="s">
        <v>1225</v>
      </c>
      <c r="E223" s="138" t="s">
        <v>1224</v>
      </c>
      <c r="BN223" s="138" t="str">
        <f t="shared" si="9"/>
        <v>No reported value</v>
      </c>
      <c r="BO223" s="138" t="str">
        <f t="shared" si="10"/>
        <v>No reported value</v>
      </c>
      <c r="BP223" s="138">
        <f t="shared" si="11"/>
        <v>0.4</v>
      </c>
    </row>
    <row r="224" spans="2:68" x14ac:dyDescent="0.25">
      <c r="B224" s="138" t="s">
        <v>646</v>
      </c>
      <c r="C224" s="138" t="s">
        <v>647</v>
      </c>
      <c r="D224" s="138" t="s">
        <v>1225</v>
      </c>
      <c r="E224" s="138" t="s">
        <v>1224</v>
      </c>
      <c r="BN224" s="138" t="str">
        <f t="shared" si="9"/>
        <v>No reported value</v>
      </c>
      <c r="BO224" s="138" t="str">
        <f t="shared" si="10"/>
        <v>No reported value</v>
      </c>
      <c r="BP224" s="138">
        <f t="shared" si="11"/>
        <v>0.4</v>
      </c>
    </row>
    <row r="225" spans="2:68" x14ac:dyDescent="0.25">
      <c r="B225" s="138" t="s">
        <v>634</v>
      </c>
      <c r="C225" s="138" t="s">
        <v>635</v>
      </c>
      <c r="D225" s="138" t="s">
        <v>1225</v>
      </c>
      <c r="E225" s="138" t="s">
        <v>1224</v>
      </c>
      <c r="BN225" s="138" t="str">
        <f t="shared" si="9"/>
        <v>No reported value</v>
      </c>
      <c r="BO225" s="138" t="str">
        <f t="shared" si="10"/>
        <v>No reported value</v>
      </c>
      <c r="BP225" s="138">
        <f t="shared" si="11"/>
        <v>0.4</v>
      </c>
    </row>
    <row r="226" spans="2:68" x14ac:dyDescent="0.25">
      <c r="B226" s="138" t="s">
        <v>644</v>
      </c>
      <c r="C226" s="138" t="s">
        <v>645</v>
      </c>
      <c r="D226" s="138" t="s">
        <v>1225</v>
      </c>
      <c r="E226" s="138" t="s">
        <v>1224</v>
      </c>
      <c r="BN226" s="138" t="str">
        <f t="shared" si="9"/>
        <v>No reported value</v>
      </c>
      <c r="BO226" s="138" t="str">
        <f t="shared" si="10"/>
        <v>No reported value</v>
      </c>
      <c r="BP226" s="138">
        <f t="shared" si="11"/>
        <v>0.4</v>
      </c>
    </row>
    <row r="227" spans="2:68" x14ac:dyDescent="0.25">
      <c r="B227" s="138" t="s">
        <v>628</v>
      </c>
      <c r="C227" s="138" t="s">
        <v>629</v>
      </c>
      <c r="D227" s="138" t="s">
        <v>1225</v>
      </c>
      <c r="E227" s="138" t="s">
        <v>1224</v>
      </c>
      <c r="BN227" s="138" t="str">
        <f t="shared" si="9"/>
        <v>No reported value</v>
      </c>
      <c r="BO227" s="138" t="str">
        <f t="shared" si="10"/>
        <v>No reported value</v>
      </c>
      <c r="BP227" s="138">
        <f t="shared" si="11"/>
        <v>0.4</v>
      </c>
    </row>
    <row r="228" spans="2:68" x14ac:dyDescent="0.25">
      <c r="B228" s="138" t="s">
        <v>211</v>
      </c>
      <c r="C228" s="138" t="s">
        <v>175</v>
      </c>
      <c r="D228" s="138" t="s">
        <v>1225</v>
      </c>
      <c r="E228" s="138" t="s">
        <v>1224</v>
      </c>
      <c r="AX228" s="138">
        <v>1.002</v>
      </c>
      <c r="BN228" s="138">
        <f t="shared" si="9"/>
        <v>1.002</v>
      </c>
      <c r="BO228" s="138">
        <f t="shared" si="10"/>
        <v>2004</v>
      </c>
      <c r="BP228" s="138">
        <f t="shared" si="11"/>
        <v>1.002</v>
      </c>
    </row>
    <row r="229" spans="2:68" x14ac:dyDescent="0.25">
      <c r="B229" s="138" t="s">
        <v>229</v>
      </c>
      <c r="C229" s="138" t="s">
        <v>170</v>
      </c>
      <c r="D229" s="138" t="s">
        <v>1225</v>
      </c>
      <c r="E229" s="138" t="s">
        <v>1224</v>
      </c>
      <c r="BN229" s="138" t="str">
        <f t="shared" si="9"/>
        <v>No reported value</v>
      </c>
      <c r="BO229" s="138" t="str">
        <f t="shared" si="10"/>
        <v>No reported value</v>
      </c>
      <c r="BP229" s="138">
        <f t="shared" si="11"/>
        <v>0.4</v>
      </c>
    </row>
    <row r="230" spans="2:68" x14ac:dyDescent="0.25">
      <c r="B230" s="138" t="s">
        <v>625</v>
      </c>
      <c r="C230" s="138" t="s">
        <v>626</v>
      </c>
      <c r="D230" s="138" t="s">
        <v>1225</v>
      </c>
      <c r="E230" s="138" t="s">
        <v>1224</v>
      </c>
      <c r="BG230" s="138">
        <v>1.7999999999999999E-2</v>
      </c>
      <c r="BN230" s="138">
        <f t="shared" si="9"/>
        <v>1.7999999999999999E-2</v>
      </c>
      <c r="BO230" s="138">
        <f t="shared" si="10"/>
        <v>2013</v>
      </c>
      <c r="BP230" s="138">
        <f t="shared" si="11"/>
        <v>1.7999999999999999E-2</v>
      </c>
    </row>
    <row r="231" spans="2:68" x14ac:dyDescent="0.25">
      <c r="B231" s="138" t="s">
        <v>627</v>
      </c>
      <c r="C231" s="138" t="s">
        <v>132</v>
      </c>
      <c r="D231" s="138" t="s">
        <v>1225</v>
      </c>
      <c r="E231" s="138" t="s">
        <v>1224</v>
      </c>
      <c r="BN231" s="138" t="str">
        <f t="shared" si="9"/>
        <v>No reported value</v>
      </c>
      <c r="BO231" s="138" t="str">
        <f t="shared" si="10"/>
        <v>No reported value</v>
      </c>
      <c r="BP231" s="138">
        <f t="shared" si="11"/>
        <v>0.4</v>
      </c>
    </row>
    <row r="232" spans="2:68" x14ac:dyDescent="0.25">
      <c r="B232" s="138" t="s">
        <v>650</v>
      </c>
      <c r="C232" s="138" t="s">
        <v>133</v>
      </c>
      <c r="D232" s="138" t="s">
        <v>1225</v>
      </c>
      <c r="E232" s="138" t="s">
        <v>1224</v>
      </c>
      <c r="BN232" s="138" t="str">
        <f t="shared" si="9"/>
        <v>No reported value</v>
      </c>
      <c r="BO232" s="138" t="str">
        <f t="shared" si="10"/>
        <v>No reported value</v>
      </c>
      <c r="BP232" s="138">
        <f t="shared" si="11"/>
        <v>0.4</v>
      </c>
    </row>
    <row r="233" spans="2:68" x14ac:dyDescent="0.25">
      <c r="B233" s="138" t="s">
        <v>486</v>
      </c>
      <c r="C233" s="138" t="s">
        <v>134</v>
      </c>
      <c r="D233" s="138" t="s">
        <v>1225</v>
      </c>
      <c r="E233" s="138" t="s">
        <v>1224</v>
      </c>
      <c r="AX233" s="138">
        <v>3.6539999999999999</v>
      </c>
      <c r="BN233" s="138">
        <f t="shared" si="9"/>
        <v>3.6539999999999999</v>
      </c>
      <c r="BO233" s="138">
        <f t="shared" si="10"/>
        <v>2004</v>
      </c>
      <c r="BP233" s="138">
        <f t="shared" si="11"/>
        <v>3.6539999999999999</v>
      </c>
    </row>
    <row r="234" spans="2:68" x14ac:dyDescent="0.25">
      <c r="B234" s="138" t="s">
        <v>623</v>
      </c>
      <c r="C234" s="138" t="s">
        <v>624</v>
      </c>
      <c r="D234" s="138" t="s">
        <v>1225</v>
      </c>
      <c r="E234" s="138" t="s">
        <v>1224</v>
      </c>
      <c r="BN234" s="138" t="str">
        <f t="shared" si="9"/>
        <v>No reported value</v>
      </c>
      <c r="BO234" s="138" t="str">
        <f t="shared" si="10"/>
        <v>No reported value</v>
      </c>
      <c r="BP234" s="138">
        <f t="shared" si="11"/>
        <v>0.4</v>
      </c>
    </row>
    <row r="235" spans="2:68" x14ac:dyDescent="0.25">
      <c r="B235" s="138" t="s">
        <v>213</v>
      </c>
      <c r="C235" s="138" t="s">
        <v>135</v>
      </c>
      <c r="D235" s="138" t="s">
        <v>1225</v>
      </c>
      <c r="E235" s="138" t="s">
        <v>1224</v>
      </c>
      <c r="BN235" s="138" t="str">
        <f t="shared" si="9"/>
        <v>No reported value</v>
      </c>
      <c r="BO235" s="138" t="str">
        <f t="shared" si="10"/>
        <v>No reported value</v>
      </c>
      <c r="BP235" s="138">
        <f t="shared" si="11"/>
        <v>0.4</v>
      </c>
    </row>
    <row r="236" spans="2:68" x14ac:dyDescent="0.25">
      <c r="B236" s="138" t="s">
        <v>652</v>
      </c>
      <c r="C236" s="138" t="s">
        <v>136</v>
      </c>
      <c r="D236" s="138" t="s">
        <v>1225</v>
      </c>
      <c r="E236" s="138" t="s">
        <v>1224</v>
      </c>
      <c r="BN236" s="138" t="str">
        <f t="shared" si="9"/>
        <v>No reported value</v>
      </c>
      <c r="BO236" s="138" t="str">
        <f t="shared" si="10"/>
        <v>No reported value</v>
      </c>
      <c r="BP236" s="138">
        <f t="shared" si="11"/>
        <v>0.4</v>
      </c>
    </row>
    <row r="237" spans="2:68" x14ac:dyDescent="0.25">
      <c r="B237" s="138" t="s">
        <v>659</v>
      </c>
      <c r="C237" s="138" t="s">
        <v>660</v>
      </c>
      <c r="D237" s="138" t="s">
        <v>1225</v>
      </c>
      <c r="E237" s="138" t="s">
        <v>1224</v>
      </c>
      <c r="BN237" s="138" t="str">
        <f t="shared" si="9"/>
        <v>No reported value</v>
      </c>
      <c r="BO237" s="138" t="str">
        <f t="shared" si="10"/>
        <v>No reported value</v>
      </c>
      <c r="BP237" s="138">
        <f t="shared" si="11"/>
        <v>0.4</v>
      </c>
    </row>
    <row r="238" spans="2:68" x14ac:dyDescent="0.25">
      <c r="B238" s="138" t="s">
        <v>189</v>
      </c>
      <c r="C238" s="138" t="s">
        <v>169</v>
      </c>
      <c r="D238" s="138" t="s">
        <v>1225</v>
      </c>
      <c r="E238" s="138" t="s">
        <v>1224</v>
      </c>
      <c r="AX238" s="138">
        <v>1.6E-2</v>
      </c>
      <c r="BN238" s="138">
        <f t="shared" si="9"/>
        <v>1.6E-2</v>
      </c>
      <c r="BO238" s="138">
        <f t="shared" si="10"/>
        <v>2004</v>
      </c>
      <c r="BP238" s="138">
        <f t="shared" si="11"/>
        <v>1.6E-2</v>
      </c>
    </row>
    <row r="239" spans="2:68" x14ac:dyDescent="0.25">
      <c r="B239" s="138" t="s">
        <v>481</v>
      </c>
      <c r="C239" s="138" t="s">
        <v>482</v>
      </c>
      <c r="D239" s="138" t="s">
        <v>1225</v>
      </c>
      <c r="E239" s="138" t="s">
        <v>1224</v>
      </c>
      <c r="AJ239" s="138">
        <v>1.0609999999999999</v>
      </c>
      <c r="AT239" s="138">
        <v>0.98674473266602269</v>
      </c>
      <c r="BE239" s="138">
        <v>0.6814814941465519</v>
      </c>
      <c r="BN239" s="138">
        <f t="shared" si="9"/>
        <v>0.6814814941465519</v>
      </c>
      <c r="BO239" s="138">
        <f t="shared" si="10"/>
        <v>2011</v>
      </c>
      <c r="BP239" s="138">
        <f t="shared" si="11"/>
        <v>0.6814814941465519</v>
      </c>
    </row>
    <row r="240" spans="2:68" x14ac:dyDescent="0.25">
      <c r="B240" s="138" t="s">
        <v>493</v>
      </c>
      <c r="C240" s="138" t="s">
        <v>494</v>
      </c>
      <c r="D240" s="138" t="s">
        <v>1225</v>
      </c>
      <c r="E240" s="138" t="s">
        <v>1224</v>
      </c>
      <c r="BN240" s="138" t="str">
        <f t="shared" si="9"/>
        <v>No reported value</v>
      </c>
      <c r="BO240" s="138" t="str">
        <f t="shared" si="10"/>
        <v>No reported value</v>
      </c>
      <c r="BP240" s="138">
        <f t="shared" si="11"/>
        <v>0.4</v>
      </c>
    </row>
    <row r="241" spans="2:68" x14ac:dyDescent="0.25">
      <c r="B241" s="138" t="s">
        <v>215</v>
      </c>
      <c r="C241" s="138" t="s">
        <v>137</v>
      </c>
      <c r="D241" s="138" t="s">
        <v>1225</v>
      </c>
      <c r="E241" s="138" t="s">
        <v>1224</v>
      </c>
      <c r="BN241" s="138" t="str">
        <f t="shared" si="9"/>
        <v>No reported value</v>
      </c>
      <c r="BO241" s="138" t="str">
        <f t="shared" si="10"/>
        <v>No reported value</v>
      </c>
      <c r="BP241" s="138">
        <f t="shared" si="11"/>
        <v>0.4</v>
      </c>
    </row>
    <row r="242" spans="2:68" x14ac:dyDescent="0.25">
      <c r="B242" s="138" t="s">
        <v>654</v>
      </c>
      <c r="C242" s="138" t="s">
        <v>138</v>
      </c>
      <c r="D242" s="138" t="s">
        <v>1225</v>
      </c>
      <c r="E242" s="138" t="s">
        <v>1224</v>
      </c>
      <c r="AT242" s="138">
        <v>5.8999999999999997E-2</v>
      </c>
      <c r="BN242" s="138">
        <f t="shared" si="9"/>
        <v>5.8999999999999997E-2</v>
      </c>
      <c r="BO242" s="138">
        <f t="shared" si="10"/>
        <v>2000</v>
      </c>
      <c r="BP242" s="138">
        <f t="shared" si="11"/>
        <v>5.8999999999999997E-2</v>
      </c>
    </row>
    <row r="243" spans="2:68" x14ac:dyDescent="0.25">
      <c r="B243" s="138" t="s">
        <v>238</v>
      </c>
      <c r="C243" s="138" t="s">
        <v>163</v>
      </c>
      <c r="D243" s="138" t="s">
        <v>1225</v>
      </c>
      <c r="E243" s="138" t="s">
        <v>1224</v>
      </c>
      <c r="BN243" s="138" t="str">
        <f t="shared" si="9"/>
        <v>No reported value</v>
      </c>
      <c r="BO243" s="138" t="str">
        <f t="shared" si="10"/>
        <v>No reported value</v>
      </c>
      <c r="BP243" s="138">
        <f t="shared" si="11"/>
        <v>0.4</v>
      </c>
    </row>
    <row r="244" spans="2:68" x14ac:dyDescent="0.25">
      <c r="B244" s="138" t="s">
        <v>658</v>
      </c>
      <c r="C244" s="138" t="s">
        <v>139</v>
      </c>
      <c r="D244" s="138" t="s">
        <v>1225</v>
      </c>
      <c r="E244" s="138" t="s">
        <v>1224</v>
      </c>
      <c r="BN244" s="138" t="str">
        <f t="shared" si="9"/>
        <v>No reported value</v>
      </c>
      <c r="BO244" s="138" t="str">
        <f t="shared" si="10"/>
        <v>No reported value</v>
      </c>
      <c r="BP244" s="138">
        <f t="shared" si="11"/>
        <v>0.4</v>
      </c>
    </row>
    <row r="245" spans="2:68" x14ac:dyDescent="0.25">
      <c r="B245" s="138" t="s">
        <v>547</v>
      </c>
      <c r="C245" s="138" t="s">
        <v>548</v>
      </c>
      <c r="D245" s="138" t="s">
        <v>1225</v>
      </c>
      <c r="E245" s="138" t="s">
        <v>1224</v>
      </c>
      <c r="BN245" s="138" t="str">
        <f t="shared" si="9"/>
        <v>No reported value</v>
      </c>
      <c r="BO245" s="138" t="str">
        <f t="shared" si="10"/>
        <v>No reported value</v>
      </c>
      <c r="BP245" s="138">
        <f t="shared" si="11"/>
        <v>0.4</v>
      </c>
    </row>
    <row r="246" spans="2:68" x14ac:dyDescent="0.25">
      <c r="B246" s="138" t="s">
        <v>246</v>
      </c>
      <c r="C246" s="138" t="s">
        <v>140</v>
      </c>
      <c r="D246" s="138" t="s">
        <v>1225</v>
      </c>
      <c r="E246" s="138" t="s">
        <v>1224</v>
      </c>
      <c r="AX246" s="138">
        <v>0.01</v>
      </c>
      <c r="BN246" s="138">
        <f t="shared" si="9"/>
        <v>0.01</v>
      </c>
      <c r="BO246" s="138">
        <f t="shared" si="10"/>
        <v>2004</v>
      </c>
      <c r="BP246" s="138">
        <f t="shared" si="11"/>
        <v>0.01</v>
      </c>
    </row>
    <row r="247" spans="2:68" x14ac:dyDescent="0.25">
      <c r="B247" s="138" t="s">
        <v>576</v>
      </c>
      <c r="C247" s="138" t="s">
        <v>577</v>
      </c>
      <c r="D247" s="138" t="s">
        <v>1225</v>
      </c>
      <c r="E247" s="138" t="s">
        <v>1224</v>
      </c>
      <c r="BN247" s="138" t="str">
        <f t="shared" si="9"/>
        <v>No reported value</v>
      </c>
      <c r="BO247" s="138" t="str">
        <f t="shared" si="10"/>
        <v>No reported value</v>
      </c>
      <c r="BP247" s="138">
        <f t="shared" si="11"/>
        <v>0.4</v>
      </c>
    </row>
    <row r="248" spans="2:68" x14ac:dyDescent="0.25">
      <c r="B248" s="138" t="s">
        <v>256</v>
      </c>
      <c r="C248" s="138" t="s">
        <v>141</v>
      </c>
      <c r="D248" s="138" t="s">
        <v>1225</v>
      </c>
      <c r="E248" s="138" t="s">
        <v>1224</v>
      </c>
      <c r="BN248" s="138" t="str">
        <f t="shared" si="9"/>
        <v>No reported value</v>
      </c>
      <c r="BO248" s="138" t="str">
        <f t="shared" si="10"/>
        <v>No reported value</v>
      </c>
      <c r="BP248" s="138">
        <f t="shared" si="11"/>
        <v>0.4</v>
      </c>
    </row>
    <row r="249" spans="2:68" x14ac:dyDescent="0.25">
      <c r="B249" s="138" t="s">
        <v>632</v>
      </c>
      <c r="C249" s="138" t="s">
        <v>633</v>
      </c>
      <c r="D249" s="138" t="s">
        <v>1225</v>
      </c>
      <c r="E249" s="138" t="s">
        <v>1224</v>
      </c>
      <c r="AJ249" s="138">
        <v>0.14092108091665279</v>
      </c>
      <c r="BE249" s="138">
        <v>0.51390419136430177</v>
      </c>
      <c r="BN249" s="138">
        <f t="shared" si="9"/>
        <v>0.51390419136430177</v>
      </c>
      <c r="BO249" s="138">
        <f t="shared" si="10"/>
        <v>2011</v>
      </c>
      <c r="BP249" s="138">
        <f t="shared" si="11"/>
        <v>0.51390419136430177</v>
      </c>
    </row>
    <row r="250" spans="2:68" x14ac:dyDescent="0.25">
      <c r="B250" s="138" t="s">
        <v>648</v>
      </c>
      <c r="C250" s="138" t="s">
        <v>649</v>
      </c>
      <c r="D250" s="138" t="s">
        <v>1225</v>
      </c>
      <c r="E250" s="138" t="s">
        <v>1224</v>
      </c>
      <c r="BN250" s="138" t="str">
        <f t="shared" si="9"/>
        <v>No reported value</v>
      </c>
      <c r="BO250" s="138" t="str">
        <f t="shared" si="10"/>
        <v>No reported value</v>
      </c>
      <c r="BP250" s="138">
        <f t="shared" si="11"/>
        <v>0.4</v>
      </c>
    </row>
    <row r="251" spans="2:68" x14ac:dyDescent="0.25">
      <c r="B251" s="138" t="s">
        <v>655</v>
      </c>
      <c r="C251" s="138" t="s">
        <v>142</v>
      </c>
      <c r="D251" s="138" t="s">
        <v>1225</v>
      </c>
      <c r="E251" s="138" t="s">
        <v>1224</v>
      </c>
      <c r="BN251" s="138" t="str">
        <f t="shared" si="9"/>
        <v>No reported value</v>
      </c>
      <c r="BO251" s="138" t="str">
        <f t="shared" si="10"/>
        <v>No reported value</v>
      </c>
      <c r="BP251" s="138">
        <f t="shared" si="11"/>
        <v>0.4</v>
      </c>
    </row>
    <row r="252" spans="2:68" x14ac:dyDescent="0.25">
      <c r="B252" s="138" t="s">
        <v>656</v>
      </c>
      <c r="C252" s="138" t="s">
        <v>143</v>
      </c>
      <c r="D252" s="138" t="s">
        <v>1225</v>
      </c>
      <c r="E252" s="138" t="s">
        <v>1224</v>
      </c>
      <c r="BN252" s="138" t="str">
        <f t="shared" si="9"/>
        <v>No reported value</v>
      </c>
      <c r="BO252" s="138" t="str">
        <f t="shared" si="10"/>
        <v>No reported value</v>
      </c>
      <c r="BP252" s="138">
        <f t="shared" si="11"/>
        <v>0.4</v>
      </c>
    </row>
    <row r="253" spans="2:68" x14ac:dyDescent="0.25">
      <c r="B253" s="138" t="s">
        <v>657</v>
      </c>
      <c r="C253" s="138" t="s">
        <v>144</v>
      </c>
      <c r="D253" s="138" t="s">
        <v>1225</v>
      </c>
      <c r="E253" s="138" t="s">
        <v>1224</v>
      </c>
      <c r="BN253" s="138" t="str">
        <f t="shared" si="9"/>
        <v>No reported value</v>
      </c>
      <c r="BO253" s="138" t="str">
        <f t="shared" si="10"/>
        <v>No reported value</v>
      </c>
      <c r="BP253" s="138">
        <f t="shared" si="11"/>
        <v>0.4</v>
      </c>
    </row>
    <row r="254" spans="2:68" x14ac:dyDescent="0.25">
      <c r="B254" s="138" t="s">
        <v>257</v>
      </c>
      <c r="C254" s="138" t="s">
        <v>145</v>
      </c>
      <c r="D254" s="138" t="s">
        <v>1225</v>
      </c>
      <c r="E254" s="138" t="s">
        <v>1224</v>
      </c>
      <c r="BN254" s="138" t="str">
        <f t="shared" si="9"/>
        <v>No reported value</v>
      </c>
      <c r="BO254" s="138" t="str">
        <f t="shared" si="10"/>
        <v>No reported value</v>
      </c>
      <c r="BP254" s="138">
        <f t="shared" si="11"/>
        <v>0.4</v>
      </c>
    </row>
    <row r="255" spans="2:68" x14ac:dyDescent="0.25">
      <c r="B255" s="138" t="s">
        <v>653</v>
      </c>
      <c r="C255" s="138" t="s">
        <v>146</v>
      </c>
      <c r="D255" s="138" t="s">
        <v>1225</v>
      </c>
      <c r="E255" s="138" t="s">
        <v>1224</v>
      </c>
      <c r="BN255" s="138" t="str">
        <f t="shared" si="9"/>
        <v>No reported value</v>
      </c>
      <c r="BO255" s="138" t="str">
        <f t="shared" si="10"/>
        <v>No reported value</v>
      </c>
      <c r="BP255" s="138">
        <f t="shared" si="11"/>
        <v>0.4</v>
      </c>
    </row>
    <row r="256" spans="2:68" x14ac:dyDescent="0.25">
      <c r="B256" s="138" t="s">
        <v>216</v>
      </c>
      <c r="C256" s="138" t="s">
        <v>147</v>
      </c>
      <c r="D256" s="138" t="s">
        <v>1225</v>
      </c>
      <c r="E256" s="138" t="s">
        <v>1224</v>
      </c>
      <c r="AY256" s="138">
        <v>0.19400000000000001</v>
      </c>
      <c r="BN256" s="138">
        <f t="shared" si="9"/>
        <v>0.19400000000000001</v>
      </c>
      <c r="BO256" s="138">
        <f t="shared" si="10"/>
        <v>2005</v>
      </c>
      <c r="BP256" s="138">
        <f t="shared" si="11"/>
        <v>0.19400000000000001</v>
      </c>
    </row>
    <row r="257" spans="2:68" x14ac:dyDescent="0.25">
      <c r="B257" s="138" t="s">
        <v>239</v>
      </c>
      <c r="C257" s="138" t="s">
        <v>148</v>
      </c>
      <c r="D257" s="138" t="s">
        <v>1225</v>
      </c>
      <c r="E257" s="138" t="s">
        <v>1224</v>
      </c>
      <c r="BN257" s="138" t="str">
        <f t="shared" si="9"/>
        <v>No reported value</v>
      </c>
      <c r="BO257" s="138" t="str">
        <f t="shared" si="10"/>
        <v>No reported value</v>
      </c>
      <c r="BP257" s="138">
        <f t="shared" si="11"/>
        <v>0.4</v>
      </c>
    </row>
    <row r="258" spans="2:68" x14ac:dyDescent="0.25">
      <c r="B258" s="138" t="s">
        <v>664</v>
      </c>
      <c r="C258" s="138" t="s">
        <v>665</v>
      </c>
      <c r="D258" s="138" t="s">
        <v>1225</v>
      </c>
      <c r="E258" s="138" t="s">
        <v>1224</v>
      </c>
      <c r="BN258" s="138" t="str">
        <f t="shared" si="9"/>
        <v>No reported value</v>
      </c>
      <c r="BO258" s="138" t="str">
        <f t="shared" si="10"/>
        <v>No reported value</v>
      </c>
      <c r="BP258" s="138">
        <f t="shared" si="11"/>
        <v>0.4</v>
      </c>
    </row>
    <row r="259" spans="2:68" x14ac:dyDescent="0.25">
      <c r="B259" s="138" t="s">
        <v>666</v>
      </c>
      <c r="C259" s="138" t="s">
        <v>667</v>
      </c>
      <c r="D259" s="138" t="s">
        <v>1225</v>
      </c>
      <c r="E259" s="138" t="s">
        <v>1224</v>
      </c>
      <c r="BN259" s="138" t="str">
        <f t="shared" si="9"/>
        <v>No reported value</v>
      </c>
      <c r="BO259" s="138" t="str">
        <f t="shared" si="10"/>
        <v>No reported value</v>
      </c>
      <c r="BP259" s="138">
        <f t="shared" si="11"/>
        <v>0.4</v>
      </c>
    </row>
    <row r="260" spans="2:68" x14ac:dyDescent="0.25">
      <c r="B260" s="138" t="s">
        <v>663</v>
      </c>
      <c r="C260" s="138" t="s">
        <v>149</v>
      </c>
      <c r="D260" s="138" t="s">
        <v>1225</v>
      </c>
      <c r="E260" s="138" t="s">
        <v>1224</v>
      </c>
      <c r="BN260" s="138" t="str">
        <f t="shared" si="9"/>
        <v>No reported value</v>
      </c>
      <c r="BO260" s="138" t="str">
        <f t="shared" si="10"/>
        <v>No reported value</v>
      </c>
      <c r="BP260" s="138">
        <f t="shared" si="11"/>
        <v>0.4</v>
      </c>
    </row>
    <row r="261" spans="2:68" x14ac:dyDescent="0.25">
      <c r="B261" s="138" t="s">
        <v>668</v>
      </c>
      <c r="C261" s="138" t="s">
        <v>150</v>
      </c>
      <c r="D261" s="138" t="s">
        <v>1225</v>
      </c>
      <c r="E261" s="138" t="s">
        <v>1224</v>
      </c>
      <c r="BN261" s="138" t="str">
        <f t="shared" si="9"/>
        <v>No reported value</v>
      </c>
      <c r="BO261" s="138" t="str">
        <f t="shared" si="10"/>
        <v>No reported value</v>
      </c>
      <c r="BP261" s="138">
        <f t="shared" si="11"/>
        <v>0.4</v>
      </c>
    </row>
    <row r="262" spans="2:68" x14ac:dyDescent="0.25">
      <c r="B262" s="138" t="s">
        <v>642</v>
      </c>
      <c r="C262" s="138" t="s">
        <v>643</v>
      </c>
      <c r="D262" s="138" t="s">
        <v>1225</v>
      </c>
      <c r="E262" s="138" t="s">
        <v>1224</v>
      </c>
      <c r="AT262" s="138">
        <v>0.41699999999999998</v>
      </c>
      <c r="BN262" s="138">
        <f t="shared" si="9"/>
        <v>0.41699999999999998</v>
      </c>
      <c r="BO262" s="138">
        <f t="shared" si="10"/>
        <v>2000</v>
      </c>
      <c r="BP262" s="138">
        <f t="shared" si="11"/>
        <v>0.41699999999999998</v>
      </c>
    </row>
    <row r="263" spans="2:68" x14ac:dyDescent="0.25">
      <c r="B263" s="138" t="s">
        <v>669</v>
      </c>
      <c r="C263" s="138" t="s">
        <v>670</v>
      </c>
      <c r="D263" s="138" t="s">
        <v>1225</v>
      </c>
      <c r="E263" s="138" t="s">
        <v>1224</v>
      </c>
      <c r="BN263" s="138" t="str">
        <f t="shared" si="9"/>
        <v>No reported value</v>
      </c>
      <c r="BO263" s="138" t="str">
        <f t="shared" si="10"/>
        <v>No reported value</v>
      </c>
      <c r="BP263" s="138">
        <f t="shared" si="11"/>
        <v>0.4</v>
      </c>
    </row>
    <row r="264" spans="2:68" x14ac:dyDescent="0.25">
      <c r="B264" s="138" t="s">
        <v>444</v>
      </c>
      <c r="C264" s="138" t="s">
        <v>445</v>
      </c>
      <c r="D264" s="138" t="s">
        <v>1225</v>
      </c>
      <c r="E264" s="138" t="s">
        <v>1224</v>
      </c>
      <c r="BN264" s="138" t="str">
        <f t="shared" si="9"/>
        <v>No reported value</v>
      </c>
      <c r="BO264" s="138" t="str">
        <f t="shared" si="10"/>
        <v>No reported value</v>
      </c>
      <c r="BP264" s="138">
        <f t="shared" si="11"/>
        <v>0.4</v>
      </c>
    </row>
    <row r="265" spans="2:68" x14ac:dyDescent="0.25">
      <c r="B265" s="138" t="s">
        <v>672</v>
      </c>
      <c r="C265" s="138" t="s">
        <v>673</v>
      </c>
      <c r="D265" s="138" t="s">
        <v>1225</v>
      </c>
      <c r="E265" s="138" t="s">
        <v>1224</v>
      </c>
      <c r="BN265" s="138" t="str">
        <f t="shared" si="9"/>
        <v>No reported value</v>
      </c>
      <c r="BO265" s="138" t="str">
        <f t="shared" si="10"/>
        <v>No reported value</v>
      </c>
      <c r="BP265" s="138">
        <f t="shared" si="11"/>
        <v>0.4</v>
      </c>
    </row>
    <row r="266" spans="2:68" x14ac:dyDescent="0.25">
      <c r="B266" s="138" t="s">
        <v>671</v>
      </c>
      <c r="C266" s="138" t="s">
        <v>160</v>
      </c>
      <c r="D266" s="138" t="s">
        <v>1225</v>
      </c>
      <c r="E266" s="138" t="s">
        <v>1224</v>
      </c>
      <c r="BN266" s="138" t="str">
        <f t="shared" si="9"/>
        <v>No reported value</v>
      </c>
      <c r="BO266" s="138" t="str">
        <f t="shared" si="10"/>
        <v>No reported value</v>
      </c>
      <c r="BP266" s="138">
        <f t="shared" si="11"/>
        <v>0.4</v>
      </c>
    </row>
    <row r="267" spans="2:68" x14ac:dyDescent="0.25">
      <c r="B267" s="138" t="s">
        <v>258</v>
      </c>
      <c r="C267" s="138" t="s">
        <v>151</v>
      </c>
      <c r="D267" s="138" t="s">
        <v>1225</v>
      </c>
      <c r="E267" s="138" t="s">
        <v>1224</v>
      </c>
      <c r="BA267" s="138">
        <v>0.51400000000000001</v>
      </c>
      <c r="BB267" s="138">
        <v>0.94099999999999995</v>
      </c>
      <c r="BN267" s="138">
        <f t="shared" ref="BN267:BN274" si="12">IFERROR(LOOKUP(2,1/(ISNUMBER(F267:BM267)),F267:BM267),"No reported value")</f>
        <v>0.94099999999999995</v>
      </c>
      <c r="BO267" s="138">
        <f t="shared" ref="BO267:BO274" si="13">IFERROR(INDEX($F$10:$BM$10,1,MATCH($BN267,$F267:$BM267,0)),"No reported value")</f>
        <v>2008</v>
      </c>
      <c r="BP267" s="138">
        <f t="shared" si="11"/>
        <v>0.94099999999999995</v>
      </c>
    </row>
    <row r="268" spans="2:68" x14ac:dyDescent="0.25">
      <c r="B268" s="138" t="s">
        <v>676</v>
      </c>
      <c r="C268" s="138" t="s">
        <v>677</v>
      </c>
      <c r="D268" s="138" t="s">
        <v>1225</v>
      </c>
      <c r="E268" s="138" t="s">
        <v>1224</v>
      </c>
      <c r="BN268" s="138" t="str">
        <f t="shared" si="12"/>
        <v>No reported value</v>
      </c>
      <c r="BO268" s="138" t="str">
        <f t="shared" si="13"/>
        <v>No reported value</v>
      </c>
      <c r="BP268" s="138">
        <f t="shared" ref="BP268:BP274" si="14">IF(BN268="No reported value",BO$8,BN268)</f>
        <v>0.4</v>
      </c>
    </row>
    <row r="269" spans="2:68" x14ac:dyDescent="0.25">
      <c r="B269" s="138" t="s">
        <v>254</v>
      </c>
      <c r="C269" s="138" t="s">
        <v>152</v>
      </c>
      <c r="D269" s="138" t="s">
        <v>1225</v>
      </c>
      <c r="E269" s="138" t="s">
        <v>1224</v>
      </c>
      <c r="BN269" s="138" t="str">
        <f t="shared" si="12"/>
        <v>No reported value</v>
      </c>
      <c r="BO269" s="138" t="str">
        <f t="shared" si="13"/>
        <v>No reported value</v>
      </c>
      <c r="BP269" s="138">
        <f t="shared" si="14"/>
        <v>0.4</v>
      </c>
    </row>
    <row r="270" spans="2:68" x14ac:dyDescent="0.25">
      <c r="B270" s="138" t="s">
        <v>237</v>
      </c>
      <c r="C270" s="138" t="s">
        <v>537</v>
      </c>
      <c r="D270" s="138" t="s">
        <v>1225</v>
      </c>
      <c r="E270" s="138" t="s">
        <v>1224</v>
      </c>
      <c r="BN270" s="138" t="str">
        <f t="shared" si="12"/>
        <v>No reported value</v>
      </c>
      <c r="BO270" s="138" t="str">
        <f t="shared" si="13"/>
        <v>No reported value</v>
      </c>
      <c r="BP270" s="138">
        <f t="shared" si="14"/>
        <v>0.4</v>
      </c>
    </row>
    <row r="271" spans="2:68" x14ac:dyDescent="0.25">
      <c r="B271" s="138" t="s">
        <v>678</v>
      </c>
      <c r="C271" s="138" t="s">
        <v>153</v>
      </c>
      <c r="D271" s="138" t="s">
        <v>1225</v>
      </c>
      <c r="E271" s="138" t="s">
        <v>1224</v>
      </c>
      <c r="AX271" s="138">
        <v>0.128</v>
      </c>
      <c r="BD271" s="138">
        <v>1E-3</v>
      </c>
      <c r="BN271" s="138">
        <f t="shared" si="12"/>
        <v>1E-3</v>
      </c>
      <c r="BO271" s="138">
        <f t="shared" si="13"/>
        <v>2010</v>
      </c>
      <c r="BP271" s="138">
        <f t="shared" si="14"/>
        <v>1E-3</v>
      </c>
    </row>
    <row r="272" spans="2:68" x14ac:dyDescent="0.25">
      <c r="B272" s="138" t="s">
        <v>178</v>
      </c>
      <c r="C272" s="138" t="s">
        <v>154</v>
      </c>
      <c r="D272" s="138" t="s">
        <v>1225</v>
      </c>
      <c r="E272" s="138" t="s">
        <v>1224</v>
      </c>
      <c r="AX272" s="138">
        <v>0.192</v>
      </c>
      <c r="BN272" s="138">
        <f t="shared" si="12"/>
        <v>0.192</v>
      </c>
      <c r="BO272" s="138">
        <f t="shared" si="13"/>
        <v>2004</v>
      </c>
      <c r="BP272" s="138">
        <f t="shared" si="14"/>
        <v>0.192</v>
      </c>
    </row>
    <row r="273" spans="2:68" x14ac:dyDescent="0.25">
      <c r="B273" s="138" t="s">
        <v>217</v>
      </c>
      <c r="C273" s="138" t="s">
        <v>155</v>
      </c>
      <c r="D273" s="138" t="s">
        <v>1225</v>
      </c>
      <c r="E273" s="138" t="s">
        <v>1224</v>
      </c>
      <c r="AY273" s="138">
        <v>0.372</v>
      </c>
      <c r="BB273" s="138">
        <v>0.28699999999999998</v>
      </c>
      <c r="BN273" s="138">
        <f t="shared" si="12"/>
        <v>0.28699999999999998</v>
      </c>
      <c r="BO273" s="138">
        <f t="shared" si="13"/>
        <v>2008</v>
      </c>
      <c r="BP273" s="138">
        <f t="shared" si="14"/>
        <v>0.28699999999999998</v>
      </c>
    </row>
    <row r="274" spans="2:68" x14ac:dyDescent="0.25">
      <c r="B274" s="138" t="s">
        <v>218</v>
      </c>
      <c r="C274" s="138" t="s">
        <v>156</v>
      </c>
      <c r="D274" s="138" t="s">
        <v>1225</v>
      </c>
      <c r="E274" s="138" t="s">
        <v>1224</v>
      </c>
      <c r="BN274" s="138" t="str">
        <f t="shared" si="12"/>
        <v>No reported value</v>
      </c>
      <c r="BO274" s="138" t="str">
        <f t="shared" si="13"/>
        <v>No reported value</v>
      </c>
      <c r="BP274" s="138">
        <f t="shared" si="14"/>
        <v>0.4</v>
      </c>
    </row>
  </sheetData>
  <sheetProtection algorithmName="SHA-512" hashValue="0kVfi0ixJnQf6lrtkXNqo89gXJs1tST4WR2KOP8rr72brgt8vgbdz2o/X416qpN8mI3f5zDI0kKwxXhxgeMa1A==" saltValue="vjvSlvUr7eAQDhs7JJ70AA==" spinCount="100000" sheet="1" objects="1" scenarios="1"/>
  <pageMargins left="0.7" right="0.7" top="0.75" bottom="0.75" header="0.3" footer="0.3"/>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2:BO272"/>
  <sheetViews>
    <sheetView showGridLines="0" zoomScale="70" zoomScaleNormal="70" workbookViewId="0"/>
  </sheetViews>
  <sheetFormatPr defaultRowHeight="15" x14ac:dyDescent="0.25"/>
  <cols>
    <col min="1" max="1" width="3.5703125" style="363" customWidth="1"/>
    <col min="2" max="2" width="44" style="363" bestFit="1" customWidth="1"/>
    <col min="3" max="3" width="25.5703125" style="363" bestFit="1" customWidth="1"/>
    <col min="4" max="4" width="33.42578125" style="363" bestFit="1" customWidth="1"/>
    <col min="5" max="5" width="16.42578125" style="363" bestFit="1" customWidth="1"/>
    <col min="6" max="35" width="5" style="363" bestFit="1" customWidth="1"/>
    <col min="36" max="36" width="11.42578125" style="363" bestFit="1" customWidth="1"/>
    <col min="37" max="39" width="6.42578125" style="363" bestFit="1" customWidth="1"/>
    <col min="40" max="40" width="7.42578125" style="363" bestFit="1" customWidth="1"/>
    <col min="41" max="41" width="6.42578125" style="363" bestFit="1" customWidth="1"/>
    <col min="42" max="45" width="7.42578125" style="363" bestFit="1" customWidth="1"/>
    <col min="46" max="46" width="11.42578125" style="363" bestFit="1" customWidth="1"/>
    <col min="47" max="60" width="7.42578125" style="363" bestFit="1" customWidth="1"/>
    <col min="61" max="61" width="11.42578125" style="363" bestFit="1" customWidth="1"/>
    <col min="62" max="63" width="7.42578125" style="363" bestFit="1" customWidth="1"/>
    <col min="64" max="64" width="6.42578125" style="363" bestFit="1" customWidth="1"/>
    <col min="65" max="65" width="5" style="363" bestFit="1" customWidth="1"/>
    <col min="66" max="257" width="9.28515625" style="363"/>
    <col min="258" max="258" width="44" style="363" bestFit="1" customWidth="1"/>
    <col min="259" max="259" width="25.5703125" style="363" bestFit="1" customWidth="1"/>
    <col min="260" max="260" width="33.42578125" style="363" bestFit="1" customWidth="1"/>
    <col min="261" max="261" width="16.42578125" style="363" bestFit="1" customWidth="1"/>
    <col min="262" max="291" width="5" style="363" bestFit="1" customWidth="1"/>
    <col min="292" max="292" width="11.42578125" style="363" bestFit="1" customWidth="1"/>
    <col min="293" max="295" width="6.42578125" style="363" bestFit="1" customWidth="1"/>
    <col min="296" max="296" width="7.42578125" style="363" bestFit="1" customWidth="1"/>
    <col min="297" max="297" width="6.42578125" style="363" bestFit="1" customWidth="1"/>
    <col min="298" max="301" width="7.42578125" style="363" bestFit="1" customWidth="1"/>
    <col min="302" max="302" width="11.42578125" style="363" bestFit="1" customWidth="1"/>
    <col min="303" max="316" width="7.42578125" style="363" bestFit="1" customWidth="1"/>
    <col min="317" max="317" width="11.42578125" style="363" bestFit="1" customWidth="1"/>
    <col min="318" max="319" width="7.42578125" style="363" bestFit="1" customWidth="1"/>
    <col min="320" max="320" width="6.42578125" style="363" bestFit="1" customWidth="1"/>
    <col min="321" max="321" width="5" style="363" bestFit="1" customWidth="1"/>
    <col min="322" max="513" width="9.28515625" style="363"/>
    <col min="514" max="514" width="44" style="363" bestFit="1" customWidth="1"/>
    <col min="515" max="515" width="25.5703125" style="363" bestFit="1" customWidth="1"/>
    <col min="516" max="516" width="33.42578125" style="363" bestFit="1" customWidth="1"/>
    <col min="517" max="517" width="16.42578125" style="363" bestFit="1" customWidth="1"/>
    <col min="518" max="547" width="5" style="363" bestFit="1" customWidth="1"/>
    <col min="548" max="548" width="11.42578125" style="363" bestFit="1" customWidth="1"/>
    <col min="549" max="551" width="6.42578125" style="363" bestFit="1" customWidth="1"/>
    <col min="552" max="552" width="7.42578125" style="363" bestFit="1" customWidth="1"/>
    <col min="553" max="553" width="6.42578125" style="363" bestFit="1" customWidth="1"/>
    <col min="554" max="557" width="7.42578125" style="363" bestFit="1" customWidth="1"/>
    <col min="558" max="558" width="11.42578125" style="363" bestFit="1" customWidth="1"/>
    <col min="559" max="572" width="7.42578125" style="363" bestFit="1" customWidth="1"/>
    <col min="573" max="573" width="11.42578125" style="363" bestFit="1" customWidth="1"/>
    <col min="574" max="575" width="7.42578125" style="363" bestFit="1" customWidth="1"/>
    <col min="576" max="576" width="6.42578125" style="363" bestFit="1" customWidth="1"/>
    <col min="577" max="577" width="5" style="363" bestFit="1" customWidth="1"/>
    <col min="578" max="769" width="9.28515625" style="363"/>
    <col min="770" max="770" width="44" style="363" bestFit="1" customWidth="1"/>
    <col min="771" max="771" width="25.5703125" style="363" bestFit="1" customWidth="1"/>
    <col min="772" max="772" width="33.42578125" style="363" bestFit="1" customWidth="1"/>
    <col min="773" max="773" width="16.42578125" style="363" bestFit="1" customWidth="1"/>
    <col min="774" max="803" width="5" style="363" bestFit="1" customWidth="1"/>
    <col min="804" max="804" width="11.42578125" style="363" bestFit="1" customWidth="1"/>
    <col min="805" max="807" width="6.42578125" style="363" bestFit="1" customWidth="1"/>
    <col min="808" max="808" width="7.42578125" style="363" bestFit="1" customWidth="1"/>
    <col min="809" max="809" width="6.42578125" style="363" bestFit="1" customWidth="1"/>
    <col min="810" max="813" width="7.42578125" style="363" bestFit="1" customWidth="1"/>
    <col min="814" max="814" width="11.42578125" style="363" bestFit="1" customWidth="1"/>
    <col min="815" max="828" width="7.42578125" style="363" bestFit="1" customWidth="1"/>
    <col min="829" max="829" width="11.42578125" style="363" bestFit="1" customWidth="1"/>
    <col min="830" max="831" width="7.42578125" style="363" bestFit="1" customWidth="1"/>
    <col min="832" max="832" width="6.42578125" style="363" bestFit="1" customWidth="1"/>
    <col min="833" max="833" width="5" style="363" bestFit="1" customWidth="1"/>
    <col min="834" max="1025" width="9.28515625" style="363"/>
    <col min="1026" max="1026" width="44" style="363" bestFit="1" customWidth="1"/>
    <col min="1027" max="1027" width="25.5703125" style="363" bestFit="1" customWidth="1"/>
    <col min="1028" max="1028" width="33.42578125" style="363" bestFit="1" customWidth="1"/>
    <col min="1029" max="1029" width="16.42578125" style="363" bestFit="1" customWidth="1"/>
    <col min="1030" max="1059" width="5" style="363" bestFit="1" customWidth="1"/>
    <col min="1060" max="1060" width="11.42578125" style="363" bestFit="1" customWidth="1"/>
    <col min="1061" max="1063" width="6.42578125" style="363" bestFit="1" customWidth="1"/>
    <col min="1064" max="1064" width="7.42578125" style="363" bestFit="1" customWidth="1"/>
    <col min="1065" max="1065" width="6.42578125" style="363" bestFit="1" customWidth="1"/>
    <col min="1066" max="1069" width="7.42578125" style="363" bestFit="1" customWidth="1"/>
    <col min="1070" max="1070" width="11.42578125" style="363" bestFit="1" customWidth="1"/>
    <col min="1071" max="1084" width="7.42578125" style="363" bestFit="1" customWidth="1"/>
    <col min="1085" max="1085" width="11.42578125" style="363" bestFit="1" customWidth="1"/>
    <col min="1086" max="1087" width="7.42578125" style="363" bestFit="1" customWidth="1"/>
    <col min="1088" max="1088" width="6.42578125" style="363" bestFit="1" customWidth="1"/>
    <col min="1089" max="1089" width="5" style="363" bestFit="1" customWidth="1"/>
    <col min="1090" max="1281" width="9.28515625" style="363"/>
    <col min="1282" max="1282" width="44" style="363" bestFit="1" customWidth="1"/>
    <col min="1283" max="1283" width="25.5703125" style="363" bestFit="1" customWidth="1"/>
    <col min="1284" max="1284" width="33.42578125" style="363" bestFit="1" customWidth="1"/>
    <col min="1285" max="1285" width="16.42578125" style="363" bestFit="1" customWidth="1"/>
    <col min="1286" max="1315" width="5" style="363" bestFit="1" customWidth="1"/>
    <col min="1316" max="1316" width="11.42578125" style="363" bestFit="1" customWidth="1"/>
    <col min="1317" max="1319" width="6.42578125" style="363" bestFit="1" customWidth="1"/>
    <col min="1320" max="1320" width="7.42578125" style="363" bestFit="1" customWidth="1"/>
    <col min="1321" max="1321" width="6.42578125" style="363" bestFit="1" customWidth="1"/>
    <col min="1322" max="1325" width="7.42578125" style="363" bestFit="1" customWidth="1"/>
    <col min="1326" max="1326" width="11.42578125" style="363" bestFit="1" customWidth="1"/>
    <col min="1327" max="1340" width="7.42578125" style="363" bestFit="1" customWidth="1"/>
    <col min="1341" max="1341" width="11.42578125" style="363" bestFit="1" customWidth="1"/>
    <col min="1342" max="1343" width="7.42578125" style="363" bestFit="1" customWidth="1"/>
    <col min="1344" max="1344" width="6.42578125" style="363" bestFit="1" customWidth="1"/>
    <col min="1345" max="1345" width="5" style="363" bestFit="1" customWidth="1"/>
    <col min="1346" max="1537" width="9.28515625" style="363"/>
    <col min="1538" max="1538" width="44" style="363" bestFit="1" customWidth="1"/>
    <col min="1539" max="1539" width="25.5703125" style="363" bestFit="1" customWidth="1"/>
    <col min="1540" max="1540" width="33.42578125" style="363" bestFit="1" customWidth="1"/>
    <col min="1541" max="1541" width="16.42578125" style="363" bestFit="1" customWidth="1"/>
    <col min="1542" max="1571" width="5" style="363" bestFit="1" customWidth="1"/>
    <col min="1572" max="1572" width="11.42578125" style="363" bestFit="1" customWidth="1"/>
    <col min="1573" max="1575" width="6.42578125" style="363" bestFit="1" customWidth="1"/>
    <col min="1576" max="1576" width="7.42578125" style="363" bestFit="1" customWidth="1"/>
    <col min="1577" max="1577" width="6.42578125" style="363" bestFit="1" customWidth="1"/>
    <col min="1578" max="1581" width="7.42578125" style="363" bestFit="1" customWidth="1"/>
    <col min="1582" max="1582" width="11.42578125" style="363" bestFit="1" customWidth="1"/>
    <col min="1583" max="1596" width="7.42578125" style="363" bestFit="1" customWidth="1"/>
    <col min="1597" max="1597" width="11.42578125" style="363" bestFit="1" customWidth="1"/>
    <col min="1598" max="1599" width="7.42578125" style="363" bestFit="1" customWidth="1"/>
    <col min="1600" max="1600" width="6.42578125" style="363" bestFit="1" customWidth="1"/>
    <col min="1601" max="1601" width="5" style="363" bestFit="1" customWidth="1"/>
    <col min="1602" max="1793" width="9.28515625" style="363"/>
    <col min="1794" max="1794" width="44" style="363" bestFit="1" customWidth="1"/>
    <col min="1795" max="1795" width="25.5703125" style="363" bestFit="1" customWidth="1"/>
    <col min="1796" max="1796" width="33.42578125" style="363" bestFit="1" customWidth="1"/>
    <col min="1797" max="1797" width="16.42578125" style="363" bestFit="1" customWidth="1"/>
    <col min="1798" max="1827" width="5" style="363" bestFit="1" customWidth="1"/>
    <col min="1828" max="1828" width="11.42578125" style="363" bestFit="1" customWidth="1"/>
    <col min="1829" max="1831" width="6.42578125" style="363" bestFit="1" customWidth="1"/>
    <col min="1832" max="1832" width="7.42578125" style="363" bestFit="1" customWidth="1"/>
    <col min="1833" max="1833" width="6.42578125" style="363" bestFit="1" customWidth="1"/>
    <col min="1834" max="1837" width="7.42578125" style="363" bestFit="1" customWidth="1"/>
    <col min="1838" max="1838" width="11.42578125" style="363" bestFit="1" customWidth="1"/>
    <col min="1839" max="1852" width="7.42578125" style="363" bestFit="1" customWidth="1"/>
    <col min="1853" max="1853" width="11.42578125" style="363" bestFit="1" customWidth="1"/>
    <col min="1854" max="1855" width="7.42578125" style="363" bestFit="1" customWidth="1"/>
    <col min="1856" max="1856" width="6.42578125" style="363" bestFit="1" customWidth="1"/>
    <col min="1857" max="1857" width="5" style="363" bestFit="1" customWidth="1"/>
    <col min="1858" max="2049" width="9.28515625" style="363"/>
    <col min="2050" max="2050" width="44" style="363" bestFit="1" customWidth="1"/>
    <col min="2051" max="2051" width="25.5703125" style="363" bestFit="1" customWidth="1"/>
    <col min="2052" max="2052" width="33.42578125" style="363" bestFit="1" customWidth="1"/>
    <col min="2053" max="2053" width="16.42578125" style="363" bestFit="1" customWidth="1"/>
    <col min="2054" max="2083" width="5" style="363" bestFit="1" customWidth="1"/>
    <col min="2084" max="2084" width="11.42578125" style="363" bestFit="1" customWidth="1"/>
    <col min="2085" max="2087" width="6.42578125" style="363" bestFit="1" customWidth="1"/>
    <col min="2088" max="2088" width="7.42578125" style="363" bestFit="1" customWidth="1"/>
    <col min="2089" max="2089" width="6.42578125" style="363" bestFit="1" customWidth="1"/>
    <col min="2090" max="2093" width="7.42578125" style="363" bestFit="1" customWidth="1"/>
    <col min="2094" max="2094" width="11.42578125" style="363" bestFit="1" customWidth="1"/>
    <col min="2095" max="2108" width="7.42578125" style="363" bestFit="1" customWidth="1"/>
    <col min="2109" max="2109" width="11.42578125" style="363" bestFit="1" customWidth="1"/>
    <col min="2110" max="2111" width="7.42578125" style="363" bestFit="1" customWidth="1"/>
    <col min="2112" max="2112" width="6.42578125" style="363" bestFit="1" customWidth="1"/>
    <col min="2113" max="2113" width="5" style="363" bestFit="1" customWidth="1"/>
    <col min="2114" max="2305" width="9.28515625" style="363"/>
    <col min="2306" max="2306" width="44" style="363" bestFit="1" customWidth="1"/>
    <col min="2307" max="2307" width="25.5703125" style="363" bestFit="1" customWidth="1"/>
    <col min="2308" max="2308" width="33.42578125" style="363" bestFit="1" customWidth="1"/>
    <col min="2309" max="2309" width="16.42578125" style="363" bestFit="1" customWidth="1"/>
    <col min="2310" max="2339" width="5" style="363" bestFit="1" customWidth="1"/>
    <col min="2340" max="2340" width="11.42578125" style="363" bestFit="1" customWidth="1"/>
    <col min="2341" max="2343" width="6.42578125" style="363" bestFit="1" customWidth="1"/>
    <col min="2344" max="2344" width="7.42578125" style="363" bestFit="1" customWidth="1"/>
    <col min="2345" max="2345" width="6.42578125" style="363" bestFit="1" customWidth="1"/>
    <col min="2346" max="2349" width="7.42578125" style="363" bestFit="1" customWidth="1"/>
    <col min="2350" max="2350" width="11.42578125" style="363" bestFit="1" customWidth="1"/>
    <col min="2351" max="2364" width="7.42578125" style="363" bestFit="1" customWidth="1"/>
    <col min="2365" max="2365" width="11.42578125" style="363" bestFit="1" customWidth="1"/>
    <col min="2366" max="2367" width="7.42578125" style="363" bestFit="1" customWidth="1"/>
    <col min="2368" max="2368" width="6.42578125" style="363" bestFit="1" customWidth="1"/>
    <col min="2369" max="2369" width="5" style="363" bestFit="1" customWidth="1"/>
    <col min="2370" max="2561" width="9.28515625" style="363"/>
    <col min="2562" max="2562" width="44" style="363" bestFit="1" customWidth="1"/>
    <col min="2563" max="2563" width="25.5703125" style="363" bestFit="1" customWidth="1"/>
    <col min="2564" max="2564" width="33.42578125" style="363" bestFit="1" customWidth="1"/>
    <col min="2565" max="2565" width="16.42578125" style="363" bestFit="1" customWidth="1"/>
    <col min="2566" max="2595" width="5" style="363" bestFit="1" customWidth="1"/>
    <col min="2596" max="2596" width="11.42578125" style="363" bestFit="1" customWidth="1"/>
    <col min="2597" max="2599" width="6.42578125" style="363" bestFit="1" customWidth="1"/>
    <col min="2600" max="2600" width="7.42578125" style="363" bestFit="1" customWidth="1"/>
    <col min="2601" max="2601" width="6.42578125" style="363" bestFit="1" customWidth="1"/>
    <col min="2602" max="2605" width="7.42578125" style="363" bestFit="1" customWidth="1"/>
    <col min="2606" max="2606" width="11.42578125" style="363" bestFit="1" customWidth="1"/>
    <col min="2607" max="2620" width="7.42578125" style="363" bestFit="1" customWidth="1"/>
    <col min="2621" max="2621" width="11.42578125" style="363" bestFit="1" customWidth="1"/>
    <col min="2622" max="2623" width="7.42578125" style="363" bestFit="1" customWidth="1"/>
    <col min="2624" max="2624" width="6.42578125" style="363" bestFit="1" customWidth="1"/>
    <col min="2625" max="2625" width="5" style="363" bestFit="1" customWidth="1"/>
    <col min="2626" max="2817" width="9.28515625" style="363"/>
    <col min="2818" max="2818" width="44" style="363" bestFit="1" customWidth="1"/>
    <col min="2819" max="2819" width="25.5703125" style="363" bestFit="1" customWidth="1"/>
    <col min="2820" max="2820" width="33.42578125" style="363" bestFit="1" customWidth="1"/>
    <col min="2821" max="2821" width="16.42578125" style="363" bestFit="1" customWidth="1"/>
    <col min="2822" max="2851" width="5" style="363" bestFit="1" customWidth="1"/>
    <col min="2852" max="2852" width="11.42578125" style="363" bestFit="1" customWidth="1"/>
    <col min="2853" max="2855" width="6.42578125" style="363" bestFit="1" customWidth="1"/>
    <col min="2856" max="2856" width="7.42578125" style="363" bestFit="1" customWidth="1"/>
    <col min="2857" max="2857" width="6.42578125" style="363" bestFit="1" customWidth="1"/>
    <col min="2858" max="2861" width="7.42578125" style="363" bestFit="1" customWidth="1"/>
    <col min="2862" max="2862" width="11.42578125" style="363" bestFit="1" customWidth="1"/>
    <col min="2863" max="2876" width="7.42578125" style="363" bestFit="1" customWidth="1"/>
    <col min="2877" max="2877" width="11.42578125" style="363" bestFit="1" customWidth="1"/>
    <col min="2878" max="2879" width="7.42578125" style="363" bestFit="1" customWidth="1"/>
    <col min="2880" max="2880" width="6.42578125" style="363" bestFit="1" customWidth="1"/>
    <col min="2881" max="2881" width="5" style="363" bestFit="1" customWidth="1"/>
    <col min="2882" max="3073" width="9.28515625" style="363"/>
    <col min="3074" max="3074" width="44" style="363" bestFit="1" customWidth="1"/>
    <col min="3075" max="3075" width="25.5703125" style="363" bestFit="1" customWidth="1"/>
    <col min="3076" max="3076" width="33.42578125" style="363" bestFit="1" customWidth="1"/>
    <col min="3077" max="3077" width="16.42578125" style="363" bestFit="1" customWidth="1"/>
    <col min="3078" max="3107" width="5" style="363" bestFit="1" customWidth="1"/>
    <col min="3108" max="3108" width="11.42578125" style="363" bestFit="1" customWidth="1"/>
    <col min="3109" max="3111" width="6.42578125" style="363" bestFit="1" customWidth="1"/>
    <col min="3112" max="3112" width="7.42578125" style="363" bestFit="1" customWidth="1"/>
    <col min="3113" max="3113" width="6.42578125" style="363" bestFit="1" customWidth="1"/>
    <col min="3114" max="3117" width="7.42578125" style="363" bestFit="1" customWidth="1"/>
    <col min="3118" max="3118" width="11.42578125" style="363" bestFit="1" customWidth="1"/>
    <col min="3119" max="3132" width="7.42578125" style="363" bestFit="1" customWidth="1"/>
    <col min="3133" max="3133" width="11.42578125" style="363" bestFit="1" customWidth="1"/>
    <col min="3134" max="3135" width="7.42578125" style="363" bestFit="1" customWidth="1"/>
    <col min="3136" max="3136" width="6.42578125" style="363" bestFit="1" customWidth="1"/>
    <col min="3137" max="3137" width="5" style="363" bestFit="1" customWidth="1"/>
    <col min="3138" max="3329" width="9.28515625" style="363"/>
    <col min="3330" max="3330" width="44" style="363" bestFit="1" customWidth="1"/>
    <col min="3331" max="3331" width="25.5703125" style="363" bestFit="1" customWidth="1"/>
    <col min="3332" max="3332" width="33.42578125" style="363" bestFit="1" customWidth="1"/>
    <col min="3333" max="3333" width="16.42578125" style="363" bestFit="1" customWidth="1"/>
    <col min="3334" max="3363" width="5" style="363" bestFit="1" customWidth="1"/>
    <col min="3364" max="3364" width="11.42578125" style="363" bestFit="1" customWidth="1"/>
    <col min="3365" max="3367" width="6.42578125" style="363" bestFit="1" customWidth="1"/>
    <col min="3368" max="3368" width="7.42578125" style="363" bestFit="1" customWidth="1"/>
    <col min="3369" max="3369" width="6.42578125" style="363" bestFit="1" customWidth="1"/>
    <col min="3370" max="3373" width="7.42578125" style="363" bestFit="1" customWidth="1"/>
    <col min="3374" max="3374" width="11.42578125" style="363" bestFit="1" customWidth="1"/>
    <col min="3375" max="3388" width="7.42578125" style="363" bestFit="1" customWidth="1"/>
    <col min="3389" max="3389" width="11.42578125" style="363" bestFit="1" customWidth="1"/>
    <col min="3390" max="3391" width="7.42578125" style="363" bestFit="1" customWidth="1"/>
    <col min="3392" max="3392" width="6.42578125" style="363" bestFit="1" customWidth="1"/>
    <col min="3393" max="3393" width="5" style="363" bestFit="1" customWidth="1"/>
    <col min="3394" max="3585" width="9.28515625" style="363"/>
    <col min="3586" max="3586" width="44" style="363" bestFit="1" customWidth="1"/>
    <col min="3587" max="3587" width="25.5703125" style="363" bestFit="1" customWidth="1"/>
    <col min="3588" max="3588" width="33.42578125" style="363" bestFit="1" customWidth="1"/>
    <col min="3589" max="3589" width="16.42578125" style="363" bestFit="1" customWidth="1"/>
    <col min="3590" max="3619" width="5" style="363" bestFit="1" customWidth="1"/>
    <col min="3620" max="3620" width="11.42578125" style="363" bestFit="1" customWidth="1"/>
    <col min="3621" max="3623" width="6.42578125" style="363" bestFit="1" customWidth="1"/>
    <col min="3624" max="3624" width="7.42578125" style="363" bestFit="1" customWidth="1"/>
    <col min="3625" max="3625" width="6.42578125" style="363" bestFit="1" customWidth="1"/>
    <col min="3626" max="3629" width="7.42578125" style="363" bestFit="1" customWidth="1"/>
    <col min="3630" max="3630" width="11.42578125" style="363" bestFit="1" customWidth="1"/>
    <col min="3631" max="3644" width="7.42578125" style="363" bestFit="1" customWidth="1"/>
    <col min="3645" max="3645" width="11.42578125" style="363" bestFit="1" customWidth="1"/>
    <col min="3646" max="3647" width="7.42578125" style="363" bestFit="1" customWidth="1"/>
    <col min="3648" max="3648" width="6.42578125" style="363" bestFit="1" customWidth="1"/>
    <col min="3649" max="3649" width="5" style="363" bestFit="1" customWidth="1"/>
    <col min="3650" max="3841" width="9.28515625" style="363"/>
    <col min="3842" max="3842" width="44" style="363" bestFit="1" customWidth="1"/>
    <col min="3843" max="3843" width="25.5703125" style="363" bestFit="1" customWidth="1"/>
    <col min="3844" max="3844" width="33.42578125" style="363" bestFit="1" customWidth="1"/>
    <col min="3845" max="3845" width="16.42578125" style="363" bestFit="1" customWidth="1"/>
    <col min="3846" max="3875" width="5" style="363" bestFit="1" customWidth="1"/>
    <col min="3876" max="3876" width="11.42578125" style="363" bestFit="1" customWidth="1"/>
    <col min="3877" max="3879" width="6.42578125" style="363" bestFit="1" customWidth="1"/>
    <col min="3880" max="3880" width="7.42578125" style="363" bestFit="1" customWidth="1"/>
    <col min="3881" max="3881" width="6.42578125" style="363" bestFit="1" customWidth="1"/>
    <col min="3882" max="3885" width="7.42578125" style="363" bestFit="1" customWidth="1"/>
    <col min="3886" max="3886" width="11.42578125" style="363" bestFit="1" customWidth="1"/>
    <col min="3887" max="3900" width="7.42578125" style="363" bestFit="1" customWidth="1"/>
    <col min="3901" max="3901" width="11.42578125" style="363" bestFit="1" customWidth="1"/>
    <col min="3902" max="3903" width="7.42578125" style="363" bestFit="1" customWidth="1"/>
    <col min="3904" max="3904" width="6.42578125" style="363" bestFit="1" customWidth="1"/>
    <col min="3905" max="3905" width="5" style="363" bestFit="1" customWidth="1"/>
    <col min="3906" max="4097" width="9.28515625" style="363"/>
    <col min="4098" max="4098" width="44" style="363" bestFit="1" customWidth="1"/>
    <col min="4099" max="4099" width="25.5703125" style="363" bestFit="1" customWidth="1"/>
    <col min="4100" max="4100" width="33.42578125" style="363" bestFit="1" customWidth="1"/>
    <col min="4101" max="4101" width="16.42578125" style="363" bestFit="1" customWidth="1"/>
    <col min="4102" max="4131" width="5" style="363" bestFit="1" customWidth="1"/>
    <col min="4132" max="4132" width="11.42578125" style="363" bestFit="1" customWidth="1"/>
    <col min="4133" max="4135" width="6.42578125" style="363" bestFit="1" customWidth="1"/>
    <col min="4136" max="4136" width="7.42578125" style="363" bestFit="1" customWidth="1"/>
    <col min="4137" max="4137" width="6.42578125" style="363" bestFit="1" customWidth="1"/>
    <col min="4138" max="4141" width="7.42578125" style="363" bestFit="1" customWidth="1"/>
    <col min="4142" max="4142" width="11.42578125" style="363" bestFit="1" customWidth="1"/>
    <col min="4143" max="4156" width="7.42578125" style="363" bestFit="1" customWidth="1"/>
    <col min="4157" max="4157" width="11.42578125" style="363" bestFit="1" customWidth="1"/>
    <col min="4158" max="4159" width="7.42578125" style="363" bestFit="1" customWidth="1"/>
    <col min="4160" max="4160" width="6.42578125" style="363" bestFit="1" customWidth="1"/>
    <col min="4161" max="4161" width="5" style="363" bestFit="1" customWidth="1"/>
    <col min="4162" max="4353" width="9.28515625" style="363"/>
    <col min="4354" max="4354" width="44" style="363" bestFit="1" customWidth="1"/>
    <col min="4355" max="4355" width="25.5703125" style="363" bestFit="1" customWidth="1"/>
    <col min="4356" max="4356" width="33.42578125" style="363" bestFit="1" customWidth="1"/>
    <col min="4357" max="4357" width="16.42578125" style="363" bestFit="1" customWidth="1"/>
    <col min="4358" max="4387" width="5" style="363" bestFit="1" customWidth="1"/>
    <col min="4388" max="4388" width="11.42578125" style="363" bestFit="1" customWidth="1"/>
    <col min="4389" max="4391" width="6.42578125" style="363" bestFit="1" customWidth="1"/>
    <col min="4392" max="4392" width="7.42578125" style="363" bestFit="1" customWidth="1"/>
    <col min="4393" max="4393" width="6.42578125" style="363" bestFit="1" customWidth="1"/>
    <col min="4394" max="4397" width="7.42578125" style="363" bestFit="1" customWidth="1"/>
    <col min="4398" max="4398" width="11.42578125" style="363" bestFit="1" customWidth="1"/>
    <col min="4399" max="4412" width="7.42578125" style="363" bestFit="1" customWidth="1"/>
    <col min="4413" max="4413" width="11.42578125" style="363" bestFit="1" customWidth="1"/>
    <col min="4414" max="4415" width="7.42578125" style="363" bestFit="1" customWidth="1"/>
    <col min="4416" max="4416" width="6.42578125" style="363" bestFit="1" customWidth="1"/>
    <col min="4417" max="4417" width="5" style="363" bestFit="1" customWidth="1"/>
    <col min="4418" max="4609" width="9.28515625" style="363"/>
    <col min="4610" max="4610" width="44" style="363" bestFit="1" customWidth="1"/>
    <col min="4611" max="4611" width="25.5703125" style="363" bestFit="1" customWidth="1"/>
    <col min="4612" max="4612" width="33.42578125" style="363" bestFit="1" customWidth="1"/>
    <col min="4613" max="4613" width="16.42578125" style="363" bestFit="1" customWidth="1"/>
    <col min="4614" max="4643" width="5" style="363" bestFit="1" customWidth="1"/>
    <col min="4644" max="4644" width="11.42578125" style="363" bestFit="1" customWidth="1"/>
    <col min="4645" max="4647" width="6.42578125" style="363" bestFit="1" customWidth="1"/>
    <col min="4648" max="4648" width="7.42578125" style="363" bestFit="1" customWidth="1"/>
    <col min="4649" max="4649" width="6.42578125" style="363" bestFit="1" customWidth="1"/>
    <col min="4650" max="4653" width="7.42578125" style="363" bestFit="1" customWidth="1"/>
    <col min="4654" max="4654" width="11.42578125" style="363" bestFit="1" customWidth="1"/>
    <col min="4655" max="4668" width="7.42578125" style="363" bestFit="1" customWidth="1"/>
    <col min="4669" max="4669" width="11.42578125" style="363" bestFit="1" customWidth="1"/>
    <col min="4670" max="4671" width="7.42578125" style="363" bestFit="1" customWidth="1"/>
    <col min="4672" max="4672" width="6.42578125" style="363" bestFit="1" customWidth="1"/>
    <col min="4673" max="4673" width="5" style="363" bestFit="1" customWidth="1"/>
    <col min="4674" max="4865" width="9.28515625" style="363"/>
    <col min="4866" max="4866" width="44" style="363" bestFit="1" customWidth="1"/>
    <col min="4867" max="4867" width="25.5703125" style="363" bestFit="1" customWidth="1"/>
    <col min="4868" max="4868" width="33.42578125" style="363" bestFit="1" customWidth="1"/>
    <col min="4869" max="4869" width="16.42578125" style="363" bestFit="1" customWidth="1"/>
    <col min="4870" max="4899" width="5" style="363" bestFit="1" customWidth="1"/>
    <col min="4900" max="4900" width="11.42578125" style="363" bestFit="1" customWidth="1"/>
    <col min="4901" max="4903" width="6.42578125" style="363" bestFit="1" customWidth="1"/>
    <col min="4904" max="4904" width="7.42578125" style="363" bestFit="1" customWidth="1"/>
    <col min="4905" max="4905" width="6.42578125" style="363" bestFit="1" customWidth="1"/>
    <col min="4906" max="4909" width="7.42578125" style="363" bestFit="1" customWidth="1"/>
    <col min="4910" max="4910" width="11.42578125" style="363" bestFit="1" customWidth="1"/>
    <col min="4911" max="4924" width="7.42578125" style="363" bestFit="1" customWidth="1"/>
    <col min="4925" max="4925" width="11.42578125" style="363" bestFit="1" customWidth="1"/>
    <col min="4926" max="4927" width="7.42578125" style="363" bestFit="1" customWidth="1"/>
    <col min="4928" max="4928" width="6.42578125" style="363" bestFit="1" customWidth="1"/>
    <col min="4929" max="4929" width="5" style="363" bestFit="1" customWidth="1"/>
    <col min="4930" max="5121" width="9.28515625" style="363"/>
    <col min="5122" max="5122" width="44" style="363" bestFit="1" customWidth="1"/>
    <col min="5123" max="5123" width="25.5703125" style="363" bestFit="1" customWidth="1"/>
    <col min="5124" max="5124" width="33.42578125" style="363" bestFit="1" customWidth="1"/>
    <col min="5125" max="5125" width="16.42578125" style="363" bestFit="1" customWidth="1"/>
    <col min="5126" max="5155" width="5" style="363" bestFit="1" customWidth="1"/>
    <col min="5156" max="5156" width="11.42578125" style="363" bestFit="1" customWidth="1"/>
    <col min="5157" max="5159" width="6.42578125" style="363" bestFit="1" customWidth="1"/>
    <col min="5160" max="5160" width="7.42578125" style="363" bestFit="1" customWidth="1"/>
    <col min="5161" max="5161" width="6.42578125" style="363" bestFit="1" customWidth="1"/>
    <col min="5162" max="5165" width="7.42578125" style="363" bestFit="1" customWidth="1"/>
    <col min="5166" max="5166" width="11.42578125" style="363" bestFit="1" customWidth="1"/>
    <col min="5167" max="5180" width="7.42578125" style="363" bestFit="1" customWidth="1"/>
    <col min="5181" max="5181" width="11.42578125" style="363" bestFit="1" customWidth="1"/>
    <col min="5182" max="5183" width="7.42578125" style="363" bestFit="1" customWidth="1"/>
    <col min="5184" max="5184" width="6.42578125" style="363" bestFit="1" customWidth="1"/>
    <col min="5185" max="5185" width="5" style="363" bestFit="1" customWidth="1"/>
    <col min="5186" max="5377" width="9.28515625" style="363"/>
    <col min="5378" max="5378" width="44" style="363" bestFit="1" customWidth="1"/>
    <col min="5379" max="5379" width="25.5703125" style="363" bestFit="1" customWidth="1"/>
    <col min="5380" max="5380" width="33.42578125" style="363" bestFit="1" customWidth="1"/>
    <col min="5381" max="5381" width="16.42578125" style="363" bestFit="1" customWidth="1"/>
    <col min="5382" max="5411" width="5" style="363" bestFit="1" customWidth="1"/>
    <col min="5412" max="5412" width="11.42578125" style="363" bestFit="1" customWidth="1"/>
    <col min="5413" max="5415" width="6.42578125" style="363" bestFit="1" customWidth="1"/>
    <col min="5416" max="5416" width="7.42578125" style="363" bestFit="1" customWidth="1"/>
    <col min="5417" max="5417" width="6.42578125" style="363" bestFit="1" customWidth="1"/>
    <col min="5418" max="5421" width="7.42578125" style="363" bestFit="1" customWidth="1"/>
    <col min="5422" max="5422" width="11.42578125" style="363" bestFit="1" customWidth="1"/>
    <col min="5423" max="5436" width="7.42578125" style="363" bestFit="1" customWidth="1"/>
    <col min="5437" max="5437" width="11.42578125" style="363" bestFit="1" customWidth="1"/>
    <col min="5438" max="5439" width="7.42578125" style="363" bestFit="1" customWidth="1"/>
    <col min="5440" max="5440" width="6.42578125" style="363" bestFit="1" customWidth="1"/>
    <col min="5441" max="5441" width="5" style="363" bestFit="1" customWidth="1"/>
    <col min="5442" max="5633" width="9.28515625" style="363"/>
    <col min="5634" max="5634" width="44" style="363" bestFit="1" customWidth="1"/>
    <col min="5635" max="5635" width="25.5703125" style="363" bestFit="1" customWidth="1"/>
    <col min="5636" max="5636" width="33.42578125" style="363" bestFit="1" customWidth="1"/>
    <col min="5637" max="5637" width="16.42578125" style="363" bestFit="1" customWidth="1"/>
    <col min="5638" max="5667" width="5" style="363" bestFit="1" customWidth="1"/>
    <col min="5668" max="5668" width="11.42578125" style="363" bestFit="1" customWidth="1"/>
    <col min="5669" max="5671" width="6.42578125" style="363" bestFit="1" customWidth="1"/>
    <col min="5672" max="5672" width="7.42578125" style="363" bestFit="1" customWidth="1"/>
    <col min="5673" max="5673" width="6.42578125" style="363" bestFit="1" customWidth="1"/>
    <col min="5674" max="5677" width="7.42578125" style="363" bestFit="1" customWidth="1"/>
    <col min="5678" max="5678" width="11.42578125" style="363" bestFit="1" customWidth="1"/>
    <col min="5679" max="5692" width="7.42578125" style="363" bestFit="1" customWidth="1"/>
    <col min="5693" max="5693" width="11.42578125" style="363" bestFit="1" customWidth="1"/>
    <col min="5694" max="5695" width="7.42578125" style="363" bestFit="1" customWidth="1"/>
    <col min="5696" max="5696" width="6.42578125" style="363" bestFit="1" customWidth="1"/>
    <col min="5697" max="5697" width="5" style="363" bestFit="1" customWidth="1"/>
    <col min="5698" max="5889" width="9.28515625" style="363"/>
    <col min="5890" max="5890" width="44" style="363" bestFit="1" customWidth="1"/>
    <col min="5891" max="5891" width="25.5703125" style="363" bestFit="1" customWidth="1"/>
    <col min="5892" max="5892" width="33.42578125" style="363" bestFit="1" customWidth="1"/>
    <col min="5893" max="5893" width="16.42578125" style="363" bestFit="1" customWidth="1"/>
    <col min="5894" max="5923" width="5" style="363" bestFit="1" customWidth="1"/>
    <col min="5924" max="5924" width="11.42578125" style="363" bestFit="1" customWidth="1"/>
    <col min="5925" max="5927" width="6.42578125" style="363" bestFit="1" customWidth="1"/>
    <col min="5928" max="5928" width="7.42578125" style="363" bestFit="1" customWidth="1"/>
    <col min="5929" max="5929" width="6.42578125" style="363" bestFit="1" customWidth="1"/>
    <col min="5930" max="5933" width="7.42578125" style="363" bestFit="1" customWidth="1"/>
    <col min="5934" max="5934" width="11.42578125" style="363" bestFit="1" customWidth="1"/>
    <col min="5935" max="5948" width="7.42578125" style="363" bestFit="1" customWidth="1"/>
    <col min="5949" max="5949" width="11.42578125" style="363" bestFit="1" customWidth="1"/>
    <col min="5950" max="5951" width="7.42578125" style="363" bestFit="1" customWidth="1"/>
    <col min="5952" max="5952" width="6.42578125" style="363" bestFit="1" customWidth="1"/>
    <col min="5953" max="5953" width="5" style="363" bestFit="1" customWidth="1"/>
    <col min="5954" max="6145" width="9.28515625" style="363"/>
    <col min="6146" max="6146" width="44" style="363" bestFit="1" customWidth="1"/>
    <col min="6147" max="6147" width="25.5703125" style="363" bestFit="1" customWidth="1"/>
    <col min="6148" max="6148" width="33.42578125" style="363" bestFit="1" customWidth="1"/>
    <col min="6149" max="6149" width="16.42578125" style="363" bestFit="1" customWidth="1"/>
    <col min="6150" max="6179" width="5" style="363" bestFit="1" customWidth="1"/>
    <col min="6180" max="6180" width="11.42578125" style="363" bestFit="1" customWidth="1"/>
    <col min="6181" max="6183" width="6.42578125" style="363" bestFit="1" customWidth="1"/>
    <col min="6184" max="6184" width="7.42578125" style="363" bestFit="1" customWidth="1"/>
    <col min="6185" max="6185" width="6.42578125" style="363" bestFit="1" customWidth="1"/>
    <col min="6186" max="6189" width="7.42578125" style="363" bestFit="1" customWidth="1"/>
    <col min="6190" max="6190" width="11.42578125" style="363" bestFit="1" customWidth="1"/>
    <col min="6191" max="6204" width="7.42578125" style="363" bestFit="1" customWidth="1"/>
    <col min="6205" max="6205" width="11.42578125" style="363" bestFit="1" customWidth="1"/>
    <col min="6206" max="6207" width="7.42578125" style="363" bestFit="1" customWidth="1"/>
    <col min="6208" max="6208" width="6.42578125" style="363" bestFit="1" customWidth="1"/>
    <col min="6209" max="6209" width="5" style="363" bestFit="1" customWidth="1"/>
    <col min="6210" max="6401" width="9.28515625" style="363"/>
    <col min="6402" max="6402" width="44" style="363" bestFit="1" customWidth="1"/>
    <col min="6403" max="6403" width="25.5703125" style="363" bestFit="1" customWidth="1"/>
    <col min="6404" max="6404" width="33.42578125" style="363" bestFit="1" customWidth="1"/>
    <col min="6405" max="6405" width="16.42578125" style="363" bestFit="1" customWidth="1"/>
    <col min="6406" max="6435" width="5" style="363" bestFit="1" customWidth="1"/>
    <col min="6436" max="6436" width="11.42578125" style="363" bestFit="1" customWidth="1"/>
    <col min="6437" max="6439" width="6.42578125" style="363" bestFit="1" customWidth="1"/>
    <col min="6440" max="6440" width="7.42578125" style="363" bestFit="1" customWidth="1"/>
    <col min="6441" max="6441" width="6.42578125" style="363" bestFit="1" customWidth="1"/>
    <col min="6442" max="6445" width="7.42578125" style="363" bestFit="1" customWidth="1"/>
    <col min="6446" max="6446" width="11.42578125" style="363" bestFit="1" customWidth="1"/>
    <col min="6447" max="6460" width="7.42578125" style="363" bestFit="1" customWidth="1"/>
    <col min="6461" max="6461" width="11.42578125" style="363" bestFit="1" customWidth="1"/>
    <col min="6462" max="6463" width="7.42578125" style="363" bestFit="1" customWidth="1"/>
    <col min="6464" max="6464" width="6.42578125" style="363" bestFit="1" customWidth="1"/>
    <col min="6465" max="6465" width="5" style="363" bestFit="1" customWidth="1"/>
    <col min="6466" max="6657" width="9.28515625" style="363"/>
    <col min="6658" max="6658" width="44" style="363" bestFit="1" customWidth="1"/>
    <col min="6659" max="6659" width="25.5703125" style="363" bestFit="1" customWidth="1"/>
    <col min="6660" max="6660" width="33.42578125" style="363" bestFit="1" customWidth="1"/>
    <col min="6661" max="6661" width="16.42578125" style="363" bestFit="1" customWidth="1"/>
    <col min="6662" max="6691" width="5" style="363" bestFit="1" customWidth="1"/>
    <col min="6692" max="6692" width="11.42578125" style="363" bestFit="1" customWidth="1"/>
    <col min="6693" max="6695" width="6.42578125" style="363" bestFit="1" customWidth="1"/>
    <col min="6696" max="6696" width="7.42578125" style="363" bestFit="1" customWidth="1"/>
    <col min="6697" max="6697" width="6.42578125" style="363" bestFit="1" customWidth="1"/>
    <col min="6698" max="6701" width="7.42578125" style="363" bestFit="1" customWidth="1"/>
    <col min="6702" max="6702" width="11.42578125" style="363" bestFit="1" customWidth="1"/>
    <col min="6703" max="6716" width="7.42578125" style="363" bestFit="1" customWidth="1"/>
    <col min="6717" max="6717" width="11.42578125" style="363" bestFit="1" customWidth="1"/>
    <col min="6718" max="6719" width="7.42578125" style="363" bestFit="1" customWidth="1"/>
    <col min="6720" max="6720" width="6.42578125" style="363" bestFit="1" customWidth="1"/>
    <col min="6721" max="6721" width="5" style="363" bestFit="1" customWidth="1"/>
    <col min="6722" max="6913" width="9.28515625" style="363"/>
    <col min="6914" max="6914" width="44" style="363" bestFit="1" customWidth="1"/>
    <col min="6915" max="6915" width="25.5703125" style="363" bestFit="1" customWidth="1"/>
    <col min="6916" max="6916" width="33.42578125" style="363" bestFit="1" customWidth="1"/>
    <col min="6917" max="6917" width="16.42578125" style="363" bestFit="1" customWidth="1"/>
    <col min="6918" max="6947" width="5" style="363" bestFit="1" customWidth="1"/>
    <col min="6948" max="6948" width="11.42578125" style="363" bestFit="1" customWidth="1"/>
    <col min="6949" max="6951" width="6.42578125" style="363" bestFit="1" customWidth="1"/>
    <col min="6952" max="6952" width="7.42578125" style="363" bestFit="1" customWidth="1"/>
    <col min="6953" max="6953" width="6.42578125" style="363" bestFit="1" customWidth="1"/>
    <col min="6954" max="6957" width="7.42578125" style="363" bestFit="1" customWidth="1"/>
    <col min="6958" max="6958" width="11.42578125" style="363" bestFit="1" customWidth="1"/>
    <col min="6959" max="6972" width="7.42578125" style="363" bestFit="1" customWidth="1"/>
    <col min="6973" max="6973" width="11.42578125" style="363" bestFit="1" customWidth="1"/>
    <col min="6974" max="6975" width="7.42578125" style="363" bestFit="1" customWidth="1"/>
    <col min="6976" max="6976" width="6.42578125" style="363" bestFit="1" customWidth="1"/>
    <col min="6977" max="6977" width="5" style="363" bestFit="1" customWidth="1"/>
    <col min="6978" max="7169" width="9.28515625" style="363"/>
    <col min="7170" max="7170" width="44" style="363" bestFit="1" customWidth="1"/>
    <col min="7171" max="7171" width="25.5703125" style="363" bestFit="1" customWidth="1"/>
    <col min="7172" max="7172" width="33.42578125" style="363" bestFit="1" customWidth="1"/>
    <col min="7173" max="7173" width="16.42578125" style="363" bestFit="1" customWidth="1"/>
    <col min="7174" max="7203" width="5" style="363" bestFit="1" customWidth="1"/>
    <col min="7204" max="7204" width="11.42578125" style="363" bestFit="1" customWidth="1"/>
    <col min="7205" max="7207" width="6.42578125" style="363" bestFit="1" customWidth="1"/>
    <col min="7208" max="7208" width="7.42578125" style="363" bestFit="1" customWidth="1"/>
    <col min="7209" max="7209" width="6.42578125" style="363" bestFit="1" customWidth="1"/>
    <col min="7210" max="7213" width="7.42578125" style="363" bestFit="1" customWidth="1"/>
    <col min="7214" max="7214" width="11.42578125" style="363" bestFit="1" customWidth="1"/>
    <col min="7215" max="7228" width="7.42578125" style="363" bestFit="1" customWidth="1"/>
    <col min="7229" max="7229" width="11.42578125" style="363" bestFit="1" customWidth="1"/>
    <col min="7230" max="7231" width="7.42578125" style="363" bestFit="1" customWidth="1"/>
    <col min="7232" max="7232" width="6.42578125" style="363" bestFit="1" customWidth="1"/>
    <col min="7233" max="7233" width="5" style="363" bestFit="1" customWidth="1"/>
    <col min="7234" max="7425" width="9.28515625" style="363"/>
    <col min="7426" max="7426" width="44" style="363" bestFit="1" customWidth="1"/>
    <col min="7427" max="7427" width="25.5703125" style="363" bestFit="1" customWidth="1"/>
    <col min="7428" max="7428" width="33.42578125" style="363" bestFit="1" customWidth="1"/>
    <col min="7429" max="7429" width="16.42578125" style="363" bestFit="1" customWidth="1"/>
    <col min="7430" max="7459" width="5" style="363" bestFit="1" customWidth="1"/>
    <col min="7460" max="7460" width="11.42578125" style="363" bestFit="1" customWidth="1"/>
    <col min="7461" max="7463" width="6.42578125" style="363" bestFit="1" customWidth="1"/>
    <col min="7464" max="7464" width="7.42578125" style="363" bestFit="1" customWidth="1"/>
    <col min="7465" max="7465" width="6.42578125" style="363" bestFit="1" customWidth="1"/>
    <col min="7466" max="7469" width="7.42578125" style="363" bestFit="1" customWidth="1"/>
    <col min="7470" max="7470" width="11.42578125" style="363" bestFit="1" customWidth="1"/>
    <col min="7471" max="7484" width="7.42578125" style="363" bestFit="1" customWidth="1"/>
    <col min="7485" max="7485" width="11.42578125" style="363" bestFit="1" customWidth="1"/>
    <col min="7486" max="7487" width="7.42578125" style="363" bestFit="1" customWidth="1"/>
    <col min="7488" max="7488" width="6.42578125" style="363" bestFit="1" customWidth="1"/>
    <col min="7489" max="7489" width="5" style="363" bestFit="1" customWidth="1"/>
    <col min="7490" max="7681" width="9.28515625" style="363"/>
    <col min="7682" max="7682" width="44" style="363" bestFit="1" customWidth="1"/>
    <col min="7683" max="7683" width="25.5703125" style="363" bestFit="1" customWidth="1"/>
    <col min="7684" max="7684" width="33.42578125" style="363" bestFit="1" customWidth="1"/>
    <col min="7685" max="7685" width="16.42578125" style="363" bestFit="1" customWidth="1"/>
    <col min="7686" max="7715" width="5" style="363" bestFit="1" customWidth="1"/>
    <col min="7716" max="7716" width="11.42578125" style="363" bestFit="1" customWidth="1"/>
    <col min="7717" max="7719" width="6.42578125" style="363" bestFit="1" customWidth="1"/>
    <col min="7720" max="7720" width="7.42578125" style="363" bestFit="1" customWidth="1"/>
    <col min="7721" max="7721" width="6.42578125" style="363" bestFit="1" customWidth="1"/>
    <col min="7722" max="7725" width="7.42578125" style="363" bestFit="1" customWidth="1"/>
    <col min="7726" max="7726" width="11.42578125" style="363" bestFit="1" customWidth="1"/>
    <col min="7727" max="7740" width="7.42578125" style="363" bestFit="1" customWidth="1"/>
    <col min="7741" max="7741" width="11.42578125" style="363" bestFit="1" customWidth="1"/>
    <col min="7742" max="7743" width="7.42578125" style="363" bestFit="1" customWidth="1"/>
    <col min="7744" max="7744" width="6.42578125" style="363" bestFit="1" customWidth="1"/>
    <col min="7745" max="7745" width="5" style="363" bestFit="1" customWidth="1"/>
    <col min="7746" max="7937" width="9.28515625" style="363"/>
    <col min="7938" max="7938" width="44" style="363" bestFit="1" customWidth="1"/>
    <col min="7939" max="7939" width="25.5703125" style="363" bestFit="1" customWidth="1"/>
    <col min="7940" max="7940" width="33.42578125" style="363" bestFit="1" customWidth="1"/>
    <col min="7941" max="7941" width="16.42578125" style="363" bestFit="1" customWidth="1"/>
    <col min="7942" max="7971" width="5" style="363" bestFit="1" customWidth="1"/>
    <col min="7972" max="7972" width="11.42578125" style="363" bestFit="1" customWidth="1"/>
    <col min="7973" max="7975" width="6.42578125" style="363" bestFit="1" customWidth="1"/>
    <col min="7976" max="7976" width="7.42578125" style="363" bestFit="1" customWidth="1"/>
    <col min="7977" max="7977" width="6.42578125" style="363" bestFit="1" customWidth="1"/>
    <col min="7978" max="7981" width="7.42578125" style="363" bestFit="1" customWidth="1"/>
    <col min="7982" max="7982" width="11.42578125" style="363" bestFit="1" customWidth="1"/>
    <col min="7983" max="7996" width="7.42578125" style="363" bestFit="1" customWidth="1"/>
    <col min="7997" max="7997" width="11.42578125" style="363" bestFit="1" customWidth="1"/>
    <col min="7998" max="7999" width="7.42578125" style="363" bestFit="1" customWidth="1"/>
    <col min="8000" max="8000" width="6.42578125" style="363" bestFit="1" customWidth="1"/>
    <col min="8001" max="8001" width="5" style="363" bestFit="1" customWidth="1"/>
    <col min="8002" max="8193" width="9.28515625" style="363"/>
    <col min="8194" max="8194" width="44" style="363" bestFit="1" customWidth="1"/>
    <col min="8195" max="8195" width="25.5703125" style="363" bestFit="1" customWidth="1"/>
    <col min="8196" max="8196" width="33.42578125" style="363" bestFit="1" customWidth="1"/>
    <col min="8197" max="8197" width="16.42578125" style="363" bestFit="1" customWidth="1"/>
    <col min="8198" max="8227" width="5" style="363" bestFit="1" customWidth="1"/>
    <col min="8228" max="8228" width="11.42578125" style="363" bestFit="1" customWidth="1"/>
    <col min="8229" max="8231" width="6.42578125" style="363" bestFit="1" customWidth="1"/>
    <col min="8232" max="8232" width="7.42578125" style="363" bestFit="1" customWidth="1"/>
    <col min="8233" max="8233" width="6.42578125" style="363" bestFit="1" customWidth="1"/>
    <col min="8234" max="8237" width="7.42578125" style="363" bestFit="1" customWidth="1"/>
    <col min="8238" max="8238" width="11.42578125" style="363" bestFit="1" customWidth="1"/>
    <col min="8239" max="8252" width="7.42578125" style="363" bestFit="1" customWidth="1"/>
    <col min="8253" max="8253" width="11.42578125" style="363" bestFit="1" customWidth="1"/>
    <col min="8254" max="8255" width="7.42578125" style="363" bestFit="1" customWidth="1"/>
    <col min="8256" max="8256" width="6.42578125" style="363" bestFit="1" customWidth="1"/>
    <col min="8257" max="8257" width="5" style="363" bestFit="1" customWidth="1"/>
    <col min="8258" max="8449" width="9.28515625" style="363"/>
    <col min="8450" max="8450" width="44" style="363" bestFit="1" customWidth="1"/>
    <col min="8451" max="8451" width="25.5703125" style="363" bestFit="1" customWidth="1"/>
    <col min="8452" max="8452" width="33.42578125" style="363" bestFit="1" customWidth="1"/>
    <col min="8453" max="8453" width="16.42578125" style="363" bestFit="1" customWidth="1"/>
    <col min="8454" max="8483" width="5" style="363" bestFit="1" customWidth="1"/>
    <col min="8484" max="8484" width="11.42578125" style="363" bestFit="1" customWidth="1"/>
    <col min="8485" max="8487" width="6.42578125" style="363" bestFit="1" customWidth="1"/>
    <col min="8488" max="8488" width="7.42578125" style="363" bestFit="1" customWidth="1"/>
    <col min="8489" max="8489" width="6.42578125" style="363" bestFit="1" customWidth="1"/>
    <col min="8490" max="8493" width="7.42578125" style="363" bestFit="1" customWidth="1"/>
    <col min="8494" max="8494" width="11.42578125" style="363" bestFit="1" customWidth="1"/>
    <col min="8495" max="8508" width="7.42578125" style="363" bestFit="1" customWidth="1"/>
    <col min="8509" max="8509" width="11.42578125" style="363" bestFit="1" customWidth="1"/>
    <col min="8510" max="8511" width="7.42578125" style="363" bestFit="1" customWidth="1"/>
    <col min="8512" max="8512" width="6.42578125" style="363" bestFit="1" customWidth="1"/>
    <col min="8513" max="8513" width="5" style="363" bestFit="1" customWidth="1"/>
    <col min="8514" max="8705" width="9.28515625" style="363"/>
    <col min="8706" max="8706" width="44" style="363" bestFit="1" customWidth="1"/>
    <col min="8707" max="8707" width="25.5703125" style="363" bestFit="1" customWidth="1"/>
    <col min="8708" max="8708" width="33.42578125" style="363" bestFit="1" customWidth="1"/>
    <col min="8709" max="8709" width="16.42578125" style="363" bestFit="1" customWidth="1"/>
    <col min="8710" max="8739" width="5" style="363" bestFit="1" customWidth="1"/>
    <col min="8740" max="8740" width="11.42578125" style="363" bestFit="1" customWidth="1"/>
    <col min="8741" max="8743" width="6.42578125" style="363" bestFit="1" customWidth="1"/>
    <col min="8744" max="8744" width="7.42578125" style="363" bestFit="1" customWidth="1"/>
    <col min="8745" max="8745" width="6.42578125" style="363" bestFit="1" customWidth="1"/>
    <col min="8746" max="8749" width="7.42578125" style="363" bestFit="1" customWidth="1"/>
    <col min="8750" max="8750" width="11.42578125" style="363" bestFit="1" customWidth="1"/>
    <col min="8751" max="8764" width="7.42578125" style="363" bestFit="1" customWidth="1"/>
    <col min="8765" max="8765" width="11.42578125" style="363" bestFit="1" customWidth="1"/>
    <col min="8766" max="8767" width="7.42578125" style="363" bestFit="1" customWidth="1"/>
    <col min="8768" max="8768" width="6.42578125" style="363" bestFit="1" customWidth="1"/>
    <col min="8769" max="8769" width="5" style="363" bestFit="1" customWidth="1"/>
    <col min="8770" max="8961" width="9.28515625" style="363"/>
    <col min="8962" max="8962" width="44" style="363" bestFit="1" customWidth="1"/>
    <col min="8963" max="8963" width="25.5703125" style="363" bestFit="1" customWidth="1"/>
    <col min="8964" max="8964" width="33.42578125" style="363" bestFit="1" customWidth="1"/>
    <col min="8965" max="8965" width="16.42578125" style="363" bestFit="1" customWidth="1"/>
    <col min="8966" max="8995" width="5" style="363" bestFit="1" customWidth="1"/>
    <col min="8996" max="8996" width="11.42578125" style="363" bestFit="1" customWidth="1"/>
    <col min="8997" max="8999" width="6.42578125" style="363" bestFit="1" customWidth="1"/>
    <col min="9000" max="9000" width="7.42578125" style="363" bestFit="1" customWidth="1"/>
    <col min="9001" max="9001" width="6.42578125" style="363" bestFit="1" customWidth="1"/>
    <col min="9002" max="9005" width="7.42578125" style="363" bestFit="1" customWidth="1"/>
    <col min="9006" max="9006" width="11.42578125" style="363" bestFit="1" customWidth="1"/>
    <col min="9007" max="9020" width="7.42578125" style="363" bestFit="1" customWidth="1"/>
    <col min="9021" max="9021" width="11.42578125" style="363" bestFit="1" customWidth="1"/>
    <col min="9022" max="9023" width="7.42578125" style="363" bestFit="1" customWidth="1"/>
    <col min="9024" max="9024" width="6.42578125" style="363" bestFit="1" customWidth="1"/>
    <col min="9025" max="9025" width="5" style="363" bestFit="1" customWidth="1"/>
    <col min="9026" max="9217" width="9.28515625" style="363"/>
    <col min="9218" max="9218" width="44" style="363" bestFit="1" customWidth="1"/>
    <col min="9219" max="9219" width="25.5703125" style="363" bestFit="1" customWidth="1"/>
    <col min="9220" max="9220" width="33.42578125" style="363" bestFit="1" customWidth="1"/>
    <col min="9221" max="9221" width="16.42578125" style="363" bestFit="1" customWidth="1"/>
    <col min="9222" max="9251" width="5" style="363" bestFit="1" customWidth="1"/>
    <col min="9252" max="9252" width="11.42578125" style="363" bestFit="1" customWidth="1"/>
    <col min="9253" max="9255" width="6.42578125" style="363" bestFit="1" customWidth="1"/>
    <col min="9256" max="9256" width="7.42578125" style="363" bestFit="1" customWidth="1"/>
    <col min="9257" max="9257" width="6.42578125" style="363" bestFit="1" customWidth="1"/>
    <col min="9258" max="9261" width="7.42578125" style="363" bestFit="1" customWidth="1"/>
    <col min="9262" max="9262" width="11.42578125" style="363" bestFit="1" customWidth="1"/>
    <col min="9263" max="9276" width="7.42578125" style="363" bestFit="1" customWidth="1"/>
    <col min="9277" max="9277" width="11.42578125" style="363" bestFit="1" customWidth="1"/>
    <col min="9278" max="9279" width="7.42578125" style="363" bestFit="1" customWidth="1"/>
    <col min="9280" max="9280" width="6.42578125" style="363" bestFit="1" customWidth="1"/>
    <col min="9281" max="9281" width="5" style="363" bestFit="1" customWidth="1"/>
    <col min="9282" max="9473" width="9.28515625" style="363"/>
    <col min="9474" max="9474" width="44" style="363" bestFit="1" customWidth="1"/>
    <col min="9475" max="9475" width="25.5703125" style="363" bestFit="1" customWidth="1"/>
    <col min="9476" max="9476" width="33.42578125" style="363" bestFit="1" customWidth="1"/>
    <col min="9477" max="9477" width="16.42578125" style="363" bestFit="1" customWidth="1"/>
    <col min="9478" max="9507" width="5" style="363" bestFit="1" customWidth="1"/>
    <col min="9508" max="9508" width="11.42578125" style="363" bestFit="1" customWidth="1"/>
    <col min="9509" max="9511" width="6.42578125" style="363" bestFit="1" customWidth="1"/>
    <col min="9512" max="9512" width="7.42578125" style="363" bestFit="1" customWidth="1"/>
    <col min="9513" max="9513" width="6.42578125" style="363" bestFit="1" customWidth="1"/>
    <col min="9514" max="9517" width="7.42578125" style="363" bestFit="1" customWidth="1"/>
    <col min="9518" max="9518" width="11.42578125" style="363" bestFit="1" customWidth="1"/>
    <col min="9519" max="9532" width="7.42578125" style="363" bestFit="1" customWidth="1"/>
    <col min="9533" max="9533" width="11.42578125" style="363" bestFit="1" customWidth="1"/>
    <col min="9534" max="9535" width="7.42578125" style="363" bestFit="1" customWidth="1"/>
    <col min="9536" max="9536" width="6.42578125" style="363" bestFit="1" customWidth="1"/>
    <col min="9537" max="9537" width="5" style="363" bestFit="1" customWidth="1"/>
    <col min="9538" max="9729" width="9.28515625" style="363"/>
    <col min="9730" max="9730" width="44" style="363" bestFit="1" customWidth="1"/>
    <col min="9731" max="9731" width="25.5703125" style="363" bestFit="1" customWidth="1"/>
    <col min="9732" max="9732" width="33.42578125" style="363" bestFit="1" customWidth="1"/>
    <col min="9733" max="9733" width="16.42578125" style="363" bestFit="1" customWidth="1"/>
    <col min="9734" max="9763" width="5" style="363" bestFit="1" customWidth="1"/>
    <col min="9764" max="9764" width="11.42578125" style="363" bestFit="1" customWidth="1"/>
    <col min="9765" max="9767" width="6.42578125" style="363" bestFit="1" customWidth="1"/>
    <col min="9768" max="9768" width="7.42578125" style="363" bestFit="1" customWidth="1"/>
    <col min="9769" max="9769" width="6.42578125" style="363" bestFit="1" customWidth="1"/>
    <col min="9770" max="9773" width="7.42578125" style="363" bestFit="1" customWidth="1"/>
    <col min="9774" max="9774" width="11.42578125" style="363" bestFit="1" customWidth="1"/>
    <col min="9775" max="9788" width="7.42578125" style="363" bestFit="1" customWidth="1"/>
    <col min="9789" max="9789" width="11.42578125" style="363" bestFit="1" customWidth="1"/>
    <col min="9790" max="9791" width="7.42578125" style="363" bestFit="1" customWidth="1"/>
    <col min="9792" max="9792" width="6.42578125" style="363" bestFit="1" customWidth="1"/>
    <col min="9793" max="9793" width="5" style="363" bestFit="1" customWidth="1"/>
    <col min="9794" max="9985" width="9.28515625" style="363"/>
    <col min="9986" max="9986" width="44" style="363" bestFit="1" customWidth="1"/>
    <col min="9987" max="9987" width="25.5703125" style="363" bestFit="1" customWidth="1"/>
    <col min="9988" max="9988" width="33.42578125" style="363" bestFit="1" customWidth="1"/>
    <col min="9989" max="9989" width="16.42578125" style="363" bestFit="1" customWidth="1"/>
    <col min="9990" max="10019" width="5" style="363" bestFit="1" customWidth="1"/>
    <col min="10020" max="10020" width="11.42578125" style="363" bestFit="1" customWidth="1"/>
    <col min="10021" max="10023" width="6.42578125" style="363" bestFit="1" customWidth="1"/>
    <col min="10024" max="10024" width="7.42578125" style="363" bestFit="1" customWidth="1"/>
    <col min="10025" max="10025" width="6.42578125" style="363" bestFit="1" customWidth="1"/>
    <col min="10026" max="10029" width="7.42578125" style="363" bestFit="1" customWidth="1"/>
    <col min="10030" max="10030" width="11.42578125" style="363" bestFit="1" customWidth="1"/>
    <col min="10031" max="10044" width="7.42578125" style="363" bestFit="1" customWidth="1"/>
    <col min="10045" max="10045" width="11.42578125" style="363" bestFit="1" customWidth="1"/>
    <col min="10046" max="10047" width="7.42578125" style="363" bestFit="1" customWidth="1"/>
    <col min="10048" max="10048" width="6.42578125" style="363" bestFit="1" customWidth="1"/>
    <col min="10049" max="10049" width="5" style="363" bestFit="1" customWidth="1"/>
    <col min="10050" max="10241" width="9.28515625" style="363"/>
    <col min="10242" max="10242" width="44" style="363" bestFit="1" customWidth="1"/>
    <col min="10243" max="10243" width="25.5703125" style="363" bestFit="1" customWidth="1"/>
    <col min="10244" max="10244" width="33.42578125" style="363" bestFit="1" customWidth="1"/>
    <col min="10245" max="10245" width="16.42578125" style="363" bestFit="1" customWidth="1"/>
    <col min="10246" max="10275" width="5" style="363" bestFit="1" customWidth="1"/>
    <col min="10276" max="10276" width="11.42578125" style="363" bestFit="1" customWidth="1"/>
    <col min="10277" max="10279" width="6.42578125" style="363" bestFit="1" customWidth="1"/>
    <col min="10280" max="10280" width="7.42578125" style="363" bestFit="1" customWidth="1"/>
    <col min="10281" max="10281" width="6.42578125" style="363" bestFit="1" customWidth="1"/>
    <col min="10282" max="10285" width="7.42578125" style="363" bestFit="1" customWidth="1"/>
    <col min="10286" max="10286" width="11.42578125" style="363" bestFit="1" customWidth="1"/>
    <col min="10287" max="10300" width="7.42578125" style="363" bestFit="1" customWidth="1"/>
    <col min="10301" max="10301" width="11.42578125" style="363" bestFit="1" customWidth="1"/>
    <col min="10302" max="10303" width="7.42578125" style="363" bestFit="1" customWidth="1"/>
    <col min="10304" max="10304" width="6.42578125" style="363" bestFit="1" customWidth="1"/>
    <col min="10305" max="10305" width="5" style="363" bestFit="1" customWidth="1"/>
    <col min="10306" max="10497" width="9.28515625" style="363"/>
    <col min="10498" max="10498" width="44" style="363" bestFit="1" customWidth="1"/>
    <col min="10499" max="10499" width="25.5703125" style="363" bestFit="1" customWidth="1"/>
    <col min="10500" max="10500" width="33.42578125" style="363" bestFit="1" customWidth="1"/>
    <col min="10501" max="10501" width="16.42578125" style="363" bestFit="1" customWidth="1"/>
    <col min="10502" max="10531" width="5" style="363" bestFit="1" customWidth="1"/>
    <col min="10532" max="10532" width="11.42578125" style="363" bestFit="1" customWidth="1"/>
    <col min="10533" max="10535" width="6.42578125" style="363" bestFit="1" customWidth="1"/>
    <col min="10536" max="10536" width="7.42578125" style="363" bestFit="1" customWidth="1"/>
    <col min="10537" max="10537" width="6.42578125" style="363" bestFit="1" customWidth="1"/>
    <col min="10538" max="10541" width="7.42578125" style="363" bestFit="1" customWidth="1"/>
    <col min="10542" max="10542" width="11.42578125" style="363" bestFit="1" customWidth="1"/>
    <col min="10543" max="10556" width="7.42578125" style="363" bestFit="1" customWidth="1"/>
    <col min="10557" max="10557" width="11.42578125" style="363" bestFit="1" customWidth="1"/>
    <col min="10558" max="10559" width="7.42578125" style="363" bestFit="1" customWidth="1"/>
    <col min="10560" max="10560" width="6.42578125" style="363" bestFit="1" customWidth="1"/>
    <col min="10561" max="10561" width="5" style="363" bestFit="1" customWidth="1"/>
    <col min="10562" max="10753" width="9.28515625" style="363"/>
    <col min="10754" max="10754" width="44" style="363" bestFit="1" customWidth="1"/>
    <col min="10755" max="10755" width="25.5703125" style="363" bestFit="1" customWidth="1"/>
    <col min="10756" max="10756" width="33.42578125" style="363" bestFit="1" customWidth="1"/>
    <col min="10757" max="10757" width="16.42578125" style="363" bestFit="1" customWidth="1"/>
    <col min="10758" max="10787" width="5" style="363" bestFit="1" customWidth="1"/>
    <col min="10788" max="10788" width="11.42578125" style="363" bestFit="1" customWidth="1"/>
    <col min="10789" max="10791" width="6.42578125" style="363" bestFit="1" customWidth="1"/>
    <col min="10792" max="10792" width="7.42578125" style="363" bestFit="1" customWidth="1"/>
    <col min="10793" max="10793" width="6.42578125" style="363" bestFit="1" customWidth="1"/>
    <col min="10794" max="10797" width="7.42578125" style="363" bestFit="1" customWidth="1"/>
    <col min="10798" max="10798" width="11.42578125" style="363" bestFit="1" customWidth="1"/>
    <col min="10799" max="10812" width="7.42578125" style="363" bestFit="1" customWidth="1"/>
    <col min="10813" max="10813" width="11.42578125" style="363" bestFit="1" customWidth="1"/>
    <col min="10814" max="10815" width="7.42578125" style="363" bestFit="1" customWidth="1"/>
    <col min="10816" max="10816" width="6.42578125" style="363" bestFit="1" customWidth="1"/>
    <col min="10817" max="10817" width="5" style="363" bestFit="1" customWidth="1"/>
    <col min="10818" max="11009" width="9.28515625" style="363"/>
    <col min="11010" max="11010" width="44" style="363" bestFit="1" customWidth="1"/>
    <col min="11011" max="11011" width="25.5703125" style="363" bestFit="1" customWidth="1"/>
    <col min="11012" max="11012" width="33.42578125" style="363" bestFit="1" customWidth="1"/>
    <col min="11013" max="11013" width="16.42578125" style="363" bestFit="1" customWidth="1"/>
    <col min="11014" max="11043" width="5" style="363" bestFit="1" customWidth="1"/>
    <col min="11044" max="11044" width="11.42578125" style="363" bestFit="1" customWidth="1"/>
    <col min="11045" max="11047" width="6.42578125" style="363" bestFit="1" customWidth="1"/>
    <col min="11048" max="11048" width="7.42578125" style="363" bestFit="1" customWidth="1"/>
    <col min="11049" max="11049" width="6.42578125" style="363" bestFit="1" customWidth="1"/>
    <col min="11050" max="11053" width="7.42578125" style="363" bestFit="1" customWidth="1"/>
    <col min="11054" max="11054" width="11.42578125" style="363" bestFit="1" customWidth="1"/>
    <col min="11055" max="11068" width="7.42578125" style="363" bestFit="1" customWidth="1"/>
    <col min="11069" max="11069" width="11.42578125" style="363" bestFit="1" customWidth="1"/>
    <col min="11070" max="11071" width="7.42578125" style="363" bestFit="1" customWidth="1"/>
    <col min="11072" max="11072" width="6.42578125" style="363" bestFit="1" customWidth="1"/>
    <col min="11073" max="11073" width="5" style="363" bestFit="1" customWidth="1"/>
    <col min="11074" max="11265" width="9.28515625" style="363"/>
    <col min="11266" max="11266" width="44" style="363" bestFit="1" customWidth="1"/>
    <col min="11267" max="11267" width="25.5703125" style="363" bestFit="1" customWidth="1"/>
    <col min="11268" max="11268" width="33.42578125" style="363" bestFit="1" customWidth="1"/>
    <col min="11269" max="11269" width="16.42578125" style="363" bestFit="1" customWidth="1"/>
    <col min="11270" max="11299" width="5" style="363" bestFit="1" customWidth="1"/>
    <col min="11300" max="11300" width="11.42578125" style="363" bestFit="1" customWidth="1"/>
    <col min="11301" max="11303" width="6.42578125" style="363" bestFit="1" customWidth="1"/>
    <col min="11304" max="11304" width="7.42578125" style="363" bestFit="1" customWidth="1"/>
    <col min="11305" max="11305" width="6.42578125" style="363" bestFit="1" customWidth="1"/>
    <col min="11306" max="11309" width="7.42578125" style="363" bestFit="1" customWidth="1"/>
    <col min="11310" max="11310" width="11.42578125" style="363" bestFit="1" customWidth="1"/>
    <col min="11311" max="11324" width="7.42578125" style="363" bestFit="1" customWidth="1"/>
    <col min="11325" max="11325" width="11.42578125" style="363" bestFit="1" customWidth="1"/>
    <col min="11326" max="11327" width="7.42578125" style="363" bestFit="1" customWidth="1"/>
    <col min="11328" max="11328" width="6.42578125" style="363" bestFit="1" customWidth="1"/>
    <col min="11329" max="11329" width="5" style="363" bestFit="1" customWidth="1"/>
    <col min="11330" max="11521" width="9.28515625" style="363"/>
    <col min="11522" max="11522" width="44" style="363" bestFit="1" customWidth="1"/>
    <col min="11523" max="11523" width="25.5703125" style="363" bestFit="1" customWidth="1"/>
    <col min="11524" max="11524" width="33.42578125" style="363" bestFit="1" customWidth="1"/>
    <col min="11525" max="11525" width="16.42578125" style="363" bestFit="1" customWidth="1"/>
    <col min="11526" max="11555" width="5" style="363" bestFit="1" customWidth="1"/>
    <col min="11556" max="11556" width="11.42578125" style="363" bestFit="1" customWidth="1"/>
    <col min="11557" max="11559" width="6.42578125" style="363" bestFit="1" customWidth="1"/>
    <col min="11560" max="11560" width="7.42578125" style="363" bestFit="1" customWidth="1"/>
    <col min="11561" max="11561" width="6.42578125" style="363" bestFit="1" customWidth="1"/>
    <col min="11562" max="11565" width="7.42578125" style="363" bestFit="1" customWidth="1"/>
    <col min="11566" max="11566" width="11.42578125" style="363" bestFit="1" customWidth="1"/>
    <col min="11567" max="11580" width="7.42578125" style="363" bestFit="1" customWidth="1"/>
    <col min="11581" max="11581" width="11.42578125" style="363" bestFit="1" customWidth="1"/>
    <col min="11582" max="11583" width="7.42578125" style="363" bestFit="1" customWidth="1"/>
    <col min="11584" max="11584" width="6.42578125" style="363" bestFit="1" customWidth="1"/>
    <col min="11585" max="11585" width="5" style="363" bestFit="1" customWidth="1"/>
    <col min="11586" max="11777" width="9.28515625" style="363"/>
    <col min="11778" max="11778" width="44" style="363" bestFit="1" customWidth="1"/>
    <col min="11779" max="11779" width="25.5703125" style="363" bestFit="1" customWidth="1"/>
    <col min="11780" max="11780" width="33.42578125" style="363" bestFit="1" customWidth="1"/>
    <col min="11781" max="11781" width="16.42578125" style="363" bestFit="1" customWidth="1"/>
    <col min="11782" max="11811" width="5" style="363" bestFit="1" customWidth="1"/>
    <col min="11812" max="11812" width="11.42578125" style="363" bestFit="1" customWidth="1"/>
    <col min="11813" max="11815" width="6.42578125" style="363" bestFit="1" customWidth="1"/>
    <col min="11816" max="11816" width="7.42578125" style="363" bestFit="1" customWidth="1"/>
    <col min="11817" max="11817" width="6.42578125" style="363" bestFit="1" customWidth="1"/>
    <col min="11818" max="11821" width="7.42578125" style="363" bestFit="1" customWidth="1"/>
    <col min="11822" max="11822" width="11.42578125" style="363" bestFit="1" customWidth="1"/>
    <col min="11823" max="11836" width="7.42578125" style="363" bestFit="1" customWidth="1"/>
    <col min="11837" max="11837" width="11.42578125" style="363" bestFit="1" customWidth="1"/>
    <col min="11838" max="11839" width="7.42578125" style="363" bestFit="1" customWidth="1"/>
    <col min="11840" max="11840" width="6.42578125" style="363" bestFit="1" customWidth="1"/>
    <col min="11841" max="11841" width="5" style="363" bestFit="1" customWidth="1"/>
    <col min="11842" max="12033" width="9.28515625" style="363"/>
    <col min="12034" max="12034" width="44" style="363" bestFit="1" customWidth="1"/>
    <col min="12035" max="12035" width="25.5703125" style="363" bestFit="1" customWidth="1"/>
    <col min="12036" max="12036" width="33.42578125" style="363" bestFit="1" customWidth="1"/>
    <col min="12037" max="12037" width="16.42578125" style="363" bestFit="1" customWidth="1"/>
    <col min="12038" max="12067" width="5" style="363" bestFit="1" customWidth="1"/>
    <col min="12068" max="12068" width="11.42578125" style="363" bestFit="1" customWidth="1"/>
    <col min="12069" max="12071" width="6.42578125" style="363" bestFit="1" customWidth="1"/>
    <col min="12072" max="12072" width="7.42578125" style="363" bestFit="1" customWidth="1"/>
    <col min="12073" max="12073" width="6.42578125" style="363" bestFit="1" customWidth="1"/>
    <col min="12074" max="12077" width="7.42578125" style="363" bestFit="1" customWidth="1"/>
    <col min="12078" max="12078" width="11.42578125" style="363" bestFit="1" customWidth="1"/>
    <col min="12079" max="12092" width="7.42578125" style="363" bestFit="1" customWidth="1"/>
    <col min="12093" max="12093" width="11.42578125" style="363" bestFit="1" customWidth="1"/>
    <col min="12094" max="12095" width="7.42578125" style="363" bestFit="1" customWidth="1"/>
    <col min="12096" max="12096" width="6.42578125" style="363" bestFit="1" customWidth="1"/>
    <col min="12097" max="12097" width="5" style="363" bestFit="1" customWidth="1"/>
    <col min="12098" max="12289" width="9.28515625" style="363"/>
    <col min="12290" max="12290" width="44" style="363" bestFit="1" customWidth="1"/>
    <col min="12291" max="12291" width="25.5703125" style="363" bestFit="1" customWidth="1"/>
    <col min="12292" max="12292" width="33.42578125" style="363" bestFit="1" customWidth="1"/>
    <col min="12293" max="12293" width="16.42578125" style="363" bestFit="1" customWidth="1"/>
    <col min="12294" max="12323" width="5" style="363" bestFit="1" customWidth="1"/>
    <col min="12324" max="12324" width="11.42578125" style="363" bestFit="1" customWidth="1"/>
    <col min="12325" max="12327" width="6.42578125" style="363" bestFit="1" customWidth="1"/>
    <col min="12328" max="12328" width="7.42578125" style="363" bestFit="1" customWidth="1"/>
    <col min="12329" max="12329" width="6.42578125" style="363" bestFit="1" customWidth="1"/>
    <col min="12330" max="12333" width="7.42578125" style="363" bestFit="1" customWidth="1"/>
    <col min="12334" max="12334" width="11.42578125" style="363" bestFit="1" customWidth="1"/>
    <col min="12335" max="12348" width="7.42578125" style="363" bestFit="1" customWidth="1"/>
    <col min="12349" max="12349" width="11.42578125" style="363" bestFit="1" customWidth="1"/>
    <col min="12350" max="12351" width="7.42578125" style="363" bestFit="1" customWidth="1"/>
    <col min="12352" max="12352" width="6.42578125" style="363" bestFit="1" customWidth="1"/>
    <col min="12353" max="12353" width="5" style="363" bestFit="1" customWidth="1"/>
    <col min="12354" max="12545" width="9.28515625" style="363"/>
    <col min="12546" max="12546" width="44" style="363" bestFit="1" customWidth="1"/>
    <col min="12547" max="12547" width="25.5703125" style="363" bestFit="1" customWidth="1"/>
    <col min="12548" max="12548" width="33.42578125" style="363" bestFit="1" customWidth="1"/>
    <col min="12549" max="12549" width="16.42578125" style="363" bestFit="1" customWidth="1"/>
    <col min="12550" max="12579" width="5" style="363" bestFit="1" customWidth="1"/>
    <col min="12580" max="12580" width="11.42578125" style="363" bestFit="1" customWidth="1"/>
    <col min="12581" max="12583" width="6.42578125" style="363" bestFit="1" customWidth="1"/>
    <col min="12584" max="12584" width="7.42578125" style="363" bestFit="1" customWidth="1"/>
    <col min="12585" max="12585" width="6.42578125" style="363" bestFit="1" customWidth="1"/>
    <col min="12586" max="12589" width="7.42578125" style="363" bestFit="1" customWidth="1"/>
    <col min="12590" max="12590" width="11.42578125" style="363" bestFit="1" customWidth="1"/>
    <col min="12591" max="12604" width="7.42578125" style="363" bestFit="1" customWidth="1"/>
    <col min="12605" max="12605" width="11.42578125" style="363" bestFit="1" customWidth="1"/>
    <col min="12606" max="12607" width="7.42578125" style="363" bestFit="1" customWidth="1"/>
    <col min="12608" max="12608" width="6.42578125" style="363" bestFit="1" customWidth="1"/>
    <col min="12609" max="12609" width="5" style="363" bestFit="1" customWidth="1"/>
    <col min="12610" max="12801" width="9.28515625" style="363"/>
    <col min="12802" max="12802" width="44" style="363" bestFit="1" customWidth="1"/>
    <col min="12803" max="12803" width="25.5703125" style="363" bestFit="1" customWidth="1"/>
    <col min="12804" max="12804" width="33.42578125" style="363" bestFit="1" customWidth="1"/>
    <col min="12805" max="12805" width="16.42578125" style="363" bestFit="1" customWidth="1"/>
    <col min="12806" max="12835" width="5" style="363" bestFit="1" customWidth="1"/>
    <col min="12836" max="12836" width="11.42578125" style="363" bestFit="1" customWidth="1"/>
    <col min="12837" max="12839" width="6.42578125" style="363" bestFit="1" customWidth="1"/>
    <col min="12840" max="12840" width="7.42578125" style="363" bestFit="1" customWidth="1"/>
    <col min="12841" max="12841" width="6.42578125" style="363" bestFit="1" customWidth="1"/>
    <col min="12842" max="12845" width="7.42578125" style="363" bestFit="1" customWidth="1"/>
    <col min="12846" max="12846" width="11.42578125" style="363" bestFit="1" customWidth="1"/>
    <col min="12847" max="12860" width="7.42578125" style="363" bestFit="1" customWidth="1"/>
    <col min="12861" max="12861" width="11.42578125" style="363" bestFit="1" customWidth="1"/>
    <col min="12862" max="12863" width="7.42578125" style="363" bestFit="1" customWidth="1"/>
    <col min="12864" max="12864" width="6.42578125" style="363" bestFit="1" customWidth="1"/>
    <col min="12865" max="12865" width="5" style="363" bestFit="1" customWidth="1"/>
    <col min="12866" max="13057" width="9.28515625" style="363"/>
    <col min="13058" max="13058" width="44" style="363" bestFit="1" customWidth="1"/>
    <col min="13059" max="13059" width="25.5703125" style="363" bestFit="1" customWidth="1"/>
    <col min="13060" max="13060" width="33.42578125" style="363" bestFit="1" customWidth="1"/>
    <col min="13061" max="13061" width="16.42578125" style="363" bestFit="1" customWidth="1"/>
    <col min="13062" max="13091" width="5" style="363" bestFit="1" customWidth="1"/>
    <col min="13092" max="13092" width="11.42578125" style="363" bestFit="1" customWidth="1"/>
    <col min="13093" max="13095" width="6.42578125" style="363" bestFit="1" customWidth="1"/>
    <col min="13096" max="13096" width="7.42578125" style="363" bestFit="1" customWidth="1"/>
    <col min="13097" max="13097" width="6.42578125" style="363" bestFit="1" customWidth="1"/>
    <col min="13098" max="13101" width="7.42578125" style="363" bestFit="1" customWidth="1"/>
    <col min="13102" max="13102" width="11.42578125" style="363" bestFit="1" customWidth="1"/>
    <col min="13103" max="13116" width="7.42578125" style="363" bestFit="1" customWidth="1"/>
    <col min="13117" max="13117" width="11.42578125" style="363" bestFit="1" customWidth="1"/>
    <col min="13118" max="13119" width="7.42578125" style="363" bestFit="1" customWidth="1"/>
    <col min="13120" max="13120" width="6.42578125" style="363" bestFit="1" customWidth="1"/>
    <col min="13121" max="13121" width="5" style="363" bestFit="1" customWidth="1"/>
    <col min="13122" max="13313" width="9.28515625" style="363"/>
    <col min="13314" max="13314" width="44" style="363" bestFit="1" customWidth="1"/>
    <col min="13315" max="13315" width="25.5703125" style="363" bestFit="1" customWidth="1"/>
    <col min="13316" max="13316" width="33.42578125" style="363" bestFit="1" customWidth="1"/>
    <col min="13317" max="13317" width="16.42578125" style="363" bestFit="1" customWidth="1"/>
    <col min="13318" max="13347" width="5" style="363" bestFit="1" customWidth="1"/>
    <col min="13348" max="13348" width="11.42578125" style="363" bestFit="1" customWidth="1"/>
    <col min="13349" max="13351" width="6.42578125" style="363" bestFit="1" customWidth="1"/>
    <col min="13352" max="13352" width="7.42578125" style="363" bestFit="1" customWidth="1"/>
    <col min="13353" max="13353" width="6.42578125" style="363" bestFit="1" customWidth="1"/>
    <col min="13354" max="13357" width="7.42578125" style="363" bestFit="1" customWidth="1"/>
    <col min="13358" max="13358" width="11.42578125" style="363" bestFit="1" customWidth="1"/>
    <col min="13359" max="13372" width="7.42578125" style="363" bestFit="1" customWidth="1"/>
    <col min="13373" max="13373" width="11.42578125" style="363" bestFit="1" customWidth="1"/>
    <col min="13374" max="13375" width="7.42578125" style="363" bestFit="1" customWidth="1"/>
    <col min="13376" max="13376" width="6.42578125" style="363" bestFit="1" customWidth="1"/>
    <col min="13377" max="13377" width="5" style="363" bestFit="1" customWidth="1"/>
    <col min="13378" max="13569" width="9.28515625" style="363"/>
    <col min="13570" max="13570" width="44" style="363" bestFit="1" customWidth="1"/>
    <col min="13571" max="13571" width="25.5703125" style="363" bestFit="1" customWidth="1"/>
    <col min="13572" max="13572" width="33.42578125" style="363" bestFit="1" customWidth="1"/>
    <col min="13573" max="13573" width="16.42578125" style="363" bestFit="1" customWidth="1"/>
    <col min="13574" max="13603" width="5" style="363" bestFit="1" customWidth="1"/>
    <col min="13604" max="13604" width="11.42578125" style="363" bestFit="1" customWidth="1"/>
    <col min="13605" max="13607" width="6.42578125" style="363" bestFit="1" customWidth="1"/>
    <col min="13608" max="13608" width="7.42578125" style="363" bestFit="1" customWidth="1"/>
    <col min="13609" max="13609" width="6.42578125" style="363" bestFit="1" customWidth="1"/>
    <col min="13610" max="13613" width="7.42578125" style="363" bestFit="1" customWidth="1"/>
    <col min="13614" max="13614" width="11.42578125" style="363" bestFit="1" customWidth="1"/>
    <col min="13615" max="13628" width="7.42578125" style="363" bestFit="1" customWidth="1"/>
    <col min="13629" max="13629" width="11.42578125" style="363" bestFit="1" customWidth="1"/>
    <col min="13630" max="13631" width="7.42578125" style="363" bestFit="1" customWidth="1"/>
    <col min="13632" max="13632" width="6.42578125" style="363" bestFit="1" customWidth="1"/>
    <col min="13633" max="13633" width="5" style="363" bestFit="1" customWidth="1"/>
    <col min="13634" max="13825" width="9.28515625" style="363"/>
    <col min="13826" max="13826" width="44" style="363" bestFit="1" customWidth="1"/>
    <col min="13827" max="13827" width="25.5703125" style="363" bestFit="1" customWidth="1"/>
    <col min="13828" max="13828" width="33.42578125" style="363" bestFit="1" customWidth="1"/>
    <col min="13829" max="13829" width="16.42578125" style="363" bestFit="1" customWidth="1"/>
    <col min="13830" max="13859" width="5" style="363" bestFit="1" customWidth="1"/>
    <col min="13860" max="13860" width="11.42578125" style="363" bestFit="1" customWidth="1"/>
    <col min="13861" max="13863" width="6.42578125" style="363" bestFit="1" customWidth="1"/>
    <col min="13864" max="13864" width="7.42578125" style="363" bestFit="1" customWidth="1"/>
    <col min="13865" max="13865" width="6.42578125" style="363" bestFit="1" customWidth="1"/>
    <col min="13866" max="13869" width="7.42578125" style="363" bestFit="1" customWidth="1"/>
    <col min="13870" max="13870" width="11.42578125" style="363" bestFit="1" customWidth="1"/>
    <col min="13871" max="13884" width="7.42578125" style="363" bestFit="1" customWidth="1"/>
    <col min="13885" max="13885" width="11.42578125" style="363" bestFit="1" customWidth="1"/>
    <col min="13886" max="13887" width="7.42578125" style="363" bestFit="1" customWidth="1"/>
    <col min="13888" max="13888" width="6.42578125" style="363" bestFit="1" customWidth="1"/>
    <col min="13889" max="13889" width="5" style="363" bestFit="1" customWidth="1"/>
    <col min="13890" max="14081" width="9.28515625" style="363"/>
    <col min="14082" max="14082" width="44" style="363" bestFit="1" customWidth="1"/>
    <col min="14083" max="14083" width="25.5703125" style="363" bestFit="1" customWidth="1"/>
    <col min="14084" max="14084" width="33.42578125" style="363" bestFit="1" customWidth="1"/>
    <col min="14085" max="14085" width="16.42578125" style="363" bestFit="1" customWidth="1"/>
    <col min="14086" max="14115" width="5" style="363" bestFit="1" customWidth="1"/>
    <col min="14116" max="14116" width="11.42578125" style="363" bestFit="1" customWidth="1"/>
    <col min="14117" max="14119" width="6.42578125" style="363" bestFit="1" customWidth="1"/>
    <col min="14120" max="14120" width="7.42578125" style="363" bestFit="1" customWidth="1"/>
    <col min="14121" max="14121" width="6.42578125" style="363" bestFit="1" customWidth="1"/>
    <col min="14122" max="14125" width="7.42578125" style="363" bestFit="1" customWidth="1"/>
    <col min="14126" max="14126" width="11.42578125" style="363" bestFit="1" customWidth="1"/>
    <col min="14127" max="14140" width="7.42578125" style="363" bestFit="1" customWidth="1"/>
    <col min="14141" max="14141" width="11.42578125" style="363" bestFit="1" customWidth="1"/>
    <col min="14142" max="14143" width="7.42578125" style="363" bestFit="1" customWidth="1"/>
    <col min="14144" max="14144" width="6.42578125" style="363" bestFit="1" customWidth="1"/>
    <col min="14145" max="14145" width="5" style="363" bestFit="1" customWidth="1"/>
    <col min="14146" max="14337" width="9.28515625" style="363"/>
    <col min="14338" max="14338" width="44" style="363" bestFit="1" customWidth="1"/>
    <col min="14339" max="14339" width="25.5703125" style="363" bestFit="1" customWidth="1"/>
    <col min="14340" max="14340" width="33.42578125" style="363" bestFit="1" customWidth="1"/>
    <col min="14341" max="14341" width="16.42578125" style="363" bestFit="1" customWidth="1"/>
    <col min="14342" max="14371" width="5" style="363" bestFit="1" customWidth="1"/>
    <col min="14372" max="14372" width="11.42578125" style="363" bestFit="1" customWidth="1"/>
    <col min="14373" max="14375" width="6.42578125" style="363" bestFit="1" customWidth="1"/>
    <col min="14376" max="14376" width="7.42578125" style="363" bestFit="1" customWidth="1"/>
    <col min="14377" max="14377" width="6.42578125" style="363" bestFit="1" customWidth="1"/>
    <col min="14378" max="14381" width="7.42578125" style="363" bestFit="1" customWidth="1"/>
    <col min="14382" max="14382" width="11.42578125" style="363" bestFit="1" customWidth="1"/>
    <col min="14383" max="14396" width="7.42578125" style="363" bestFit="1" customWidth="1"/>
    <col min="14397" max="14397" width="11.42578125" style="363" bestFit="1" customWidth="1"/>
    <col min="14398" max="14399" width="7.42578125" style="363" bestFit="1" customWidth="1"/>
    <col min="14400" max="14400" width="6.42578125" style="363" bestFit="1" customWidth="1"/>
    <col min="14401" max="14401" width="5" style="363" bestFit="1" customWidth="1"/>
    <col min="14402" max="14593" width="9.28515625" style="363"/>
    <col min="14594" max="14594" width="44" style="363" bestFit="1" customWidth="1"/>
    <col min="14595" max="14595" width="25.5703125" style="363" bestFit="1" customWidth="1"/>
    <col min="14596" max="14596" width="33.42578125" style="363" bestFit="1" customWidth="1"/>
    <col min="14597" max="14597" width="16.42578125" style="363" bestFit="1" customWidth="1"/>
    <col min="14598" max="14627" width="5" style="363" bestFit="1" customWidth="1"/>
    <col min="14628" max="14628" width="11.42578125" style="363" bestFit="1" customWidth="1"/>
    <col min="14629" max="14631" width="6.42578125" style="363" bestFit="1" customWidth="1"/>
    <col min="14632" max="14632" width="7.42578125" style="363" bestFit="1" customWidth="1"/>
    <col min="14633" max="14633" width="6.42578125" style="363" bestFit="1" customWidth="1"/>
    <col min="14634" max="14637" width="7.42578125" style="363" bestFit="1" customWidth="1"/>
    <col min="14638" max="14638" width="11.42578125" style="363" bestFit="1" customWidth="1"/>
    <col min="14639" max="14652" width="7.42578125" style="363" bestFit="1" customWidth="1"/>
    <col min="14653" max="14653" width="11.42578125" style="363" bestFit="1" customWidth="1"/>
    <col min="14654" max="14655" width="7.42578125" style="363" bestFit="1" customWidth="1"/>
    <col min="14656" max="14656" width="6.42578125" style="363" bestFit="1" customWidth="1"/>
    <col min="14657" max="14657" width="5" style="363" bestFit="1" customWidth="1"/>
    <col min="14658" max="14849" width="9.28515625" style="363"/>
    <col min="14850" max="14850" width="44" style="363" bestFit="1" customWidth="1"/>
    <col min="14851" max="14851" width="25.5703125" style="363" bestFit="1" customWidth="1"/>
    <col min="14852" max="14852" width="33.42578125" style="363" bestFit="1" customWidth="1"/>
    <col min="14853" max="14853" width="16.42578125" style="363" bestFit="1" customWidth="1"/>
    <col min="14854" max="14883" width="5" style="363" bestFit="1" customWidth="1"/>
    <col min="14884" max="14884" width="11.42578125" style="363" bestFit="1" customWidth="1"/>
    <col min="14885" max="14887" width="6.42578125" style="363" bestFit="1" customWidth="1"/>
    <col min="14888" max="14888" width="7.42578125" style="363" bestFit="1" customWidth="1"/>
    <col min="14889" max="14889" width="6.42578125" style="363" bestFit="1" customWidth="1"/>
    <col min="14890" max="14893" width="7.42578125" style="363" bestFit="1" customWidth="1"/>
    <col min="14894" max="14894" width="11.42578125" style="363" bestFit="1" customWidth="1"/>
    <col min="14895" max="14908" width="7.42578125" style="363" bestFit="1" customWidth="1"/>
    <col min="14909" max="14909" width="11.42578125" style="363" bestFit="1" customWidth="1"/>
    <col min="14910" max="14911" width="7.42578125" style="363" bestFit="1" customWidth="1"/>
    <col min="14912" max="14912" width="6.42578125" style="363" bestFit="1" customWidth="1"/>
    <col min="14913" max="14913" width="5" style="363" bestFit="1" customWidth="1"/>
    <col min="14914" max="15105" width="9.28515625" style="363"/>
    <col min="15106" max="15106" width="44" style="363" bestFit="1" customWidth="1"/>
    <col min="15107" max="15107" width="25.5703125" style="363" bestFit="1" customWidth="1"/>
    <col min="15108" max="15108" width="33.42578125" style="363" bestFit="1" customWidth="1"/>
    <col min="15109" max="15109" width="16.42578125" style="363" bestFit="1" customWidth="1"/>
    <col min="15110" max="15139" width="5" style="363" bestFit="1" customWidth="1"/>
    <col min="15140" max="15140" width="11.42578125" style="363" bestFit="1" customWidth="1"/>
    <col min="15141" max="15143" width="6.42578125" style="363" bestFit="1" customWidth="1"/>
    <col min="15144" max="15144" width="7.42578125" style="363" bestFit="1" customWidth="1"/>
    <col min="15145" max="15145" width="6.42578125" style="363" bestFit="1" customWidth="1"/>
    <col min="15146" max="15149" width="7.42578125" style="363" bestFit="1" customWidth="1"/>
    <col min="15150" max="15150" width="11.42578125" style="363" bestFit="1" customWidth="1"/>
    <col min="15151" max="15164" width="7.42578125" style="363" bestFit="1" customWidth="1"/>
    <col min="15165" max="15165" width="11.42578125" style="363" bestFit="1" customWidth="1"/>
    <col min="15166" max="15167" width="7.42578125" style="363" bestFit="1" customWidth="1"/>
    <col min="15168" max="15168" width="6.42578125" style="363" bestFit="1" customWidth="1"/>
    <col min="15169" max="15169" width="5" style="363" bestFit="1" customWidth="1"/>
    <col min="15170" max="15361" width="9.28515625" style="363"/>
    <col min="15362" max="15362" width="44" style="363" bestFit="1" customWidth="1"/>
    <col min="15363" max="15363" width="25.5703125" style="363" bestFit="1" customWidth="1"/>
    <col min="15364" max="15364" width="33.42578125" style="363" bestFit="1" customWidth="1"/>
    <col min="15365" max="15365" width="16.42578125" style="363" bestFit="1" customWidth="1"/>
    <col min="15366" max="15395" width="5" style="363" bestFit="1" customWidth="1"/>
    <col min="15396" max="15396" width="11.42578125" style="363" bestFit="1" customWidth="1"/>
    <col min="15397" max="15399" width="6.42578125" style="363" bestFit="1" customWidth="1"/>
    <col min="15400" max="15400" width="7.42578125" style="363" bestFit="1" customWidth="1"/>
    <col min="15401" max="15401" width="6.42578125" style="363" bestFit="1" customWidth="1"/>
    <col min="15402" max="15405" width="7.42578125" style="363" bestFit="1" customWidth="1"/>
    <col min="15406" max="15406" width="11.42578125" style="363" bestFit="1" customWidth="1"/>
    <col min="15407" max="15420" width="7.42578125" style="363" bestFit="1" customWidth="1"/>
    <col min="15421" max="15421" width="11.42578125" style="363" bestFit="1" customWidth="1"/>
    <col min="15422" max="15423" width="7.42578125" style="363" bestFit="1" customWidth="1"/>
    <col min="15424" max="15424" width="6.42578125" style="363" bestFit="1" customWidth="1"/>
    <col min="15425" max="15425" width="5" style="363" bestFit="1" customWidth="1"/>
    <col min="15426" max="15617" width="9.28515625" style="363"/>
    <col min="15618" max="15618" width="44" style="363" bestFit="1" customWidth="1"/>
    <col min="15619" max="15619" width="25.5703125" style="363" bestFit="1" customWidth="1"/>
    <col min="15620" max="15620" width="33.42578125" style="363" bestFit="1" customWidth="1"/>
    <col min="15621" max="15621" width="16.42578125" style="363" bestFit="1" customWidth="1"/>
    <col min="15622" max="15651" width="5" style="363" bestFit="1" customWidth="1"/>
    <col min="15652" max="15652" width="11.42578125" style="363" bestFit="1" customWidth="1"/>
    <col min="15653" max="15655" width="6.42578125" style="363" bestFit="1" customWidth="1"/>
    <col min="15656" max="15656" width="7.42578125" style="363" bestFit="1" customWidth="1"/>
    <col min="15657" max="15657" width="6.42578125" style="363" bestFit="1" customWidth="1"/>
    <col min="15658" max="15661" width="7.42578125" style="363" bestFit="1" customWidth="1"/>
    <col min="15662" max="15662" width="11.42578125" style="363" bestFit="1" customWidth="1"/>
    <col min="15663" max="15676" width="7.42578125" style="363" bestFit="1" customWidth="1"/>
    <col min="15677" max="15677" width="11.42578125" style="363" bestFit="1" customWidth="1"/>
    <col min="15678" max="15679" width="7.42578125" style="363" bestFit="1" customWidth="1"/>
    <col min="15680" max="15680" width="6.42578125" style="363" bestFit="1" customWidth="1"/>
    <col min="15681" max="15681" width="5" style="363" bestFit="1" customWidth="1"/>
    <col min="15682" max="15873" width="9.28515625" style="363"/>
    <col min="15874" max="15874" width="44" style="363" bestFit="1" customWidth="1"/>
    <col min="15875" max="15875" width="25.5703125" style="363" bestFit="1" customWidth="1"/>
    <col min="15876" max="15876" width="33.42578125" style="363" bestFit="1" customWidth="1"/>
    <col min="15877" max="15877" width="16.42578125" style="363" bestFit="1" customWidth="1"/>
    <col min="15878" max="15907" width="5" style="363" bestFit="1" customWidth="1"/>
    <col min="15908" max="15908" width="11.42578125" style="363" bestFit="1" customWidth="1"/>
    <col min="15909" max="15911" width="6.42578125" style="363" bestFit="1" customWidth="1"/>
    <col min="15912" max="15912" width="7.42578125" style="363" bestFit="1" customWidth="1"/>
    <col min="15913" max="15913" width="6.42578125" style="363" bestFit="1" customWidth="1"/>
    <col min="15914" max="15917" width="7.42578125" style="363" bestFit="1" customWidth="1"/>
    <col min="15918" max="15918" width="11.42578125" style="363" bestFit="1" customWidth="1"/>
    <col min="15919" max="15932" width="7.42578125" style="363" bestFit="1" customWidth="1"/>
    <col min="15933" max="15933" width="11.42578125" style="363" bestFit="1" customWidth="1"/>
    <col min="15934" max="15935" width="7.42578125" style="363" bestFit="1" customWidth="1"/>
    <col min="15936" max="15936" width="6.42578125" style="363" bestFit="1" customWidth="1"/>
    <col min="15937" max="15937" width="5" style="363" bestFit="1" customWidth="1"/>
    <col min="15938" max="16129" width="9.28515625" style="363"/>
    <col min="16130" max="16130" width="44" style="363" bestFit="1" customWidth="1"/>
    <col min="16131" max="16131" width="25.5703125" style="363" bestFit="1" customWidth="1"/>
    <col min="16132" max="16132" width="33.42578125" style="363" bestFit="1" customWidth="1"/>
    <col min="16133" max="16133" width="16.42578125" style="363" bestFit="1" customWidth="1"/>
    <col min="16134" max="16163" width="5" style="363" bestFit="1" customWidth="1"/>
    <col min="16164" max="16164" width="11.42578125" style="363" bestFit="1" customWidth="1"/>
    <col min="16165" max="16167" width="6.42578125" style="363" bestFit="1" customWidth="1"/>
    <col min="16168" max="16168" width="7.42578125" style="363" bestFit="1" customWidth="1"/>
    <col min="16169" max="16169" width="6.42578125" style="363" bestFit="1" customWidth="1"/>
    <col min="16170" max="16173" width="7.42578125" style="363" bestFit="1" customWidth="1"/>
    <col min="16174" max="16174" width="11.42578125" style="363" bestFit="1" customWidth="1"/>
    <col min="16175" max="16188" width="7.42578125" style="363" bestFit="1" customWidth="1"/>
    <col min="16189" max="16189" width="11.42578125" style="363" bestFit="1" customWidth="1"/>
    <col min="16190" max="16191" width="7.42578125" style="363" bestFit="1" customWidth="1"/>
    <col min="16192" max="16192" width="6.42578125" style="363" bestFit="1" customWidth="1"/>
    <col min="16193" max="16193" width="5" style="363" bestFit="1" customWidth="1"/>
    <col min="16194" max="16384" width="9.28515625" style="363"/>
  </cols>
  <sheetData>
    <row r="2" spans="2:67" s="73" customFormat="1" ht="18.75" x14ac:dyDescent="0.3">
      <c r="B2" s="73" t="s">
        <v>1194</v>
      </c>
      <c r="E2" s="74"/>
      <c r="F2" s="74"/>
      <c r="G2" s="74"/>
    </row>
    <row r="3" spans="2:67" s="75" customFormat="1" x14ac:dyDescent="0.25">
      <c r="B3" s="75" t="s">
        <v>1234</v>
      </c>
      <c r="E3" s="76"/>
      <c r="F3" s="76"/>
      <c r="G3" s="76"/>
    </row>
    <row r="4" spans="2:67" s="16" customFormat="1" x14ac:dyDescent="0.25">
      <c r="B4" s="16" t="s">
        <v>1233</v>
      </c>
      <c r="E4" s="345"/>
      <c r="F4" s="345"/>
      <c r="G4" s="345"/>
    </row>
    <row r="5" spans="2:67" s="8" customFormat="1" x14ac:dyDescent="0.25">
      <c r="E5" s="360"/>
      <c r="F5" s="360"/>
      <c r="G5" s="360"/>
    </row>
    <row r="6" spans="2:67" s="138" customFormat="1" x14ac:dyDescent="0.25">
      <c r="B6" s="138" t="s">
        <v>903</v>
      </c>
      <c r="C6" s="367">
        <v>43819</v>
      </c>
    </row>
    <row r="8" spans="2:67" x14ac:dyDescent="0.25">
      <c r="B8" s="366" t="s">
        <v>683</v>
      </c>
      <c r="C8" s="366" t="s">
        <v>684</v>
      </c>
      <c r="D8" s="366" t="s">
        <v>904</v>
      </c>
      <c r="E8" s="366" t="s">
        <v>905</v>
      </c>
      <c r="F8" s="366">
        <v>1960</v>
      </c>
      <c r="G8" s="366">
        <v>1961</v>
      </c>
      <c r="H8" s="366">
        <v>1962</v>
      </c>
      <c r="I8" s="366">
        <v>1963</v>
      </c>
      <c r="J8" s="366">
        <v>1964</v>
      </c>
      <c r="K8" s="366">
        <v>1965</v>
      </c>
      <c r="L8" s="366">
        <v>1966</v>
      </c>
      <c r="M8" s="366">
        <v>1967</v>
      </c>
      <c r="N8" s="366">
        <v>1968</v>
      </c>
      <c r="O8" s="366">
        <v>1969</v>
      </c>
      <c r="P8" s="366">
        <v>1970</v>
      </c>
      <c r="Q8" s="366">
        <v>1971</v>
      </c>
      <c r="R8" s="366">
        <v>1972</v>
      </c>
      <c r="S8" s="366">
        <v>1973</v>
      </c>
      <c r="T8" s="366">
        <v>1974</v>
      </c>
      <c r="U8" s="366">
        <v>1975</v>
      </c>
      <c r="V8" s="366">
        <v>1976</v>
      </c>
      <c r="W8" s="366">
        <v>1977</v>
      </c>
      <c r="X8" s="366">
        <v>1978</v>
      </c>
      <c r="Y8" s="366">
        <v>1979</v>
      </c>
      <c r="Z8" s="366">
        <v>1980</v>
      </c>
      <c r="AA8" s="366">
        <v>1981</v>
      </c>
      <c r="AB8" s="366">
        <v>1982</v>
      </c>
      <c r="AC8" s="366">
        <v>1983</v>
      </c>
      <c r="AD8" s="366">
        <v>1984</v>
      </c>
      <c r="AE8" s="366">
        <v>1985</v>
      </c>
      <c r="AF8" s="366">
        <v>1986</v>
      </c>
      <c r="AG8" s="366">
        <v>1987</v>
      </c>
      <c r="AH8" s="366">
        <v>1988</v>
      </c>
      <c r="AI8" s="366">
        <v>1989</v>
      </c>
      <c r="AJ8" s="366">
        <v>1990</v>
      </c>
      <c r="AK8" s="366">
        <v>1991</v>
      </c>
      <c r="AL8" s="366">
        <v>1992</v>
      </c>
      <c r="AM8" s="366">
        <v>1993</v>
      </c>
      <c r="AN8" s="366">
        <v>1994</v>
      </c>
      <c r="AO8" s="366">
        <v>1995</v>
      </c>
      <c r="AP8" s="366">
        <v>1996</v>
      </c>
      <c r="AQ8" s="366">
        <v>1997</v>
      </c>
      <c r="AR8" s="366">
        <v>1998</v>
      </c>
      <c r="AS8" s="366">
        <v>1999</v>
      </c>
      <c r="AT8" s="366">
        <v>2000</v>
      </c>
      <c r="AU8" s="366">
        <v>2001</v>
      </c>
      <c r="AV8" s="366">
        <v>2002</v>
      </c>
      <c r="AW8" s="366">
        <v>2003</v>
      </c>
      <c r="AX8" s="366">
        <v>2004</v>
      </c>
      <c r="AY8" s="366">
        <v>2005</v>
      </c>
      <c r="AZ8" s="366">
        <v>2006</v>
      </c>
      <c r="BA8" s="366">
        <v>2007</v>
      </c>
      <c r="BB8" s="366">
        <v>2008</v>
      </c>
      <c r="BC8" s="366">
        <v>2009</v>
      </c>
      <c r="BD8" s="366">
        <v>2010</v>
      </c>
      <c r="BE8" s="366">
        <v>2011</v>
      </c>
      <c r="BF8" s="366">
        <v>2012</v>
      </c>
      <c r="BG8" s="366">
        <v>2013</v>
      </c>
      <c r="BH8" s="366">
        <v>2014</v>
      </c>
      <c r="BI8" s="366">
        <v>2015</v>
      </c>
      <c r="BJ8" s="366">
        <v>2016</v>
      </c>
      <c r="BK8" s="366">
        <v>2017</v>
      </c>
      <c r="BL8" s="366">
        <v>2018</v>
      </c>
      <c r="BM8" s="366">
        <v>2019</v>
      </c>
      <c r="BN8" s="365" t="s">
        <v>1227</v>
      </c>
      <c r="BO8" s="365" t="s">
        <v>1192</v>
      </c>
    </row>
    <row r="9" spans="2:67" x14ac:dyDescent="0.25">
      <c r="B9" s="363" t="s">
        <v>429</v>
      </c>
      <c r="C9" s="363" t="s">
        <v>430</v>
      </c>
      <c r="D9" s="363" t="s">
        <v>1232</v>
      </c>
      <c r="E9" s="363" t="s">
        <v>1231</v>
      </c>
      <c r="BN9" s="364" t="str">
        <f t="shared" ref="BN9:BN72" si="0">IFERROR(LOOKUP(2,1/(ISNUMBER(F9:BM9)),F9:BM9),"No reported value")</f>
        <v>No reported value</v>
      </c>
      <c r="BO9" s="363" t="str">
        <f t="shared" ref="BO9:BO72" si="1">IFERROR(INDEX($F$8:$BM$8,1,MATCH($BN9,$F9:$BM9,0)),"No reported value")</f>
        <v>No reported value</v>
      </c>
    </row>
    <row r="10" spans="2:67" x14ac:dyDescent="0.25">
      <c r="B10" s="363" t="s">
        <v>230</v>
      </c>
      <c r="C10" s="363" t="s">
        <v>0</v>
      </c>
      <c r="D10" s="363" t="s">
        <v>1232</v>
      </c>
      <c r="E10" s="363" t="s">
        <v>1231</v>
      </c>
      <c r="AY10" s="363">
        <v>0.59550000000000003</v>
      </c>
      <c r="AZ10" s="363">
        <v>0.44919999999999999</v>
      </c>
      <c r="BA10" s="363">
        <v>0.50460000000000005</v>
      </c>
      <c r="BB10" s="363">
        <v>0.50490000000000002</v>
      </c>
      <c r="BC10" s="363">
        <v>0.61619999999999997</v>
      </c>
      <c r="BH10" s="363">
        <v>0.32</v>
      </c>
      <c r="BN10" s="364">
        <f t="shared" si="0"/>
        <v>0.32</v>
      </c>
      <c r="BO10" s="363">
        <f t="shared" si="1"/>
        <v>2014</v>
      </c>
    </row>
    <row r="11" spans="2:67" x14ac:dyDescent="0.25">
      <c r="B11" s="363" t="s">
        <v>182</v>
      </c>
      <c r="C11" s="363" t="s">
        <v>165</v>
      </c>
      <c r="D11" s="363" t="s">
        <v>1232</v>
      </c>
      <c r="E11" s="363" t="s">
        <v>1231</v>
      </c>
      <c r="AQ11" s="363">
        <v>0.90310000000000001</v>
      </c>
      <c r="AX11" s="363">
        <v>0.9798</v>
      </c>
      <c r="BC11" s="363">
        <v>1.3123</v>
      </c>
      <c r="BN11" s="364">
        <f t="shared" si="0"/>
        <v>1.3123</v>
      </c>
      <c r="BO11" s="363">
        <f t="shared" si="1"/>
        <v>2009</v>
      </c>
    </row>
    <row r="12" spans="2:67" x14ac:dyDescent="0.25">
      <c r="B12" s="363" t="s">
        <v>418</v>
      </c>
      <c r="C12" s="363" t="s">
        <v>419</v>
      </c>
      <c r="D12" s="363" t="s">
        <v>1232</v>
      </c>
      <c r="E12" s="363" t="s">
        <v>1231</v>
      </c>
      <c r="AN12" s="363">
        <v>5.1609999999999996</v>
      </c>
      <c r="BA12" s="363">
        <v>4.03</v>
      </c>
      <c r="BC12" s="363">
        <v>3.8959999999999999</v>
      </c>
      <c r="BG12" s="363">
        <v>4.5679999999999996</v>
      </c>
      <c r="BJ12" s="363">
        <v>3.5998000000000001</v>
      </c>
      <c r="BN12" s="364">
        <f t="shared" si="0"/>
        <v>3.5998000000000001</v>
      </c>
      <c r="BO12" s="363">
        <f t="shared" si="1"/>
        <v>2016</v>
      </c>
    </row>
    <row r="13" spans="2:67" x14ac:dyDescent="0.25">
      <c r="B13" s="363" t="s">
        <v>422</v>
      </c>
      <c r="C13" s="363" t="s">
        <v>1</v>
      </c>
      <c r="D13" s="363" t="s">
        <v>1232</v>
      </c>
      <c r="E13" s="363" t="s">
        <v>1231</v>
      </c>
      <c r="AZ13" s="363">
        <v>3.87</v>
      </c>
      <c r="BA13" s="363">
        <v>4.18</v>
      </c>
      <c r="BC13" s="363">
        <v>3.6389999999999998</v>
      </c>
      <c r="BD13" s="363">
        <v>4.7649999999999997</v>
      </c>
      <c r="BI13" s="363">
        <v>4.0128000000000004</v>
      </c>
      <c r="BN13" s="364">
        <f t="shared" si="0"/>
        <v>4.0128000000000004</v>
      </c>
      <c r="BO13" s="363">
        <f t="shared" si="1"/>
        <v>2015</v>
      </c>
    </row>
    <row r="14" spans="2:67" x14ac:dyDescent="0.25">
      <c r="B14" s="363" t="s">
        <v>425</v>
      </c>
      <c r="C14" s="363" t="s">
        <v>426</v>
      </c>
      <c r="D14" s="363" t="s">
        <v>1232</v>
      </c>
      <c r="E14" s="363" t="s">
        <v>1231</v>
      </c>
      <c r="BI14" s="363">
        <v>2.0922347500097929</v>
      </c>
      <c r="BN14" s="364">
        <f t="shared" si="0"/>
        <v>2.0922347500097929</v>
      </c>
      <c r="BO14" s="363">
        <f t="shared" si="1"/>
        <v>2015</v>
      </c>
    </row>
    <row r="15" spans="2:67" x14ac:dyDescent="0.25">
      <c r="B15" s="363" t="s">
        <v>661</v>
      </c>
      <c r="C15" s="363" t="s">
        <v>2</v>
      </c>
      <c r="D15" s="363" t="s">
        <v>1232</v>
      </c>
      <c r="E15" s="363" t="s">
        <v>1231</v>
      </c>
      <c r="AJ15" s="363">
        <v>2.7835999999999999</v>
      </c>
      <c r="AK15" s="363">
        <v>3.7679999999999998</v>
      </c>
      <c r="AL15" s="363">
        <v>3.9369999999999998</v>
      </c>
      <c r="AM15" s="363">
        <v>3.7505999999999999</v>
      </c>
      <c r="AN15" s="363">
        <v>3.6526999999999998</v>
      </c>
      <c r="AO15" s="363">
        <v>3.5314999999999999</v>
      </c>
      <c r="AP15" s="363">
        <v>3.52</v>
      </c>
      <c r="AQ15" s="363">
        <v>3.5133000000000001</v>
      </c>
      <c r="AR15" s="363">
        <v>4.3296999999999999</v>
      </c>
      <c r="AS15" s="363">
        <v>3.6139000000000001</v>
      </c>
      <c r="AT15" s="363">
        <v>3.3786</v>
      </c>
      <c r="AU15" s="363">
        <v>3.6920999999999999</v>
      </c>
      <c r="AV15" s="363">
        <v>3.7667999999999999</v>
      </c>
      <c r="AW15" s="363">
        <v>3.9230999999999998</v>
      </c>
      <c r="AX15" s="363">
        <v>3.3357000000000001</v>
      </c>
      <c r="AY15" s="363">
        <v>3.0055000000000001</v>
      </c>
      <c r="AZ15" s="363">
        <v>2.831</v>
      </c>
      <c r="BA15" s="363">
        <v>3.0415999999999999</v>
      </c>
      <c r="BB15" s="363">
        <v>2.8978999999999999</v>
      </c>
      <c r="BC15" s="363">
        <v>3.0200999999999998</v>
      </c>
      <c r="BD15" s="363">
        <v>2.7425000000000002</v>
      </c>
      <c r="BE15" s="363">
        <v>2.9460999999999999</v>
      </c>
      <c r="BF15" s="363">
        <v>3.0914000000000001</v>
      </c>
      <c r="BG15" s="363">
        <v>3.4113000000000002</v>
      </c>
      <c r="BH15" s="363">
        <v>4.0213999999999999</v>
      </c>
      <c r="BI15" s="363">
        <v>5.0419</v>
      </c>
      <c r="BJ15" s="363">
        <v>5.5857000000000001</v>
      </c>
      <c r="BN15" s="364">
        <f t="shared" si="0"/>
        <v>5.5857000000000001</v>
      </c>
      <c r="BO15" s="363">
        <f t="shared" si="1"/>
        <v>2016</v>
      </c>
    </row>
    <row r="16" spans="2:67" x14ac:dyDescent="0.25">
      <c r="B16" s="363" t="s">
        <v>427</v>
      </c>
      <c r="C16" s="363" t="s">
        <v>428</v>
      </c>
      <c r="D16" s="363" t="s">
        <v>1232</v>
      </c>
      <c r="E16" s="363" t="s">
        <v>1231</v>
      </c>
      <c r="AL16" s="363">
        <v>2.0501999999999998</v>
      </c>
      <c r="AN16" s="363">
        <v>2.1413000000000002</v>
      </c>
      <c r="AR16" s="363">
        <v>0.80020000000000002</v>
      </c>
      <c r="AU16" s="363">
        <v>0.443</v>
      </c>
      <c r="AX16" s="363">
        <v>0.48249999999999998</v>
      </c>
      <c r="BG16" s="363">
        <v>4.2119</v>
      </c>
      <c r="BK16" s="363">
        <v>2.58</v>
      </c>
      <c r="BN16" s="364">
        <f t="shared" si="0"/>
        <v>2.58</v>
      </c>
      <c r="BO16" s="363">
        <f t="shared" si="1"/>
        <v>2017</v>
      </c>
    </row>
    <row r="17" spans="2:67" x14ac:dyDescent="0.25">
      <c r="B17" s="363" t="s">
        <v>234</v>
      </c>
      <c r="C17" s="363" t="s">
        <v>3</v>
      </c>
      <c r="D17" s="363" t="s">
        <v>1232</v>
      </c>
      <c r="E17" s="363" t="s">
        <v>1231</v>
      </c>
      <c r="AZ17" s="363">
        <v>4.92</v>
      </c>
      <c r="BA17" s="363">
        <v>4.87</v>
      </c>
      <c r="BC17" s="363">
        <v>5.01</v>
      </c>
      <c r="BD17" s="363">
        <v>5.6948999999999996</v>
      </c>
      <c r="BE17" s="363">
        <v>5.7577999999999996</v>
      </c>
      <c r="BF17" s="363">
        <v>5.7434000000000003</v>
      </c>
      <c r="BG17" s="363">
        <v>5.6513</v>
      </c>
      <c r="BH17" s="363">
        <v>5.6093999999999999</v>
      </c>
      <c r="BN17" s="364">
        <f t="shared" si="0"/>
        <v>5.6093999999999999</v>
      </c>
      <c r="BO17" s="363">
        <f t="shared" si="1"/>
        <v>2014</v>
      </c>
    </row>
    <row r="18" spans="2:67" x14ac:dyDescent="0.25">
      <c r="B18" s="363" t="s">
        <v>421</v>
      </c>
      <c r="C18" s="363" t="s">
        <v>193</v>
      </c>
      <c r="D18" s="363" t="s">
        <v>1232</v>
      </c>
      <c r="E18" s="363" t="s">
        <v>1231</v>
      </c>
      <c r="BN18" s="364" t="str">
        <f t="shared" si="0"/>
        <v>No reported value</v>
      </c>
      <c r="BO18" s="363" t="str">
        <f t="shared" si="1"/>
        <v>No reported value</v>
      </c>
    </row>
    <row r="19" spans="2:67" x14ac:dyDescent="0.25">
      <c r="B19" s="363" t="s">
        <v>423</v>
      </c>
      <c r="C19" s="363" t="s">
        <v>424</v>
      </c>
      <c r="D19" s="363" t="s">
        <v>1232</v>
      </c>
      <c r="E19" s="363" t="s">
        <v>1231</v>
      </c>
      <c r="AS19" s="363">
        <v>2.8483999999999998</v>
      </c>
      <c r="BA19" s="363">
        <v>3.0306000000000002</v>
      </c>
      <c r="BK19" s="363">
        <v>3.1175999999999999</v>
      </c>
      <c r="BN19" s="364">
        <f t="shared" si="0"/>
        <v>3.1175999999999999</v>
      </c>
      <c r="BO19" s="363">
        <f t="shared" si="1"/>
        <v>2017</v>
      </c>
    </row>
    <row r="20" spans="2:67" x14ac:dyDescent="0.25">
      <c r="B20" s="363" t="s">
        <v>431</v>
      </c>
      <c r="C20" s="363" t="s">
        <v>4</v>
      </c>
      <c r="D20" s="363" t="s">
        <v>1232</v>
      </c>
      <c r="E20" s="363" t="s">
        <v>1231</v>
      </c>
      <c r="AP20" s="363">
        <v>10.3597</v>
      </c>
      <c r="AU20" s="363">
        <v>9.7484000000000002</v>
      </c>
      <c r="AZ20" s="363">
        <v>10.797000000000001</v>
      </c>
      <c r="BC20" s="363">
        <v>9.2599</v>
      </c>
      <c r="BD20" s="363">
        <v>10.417899999999999</v>
      </c>
      <c r="BE20" s="363">
        <v>10.3775</v>
      </c>
      <c r="BF20" s="363">
        <v>10.1797</v>
      </c>
      <c r="BG20" s="363">
        <v>12.374700000000001</v>
      </c>
      <c r="BH20" s="363">
        <v>12.374700000000001</v>
      </c>
      <c r="BI20" s="363">
        <v>12.466699999999999</v>
      </c>
      <c r="BJ20" s="363">
        <v>12.661199999999999</v>
      </c>
      <c r="BN20" s="364">
        <f t="shared" si="0"/>
        <v>12.661199999999999</v>
      </c>
      <c r="BO20" s="363">
        <f t="shared" si="1"/>
        <v>2016</v>
      </c>
    </row>
    <row r="21" spans="2:67" x14ac:dyDescent="0.25">
      <c r="B21" s="363" t="s">
        <v>432</v>
      </c>
      <c r="C21" s="363" t="s">
        <v>5</v>
      </c>
      <c r="D21" s="363" t="s">
        <v>1232</v>
      </c>
      <c r="E21" s="363" t="s">
        <v>1231</v>
      </c>
      <c r="AW21" s="363">
        <v>9.3840000000000003</v>
      </c>
      <c r="AZ21" s="363">
        <v>6.55</v>
      </c>
      <c r="BA21" s="363">
        <v>6.6420000000000003</v>
      </c>
      <c r="BB21" s="363">
        <v>7.84</v>
      </c>
      <c r="BD21" s="363">
        <v>7.8120000000000003</v>
      </c>
      <c r="BE21" s="363">
        <v>7.8708</v>
      </c>
      <c r="BF21" s="363">
        <v>8.0608000000000004</v>
      </c>
      <c r="BG21" s="363">
        <v>8.0975000000000001</v>
      </c>
      <c r="BH21" s="363">
        <v>8.2478999999999996</v>
      </c>
      <c r="BI21" s="363">
        <v>8.1758000000000006</v>
      </c>
      <c r="BJ21" s="363">
        <v>8.1777999999999995</v>
      </c>
      <c r="BN21" s="364">
        <f t="shared" si="0"/>
        <v>8.1777999999999995</v>
      </c>
      <c r="BO21" s="363">
        <f t="shared" si="1"/>
        <v>2016</v>
      </c>
    </row>
    <row r="22" spans="2:67" x14ac:dyDescent="0.25">
      <c r="B22" s="363" t="s">
        <v>235</v>
      </c>
      <c r="C22" s="363" t="s">
        <v>6</v>
      </c>
      <c r="D22" s="363" t="s">
        <v>1232</v>
      </c>
      <c r="E22" s="363" t="s">
        <v>1231</v>
      </c>
      <c r="AZ22" s="363">
        <v>8.41</v>
      </c>
      <c r="BA22" s="363">
        <v>8.42</v>
      </c>
      <c r="BC22" s="363">
        <v>8.3439999999999994</v>
      </c>
      <c r="BD22" s="363">
        <v>8.0505999999999993</v>
      </c>
      <c r="BE22" s="363">
        <v>7.5968999999999998</v>
      </c>
      <c r="BF22" s="363">
        <v>7.3933</v>
      </c>
      <c r="BG22" s="363">
        <v>7.2167000000000003</v>
      </c>
      <c r="BH22" s="363">
        <v>6.9621000000000004</v>
      </c>
      <c r="BN22" s="364">
        <f t="shared" si="0"/>
        <v>6.9621000000000004</v>
      </c>
      <c r="BO22" s="363">
        <f t="shared" si="1"/>
        <v>2014</v>
      </c>
    </row>
    <row r="23" spans="2:67" x14ac:dyDescent="0.25">
      <c r="B23" s="363" t="s">
        <v>186</v>
      </c>
      <c r="C23" s="363" t="s">
        <v>7</v>
      </c>
      <c r="D23" s="363" t="s">
        <v>1232</v>
      </c>
      <c r="E23" s="363" t="s">
        <v>1231</v>
      </c>
      <c r="AX23" s="363">
        <v>0.18770000000000001</v>
      </c>
      <c r="BD23" s="363">
        <v>0.68130000000000002</v>
      </c>
      <c r="BJ23" s="363">
        <v>0.68</v>
      </c>
      <c r="BN23" s="364">
        <f t="shared" si="0"/>
        <v>0.68</v>
      </c>
      <c r="BO23" s="363">
        <f t="shared" si="1"/>
        <v>2016</v>
      </c>
    </row>
    <row r="24" spans="2:67" x14ac:dyDescent="0.25">
      <c r="B24" s="363" t="s">
        <v>438</v>
      </c>
      <c r="C24" s="363" t="s">
        <v>8</v>
      </c>
      <c r="D24" s="363" t="s">
        <v>1232</v>
      </c>
      <c r="E24" s="363" t="s">
        <v>1231</v>
      </c>
      <c r="AW24" s="363">
        <v>5.8289999999999997</v>
      </c>
      <c r="AX24" s="363">
        <v>14.2</v>
      </c>
      <c r="BC24" s="363">
        <v>14.1082</v>
      </c>
      <c r="BD24" s="363">
        <v>10.585100000000001</v>
      </c>
      <c r="BE24" s="363">
        <v>10.257</v>
      </c>
      <c r="BF24" s="363">
        <v>10.627700000000001</v>
      </c>
      <c r="BG24" s="363">
        <v>10.910600000000001</v>
      </c>
      <c r="BH24" s="363">
        <v>11.014900000000001</v>
      </c>
      <c r="BI24" s="363">
        <v>10.8193</v>
      </c>
      <c r="BJ24" s="363">
        <v>11.101100000000001</v>
      </c>
      <c r="BN24" s="364">
        <f t="shared" si="0"/>
        <v>11.101100000000001</v>
      </c>
      <c r="BO24" s="363">
        <f t="shared" si="1"/>
        <v>2016</v>
      </c>
    </row>
    <row r="25" spans="2:67" x14ac:dyDescent="0.25">
      <c r="B25" s="363" t="s">
        <v>183</v>
      </c>
      <c r="C25" s="363" t="s">
        <v>9</v>
      </c>
      <c r="D25" s="363" t="s">
        <v>1232</v>
      </c>
      <c r="E25" s="363" t="s">
        <v>1231</v>
      </c>
      <c r="AX25" s="363">
        <v>0.747</v>
      </c>
      <c r="BB25" s="363">
        <v>0.81969999999999998</v>
      </c>
      <c r="BD25" s="363">
        <v>0.77100000000000002</v>
      </c>
      <c r="BF25" s="363">
        <v>0.68020000000000003</v>
      </c>
      <c r="BG25" s="363">
        <v>0.63170000000000004</v>
      </c>
      <c r="BJ25" s="363">
        <v>0.61450000000000005</v>
      </c>
      <c r="BN25" s="364">
        <f t="shared" si="0"/>
        <v>0.61450000000000005</v>
      </c>
      <c r="BO25" s="363">
        <f t="shared" si="1"/>
        <v>2016</v>
      </c>
    </row>
    <row r="26" spans="2:67" x14ac:dyDescent="0.25">
      <c r="B26" s="363" t="s">
        <v>185</v>
      </c>
      <c r="C26" s="363" t="s">
        <v>10</v>
      </c>
      <c r="D26" s="363" t="s">
        <v>1232</v>
      </c>
      <c r="E26" s="363" t="s">
        <v>1231</v>
      </c>
      <c r="AX26" s="363">
        <v>0.50319999999999998</v>
      </c>
      <c r="AZ26" s="363">
        <v>0.42399999999999999</v>
      </c>
      <c r="BB26" s="363">
        <v>0.3705</v>
      </c>
      <c r="BC26" s="363">
        <v>0.40450000000000003</v>
      </c>
      <c r="BD26" s="363">
        <v>0.55400000000000005</v>
      </c>
      <c r="BE26" s="363">
        <v>0.45639999999999997</v>
      </c>
      <c r="BF26" s="363">
        <v>0.63119999999999998</v>
      </c>
      <c r="BI26" s="363">
        <v>0.24</v>
      </c>
      <c r="BJ26" s="363">
        <v>0.5696</v>
      </c>
      <c r="BN26" s="364">
        <f t="shared" si="0"/>
        <v>0.5696</v>
      </c>
      <c r="BO26" s="363">
        <f t="shared" si="1"/>
        <v>2016</v>
      </c>
    </row>
    <row r="27" spans="2:67" x14ac:dyDescent="0.25">
      <c r="B27" s="363" t="s">
        <v>240</v>
      </c>
      <c r="C27" s="363" t="s">
        <v>11</v>
      </c>
      <c r="D27" s="363" t="s">
        <v>1232</v>
      </c>
      <c r="E27" s="363" t="s">
        <v>1231</v>
      </c>
      <c r="AW27" s="363">
        <v>0.26700000000000002</v>
      </c>
      <c r="AY27" s="363">
        <v>0.2752</v>
      </c>
      <c r="AZ27" s="363">
        <v>0.27539999999999998</v>
      </c>
      <c r="BA27" s="363">
        <v>0.15759999999999999</v>
      </c>
      <c r="BB27" s="363">
        <v>0.15740000000000001</v>
      </c>
      <c r="BC27" s="363">
        <v>0.16619999999999999</v>
      </c>
      <c r="BD27" s="363">
        <v>0.17749999999999999</v>
      </c>
      <c r="BE27" s="363">
        <v>0.18740000000000001</v>
      </c>
      <c r="BF27" s="363">
        <v>0.20050000000000001</v>
      </c>
      <c r="BG27" s="363">
        <v>0.19370000000000001</v>
      </c>
      <c r="BH27" s="363">
        <v>0.24809999999999999</v>
      </c>
      <c r="BI27" s="363">
        <v>0.26650000000000001</v>
      </c>
      <c r="BJ27" s="363">
        <v>0.25590000000000002</v>
      </c>
      <c r="BK27" s="363">
        <v>0.30669999999999997</v>
      </c>
      <c r="BN27" s="364">
        <f t="shared" si="0"/>
        <v>0.30669999999999997</v>
      </c>
      <c r="BO27" s="363">
        <f t="shared" si="1"/>
        <v>2017</v>
      </c>
    </row>
    <row r="28" spans="2:67" x14ac:dyDescent="0.25">
      <c r="B28" s="363" t="s">
        <v>447</v>
      </c>
      <c r="C28" s="363" t="s">
        <v>12</v>
      </c>
      <c r="D28" s="363" t="s">
        <v>1232</v>
      </c>
      <c r="E28" s="363" t="s">
        <v>1231</v>
      </c>
      <c r="AZ28" s="363">
        <v>4.57</v>
      </c>
      <c r="BA28" s="363">
        <v>4.68</v>
      </c>
      <c r="BB28" s="363">
        <v>4.72</v>
      </c>
      <c r="BD28" s="363">
        <v>5.1698000000000004</v>
      </c>
      <c r="BE28" s="363">
        <v>5.1859999999999999</v>
      </c>
      <c r="BF28" s="363">
        <v>5.2858000000000001</v>
      </c>
      <c r="BG28" s="363">
        <v>5.3684000000000003</v>
      </c>
      <c r="BH28" s="363">
        <v>5.3029000000000002</v>
      </c>
      <c r="BN28" s="364">
        <f t="shared" si="0"/>
        <v>5.3029000000000002</v>
      </c>
      <c r="BO28" s="363">
        <f t="shared" si="1"/>
        <v>2014</v>
      </c>
    </row>
    <row r="29" spans="2:67" x14ac:dyDescent="0.25">
      <c r="B29" s="363" t="s">
        <v>434</v>
      </c>
      <c r="C29" s="363" t="s">
        <v>13</v>
      </c>
      <c r="D29" s="363" t="s">
        <v>1232</v>
      </c>
      <c r="E29" s="363" t="s">
        <v>1231</v>
      </c>
      <c r="AT29" s="363">
        <v>2.9807000000000001</v>
      </c>
      <c r="AU29" s="363">
        <v>3.1049000000000002</v>
      </c>
      <c r="AV29" s="363">
        <v>2.8717000000000001</v>
      </c>
      <c r="AW29" s="363">
        <v>2.8252000000000002</v>
      </c>
      <c r="AY29" s="363">
        <v>2.6867000000000001</v>
      </c>
      <c r="AZ29" s="363">
        <v>2.7181000000000002</v>
      </c>
      <c r="BB29" s="363">
        <v>2.5623999999999998</v>
      </c>
      <c r="BC29" s="363">
        <v>2.5232000000000001</v>
      </c>
      <c r="BD29" s="363">
        <v>2.4594999999999998</v>
      </c>
      <c r="BE29" s="363">
        <v>2.4971000000000001</v>
      </c>
      <c r="BF29" s="363">
        <v>2.4796</v>
      </c>
      <c r="BG29" s="363">
        <v>2.5034000000000001</v>
      </c>
      <c r="BH29" s="363">
        <v>2.4918</v>
      </c>
      <c r="BI29" s="363">
        <v>2.4944000000000002</v>
      </c>
      <c r="BN29" s="364">
        <f t="shared" si="0"/>
        <v>2.4944000000000002</v>
      </c>
      <c r="BO29" s="363">
        <f t="shared" si="1"/>
        <v>2015</v>
      </c>
    </row>
    <row r="30" spans="2:67" x14ac:dyDescent="0.25">
      <c r="B30" s="363" t="s">
        <v>433</v>
      </c>
      <c r="C30" s="363" t="s">
        <v>14</v>
      </c>
      <c r="D30" s="363" t="s">
        <v>1232</v>
      </c>
      <c r="E30" s="363" t="s">
        <v>1231</v>
      </c>
      <c r="AR30" s="363">
        <v>4.5605000000000002</v>
      </c>
      <c r="BB30" s="363">
        <v>3.9891000000000001</v>
      </c>
      <c r="BE30" s="363">
        <v>3.9771000000000001</v>
      </c>
      <c r="BK30" s="363">
        <v>3.1385999999999998</v>
      </c>
      <c r="BN30" s="364">
        <f t="shared" si="0"/>
        <v>3.1385999999999998</v>
      </c>
      <c r="BO30" s="363">
        <f t="shared" si="1"/>
        <v>2017</v>
      </c>
    </row>
    <row r="31" spans="2:67" x14ac:dyDescent="0.25">
      <c r="B31" s="363" t="s">
        <v>442</v>
      </c>
      <c r="C31" s="363" t="s">
        <v>15</v>
      </c>
      <c r="D31" s="363" t="s">
        <v>1232</v>
      </c>
      <c r="E31" s="363" t="s">
        <v>1231</v>
      </c>
      <c r="AY31" s="363">
        <v>4.6900000000000004</v>
      </c>
      <c r="BC31" s="363">
        <v>5.0419999999999998</v>
      </c>
      <c r="BD31" s="363">
        <v>5.7923999999999998</v>
      </c>
      <c r="BE31" s="363">
        <v>5.8996000000000004</v>
      </c>
      <c r="BF31" s="363">
        <v>6.1680000000000001</v>
      </c>
      <c r="BG31" s="363">
        <v>6.1170999999999998</v>
      </c>
      <c r="BH31" s="363">
        <v>6.2998000000000003</v>
      </c>
      <c r="BN31" s="364">
        <f t="shared" si="0"/>
        <v>6.2998000000000003</v>
      </c>
      <c r="BO31" s="363">
        <f t="shared" si="1"/>
        <v>2014</v>
      </c>
    </row>
    <row r="32" spans="2:67" x14ac:dyDescent="0.25">
      <c r="B32" s="363" t="s">
        <v>437</v>
      </c>
      <c r="C32" s="363" t="s">
        <v>16</v>
      </c>
      <c r="D32" s="363" t="s">
        <v>1232</v>
      </c>
      <c r="E32" s="363" t="s">
        <v>1231</v>
      </c>
      <c r="AZ32" s="363">
        <v>12.51</v>
      </c>
      <c r="BA32" s="363">
        <v>12.56</v>
      </c>
      <c r="BC32" s="363">
        <v>9.1006</v>
      </c>
      <c r="BD32" s="363">
        <v>11.070499999999999</v>
      </c>
      <c r="BE32" s="363">
        <v>11.061999999999999</v>
      </c>
      <c r="BF32" s="363">
        <v>11.371700000000001</v>
      </c>
      <c r="BG32" s="363">
        <v>11.305</v>
      </c>
      <c r="BH32" s="363">
        <v>11.4383</v>
      </c>
      <c r="BN32" s="364">
        <f t="shared" si="0"/>
        <v>11.4383</v>
      </c>
      <c r="BO32" s="363">
        <f t="shared" si="1"/>
        <v>2014</v>
      </c>
    </row>
    <row r="33" spans="2:67" x14ac:dyDescent="0.25">
      <c r="B33" s="363" t="s">
        <v>439</v>
      </c>
      <c r="C33" s="363" t="s">
        <v>17</v>
      </c>
      <c r="D33" s="363" t="s">
        <v>1232</v>
      </c>
      <c r="E33" s="363" t="s">
        <v>1231</v>
      </c>
      <c r="AT33" s="363">
        <v>1.2252000000000001</v>
      </c>
      <c r="BC33" s="363">
        <v>1.8159000000000001</v>
      </c>
      <c r="BD33" s="363">
        <v>1.9590000000000001</v>
      </c>
      <c r="BF33" s="363">
        <v>1.1077999999999999</v>
      </c>
      <c r="BK33" s="363">
        <v>1.6947000000000001</v>
      </c>
      <c r="BN33" s="364">
        <f t="shared" si="0"/>
        <v>1.6947000000000001</v>
      </c>
      <c r="BO33" s="363">
        <f t="shared" si="1"/>
        <v>2017</v>
      </c>
    </row>
    <row r="34" spans="2:67" x14ac:dyDescent="0.25">
      <c r="B34" s="363" t="s">
        <v>440</v>
      </c>
      <c r="C34" s="363" t="s">
        <v>441</v>
      </c>
      <c r="D34" s="363" t="s">
        <v>1232</v>
      </c>
      <c r="E34" s="363" t="s">
        <v>1231</v>
      </c>
      <c r="BN34" s="364" t="str">
        <f t="shared" si="0"/>
        <v>No reported value</v>
      </c>
      <c r="BO34" s="363" t="str">
        <f t="shared" si="1"/>
        <v>No reported value</v>
      </c>
    </row>
    <row r="35" spans="2:67" x14ac:dyDescent="0.25">
      <c r="B35" s="363" t="s">
        <v>219</v>
      </c>
      <c r="C35" s="363" t="s">
        <v>18</v>
      </c>
      <c r="D35" s="363" t="s">
        <v>1232</v>
      </c>
      <c r="E35" s="363" t="s">
        <v>1231</v>
      </c>
      <c r="AU35" s="363">
        <v>2.1293000000000002</v>
      </c>
      <c r="BA35" s="363">
        <v>0.6159</v>
      </c>
      <c r="BD35" s="363">
        <v>0.84350000000000003</v>
      </c>
      <c r="BE35" s="363">
        <v>1.006</v>
      </c>
      <c r="BJ35" s="363">
        <v>0.73570000000000002</v>
      </c>
      <c r="BN35" s="364">
        <f t="shared" si="0"/>
        <v>0.73570000000000002</v>
      </c>
      <c r="BO35" s="363">
        <f t="shared" si="1"/>
        <v>2016</v>
      </c>
    </row>
    <row r="36" spans="2:67" x14ac:dyDescent="0.25">
      <c r="B36" s="363" t="s">
        <v>443</v>
      </c>
      <c r="C36" s="363" t="s">
        <v>19</v>
      </c>
      <c r="D36" s="363" t="s">
        <v>1232</v>
      </c>
      <c r="E36" s="363" t="s">
        <v>1231</v>
      </c>
      <c r="AJ36" s="363">
        <v>0.94730000000000003</v>
      </c>
      <c r="AK36" s="363">
        <v>3.1850000000000001</v>
      </c>
      <c r="AL36" s="363">
        <v>1.1429</v>
      </c>
      <c r="AM36" s="363">
        <v>1.2619</v>
      </c>
      <c r="AN36" s="363">
        <v>1.4141999999999999</v>
      </c>
      <c r="AO36" s="363">
        <v>1.5734999999999999</v>
      </c>
      <c r="AP36" s="363">
        <v>1.8411</v>
      </c>
      <c r="AQ36" s="363">
        <v>2.0512999999999999</v>
      </c>
      <c r="AR36" s="363">
        <v>2.2692000000000001</v>
      </c>
      <c r="AS36" s="363">
        <v>2.5352999999999999</v>
      </c>
      <c r="AT36" s="363">
        <v>3.7602000000000002</v>
      </c>
      <c r="AU36" s="363">
        <v>2.9803999999999999</v>
      </c>
      <c r="AV36" s="363">
        <v>3.3654999999999999</v>
      </c>
      <c r="AW36" s="363">
        <v>3.6461000000000001</v>
      </c>
      <c r="AX36" s="363">
        <v>3.7138</v>
      </c>
      <c r="AY36" s="363">
        <v>3.7654000000000001</v>
      </c>
      <c r="AZ36" s="363">
        <v>3.7603</v>
      </c>
      <c r="BA36" s="363">
        <v>6.5111999999999997</v>
      </c>
      <c r="BB36" s="363">
        <v>6.4452999999999996</v>
      </c>
      <c r="BD36" s="363">
        <v>7.3497000000000003</v>
      </c>
      <c r="BG36" s="363">
        <v>7.5122</v>
      </c>
      <c r="BK36" s="363">
        <v>5.9551999999999996</v>
      </c>
      <c r="BL36" s="363">
        <v>9.7082999999999995</v>
      </c>
      <c r="BN36" s="364">
        <f t="shared" si="0"/>
        <v>9.7082999999999995</v>
      </c>
      <c r="BO36" s="363">
        <f t="shared" si="1"/>
        <v>2018</v>
      </c>
    </row>
    <row r="37" spans="2:67" x14ac:dyDescent="0.25">
      <c r="B37" s="363" t="s">
        <v>435</v>
      </c>
      <c r="C37" s="363" t="s">
        <v>436</v>
      </c>
      <c r="D37" s="363" t="s">
        <v>1232</v>
      </c>
      <c r="E37" s="363" t="s">
        <v>1231</v>
      </c>
      <c r="AO37" s="363">
        <v>5.1321000000000003</v>
      </c>
      <c r="AS37" s="363">
        <v>3.7</v>
      </c>
      <c r="AT37" s="363">
        <v>5.8635999999999999</v>
      </c>
      <c r="AU37" s="363">
        <v>5.8367000000000004</v>
      </c>
      <c r="AY37" s="363">
        <v>4.7847</v>
      </c>
      <c r="BD37" s="363">
        <v>4.8559999999999999</v>
      </c>
      <c r="BK37" s="363">
        <v>6.0273000000000003</v>
      </c>
      <c r="BN37" s="364">
        <f t="shared" si="0"/>
        <v>6.0273000000000003</v>
      </c>
      <c r="BO37" s="363">
        <f t="shared" si="1"/>
        <v>2017</v>
      </c>
    </row>
    <row r="38" spans="2:67" x14ac:dyDescent="0.25">
      <c r="B38" s="363" t="s">
        <v>446</v>
      </c>
      <c r="C38" s="363" t="s">
        <v>20</v>
      </c>
      <c r="D38" s="363" t="s">
        <v>1232</v>
      </c>
      <c r="E38" s="363" t="s">
        <v>1231</v>
      </c>
      <c r="AT38" s="363">
        <v>3.8896000000000002</v>
      </c>
      <c r="AV38" s="363">
        <v>6.1113</v>
      </c>
      <c r="AX38" s="363">
        <v>5.3547000000000002</v>
      </c>
      <c r="AY38" s="363">
        <v>5.4928999999999997</v>
      </c>
      <c r="AZ38" s="363">
        <v>5.32</v>
      </c>
      <c r="BA38" s="363">
        <v>5.1079999999999997</v>
      </c>
      <c r="BB38" s="363">
        <v>5.1173000000000002</v>
      </c>
      <c r="BC38" s="363">
        <v>5.1224999999999996</v>
      </c>
      <c r="BD38" s="363">
        <v>7.4787999999999997</v>
      </c>
      <c r="BE38" s="363">
        <v>7.9645000000000001</v>
      </c>
      <c r="BF38" s="363">
        <v>8.2887000000000004</v>
      </c>
      <c r="BG38" s="363">
        <v>7.508</v>
      </c>
      <c r="BH38" s="363">
        <v>6.4852999999999996</v>
      </c>
      <c r="BI38" s="363">
        <v>6.6012000000000004</v>
      </c>
      <c r="BN38" s="364">
        <f t="shared" si="0"/>
        <v>6.6012000000000004</v>
      </c>
      <c r="BO38" s="363">
        <f t="shared" si="1"/>
        <v>2015</v>
      </c>
    </row>
    <row r="39" spans="2:67" x14ac:dyDescent="0.25">
      <c r="B39" s="363" t="s">
        <v>241</v>
      </c>
      <c r="C39" s="363" t="s">
        <v>21</v>
      </c>
      <c r="D39" s="363" t="s">
        <v>1232</v>
      </c>
      <c r="E39" s="363" t="s">
        <v>1231</v>
      </c>
      <c r="AX39" s="363">
        <v>0.80430000000000001</v>
      </c>
      <c r="BA39" s="363">
        <v>0.79330000000000001</v>
      </c>
      <c r="BB39" s="363">
        <v>0.95009999999999994</v>
      </c>
      <c r="BD39" s="363">
        <v>0.24099999999999999</v>
      </c>
      <c r="BF39" s="363">
        <v>0.97740000000000005</v>
      </c>
      <c r="BG39" s="363">
        <v>1.0444</v>
      </c>
      <c r="BH39" s="363">
        <v>1.2324999999999999</v>
      </c>
      <c r="BI39" s="363">
        <v>1.3589</v>
      </c>
      <c r="BJ39" s="363">
        <v>1.4151</v>
      </c>
      <c r="BK39" s="363">
        <v>1.5094000000000001</v>
      </c>
      <c r="BN39" s="364">
        <f t="shared" si="0"/>
        <v>1.5094000000000001</v>
      </c>
      <c r="BO39" s="363">
        <f t="shared" si="1"/>
        <v>2017</v>
      </c>
    </row>
    <row r="40" spans="2:67" x14ac:dyDescent="0.25">
      <c r="B40" s="363" t="s">
        <v>184</v>
      </c>
      <c r="C40" s="363" t="s">
        <v>22</v>
      </c>
      <c r="D40" s="363" t="s">
        <v>1232</v>
      </c>
      <c r="E40" s="363" t="s">
        <v>1231</v>
      </c>
      <c r="AR40" s="363">
        <v>2.5545</v>
      </c>
      <c r="AS40" s="363">
        <v>2.9365999999999999</v>
      </c>
      <c r="AT40" s="363">
        <v>2.4990000000000001</v>
      </c>
      <c r="AU40" s="363">
        <v>2.2759</v>
      </c>
      <c r="AV40" s="363">
        <v>2.3292000000000002</v>
      </c>
      <c r="AW40" s="363">
        <v>2.4662999999999999</v>
      </c>
      <c r="AX40" s="363">
        <v>2.5983000000000001</v>
      </c>
      <c r="AY40" s="363">
        <v>2.4076</v>
      </c>
      <c r="AZ40" s="363">
        <v>2.6568000000000001</v>
      </c>
      <c r="BA40" s="363">
        <v>3.0114000000000001</v>
      </c>
      <c r="BB40" s="363">
        <v>2.8853</v>
      </c>
      <c r="BC40" s="363">
        <v>2.9375</v>
      </c>
      <c r="BD40" s="363">
        <v>2.8864999999999998</v>
      </c>
      <c r="BE40" s="363">
        <v>2.8353000000000002</v>
      </c>
      <c r="BF40" s="363">
        <v>2.7837000000000001</v>
      </c>
      <c r="BJ40" s="363">
        <v>3.3003999999999998</v>
      </c>
      <c r="BN40" s="364">
        <f t="shared" si="0"/>
        <v>3.3003999999999998</v>
      </c>
      <c r="BO40" s="363">
        <f t="shared" si="1"/>
        <v>2016</v>
      </c>
    </row>
    <row r="41" spans="2:67" x14ac:dyDescent="0.25">
      <c r="B41" s="363" t="s">
        <v>188</v>
      </c>
      <c r="C41" s="363" t="s">
        <v>173</v>
      </c>
      <c r="D41" s="363" t="s">
        <v>1232</v>
      </c>
      <c r="E41" s="363" t="s">
        <v>1231</v>
      </c>
      <c r="AX41" s="363">
        <v>0.39779999999999999</v>
      </c>
      <c r="BB41" s="363">
        <v>0.19220000000000001</v>
      </c>
      <c r="BC41" s="363">
        <v>0.24909999999999999</v>
      </c>
      <c r="BI41" s="363">
        <v>0.2039</v>
      </c>
      <c r="BN41" s="364">
        <f t="shared" si="0"/>
        <v>0.2039</v>
      </c>
      <c r="BO41" s="363">
        <f t="shared" si="1"/>
        <v>2015</v>
      </c>
    </row>
    <row r="42" spans="2:67" x14ac:dyDescent="0.25">
      <c r="B42" s="363" t="s">
        <v>449</v>
      </c>
      <c r="C42" s="363" t="s">
        <v>159</v>
      </c>
      <c r="D42" s="363" t="s">
        <v>1232</v>
      </c>
      <c r="E42" s="363" t="s">
        <v>1231</v>
      </c>
      <c r="AR42" s="363">
        <v>10.1846</v>
      </c>
      <c r="AU42" s="363">
        <v>10.0115</v>
      </c>
      <c r="AV42" s="363">
        <v>9.4707000000000008</v>
      </c>
      <c r="AX42" s="363">
        <v>9.9067000000000007</v>
      </c>
      <c r="AY42" s="363">
        <v>9.9466999999999999</v>
      </c>
      <c r="AZ42" s="363">
        <v>10.0236</v>
      </c>
      <c r="BA42" s="363">
        <v>10.120799999999999</v>
      </c>
      <c r="BB42" s="363">
        <v>10.289</v>
      </c>
      <c r="BC42" s="363">
        <v>10.3743</v>
      </c>
      <c r="BD42" s="363">
        <v>9.3232999999999997</v>
      </c>
      <c r="BE42" s="363">
        <v>9.2368000000000006</v>
      </c>
      <c r="BF42" s="363">
        <v>9.3473000000000006</v>
      </c>
      <c r="BG42" s="363">
        <v>9.4899000000000004</v>
      </c>
      <c r="BH42" s="363">
        <v>9.7637999999999998</v>
      </c>
      <c r="BI42" s="363">
        <v>9.8398000000000003</v>
      </c>
      <c r="BJ42" s="363">
        <v>9.9055999999999997</v>
      </c>
      <c r="BN42" s="364">
        <f t="shared" si="0"/>
        <v>9.9055999999999997</v>
      </c>
      <c r="BO42" s="363">
        <f t="shared" si="1"/>
        <v>2016</v>
      </c>
    </row>
    <row r="43" spans="2:67" x14ac:dyDescent="0.25">
      <c r="B43" s="363" t="s">
        <v>454</v>
      </c>
      <c r="C43" s="363" t="s">
        <v>455</v>
      </c>
      <c r="D43" s="363" t="s">
        <v>1232</v>
      </c>
      <c r="E43" s="363" t="s">
        <v>1231</v>
      </c>
      <c r="BI43" s="363">
        <v>6.538384862419675</v>
      </c>
      <c r="BN43" s="364">
        <f t="shared" si="0"/>
        <v>6.538384862419675</v>
      </c>
      <c r="BO43" s="363">
        <f t="shared" si="1"/>
        <v>2015</v>
      </c>
    </row>
    <row r="44" spans="2:67" x14ac:dyDescent="0.25">
      <c r="B44" s="363" t="s">
        <v>651</v>
      </c>
      <c r="C44" s="363" t="s">
        <v>23</v>
      </c>
      <c r="D44" s="363" t="s">
        <v>1232</v>
      </c>
      <c r="E44" s="363" t="s">
        <v>1231</v>
      </c>
      <c r="BB44" s="363">
        <v>15.96</v>
      </c>
      <c r="BD44" s="363">
        <v>16.584700000000002</v>
      </c>
      <c r="BE44" s="363">
        <v>17.151700000000002</v>
      </c>
      <c r="BF44" s="363">
        <v>17.1995</v>
      </c>
      <c r="BG44" s="363">
        <v>16.131499999999999</v>
      </c>
      <c r="BH44" s="363">
        <v>16.373899999999999</v>
      </c>
      <c r="BI44" s="363">
        <v>16.815200000000001</v>
      </c>
      <c r="BJ44" s="363">
        <v>17.282800000000002</v>
      </c>
      <c r="BN44" s="364">
        <f t="shared" si="0"/>
        <v>17.282800000000002</v>
      </c>
      <c r="BO44" s="363">
        <f t="shared" si="1"/>
        <v>2016</v>
      </c>
    </row>
    <row r="45" spans="2:67" x14ac:dyDescent="0.25">
      <c r="B45" s="363" t="s">
        <v>456</v>
      </c>
      <c r="C45" s="363" t="s">
        <v>457</v>
      </c>
      <c r="D45" s="363" t="s">
        <v>1232</v>
      </c>
      <c r="E45" s="363" t="s">
        <v>1231</v>
      </c>
      <c r="BN45" s="364" t="str">
        <f t="shared" si="0"/>
        <v>No reported value</v>
      </c>
      <c r="BO45" s="363" t="str">
        <f t="shared" si="1"/>
        <v>No reported value</v>
      </c>
    </row>
    <row r="46" spans="2:67" x14ac:dyDescent="0.25">
      <c r="B46" s="363" t="s">
        <v>220</v>
      </c>
      <c r="C46" s="363" t="s">
        <v>24</v>
      </c>
      <c r="D46" s="363" t="s">
        <v>1232</v>
      </c>
      <c r="E46" s="363" t="s">
        <v>1231</v>
      </c>
      <c r="AL46" s="363">
        <v>4.5419999999999998</v>
      </c>
      <c r="AV46" s="363">
        <v>0.1142</v>
      </c>
      <c r="AW46" s="363">
        <v>0.13020000000000001</v>
      </c>
      <c r="AX46" s="363">
        <v>0.13070000000000001</v>
      </c>
      <c r="AY46" s="363">
        <v>0.13020000000000001</v>
      </c>
      <c r="AZ46" s="363">
        <v>0.14280000000000001</v>
      </c>
      <c r="BA46" s="363">
        <v>0.14119999999999999</v>
      </c>
      <c r="BB46" s="363">
        <v>0.1467</v>
      </c>
      <c r="BC46" s="363">
        <v>0.1452</v>
      </c>
      <c r="BJ46" s="363">
        <v>0.86</v>
      </c>
      <c r="BN46" s="364">
        <f t="shared" si="0"/>
        <v>0.86</v>
      </c>
      <c r="BO46" s="363">
        <f t="shared" si="1"/>
        <v>2016</v>
      </c>
    </row>
    <row r="47" spans="2:67" x14ac:dyDescent="0.25">
      <c r="B47" s="363" t="s">
        <v>458</v>
      </c>
      <c r="C47" s="363" t="s">
        <v>25</v>
      </c>
      <c r="D47" s="363" t="s">
        <v>1232</v>
      </c>
      <c r="E47" s="363" t="s">
        <v>1231</v>
      </c>
      <c r="AJ47" s="363">
        <v>0.82689999999999997</v>
      </c>
      <c r="AO47" s="363">
        <v>0.90310000000000001</v>
      </c>
      <c r="AP47" s="363">
        <v>0.92520000000000002</v>
      </c>
      <c r="AQ47" s="363">
        <v>0.9466</v>
      </c>
      <c r="AR47" s="363">
        <v>0.95650000000000002</v>
      </c>
      <c r="AS47" s="363">
        <v>0.97070000000000001</v>
      </c>
      <c r="AT47" s="363">
        <v>0.98180000000000001</v>
      </c>
      <c r="AU47" s="363">
        <v>1.083</v>
      </c>
      <c r="AV47" s="363">
        <v>0.9546</v>
      </c>
      <c r="AW47" s="363">
        <v>0.9637</v>
      </c>
      <c r="AX47" s="363">
        <v>0.99029999999999996</v>
      </c>
      <c r="AY47" s="363">
        <v>1.0155000000000001</v>
      </c>
      <c r="AZ47" s="363">
        <v>1.0671999999999999</v>
      </c>
      <c r="BA47" s="363">
        <v>1.1597</v>
      </c>
      <c r="BB47" s="363">
        <v>1.2413000000000001</v>
      </c>
      <c r="BC47" s="363">
        <v>1.3643000000000001</v>
      </c>
      <c r="BD47" s="363">
        <v>1.4979</v>
      </c>
      <c r="BE47" s="363">
        <v>1.6318999999999999</v>
      </c>
      <c r="BF47" s="363">
        <v>1.8053999999999999</v>
      </c>
      <c r="BG47" s="363">
        <v>2.0015000000000001</v>
      </c>
      <c r="BH47" s="363">
        <v>2.1490999999999998</v>
      </c>
      <c r="BI47" s="363">
        <v>2.3073000000000001</v>
      </c>
      <c r="BN47" s="364">
        <f t="shared" si="0"/>
        <v>2.3073000000000001</v>
      </c>
      <c r="BO47" s="363">
        <f t="shared" si="1"/>
        <v>2015</v>
      </c>
    </row>
    <row r="48" spans="2:67" x14ac:dyDescent="0.25">
      <c r="B48" s="363" t="s">
        <v>464</v>
      </c>
      <c r="C48" s="363" t="s">
        <v>26</v>
      </c>
      <c r="D48" s="363" t="s">
        <v>1232</v>
      </c>
      <c r="E48" s="363" t="s">
        <v>1231</v>
      </c>
      <c r="AX48" s="363">
        <v>0.56559999999999999</v>
      </c>
      <c r="AY48" s="363">
        <v>0.49020000000000002</v>
      </c>
      <c r="BB48" s="363">
        <v>0.47339999999999999</v>
      </c>
      <c r="BD48" s="363">
        <v>0.48299999999999998</v>
      </c>
      <c r="BE48" s="363">
        <v>0.46489999999999998</v>
      </c>
      <c r="BH48" s="363">
        <v>0.85170000000000001</v>
      </c>
      <c r="BN48" s="364">
        <f t="shared" si="0"/>
        <v>0.85170000000000001</v>
      </c>
      <c r="BO48" s="363">
        <f t="shared" si="1"/>
        <v>2014</v>
      </c>
    </row>
    <row r="49" spans="2:67" x14ac:dyDescent="0.25">
      <c r="B49" s="363" t="s">
        <v>187</v>
      </c>
      <c r="C49" s="363" t="s">
        <v>27</v>
      </c>
      <c r="D49" s="363" t="s">
        <v>1232</v>
      </c>
      <c r="E49" s="363" t="s">
        <v>1231</v>
      </c>
      <c r="AX49" s="363">
        <v>1.5356000000000001</v>
      </c>
      <c r="AY49" s="363">
        <v>0.38490000000000002</v>
      </c>
      <c r="BA49" s="363">
        <v>0.44719999999999999</v>
      </c>
      <c r="BC49" s="363">
        <v>0.39240000000000003</v>
      </c>
      <c r="BD49" s="363">
        <v>0.53649999999999998</v>
      </c>
      <c r="BE49" s="363">
        <v>0.93369999999999997</v>
      </c>
      <c r="BN49" s="364">
        <f t="shared" si="0"/>
        <v>0.93369999999999997</v>
      </c>
      <c r="BO49" s="363">
        <f t="shared" si="1"/>
        <v>2011</v>
      </c>
    </row>
    <row r="50" spans="2:67" x14ac:dyDescent="0.25">
      <c r="B50" s="363" t="s">
        <v>461</v>
      </c>
      <c r="C50" s="363" t="s">
        <v>28</v>
      </c>
      <c r="D50" s="363" t="s">
        <v>1232</v>
      </c>
      <c r="E50" s="363" t="s">
        <v>1231</v>
      </c>
      <c r="AX50" s="363">
        <v>0.52900000000000003</v>
      </c>
      <c r="BC50" s="363">
        <v>0.41</v>
      </c>
      <c r="BG50" s="363">
        <v>0.47</v>
      </c>
      <c r="BN50" s="364">
        <f t="shared" si="0"/>
        <v>0.47</v>
      </c>
      <c r="BO50" s="363">
        <f t="shared" si="1"/>
        <v>2013</v>
      </c>
    </row>
    <row r="51" spans="2:67" x14ac:dyDescent="0.25">
      <c r="B51" s="363" t="s">
        <v>462</v>
      </c>
      <c r="C51" s="363" t="s">
        <v>29</v>
      </c>
      <c r="D51" s="363" t="s">
        <v>1232</v>
      </c>
      <c r="E51" s="363" t="s">
        <v>1231</v>
      </c>
      <c r="AX51" s="363">
        <v>1.0185</v>
      </c>
      <c r="AZ51" s="363">
        <v>1.3666</v>
      </c>
      <c r="BA51" s="363">
        <v>0.87819999999999998</v>
      </c>
      <c r="BD51" s="363">
        <v>0.82399999999999995</v>
      </c>
      <c r="BE51" s="363">
        <v>1.7431000000000001</v>
      </c>
      <c r="BN51" s="364">
        <f t="shared" si="0"/>
        <v>1.7431000000000001</v>
      </c>
      <c r="BO51" s="363">
        <f t="shared" si="1"/>
        <v>2011</v>
      </c>
    </row>
    <row r="52" spans="2:67" x14ac:dyDescent="0.25">
      <c r="B52" s="363" t="s">
        <v>459</v>
      </c>
      <c r="C52" s="363" t="s">
        <v>460</v>
      </c>
      <c r="D52" s="363" t="s">
        <v>1232</v>
      </c>
      <c r="E52" s="363" t="s">
        <v>1231</v>
      </c>
      <c r="AJ52" s="363">
        <v>0.40910000000000002</v>
      </c>
      <c r="AK52" s="363">
        <v>0.42080000000000001</v>
      </c>
      <c r="AL52" s="363">
        <v>0.43149999999999999</v>
      </c>
      <c r="AM52" s="363">
        <v>0.44219999999999998</v>
      </c>
      <c r="AN52" s="363">
        <v>0.45450000000000002</v>
      </c>
      <c r="AO52" s="363">
        <v>0.46629999999999999</v>
      </c>
      <c r="AP52" s="363">
        <v>0.4778</v>
      </c>
      <c r="AQ52" s="363">
        <v>0.48649999999999999</v>
      </c>
      <c r="AR52" s="363">
        <v>0.50960000000000005</v>
      </c>
      <c r="AS52" s="363">
        <v>0.52600000000000002</v>
      </c>
      <c r="AU52" s="363">
        <v>0.55130000000000001</v>
      </c>
      <c r="AV52" s="363">
        <v>0.57589999999999997</v>
      </c>
      <c r="AW52" s="363">
        <v>0.57420000000000004</v>
      </c>
      <c r="AX52" s="363">
        <v>0.58560000000000001</v>
      </c>
      <c r="AY52" s="363">
        <v>0.59709999999999996</v>
      </c>
      <c r="AZ52" s="363">
        <v>0.60870000000000002</v>
      </c>
      <c r="BA52" s="363">
        <v>0.62029999999999996</v>
      </c>
      <c r="BB52" s="363">
        <v>0.6321</v>
      </c>
      <c r="BC52" s="363">
        <v>0.64400000000000002</v>
      </c>
      <c r="BD52" s="363">
        <v>0.65590000000000004</v>
      </c>
      <c r="BE52" s="363">
        <v>0.91139999999999999</v>
      </c>
      <c r="BF52" s="363">
        <v>0.96709999999999996</v>
      </c>
      <c r="BG52" s="363">
        <v>1.0239</v>
      </c>
      <c r="BH52" s="363">
        <v>1.0794999999999999</v>
      </c>
      <c r="BI52" s="363">
        <v>1.1399999999999999</v>
      </c>
      <c r="BJ52" s="363">
        <v>1.2018</v>
      </c>
      <c r="BK52" s="363">
        <v>1.2626999999999999</v>
      </c>
      <c r="BN52" s="364">
        <f t="shared" si="0"/>
        <v>1.2626999999999999</v>
      </c>
      <c r="BO52" s="363">
        <f t="shared" si="1"/>
        <v>2017</v>
      </c>
    </row>
    <row r="53" spans="2:67" x14ac:dyDescent="0.25">
      <c r="B53" s="363" t="s">
        <v>190</v>
      </c>
      <c r="C53" s="363" t="s">
        <v>157</v>
      </c>
      <c r="D53" s="363" t="s">
        <v>1232</v>
      </c>
      <c r="E53" s="363" t="s">
        <v>1231</v>
      </c>
      <c r="AX53" s="363">
        <v>0.98460000000000003</v>
      </c>
      <c r="AY53" s="363">
        <v>0.5625</v>
      </c>
      <c r="BC53" s="363">
        <v>0.70250000000000001</v>
      </c>
      <c r="BF53" s="363">
        <v>0.9214</v>
      </c>
      <c r="BN53" s="364">
        <f t="shared" si="0"/>
        <v>0.9214</v>
      </c>
      <c r="BO53" s="363">
        <f t="shared" si="1"/>
        <v>2012</v>
      </c>
    </row>
    <row r="54" spans="2:67" x14ac:dyDescent="0.25">
      <c r="B54" s="363" t="s">
        <v>448</v>
      </c>
      <c r="C54" s="363" t="s">
        <v>30</v>
      </c>
      <c r="D54" s="363" t="s">
        <v>1232</v>
      </c>
      <c r="E54" s="363" t="s">
        <v>1231</v>
      </c>
      <c r="AX54" s="363">
        <v>0.874</v>
      </c>
      <c r="BC54" s="363">
        <v>0.998</v>
      </c>
      <c r="BD54" s="363">
        <v>1.0808</v>
      </c>
      <c r="BE54" s="363">
        <v>1.0687</v>
      </c>
      <c r="BF54" s="363">
        <v>1.0720000000000001</v>
      </c>
      <c r="BG54" s="363">
        <v>1.1420999999999999</v>
      </c>
      <c r="BI54" s="363">
        <v>1.2272000000000001</v>
      </c>
      <c r="BN54" s="364">
        <f t="shared" si="0"/>
        <v>1.2272000000000001</v>
      </c>
      <c r="BO54" s="363">
        <f t="shared" si="1"/>
        <v>2015</v>
      </c>
    </row>
    <row r="55" spans="2:67" x14ac:dyDescent="0.25">
      <c r="B55" s="363" t="s">
        <v>463</v>
      </c>
      <c r="C55" s="363" t="s">
        <v>31</v>
      </c>
      <c r="D55" s="363" t="s">
        <v>1232</v>
      </c>
      <c r="E55" s="363" t="s">
        <v>1231</v>
      </c>
      <c r="AT55" s="363">
        <v>0.93059999999999998</v>
      </c>
      <c r="BG55" s="363">
        <v>0.79569999999999996</v>
      </c>
      <c r="BN55" s="364">
        <f t="shared" si="0"/>
        <v>0.79569999999999996</v>
      </c>
      <c r="BO55" s="363">
        <f t="shared" si="1"/>
        <v>2013</v>
      </c>
    </row>
    <row r="56" spans="2:67" x14ac:dyDescent="0.25">
      <c r="B56" s="363" t="s">
        <v>450</v>
      </c>
      <c r="C56" s="363" t="s">
        <v>451</v>
      </c>
      <c r="D56" s="363" t="s">
        <v>1232</v>
      </c>
      <c r="E56" s="363" t="s">
        <v>1231</v>
      </c>
      <c r="BI56" s="363">
        <v>2.3199774630542551</v>
      </c>
      <c r="BN56" s="364">
        <f t="shared" si="0"/>
        <v>2.3199774630542551</v>
      </c>
      <c r="BO56" s="363">
        <f t="shared" si="1"/>
        <v>2015</v>
      </c>
    </row>
    <row r="57" spans="2:67" x14ac:dyDescent="0.25">
      <c r="B57" s="363" t="s">
        <v>221</v>
      </c>
      <c r="C57" s="363" t="s">
        <v>161</v>
      </c>
      <c r="D57" s="363" t="s">
        <v>1232</v>
      </c>
      <c r="E57" s="363" t="s">
        <v>1231</v>
      </c>
      <c r="AV57" s="363">
        <v>7.4772999999999996</v>
      </c>
      <c r="BA57" s="363">
        <v>8.6519999999999992</v>
      </c>
      <c r="BD57" s="363">
        <v>9.0897000000000006</v>
      </c>
      <c r="BF57" s="363">
        <v>8.0943000000000005</v>
      </c>
      <c r="BG57" s="363">
        <v>7.7428999999999997</v>
      </c>
      <c r="BH57" s="363">
        <v>7.9340999999999999</v>
      </c>
      <c r="BK57" s="363">
        <v>7.79</v>
      </c>
      <c r="BN57" s="364">
        <f t="shared" si="0"/>
        <v>7.79</v>
      </c>
      <c r="BO57" s="363">
        <f t="shared" si="1"/>
        <v>2017</v>
      </c>
    </row>
    <row r="58" spans="2:67" x14ac:dyDescent="0.25">
      <c r="B58" s="363" t="s">
        <v>466</v>
      </c>
      <c r="C58" s="363" t="s">
        <v>467</v>
      </c>
      <c r="D58" s="363" t="s">
        <v>1232</v>
      </c>
      <c r="E58" s="363" t="s">
        <v>1231</v>
      </c>
      <c r="BN58" s="364" t="str">
        <f t="shared" si="0"/>
        <v>No reported value</v>
      </c>
      <c r="BO58" s="363" t="str">
        <f t="shared" si="1"/>
        <v>No reported value</v>
      </c>
    </row>
    <row r="59" spans="2:67" x14ac:dyDescent="0.25">
      <c r="B59" s="363" t="s">
        <v>452</v>
      </c>
      <c r="C59" s="363" t="s">
        <v>453</v>
      </c>
      <c r="D59" s="363" t="s">
        <v>1232</v>
      </c>
      <c r="E59" s="363" t="s">
        <v>1231</v>
      </c>
      <c r="BN59" s="364" t="str">
        <f t="shared" si="0"/>
        <v>No reported value</v>
      </c>
      <c r="BO59" s="363" t="str">
        <f t="shared" si="1"/>
        <v>No reported value</v>
      </c>
    </row>
    <row r="60" spans="2:67" x14ac:dyDescent="0.25">
      <c r="B60" s="363" t="s">
        <v>468</v>
      </c>
      <c r="C60" s="363" t="s">
        <v>32</v>
      </c>
      <c r="D60" s="363" t="s">
        <v>1232</v>
      </c>
      <c r="E60" s="363" t="s">
        <v>1231</v>
      </c>
      <c r="AJ60" s="363">
        <v>3.2324999999999999</v>
      </c>
      <c r="AO60" s="363">
        <v>3.2978999999999998</v>
      </c>
      <c r="AV60" s="363">
        <v>3.0644999999999998</v>
      </c>
      <c r="BA60" s="363">
        <v>3.3957000000000002</v>
      </c>
      <c r="BB60" s="363">
        <v>3.4300999999999999</v>
      </c>
      <c r="BC60" s="363">
        <v>3.4660000000000002</v>
      </c>
      <c r="BG60" s="363">
        <v>4.0773000000000001</v>
      </c>
      <c r="BH60" s="363">
        <v>4.1222000000000003</v>
      </c>
      <c r="BJ60" s="363">
        <v>5.2516999999999996</v>
      </c>
      <c r="BN60" s="364">
        <f t="shared" si="0"/>
        <v>5.2516999999999996</v>
      </c>
      <c r="BO60" s="363">
        <f t="shared" si="1"/>
        <v>2016</v>
      </c>
    </row>
    <row r="61" spans="2:67" x14ac:dyDescent="0.25">
      <c r="B61" s="363" t="s">
        <v>469</v>
      </c>
      <c r="C61" s="363" t="s">
        <v>33</v>
      </c>
      <c r="D61" s="363" t="s">
        <v>1232</v>
      </c>
      <c r="E61" s="363" t="s">
        <v>1231</v>
      </c>
      <c r="AZ61" s="363">
        <v>8.93</v>
      </c>
      <c r="BA61" s="363">
        <v>8.9540000000000006</v>
      </c>
      <c r="BB61" s="363">
        <v>8.5500000000000007</v>
      </c>
      <c r="BD61" s="363">
        <v>8.4690999999999992</v>
      </c>
      <c r="BE61" s="363">
        <v>8.4027999999999992</v>
      </c>
      <c r="BF61" s="363">
        <v>8.4220000000000006</v>
      </c>
      <c r="BG61" s="363">
        <v>8.3462999999999994</v>
      </c>
      <c r="BH61" s="363">
        <v>8.6873000000000005</v>
      </c>
      <c r="BI61" s="363">
        <v>8.3690999999999995</v>
      </c>
      <c r="BJ61" s="363">
        <v>8.4070999999999998</v>
      </c>
      <c r="BN61" s="364">
        <f t="shared" si="0"/>
        <v>8.4070999999999998</v>
      </c>
      <c r="BO61" s="363">
        <f t="shared" si="1"/>
        <v>2016</v>
      </c>
    </row>
    <row r="62" spans="2:67" x14ac:dyDescent="0.25">
      <c r="B62" s="363" t="s">
        <v>506</v>
      </c>
      <c r="C62" s="363" t="s">
        <v>34</v>
      </c>
      <c r="D62" s="363" t="s">
        <v>1232</v>
      </c>
      <c r="E62" s="363" t="s">
        <v>1231</v>
      </c>
      <c r="AW62" s="363">
        <v>9.7200000000000006</v>
      </c>
      <c r="AY62" s="363">
        <v>8.01</v>
      </c>
      <c r="AZ62" s="363">
        <v>7.9909999999999997</v>
      </c>
      <c r="BB62" s="363">
        <v>10.82</v>
      </c>
      <c r="BD62" s="363">
        <v>12.534800000000001</v>
      </c>
      <c r="BE62" s="363">
        <v>12.689399999999999</v>
      </c>
      <c r="BF62" s="363">
        <v>12.7797</v>
      </c>
      <c r="BG62" s="363">
        <v>13.1914</v>
      </c>
      <c r="BH62" s="363">
        <v>13.4373</v>
      </c>
      <c r="BI62" s="363">
        <v>12.924099999999999</v>
      </c>
      <c r="BJ62" s="363">
        <v>13.1967</v>
      </c>
      <c r="BN62" s="364">
        <f t="shared" si="0"/>
        <v>13.1967</v>
      </c>
      <c r="BO62" s="363">
        <f t="shared" si="1"/>
        <v>2016</v>
      </c>
    </row>
    <row r="63" spans="2:67" x14ac:dyDescent="0.25">
      <c r="B63" s="363" t="s">
        <v>231</v>
      </c>
      <c r="C63" s="363" t="s">
        <v>35</v>
      </c>
      <c r="D63" s="363" t="s">
        <v>1232</v>
      </c>
      <c r="E63" s="363" t="s">
        <v>1231</v>
      </c>
      <c r="AS63" s="363">
        <v>0.70420000000000005</v>
      </c>
      <c r="AV63" s="363">
        <v>0.73709999999999998</v>
      </c>
      <c r="AX63" s="363">
        <v>0.3841</v>
      </c>
      <c r="AY63" s="363">
        <v>0.5746</v>
      </c>
      <c r="BD63" s="363">
        <v>0.8</v>
      </c>
      <c r="BH63" s="363">
        <v>0.53500000000000003</v>
      </c>
      <c r="BN63" s="364">
        <f t="shared" si="0"/>
        <v>0.53500000000000003</v>
      </c>
      <c r="BO63" s="363">
        <f t="shared" si="1"/>
        <v>2014</v>
      </c>
    </row>
    <row r="64" spans="2:67" x14ac:dyDescent="0.25">
      <c r="B64" s="363" t="s">
        <v>471</v>
      </c>
      <c r="C64" s="363" t="s">
        <v>472</v>
      </c>
      <c r="D64" s="363" t="s">
        <v>1232</v>
      </c>
      <c r="E64" s="363" t="s">
        <v>1231</v>
      </c>
      <c r="AQ64" s="363">
        <v>4.4774000000000003</v>
      </c>
      <c r="AU64" s="363">
        <v>6.2840999999999996</v>
      </c>
      <c r="BK64" s="363">
        <v>5.8998999999999997</v>
      </c>
      <c r="BN64" s="364">
        <f t="shared" si="0"/>
        <v>5.8998999999999997</v>
      </c>
      <c r="BO64" s="363">
        <f t="shared" si="1"/>
        <v>2017</v>
      </c>
    </row>
    <row r="65" spans="2:67" x14ac:dyDescent="0.25">
      <c r="B65" s="363" t="s">
        <v>470</v>
      </c>
      <c r="C65" s="363" t="s">
        <v>36</v>
      </c>
      <c r="D65" s="363" t="s">
        <v>1232</v>
      </c>
      <c r="E65" s="363" t="s">
        <v>1231</v>
      </c>
      <c r="AN65" s="363">
        <v>14.3329</v>
      </c>
      <c r="AP65" s="363">
        <v>7.2279999999999998</v>
      </c>
      <c r="AQ65" s="363">
        <v>14.188800000000001</v>
      </c>
      <c r="AR65" s="363">
        <v>7.9829999999999997</v>
      </c>
      <c r="AS65" s="363">
        <v>14.2662</v>
      </c>
      <c r="AU65" s="363">
        <v>17.188600000000001</v>
      </c>
      <c r="AW65" s="363">
        <v>14.8559</v>
      </c>
      <c r="AX65" s="363">
        <v>14.5016</v>
      </c>
      <c r="AY65" s="363">
        <v>14.980399999999999</v>
      </c>
      <c r="AZ65" s="363">
        <v>9.7560000000000002</v>
      </c>
      <c r="BA65" s="363">
        <v>14.54</v>
      </c>
      <c r="BB65" s="363">
        <v>15.468400000000001</v>
      </c>
      <c r="BC65" s="363">
        <v>15.9842</v>
      </c>
      <c r="BD65" s="363">
        <v>16.099799999999998</v>
      </c>
      <c r="BE65" s="363">
        <v>16.269500000000001</v>
      </c>
      <c r="BF65" s="363">
        <v>16.560099999999998</v>
      </c>
      <c r="BG65" s="363">
        <v>16.7698</v>
      </c>
      <c r="BH65" s="363">
        <v>16.963200000000001</v>
      </c>
      <c r="BI65" s="363">
        <v>17.213799999999999</v>
      </c>
      <c r="BJ65" s="363">
        <v>10.3004</v>
      </c>
      <c r="BN65" s="364">
        <f t="shared" si="0"/>
        <v>10.3004</v>
      </c>
      <c r="BO65" s="363">
        <f t="shared" si="1"/>
        <v>2016</v>
      </c>
    </row>
    <row r="66" spans="2:67" x14ac:dyDescent="0.25">
      <c r="B66" s="363" t="s">
        <v>473</v>
      </c>
      <c r="C66" s="363" t="s">
        <v>474</v>
      </c>
      <c r="D66" s="363" t="s">
        <v>1232</v>
      </c>
      <c r="E66" s="363" t="s">
        <v>1231</v>
      </c>
      <c r="AT66" s="363">
        <v>1.7928999999999999</v>
      </c>
      <c r="BC66" s="363">
        <v>1.2988</v>
      </c>
      <c r="BE66" s="363">
        <v>1.3338000000000001</v>
      </c>
      <c r="BK66" s="363">
        <v>0.30990000000000001</v>
      </c>
      <c r="BN66" s="364">
        <f t="shared" si="0"/>
        <v>0.30990000000000001</v>
      </c>
      <c r="BO66" s="363">
        <f t="shared" si="1"/>
        <v>2017</v>
      </c>
    </row>
    <row r="67" spans="2:67" x14ac:dyDescent="0.25">
      <c r="B67" s="363" t="s">
        <v>420</v>
      </c>
      <c r="C67" s="363" t="s">
        <v>37</v>
      </c>
      <c r="D67" s="363" t="s">
        <v>1232</v>
      </c>
      <c r="E67" s="363" t="s">
        <v>1231</v>
      </c>
      <c r="AV67" s="363">
        <v>2.1800000000000002</v>
      </c>
      <c r="BA67" s="363">
        <v>1.9218</v>
      </c>
      <c r="BD67" s="363">
        <v>1.9470000000000001</v>
      </c>
      <c r="BJ67" s="363">
        <v>2.2400000000000002</v>
      </c>
      <c r="BN67" s="364">
        <f t="shared" si="0"/>
        <v>2.2400000000000002</v>
      </c>
      <c r="BO67" s="363">
        <f t="shared" si="1"/>
        <v>2016</v>
      </c>
    </row>
    <row r="68" spans="2:67" x14ac:dyDescent="0.25">
      <c r="B68" s="363" t="s">
        <v>479</v>
      </c>
      <c r="C68" s="363" t="s">
        <v>480</v>
      </c>
      <c r="D68" s="363" t="s">
        <v>1232</v>
      </c>
      <c r="E68" s="363" t="s">
        <v>1231</v>
      </c>
      <c r="AJ68" s="363">
        <v>0.79562089861553364</v>
      </c>
      <c r="AT68" s="363">
        <v>1.2276099795450628</v>
      </c>
      <c r="BI68" s="363">
        <v>2.1533786853858357</v>
      </c>
      <c r="BN68" s="364">
        <f t="shared" si="0"/>
        <v>2.1533786853858357</v>
      </c>
      <c r="BO68" s="363">
        <f t="shared" si="1"/>
        <v>2015</v>
      </c>
    </row>
    <row r="69" spans="2:67" x14ac:dyDescent="0.25">
      <c r="B69" s="363" t="s">
        <v>475</v>
      </c>
      <c r="C69" s="363" t="s">
        <v>476</v>
      </c>
      <c r="D69" s="363" t="s">
        <v>1232</v>
      </c>
      <c r="E69" s="363" t="s">
        <v>1231</v>
      </c>
      <c r="AT69" s="363">
        <v>1.3660961216617917</v>
      </c>
      <c r="BI69" s="363">
        <v>1.9290074393430101</v>
      </c>
      <c r="BN69" s="364">
        <f t="shared" si="0"/>
        <v>1.9290074393430101</v>
      </c>
      <c r="BO69" s="363">
        <f t="shared" si="1"/>
        <v>2015</v>
      </c>
    </row>
    <row r="70" spans="2:67" x14ac:dyDescent="0.25">
      <c r="B70" s="363" t="s">
        <v>477</v>
      </c>
      <c r="C70" s="363" t="s">
        <v>478</v>
      </c>
      <c r="D70" s="363" t="s">
        <v>1232</v>
      </c>
      <c r="E70" s="363" t="s">
        <v>1231</v>
      </c>
      <c r="AJ70" s="363">
        <v>1.2559691849126837</v>
      </c>
      <c r="AT70" s="363">
        <v>1.905664504172645</v>
      </c>
      <c r="BI70" s="363">
        <v>2.9341161379957588</v>
      </c>
      <c r="BN70" s="364">
        <f t="shared" si="0"/>
        <v>2.9341161379957588</v>
      </c>
      <c r="BO70" s="363">
        <f t="shared" si="1"/>
        <v>2015</v>
      </c>
    </row>
    <row r="71" spans="2:67" x14ac:dyDescent="0.25">
      <c r="B71" s="363" t="s">
        <v>491</v>
      </c>
      <c r="C71" s="363" t="s">
        <v>492</v>
      </c>
      <c r="D71" s="363" t="s">
        <v>1232</v>
      </c>
      <c r="E71" s="363" t="s">
        <v>1231</v>
      </c>
      <c r="BI71" s="363">
        <v>7.0208190546653384</v>
      </c>
      <c r="BN71" s="364">
        <f t="shared" si="0"/>
        <v>7.0208190546653384</v>
      </c>
      <c r="BO71" s="363">
        <f t="shared" si="1"/>
        <v>2015</v>
      </c>
    </row>
    <row r="72" spans="2:67" x14ac:dyDescent="0.25">
      <c r="B72" s="363" t="s">
        <v>489</v>
      </c>
      <c r="C72" s="363" t="s">
        <v>490</v>
      </c>
      <c r="D72" s="363" t="s">
        <v>1232</v>
      </c>
      <c r="E72" s="363" t="s">
        <v>1231</v>
      </c>
      <c r="BI72" s="363">
        <v>8.0933931210326051</v>
      </c>
      <c r="BN72" s="364">
        <f t="shared" si="0"/>
        <v>8.0933931210326051</v>
      </c>
      <c r="BO72" s="363">
        <f t="shared" si="1"/>
        <v>2015</v>
      </c>
    </row>
    <row r="73" spans="2:67" x14ac:dyDescent="0.25">
      <c r="B73" s="363" t="s">
        <v>483</v>
      </c>
      <c r="C73" s="363" t="s">
        <v>38</v>
      </c>
      <c r="D73" s="363" t="s">
        <v>1232</v>
      </c>
      <c r="E73" s="363" t="s">
        <v>1231</v>
      </c>
      <c r="AJ73" s="363">
        <v>1.6004</v>
      </c>
      <c r="AK73" s="363">
        <v>1.667</v>
      </c>
      <c r="AL73" s="363">
        <v>1.6895</v>
      </c>
      <c r="AM73" s="363">
        <v>1.444</v>
      </c>
      <c r="AN73" s="363">
        <v>1.6406000000000001</v>
      </c>
      <c r="AO73" s="363">
        <v>1.6055999999999999</v>
      </c>
      <c r="AP73" s="363">
        <v>1.7022999999999999</v>
      </c>
      <c r="AQ73" s="363">
        <v>1.7107000000000001</v>
      </c>
      <c r="AR73" s="363">
        <v>1.6375999999999999</v>
      </c>
      <c r="AS73" s="363">
        <v>1.6588000000000001</v>
      </c>
      <c r="AT73" s="363">
        <v>1.6301000000000001</v>
      </c>
      <c r="AU73" s="363">
        <v>1.5909</v>
      </c>
      <c r="AV73" s="363">
        <v>1.6362000000000001</v>
      </c>
      <c r="AW73" s="363">
        <v>1.5328999999999999</v>
      </c>
      <c r="BC73" s="363">
        <v>1.8897999999999999</v>
      </c>
      <c r="BD73" s="363">
        <v>1.6678999999999999</v>
      </c>
      <c r="BE73" s="363">
        <v>2.0842999999999998</v>
      </c>
      <c r="BI73" s="363">
        <v>2.4882</v>
      </c>
      <c r="BJ73" s="363">
        <v>1.2</v>
      </c>
      <c r="BN73" s="364">
        <f t="shared" ref="BN73:BN136" si="2">IFERROR(LOOKUP(2,1/(ISNUMBER(F73:BM73)),F73:BM73),"No reported value")</f>
        <v>1.2</v>
      </c>
      <c r="BO73" s="363">
        <f t="shared" ref="BO73:BO136" si="3">IFERROR(INDEX($F$8:$BM$8,1,MATCH($BN73,$F73:$BM73,0)),"No reported value")</f>
        <v>2016</v>
      </c>
    </row>
    <row r="74" spans="2:67" x14ac:dyDescent="0.25">
      <c r="B74" s="363" t="s">
        <v>484</v>
      </c>
      <c r="C74" s="363" t="s">
        <v>39</v>
      </c>
      <c r="D74" s="363" t="s">
        <v>1232</v>
      </c>
      <c r="E74" s="363" t="s">
        <v>1231</v>
      </c>
      <c r="AX74" s="363">
        <v>1.9469000000000001</v>
      </c>
      <c r="AZ74" s="363">
        <v>2.2978000000000001</v>
      </c>
      <c r="BD74" s="363">
        <v>3.52</v>
      </c>
      <c r="BG74" s="363">
        <v>1.4741</v>
      </c>
      <c r="BH74" s="363">
        <v>1.399</v>
      </c>
      <c r="BI74" s="363">
        <v>1.5</v>
      </c>
      <c r="BJ74" s="363">
        <v>1.3835</v>
      </c>
      <c r="BK74" s="363">
        <v>1.3989</v>
      </c>
      <c r="BN74" s="364">
        <f t="shared" si="2"/>
        <v>1.3989</v>
      </c>
      <c r="BO74" s="363">
        <f t="shared" si="3"/>
        <v>2017</v>
      </c>
    </row>
    <row r="75" spans="2:67" x14ac:dyDescent="0.25">
      <c r="B75" s="363" t="s">
        <v>487</v>
      </c>
      <c r="C75" s="363" t="s">
        <v>488</v>
      </c>
      <c r="D75" s="363" t="s">
        <v>1232</v>
      </c>
      <c r="E75" s="363" t="s">
        <v>1231</v>
      </c>
      <c r="BI75" s="363">
        <v>9.1263260403644342</v>
      </c>
      <c r="BN75" s="364">
        <f t="shared" si="2"/>
        <v>9.1263260403644342</v>
      </c>
      <c r="BO75" s="363">
        <f t="shared" si="3"/>
        <v>2015</v>
      </c>
    </row>
    <row r="76" spans="2:67" x14ac:dyDescent="0.25">
      <c r="B76" s="363" t="s">
        <v>192</v>
      </c>
      <c r="C76" s="363" t="s">
        <v>168</v>
      </c>
      <c r="D76" s="363" t="s">
        <v>1232</v>
      </c>
      <c r="E76" s="363" t="s">
        <v>1231</v>
      </c>
      <c r="AX76" s="363">
        <v>0.6492</v>
      </c>
      <c r="BN76" s="364">
        <f t="shared" si="2"/>
        <v>0.6492</v>
      </c>
      <c r="BO76" s="363">
        <f t="shared" si="3"/>
        <v>2004</v>
      </c>
    </row>
    <row r="77" spans="2:67" x14ac:dyDescent="0.25">
      <c r="B77" s="363" t="s">
        <v>636</v>
      </c>
      <c r="C77" s="363" t="s">
        <v>40</v>
      </c>
      <c r="D77" s="363" t="s">
        <v>1232</v>
      </c>
      <c r="E77" s="363" t="s">
        <v>1231</v>
      </c>
      <c r="AJ77" s="363">
        <v>4.0324</v>
      </c>
      <c r="AK77" s="363">
        <v>4.0932000000000004</v>
      </c>
      <c r="AL77" s="363">
        <v>4.1727999999999996</v>
      </c>
      <c r="AM77" s="363">
        <v>4.2355999999999998</v>
      </c>
      <c r="AN77" s="363">
        <v>4.2237999999999998</v>
      </c>
      <c r="AO77" s="363">
        <v>4.3151000000000002</v>
      </c>
      <c r="AP77" s="363">
        <v>4.4248000000000003</v>
      </c>
      <c r="AQ77" s="363">
        <v>4.532</v>
      </c>
      <c r="AR77" s="363">
        <v>4.78</v>
      </c>
      <c r="AS77" s="363">
        <v>4.8677999999999999</v>
      </c>
      <c r="AT77" s="363">
        <v>4.9992000000000001</v>
      </c>
      <c r="AU77" s="363">
        <v>5.0384000000000002</v>
      </c>
      <c r="AV77" s="363">
        <v>5.0819000000000001</v>
      </c>
      <c r="AW77" s="363">
        <v>5.1759000000000004</v>
      </c>
      <c r="AX77" s="363">
        <v>5.2012999999999998</v>
      </c>
      <c r="AY77" s="363">
        <v>5.2449000000000003</v>
      </c>
      <c r="AZ77" s="363">
        <v>5.3000999999999996</v>
      </c>
      <c r="BA77" s="363">
        <v>5.3529</v>
      </c>
      <c r="BB77" s="363">
        <v>5.4355000000000002</v>
      </c>
      <c r="BC77" s="363">
        <v>5.4962999999999997</v>
      </c>
      <c r="BD77" s="363">
        <v>5.1265999999999998</v>
      </c>
      <c r="BE77" s="363">
        <v>5.2008000000000001</v>
      </c>
      <c r="BF77" s="363">
        <v>5.2350000000000003</v>
      </c>
      <c r="BG77" s="363">
        <v>5.4897999999999998</v>
      </c>
      <c r="BH77" s="363">
        <v>5.5113000000000003</v>
      </c>
      <c r="BI77" s="363">
        <v>5.2919</v>
      </c>
      <c r="BJ77" s="363">
        <v>5.5307000000000004</v>
      </c>
      <c r="BN77" s="364">
        <f t="shared" si="2"/>
        <v>5.5307000000000004</v>
      </c>
      <c r="BO77" s="363">
        <f t="shared" si="3"/>
        <v>2016</v>
      </c>
    </row>
    <row r="78" spans="2:67" x14ac:dyDescent="0.25">
      <c r="B78" s="363" t="s">
        <v>485</v>
      </c>
      <c r="C78" s="363" t="s">
        <v>41</v>
      </c>
      <c r="D78" s="363" t="s">
        <v>1232</v>
      </c>
      <c r="E78" s="363" t="s">
        <v>1231</v>
      </c>
      <c r="AT78" s="363">
        <v>8.6390999999999991</v>
      </c>
      <c r="AZ78" s="363">
        <v>6.98</v>
      </c>
      <c r="BB78" s="363">
        <v>6.82</v>
      </c>
      <c r="BD78" s="363">
        <v>6.6767000000000003</v>
      </c>
      <c r="BE78" s="363">
        <v>6.8089000000000004</v>
      </c>
      <c r="BF78" s="363">
        <v>6.4494999999999996</v>
      </c>
      <c r="BG78" s="363">
        <v>6.1750999999999996</v>
      </c>
      <c r="BH78" s="363">
        <v>6.2811000000000003</v>
      </c>
      <c r="BI78" s="363">
        <v>6.3521999999999998</v>
      </c>
      <c r="BJ78" s="363">
        <v>6.4526000000000003</v>
      </c>
      <c r="BN78" s="364">
        <f t="shared" si="2"/>
        <v>6.4526000000000003</v>
      </c>
      <c r="BO78" s="363">
        <f t="shared" si="3"/>
        <v>2016</v>
      </c>
    </row>
    <row r="79" spans="2:67" x14ac:dyDescent="0.25">
      <c r="B79" s="363" t="s">
        <v>194</v>
      </c>
      <c r="C79" s="363" t="s">
        <v>42</v>
      </c>
      <c r="D79" s="363" t="s">
        <v>1232</v>
      </c>
      <c r="E79" s="363" t="s">
        <v>1231</v>
      </c>
      <c r="AW79" s="363">
        <v>0.21429999999999999</v>
      </c>
      <c r="AX79" s="363">
        <v>0.20830000000000001</v>
      </c>
      <c r="AY79" s="363">
        <v>0.24510000000000001</v>
      </c>
      <c r="AZ79" s="363">
        <v>0.2263</v>
      </c>
      <c r="BA79" s="363">
        <v>0.224</v>
      </c>
      <c r="BB79" s="363">
        <v>0.20150000000000001</v>
      </c>
      <c r="BC79" s="363">
        <v>0.25159999999999999</v>
      </c>
      <c r="BD79" s="363">
        <v>0.23599999999999999</v>
      </c>
      <c r="BK79" s="363">
        <v>0.84</v>
      </c>
      <c r="BN79" s="364">
        <f t="shared" si="2"/>
        <v>0.84</v>
      </c>
      <c r="BO79" s="363">
        <f t="shared" si="3"/>
        <v>2017</v>
      </c>
    </row>
    <row r="80" spans="2:67" x14ac:dyDescent="0.25">
      <c r="B80" s="363" t="s">
        <v>495</v>
      </c>
      <c r="C80" s="363" t="s">
        <v>496</v>
      </c>
      <c r="D80" s="363" t="s">
        <v>1232</v>
      </c>
      <c r="E80" s="363" t="s">
        <v>1231</v>
      </c>
      <c r="BI80" s="363">
        <v>8.5822719417618902</v>
      </c>
      <c r="BN80" s="364">
        <f t="shared" si="2"/>
        <v>8.5822719417618902</v>
      </c>
      <c r="BO80" s="363">
        <f t="shared" si="3"/>
        <v>2015</v>
      </c>
    </row>
    <row r="81" spans="2:67" x14ac:dyDescent="0.25">
      <c r="B81" s="363" t="s">
        <v>500</v>
      </c>
      <c r="C81" s="363" t="s">
        <v>501</v>
      </c>
      <c r="D81" s="363" t="s">
        <v>1232</v>
      </c>
      <c r="E81" s="363" t="s">
        <v>1231</v>
      </c>
      <c r="BI81" s="363">
        <v>0.86253797717014757</v>
      </c>
      <c r="BN81" s="364">
        <f t="shared" si="2"/>
        <v>0.86253797717014757</v>
      </c>
      <c r="BO81" s="363">
        <f t="shared" si="3"/>
        <v>2015</v>
      </c>
    </row>
    <row r="82" spans="2:67" x14ac:dyDescent="0.25">
      <c r="B82" s="363" t="s">
        <v>499</v>
      </c>
      <c r="C82" s="363" t="s">
        <v>43</v>
      </c>
      <c r="D82" s="363" t="s">
        <v>1232</v>
      </c>
      <c r="E82" s="363" t="s">
        <v>1231</v>
      </c>
      <c r="AV82" s="363">
        <v>15.038600000000001</v>
      </c>
      <c r="AZ82" s="363">
        <v>8.92</v>
      </c>
      <c r="BA82" s="363">
        <v>15.52</v>
      </c>
      <c r="BC82" s="363">
        <v>23.746700000000001</v>
      </c>
      <c r="BD82" s="363">
        <v>14.660600000000001</v>
      </c>
      <c r="BE82" s="363">
        <v>14.904400000000001</v>
      </c>
      <c r="BF82" s="363">
        <v>14.965999999999999</v>
      </c>
      <c r="BG82" s="363">
        <v>14.8538</v>
      </c>
      <c r="BH82" s="363">
        <v>15.086499999999999</v>
      </c>
      <c r="BJ82" s="363">
        <v>14.723000000000001</v>
      </c>
      <c r="BN82" s="364">
        <f t="shared" si="2"/>
        <v>14.723000000000001</v>
      </c>
      <c r="BO82" s="363">
        <f t="shared" si="3"/>
        <v>2016</v>
      </c>
    </row>
    <row r="83" spans="2:67" x14ac:dyDescent="0.25">
      <c r="B83" s="363" t="s">
        <v>248</v>
      </c>
      <c r="C83" s="363" t="s">
        <v>44</v>
      </c>
      <c r="D83" s="363" t="s">
        <v>1232</v>
      </c>
      <c r="E83" s="363" t="s">
        <v>1231</v>
      </c>
      <c r="AS83" s="363">
        <v>1.9540999999999999</v>
      </c>
      <c r="AW83" s="363">
        <v>2.0327999999999999</v>
      </c>
      <c r="BB83" s="363">
        <v>2.1154999999999999</v>
      </c>
      <c r="BC83" s="363">
        <v>2.2968999999999999</v>
      </c>
      <c r="BD83" s="363">
        <v>2.242</v>
      </c>
      <c r="BG83" s="363">
        <v>2.8567</v>
      </c>
      <c r="BI83" s="363">
        <v>2.9380000000000002</v>
      </c>
      <c r="BN83" s="364">
        <f t="shared" si="2"/>
        <v>2.9380000000000002</v>
      </c>
      <c r="BO83" s="363">
        <f t="shared" si="3"/>
        <v>2015</v>
      </c>
    </row>
    <row r="84" spans="2:67" x14ac:dyDescent="0.25">
      <c r="B84" s="363" t="s">
        <v>502</v>
      </c>
      <c r="C84" s="363" t="s">
        <v>45</v>
      </c>
      <c r="D84" s="363" t="s">
        <v>1232</v>
      </c>
      <c r="E84" s="363" t="s">
        <v>1231</v>
      </c>
      <c r="AK84" s="363">
        <v>5.5735000000000001</v>
      </c>
      <c r="AP84" s="363">
        <v>6.0909000000000004</v>
      </c>
      <c r="AS84" s="363">
        <v>6.4240000000000004</v>
      </c>
      <c r="AT84" s="363">
        <v>6.6647999999999996</v>
      </c>
      <c r="AU84" s="363">
        <v>6.8807</v>
      </c>
      <c r="AV84" s="363">
        <v>7.0731000000000002</v>
      </c>
      <c r="AW84" s="363">
        <v>7.2521000000000004</v>
      </c>
      <c r="AX84" s="363">
        <v>7.4508999999999999</v>
      </c>
      <c r="AY84" s="363">
        <v>7.6597</v>
      </c>
      <c r="AZ84" s="363">
        <v>7.8906000000000001</v>
      </c>
      <c r="BA84" s="363">
        <v>8.0835000000000008</v>
      </c>
      <c r="BB84" s="363">
        <v>7.94</v>
      </c>
      <c r="BE84" s="363">
        <v>9.5762999999999998</v>
      </c>
      <c r="BF84" s="363">
        <v>9.9940999999999995</v>
      </c>
      <c r="BG84" s="363">
        <v>10.3056</v>
      </c>
      <c r="BH84" s="363">
        <v>10.616300000000001</v>
      </c>
      <c r="BI84" s="363">
        <v>10.940300000000001</v>
      </c>
      <c r="BJ84" s="363">
        <v>9.6887000000000008</v>
      </c>
      <c r="BN84" s="364">
        <f t="shared" si="2"/>
        <v>9.6887000000000008</v>
      </c>
      <c r="BO84" s="363">
        <f t="shared" si="3"/>
        <v>2016</v>
      </c>
    </row>
    <row r="85" spans="2:67" x14ac:dyDescent="0.25">
      <c r="B85" s="363" t="s">
        <v>497</v>
      </c>
      <c r="C85" s="363" t="s">
        <v>498</v>
      </c>
      <c r="D85" s="363" t="s">
        <v>1232</v>
      </c>
      <c r="E85" s="363" t="s">
        <v>1231</v>
      </c>
      <c r="BN85" s="364" t="str">
        <f t="shared" si="2"/>
        <v>No reported value</v>
      </c>
      <c r="BO85" s="363" t="str">
        <f t="shared" si="3"/>
        <v>No reported value</v>
      </c>
    </row>
    <row r="86" spans="2:67" x14ac:dyDescent="0.25">
      <c r="B86" s="363" t="s">
        <v>570</v>
      </c>
      <c r="C86" s="363" t="s">
        <v>571</v>
      </c>
      <c r="D86" s="363" t="s">
        <v>1232</v>
      </c>
      <c r="E86" s="363" t="s">
        <v>1231</v>
      </c>
      <c r="AT86" s="363">
        <v>3.8826999999999998</v>
      </c>
      <c r="AW86" s="363">
        <v>2.3408000000000002</v>
      </c>
      <c r="AY86" s="363">
        <v>2.3445999999999998</v>
      </c>
      <c r="BB86" s="363">
        <v>2.6793999999999998</v>
      </c>
      <c r="BC86" s="363">
        <v>3.6057999999999999</v>
      </c>
      <c r="BD86" s="363">
        <v>3.319</v>
      </c>
      <c r="BN86" s="364">
        <f t="shared" si="2"/>
        <v>3.319</v>
      </c>
      <c r="BO86" s="363">
        <f t="shared" si="3"/>
        <v>2010</v>
      </c>
    </row>
    <row r="87" spans="2:67" x14ac:dyDescent="0.25">
      <c r="B87" s="363" t="s">
        <v>195</v>
      </c>
      <c r="C87" s="363" t="s">
        <v>46</v>
      </c>
      <c r="D87" s="363" t="s">
        <v>1232</v>
      </c>
      <c r="E87" s="363" t="s">
        <v>1231</v>
      </c>
      <c r="AX87" s="363">
        <v>4.9684999999999997</v>
      </c>
      <c r="BJ87" s="363">
        <v>2.5806</v>
      </c>
      <c r="BN87" s="364">
        <f t="shared" si="2"/>
        <v>2.5806</v>
      </c>
      <c r="BO87" s="363">
        <f t="shared" si="3"/>
        <v>2016</v>
      </c>
    </row>
    <row r="88" spans="2:67" x14ac:dyDescent="0.25">
      <c r="B88" s="363" t="s">
        <v>662</v>
      </c>
      <c r="C88" s="363" t="s">
        <v>47</v>
      </c>
      <c r="D88" s="363" t="s">
        <v>1232</v>
      </c>
      <c r="E88" s="363" t="s">
        <v>1231</v>
      </c>
      <c r="AQ88" s="363">
        <v>12.155099999999999</v>
      </c>
      <c r="AW88" s="363">
        <v>0.628</v>
      </c>
      <c r="BD88" s="363">
        <v>9.9578000000000007</v>
      </c>
      <c r="BE88" s="363">
        <v>9.2668999999999997</v>
      </c>
      <c r="BF88" s="363">
        <v>9.1179000000000006</v>
      </c>
      <c r="BG88" s="363">
        <v>9.0977999999999994</v>
      </c>
      <c r="BH88" s="363">
        <v>8.6354000000000006</v>
      </c>
      <c r="BI88" s="363">
        <v>8.8270999999999997</v>
      </c>
      <c r="BJ88" s="363">
        <v>8.3340999999999994</v>
      </c>
      <c r="BK88" s="363">
        <v>8.2878000000000007</v>
      </c>
      <c r="BN88" s="364">
        <f t="shared" si="2"/>
        <v>8.2878000000000007</v>
      </c>
      <c r="BO88" s="363">
        <f t="shared" si="3"/>
        <v>2017</v>
      </c>
    </row>
    <row r="89" spans="2:67" x14ac:dyDescent="0.25">
      <c r="B89" s="363" t="s">
        <v>236</v>
      </c>
      <c r="C89" s="363" t="s">
        <v>48</v>
      </c>
      <c r="D89" s="363" t="s">
        <v>1232</v>
      </c>
      <c r="E89" s="363" t="s">
        <v>1231</v>
      </c>
      <c r="AZ89" s="363">
        <v>4.03</v>
      </c>
      <c r="BA89" s="363">
        <v>3.89</v>
      </c>
      <c r="BB89" s="363">
        <v>3.3167</v>
      </c>
      <c r="BC89" s="363">
        <v>3.2477</v>
      </c>
      <c r="BD89" s="363">
        <v>4.0419</v>
      </c>
      <c r="BE89" s="363">
        <v>4.0095000000000001</v>
      </c>
      <c r="BF89" s="363">
        <v>3.8369</v>
      </c>
      <c r="BG89" s="363">
        <v>3.9331</v>
      </c>
      <c r="BH89" s="363">
        <v>4.0133999999999999</v>
      </c>
      <c r="BI89" s="363">
        <v>4.0914000000000001</v>
      </c>
      <c r="BN89" s="364">
        <f t="shared" si="2"/>
        <v>4.0914000000000001</v>
      </c>
      <c r="BO89" s="363">
        <f t="shared" si="3"/>
        <v>2015</v>
      </c>
    </row>
    <row r="90" spans="2:67" x14ac:dyDescent="0.25">
      <c r="B90" s="363" t="s">
        <v>196</v>
      </c>
      <c r="C90" s="363" t="s">
        <v>162</v>
      </c>
      <c r="D90" s="363" t="s">
        <v>1232</v>
      </c>
      <c r="E90" s="363" t="s">
        <v>1231</v>
      </c>
      <c r="AX90" s="363">
        <v>0.93899999999999995</v>
      </c>
      <c r="BB90" s="363">
        <v>0.98009999999999997</v>
      </c>
      <c r="BC90" s="363">
        <v>1.0448</v>
      </c>
      <c r="BD90" s="363">
        <v>0.91820000000000002</v>
      </c>
      <c r="BG90" s="363">
        <v>1.5911999999999999</v>
      </c>
      <c r="BJ90" s="363">
        <v>1.5492999999999999</v>
      </c>
      <c r="BK90" s="363">
        <v>1.2</v>
      </c>
      <c r="BN90" s="364">
        <f t="shared" si="2"/>
        <v>1.2</v>
      </c>
      <c r="BO90" s="363">
        <f t="shared" si="3"/>
        <v>2017</v>
      </c>
    </row>
    <row r="91" spans="2:67" x14ac:dyDescent="0.25">
      <c r="B91" s="363" t="s">
        <v>507</v>
      </c>
      <c r="C91" s="363" t="s">
        <v>508</v>
      </c>
      <c r="D91" s="363" t="s">
        <v>1232</v>
      </c>
      <c r="E91" s="363" t="s">
        <v>1231</v>
      </c>
      <c r="BN91" s="364" t="str">
        <f t="shared" si="2"/>
        <v>No reported value</v>
      </c>
      <c r="BO91" s="363" t="str">
        <f t="shared" si="3"/>
        <v>No reported value</v>
      </c>
    </row>
    <row r="92" spans="2:67" x14ac:dyDescent="0.25">
      <c r="B92" s="363" t="s">
        <v>197</v>
      </c>
      <c r="C92" s="363" t="s">
        <v>49</v>
      </c>
      <c r="D92" s="363" t="s">
        <v>1232</v>
      </c>
      <c r="E92" s="363" t="s">
        <v>1231</v>
      </c>
      <c r="AT92" s="363">
        <v>0.432</v>
      </c>
      <c r="AX92" s="363">
        <v>0.46450000000000002</v>
      </c>
      <c r="BJ92" s="363">
        <v>0.38440000000000002</v>
      </c>
      <c r="BN92" s="364">
        <f t="shared" si="2"/>
        <v>0.38440000000000002</v>
      </c>
      <c r="BO92" s="363">
        <f t="shared" si="3"/>
        <v>2016</v>
      </c>
    </row>
    <row r="93" spans="2:67" x14ac:dyDescent="0.25">
      <c r="B93" s="363" t="s">
        <v>505</v>
      </c>
      <c r="C93" s="363" t="s">
        <v>50</v>
      </c>
      <c r="D93" s="363" t="s">
        <v>1232</v>
      </c>
      <c r="E93" s="363" t="s">
        <v>1231</v>
      </c>
      <c r="AW93" s="363">
        <v>1.389</v>
      </c>
      <c r="AX93" s="363">
        <v>0.49690000000000001</v>
      </c>
      <c r="AY93" s="363">
        <v>0.50690000000000002</v>
      </c>
      <c r="AZ93" s="363">
        <v>0.505</v>
      </c>
      <c r="BA93" s="363">
        <v>0.8206</v>
      </c>
      <c r="BB93" s="363">
        <v>0.88819999999999999</v>
      </c>
      <c r="BD93" s="363">
        <v>0.56799999999999995</v>
      </c>
      <c r="BF93" s="363">
        <v>1.3801000000000001</v>
      </c>
      <c r="BI93" s="363">
        <v>1.6292</v>
      </c>
      <c r="BN93" s="364">
        <f t="shared" si="2"/>
        <v>1.6292</v>
      </c>
      <c r="BO93" s="363">
        <f t="shared" si="3"/>
        <v>2015</v>
      </c>
    </row>
    <row r="94" spans="2:67" x14ac:dyDescent="0.25">
      <c r="B94" s="363" t="s">
        <v>198</v>
      </c>
      <c r="C94" s="363" t="s">
        <v>172</v>
      </c>
      <c r="D94" s="363" t="s">
        <v>1232</v>
      </c>
      <c r="E94" s="363" t="s">
        <v>1231</v>
      </c>
      <c r="AX94" s="363">
        <v>0.79390000000000005</v>
      </c>
      <c r="BB94" s="363">
        <v>0.64359999999999995</v>
      </c>
      <c r="BC94" s="363">
        <v>0.68669999999999998</v>
      </c>
      <c r="BD94" s="363">
        <v>0.55100000000000005</v>
      </c>
      <c r="BE94" s="363">
        <v>0.55069999999999997</v>
      </c>
      <c r="BI94" s="363">
        <v>1.4</v>
      </c>
      <c r="BN94" s="364">
        <f t="shared" si="2"/>
        <v>1.4</v>
      </c>
      <c r="BO94" s="363">
        <f t="shared" si="3"/>
        <v>2015</v>
      </c>
    </row>
    <row r="95" spans="2:67" x14ac:dyDescent="0.25">
      <c r="B95" s="363" t="s">
        <v>191</v>
      </c>
      <c r="C95" s="363" t="s">
        <v>174</v>
      </c>
      <c r="D95" s="363" t="s">
        <v>1232</v>
      </c>
      <c r="E95" s="363" t="s">
        <v>1231</v>
      </c>
      <c r="AX95" s="363">
        <v>0.37390000000000001</v>
      </c>
      <c r="BK95" s="363">
        <v>0.5</v>
      </c>
      <c r="BN95" s="364">
        <f t="shared" si="2"/>
        <v>0.5</v>
      </c>
      <c r="BO95" s="363">
        <f t="shared" si="3"/>
        <v>2017</v>
      </c>
    </row>
    <row r="96" spans="2:67" x14ac:dyDescent="0.25">
      <c r="B96" s="363" t="s">
        <v>509</v>
      </c>
      <c r="C96" s="363" t="s">
        <v>51</v>
      </c>
      <c r="D96" s="363" t="s">
        <v>1232</v>
      </c>
      <c r="E96" s="363" t="s">
        <v>1231</v>
      </c>
      <c r="AT96" s="363">
        <v>3.8639999999999999</v>
      </c>
      <c r="AY96" s="363">
        <v>3.6</v>
      </c>
      <c r="AZ96" s="363">
        <v>3.476</v>
      </c>
      <c r="BB96" s="363">
        <v>3.66</v>
      </c>
      <c r="BD96" s="363">
        <v>3.5800999999999998</v>
      </c>
      <c r="BE96" s="363">
        <v>3.6042000000000001</v>
      </c>
      <c r="BF96" s="363">
        <v>3.7119</v>
      </c>
      <c r="BG96" s="363">
        <v>3.6621999999999999</v>
      </c>
      <c r="BH96" s="363">
        <v>3.5918000000000001</v>
      </c>
      <c r="BI96" s="363">
        <v>3.3269000000000002</v>
      </c>
      <c r="BJ96" s="363">
        <v>3.3727999999999998</v>
      </c>
      <c r="BN96" s="364">
        <f t="shared" si="2"/>
        <v>3.3727999999999998</v>
      </c>
      <c r="BO96" s="363">
        <f t="shared" si="3"/>
        <v>2016</v>
      </c>
    </row>
    <row r="97" spans="2:67" x14ac:dyDescent="0.25">
      <c r="B97" s="363" t="s">
        <v>512</v>
      </c>
      <c r="C97" s="363" t="s">
        <v>52</v>
      </c>
      <c r="D97" s="363" t="s">
        <v>1232</v>
      </c>
      <c r="E97" s="363" t="s">
        <v>1231</v>
      </c>
      <c r="AS97" s="363">
        <v>3.8856000000000002</v>
      </c>
      <c r="AT97" s="363">
        <v>3.6023999999999998</v>
      </c>
      <c r="AU97" s="363">
        <v>3.5952999999999999</v>
      </c>
      <c r="AV97" s="363">
        <v>3.5847000000000002</v>
      </c>
      <c r="AW97" s="363">
        <v>3.5741999999999998</v>
      </c>
      <c r="AZ97" s="363">
        <v>3.8529</v>
      </c>
      <c r="BK97" s="363">
        <v>3.1446999999999998</v>
      </c>
      <c r="BN97" s="364">
        <f t="shared" si="2"/>
        <v>3.1446999999999998</v>
      </c>
      <c r="BO97" s="363">
        <f t="shared" si="3"/>
        <v>2017</v>
      </c>
    </row>
    <row r="98" spans="2:67" x14ac:dyDescent="0.25">
      <c r="B98" s="363" t="s">
        <v>510</v>
      </c>
      <c r="C98" s="363" t="s">
        <v>511</v>
      </c>
      <c r="D98" s="363" t="s">
        <v>1232</v>
      </c>
      <c r="E98" s="363" t="s">
        <v>1231</v>
      </c>
      <c r="BN98" s="364" t="str">
        <f t="shared" si="2"/>
        <v>No reported value</v>
      </c>
      <c r="BO98" s="363" t="str">
        <f t="shared" si="3"/>
        <v>No reported value</v>
      </c>
    </row>
    <row r="99" spans="2:67" x14ac:dyDescent="0.25">
      <c r="B99" s="363" t="s">
        <v>223</v>
      </c>
      <c r="C99" s="363" t="s">
        <v>53</v>
      </c>
      <c r="D99" s="363" t="s">
        <v>1232</v>
      </c>
      <c r="E99" s="363" t="s">
        <v>1231</v>
      </c>
      <c r="BC99" s="363">
        <v>0.86980000000000002</v>
      </c>
      <c r="BL99" s="363">
        <v>0.94699999999999995</v>
      </c>
      <c r="BN99" s="364">
        <f t="shared" si="2"/>
        <v>0.94699999999999995</v>
      </c>
      <c r="BO99" s="363">
        <f t="shared" si="3"/>
        <v>2018</v>
      </c>
    </row>
    <row r="100" spans="2:67" x14ac:dyDescent="0.25">
      <c r="B100" s="363" t="s">
        <v>513</v>
      </c>
      <c r="C100" s="363" t="s">
        <v>514</v>
      </c>
      <c r="D100" s="363" t="s">
        <v>1232</v>
      </c>
      <c r="E100" s="363" t="s">
        <v>1231</v>
      </c>
      <c r="BN100" s="364" t="str">
        <f t="shared" si="2"/>
        <v>No reported value</v>
      </c>
      <c r="BO100" s="363" t="str">
        <f t="shared" si="3"/>
        <v>No reported value</v>
      </c>
    </row>
    <row r="101" spans="2:67" x14ac:dyDescent="0.25">
      <c r="B101" s="363" t="s">
        <v>224</v>
      </c>
      <c r="C101" s="363" t="s">
        <v>54</v>
      </c>
      <c r="D101" s="363" t="s">
        <v>1232</v>
      </c>
      <c r="E101" s="363" t="s">
        <v>1231</v>
      </c>
      <c r="AT101" s="363">
        <v>2.3071999999999999</v>
      </c>
      <c r="BC101" s="363">
        <v>1.3263</v>
      </c>
      <c r="BD101" s="363">
        <v>1.0099</v>
      </c>
      <c r="BL101" s="363">
        <v>1.3398000000000001</v>
      </c>
      <c r="BN101" s="364">
        <f t="shared" si="2"/>
        <v>1.3398000000000001</v>
      </c>
      <c r="BO101" s="363">
        <f t="shared" si="3"/>
        <v>2018</v>
      </c>
    </row>
    <row r="102" spans="2:67" x14ac:dyDescent="0.25">
      <c r="B102" s="363" t="s">
        <v>517</v>
      </c>
      <c r="C102" s="363" t="s">
        <v>518</v>
      </c>
      <c r="D102" s="363" t="s">
        <v>1232</v>
      </c>
      <c r="E102" s="363" t="s">
        <v>1231</v>
      </c>
      <c r="BI102" s="363">
        <v>8.788130990114821</v>
      </c>
      <c r="BN102" s="364">
        <f t="shared" si="2"/>
        <v>8.788130990114821</v>
      </c>
      <c r="BO102" s="363">
        <f t="shared" si="3"/>
        <v>2015</v>
      </c>
    </row>
    <row r="103" spans="2:67" x14ac:dyDescent="0.25">
      <c r="B103" s="363" t="s">
        <v>519</v>
      </c>
      <c r="C103" s="363" t="s">
        <v>520</v>
      </c>
      <c r="D103" s="363" t="s">
        <v>1232</v>
      </c>
      <c r="E103" s="363" t="s">
        <v>1231</v>
      </c>
      <c r="BN103" s="364" t="str">
        <f t="shared" si="2"/>
        <v>No reported value</v>
      </c>
      <c r="BO103" s="363" t="str">
        <f t="shared" si="3"/>
        <v>No reported value</v>
      </c>
    </row>
    <row r="104" spans="2:67" x14ac:dyDescent="0.25">
      <c r="B104" s="363" t="s">
        <v>226</v>
      </c>
      <c r="C104" s="363" t="s">
        <v>166</v>
      </c>
      <c r="D104" s="363" t="s">
        <v>1232</v>
      </c>
      <c r="E104" s="363" t="s">
        <v>1231</v>
      </c>
      <c r="AT104" s="363">
        <v>1.3070999999999999</v>
      </c>
      <c r="AY104" s="363">
        <v>1.0572999999999999</v>
      </c>
      <c r="BG104" s="363">
        <v>0.37990000000000002</v>
      </c>
      <c r="BJ104" s="363">
        <v>1.7030000000000001</v>
      </c>
      <c r="BK104" s="363">
        <v>0.88149999999999995</v>
      </c>
      <c r="BN104" s="364">
        <f t="shared" si="2"/>
        <v>0.88149999999999995</v>
      </c>
      <c r="BO104" s="363">
        <f t="shared" si="3"/>
        <v>2017</v>
      </c>
    </row>
    <row r="105" spans="2:67" x14ac:dyDescent="0.25">
      <c r="B105" s="363" t="s">
        <v>515</v>
      </c>
      <c r="C105" s="363" t="s">
        <v>516</v>
      </c>
      <c r="D105" s="363" t="s">
        <v>1232</v>
      </c>
      <c r="E105" s="363" t="s">
        <v>1231</v>
      </c>
      <c r="BI105" s="363">
        <v>0.61916121624459475</v>
      </c>
      <c r="BN105" s="364">
        <f t="shared" si="2"/>
        <v>0.61916121624459475</v>
      </c>
      <c r="BO105" s="363">
        <f t="shared" si="3"/>
        <v>2015</v>
      </c>
    </row>
    <row r="106" spans="2:67" x14ac:dyDescent="0.25">
      <c r="B106" s="363" t="s">
        <v>465</v>
      </c>
      <c r="C106" s="363" t="s">
        <v>55</v>
      </c>
      <c r="D106" s="363" t="s">
        <v>1232</v>
      </c>
      <c r="E106" s="363" t="s">
        <v>1231</v>
      </c>
      <c r="AZ106" s="363">
        <v>5.46</v>
      </c>
      <c r="BA106" s="363">
        <v>5.58</v>
      </c>
      <c r="BD106" s="363">
        <v>6.1349</v>
      </c>
      <c r="BE106" s="363">
        <v>6.2775999999999996</v>
      </c>
      <c r="BF106" s="363">
        <v>6.3944999999999999</v>
      </c>
      <c r="BG106" s="363">
        <v>6.9272</v>
      </c>
      <c r="BH106" s="363">
        <v>6.5095000000000001</v>
      </c>
      <c r="BJ106" s="363">
        <v>8.1134000000000004</v>
      </c>
      <c r="BN106" s="364">
        <f t="shared" si="2"/>
        <v>8.1134000000000004</v>
      </c>
      <c r="BO106" s="363">
        <f t="shared" si="3"/>
        <v>2016</v>
      </c>
    </row>
    <row r="107" spans="2:67" x14ac:dyDescent="0.25">
      <c r="B107" s="363" t="s">
        <v>225</v>
      </c>
      <c r="C107" s="363" t="s">
        <v>56</v>
      </c>
      <c r="D107" s="363" t="s">
        <v>1232</v>
      </c>
      <c r="E107" s="363" t="s">
        <v>1231</v>
      </c>
      <c r="AR107" s="363">
        <v>0.10100000000000001</v>
      </c>
      <c r="BE107" s="363">
        <v>1.1811</v>
      </c>
      <c r="BL107" s="363">
        <v>0.6804</v>
      </c>
      <c r="BN107" s="364">
        <f t="shared" si="2"/>
        <v>0.6804</v>
      </c>
      <c r="BO107" s="363">
        <f t="shared" si="3"/>
        <v>2018</v>
      </c>
    </row>
    <row r="108" spans="2:67" x14ac:dyDescent="0.25">
      <c r="B108" s="363" t="s">
        <v>521</v>
      </c>
      <c r="C108" s="363" t="s">
        <v>57</v>
      </c>
      <c r="D108" s="363" t="s">
        <v>1232</v>
      </c>
      <c r="E108" s="363" t="s">
        <v>1231</v>
      </c>
      <c r="BD108" s="363">
        <v>6.6135999999999999</v>
      </c>
      <c r="BE108" s="363">
        <v>6.6079999999999997</v>
      </c>
      <c r="BF108" s="363">
        <v>6.5308999999999999</v>
      </c>
      <c r="BG108" s="363">
        <v>6.6310000000000002</v>
      </c>
      <c r="BH108" s="363">
        <v>6.6192000000000002</v>
      </c>
      <c r="BI108" s="363">
        <v>6.6810999999999998</v>
      </c>
      <c r="BJ108" s="363">
        <v>6.6425000000000001</v>
      </c>
      <c r="BN108" s="364">
        <f t="shared" si="2"/>
        <v>6.6425000000000001</v>
      </c>
      <c r="BO108" s="363">
        <f t="shared" si="3"/>
        <v>2016</v>
      </c>
    </row>
    <row r="109" spans="2:67" x14ac:dyDescent="0.25">
      <c r="B109" s="363" t="s">
        <v>909</v>
      </c>
      <c r="C109" s="363" t="s">
        <v>910</v>
      </c>
      <c r="D109" s="363" t="s">
        <v>1232</v>
      </c>
      <c r="E109" s="363" t="s">
        <v>1231</v>
      </c>
      <c r="AJ109" s="363">
        <v>0.70770905831749209</v>
      </c>
      <c r="AT109" s="363">
        <v>1.3854678163452225</v>
      </c>
      <c r="BI109" s="363">
        <v>2.8470624862975038</v>
      </c>
      <c r="BN109" s="364">
        <f t="shared" si="2"/>
        <v>2.8470624862975038</v>
      </c>
      <c r="BO109" s="363">
        <f t="shared" si="3"/>
        <v>2015</v>
      </c>
    </row>
    <row r="110" spans="2:67" x14ac:dyDescent="0.25">
      <c r="B110" s="363" t="s">
        <v>911</v>
      </c>
      <c r="C110" s="363" t="s">
        <v>912</v>
      </c>
      <c r="D110" s="363" t="s">
        <v>1232</v>
      </c>
      <c r="E110" s="363" t="s">
        <v>1231</v>
      </c>
      <c r="AT110" s="363">
        <v>1.3244409481533135</v>
      </c>
      <c r="BI110" s="363">
        <v>2.4086901567696866</v>
      </c>
      <c r="BN110" s="364">
        <f t="shared" si="2"/>
        <v>2.4086901567696866</v>
      </c>
      <c r="BO110" s="363">
        <f t="shared" si="3"/>
        <v>2015</v>
      </c>
    </row>
    <row r="111" spans="2:67" x14ac:dyDescent="0.25">
      <c r="B111" s="363" t="s">
        <v>913</v>
      </c>
      <c r="C111" s="363" t="s">
        <v>914</v>
      </c>
      <c r="D111" s="363" t="s">
        <v>1232</v>
      </c>
      <c r="E111" s="363" t="s">
        <v>1231</v>
      </c>
      <c r="BI111" s="363">
        <v>1.0762708382933868</v>
      </c>
      <c r="BN111" s="364">
        <f t="shared" si="2"/>
        <v>1.0762708382933868</v>
      </c>
      <c r="BO111" s="363">
        <f t="shared" si="3"/>
        <v>2015</v>
      </c>
    </row>
    <row r="112" spans="2:67" x14ac:dyDescent="0.25">
      <c r="B112" s="363" t="s">
        <v>915</v>
      </c>
      <c r="C112" s="363" t="s">
        <v>916</v>
      </c>
      <c r="D112" s="363" t="s">
        <v>1232</v>
      </c>
      <c r="E112" s="363" t="s">
        <v>1231</v>
      </c>
      <c r="BI112" s="363">
        <v>1.7315909698221195</v>
      </c>
      <c r="BN112" s="364">
        <f t="shared" si="2"/>
        <v>1.7315909698221195</v>
      </c>
      <c r="BO112" s="363">
        <f t="shared" si="3"/>
        <v>2015</v>
      </c>
    </row>
    <row r="113" spans="2:67" x14ac:dyDescent="0.25">
      <c r="B113" s="363" t="s">
        <v>242</v>
      </c>
      <c r="C113" s="363" t="s">
        <v>58</v>
      </c>
      <c r="D113" s="363" t="s">
        <v>1232</v>
      </c>
      <c r="E113" s="363" t="s">
        <v>1231</v>
      </c>
      <c r="AL113" s="363">
        <v>0.62639999999999996</v>
      </c>
      <c r="AW113" s="363">
        <v>0.81599999999999995</v>
      </c>
      <c r="BA113" s="363">
        <v>2.0409999999999999</v>
      </c>
      <c r="BC113" s="363">
        <v>0.81220000000000003</v>
      </c>
      <c r="BD113" s="363">
        <v>1.0581</v>
      </c>
      <c r="BF113" s="363">
        <v>1.3601000000000001</v>
      </c>
      <c r="BG113" s="363">
        <v>1.1443000000000001</v>
      </c>
      <c r="BI113" s="363">
        <v>1.3001</v>
      </c>
      <c r="BK113" s="363">
        <v>2.0583</v>
      </c>
      <c r="BN113" s="364">
        <f t="shared" si="2"/>
        <v>2.0583</v>
      </c>
      <c r="BO113" s="363">
        <f t="shared" si="3"/>
        <v>2017</v>
      </c>
    </row>
    <row r="114" spans="2:67" x14ac:dyDescent="0.25">
      <c r="B114" s="363" t="s">
        <v>917</v>
      </c>
      <c r="C114" s="363" t="s">
        <v>918</v>
      </c>
      <c r="D114" s="363" t="s">
        <v>1232</v>
      </c>
      <c r="E114" s="363" t="s">
        <v>1231</v>
      </c>
      <c r="BI114" s="363">
        <v>0.73536496745056712</v>
      </c>
      <c r="BN114" s="364">
        <f t="shared" si="2"/>
        <v>0.73536496745056712</v>
      </c>
      <c r="BO114" s="363">
        <f t="shared" si="3"/>
        <v>2015</v>
      </c>
    </row>
    <row r="115" spans="2:67" x14ac:dyDescent="0.25">
      <c r="B115" s="363" t="s">
        <v>527</v>
      </c>
      <c r="C115" s="363" t="s">
        <v>528</v>
      </c>
      <c r="D115" s="363" t="s">
        <v>1232</v>
      </c>
      <c r="E115" s="363" t="s">
        <v>1231</v>
      </c>
      <c r="BD115" s="363">
        <v>2.2730000000000001</v>
      </c>
      <c r="BN115" s="364">
        <f t="shared" si="2"/>
        <v>2.2730000000000001</v>
      </c>
      <c r="BO115" s="363">
        <f t="shared" si="3"/>
        <v>2010</v>
      </c>
    </row>
    <row r="116" spans="2:67" x14ac:dyDescent="0.25">
      <c r="B116" s="363" t="s">
        <v>523</v>
      </c>
      <c r="C116" s="363" t="s">
        <v>59</v>
      </c>
      <c r="D116" s="363" t="s">
        <v>1232</v>
      </c>
      <c r="E116" s="363" t="s">
        <v>1231</v>
      </c>
      <c r="AK116" s="363">
        <v>0.37669999999999998</v>
      </c>
      <c r="AT116" s="363">
        <v>1.1693</v>
      </c>
      <c r="AU116" s="363">
        <v>1.1856</v>
      </c>
      <c r="AW116" s="363">
        <v>1.2481</v>
      </c>
      <c r="AX116" s="363">
        <v>1.2630999999999999</v>
      </c>
      <c r="AY116" s="363">
        <v>1.2947</v>
      </c>
      <c r="BA116" s="363">
        <v>1.3329</v>
      </c>
      <c r="BB116" s="363">
        <v>1.3801000000000001</v>
      </c>
      <c r="BC116" s="363">
        <v>1.4020999999999999</v>
      </c>
      <c r="BD116" s="363">
        <v>1.5394000000000001</v>
      </c>
      <c r="BE116" s="363">
        <v>1.7035</v>
      </c>
      <c r="BF116" s="363">
        <v>1.1132</v>
      </c>
      <c r="BG116" s="363">
        <v>1.2218</v>
      </c>
      <c r="BH116" s="363">
        <v>1.3756999999999999</v>
      </c>
      <c r="BJ116" s="363">
        <v>2.0981000000000001</v>
      </c>
      <c r="BK116" s="363">
        <v>2.1071</v>
      </c>
      <c r="BN116" s="364">
        <f t="shared" si="2"/>
        <v>2.1071</v>
      </c>
      <c r="BO116" s="363">
        <f t="shared" si="3"/>
        <v>2017</v>
      </c>
    </row>
    <row r="117" spans="2:67" x14ac:dyDescent="0.25">
      <c r="B117" s="363" t="s">
        <v>595</v>
      </c>
      <c r="C117" s="363" t="s">
        <v>596</v>
      </c>
      <c r="D117" s="363" t="s">
        <v>1232</v>
      </c>
      <c r="E117" s="363" t="s">
        <v>1231</v>
      </c>
      <c r="BN117" s="364" t="str">
        <f t="shared" si="2"/>
        <v>No reported value</v>
      </c>
      <c r="BO117" s="363" t="str">
        <f t="shared" si="3"/>
        <v>No reported value</v>
      </c>
    </row>
    <row r="118" spans="2:67" x14ac:dyDescent="0.25">
      <c r="B118" s="363" t="s">
        <v>526</v>
      </c>
      <c r="C118" s="363" t="s">
        <v>60</v>
      </c>
      <c r="D118" s="363" t="s">
        <v>1232</v>
      </c>
      <c r="E118" s="363" t="s">
        <v>1231</v>
      </c>
      <c r="AX118" s="363">
        <v>15.196999999999999</v>
      </c>
      <c r="AZ118" s="363">
        <v>15.102</v>
      </c>
      <c r="BA118" s="363">
        <v>15.759</v>
      </c>
      <c r="BE118" s="363">
        <v>12.819000000000001</v>
      </c>
      <c r="BI118" s="363">
        <v>13.8727</v>
      </c>
      <c r="BJ118" s="363">
        <v>14.2949</v>
      </c>
      <c r="BN118" s="364">
        <f t="shared" si="2"/>
        <v>14.2949</v>
      </c>
      <c r="BO118" s="363">
        <f t="shared" si="3"/>
        <v>2016</v>
      </c>
    </row>
    <row r="119" spans="2:67" x14ac:dyDescent="0.25">
      <c r="B119" s="363" t="s">
        <v>524</v>
      </c>
      <c r="C119" s="363" t="s">
        <v>61</v>
      </c>
      <c r="D119" s="363" t="s">
        <v>1232</v>
      </c>
      <c r="E119" s="363" t="s">
        <v>1231</v>
      </c>
      <c r="AX119" s="363">
        <v>1.3827</v>
      </c>
      <c r="AY119" s="363">
        <v>1.3918999999999999</v>
      </c>
      <c r="AZ119" s="363">
        <v>1.6731</v>
      </c>
      <c r="BD119" s="363">
        <v>1.41</v>
      </c>
      <c r="BE119" s="363">
        <v>1.9744999999999999</v>
      </c>
      <c r="BH119" s="363">
        <v>1.5452999999999999</v>
      </c>
      <c r="BI119" s="363">
        <v>1.87</v>
      </c>
      <c r="BN119" s="364">
        <f t="shared" si="2"/>
        <v>1.87</v>
      </c>
      <c r="BO119" s="363">
        <f t="shared" si="3"/>
        <v>2015</v>
      </c>
    </row>
    <row r="120" spans="2:67" x14ac:dyDescent="0.25">
      <c r="B120" s="363" t="s">
        <v>525</v>
      </c>
      <c r="C120" s="363" t="s">
        <v>62</v>
      </c>
      <c r="D120" s="363" t="s">
        <v>1232</v>
      </c>
      <c r="E120" s="363" t="s">
        <v>1231</v>
      </c>
      <c r="AY120" s="363">
        <v>1.32</v>
      </c>
      <c r="BA120" s="363">
        <v>1.0489999999999999</v>
      </c>
      <c r="BH120" s="363">
        <v>1.8240000000000001</v>
      </c>
      <c r="BJ120" s="363">
        <v>1.94</v>
      </c>
      <c r="BK120" s="363">
        <v>1.6798999999999999</v>
      </c>
      <c r="BN120" s="364">
        <f t="shared" si="2"/>
        <v>1.6798999999999999</v>
      </c>
      <c r="BO120" s="363">
        <f t="shared" si="3"/>
        <v>2017</v>
      </c>
    </row>
    <row r="121" spans="2:67" x14ac:dyDescent="0.25">
      <c r="B121" s="363" t="s">
        <v>522</v>
      </c>
      <c r="C121" s="363" t="s">
        <v>63</v>
      </c>
      <c r="D121" s="363" t="s">
        <v>1232</v>
      </c>
      <c r="E121" s="363" t="s">
        <v>1231</v>
      </c>
      <c r="AT121" s="363">
        <v>14.03</v>
      </c>
      <c r="AU121" s="363">
        <v>14.012</v>
      </c>
      <c r="AV121" s="363">
        <v>14.1045</v>
      </c>
      <c r="AW121" s="363">
        <v>14.458299999999999</v>
      </c>
      <c r="AX121" s="363">
        <v>14.507</v>
      </c>
      <c r="AY121" s="363">
        <v>14.8407</v>
      </c>
      <c r="AZ121" s="363">
        <v>14.704700000000001</v>
      </c>
      <c r="BA121" s="363">
        <v>15.091699999999999</v>
      </c>
      <c r="BB121" s="363">
        <v>16.005099999999999</v>
      </c>
      <c r="BC121" s="363">
        <v>16.200600000000001</v>
      </c>
      <c r="BD121" s="363">
        <v>15.2201</v>
      </c>
      <c r="BE121" s="363">
        <v>15.4793</v>
      </c>
      <c r="BF121" s="363">
        <v>15.726599999999999</v>
      </c>
      <c r="BG121" s="363">
        <v>16.106999999999999</v>
      </c>
      <c r="BH121" s="363">
        <v>16.1005</v>
      </c>
      <c r="BI121" s="363">
        <v>16.314399999999999</v>
      </c>
      <c r="BJ121" s="363">
        <v>15.142899999999999</v>
      </c>
      <c r="BK121" s="363">
        <v>15.6806</v>
      </c>
      <c r="BN121" s="364">
        <f t="shared" si="2"/>
        <v>15.6806</v>
      </c>
      <c r="BO121" s="363">
        <f t="shared" si="3"/>
        <v>2017</v>
      </c>
    </row>
    <row r="122" spans="2:67" x14ac:dyDescent="0.25">
      <c r="B122" s="363" t="s">
        <v>529</v>
      </c>
      <c r="C122" s="363" t="s">
        <v>64</v>
      </c>
      <c r="D122" s="363" t="s">
        <v>1232</v>
      </c>
      <c r="E122" s="363" t="s">
        <v>1231</v>
      </c>
      <c r="AO122" s="363">
        <v>8.1349</v>
      </c>
      <c r="AZ122" s="363">
        <v>6.22</v>
      </c>
      <c r="BA122" s="363">
        <v>6.15</v>
      </c>
      <c r="BD122" s="363">
        <v>5.2633999999999999</v>
      </c>
      <c r="BE122" s="363">
        <v>5.375</v>
      </c>
      <c r="BF122" s="363">
        <v>4.9528999999999996</v>
      </c>
      <c r="BG122" s="363">
        <v>5.0121000000000002</v>
      </c>
      <c r="BH122" s="363">
        <v>5.0327999999999999</v>
      </c>
      <c r="BI122" s="363">
        <v>5.0715000000000003</v>
      </c>
      <c r="BJ122" s="363">
        <v>5.2043999999999997</v>
      </c>
      <c r="BN122" s="364">
        <f t="shared" si="2"/>
        <v>5.2043999999999997</v>
      </c>
      <c r="BO122" s="363">
        <f t="shared" si="3"/>
        <v>2016</v>
      </c>
    </row>
    <row r="123" spans="2:67" x14ac:dyDescent="0.25">
      <c r="B123" s="363" t="s">
        <v>530</v>
      </c>
      <c r="C123" s="363" t="s">
        <v>65</v>
      </c>
      <c r="D123" s="363" t="s">
        <v>1232</v>
      </c>
      <c r="E123" s="363" t="s">
        <v>1231</v>
      </c>
      <c r="AW123" s="363">
        <v>5.44</v>
      </c>
      <c r="AZ123" s="363">
        <v>6.9320000000000004</v>
      </c>
      <c r="BE123" s="363">
        <v>6.9413999999999998</v>
      </c>
      <c r="BF123" s="363">
        <v>6.8861999999999997</v>
      </c>
      <c r="BG123" s="363">
        <v>6.6079999999999997</v>
      </c>
      <c r="BH123" s="363">
        <v>5.6445999999999996</v>
      </c>
      <c r="BI123" s="363">
        <v>5.8183999999999996</v>
      </c>
      <c r="BJ123" s="363">
        <v>5.9569999999999999</v>
      </c>
      <c r="BK123" s="363">
        <v>5.8693</v>
      </c>
      <c r="BN123" s="364">
        <f t="shared" si="2"/>
        <v>5.8693</v>
      </c>
      <c r="BO123" s="363">
        <f t="shared" si="3"/>
        <v>2017</v>
      </c>
    </row>
    <row r="124" spans="2:67" x14ac:dyDescent="0.25">
      <c r="B124" s="363" t="s">
        <v>531</v>
      </c>
      <c r="C124" s="363" t="s">
        <v>66</v>
      </c>
      <c r="D124" s="363" t="s">
        <v>1232</v>
      </c>
      <c r="E124" s="363" t="s">
        <v>1231</v>
      </c>
      <c r="AW124" s="363">
        <v>1.6125</v>
      </c>
      <c r="BB124" s="363">
        <v>1.0501</v>
      </c>
      <c r="BF124" s="363">
        <v>1.5125</v>
      </c>
      <c r="BG124" s="363">
        <v>1.4383999999999999</v>
      </c>
      <c r="BH124" s="363">
        <v>1.4336</v>
      </c>
      <c r="BI124" s="363">
        <v>1.4582999999999999</v>
      </c>
      <c r="BJ124" s="363">
        <v>1.6204000000000001</v>
      </c>
      <c r="BK124" s="363">
        <v>1.1396999999999999</v>
      </c>
      <c r="BN124" s="364">
        <f t="shared" si="2"/>
        <v>1.1396999999999999</v>
      </c>
      <c r="BO124" s="363">
        <f t="shared" si="3"/>
        <v>2017</v>
      </c>
    </row>
    <row r="125" spans="2:67" x14ac:dyDescent="0.25">
      <c r="B125" s="363" t="s">
        <v>533</v>
      </c>
      <c r="C125" s="363" t="s">
        <v>67</v>
      </c>
      <c r="D125" s="363" t="s">
        <v>1232</v>
      </c>
      <c r="E125" s="363" t="s">
        <v>1231</v>
      </c>
      <c r="AR125" s="363">
        <v>2.8186</v>
      </c>
      <c r="AS125" s="363">
        <v>2.9268999999999998</v>
      </c>
      <c r="AT125" s="363">
        <v>3.0507</v>
      </c>
      <c r="AU125" s="363">
        <v>3.0638000000000001</v>
      </c>
      <c r="AV125" s="363">
        <v>2.8380000000000001</v>
      </c>
      <c r="AW125" s="363">
        <v>2.9994000000000001</v>
      </c>
      <c r="AX125" s="363">
        <v>3.2871000000000001</v>
      </c>
      <c r="AY125" s="363">
        <v>3.05</v>
      </c>
      <c r="AZ125" s="363">
        <v>3.339</v>
      </c>
      <c r="BA125" s="363">
        <v>3.0478999999999998</v>
      </c>
      <c r="BB125" s="363">
        <v>2.9870999999999999</v>
      </c>
      <c r="BC125" s="363">
        <v>3.5362</v>
      </c>
      <c r="BD125" s="363">
        <v>3.5728</v>
      </c>
      <c r="BG125" s="363">
        <v>3.4775999999999998</v>
      </c>
      <c r="BH125" s="363">
        <v>3.4466999999999999</v>
      </c>
      <c r="BI125" s="363">
        <v>2.5821999999999998</v>
      </c>
      <c r="BJ125" s="363">
        <v>1.89</v>
      </c>
      <c r="BK125" s="363">
        <v>3.3885999999999998</v>
      </c>
      <c r="BN125" s="364">
        <f t="shared" si="2"/>
        <v>3.3885999999999998</v>
      </c>
      <c r="BO125" s="363">
        <f t="shared" si="3"/>
        <v>2017</v>
      </c>
    </row>
    <row r="126" spans="2:67" x14ac:dyDescent="0.25">
      <c r="B126" s="363" t="s">
        <v>532</v>
      </c>
      <c r="C126" s="363" t="s">
        <v>68</v>
      </c>
      <c r="D126" s="363" t="s">
        <v>1232</v>
      </c>
      <c r="E126" s="363" t="s">
        <v>1231</v>
      </c>
      <c r="AJ126" s="363">
        <v>6.3728999999999996</v>
      </c>
      <c r="AL126" s="363">
        <v>6.7447999999999997</v>
      </c>
      <c r="AN126" s="363">
        <v>7.2508999999999997</v>
      </c>
      <c r="AP126" s="363">
        <v>7.7698999999999998</v>
      </c>
      <c r="AR126" s="363">
        <v>8.2161000000000008</v>
      </c>
      <c r="AT126" s="363">
        <v>8.6546000000000003</v>
      </c>
      <c r="AV126" s="363">
        <v>9.0696999999999992</v>
      </c>
      <c r="AX126" s="363">
        <v>9.4422999999999995</v>
      </c>
      <c r="AZ126" s="363">
        <v>9.8111999999999995</v>
      </c>
      <c r="BB126" s="363">
        <v>10.295199999999999</v>
      </c>
      <c r="BD126" s="363">
        <v>10.273099999999999</v>
      </c>
      <c r="BE126" s="363">
        <v>11.638199999999999</v>
      </c>
      <c r="BF126" s="363">
        <v>10.6889</v>
      </c>
      <c r="BH126" s="363">
        <v>11.1212</v>
      </c>
      <c r="BJ126" s="363">
        <v>11.5184</v>
      </c>
      <c r="BN126" s="364">
        <f t="shared" si="2"/>
        <v>11.5184</v>
      </c>
      <c r="BO126" s="363">
        <f t="shared" si="3"/>
        <v>2016</v>
      </c>
    </row>
    <row r="127" spans="2:67" x14ac:dyDescent="0.25">
      <c r="B127" s="363" t="s">
        <v>534</v>
      </c>
      <c r="C127" s="363" t="s">
        <v>69</v>
      </c>
      <c r="D127" s="363" t="s">
        <v>1232</v>
      </c>
      <c r="E127" s="363" t="s">
        <v>1231</v>
      </c>
      <c r="AZ127" s="363">
        <v>7.64</v>
      </c>
      <c r="BA127" s="363">
        <v>7.83</v>
      </c>
      <c r="BC127" s="363">
        <v>8.2759999999999998</v>
      </c>
      <c r="BD127" s="363">
        <v>8.2398000000000007</v>
      </c>
      <c r="BE127" s="363">
        <v>8.4177999999999997</v>
      </c>
      <c r="BF127" s="363">
        <v>8.5564</v>
      </c>
      <c r="BG127" s="363">
        <v>8.4890000000000008</v>
      </c>
      <c r="BN127" s="364">
        <f t="shared" si="2"/>
        <v>8.4890000000000008</v>
      </c>
      <c r="BO127" s="363">
        <f t="shared" si="3"/>
        <v>2013</v>
      </c>
    </row>
    <row r="128" spans="2:67" x14ac:dyDescent="0.25">
      <c r="B128" s="363" t="s">
        <v>199</v>
      </c>
      <c r="C128" s="363" t="s">
        <v>70</v>
      </c>
      <c r="D128" s="363" t="s">
        <v>1232</v>
      </c>
      <c r="E128" s="363" t="s">
        <v>1231</v>
      </c>
      <c r="AX128" s="363">
        <v>0.46029999999999999</v>
      </c>
      <c r="BB128" s="363">
        <v>0.35949999999999999</v>
      </c>
      <c r="BC128" s="363">
        <v>0.39629999999999999</v>
      </c>
      <c r="BD128" s="363">
        <v>0.7177</v>
      </c>
      <c r="BE128" s="363">
        <v>1.4152</v>
      </c>
      <c r="BF128" s="363">
        <v>1.4152</v>
      </c>
      <c r="BG128" s="363">
        <v>1.4443999999999999</v>
      </c>
      <c r="BH128" s="363">
        <v>1.5421</v>
      </c>
      <c r="BN128" s="364">
        <f t="shared" si="2"/>
        <v>1.5421</v>
      </c>
      <c r="BO128" s="363">
        <f t="shared" si="3"/>
        <v>2014</v>
      </c>
    </row>
    <row r="129" spans="2:67" x14ac:dyDescent="0.25">
      <c r="B129" s="363" t="s">
        <v>539</v>
      </c>
      <c r="C129" s="363" t="s">
        <v>71</v>
      </c>
      <c r="D129" s="363" t="s">
        <v>1232</v>
      </c>
      <c r="E129" s="363" t="s">
        <v>1231</v>
      </c>
      <c r="AZ129" s="363">
        <v>5.79</v>
      </c>
      <c r="BA129" s="363">
        <v>5.6619999999999999</v>
      </c>
      <c r="BB129" s="363">
        <v>5.5155000000000003</v>
      </c>
      <c r="BC129" s="363">
        <v>5.4881000000000002</v>
      </c>
      <c r="BD129" s="363">
        <v>6.0228999999999999</v>
      </c>
      <c r="BE129" s="363">
        <v>6.2274000000000003</v>
      </c>
      <c r="BF129" s="363">
        <v>6.3700999999999999</v>
      </c>
      <c r="BG129" s="363">
        <v>6.4298999999999999</v>
      </c>
      <c r="BN129" s="364">
        <f t="shared" si="2"/>
        <v>6.4298999999999999</v>
      </c>
      <c r="BO129" s="363">
        <f t="shared" si="3"/>
        <v>2013</v>
      </c>
    </row>
    <row r="130" spans="2:67" x14ac:dyDescent="0.25">
      <c r="B130" s="363" t="s">
        <v>247</v>
      </c>
      <c r="C130" s="363" t="s">
        <v>72</v>
      </c>
      <c r="D130" s="363" t="s">
        <v>1232</v>
      </c>
      <c r="E130" s="363" t="s">
        <v>1231</v>
      </c>
      <c r="AP130" s="363">
        <v>1.0591999999999999</v>
      </c>
      <c r="AR130" s="363">
        <v>1.0079</v>
      </c>
      <c r="AT130" s="363">
        <v>0.91549999999999998</v>
      </c>
      <c r="BB130" s="363">
        <v>0.84550000000000003</v>
      </c>
      <c r="BC130" s="363">
        <v>0.85460000000000003</v>
      </c>
      <c r="BD130" s="363">
        <v>0.85619999999999996</v>
      </c>
      <c r="BE130" s="363">
        <v>0.87350000000000005</v>
      </c>
      <c r="BF130" s="363">
        <v>0.92320000000000002</v>
      </c>
      <c r="BG130" s="363">
        <v>0.95979999999999999</v>
      </c>
      <c r="BH130" s="363">
        <v>0.95469999999999999</v>
      </c>
      <c r="BN130" s="364">
        <f t="shared" si="2"/>
        <v>0.95469999999999999</v>
      </c>
      <c r="BO130" s="363">
        <f t="shared" si="3"/>
        <v>2014</v>
      </c>
    </row>
    <row r="131" spans="2:67" x14ac:dyDescent="0.25">
      <c r="B131" s="363" t="s">
        <v>249</v>
      </c>
      <c r="C131" s="363" t="s">
        <v>73</v>
      </c>
      <c r="D131" s="363" t="s">
        <v>1232</v>
      </c>
      <c r="E131" s="363" t="s">
        <v>1231</v>
      </c>
      <c r="AR131" s="363">
        <v>2.3407</v>
      </c>
      <c r="AX131" s="363">
        <v>2.8729</v>
      </c>
      <c r="BB131" s="363">
        <v>3.6686999999999999</v>
      </c>
      <c r="BC131" s="363">
        <v>3.5230000000000001</v>
      </c>
      <c r="BD131" s="363">
        <v>3.9376000000000002</v>
      </c>
      <c r="BE131" s="363">
        <v>3.9350999999999998</v>
      </c>
      <c r="BG131" s="363">
        <v>4.6174999999999997</v>
      </c>
      <c r="BJ131" s="363">
        <v>4.8287000000000004</v>
      </c>
      <c r="BN131" s="364">
        <f t="shared" si="2"/>
        <v>4.8287000000000004</v>
      </c>
      <c r="BO131" s="363">
        <f t="shared" si="3"/>
        <v>2016</v>
      </c>
    </row>
    <row r="132" spans="2:67" x14ac:dyDescent="0.25">
      <c r="B132" s="363" t="s">
        <v>637</v>
      </c>
      <c r="C132" s="363" t="s">
        <v>638</v>
      </c>
      <c r="D132" s="363" t="s">
        <v>1232</v>
      </c>
      <c r="E132" s="363" t="s">
        <v>1231</v>
      </c>
      <c r="AJ132" s="363">
        <v>6.9363000000000001</v>
      </c>
      <c r="AK132" s="363">
        <v>6.9268000000000001</v>
      </c>
      <c r="AL132" s="363">
        <v>6.9081999999999999</v>
      </c>
      <c r="AM132" s="363">
        <v>6.8421000000000003</v>
      </c>
      <c r="AN132" s="363">
        <v>5.9433999999999996</v>
      </c>
      <c r="AO132" s="363">
        <v>5.641</v>
      </c>
      <c r="AP132" s="363">
        <v>5.8525</v>
      </c>
      <c r="AQ132" s="363">
        <v>5.5479000000000003</v>
      </c>
      <c r="AR132" s="363">
        <v>5.6208</v>
      </c>
      <c r="AS132" s="363">
        <v>5.8929</v>
      </c>
      <c r="AT132" s="363">
        <v>4.7140000000000004</v>
      </c>
      <c r="AU132" s="363">
        <v>6.3913000000000002</v>
      </c>
      <c r="BI132" s="363">
        <v>3.9779</v>
      </c>
      <c r="BN132" s="364">
        <f t="shared" si="2"/>
        <v>3.9779</v>
      </c>
      <c r="BO132" s="363">
        <f t="shared" si="3"/>
        <v>2015</v>
      </c>
    </row>
    <row r="133" spans="2:67" x14ac:dyDescent="0.25">
      <c r="B133" s="363" t="s">
        <v>536</v>
      </c>
      <c r="C133" s="363" t="s">
        <v>74</v>
      </c>
      <c r="D133" s="363" t="s">
        <v>1232</v>
      </c>
      <c r="E133" s="363" t="s">
        <v>1231</v>
      </c>
      <c r="AW133" s="363">
        <v>1.7470000000000001</v>
      </c>
      <c r="AX133" s="363">
        <v>4.3433000000000002</v>
      </c>
      <c r="AY133" s="363">
        <v>4.5639000000000003</v>
      </c>
      <c r="AZ133" s="363">
        <v>4.7519999999999998</v>
      </c>
      <c r="BA133" s="363">
        <v>4.9787999999999997</v>
      </c>
      <c r="BB133" s="363">
        <v>5.1891999999999996</v>
      </c>
      <c r="BC133" s="363">
        <v>5.4105999999999996</v>
      </c>
      <c r="BD133" s="363">
        <v>5.6242999999999999</v>
      </c>
      <c r="BE133" s="363">
        <v>4.7499000000000002</v>
      </c>
      <c r="BF133" s="363">
        <v>4.8727</v>
      </c>
      <c r="BG133" s="363">
        <v>5.2442000000000002</v>
      </c>
      <c r="BH133" s="363">
        <v>5.6345000000000001</v>
      </c>
      <c r="BI133" s="363">
        <v>6.0114999999999998</v>
      </c>
      <c r="BJ133" s="363">
        <v>6.8593999999999999</v>
      </c>
      <c r="BK133" s="363">
        <v>6.9734999999999996</v>
      </c>
      <c r="BN133" s="364">
        <f t="shared" si="2"/>
        <v>6.9734999999999996</v>
      </c>
      <c r="BO133" s="363">
        <f t="shared" si="3"/>
        <v>2017</v>
      </c>
    </row>
    <row r="134" spans="2:67" x14ac:dyDescent="0.25">
      <c r="B134" s="363" t="s">
        <v>538</v>
      </c>
      <c r="C134" s="363" t="s">
        <v>75</v>
      </c>
      <c r="D134" s="363" t="s">
        <v>1232</v>
      </c>
      <c r="E134" s="363" t="s">
        <v>1231</v>
      </c>
      <c r="AU134" s="363">
        <v>4.3600000000000003</v>
      </c>
      <c r="AY134" s="363">
        <v>3.7</v>
      </c>
      <c r="AZ134" s="363">
        <v>4.1467000000000001</v>
      </c>
      <c r="BA134" s="363">
        <v>4.3269000000000002</v>
      </c>
      <c r="BB134" s="363">
        <v>4.6826999999999996</v>
      </c>
      <c r="BC134" s="363">
        <v>4.8083</v>
      </c>
      <c r="BD134" s="363">
        <v>6.5157999999999996</v>
      </c>
      <c r="BE134" s="363">
        <v>6.4542000000000002</v>
      </c>
      <c r="BF134" s="363">
        <v>6.3323</v>
      </c>
      <c r="BG134" s="363">
        <v>6.0812999999999997</v>
      </c>
      <c r="BH134" s="363">
        <v>6.4996999999999998</v>
      </c>
      <c r="BI134" s="363">
        <v>6.9694000000000003</v>
      </c>
      <c r="BN134" s="364">
        <f t="shared" si="2"/>
        <v>6.9694000000000003</v>
      </c>
      <c r="BO134" s="363">
        <f t="shared" si="3"/>
        <v>2015</v>
      </c>
    </row>
    <row r="135" spans="2:67" x14ac:dyDescent="0.25">
      <c r="B135" s="363" t="s">
        <v>545</v>
      </c>
      <c r="C135" s="363" t="s">
        <v>546</v>
      </c>
      <c r="D135" s="363" t="s">
        <v>1232</v>
      </c>
      <c r="E135" s="363" t="s">
        <v>1231</v>
      </c>
      <c r="AT135" s="363">
        <v>2.1003765626279058</v>
      </c>
      <c r="BI135" s="363">
        <v>4.8899261545117172</v>
      </c>
      <c r="BN135" s="364">
        <f t="shared" si="2"/>
        <v>4.8899261545117172</v>
      </c>
      <c r="BO135" s="363">
        <f t="shared" si="3"/>
        <v>2015</v>
      </c>
    </row>
    <row r="136" spans="2:67" x14ac:dyDescent="0.25">
      <c r="B136" s="363" t="s">
        <v>540</v>
      </c>
      <c r="C136" s="363" t="s">
        <v>76</v>
      </c>
      <c r="D136" s="363" t="s">
        <v>1232</v>
      </c>
      <c r="E136" s="363" t="s">
        <v>1231</v>
      </c>
      <c r="AO136" s="363">
        <v>1.2552000000000001</v>
      </c>
      <c r="AT136" s="363">
        <v>1.0232000000000001</v>
      </c>
      <c r="AX136" s="363">
        <v>0.98860000000000003</v>
      </c>
      <c r="AY136" s="363">
        <v>0.99480000000000002</v>
      </c>
      <c r="BC136" s="363">
        <v>0.86509999999999998</v>
      </c>
      <c r="BD136" s="363">
        <v>0.85760000000000003</v>
      </c>
      <c r="BF136" s="363">
        <v>0.87</v>
      </c>
      <c r="BG136" s="363">
        <v>0.92800000000000005</v>
      </c>
      <c r="BH136" s="363">
        <v>0.97560000000000002</v>
      </c>
      <c r="BN136" s="364">
        <f t="shared" si="2"/>
        <v>0.97560000000000002</v>
      </c>
      <c r="BO136" s="363">
        <f t="shared" si="3"/>
        <v>2014</v>
      </c>
    </row>
    <row r="137" spans="2:67" x14ac:dyDescent="0.25">
      <c r="B137" s="363" t="s">
        <v>552</v>
      </c>
      <c r="C137" s="363" t="s">
        <v>77</v>
      </c>
      <c r="D137" s="363" t="s">
        <v>1232</v>
      </c>
      <c r="E137" s="363" t="s">
        <v>1231</v>
      </c>
      <c r="AU137" s="363">
        <v>1.2372000000000001</v>
      </c>
      <c r="AY137" s="363">
        <v>1.1839</v>
      </c>
      <c r="BA137" s="363">
        <v>1.6960999999999999</v>
      </c>
      <c r="BC137" s="363">
        <v>1.9810000000000001</v>
      </c>
      <c r="BD137" s="363">
        <v>2.0268999999999999</v>
      </c>
      <c r="BE137" s="363">
        <v>2.5247999999999999</v>
      </c>
      <c r="BG137" s="363">
        <v>2.6150000000000002</v>
      </c>
      <c r="BH137" s="363">
        <v>2.4935</v>
      </c>
      <c r="BI137" s="363">
        <v>2.4438</v>
      </c>
      <c r="BJ137" s="363">
        <v>2.4773999999999998</v>
      </c>
      <c r="BK137" s="363">
        <v>2.6448</v>
      </c>
      <c r="BN137" s="364">
        <f t="shared" ref="BN137:BN200" si="4">IFERROR(LOOKUP(2,1/(ISNUMBER(F137:BM137)),F137:BM137),"No reported value")</f>
        <v>2.6448</v>
      </c>
      <c r="BO137" s="363">
        <f t="shared" ref="BO137:BO200" si="5">IFERROR(INDEX($F$8:$BM$8,1,MATCH($BN137,$F137:$BM137,0)),"No reported value")</f>
        <v>2017</v>
      </c>
    </row>
    <row r="138" spans="2:67" x14ac:dyDescent="0.25">
      <c r="B138" s="363" t="s">
        <v>201</v>
      </c>
      <c r="C138" s="363" t="s">
        <v>78</v>
      </c>
      <c r="D138" s="363" t="s">
        <v>1232</v>
      </c>
      <c r="E138" s="363" t="s">
        <v>1231</v>
      </c>
      <c r="AX138" s="363">
        <v>0.32579999999999998</v>
      </c>
      <c r="BB138" s="363">
        <v>0.26700000000000002</v>
      </c>
      <c r="BD138" s="363">
        <v>0.4572</v>
      </c>
      <c r="BI138" s="363">
        <v>0.1007</v>
      </c>
      <c r="BN138" s="364">
        <f t="shared" si="4"/>
        <v>0.1007</v>
      </c>
      <c r="BO138" s="363">
        <f t="shared" si="5"/>
        <v>2015</v>
      </c>
    </row>
    <row r="139" spans="2:67" x14ac:dyDescent="0.25">
      <c r="B139" s="363" t="s">
        <v>553</v>
      </c>
      <c r="C139" s="363" t="s">
        <v>79</v>
      </c>
      <c r="D139" s="363" t="s">
        <v>1232</v>
      </c>
      <c r="E139" s="363" t="s">
        <v>1231</v>
      </c>
      <c r="AQ139" s="363">
        <v>3.4742999999999999</v>
      </c>
      <c r="AX139" s="363">
        <v>4.7609000000000004</v>
      </c>
      <c r="BB139" s="363">
        <v>5.5327000000000002</v>
      </c>
      <c r="BC139" s="363">
        <v>7.0218999999999996</v>
      </c>
      <c r="BD139" s="363">
        <v>6.8</v>
      </c>
      <c r="BG139" s="363">
        <v>7.0998999999999999</v>
      </c>
      <c r="BH139" s="363">
        <v>6.9657</v>
      </c>
      <c r="BK139" s="363">
        <v>6.7416</v>
      </c>
      <c r="BN139" s="364">
        <f t="shared" si="4"/>
        <v>6.7416</v>
      </c>
      <c r="BO139" s="363">
        <f t="shared" si="5"/>
        <v>2017</v>
      </c>
    </row>
    <row r="140" spans="2:67" x14ac:dyDescent="0.25">
      <c r="B140" s="363" t="s">
        <v>639</v>
      </c>
      <c r="C140" s="363" t="s">
        <v>80</v>
      </c>
      <c r="D140" s="363" t="s">
        <v>1232</v>
      </c>
      <c r="E140" s="363" t="s">
        <v>1231</v>
      </c>
      <c r="AS140" s="363">
        <v>2.1326999999999998</v>
      </c>
      <c r="AU140" s="363">
        <v>2.3407</v>
      </c>
      <c r="AW140" s="363">
        <v>3.0745</v>
      </c>
      <c r="AX140" s="363">
        <v>2.3119999999999998</v>
      </c>
      <c r="AY140" s="363">
        <v>1.9914000000000001</v>
      </c>
      <c r="BH140" s="363">
        <v>1.5872999999999999</v>
      </c>
      <c r="BN140" s="364">
        <f t="shared" si="4"/>
        <v>1.5872999999999999</v>
      </c>
      <c r="BO140" s="363">
        <f t="shared" si="5"/>
        <v>2014</v>
      </c>
    </row>
    <row r="141" spans="2:67" x14ac:dyDescent="0.25">
      <c r="B141" s="363" t="s">
        <v>543</v>
      </c>
      <c r="C141" s="363" t="s">
        <v>544</v>
      </c>
      <c r="D141" s="363" t="s">
        <v>1232</v>
      </c>
      <c r="E141" s="363" t="s">
        <v>1231</v>
      </c>
      <c r="AT141" s="363">
        <v>2.0400491942166994</v>
      </c>
      <c r="BI141" s="363">
        <v>4.7222119135516918</v>
      </c>
      <c r="BN141" s="364">
        <f t="shared" si="4"/>
        <v>4.7222119135516918</v>
      </c>
      <c r="BO141" s="363">
        <f t="shared" si="5"/>
        <v>2015</v>
      </c>
    </row>
    <row r="142" spans="2:67" x14ac:dyDescent="0.25">
      <c r="B142" s="363" t="s">
        <v>550</v>
      </c>
      <c r="C142" s="363" t="s">
        <v>551</v>
      </c>
      <c r="D142" s="363" t="s">
        <v>1232</v>
      </c>
      <c r="E142" s="363" t="s">
        <v>1231</v>
      </c>
      <c r="BI142" s="363">
        <v>0.63515333632387161</v>
      </c>
      <c r="BN142" s="364">
        <f t="shared" si="4"/>
        <v>0.63515333632387161</v>
      </c>
      <c r="BO142" s="363">
        <f t="shared" si="5"/>
        <v>2015</v>
      </c>
    </row>
    <row r="143" spans="2:67" x14ac:dyDescent="0.25">
      <c r="B143" s="363" t="s">
        <v>559</v>
      </c>
      <c r="C143" s="363" t="s">
        <v>560</v>
      </c>
      <c r="D143" s="363" t="s">
        <v>1232</v>
      </c>
      <c r="E143" s="363" t="s">
        <v>1231</v>
      </c>
      <c r="BI143" s="363">
        <v>0.86037058799742272</v>
      </c>
      <c r="BN143" s="364">
        <f t="shared" si="4"/>
        <v>0.86037058799742272</v>
      </c>
      <c r="BO143" s="363">
        <f t="shared" si="5"/>
        <v>2015</v>
      </c>
    </row>
    <row r="144" spans="2:67" x14ac:dyDescent="0.25">
      <c r="B144" s="363" t="s">
        <v>554</v>
      </c>
      <c r="C144" s="363" t="s">
        <v>555</v>
      </c>
      <c r="D144" s="363" t="s">
        <v>1232</v>
      </c>
      <c r="E144" s="363" t="s">
        <v>1231</v>
      </c>
      <c r="BN144" s="364" t="str">
        <f t="shared" si="4"/>
        <v>No reported value</v>
      </c>
      <c r="BO144" s="363" t="str">
        <f t="shared" si="5"/>
        <v>No reported value</v>
      </c>
    </row>
    <row r="145" spans="2:67" x14ac:dyDescent="0.25">
      <c r="B145" s="363" t="s">
        <v>245</v>
      </c>
      <c r="C145" s="363" t="s">
        <v>81</v>
      </c>
      <c r="D145" s="363" t="s">
        <v>1232</v>
      </c>
      <c r="E145" s="363" t="s">
        <v>1231</v>
      </c>
      <c r="AJ145" s="363">
        <v>0.73709999999999998</v>
      </c>
      <c r="AK145" s="363">
        <v>0.8014</v>
      </c>
      <c r="AL145" s="363">
        <v>0.86770000000000003</v>
      </c>
      <c r="AM145" s="363">
        <v>1.0296000000000001</v>
      </c>
      <c r="AN145" s="363">
        <v>0.9647</v>
      </c>
      <c r="AO145" s="363">
        <v>1.0846</v>
      </c>
      <c r="AP145" s="363">
        <v>0.75839999999999996</v>
      </c>
      <c r="AQ145" s="363">
        <v>0.74770000000000003</v>
      </c>
      <c r="AR145" s="363">
        <v>0.7873</v>
      </c>
      <c r="AS145" s="363">
        <v>0.75270000000000004</v>
      </c>
      <c r="AT145" s="363">
        <v>1.1916</v>
      </c>
      <c r="AU145" s="363">
        <v>0.83520000000000005</v>
      </c>
      <c r="AV145" s="363">
        <v>1.0624</v>
      </c>
      <c r="AX145" s="363">
        <v>1.7155</v>
      </c>
      <c r="AY145" s="363">
        <v>1.4092</v>
      </c>
      <c r="AZ145" s="363">
        <v>1.6737</v>
      </c>
      <c r="BA145" s="363">
        <v>2.0533000000000001</v>
      </c>
      <c r="BB145" s="363">
        <v>1.5072000000000001</v>
      </c>
      <c r="BC145" s="363">
        <v>1.5589999999999999</v>
      </c>
      <c r="BD145" s="363">
        <v>1.7509999999999999</v>
      </c>
      <c r="BG145" s="363">
        <v>2.0085000000000002</v>
      </c>
      <c r="BI145" s="363">
        <v>2.4870000000000001</v>
      </c>
      <c r="BJ145" s="363">
        <v>2.1154999999999999</v>
      </c>
      <c r="BN145" s="364">
        <f t="shared" si="4"/>
        <v>2.1154999999999999</v>
      </c>
      <c r="BO145" s="363">
        <f t="shared" si="5"/>
        <v>2016</v>
      </c>
    </row>
    <row r="146" spans="2:67" x14ac:dyDescent="0.25">
      <c r="B146" s="363" t="s">
        <v>561</v>
      </c>
      <c r="C146" s="363" t="s">
        <v>562</v>
      </c>
      <c r="D146" s="363" t="s">
        <v>1232</v>
      </c>
      <c r="E146" s="363" t="s">
        <v>1231</v>
      </c>
      <c r="BI146" s="363">
        <v>1.801820778406602</v>
      </c>
      <c r="BN146" s="364">
        <f t="shared" si="4"/>
        <v>1.801820778406602</v>
      </c>
      <c r="BO146" s="363">
        <f t="shared" si="5"/>
        <v>2015</v>
      </c>
    </row>
    <row r="147" spans="2:67" x14ac:dyDescent="0.25">
      <c r="B147" s="363" t="s">
        <v>557</v>
      </c>
      <c r="C147" s="363" t="s">
        <v>558</v>
      </c>
      <c r="D147" s="363" t="s">
        <v>1232</v>
      </c>
      <c r="E147" s="363" t="s">
        <v>1231</v>
      </c>
      <c r="AT147" s="363">
        <v>1.3481760270044507</v>
      </c>
      <c r="BI147" s="363">
        <v>2.4076816361680979</v>
      </c>
      <c r="BN147" s="364">
        <f t="shared" si="4"/>
        <v>2.4076816361680979</v>
      </c>
      <c r="BO147" s="363">
        <f t="shared" si="5"/>
        <v>2015</v>
      </c>
    </row>
    <row r="148" spans="2:67" x14ac:dyDescent="0.25">
      <c r="B148" s="363" t="s">
        <v>200</v>
      </c>
      <c r="C148" s="363" t="s">
        <v>167</v>
      </c>
      <c r="D148" s="363" t="s">
        <v>1232</v>
      </c>
      <c r="E148" s="363" t="s">
        <v>1231</v>
      </c>
      <c r="AW148" s="363">
        <v>0.58550000000000002</v>
      </c>
      <c r="BD148" s="363">
        <v>0.65080000000000005</v>
      </c>
      <c r="BN148" s="364">
        <f t="shared" si="4"/>
        <v>0.65080000000000005</v>
      </c>
      <c r="BO148" s="363">
        <f t="shared" si="5"/>
        <v>2010</v>
      </c>
    </row>
    <row r="149" spans="2:67" x14ac:dyDescent="0.25">
      <c r="B149" s="363" t="s">
        <v>541</v>
      </c>
      <c r="C149" s="363" t="s">
        <v>542</v>
      </c>
      <c r="D149" s="363" t="s">
        <v>1232</v>
      </c>
      <c r="E149" s="363" t="s">
        <v>1231</v>
      </c>
      <c r="AJ149" s="363">
        <v>0.87633686268499278</v>
      </c>
      <c r="AT149" s="363">
        <v>1.351590925517234</v>
      </c>
      <c r="BI149" s="363">
        <v>3.6438938535158214</v>
      </c>
      <c r="BN149" s="364">
        <f t="shared" si="4"/>
        <v>3.6438938535158214</v>
      </c>
      <c r="BO149" s="363">
        <f t="shared" si="5"/>
        <v>2015</v>
      </c>
    </row>
    <row r="150" spans="2:67" x14ac:dyDescent="0.25">
      <c r="B150" s="363" t="s">
        <v>556</v>
      </c>
      <c r="C150" s="363" t="s">
        <v>82</v>
      </c>
      <c r="D150" s="363" t="s">
        <v>1232</v>
      </c>
      <c r="E150" s="363" t="s">
        <v>1231</v>
      </c>
      <c r="AZ150" s="363">
        <v>7.65</v>
      </c>
      <c r="BA150" s="363">
        <v>7.5670000000000002</v>
      </c>
      <c r="BB150" s="363">
        <v>7.32</v>
      </c>
      <c r="BD150" s="363">
        <v>7.8779000000000003</v>
      </c>
      <c r="BE150" s="363">
        <v>7.6993</v>
      </c>
      <c r="BF150" s="363">
        <v>7.7651000000000003</v>
      </c>
      <c r="BG150" s="363">
        <v>7.7489999999999997</v>
      </c>
      <c r="BH150" s="363">
        <v>7.8304</v>
      </c>
      <c r="BI150" s="363">
        <v>7.9034000000000004</v>
      </c>
      <c r="BJ150" s="363">
        <v>7.9154999999999998</v>
      </c>
      <c r="BN150" s="364">
        <f t="shared" si="4"/>
        <v>7.9154999999999998</v>
      </c>
      <c r="BO150" s="363">
        <f t="shared" si="5"/>
        <v>2016</v>
      </c>
    </row>
    <row r="151" spans="2:67" x14ac:dyDescent="0.25">
      <c r="B151" s="363" t="s">
        <v>563</v>
      </c>
      <c r="C151" s="363" t="s">
        <v>83</v>
      </c>
      <c r="D151" s="363" t="s">
        <v>1232</v>
      </c>
      <c r="E151" s="363" t="s">
        <v>1231</v>
      </c>
      <c r="AX151" s="363">
        <v>9.6300000000000008</v>
      </c>
      <c r="AY151" s="363">
        <v>10.366</v>
      </c>
      <c r="AZ151" s="363">
        <v>11.32</v>
      </c>
      <c r="BD151" s="363">
        <v>11.754300000000001</v>
      </c>
      <c r="BE151" s="363">
        <v>11.9619</v>
      </c>
      <c r="BF151" s="363">
        <v>12.2539</v>
      </c>
      <c r="BG151" s="363">
        <v>12.271000000000001</v>
      </c>
      <c r="BH151" s="363">
        <v>12.3171</v>
      </c>
      <c r="BI151" s="363">
        <v>12.3346</v>
      </c>
      <c r="BJ151" s="363">
        <v>12.2408</v>
      </c>
      <c r="BK151" s="363">
        <v>12.349600000000001</v>
      </c>
      <c r="BN151" s="364">
        <f t="shared" si="4"/>
        <v>12.349600000000001</v>
      </c>
      <c r="BO151" s="363">
        <f t="shared" si="5"/>
        <v>2017</v>
      </c>
    </row>
    <row r="152" spans="2:67" x14ac:dyDescent="0.25">
      <c r="B152" s="363" t="s">
        <v>549</v>
      </c>
      <c r="C152" s="363" t="s">
        <v>84</v>
      </c>
      <c r="D152" s="363" t="s">
        <v>1232</v>
      </c>
      <c r="E152" s="363" t="s">
        <v>1231</v>
      </c>
      <c r="AJ152" s="363">
        <v>6.9917999999999996</v>
      </c>
      <c r="AK152" s="363">
        <v>6.8133999999999997</v>
      </c>
      <c r="AL152" s="363">
        <v>6.3479999999999999</v>
      </c>
      <c r="AM152" s="363">
        <v>6.0401999999999996</v>
      </c>
      <c r="AN152" s="363">
        <v>5.2823000000000002</v>
      </c>
      <c r="AO152" s="363">
        <v>5.1536999999999997</v>
      </c>
      <c r="AP152" s="363">
        <v>5.0080999999999998</v>
      </c>
      <c r="AQ152" s="363">
        <v>4.82</v>
      </c>
      <c r="AR152" s="363">
        <v>4.6052</v>
      </c>
      <c r="AS152" s="363">
        <v>4.3848000000000003</v>
      </c>
      <c r="AT152" s="363">
        <v>4.3895</v>
      </c>
      <c r="AU152" s="363">
        <v>4.3163999999999998</v>
      </c>
      <c r="AV152" s="363">
        <v>4.3087</v>
      </c>
      <c r="AW152" s="363">
        <v>4.4245000000000001</v>
      </c>
      <c r="AX152" s="363">
        <v>4.5354999999999999</v>
      </c>
      <c r="AY152" s="363">
        <v>4.5959000000000003</v>
      </c>
      <c r="AZ152" s="363">
        <v>4.5308000000000002</v>
      </c>
      <c r="BA152" s="363">
        <v>4.5818000000000003</v>
      </c>
      <c r="BB152" s="363">
        <v>4.7847999999999997</v>
      </c>
      <c r="BC152" s="363">
        <v>4.3490000000000002</v>
      </c>
      <c r="BD152" s="363">
        <v>5.1547999999999998</v>
      </c>
      <c r="BE152" s="363">
        <v>5.0709999999999997</v>
      </c>
      <c r="BF152" s="363">
        <v>4.9763000000000002</v>
      </c>
      <c r="BG152" s="363">
        <v>5.0107999999999997</v>
      </c>
      <c r="BH152" s="363">
        <v>4.9649999999999999</v>
      </c>
      <c r="BI152" s="363">
        <v>4.8482000000000003</v>
      </c>
      <c r="BJ152" s="363">
        <v>4.8155000000000001</v>
      </c>
      <c r="BN152" s="364">
        <f t="shared" si="4"/>
        <v>4.8155000000000001</v>
      </c>
      <c r="BO152" s="363">
        <f t="shared" si="5"/>
        <v>2016</v>
      </c>
    </row>
    <row r="153" spans="2:67" x14ac:dyDescent="0.25">
      <c r="B153" s="363" t="s">
        <v>564</v>
      </c>
      <c r="C153" s="363" t="s">
        <v>565</v>
      </c>
      <c r="D153" s="363" t="s">
        <v>1232</v>
      </c>
      <c r="E153" s="363" t="s">
        <v>1231</v>
      </c>
      <c r="BN153" s="364" t="str">
        <f t="shared" si="4"/>
        <v>No reported value</v>
      </c>
      <c r="BO153" s="363" t="str">
        <f t="shared" si="5"/>
        <v>No reported value</v>
      </c>
    </row>
    <row r="154" spans="2:67" x14ac:dyDescent="0.25">
      <c r="B154" s="363" t="s">
        <v>640</v>
      </c>
      <c r="C154" s="363" t="s">
        <v>641</v>
      </c>
      <c r="D154" s="363" t="s">
        <v>1232</v>
      </c>
      <c r="E154" s="363" t="s">
        <v>1231</v>
      </c>
      <c r="BN154" s="364" t="str">
        <f t="shared" si="4"/>
        <v>No reported value</v>
      </c>
      <c r="BO154" s="363" t="str">
        <f t="shared" si="5"/>
        <v>No reported value</v>
      </c>
    </row>
    <row r="155" spans="2:67" x14ac:dyDescent="0.25">
      <c r="B155" s="363" t="s">
        <v>583</v>
      </c>
      <c r="C155" s="363" t="s">
        <v>85</v>
      </c>
      <c r="D155" s="363" t="s">
        <v>1232</v>
      </c>
      <c r="E155" s="363" t="s">
        <v>1231</v>
      </c>
      <c r="AX155" s="363">
        <v>0.80610000000000004</v>
      </c>
      <c r="BC155" s="363">
        <v>0.92810000000000004</v>
      </c>
      <c r="BD155" s="363">
        <v>0.89</v>
      </c>
      <c r="BG155" s="363">
        <v>0.89</v>
      </c>
      <c r="BH155" s="363">
        <v>0.86229999999999996</v>
      </c>
      <c r="BK155" s="363">
        <v>1.0979000000000001</v>
      </c>
      <c r="BN155" s="364">
        <f t="shared" si="4"/>
        <v>1.0979000000000001</v>
      </c>
      <c r="BO155" s="363">
        <f t="shared" si="5"/>
        <v>2017</v>
      </c>
    </row>
    <row r="156" spans="2:67" x14ac:dyDescent="0.25">
      <c r="B156" s="363" t="s">
        <v>581</v>
      </c>
      <c r="C156" s="363" t="s">
        <v>86</v>
      </c>
      <c r="D156" s="363" t="s">
        <v>1232</v>
      </c>
      <c r="E156" s="363" t="s">
        <v>1231</v>
      </c>
      <c r="AO156" s="363">
        <v>14.5</v>
      </c>
      <c r="BE156" s="363">
        <v>16.773299999999999</v>
      </c>
      <c r="BF156" s="363">
        <v>17.9101</v>
      </c>
      <c r="BG156" s="363">
        <v>18.763200000000001</v>
      </c>
      <c r="BH156" s="363">
        <v>20.262499999999999</v>
      </c>
      <c r="BN156" s="364">
        <f t="shared" si="4"/>
        <v>20.262499999999999</v>
      </c>
      <c r="BO156" s="363">
        <f t="shared" si="5"/>
        <v>2014</v>
      </c>
    </row>
    <row r="157" spans="2:67" x14ac:dyDescent="0.25">
      <c r="B157" s="363" t="s">
        <v>580</v>
      </c>
      <c r="C157" s="363" t="s">
        <v>87</v>
      </c>
      <c r="D157" s="363" t="s">
        <v>1232</v>
      </c>
      <c r="E157" s="363" t="s">
        <v>1231</v>
      </c>
      <c r="AZ157" s="363">
        <v>6.2</v>
      </c>
      <c r="BA157" s="363">
        <v>6.65</v>
      </c>
      <c r="BD157" s="363">
        <v>5.8437999999999999</v>
      </c>
      <c r="BE157" s="363">
        <v>5.8368000000000002</v>
      </c>
      <c r="BF157" s="363">
        <v>5.7957000000000001</v>
      </c>
      <c r="BG157" s="363">
        <v>5.6736000000000004</v>
      </c>
      <c r="BH157" s="363">
        <v>5.5006000000000004</v>
      </c>
      <c r="BI157" s="363">
        <v>4.5113000000000003</v>
      </c>
      <c r="BN157" s="364">
        <f t="shared" si="4"/>
        <v>4.5113000000000003</v>
      </c>
      <c r="BO157" s="363">
        <f t="shared" si="5"/>
        <v>2015</v>
      </c>
    </row>
    <row r="158" spans="2:67" x14ac:dyDescent="0.25">
      <c r="B158" s="363" t="s">
        <v>202</v>
      </c>
      <c r="C158" s="363" t="s">
        <v>88</v>
      </c>
      <c r="D158" s="363" t="s">
        <v>1232</v>
      </c>
      <c r="E158" s="363" t="s">
        <v>1231</v>
      </c>
      <c r="AV158" s="363">
        <v>0.31290000000000001</v>
      </c>
      <c r="AW158" s="363">
        <v>0.30349999999999999</v>
      </c>
      <c r="AX158" s="363">
        <v>0.28539999999999999</v>
      </c>
      <c r="AY158" s="363">
        <v>0.35</v>
      </c>
      <c r="AZ158" s="363">
        <v>0.30220000000000002</v>
      </c>
      <c r="BA158" s="363">
        <v>0.29409999999999997</v>
      </c>
      <c r="BB158" s="363">
        <v>0.28110000000000002</v>
      </c>
      <c r="BC158" s="363">
        <v>0.24299999999999999</v>
      </c>
      <c r="BD158" s="363">
        <v>0.2233</v>
      </c>
      <c r="BE158" s="363">
        <v>0.21790000000000001</v>
      </c>
      <c r="BF158" s="363">
        <v>0.21740000000000001</v>
      </c>
      <c r="BH158" s="363">
        <v>0.10589999999999999</v>
      </c>
      <c r="BN158" s="364">
        <f t="shared" si="4"/>
        <v>0.10589999999999999</v>
      </c>
      <c r="BO158" s="363">
        <f t="shared" si="5"/>
        <v>2014</v>
      </c>
    </row>
    <row r="159" spans="2:67" x14ac:dyDescent="0.25">
      <c r="B159" s="363" t="s">
        <v>243</v>
      </c>
      <c r="C159" s="363" t="s">
        <v>89</v>
      </c>
      <c r="D159" s="363" t="s">
        <v>1232</v>
      </c>
      <c r="E159" s="363" t="s">
        <v>1231</v>
      </c>
      <c r="AK159" s="363">
        <v>0.65269999999999995</v>
      </c>
      <c r="AM159" s="363">
        <v>0.77529999999999999</v>
      </c>
      <c r="AP159" s="363">
        <v>1.3922000000000001</v>
      </c>
      <c r="AX159" s="363">
        <v>2.8544</v>
      </c>
      <c r="BA159" s="363">
        <v>4.5789999999999997</v>
      </c>
      <c r="BC159" s="363">
        <v>5.2073</v>
      </c>
      <c r="BD159" s="363">
        <v>5.1247999999999996</v>
      </c>
      <c r="BH159" s="363">
        <v>5.7226999999999997</v>
      </c>
      <c r="BI159" s="363">
        <v>7.1463000000000001</v>
      </c>
      <c r="BJ159" s="363">
        <v>3.9504000000000001</v>
      </c>
      <c r="BN159" s="364">
        <f t="shared" si="4"/>
        <v>3.9504000000000001</v>
      </c>
      <c r="BO159" s="363">
        <f t="shared" si="5"/>
        <v>2016</v>
      </c>
    </row>
    <row r="160" spans="2:67" x14ac:dyDescent="0.25">
      <c r="B160" s="363" t="s">
        <v>572</v>
      </c>
      <c r="C160" s="363" t="s">
        <v>573</v>
      </c>
      <c r="D160" s="363" t="s">
        <v>1232</v>
      </c>
      <c r="E160" s="363" t="s">
        <v>1231</v>
      </c>
      <c r="BI160" s="363">
        <v>2.3152418654853513</v>
      </c>
      <c r="BN160" s="364">
        <f t="shared" si="4"/>
        <v>2.3152418654853513</v>
      </c>
      <c r="BO160" s="363">
        <f t="shared" si="5"/>
        <v>2015</v>
      </c>
    </row>
    <row r="161" spans="2:67" x14ac:dyDescent="0.25">
      <c r="B161" s="363" t="s">
        <v>569</v>
      </c>
      <c r="C161" s="363" t="s">
        <v>90</v>
      </c>
      <c r="D161" s="363" t="s">
        <v>1232</v>
      </c>
      <c r="E161" s="363" t="s">
        <v>1231</v>
      </c>
      <c r="AT161" s="363">
        <v>0.87180000000000002</v>
      </c>
      <c r="AX161" s="363">
        <v>3.98</v>
      </c>
      <c r="BC161" s="363">
        <v>2.371</v>
      </c>
      <c r="BD161" s="363">
        <v>2.3454999999999999</v>
      </c>
      <c r="BE161" s="363">
        <v>2.4378000000000002</v>
      </c>
      <c r="BF161" s="363">
        <v>2.4738000000000002</v>
      </c>
      <c r="BG161" s="363">
        <v>2.5335000000000001</v>
      </c>
      <c r="BH161" s="363">
        <v>2.5964</v>
      </c>
      <c r="BI161" s="363">
        <v>2.6686000000000001</v>
      </c>
      <c r="BJ161" s="363">
        <v>2.9</v>
      </c>
      <c r="BN161" s="364">
        <f t="shared" si="4"/>
        <v>2.9</v>
      </c>
      <c r="BO161" s="363">
        <f t="shared" si="5"/>
        <v>2016</v>
      </c>
    </row>
    <row r="162" spans="2:67" x14ac:dyDescent="0.25">
      <c r="B162" s="363" t="s">
        <v>568</v>
      </c>
      <c r="C162" s="363" t="s">
        <v>91</v>
      </c>
      <c r="D162" s="363" t="s">
        <v>1232</v>
      </c>
      <c r="E162" s="363" t="s">
        <v>1231</v>
      </c>
      <c r="AT162" s="363">
        <v>2.98</v>
      </c>
      <c r="BA162" s="363">
        <v>3.6084000000000001</v>
      </c>
      <c r="BB162" s="363">
        <v>2.6030000000000002</v>
      </c>
      <c r="BD162" s="363">
        <v>2.4237000000000002</v>
      </c>
      <c r="BE162" s="363">
        <v>3.7143000000000002</v>
      </c>
      <c r="BF162" s="363">
        <v>3.5484</v>
      </c>
      <c r="BN162" s="364">
        <f t="shared" si="4"/>
        <v>3.5484</v>
      </c>
      <c r="BO162" s="363">
        <f t="shared" si="5"/>
        <v>2012</v>
      </c>
    </row>
    <row r="163" spans="2:67" x14ac:dyDescent="0.25">
      <c r="B163" s="363" t="s">
        <v>578</v>
      </c>
      <c r="C163" s="363" t="s">
        <v>579</v>
      </c>
      <c r="D163" s="363" t="s">
        <v>1232</v>
      </c>
      <c r="E163" s="363" t="s">
        <v>1231</v>
      </c>
      <c r="AJ163" s="363">
        <v>0.67583429761456226</v>
      </c>
      <c r="AT163" s="363">
        <v>1.3681970724435639</v>
      </c>
      <c r="BI163" s="363">
        <v>2.5888793548886535</v>
      </c>
      <c r="BN163" s="364">
        <f t="shared" si="4"/>
        <v>2.5888793548886535</v>
      </c>
      <c r="BO163" s="363">
        <f t="shared" si="5"/>
        <v>2015</v>
      </c>
    </row>
    <row r="164" spans="2:67" x14ac:dyDescent="0.25">
      <c r="B164" s="363" t="s">
        <v>590</v>
      </c>
      <c r="C164" s="363" t="s">
        <v>591</v>
      </c>
      <c r="D164" s="363" t="s">
        <v>1232</v>
      </c>
      <c r="E164" s="363" t="s">
        <v>1231</v>
      </c>
      <c r="AZ164" s="363">
        <v>4.34</v>
      </c>
      <c r="BB164" s="363">
        <v>0.61199999999999999</v>
      </c>
      <c r="BD164" s="363">
        <v>4.7805</v>
      </c>
      <c r="BE164" s="363">
        <v>4.7702999999999998</v>
      </c>
      <c r="BF164" s="363">
        <v>4.7237</v>
      </c>
      <c r="BG164" s="363">
        <v>4.7545000000000002</v>
      </c>
      <c r="BI164" s="363">
        <v>3.7917000000000001</v>
      </c>
      <c r="BN164" s="364">
        <f t="shared" si="4"/>
        <v>3.7917000000000001</v>
      </c>
      <c r="BO164" s="363">
        <f t="shared" si="5"/>
        <v>2015</v>
      </c>
    </row>
    <row r="165" spans="2:67" x14ac:dyDescent="0.25">
      <c r="B165" s="363" t="s">
        <v>204</v>
      </c>
      <c r="C165" s="363" t="s">
        <v>92</v>
      </c>
      <c r="D165" s="363" t="s">
        <v>1232</v>
      </c>
      <c r="E165" s="363" t="s">
        <v>1231</v>
      </c>
      <c r="AX165" s="363">
        <v>0.67290000000000005</v>
      </c>
      <c r="BA165" s="363">
        <v>0.2107</v>
      </c>
      <c r="BB165" s="363">
        <v>0.29699999999999999</v>
      </c>
      <c r="BC165" s="363">
        <v>0.443</v>
      </c>
      <c r="BD165" s="363">
        <v>0.44540000000000002</v>
      </c>
      <c r="BE165" s="363">
        <v>0.36709999999999998</v>
      </c>
      <c r="BF165" s="363">
        <v>0.3765</v>
      </c>
      <c r="BJ165" s="363">
        <v>0.38200000000000001</v>
      </c>
      <c r="BN165" s="364">
        <f t="shared" si="4"/>
        <v>0.38200000000000001</v>
      </c>
      <c r="BO165" s="363">
        <f t="shared" si="5"/>
        <v>2016</v>
      </c>
    </row>
    <row r="166" spans="2:67" x14ac:dyDescent="0.25">
      <c r="B166" s="363" t="s">
        <v>567</v>
      </c>
      <c r="C166" s="363" t="s">
        <v>93</v>
      </c>
      <c r="D166" s="363" t="s">
        <v>1232</v>
      </c>
      <c r="E166" s="363" t="s">
        <v>1231</v>
      </c>
      <c r="AZ166" s="363">
        <v>5.98</v>
      </c>
      <c r="BA166" s="363">
        <v>6.2720000000000002</v>
      </c>
      <c r="BC166" s="363">
        <v>6.6310000000000002</v>
      </c>
      <c r="BD166" s="363">
        <v>7.1858000000000004</v>
      </c>
      <c r="BE166" s="363">
        <v>7.4474</v>
      </c>
      <c r="BF166" s="363">
        <v>7.4596</v>
      </c>
      <c r="BG166" s="363">
        <v>7.8639000000000001</v>
      </c>
      <c r="BH166" s="363">
        <v>8.9145000000000003</v>
      </c>
      <c r="BI166" s="363">
        <v>8.9499999999999993</v>
      </c>
      <c r="BN166" s="364">
        <f t="shared" si="4"/>
        <v>8.9499999999999993</v>
      </c>
      <c r="BO166" s="363">
        <f t="shared" si="5"/>
        <v>2015</v>
      </c>
    </row>
    <row r="167" spans="2:67" x14ac:dyDescent="0.25">
      <c r="B167" s="363" t="s">
        <v>244</v>
      </c>
      <c r="C167" s="363" t="s">
        <v>94</v>
      </c>
      <c r="D167" s="363" t="s">
        <v>1232</v>
      </c>
      <c r="E167" s="363" t="s">
        <v>1231</v>
      </c>
      <c r="AY167" s="363">
        <v>0.75329999999999997</v>
      </c>
      <c r="AZ167" s="363">
        <v>0.79390000000000005</v>
      </c>
      <c r="BA167" s="363">
        <v>0.81599999999999995</v>
      </c>
      <c r="BB167" s="363">
        <v>0.83720000000000006</v>
      </c>
      <c r="BC167" s="363">
        <v>0.86929999999999996</v>
      </c>
      <c r="BD167" s="363">
        <v>0.9012</v>
      </c>
      <c r="BE167" s="363">
        <v>0.92920000000000003</v>
      </c>
      <c r="BF167" s="363">
        <v>0.95850000000000002</v>
      </c>
      <c r="BI167" s="363">
        <v>0.38240000000000002</v>
      </c>
      <c r="BJ167" s="363">
        <v>1.0375000000000001</v>
      </c>
      <c r="BK167" s="363">
        <v>0.97940000000000005</v>
      </c>
      <c r="BN167" s="364">
        <f t="shared" si="4"/>
        <v>0.97940000000000005</v>
      </c>
      <c r="BO167" s="363">
        <f t="shared" si="5"/>
        <v>2017</v>
      </c>
    </row>
    <row r="168" spans="2:67" x14ac:dyDescent="0.25">
      <c r="B168" s="363" t="s">
        <v>574</v>
      </c>
      <c r="C168" s="363" t="s">
        <v>575</v>
      </c>
      <c r="D168" s="363" t="s">
        <v>1232</v>
      </c>
      <c r="E168" s="363" t="s">
        <v>1231</v>
      </c>
      <c r="BI168" s="363">
        <v>1.752603675461049</v>
      </c>
      <c r="BN168" s="364">
        <f t="shared" si="4"/>
        <v>1.752603675461049</v>
      </c>
      <c r="BO168" s="363">
        <f t="shared" si="5"/>
        <v>2015</v>
      </c>
    </row>
    <row r="169" spans="2:67" x14ac:dyDescent="0.25">
      <c r="B169" s="363" t="s">
        <v>582</v>
      </c>
      <c r="C169" s="363" t="s">
        <v>95</v>
      </c>
      <c r="D169" s="363" t="s">
        <v>1232</v>
      </c>
      <c r="E169" s="363" t="s">
        <v>1231</v>
      </c>
      <c r="AZ169" s="363">
        <v>5.65</v>
      </c>
      <c r="BA169" s="363">
        <v>5.54</v>
      </c>
      <c r="BC169" s="363">
        <v>5.7930000000000001</v>
      </c>
      <c r="BD169" s="363">
        <v>5.6736000000000004</v>
      </c>
      <c r="BE169" s="363">
        <v>5.4980000000000002</v>
      </c>
      <c r="BF169" s="363">
        <v>5.3113000000000001</v>
      </c>
      <c r="BG169" s="363">
        <v>5.7821999999999996</v>
      </c>
      <c r="BH169" s="363">
        <v>5.8243999999999998</v>
      </c>
      <c r="BI169" s="363">
        <v>5.7179000000000002</v>
      </c>
      <c r="BN169" s="364">
        <f t="shared" si="4"/>
        <v>5.7179000000000002</v>
      </c>
      <c r="BO169" s="363">
        <f t="shared" si="5"/>
        <v>2015</v>
      </c>
    </row>
    <row r="170" spans="2:67" x14ac:dyDescent="0.25">
      <c r="B170" s="363" t="s">
        <v>250</v>
      </c>
      <c r="C170" s="363" t="s">
        <v>96</v>
      </c>
      <c r="D170" s="363" t="s">
        <v>1232</v>
      </c>
      <c r="E170" s="363" t="s">
        <v>1231</v>
      </c>
      <c r="AV170" s="363">
        <v>3.6116999999999999</v>
      </c>
      <c r="BB170" s="363">
        <v>3.6547000000000001</v>
      </c>
      <c r="BC170" s="363">
        <v>3.6297000000000001</v>
      </c>
      <c r="BD170" s="363">
        <v>3.6406999999999998</v>
      </c>
      <c r="BE170" s="363">
        <v>3.673</v>
      </c>
      <c r="BF170" s="363">
        <v>3.7965</v>
      </c>
      <c r="BG170" s="363">
        <v>3.8214000000000001</v>
      </c>
      <c r="BH170" s="363">
        <v>4.048</v>
      </c>
      <c r="BJ170" s="363">
        <v>3.9845999999999999</v>
      </c>
      <c r="BN170" s="364">
        <f t="shared" si="4"/>
        <v>3.9845999999999999</v>
      </c>
      <c r="BO170" s="363">
        <f t="shared" si="5"/>
        <v>2016</v>
      </c>
    </row>
    <row r="171" spans="2:67" x14ac:dyDescent="0.25">
      <c r="B171" s="363" t="s">
        <v>592</v>
      </c>
      <c r="C171" s="363" t="s">
        <v>593</v>
      </c>
      <c r="D171" s="363" t="s">
        <v>1232</v>
      </c>
      <c r="E171" s="363" t="s">
        <v>1231</v>
      </c>
      <c r="BN171" s="364" t="str">
        <f t="shared" si="4"/>
        <v>No reported value</v>
      </c>
      <c r="BO171" s="363" t="str">
        <f t="shared" si="5"/>
        <v>No reported value</v>
      </c>
    </row>
    <row r="172" spans="2:67" x14ac:dyDescent="0.25">
      <c r="B172" s="363" t="s">
        <v>207</v>
      </c>
      <c r="C172" s="363" t="s">
        <v>97</v>
      </c>
      <c r="D172" s="363" t="s">
        <v>1232</v>
      </c>
      <c r="E172" s="363" t="s">
        <v>1231</v>
      </c>
      <c r="AX172" s="363">
        <v>0.3044</v>
      </c>
      <c r="AZ172" s="363">
        <v>0.28839999999999999</v>
      </c>
      <c r="BA172" s="363">
        <v>0.52190000000000003</v>
      </c>
      <c r="BB172" s="363">
        <v>0.34100000000000003</v>
      </c>
      <c r="BC172" s="363">
        <v>0.38429999999999997</v>
      </c>
      <c r="BD172" s="363">
        <v>0.39250000000000002</v>
      </c>
      <c r="BE172" s="363">
        <v>0.38100000000000001</v>
      </c>
      <c r="BF172" s="363">
        <v>0.39279999999999998</v>
      </c>
      <c r="BG172" s="363">
        <v>0.4017</v>
      </c>
      <c r="BK172" s="363">
        <v>0.44359999999999999</v>
      </c>
      <c r="BN172" s="364">
        <f t="shared" si="4"/>
        <v>0.44359999999999999</v>
      </c>
      <c r="BO172" s="363">
        <f t="shared" si="5"/>
        <v>2017</v>
      </c>
    </row>
    <row r="173" spans="2:67" x14ac:dyDescent="0.25">
      <c r="B173" s="363" t="s">
        <v>205</v>
      </c>
      <c r="C173" s="363" t="s">
        <v>98</v>
      </c>
      <c r="D173" s="363" t="s">
        <v>1232</v>
      </c>
      <c r="E173" s="363" t="s">
        <v>1231</v>
      </c>
      <c r="AX173" s="363">
        <v>0.62209999999999999</v>
      </c>
      <c r="BC173" s="363">
        <v>0.65680000000000005</v>
      </c>
      <c r="BD173" s="363">
        <v>0.77659999999999996</v>
      </c>
      <c r="BG173" s="363">
        <v>0.66700000000000004</v>
      </c>
      <c r="BH173" s="363">
        <v>0.94640000000000002</v>
      </c>
      <c r="BI173" s="363">
        <v>0.98919999999999997</v>
      </c>
      <c r="BK173" s="363">
        <v>1.0341</v>
      </c>
      <c r="BN173" s="364">
        <f t="shared" si="4"/>
        <v>1.0341</v>
      </c>
      <c r="BO173" s="363">
        <f t="shared" si="5"/>
        <v>2017</v>
      </c>
    </row>
    <row r="174" spans="2:67" x14ac:dyDescent="0.25">
      <c r="B174" s="363" t="s">
        <v>206</v>
      </c>
      <c r="C174" s="363" t="s">
        <v>99</v>
      </c>
      <c r="D174" s="363" t="s">
        <v>1232</v>
      </c>
      <c r="E174" s="363" t="s">
        <v>1231</v>
      </c>
      <c r="AX174" s="363">
        <v>3.7871000000000001</v>
      </c>
      <c r="BA174" s="363">
        <v>2.6743999999999999</v>
      </c>
      <c r="BB174" s="363">
        <v>2.7435</v>
      </c>
      <c r="BC174" s="363">
        <v>2.8134999999999999</v>
      </c>
      <c r="BD174" s="363">
        <v>2.8845999999999998</v>
      </c>
      <c r="BE174" s="363">
        <v>2.9337</v>
      </c>
      <c r="BF174" s="363">
        <v>2.9815</v>
      </c>
      <c r="BG174" s="363">
        <v>3.157</v>
      </c>
      <c r="BH174" s="363">
        <v>3.2810999999999999</v>
      </c>
      <c r="BI174" s="363">
        <v>3.3831000000000002</v>
      </c>
      <c r="BN174" s="364">
        <f t="shared" si="4"/>
        <v>3.3831000000000002</v>
      </c>
      <c r="BO174" s="363">
        <f t="shared" si="5"/>
        <v>2015</v>
      </c>
    </row>
    <row r="175" spans="2:67" x14ac:dyDescent="0.25">
      <c r="B175" s="363" t="s">
        <v>203</v>
      </c>
      <c r="C175" s="363" t="s">
        <v>100</v>
      </c>
      <c r="D175" s="363" t="s">
        <v>1232</v>
      </c>
      <c r="E175" s="363" t="s">
        <v>1231</v>
      </c>
      <c r="AX175" s="363">
        <v>0.57310000000000005</v>
      </c>
      <c r="BB175" s="363">
        <v>0.27300000000000002</v>
      </c>
      <c r="BC175" s="363">
        <v>0.32700000000000001</v>
      </c>
      <c r="BD175" s="363">
        <v>0.28299999999999997</v>
      </c>
      <c r="BJ175" s="363">
        <v>0.25280000000000002</v>
      </c>
      <c r="BN175" s="364">
        <f t="shared" si="4"/>
        <v>0.25280000000000002</v>
      </c>
      <c r="BO175" s="363">
        <f t="shared" si="5"/>
        <v>2016</v>
      </c>
    </row>
    <row r="176" spans="2:67" x14ac:dyDescent="0.25">
      <c r="B176" s="363" t="s">
        <v>566</v>
      </c>
      <c r="C176" s="363" t="s">
        <v>101</v>
      </c>
      <c r="D176" s="363" t="s">
        <v>1232</v>
      </c>
      <c r="E176" s="363" t="s">
        <v>1231</v>
      </c>
      <c r="AT176" s="363">
        <v>1.6752</v>
      </c>
      <c r="AV176" s="363">
        <v>1.7927</v>
      </c>
      <c r="BB176" s="363">
        <v>2.6869999999999998</v>
      </c>
      <c r="BD176" s="363">
        <v>3.2084999999999999</v>
      </c>
      <c r="BE176" s="363">
        <v>3.3893</v>
      </c>
      <c r="BF176" s="363">
        <v>3.8008000000000002</v>
      </c>
      <c r="BI176" s="363">
        <v>4.0717999999999996</v>
      </c>
      <c r="BN176" s="364">
        <f t="shared" si="4"/>
        <v>4.0717999999999996</v>
      </c>
      <c r="BO176" s="363">
        <f t="shared" si="5"/>
        <v>2015</v>
      </c>
    </row>
    <row r="177" spans="2:67" x14ac:dyDescent="0.25">
      <c r="B177" s="363" t="s">
        <v>588</v>
      </c>
      <c r="C177" s="363" t="s">
        <v>589</v>
      </c>
      <c r="D177" s="363" t="s">
        <v>1232</v>
      </c>
      <c r="E177" s="363" t="s">
        <v>1231</v>
      </c>
      <c r="AT177" s="363">
        <v>9.5206778919466224</v>
      </c>
      <c r="BI177" s="363">
        <v>8.6857819108011327</v>
      </c>
      <c r="BN177" s="364">
        <f t="shared" si="4"/>
        <v>8.6857819108011327</v>
      </c>
      <c r="BO177" s="363">
        <f t="shared" si="5"/>
        <v>2015</v>
      </c>
    </row>
    <row r="178" spans="2:67" x14ac:dyDescent="0.25">
      <c r="B178" s="363" t="s">
        <v>208</v>
      </c>
      <c r="C178" s="363" t="s">
        <v>102</v>
      </c>
      <c r="D178" s="363" t="s">
        <v>1232</v>
      </c>
      <c r="E178" s="363" t="s">
        <v>1231</v>
      </c>
      <c r="AX178" s="363">
        <v>3.0583999999999998</v>
      </c>
      <c r="BA178" s="363">
        <v>2.7646000000000002</v>
      </c>
      <c r="BD178" s="363">
        <v>2.7749999999999999</v>
      </c>
      <c r="BN178" s="364">
        <f t="shared" si="4"/>
        <v>2.7749999999999999</v>
      </c>
      <c r="BO178" s="363">
        <f t="shared" si="5"/>
        <v>2010</v>
      </c>
    </row>
    <row r="179" spans="2:67" x14ac:dyDescent="0.25">
      <c r="B179" s="363" t="s">
        <v>585</v>
      </c>
      <c r="C179" s="363" t="s">
        <v>586</v>
      </c>
      <c r="D179" s="363" t="s">
        <v>1232</v>
      </c>
      <c r="E179" s="363" t="s">
        <v>1231</v>
      </c>
      <c r="BN179" s="364" t="str">
        <f t="shared" si="4"/>
        <v>No reported value</v>
      </c>
      <c r="BO179" s="363" t="str">
        <f t="shared" si="5"/>
        <v>No reported value</v>
      </c>
    </row>
    <row r="180" spans="2:67" x14ac:dyDescent="0.25">
      <c r="B180" s="363" t="s">
        <v>209</v>
      </c>
      <c r="C180" s="363" t="s">
        <v>103</v>
      </c>
      <c r="D180" s="363" t="s">
        <v>1232</v>
      </c>
      <c r="E180" s="363" t="s">
        <v>1231</v>
      </c>
      <c r="AX180" s="363">
        <v>0.2147</v>
      </c>
      <c r="BB180" s="363">
        <v>0.1389</v>
      </c>
      <c r="BC180" s="363">
        <v>0.20430000000000001</v>
      </c>
      <c r="BD180" s="363">
        <v>0.13700000000000001</v>
      </c>
      <c r="BG180" s="363">
        <v>0.24149999999999999</v>
      </c>
      <c r="BH180" s="363">
        <v>0.31090000000000001</v>
      </c>
      <c r="BN180" s="364">
        <f t="shared" si="4"/>
        <v>0.31090000000000001</v>
      </c>
      <c r="BO180" s="363">
        <f t="shared" si="5"/>
        <v>2014</v>
      </c>
    </row>
    <row r="181" spans="2:67" x14ac:dyDescent="0.25">
      <c r="B181" s="363" t="s">
        <v>177</v>
      </c>
      <c r="C181" s="363" t="s">
        <v>104</v>
      </c>
      <c r="D181" s="363" t="s">
        <v>1232</v>
      </c>
      <c r="E181" s="363" t="s">
        <v>1231</v>
      </c>
      <c r="AW181" s="363">
        <v>1.5935999999999999</v>
      </c>
      <c r="AY181" s="363">
        <v>1.5361</v>
      </c>
      <c r="AZ181" s="363">
        <v>1.5025999999999999</v>
      </c>
      <c r="BA181" s="363">
        <v>1.4984999999999999</v>
      </c>
      <c r="BB181" s="363">
        <v>1.4962</v>
      </c>
      <c r="BC181" s="363">
        <v>1.0762</v>
      </c>
      <c r="BD181" s="363">
        <v>1.3561000000000001</v>
      </c>
      <c r="BG181" s="363">
        <v>1.4523999999999999</v>
      </c>
      <c r="BN181" s="364">
        <f t="shared" si="4"/>
        <v>1.4523999999999999</v>
      </c>
      <c r="BO181" s="363">
        <f t="shared" si="5"/>
        <v>2013</v>
      </c>
    </row>
    <row r="182" spans="2:67" x14ac:dyDescent="0.25">
      <c r="B182" s="363" t="s">
        <v>227</v>
      </c>
      <c r="C182" s="363" t="s">
        <v>105</v>
      </c>
      <c r="D182" s="363" t="s">
        <v>1232</v>
      </c>
      <c r="E182" s="363" t="s">
        <v>1231</v>
      </c>
      <c r="AW182" s="363">
        <v>1.1185</v>
      </c>
      <c r="AY182" s="363">
        <v>1.17</v>
      </c>
      <c r="AZ182" s="363">
        <v>1.1713</v>
      </c>
      <c r="BA182" s="363">
        <v>1.1970000000000001</v>
      </c>
      <c r="BB182" s="363">
        <v>1.3084</v>
      </c>
      <c r="BC182" s="363">
        <v>1.3209</v>
      </c>
      <c r="BD182" s="363">
        <v>1.2838000000000001</v>
      </c>
      <c r="BE182" s="363">
        <v>1.3880999999999999</v>
      </c>
      <c r="BF182" s="363">
        <v>1.3940999999999999</v>
      </c>
      <c r="BG182" s="363">
        <v>1.3864000000000001</v>
      </c>
      <c r="BH182" s="363">
        <v>1.3838999999999999</v>
      </c>
      <c r="BL182" s="363">
        <v>1.5774999999999999</v>
      </c>
      <c r="BN182" s="364">
        <f t="shared" si="4"/>
        <v>1.5774999999999999</v>
      </c>
      <c r="BO182" s="363">
        <f t="shared" si="5"/>
        <v>2018</v>
      </c>
    </row>
    <row r="183" spans="2:67" x14ac:dyDescent="0.25">
      <c r="B183" s="363" t="s">
        <v>584</v>
      </c>
      <c r="C183" s="363" t="s">
        <v>106</v>
      </c>
      <c r="D183" s="363" t="s">
        <v>1232</v>
      </c>
      <c r="E183" s="363" t="s">
        <v>1231</v>
      </c>
      <c r="AZ183" s="363">
        <v>14.61</v>
      </c>
      <c r="BA183" s="363">
        <v>15.145</v>
      </c>
      <c r="BB183" s="363">
        <v>8.5169999999999995</v>
      </c>
      <c r="BH183" s="363">
        <v>10.5284</v>
      </c>
      <c r="BI183" s="363">
        <v>10.467499999999999</v>
      </c>
      <c r="BJ183" s="363">
        <v>11.1043</v>
      </c>
      <c r="BN183" s="364">
        <f t="shared" si="4"/>
        <v>11.1043</v>
      </c>
      <c r="BO183" s="363">
        <f t="shared" si="5"/>
        <v>2016</v>
      </c>
    </row>
    <row r="184" spans="2:67" x14ac:dyDescent="0.25">
      <c r="B184" s="363" t="s">
        <v>594</v>
      </c>
      <c r="C184" s="363" t="s">
        <v>107</v>
      </c>
      <c r="D184" s="363" t="s">
        <v>1232</v>
      </c>
      <c r="E184" s="363" t="s">
        <v>1231</v>
      </c>
      <c r="AZ184" s="363">
        <v>16.22</v>
      </c>
      <c r="BA184" s="363">
        <v>16.329000000000001</v>
      </c>
      <c r="BB184" s="363">
        <v>14.76</v>
      </c>
      <c r="BC184" s="363">
        <v>31.1431</v>
      </c>
      <c r="BD184" s="363">
        <v>17.1921</v>
      </c>
      <c r="BE184" s="363">
        <v>17.491700000000002</v>
      </c>
      <c r="BF184" s="363">
        <v>17.6343</v>
      </c>
      <c r="BG184" s="363">
        <v>17.7637</v>
      </c>
      <c r="BH184" s="363">
        <v>17.985299999999999</v>
      </c>
      <c r="BI184" s="363">
        <v>17.862200000000001</v>
      </c>
      <c r="BJ184" s="363">
        <v>17.979299999999999</v>
      </c>
      <c r="BK184" s="363">
        <v>18.124700000000001</v>
      </c>
      <c r="BN184" s="364">
        <f t="shared" si="4"/>
        <v>18.124700000000001</v>
      </c>
      <c r="BO184" s="363">
        <f t="shared" si="5"/>
        <v>2017</v>
      </c>
    </row>
    <row r="185" spans="2:67" x14ac:dyDescent="0.25">
      <c r="B185" s="363" t="s">
        <v>179</v>
      </c>
      <c r="C185" s="363" t="s">
        <v>108</v>
      </c>
      <c r="D185" s="363" t="s">
        <v>1232</v>
      </c>
      <c r="E185" s="363" t="s">
        <v>1231</v>
      </c>
      <c r="AX185" s="363">
        <v>0.4672</v>
      </c>
      <c r="BF185" s="363">
        <v>1.5599000000000001</v>
      </c>
      <c r="BG185" s="363">
        <v>1.8013999999999999</v>
      </c>
      <c r="BH185" s="363">
        <v>2.0299999999999998</v>
      </c>
      <c r="BK185" s="363">
        <v>2.6854</v>
      </c>
      <c r="BN185" s="364">
        <f t="shared" si="4"/>
        <v>2.6854</v>
      </c>
      <c r="BO185" s="363">
        <f t="shared" si="5"/>
        <v>2017</v>
      </c>
    </row>
    <row r="186" spans="2:67" x14ac:dyDescent="0.25">
      <c r="B186" s="363" t="s">
        <v>251</v>
      </c>
      <c r="C186" s="363" t="s">
        <v>109</v>
      </c>
      <c r="D186" s="363" t="s">
        <v>1232</v>
      </c>
      <c r="E186" s="363" t="s">
        <v>1231</v>
      </c>
      <c r="AO186" s="363">
        <v>6</v>
      </c>
      <c r="AX186" s="363">
        <v>6.2375999999999996</v>
      </c>
      <c r="BB186" s="363">
        <v>6.9696999999999996</v>
      </c>
      <c r="BE186" s="363">
        <v>6.8627000000000002</v>
      </c>
      <c r="BI186" s="363">
        <v>6.1947000000000001</v>
      </c>
      <c r="BN186" s="364">
        <f t="shared" si="4"/>
        <v>6.1947000000000001</v>
      </c>
      <c r="BO186" s="363">
        <f t="shared" si="5"/>
        <v>2015</v>
      </c>
    </row>
    <row r="187" spans="2:67" x14ac:dyDescent="0.25">
      <c r="B187" s="363" t="s">
        <v>587</v>
      </c>
      <c r="C187" s="363" t="s">
        <v>110</v>
      </c>
      <c r="D187" s="363" t="s">
        <v>1232</v>
      </c>
      <c r="E187" s="363" t="s">
        <v>1231</v>
      </c>
      <c r="AT187" s="363">
        <v>7.9916999999999998</v>
      </c>
      <c r="AU187" s="363">
        <v>8.5082000000000004</v>
      </c>
      <c r="AW187" s="363">
        <v>8.91</v>
      </c>
      <c r="BA187" s="363">
        <v>10.510300000000001</v>
      </c>
      <c r="BD187" s="363">
        <v>10.576000000000001</v>
      </c>
      <c r="BE187" s="363">
        <v>10.6174</v>
      </c>
      <c r="BF187" s="363">
        <v>10.5177</v>
      </c>
      <c r="BG187" s="363">
        <v>10.520899999999999</v>
      </c>
      <c r="BH187" s="363">
        <v>10.5512</v>
      </c>
      <c r="BI187" s="363">
        <v>10.7919</v>
      </c>
      <c r="BJ187" s="363">
        <v>10.9198</v>
      </c>
      <c r="BK187" s="363">
        <v>10.955</v>
      </c>
      <c r="BN187" s="364">
        <f t="shared" si="4"/>
        <v>10.955</v>
      </c>
      <c r="BO187" s="363">
        <f t="shared" si="5"/>
        <v>2017</v>
      </c>
    </row>
    <row r="188" spans="2:67" x14ac:dyDescent="0.25">
      <c r="B188" s="363" t="s">
        <v>597</v>
      </c>
      <c r="C188" s="363" t="s">
        <v>598</v>
      </c>
      <c r="D188" s="363" t="s">
        <v>1232</v>
      </c>
      <c r="E188" s="363" t="s">
        <v>1231</v>
      </c>
      <c r="AT188" s="363">
        <v>6.9594903149691767</v>
      </c>
      <c r="BI188" s="363">
        <v>8.0446854465695399</v>
      </c>
      <c r="BN188" s="364">
        <f t="shared" si="4"/>
        <v>8.0446854465695399</v>
      </c>
      <c r="BO188" s="363">
        <f t="shared" si="5"/>
        <v>2015</v>
      </c>
    </row>
    <row r="189" spans="2:67" x14ac:dyDescent="0.25">
      <c r="B189" s="363" t="s">
        <v>599</v>
      </c>
      <c r="C189" s="363" t="s">
        <v>111</v>
      </c>
      <c r="D189" s="363" t="s">
        <v>1232</v>
      </c>
      <c r="E189" s="363" t="s">
        <v>1231</v>
      </c>
      <c r="AJ189" s="363">
        <v>2.2884000000000002</v>
      </c>
      <c r="AO189" s="363">
        <v>2.7383000000000002</v>
      </c>
      <c r="AQ189" s="363">
        <v>2.5745</v>
      </c>
      <c r="AR189" s="363">
        <v>2.8264999999999998</v>
      </c>
      <c r="AS189" s="363">
        <v>2.8551000000000002</v>
      </c>
      <c r="AT189" s="363">
        <v>3.4519000000000002</v>
      </c>
      <c r="AX189" s="363">
        <v>3.5773999999999999</v>
      </c>
      <c r="AY189" s="363">
        <v>3.6941000000000002</v>
      </c>
      <c r="AZ189" s="363">
        <v>3.7223999999999999</v>
      </c>
      <c r="BA189" s="363">
        <v>3.9034</v>
      </c>
      <c r="BB189" s="363">
        <v>4.0713999999999997</v>
      </c>
      <c r="BC189" s="363">
        <v>4.1977000000000002</v>
      </c>
      <c r="BD189" s="363">
        <v>4.2298</v>
      </c>
      <c r="BE189" s="363">
        <v>4.3981000000000003</v>
      </c>
      <c r="BF189" s="363">
        <v>4.5105000000000004</v>
      </c>
      <c r="BG189" s="363">
        <v>4.5614999999999997</v>
      </c>
      <c r="BH189" s="363">
        <v>4.7450999999999999</v>
      </c>
      <c r="BI189" s="363">
        <v>4.6028000000000002</v>
      </c>
      <c r="BJ189" s="363">
        <v>4.4657</v>
      </c>
      <c r="BK189" s="363">
        <v>4.3003999999999998</v>
      </c>
      <c r="BN189" s="364">
        <f t="shared" si="4"/>
        <v>4.3003999999999998</v>
      </c>
      <c r="BO189" s="363">
        <f t="shared" si="5"/>
        <v>2017</v>
      </c>
    </row>
    <row r="190" spans="2:67" x14ac:dyDescent="0.25">
      <c r="B190" s="363" t="s">
        <v>600</v>
      </c>
      <c r="C190" s="363" t="s">
        <v>601</v>
      </c>
      <c r="D190" s="363" t="s">
        <v>1232</v>
      </c>
      <c r="E190" s="363" t="s">
        <v>1231</v>
      </c>
      <c r="BI190" s="363">
        <v>3.1396249440349466</v>
      </c>
      <c r="BN190" s="364">
        <f t="shared" si="4"/>
        <v>3.1396249440349466</v>
      </c>
      <c r="BO190" s="363">
        <f t="shared" si="5"/>
        <v>2015</v>
      </c>
    </row>
    <row r="191" spans="2:67" x14ac:dyDescent="0.25">
      <c r="B191" s="363" t="s">
        <v>176</v>
      </c>
      <c r="C191" s="363" t="s">
        <v>112</v>
      </c>
      <c r="D191" s="363" t="s">
        <v>1232</v>
      </c>
      <c r="E191" s="363" t="s">
        <v>1231</v>
      </c>
      <c r="AL191" s="363">
        <v>0.32590000000000002</v>
      </c>
      <c r="AM191" s="363">
        <v>0.33310000000000001</v>
      </c>
      <c r="AN191" s="363">
        <v>0.34379999999999999</v>
      </c>
      <c r="AO191" s="363">
        <v>0.34589999999999999</v>
      </c>
      <c r="AP191" s="363">
        <v>0.36870000000000003</v>
      </c>
      <c r="AQ191" s="363">
        <v>0.39119999999999999</v>
      </c>
      <c r="AR191" s="363">
        <v>0.41620000000000001</v>
      </c>
      <c r="AS191" s="363">
        <v>0.43109999999999998</v>
      </c>
      <c r="AT191" s="363">
        <v>0.4335</v>
      </c>
      <c r="AU191" s="363">
        <v>0.443</v>
      </c>
      <c r="AX191" s="363">
        <v>0.47599999999999998</v>
      </c>
      <c r="BB191" s="363">
        <v>0.55559999999999998</v>
      </c>
      <c r="BC191" s="363">
        <v>0.57189999999999996</v>
      </c>
      <c r="BD191" s="363">
        <v>0.58860000000000001</v>
      </c>
      <c r="BE191" s="363">
        <v>0.44600000000000001</v>
      </c>
      <c r="BH191" s="363">
        <v>0.60399999999999998</v>
      </c>
      <c r="BI191" s="363">
        <v>0.50039999999999996</v>
      </c>
      <c r="BN191" s="364">
        <f t="shared" si="4"/>
        <v>0.50039999999999996</v>
      </c>
      <c r="BO191" s="363">
        <f t="shared" si="5"/>
        <v>2015</v>
      </c>
    </row>
    <row r="192" spans="2:67" x14ac:dyDescent="0.25">
      <c r="B192" s="363" t="s">
        <v>606</v>
      </c>
      <c r="C192" s="363" t="s">
        <v>113</v>
      </c>
      <c r="D192" s="363" t="s">
        <v>1232</v>
      </c>
      <c r="E192" s="363" t="s">
        <v>1231</v>
      </c>
      <c r="AJ192" s="363">
        <v>0.99550000000000005</v>
      </c>
      <c r="AK192" s="363">
        <v>0.97419999999999995</v>
      </c>
      <c r="AL192" s="363">
        <v>0.96389999999999998</v>
      </c>
      <c r="AM192" s="363">
        <v>1.0065999999999999</v>
      </c>
      <c r="AN192" s="363">
        <v>1.0253000000000001</v>
      </c>
      <c r="AO192" s="363">
        <v>1.0443</v>
      </c>
      <c r="AP192" s="363">
        <v>1.0779000000000001</v>
      </c>
      <c r="AQ192" s="363">
        <v>1.1048</v>
      </c>
      <c r="AR192" s="363">
        <v>1.0935999999999999</v>
      </c>
      <c r="AS192" s="363">
        <v>1.1423000000000001</v>
      </c>
      <c r="AT192" s="363">
        <v>2.7650000000000001</v>
      </c>
      <c r="AU192" s="363">
        <v>1.8412999999999999</v>
      </c>
      <c r="AV192" s="363">
        <v>1.9162999999999999</v>
      </c>
      <c r="AW192" s="363">
        <v>2.1983999999999999</v>
      </c>
      <c r="AX192" s="363">
        <v>1.9907999999999999</v>
      </c>
      <c r="AY192" s="363">
        <v>2.0042</v>
      </c>
      <c r="AZ192" s="363">
        <v>2.0030000000000001</v>
      </c>
      <c r="BD192" s="363">
        <v>2.4761000000000002</v>
      </c>
      <c r="BE192" s="363">
        <v>2.3138000000000001</v>
      </c>
      <c r="BJ192" s="363">
        <v>1.41</v>
      </c>
      <c r="BN192" s="364">
        <f t="shared" si="4"/>
        <v>1.41</v>
      </c>
      <c r="BO192" s="363">
        <f t="shared" si="5"/>
        <v>2016</v>
      </c>
    </row>
    <row r="193" spans="2:67" x14ac:dyDescent="0.25">
      <c r="B193" s="363" t="s">
        <v>607</v>
      </c>
      <c r="C193" s="363" t="s">
        <v>114</v>
      </c>
      <c r="D193" s="363" t="s">
        <v>1232</v>
      </c>
      <c r="E193" s="363" t="s">
        <v>1231</v>
      </c>
      <c r="AS193" s="363">
        <v>0.66930000000000001</v>
      </c>
      <c r="BA193" s="363">
        <v>3.5920999999999998</v>
      </c>
      <c r="BC193" s="363">
        <v>1.2989999999999999</v>
      </c>
      <c r="BD193" s="363">
        <v>1.2709999999999999</v>
      </c>
      <c r="BF193" s="363">
        <v>1.4928999999999999</v>
      </c>
      <c r="BJ193" s="363">
        <v>1.35</v>
      </c>
      <c r="BN193" s="364">
        <f t="shared" si="4"/>
        <v>1.35</v>
      </c>
      <c r="BO193" s="363">
        <f t="shared" si="5"/>
        <v>2016</v>
      </c>
    </row>
    <row r="194" spans="2:67" x14ac:dyDescent="0.25">
      <c r="B194" s="363" t="s">
        <v>253</v>
      </c>
      <c r="C194" s="363" t="s">
        <v>115</v>
      </c>
      <c r="D194" s="363" t="s">
        <v>1232</v>
      </c>
      <c r="E194" s="363" t="s">
        <v>1231</v>
      </c>
      <c r="AT194" s="363">
        <v>4.3164999999999996</v>
      </c>
      <c r="AU194" s="363">
        <v>4.2984999999999998</v>
      </c>
      <c r="AV194" s="363">
        <v>4.2682000000000002</v>
      </c>
      <c r="AW194" s="363">
        <v>4.2375999999999996</v>
      </c>
      <c r="AX194" s="363">
        <v>4.2401999999999997</v>
      </c>
      <c r="AY194" s="363">
        <v>4.2778</v>
      </c>
      <c r="AZ194" s="363">
        <v>4.4088000000000003</v>
      </c>
      <c r="BA194" s="363">
        <v>4.6593999999999998</v>
      </c>
      <c r="BB194" s="363">
        <v>5.1306000000000003</v>
      </c>
      <c r="BC194" s="363">
        <v>5.6589</v>
      </c>
      <c r="BD194" s="363">
        <v>3.3348</v>
      </c>
      <c r="BI194" s="363">
        <v>0.24</v>
      </c>
      <c r="BN194" s="364">
        <f t="shared" si="4"/>
        <v>0.24</v>
      </c>
      <c r="BO194" s="363">
        <f t="shared" si="5"/>
        <v>2015</v>
      </c>
    </row>
    <row r="195" spans="2:67" x14ac:dyDescent="0.25">
      <c r="B195" s="363" t="s">
        <v>604</v>
      </c>
      <c r="C195" s="363" t="s">
        <v>605</v>
      </c>
      <c r="D195" s="363" t="s">
        <v>1232</v>
      </c>
      <c r="E195" s="363" t="s">
        <v>1231</v>
      </c>
      <c r="AR195" s="363">
        <v>6.1081000000000003</v>
      </c>
      <c r="AX195" s="363">
        <v>6.0606</v>
      </c>
      <c r="AZ195" s="363">
        <v>5.9</v>
      </c>
      <c r="BC195" s="363">
        <v>5.5171999999999999</v>
      </c>
      <c r="BD195" s="363">
        <v>5.8048999999999999</v>
      </c>
      <c r="BH195" s="363">
        <v>5.2606999999999999</v>
      </c>
      <c r="BN195" s="364">
        <f t="shared" si="4"/>
        <v>5.2606999999999999</v>
      </c>
      <c r="BO195" s="363">
        <f t="shared" si="5"/>
        <v>2014</v>
      </c>
    </row>
    <row r="196" spans="2:67" x14ac:dyDescent="0.25">
      <c r="B196" s="363" t="s">
        <v>252</v>
      </c>
      <c r="C196" s="363" t="s">
        <v>116</v>
      </c>
      <c r="D196" s="363" t="s">
        <v>1232</v>
      </c>
      <c r="E196" s="363" t="s">
        <v>1231</v>
      </c>
      <c r="AT196" s="363">
        <v>0.50990000000000002</v>
      </c>
      <c r="BB196" s="363">
        <v>0.41899999999999998</v>
      </c>
      <c r="BD196" s="363">
        <v>0.51249999999999996</v>
      </c>
      <c r="BN196" s="364">
        <f t="shared" si="4"/>
        <v>0.51249999999999996</v>
      </c>
      <c r="BO196" s="363">
        <f t="shared" si="5"/>
        <v>2010</v>
      </c>
    </row>
    <row r="197" spans="2:67" x14ac:dyDescent="0.25">
      <c r="B197" s="363" t="s">
        <v>608</v>
      </c>
      <c r="C197" s="363" t="s">
        <v>117</v>
      </c>
      <c r="D197" s="363" t="s">
        <v>1232</v>
      </c>
      <c r="E197" s="363" t="s">
        <v>1231</v>
      </c>
      <c r="AW197" s="363">
        <v>4.8949999999999996</v>
      </c>
      <c r="AY197" s="363">
        <v>5.18</v>
      </c>
      <c r="AZ197" s="363">
        <v>5.1870000000000003</v>
      </c>
      <c r="BB197" s="363">
        <v>5.73</v>
      </c>
      <c r="BD197" s="363">
        <v>6.4191000000000003</v>
      </c>
      <c r="BE197" s="363">
        <v>6.4267000000000003</v>
      </c>
      <c r="BF197" s="363">
        <v>6.7954999999999997</v>
      </c>
      <c r="BG197" s="363">
        <v>5.8319999999999999</v>
      </c>
      <c r="BH197" s="363">
        <v>5.7861000000000002</v>
      </c>
      <c r="BI197" s="363">
        <v>5.7453000000000003</v>
      </c>
      <c r="BJ197" s="363">
        <v>5.7221000000000002</v>
      </c>
      <c r="BN197" s="364">
        <f t="shared" si="4"/>
        <v>5.7221000000000002</v>
      </c>
      <c r="BO197" s="363">
        <f t="shared" si="5"/>
        <v>2016</v>
      </c>
    </row>
    <row r="198" spans="2:67" x14ac:dyDescent="0.25">
      <c r="B198" s="363" t="s">
        <v>612</v>
      </c>
      <c r="C198" s="363" t="s">
        <v>613</v>
      </c>
      <c r="D198" s="363" t="s">
        <v>1232</v>
      </c>
      <c r="E198" s="363" t="s">
        <v>1231</v>
      </c>
      <c r="BI198" s="363">
        <v>0.86118598428335402</v>
      </c>
      <c r="BN198" s="364">
        <f t="shared" si="4"/>
        <v>0.86118598428335402</v>
      </c>
      <c r="BO198" s="363">
        <f t="shared" si="5"/>
        <v>2015</v>
      </c>
    </row>
    <row r="199" spans="2:67" x14ac:dyDescent="0.25">
      <c r="B199" s="363" t="s">
        <v>614</v>
      </c>
      <c r="C199" s="363" t="s">
        <v>615</v>
      </c>
      <c r="D199" s="363" t="s">
        <v>1232</v>
      </c>
      <c r="E199" s="363" t="s">
        <v>1231</v>
      </c>
      <c r="BN199" s="364" t="str">
        <f t="shared" si="4"/>
        <v>No reported value</v>
      </c>
      <c r="BO199" s="363" t="str">
        <f t="shared" si="5"/>
        <v>No reported value</v>
      </c>
    </row>
    <row r="200" spans="2:67" x14ac:dyDescent="0.25">
      <c r="B200" s="363" t="s">
        <v>535</v>
      </c>
      <c r="C200" s="363" t="s">
        <v>158</v>
      </c>
      <c r="D200" s="363" t="s">
        <v>1232</v>
      </c>
      <c r="E200" s="363" t="s">
        <v>1231</v>
      </c>
      <c r="AW200" s="363">
        <v>3.9685999999999999</v>
      </c>
      <c r="BB200" s="363">
        <v>4.1409000000000002</v>
      </c>
      <c r="BE200" s="363">
        <v>4.0910000000000002</v>
      </c>
      <c r="BH200" s="363">
        <v>4.7256999999999998</v>
      </c>
      <c r="BK200" s="363">
        <v>4.4382000000000001</v>
      </c>
      <c r="BN200" s="364">
        <f t="shared" si="4"/>
        <v>4.4382000000000001</v>
      </c>
      <c r="BO200" s="363">
        <f t="shared" si="5"/>
        <v>2017</v>
      </c>
    </row>
    <row r="201" spans="2:67" x14ac:dyDescent="0.25">
      <c r="B201" s="363" t="s">
        <v>609</v>
      </c>
      <c r="C201" s="363" t="s">
        <v>118</v>
      </c>
      <c r="D201" s="363" t="s">
        <v>1232</v>
      </c>
      <c r="E201" s="363" t="s">
        <v>1231</v>
      </c>
      <c r="AV201" s="363">
        <v>4.0023</v>
      </c>
      <c r="AW201" s="363">
        <v>4.1811999999999996</v>
      </c>
      <c r="AX201" s="363">
        <v>4.3487</v>
      </c>
      <c r="AY201" s="363">
        <v>4.5576999999999996</v>
      </c>
      <c r="AZ201" s="363">
        <v>4.8071000000000002</v>
      </c>
      <c r="BA201" s="363">
        <v>5.0872999999999999</v>
      </c>
      <c r="BB201" s="363">
        <v>5.3236999999999997</v>
      </c>
      <c r="BC201" s="363">
        <v>5.5907999999999998</v>
      </c>
      <c r="BD201" s="363">
        <v>6.0793999999999997</v>
      </c>
      <c r="BE201" s="363">
        <v>6.2920999999999996</v>
      </c>
      <c r="BF201" s="363">
        <v>6.4120999999999997</v>
      </c>
      <c r="BG201" s="363">
        <v>6.4878</v>
      </c>
      <c r="BH201" s="363">
        <v>6.5788000000000002</v>
      </c>
      <c r="BJ201" s="363">
        <v>6.3724999999999996</v>
      </c>
      <c r="BN201" s="364">
        <f t="shared" ref="BN201:BN264" si="6">IFERROR(LOOKUP(2,1/(ISNUMBER(F201:BM201)),F201:BM201),"No reported value")</f>
        <v>6.3724999999999996</v>
      </c>
      <c r="BO201" s="363">
        <f t="shared" ref="BO201:BO264" si="7">IFERROR(INDEX($F$8:$BM$8,1,MATCH($BN201,$F201:$BM201,0)),"No reported value")</f>
        <v>2016</v>
      </c>
    </row>
    <row r="202" spans="2:67" x14ac:dyDescent="0.25">
      <c r="B202" s="363" t="s">
        <v>228</v>
      </c>
      <c r="C202" s="363" t="s">
        <v>119</v>
      </c>
      <c r="D202" s="363" t="s">
        <v>1232</v>
      </c>
      <c r="E202" s="363" t="s">
        <v>1231</v>
      </c>
      <c r="AV202" s="363">
        <v>1.8627</v>
      </c>
      <c r="BF202" s="363">
        <v>1.0486</v>
      </c>
      <c r="BK202" s="363">
        <v>0.39989999999999998</v>
      </c>
      <c r="BL202" s="363">
        <v>1.1669</v>
      </c>
      <c r="BN202" s="364">
        <f t="shared" si="6"/>
        <v>1.1669</v>
      </c>
      <c r="BO202" s="363">
        <f t="shared" si="7"/>
        <v>2018</v>
      </c>
    </row>
    <row r="203" spans="2:67" x14ac:dyDescent="0.25">
      <c r="B203" s="363" t="s">
        <v>674</v>
      </c>
      <c r="C203" s="363" t="s">
        <v>675</v>
      </c>
      <c r="D203" s="363" t="s">
        <v>1232</v>
      </c>
      <c r="E203" s="363" t="s">
        <v>1231</v>
      </c>
      <c r="BN203" s="364" t="str">
        <f t="shared" si="6"/>
        <v>No reported value</v>
      </c>
      <c r="BO203" s="363" t="str">
        <f t="shared" si="7"/>
        <v>No reported value</v>
      </c>
    </row>
    <row r="204" spans="2:67" x14ac:dyDescent="0.25">
      <c r="B204" s="363" t="s">
        <v>602</v>
      </c>
      <c r="C204" s="363" t="s">
        <v>603</v>
      </c>
      <c r="D204" s="363" t="s">
        <v>1232</v>
      </c>
      <c r="E204" s="363" t="s">
        <v>1231</v>
      </c>
      <c r="AT204" s="363">
        <v>2.0177303756968166</v>
      </c>
      <c r="BI204" s="363">
        <v>2.6663553305383778</v>
      </c>
      <c r="BN204" s="364">
        <f t="shared" si="6"/>
        <v>2.6663553305383778</v>
      </c>
      <c r="BO204" s="363">
        <f t="shared" si="7"/>
        <v>2015</v>
      </c>
    </row>
    <row r="205" spans="2:67" x14ac:dyDescent="0.25">
      <c r="B205" s="363" t="s">
        <v>610</v>
      </c>
      <c r="C205" s="363" t="s">
        <v>611</v>
      </c>
      <c r="D205" s="363" t="s">
        <v>1232</v>
      </c>
      <c r="E205" s="363" t="s">
        <v>1231</v>
      </c>
      <c r="BI205" s="363">
        <v>9.1628473489550117</v>
      </c>
      <c r="BN205" s="364">
        <f t="shared" si="6"/>
        <v>9.1628473489550117</v>
      </c>
      <c r="BO205" s="363">
        <f t="shared" si="7"/>
        <v>2015</v>
      </c>
    </row>
    <row r="206" spans="2:67" x14ac:dyDescent="0.25">
      <c r="B206" s="363" t="s">
        <v>503</v>
      </c>
      <c r="C206" s="363" t="s">
        <v>504</v>
      </c>
      <c r="D206" s="363" t="s">
        <v>1232</v>
      </c>
      <c r="E206" s="363" t="s">
        <v>1231</v>
      </c>
      <c r="BN206" s="364" t="str">
        <f t="shared" si="6"/>
        <v>No reported value</v>
      </c>
      <c r="BO206" s="363" t="str">
        <f t="shared" si="7"/>
        <v>No reported value</v>
      </c>
    </row>
    <row r="207" spans="2:67" x14ac:dyDescent="0.25">
      <c r="B207" s="363" t="s">
        <v>616</v>
      </c>
      <c r="C207" s="363" t="s">
        <v>120</v>
      </c>
      <c r="D207" s="363" t="s">
        <v>1232</v>
      </c>
      <c r="E207" s="363" t="s">
        <v>1231</v>
      </c>
      <c r="AU207" s="363">
        <v>4.9359999999999999</v>
      </c>
      <c r="AY207" s="363">
        <v>5.6422999999999996</v>
      </c>
      <c r="AZ207" s="363">
        <v>6.1212999999999997</v>
      </c>
      <c r="BB207" s="363">
        <v>6.0663999999999998</v>
      </c>
      <c r="BC207" s="363">
        <v>4.7743000000000002</v>
      </c>
      <c r="BD207" s="363">
        <v>5.9645000000000001</v>
      </c>
      <c r="BH207" s="363">
        <v>5.7998000000000003</v>
      </c>
      <c r="BJ207" s="363">
        <v>6.6028000000000002</v>
      </c>
      <c r="BN207" s="364">
        <f t="shared" si="6"/>
        <v>6.6028000000000002</v>
      </c>
      <c r="BO207" s="363">
        <f t="shared" si="7"/>
        <v>2016</v>
      </c>
    </row>
    <row r="208" spans="2:67" x14ac:dyDescent="0.25">
      <c r="B208" s="363" t="s">
        <v>617</v>
      </c>
      <c r="C208" s="363" t="s">
        <v>121</v>
      </c>
      <c r="D208" s="363" t="s">
        <v>1232</v>
      </c>
      <c r="E208" s="363" t="s">
        <v>1231</v>
      </c>
      <c r="AZ208" s="363">
        <v>4.1900000000000004</v>
      </c>
      <c r="BD208" s="363">
        <v>5.9238</v>
      </c>
      <c r="BE208" s="363">
        <v>6.0122</v>
      </c>
      <c r="BF208" s="363">
        <v>6.1369999999999996</v>
      </c>
      <c r="BG208" s="363">
        <v>6.3273000000000001</v>
      </c>
      <c r="BJ208" s="363">
        <v>6.0979000000000001</v>
      </c>
      <c r="BN208" s="364">
        <f t="shared" si="6"/>
        <v>6.0979000000000001</v>
      </c>
      <c r="BO208" s="363">
        <f t="shared" si="7"/>
        <v>2016</v>
      </c>
    </row>
    <row r="209" spans="2:67" x14ac:dyDescent="0.25">
      <c r="B209" s="363" t="s">
        <v>618</v>
      </c>
      <c r="C209" s="363" t="s">
        <v>122</v>
      </c>
      <c r="D209" s="363" t="s">
        <v>1232</v>
      </c>
      <c r="E209" s="363" t="s">
        <v>1231</v>
      </c>
      <c r="AZ209" s="363">
        <v>8.5190000000000001</v>
      </c>
      <c r="BD209" s="363">
        <v>7.2541000000000002</v>
      </c>
      <c r="BE209" s="363">
        <v>8.7461000000000002</v>
      </c>
      <c r="BF209" s="363">
        <v>8.4968000000000004</v>
      </c>
      <c r="BG209" s="363">
        <v>8.7802000000000007</v>
      </c>
      <c r="BH209" s="363">
        <v>8.9509000000000007</v>
      </c>
      <c r="BI209" s="363">
        <v>8.6567000000000007</v>
      </c>
      <c r="BJ209" s="363">
        <v>8.6212</v>
      </c>
      <c r="BN209" s="364">
        <f t="shared" si="6"/>
        <v>8.6212</v>
      </c>
      <c r="BO209" s="363">
        <f t="shared" si="7"/>
        <v>2016</v>
      </c>
    </row>
    <row r="210" spans="2:67" x14ac:dyDescent="0.25">
      <c r="B210" s="363" t="s">
        <v>210</v>
      </c>
      <c r="C210" s="363" t="s">
        <v>123</v>
      </c>
      <c r="D210" s="363" t="s">
        <v>1232</v>
      </c>
      <c r="E210" s="363" t="s">
        <v>1231</v>
      </c>
      <c r="AX210" s="363">
        <v>0.41299999999999998</v>
      </c>
      <c r="AY210" s="363">
        <v>0.44800000000000001</v>
      </c>
      <c r="BB210" s="363">
        <v>0.67500000000000004</v>
      </c>
      <c r="BC210" s="363">
        <v>0.66539999999999999</v>
      </c>
      <c r="BD210" s="363">
        <v>0.67800000000000005</v>
      </c>
      <c r="BI210" s="363">
        <v>0.83069999999999999</v>
      </c>
      <c r="BN210" s="364">
        <f t="shared" si="6"/>
        <v>0.83069999999999999</v>
      </c>
      <c r="BO210" s="363">
        <f t="shared" si="7"/>
        <v>2015</v>
      </c>
    </row>
    <row r="211" spans="2:67" x14ac:dyDescent="0.25">
      <c r="B211" s="363" t="s">
        <v>630</v>
      </c>
      <c r="C211" s="363" t="s">
        <v>631</v>
      </c>
      <c r="D211" s="363" t="s">
        <v>1232</v>
      </c>
      <c r="E211" s="363" t="s">
        <v>1231</v>
      </c>
      <c r="AJ211" s="363">
        <v>0.37753856491539367</v>
      </c>
      <c r="AT211" s="363">
        <v>1.0836319828399013</v>
      </c>
      <c r="BI211" s="363">
        <v>1.7372389586483101</v>
      </c>
      <c r="BN211" s="364">
        <f t="shared" si="6"/>
        <v>1.7372389586483101</v>
      </c>
      <c r="BO211" s="363">
        <f t="shared" si="7"/>
        <v>2015</v>
      </c>
    </row>
    <row r="212" spans="2:67" x14ac:dyDescent="0.25">
      <c r="B212" s="363" t="s">
        <v>620</v>
      </c>
      <c r="C212" s="363" t="s">
        <v>124</v>
      </c>
      <c r="D212" s="363" t="s">
        <v>1232</v>
      </c>
      <c r="E212" s="363" t="s">
        <v>1231</v>
      </c>
      <c r="AT212" s="363">
        <v>1.7576000000000001</v>
      </c>
      <c r="AX212" s="363">
        <v>2.97</v>
      </c>
      <c r="BA212" s="363">
        <v>3.6320000000000001</v>
      </c>
      <c r="BB212" s="363">
        <v>3.9049999999999998</v>
      </c>
      <c r="BC212" s="363">
        <v>4.1580000000000004</v>
      </c>
      <c r="BD212" s="363">
        <v>4.7324999999999999</v>
      </c>
      <c r="BE212" s="363">
        <v>4.7678000000000003</v>
      </c>
      <c r="BF212" s="363">
        <v>4.8029999999999999</v>
      </c>
      <c r="BH212" s="363">
        <v>5.2251000000000003</v>
      </c>
      <c r="BJ212" s="363">
        <v>5.7</v>
      </c>
      <c r="BN212" s="364">
        <f t="shared" si="6"/>
        <v>5.7</v>
      </c>
      <c r="BO212" s="363">
        <f t="shared" si="7"/>
        <v>2016</v>
      </c>
    </row>
    <row r="213" spans="2:67" x14ac:dyDescent="0.25">
      <c r="B213" s="363" t="s">
        <v>233</v>
      </c>
      <c r="C213" s="363" t="s">
        <v>125</v>
      </c>
      <c r="D213" s="363" t="s">
        <v>1232</v>
      </c>
      <c r="E213" s="363" t="s">
        <v>1231</v>
      </c>
      <c r="AX213" s="363">
        <v>1.0434000000000001</v>
      </c>
      <c r="AZ213" s="363">
        <v>1.0552999999999999</v>
      </c>
      <c r="BA213" s="363">
        <v>1.0067999999999999</v>
      </c>
      <c r="BB213" s="363">
        <v>0.98429999999999995</v>
      </c>
      <c r="BD213" s="363">
        <v>0.84</v>
      </c>
      <c r="BH213" s="363">
        <v>1.2068000000000001</v>
      </c>
      <c r="BI213" s="363">
        <v>0.83</v>
      </c>
      <c r="BN213" s="364">
        <f t="shared" si="6"/>
        <v>0.83</v>
      </c>
      <c r="BO213" s="363">
        <f t="shared" si="7"/>
        <v>2015</v>
      </c>
    </row>
    <row r="214" spans="2:67" x14ac:dyDescent="0.25">
      <c r="B214" s="363" t="s">
        <v>212</v>
      </c>
      <c r="C214" s="363" t="s">
        <v>126</v>
      </c>
      <c r="D214" s="363" t="s">
        <v>1232</v>
      </c>
      <c r="E214" s="363" t="s">
        <v>1231</v>
      </c>
      <c r="AX214" s="363">
        <v>0.3</v>
      </c>
      <c r="BB214" s="363">
        <v>0.43049999999999999</v>
      </c>
      <c r="BD214" s="363">
        <v>0.42</v>
      </c>
      <c r="BG214" s="363">
        <v>1.3851</v>
      </c>
      <c r="BI214" s="363">
        <v>0.77549999999999997</v>
      </c>
      <c r="BJ214" s="363">
        <v>0.31290000000000001</v>
      </c>
      <c r="BN214" s="364">
        <f t="shared" si="6"/>
        <v>0.31290000000000001</v>
      </c>
      <c r="BO214" s="363">
        <f t="shared" si="7"/>
        <v>2016</v>
      </c>
    </row>
    <row r="215" spans="2:67" x14ac:dyDescent="0.25">
      <c r="B215" s="363" t="s">
        <v>622</v>
      </c>
      <c r="C215" s="363" t="s">
        <v>127</v>
      </c>
      <c r="D215" s="363" t="s">
        <v>1232</v>
      </c>
      <c r="E215" s="363" t="s">
        <v>1231</v>
      </c>
      <c r="AS215" s="363">
        <v>4.1761999999999997</v>
      </c>
      <c r="AU215" s="363">
        <v>4.3292000000000002</v>
      </c>
      <c r="AX215" s="363">
        <v>4.4230999999999998</v>
      </c>
      <c r="AY215" s="363">
        <v>4.4904999999999999</v>
      </c>
      <c r="AZ215" s="363">
        <v>4.5376000000000003</v>
      </c>
      <c r="BA215" s="363">
        <v>4.7188999999999997</v>
      </c>
      <c r="BB215" s="363">
        <v>4.9904000000000002</v>
      </c>
      <c r="BC215" s="363">
        <v>5.3956</v>
      </c>
      <c r="BD215" s="363">
        <v>5.7820999999999998</v>
      </c>
      <c r="BE215" s="363">
        <v>5.2084999999999999</v>
      </c>
      <c r="BF215" s="363">
        <v>5.5803000000000003</v>
      </c>
      <c r="BG215" s="363">
        <v>5.6955999999999998</v>
      </c>
      <c r="BH215" s="363">
        <v>5.8268000000000004</v>
      </c>
      <c r="BJ215" s="363">
        <v>7.2141000000000002</v>
      </c>
      <c r="BN215" s="364">
        <f t="shared" si="6"/>
        <v>7.2141000000000002</v>
      </c>
      <c r="BO215" s="363">
        <f t="shared" si="7"/>
        <v>2016</v>
      </c>
    </row>
    <row r="216" spans="2:67" x14ac:dyDescent="0.25">
      <c r="B216" s="363" t="s">
        <v>255</v>
      </c>
      <c r="C216" s="363" t="s">
        <v>128</v>
      </c>
      <c r="D216" s="363" t="s">
        <v>1232</v>
      </c>
      <c r="E216" s="363" t="s">
        <v>1231</v>
      </c>
      <c r="AS216" s="363">
        <v>0.89910000000000001</v>
      </c>
      <c r="AW216" s="363">
        <v>1.41</v>
      </c>
      <c r="AY216" s="363">
        <v>1.4769000000000001</v>
      </c>
      <c r="BC216" s="363">
        <v>2.0926</v>
      </c>
      <c r="BD216" s="363">
        <v>2.0529999999999999</v>
      </c>
      <c r="BE216" s="363">
        <v>1.7921</v>
      </c>
      <c r="BF216" s="363">
        <v>1.7516</v>
      </c>
      <c r="BG216" s="363">
        <v>1.7710999999999999</v>
      </c>
      <c r="BJ216" s="363">
        <v>2.1307</v>
      </c>
      <c r="BN216" s="364">
        <f t="shared" si="6"/>
        <v>2.1307</v>
      </c>
      <c r="BO216" s="363">
        <f t="shared" si="7"/>
        <v>2016</v>
      </c>
    </row>
    <row r="217" spans="2:67" x14ac:dyDescent="0.25">
      <c r="B217" s="363" t="s">
        <v>214</v>
      </c>
      <c r="C217" s="363" t="s">
        <v>129</v>
      </c>
      <c r="D217" s="363" t="s">
        <v>1232</v>
      </c>
      <c r="E217" s="363" t="s">
        <v>1231</v>
      </c>
      <c r="AX217" s="363">
        <v>0.46139999999999998</v>
      </c>
      <c r="BB217" s="363">
        <v>0.16070000000000001</v>
      </c>
      <c r="BD217" s="363">
        <v>0.28520000000000001</v>
      </c>
      <c r="BE217" s="363">
        <v>0.27650000000000002</v>
      </c>
      <c r="BH217" s="363">
        <v>0.99619999999999997</v>
      </c>
      <c r="BN217" s="364">
        <f t="shared" si="6"/>
        <v>0.99619999999999997</v>
      </c>
      <c r="BO217" s="363">
        <f t="shared" si="7"/>
        <v>2014</v>
      </c>
    </row>
    <row r="218" spans="2:67" x14ac:dyDescent="0.25">
      <c r="B218" s="363" t="s">
        <v>222</v>
      </c>
      <c r="C218" s="363" t="s">
        <v>164</v>
      </c>
      <c r="D218" s="363" t="s">
        <v>1232</v>
      </c>
      <c r="E218" s="363" t="s">
        <v>1231</v>
      </c>
      <c r="AS218" s="363">
        <v>0.67549999999999999</v>
      </c>
      <c r="AV218" s="363">
        <v>0.85899999999999999</v>
      </c>
      <c r="AY218" s="363">
        <v>0.34570000000000001</v>
      </c>
      <c r="BA218" s="363">
        <v>1.3726</v>
      </c>
      <c r="BB218" s="363">
        <v>0.47939999999999999</v>
      </c>
      <c r="BD218" s="363">
        <v>0.40500000000000003</v>
      </c>
      <c r="BJ218" s="363">
        <v>2.278</v>
      </c>
      <c r="BN218" s="364">
        <f t="shared" si="6"/>
        <v>2.278</v>
      </c>
      <c r="BO218" s="363">
        <f t="shared" si="7"/>
        <v>2016</v>
      </c>
    </row>
    <row r="219" spans="2:67" x14ac:dyDescent="0.25">
      <c r="B219" s="363" t="s">
        <v>619</v>
      </c>
      <c r="C219" s="363" t="s">
        <v>130</v>
      </c>
      <c r="D219" s="363" t="s">
        <v>1232</v>
      </c>
      <c r="E219" s="363" t="s">
        <v>1231</v>
      </c>
      <c r="BE219" s="363">
        <v>8.8254000000000001</v>
      </c>
      <c r="BF219" s="363">
        <v>9.3416999999999994</v>
      </c>
      <c r="BG219" s="363">
        <v>9.2260000000000009</v>
      </c>
      <c r="BH219" s="363">
        <v>8.7767999999999997</v>
      </c>
      <c r="BN219" s="364">
        <f t="shared" si="6"/>
        <v>8.7767999999999997</v>
      </c>
      <c r="BO219" s="363">
        <f t="shared" si="7"/>
        <v>2014</v>
      </c>
    </row>
    <row r="220" spans="2:67" x14ac:dyDescent="0.25">
      <c r="B220" s="363" t="s">
        <v>232</v>
      </c>
      <c r="C220" s="363" t="s">
        <v>171</v>
      </c>
      <c r="D220" s="363" t="s">
        <v>1232</v>
      </c>
      <c r="E220" s="363" t="s">
        <v>1231</v>
      </c>
      <c r="AQ220" s="363">
        <v>0.191</v>
      </c>
      <c r="AZ220" s="363">
        <v>0.09</v>
      </c>
      <c r="BD220" s="363">
        <v>0.114</v>
      </c>
      <c r="BH220" s="363">
        <v>6.1100000000000002E-2</v>
      </c>
      <c r="BN220" s="364">
        <f t="shared" si="6"/>
        <v>6.1100000000000002E-2</v>
      </c>
      <c r="BO220" s="363">
        <f t="shared" si="7"/>
        <v>2014</v>
      </c>
    </row>
    <row r="221" spans="2:67" x14ac:dyDescent="0.25">
      <c r="B221" s="363" t="s">
        <v>621</v>
      </c>
      <c r="C221" s="363" t="s">
        <v>131</v>
      </c>
      <c r="D221" s="363" t="s">
        <v>1232</v>
      </c>
      <c r="E221" s="363" t="s">
        <v>1231</v>
      </c>
      <c r="AZ221" s="363">
        <v>4.28</v>
      </c>
      <c r="BA221" s="363">
        <v>4.43</v>
      </c>
      <c r="BD221" s="363">
        <v>5.3224</v>
      </c>
      <c r="BE221" s="363">
        <v>5.3997999999999999</v>
      </c>
      <c r="BF221" s="363">
        <v>5.3719000000000001</v>
      </c>
      <c r="BG221" s="363">
        <v>5.3863000000000003</v>
      </c>
      <c r="BH221" s="363">
        <v>5.3376999999999999</v>
      </c>
      <c r="BI221" s="363">
        <v>4.7191999999999998</v>
      </c>
      <c r="BJ221" s="363">
        <v>6.1203000000000003</v>
      </c>
      <c r="BN221" s="364">
        <f t="shared" si="6"/>
        <v>6.1203000000000003</v>
      </c>
      <c r="BO221" s="363">
        <f t="shared" si="7"/>
        <v>2016</v>
      </c>
    </row>
    <row r="222" spans="2:67" x14ac:dyDescent="0.25">
      <c r="B222" s="363" t="s">
        <v>646</v>
      </c>
      <c r="C222" s="363" t="s">
        <v>647</v>
      </c>
      <c r="D222" s="363" t="s">
        <v>1232</v>
      </c>
      <c r="E222" s="363" t="s">
        <v>1231</v>
      </c>
      <c r="BI222" s="363">
        <v>1.0283834399004534</v>
      </c>
      <c r="BN222" s="364">
        <f t="shared" si="6"/>
        <v>1.0283834399004534</v>
      </c>
      <c r="BO222" s="363">
        <f t="shared" si="7"/>
        <v>2015</v>
      </c>
    </row>
    <row r="223" spans="2:67" x14ac:dyDescent="0.25">
      <c r="B223" s="363" t="s">
        <v>634</v>
      </c>
      <c r="C223" s="363" t="s">
        <v>635</v>
      </c>
      <c r="D223" s="363" t="s">
        <v>1232</v>
      </c>
      <c r="E223" s="363" t="s">
        <v>1231</v>
      </c>
      <c r="BN223" s="364" t="str">
        <f t="shared" si="6"/>
        <v>No reported value</v>
      </c>
      <c r="BO223" s="363" t="str">
        <f t="shared" si="7"/>
        <v>No reported value</v>
      </c>
    </row>
    <row r="224" spans="2:67" x14ac:dyDescent="0.25">
      <c r="B224" s="363" t="s">
        <v>644</v>
      </c>
      <c r="C224" s="363" t="s">
        <v>645</v>
      </c>
      <c r="D224" s="363" t="s">
        <v>1232</v>
      </c>
      <c r="E224" s="363" t="s">
        <v>1231</v>
      </c>
      <c r="BI224" s="363">
        <v>1.0285959901671162</v>
      </c>
      <c r="BN224" s="364">
        <f t="shared" si="6"/>
        <v>1.0285959901671162</v>
      </c>
      <c r="BO224" s="363">
        <f t="shared" si="7"/>
        <v>2015</v>
      </c>
    </row>
    <row r="225" spans="2:67" x14ac:dyDescent="0.25">
      <c r="B225" s="363" t="s">
        <v>628</v>
      </c>
      <c r="C225" s="363" t="s">
        <v>629</v>
      </c>
      <c r="D225" s="363" t="s">
        <v>1232</v>
      </c>
      <c r="E225" s="363" t="s">
        <v>1231</v>
      </c>
      <c r="BI225" s="363">
        <v>2.9570366047094603</v>
      </c>
      <c r="BN225" s="364">
        <f t="shared" si="6"/>
        <v>2.9570366047094603</v>
      </c>
      <c r="BO225" s="363">
        <f t="shared" si="7"/>
        <v>2015</v>
      </c>
    </row>
    <row r="226" spans="2:67" x14ac:dyDescent="0.25">
      <c r="B226" s="363" t="s">
        <v>211</v>
      </c>
      <c r="C226" s="363" t="s">
        <v>175</v>
      </c>
      <c r="D226" s="363" t="s">
        <v>1232</v>
      </c>
      <c r="E226" s="363" t="s">
        <v>1231</v>
      </c>
      <c r="AX226" s="363">
        <v>2.0263</v>
      </c>
      <c r="BI226" s="363">
        <v>2.2599999999999998</v>
      </c>
      <c r="BN226" s="364">
        <f t="shared" si="6"/>
        <v>2.2599999999999998</v>
      </c>
      <c r="BO226" s="363">
        <f t="shared" si="7"/>
        <v>2015</v>
      </c>
    </row>
    <row r="227" spans="2:67" x14ac:dyDescent="0.25">
      <c r="B227" s="363" t="s">
        <v>229</v>
      </c>
      <c r="C227" s="363" t="s">
        <v>170</v>
      </c>
      <c r="D227" s="363" t="s">
        <v>1232</v>
      </c>
      <c r="E227" s="363" t="s">
        <v>1231</v>
      </c>
      <c r="AT227" s="363">
        <v>1.4563999999999999</v>
      </c>
      <c r="AX227" s="363">
        <v>5.2268999999999997</v>
      </c>
      <c r="BC227" s="363">
        <v>3.0771999999999999</v>
      </c>
      <c r="BK227" s="363">
        <v>4.0983000000000001</v>
      </c>
      <c r="BN227" s="364">
        <f t="shared" si="6"/>
        <v>4.0983000000000001</v>
      </c>
      <c r="BO227" s="363">
        <f t="shared" si="7"/>
        <v>2017</v>
      </c>
    </row>
    <row r="228" spans="2:67" x14ac:dyDescent="0.25">
      <c r="B228" s="363" t="s">
        <v>625</v>
      </c>
      <c r="C228" s="363" t="s">
        <v>626</v>
      </c>
      <c r="D228" s="363" t="s">
        <v>1232</v>
      </c>
      <c r="E228" s="363" t="s">
        <v>1231</v>
      </c>
      <c r="AY228" s="363">
        <v>6.62</v>
      </c>
      <c r="BB228" s="363">
        <v>6.58</v>
      </c>
      <c r="BC228" s="363">
        <v>6.3837999999999999</v>
      </c>
      <c r="BD228" s="363">
        <v>6.7526000000000002</v>
      </c>
      <c r="BE228" s="363">
        <v>6.6022999999999996</v>
      </c>
      <c r="BF228" s="363">
        <v>6.4625000000000004</v>
      </c>
      <c r="BG228" s="363">
        <v>6.3921000000000001</v>
      </c>
      <c r="BH228" s="363">
        <v>6.3974000000000002</v>
      </c>
      <c r="BI228" s="363">
        <v>6.0052000000000003</v>
      </c>
      <c r="BJ228" s="363">
        <v>9.1727000000000007</v>
      </c>
      <c r="BN228" s="364">
        <f t="shared" si="6"/>
        <v>9.1727000000000007</v>
      </c>
      <c r="BO228" s="363">
        <f t="shared" si="7"/>
        <v>2016</v>
      </c>
    </row>
    <row r="229" spans="2:67" x14ac:dyDescent="0.25">
      <c r="B229" s="363" t="s">
        <v>627</v>
      </c>
      <c r="C229" s="363" t="s">
        <v>132</v>
      </c>
      <c r="D229" s="363" t="s">
        <v>1232</v>
      </c>
      <c r="E229" s="363" t="s">
        <v>1231</v>
      </c>
      <c r="AY229" s="363">
        <v>7.99</v>
      </c>
      <c r="AZ229" s="363">
        <v>7.8129999999999997</v>
      </c>
      <c r="BB229" s="363">
        <v>8.16</v>
      </c>
      <c r="BD229" s="363">
        <v>8.2491000000000003</v>
      </c>
      <c r="BE229" s="363">
        <v>8.3832000000000004</v>
      </c>
      <c r="BF229" s="363">
        <v>8.2634000000000007</v>
      </c>
      <c r="BG229" s="363">
        <v>8.4124999999999996</v>
      </c>
      <c r="BH229" s="363">
        <v>8.6580999999999992</v>
      </c>
      <c r="BI229" s="363">
        <v>8.8089999999999993</v>
      </c>
      <c r="BJ229" s="363">
        <v>9.68</v>
      </c>
      <c r="BN229" s="364">
        <f t="shared" si="6"/>
        <v>9.68</v>
      </c>
      <c r="BO229" s="363">
        <f t="shared" si="7"/>
        <v>2016</v>
      </c>
    </row>
    <row r="230" spans="2:67" x14ac:dyDescent="0.25">
      <c r="B230" s="363" t="s">
        <v>650</v>
      </c>
      <c r="C230" s="363" t="s">
        <v>133</v>
      </c>
      <c r="D230" s="363" t="s">
        <v>1232</v>
      </c>
      <c r="E230" s="363" t="s">
        <v>1231</v>
      </c>
      <c r="AV230" s="363">
        <v>10.234999999999999</v>
      </c>
      <c r="AZ230" s="363">
        <v>11.57</v>
      </c>
      <c r="BA230" s="363">
        <v>10.9656</v>
      </c>
      <c r="BB230" s="363">
        <v>11.861000000000001</v>
      </c>
      <c r="BD230" s="363">
        <v>11.8208</v>
      </c>
      <c r="BE230" s="363">
        <v>11.8355</v>
      </c>
      <c r="BF230" s="363">
        <v>11.8672</v>
      </c>
      <c r="BG230" s="363">
        <v>11.891</v>
      </c>
      <c r="BH230" s="363">
        <v>11.8931</v>
      </c>
      <c r="BI230" s="363">
        <v>11.850300000000001</v>
      </c>
      <c r="BJ230" s="363">
        <v>11.5434</v>
      </c>
      <c r="BN230" s="364">
        <f t="shared" si="6"/>
        <v>11.5434</v>
      </c>
      <c r="BO230" s="363">
        <f t="shared" si="7"/>
        <v>2016</v>
      </c>
    </row>
    <row r="231" spans="2:67" x14ac:dyDescent="0.25">
      <c r="B231" s="363" t="s">
        <v>486</v>
      </c>
      <c r="C231" s="363" t="s">
        <v>134</v>
      </c>
      <c r="D231" s="363" t="s">
        <v>1232</v>
      </c>
      <c r="E231" s="363" t="s">
        <v>1231</v>
      </c>
      <c r="AT231" s="363">
        <v>3.1511999999999998</v>
      </c>
      <c r="AX231" s="363">
        <v>6.2350000000000003</v>
      </c>
      <c r="BC231" s="363">
        <v>1.3771</v>
      </c>
      <c r="BE231" s="363">
        <v>1.0544</v>
      </c>
      <c r="BI231" s="363">
        <v>2</v>
      </c>
      <c r="BN231" s="364">
        <f t="shared" si="6"/>
        <v>2</v>
      </c>
      <c r="BO231" s="363">
        <f t="shared" si="7"/>
        <v>2015</v>
      </c>
    </row>
    <row r="232" spans="2:67" x14ac:dyDescent="0.25">
      <c r="B232" s="363" t="s">
        <v>623</v>
      </c>
      <c r="C232" s="363" t="s">
        <v>624</v>
      </c>
      <c r="D232" s="363" t="s">
        <v>1232</v>
      </c>
      <c r="E232" s="363" t="s">
        <v>1231</v>
      </c>
      <c r="BN232" s="364" t="str">
        <f t="shared" si="6"/>
        <v>No reported value</v>
      </c>
      <c r="BO232" s="363" t="str">
        <f t="shared" si="7"/>
        <v>No reported value</v>
      </c>
    </row>
    <row r="233" spans="2:67" x14ac:dyDescent="0.25">
      <c r="B233" s="363" t="s">
        <v>213</v>
      </c>
      <c r="C233" s="363" t="s">
        <v>135</v>
      </c>
      <c r="D233" s="363" t="s">
        <v>1232</v>
      </c>
      <c r="E233" s="363" t="s">
        <v>1231</v>
      </c>
      <c r="AX233" s="363">
        <v>7.2457000000000003</v>
      </c>
      <c r="AY233" s="363">
        <v>4.3967999999999998</v>
      </c>
      <c r="AZ233" s="363">
        <v>4.6154000000000002</v>
      </c>
      <c r="BA233" s="363">
        <v>4.5514999999999999</v>
      </c>
      <c r="BB233" s="363">
        <v>4.4873000000000003</v>
      </c>
      <c r="BD233" s="363">
        <v>4.5076999999999998</v>
      </c>
      <c r="BF233" s="363">
        <v>4.5395000000000003</v>
      </c>
      <c r="BJ233" s="363">
        <v>3.2612999999999999</v>
      </c>
      <c r="BN233" s="364">
        <f t="shared" si="6"/>
        <v>3.2612999999999999</v>
      </c>
      <c r="BO233" s="363">
        <f t="shared" si="7"/>
        <v>2016</v>
      </c>
    </row>
    <row r="234" spans="2:67" x14ac:dyDescent="0.25">
      <c r="B234" s="363" t="s">
        <v>652</v>
      </c>
      <c r="C234" s="363" t="s">
        <v>136</v>
      </c>
      <c r="D234" s="363" t="s">
        <v>1232</v>
      </c>
      <c r="E234" s="363" t="s">
        <v>1231</v>
      </c>
      <c r="AQ234" s="363">
        <v>2.2244000000000002</v>
      </c>
      <c r="AR234" s="363">
        <v>2.3184</v>
      </c>
      <c r="AS234" s="363">
        <v>1.9051</v>
      </c>
      <c r="AT234" s="363">
        <v>1.9543999999999999</v>
      </c>
      <c r="AU234" s="363">
        <v>1.9410000000000001</v>
      </c>
      <c r="AV234" s="363">
        <v>1.9601999999999999</v>
      </c>
      <c r="AW234" s="363">
        <v>1.8506</v>
      </c>
      <c r="AX234" s="363">
        <v>1.9155</v>
      </c>
      <c r="AY234" s="363">
        <v>1.8915</v>
      </c>
      <c r="AZ234" s="363">
        <v>1.4</v>
      </c>
      <c r="BA234" s="363">
        <v>1.9139999999999999</v>
      </c>
      <c r="BB234" s="363">
        <v>1.873</v>
      </c>
      <c r="BC234" s="363">
        <v>1.8766</v>
      </c>
      <c r="BD234" s="363">
        <v>1.9056</v>
      </c>
      <c r="BH234" s="363">
        <v>2.2502</v>
      </c>
      <c r="BJ234" s="363">
        <v>1.46</v>
      </c>
      <c r="BN234" s="364">
        <f t="shared" si="6"/>
        <v>1.46</v>
      </c>
      <c r="BO234" s="363">
        <f t="shared" si="7"/>
        <v>2016</v>
      </c>
    </row>
    <row r="235" spans="2:67" x14ac:dyDescent="0.25">
      <c r="B235" s="363" t="s">
        <v>659</v>
      </c>
      <c r="C235" s="363" t="s">
        <v>660</v>
      </c>
      <c r="D235" s="363" t="s">
        <v>1232</v>
      </c>
      <c r="E235" s="363" t="s">
        <v>1231</v>
      </c>
      <c r="BN235" s="364" t="str">
        <f t="shared" si="6"/>
        <v>No reported value</v>
      </c>
      <c r="BO235" s="363" t="str">
        <f t="shared" si="7"/>
        <v>No reported value</v>
      </c>
    </row>
    <row r="236" spans="2:67" x14ac:dyDescent="0.25">
      <c r="B236" s="363" t="s">
        <v>189</v>
      </c>
      <c r="C236" s="363" t="s">
        <v>169</v>
      </c>
      <c r="D236" s="363" t="s">
        <v>1232</v>
      </c>
      <c r="E236" s="363" t="s">
        <v>1231</v>
      </c>
      <c r="AQ236" s="363">
        <v>4.7899999999999998E-2</v>
      </c>
      <c r="AR236" s="363">
        <v>5.62E-2</v>
      </c>
      <c r="AS236" s="363">
        <v>5.9700000000000003E-2</v>
      </c>
      <c r="AT236" s="363">
        <v>0.12479999999999999</v>
      </c>
      <c r="AX236" s="363">
        <v>0.25740000000000002</v>
      </c>
      <c r="AZ236" s="363">
        <v>0.18149999999999999</v>
      </c>
      <c r="BF236" s="363">
        <v>0.28000000000000003</v>
      </c>
      <c r="BG236" s="363">
        <v>0.30890000000000001</v>
      </c>
      <c r="BJ236" s="363">
        <v>0.36370000000000002</v>
      </c>
      <c r="BN236" s="364">
        <f t="shared" si="6"/>
        <v>0.36370000000000002</v>
      </c>
      <c r="BO236" s="363">
        <f t="shared" si="7"/>
        <v>2016</v>
      </c>
    </row>
    <row r="237" spans="2:67" x14ac:dyDescent="0.25">
      <c r="B237" s="363" t="s">
        <v>481</v>
      </c>
      <c r="C237" s="363" t="s">
        <v>482</v>
      </c>
      <c r="D237" s="363" t="s">
        <v>1232</v>
      </c>
      <c r="E237" s="363" t="s">
        <v>1231</v>
      </c>
      <c r="AJ237" s="363">
        <v>0.79562089861553364</v>
      </c>
      <c r="AT237" s="363">
        <v>1.2276707556265674</v>
      </c>
      <c r="BI237" s="363">
        <v>2.1248211972701894</v>
      </c>
      <c r="BN237" s="364">
        <f t="shared" si="6"/>
        <v>2.1248211972701894</v>
      </c>
      <c r="BO237" s="363">
        <f t="shared" si="7"/>
        <v>2015</v>
      </c>
    </row>
    <row r="238" spans="2:67" x14ac:dyDescent="0.25">
      <c r="B238" s="363" t="s">
        <v>493</v>
      </c>
      <c r="C238" s="363" t="s">
        <v>494</v>
      </c>
      <c r="D238" s="363" t="s">
        <v>1232</v>
      </c>
      <c r="E238" s="363" t="s">
        <v>1231</v>
      </c>
      <c r="BI238" s="363">
        <v>6.9216664116514464</v>
      </c>
      <c r="BN238" s="364">
        <f t="shared" si="6"/>
        <v>6.9216664116514464</v>
      </c>
      <c r="BO238" s="363">
        <f t="shared" si="7"/>
        <v>2015</v>
      </c>
    </row>
    <row r="239" spans="2:67" x14ac:dyDescent="0.25">
      <c r="B239" s="363" t="s">
        <v>215</v>
      </c>
      <c r="C239" s="363" t="s">
        <v>137</v>
      </c>
      <c r="D239" s="363" t="s">
        <v>1232</v>
      </c>
      <c r="E239" s="363" t="s">
        <v>1231</v>
      </c>
      <c r="AX239" s="363">
        <v>0.35</v>
      </c>
      <c r="BA239" s="363">
        <v>0.41220000000000001</v>
      </c>
      <c r="BB239" s="363">
        <v>0.29470000000000002</v>
      </c>
      <c r="BD239" s="363">
        <v>1.4434</v>
      </c>
      <c r="BI239" s="363">
        <v>0.29799999999999999</v>
      </c>
      <c r="BN239" s="364">
        <f t="shared" si="6"/>
        <v>0.29799999999999999</v>
      </c>
      <c r="BO239" s="363">
        <f t="shared" si="7"/>
        <v>2015</v>
      </c>
    </row>
    <row r="240" spans="2:67" x14ac:dyDescent="0.25">
      <c r="B240" s="363" t="s">
        <v>654</v>
      </c>
      <c r="C240" s="363" t="s">
        <v>138</v>
      </c>
      <c r="D240" s="363" t="s">
        <v>1232</v>
      </c>
      <c r="E240" s="363" t="s">
        <v>1231</v>
      </c>
      <c r="AK240" s="363">
        <v>0.71060000000000001</v>
      </c>
      <c r="AM240" s="363">
        <v>0.79959999999999998</v>
      </c>
      <c r="AO240" s="363">
        <v>0.91210000000000002</v>
      </c>
      <c r="AQ240" s="363">
        <v>0.92610000000000003</v>
      </c>
      <c r="AR240" s="363">
        <v>1.0343</v>
      </c>
      <c r="AS240" s="363">
        <v>1.0914999999999999</v>
      </c>
      <c r="AT240" s="363">
        <v>2.831</v>
      </c>
      <c r="AU240" s="363">
        <v>1.2282</v>
      </c>
      <c r="AV240" s="363">
        <v>1.3217000000000001</v>
      </c>
      <c r="AX240" s="363">
        <v>1.4877</v>
      </c>
      <c r="AZ240" s="363">
        <v>1.5445</v>
      </c>
      <c r="BA240" s="363">
        <v>1.5279</v>
      </c>
      <c r="BB240" s="363">
        <v>1.5838000000000001</v>
      </c>
      <c r="BC240" s="363">
        <v>1.6416999999999999</v>
      </c>
      <c r="BD240" s="363">
        <v>2.0638999999999998</v>
      </c>
      <c r="BI240" s="363">
        <v>2.3702000000000001</v>
      </c>
      <c r="BJ240" s="363">
        <v>2.7786</v>
      </c>
      <c r="BK240" s="363">
        <v>2.9647000000000001</v>
      </c>
      <c r="BN240" s="364">
        <f t="shared" si="6"/>
        <v>2.9647000000000001</v>
      </c>
      <c r="BO240" s="363">
        <f t="shared" si="7"/>
        <v>2017</v>
      </c>
    </row>
    <row r="241" spans="2:67" x14ac:dyDescent="0.25">
      <c r="B241" s="363" t="s">
        <v>238</v>
      </c>
      <c r="C241" s="363" t="s">
        <v>163</v>
      </c>
      <c r="D241" s="363" t="s">
        <v>1232</v>
      </c>
      <c r="E241" s="363" t="s">
        <v>1231</v>
      </c>
      <c r="BC241" s="363">
        <v>3.3927999999999998</v>
      </c>
      <c r="BD241" s="363">
        <v>4.4184000000000001</v>
      </c>
      <c r="BE241" s="363">
        <v>4.5274000000000001</v>
      </c>
      <c r="BF241" s="363">
        <v>4.8765999999999998</v>
      </c>
      <c r="BG241" s="363">
        <v>4.9379999999999997</v>
      </c>
      <c r="BH241" s="363">
        <v>5.2329999999999997</v>
      </c>
      <c r="BN241" s="364">
        <f t="shared" si="6"/>
        <v>5.2329999999999997</v>
      </c>
      <c r="BO241" s="363">
        <f t="shared" si="7"/>
        <v>2014</v>
      </c>
    </row>
    <row r="242" spans="2:67" x14ac:dyDescent="0.25">
      <c r="B242" s="363" t="s">
        <v>658</v>
      </c>
      <c r="C242" s="363" t="s">
        <v>139</v>
      </c>
      <c r="D242" s="363" t="s">
        <v>1232</v>
      </c>
      <c r="E242" s="363" t="s">
        <v>1231</v>
      </c>
      <c r="AV242" s="363">
        <v>9.4054000000000002</v>
      </c>
      <c r="AZ242" s="363">
        <v>4.7</v>
      </c>
      <c r="BA242" s="363">
        <v>4.5199999999999996</v>
      </c>
      <c r="BD242" s="363">
        <v>4.7164999999999999</v>
      </c>
      <c r="BE242" s="363">
        <v>4.7175000000000002</v>
      </c>
      <c r="BF242" s="363">
        <v>4.6959</v>
      </c>
      <c r="BG242" s="363">
        <v>4.6487999999999996</v>
      </c>
      <c r="BH242" s="363">
        <v>4.6306000000000003</v>
      </c>
      <c r="BN242" s="364">
        <f t="shared" si="6"/>
        <v>4.6306000000000003</v>
      </c>
      <c r="BO242" s="363">
        <f t="shared" si="7"/>
        <v>2014</v>
      </c>
    </row>
    <row r="243" spans="2:67" x14ac:dyDescent="0.25">
      <c r="B243" s="363" t="s">
        <v>547</v>
      </c>
      <c r="C243" s="363" t="s">
        <v>548</v>
      </c>
      <c r="D243" s="363" t="s">
        <v>1232</v>
      </c>
      <c r="E243" s="363" t="s">
        <v>1231</v>
      </c>
      <c r="AT243" s="363">
        <v>1.911783948832446</v>
      </c>
      <c r="BI243" s="363">
        <v>4.6623691490508543</v>
      </c>
      <c r="BN243" s="364">
        <f t="shared" si="6"/>
        <v>4.6623691490508543</v>
      </c>
      <c r="BO243" s="363">
        <f t="shared" si="7"/>
        <v>2015</v>
      </c>
    </row>
    <row r="244" spans="2:67" x14ac:dyDescent="0.25">
      <c r="B244" s="363" t="s">
        <v>246</v>
      </c>
      <c r="C244" s="363" t="s">
        <v>140</v>
      </c>
      <c r="D244" s="363" t="s">
        <v>1232</v>
      </c>
      <c r="E244" s="363" t="s">
        <v>1231</v>
      </c>
      <c r="AX244" s="363">
        <v>1.8008999999999999</v>
      </c>
      <c r="BA244" s="363">
        <v>0.99250000000000005</v>
      </c>
      <c r="BB244" s="363">
        <v>1.0230999999999999</v>
      </c>
      <c r="BC244" s="363">
        <v>1.1135999999999999</v>
      </c>
      <c r="BD244" s="363">
        <v>1.131</v>
      </c>
      <c r="BE244" s="363">
        <v>1.1338999999999999</v>
      </c>
      <c r="BG244" s="363">
        <v>0.96589999999999998</v>
      </c>
      <c r="BH244" s="363">
        <v>1.3580000000000001</v>
      </c>
      <c r="BI244" s="363">
        <v>1.4287000000000001</v>
      </c>
      <c r="BK244" s="363">
        <v>1.6700999999999999</v>
      </c>
      <c r="BN244" s="364">
        <f t="shared" si="6"/>
        <v>1.6700999999999999</v>
      </c>
      <c r="BO244" s="363">
        <f t="shared" si="7"/>
        <v>2017</v>
      </c>
    </row>
    <row r="245" spans="2:67" x14ac:dyDescent="0.25">
      <c r="B245" s="363" t="s">
        <v>576</v>
      </c>
      <c r="C245" s="363" t="s">
        <v>577</v>
      </c>
      <c r="D245" s="363" t="s">
        <v>1232</v>
      </c>
      <c r="E245" s="363" t="s">
        <v>1231</v>
      </c>
      <c r="BI245" s="363">
        <v>1.752603675461049</v>
      </c>
      <c r="BN245" s="364">
        <f t="shared" si="6"/>
        <v>1.752603675461049</v>
      </c>
      <c r="BO245" s="363">
        <f t="shared" si="7"/>
        <v>2015</v>
      </c>
    </row>
    <row r="246" spans="2:67" x14ac:dyDescent="0.25">
      <c r="B246" s="363" t="s">
        <v>256</v>
      </c>
      <c r="C246" s="363" t="s">
        <v>141</v>
      </c>
      <c r="D246" s="363" t="s">
        <v>1232</v>
      </c>
      <c r="E246" s="363" t="s">
        <v>1231</v>
      </c>
      <c r="AU246" s="363">
        <v>3.4584000000000001</v>
      </c>
      <c r="AV246" s="363">
        <v>3.5282</v>
      </c>
      <c r="BA246" s="363">
        <v>2.9319999999999999</v>
      </c>
      <c r="BB246" s="363">
        <v>3.5339999999999998</v>
      </c>
      <c r="BC246" s="363">
        <v>3.6486000000000001</v>
      </c>
      <c r="BD246" s="363">
        <v>3.8424999999999998</v>
      </c>
      <c r="BG246" s="363">
        <v>3.8746</v>
      </c>
      <c r="BJ246" s="363">
        <v>3.9319999999999999</v>
      </c>
      <c r="BN246" s="364">
        <f t="shared" si="6"/>
        <v>3.9319999999999999</v>
      </c>
      <c r="BO246" s="363">
        <f t="shared" si="7"/>
        <v>2016</v>
      </c>
    </row>
    <row r="247" spans="2:67" x14ac:dyDescent="0.25">
      <c r="B247" s="363" t="s">
        <v>632</v>
      </c>
      <c r="C247" s="363" t="s">
        <v>633</v>
      </c>
      <c r="D247" s="363" t="s">
        <v>1232</v>
      </c>
      <c r="E247" s="363" t="s">
        <v>1231</v>
      </c>
      <c r="AJ247" s="363">
        <v>0.37753856491539362</v>
      </c>
      <c r="AT247" s="363">
        <v>1.0836319828399013</v>
      </c>
      <c r="BI247" s="363">
        <v>1.7372389586483101</v>
      </c>
      <c r="BN247" s="364">
        <f t="shared" si="6"/>
        <v>1.7372389586483101</v>
      </c>
      <c r="BO247" s="363">
        <f t="shared" si="7"/>
        <v>2015</v>
      </c>
    </row>
    <row r="248" spans="2:67" x14ac:dyDescent="0.25">
      <c r="B248" s="363" t="s">
        <v>648</v>
      </c>
      <c r="C248" s="363" t="s">
        <v>649</v>
      </c>
      <c r="D248" s="363" t="s">
        <v>1232</v>
      </c>
      <c r="E248" s="363" t="s">
        <v>1231</v>
      </c>
      <c r="BI248" s="363">
        <v>1.0285959901671162</v>
      </c>
      <c r="BN248" s="364">
        <f t="shared" si="6"/>
        <v>1.0285959901671162</v>
      </c>
      <c r="BO248" s="363">
        <f t="shared" si="7"/>
        <v>2015</v>
      </c>
    </row>
    <row r="249" spans="2:67" x14ac:dyDescent="0.25">
      <c r="B249" s="363" t="s">
        <v>655</v>
      </c>
      <c r="C249" s="363" t="s">
        <v>142</v>
      </c>
      <c r="D249" s="363" t="s">
        <v>1232</v>
      </c>
      <c r="E249" s="363" t="s">
        <v>1231</v>
      </c>
      <c r="AO249" s="363">
        <v>2.9777</v>
      </c>
      <c r="AP249" s="363">
        <v>2.2656000000000001</v>
      </c>
      <c r="AQ249" s="363">
        <v>2.2932000000000001</v>
      </c>
      <c r="AR249" s="363">
        <v>2.7254999999999998</v>
      </c>
      <c r="AS249" s="363">
        <v>2.8849999999999998</v>
      </c>
      <c r="AT249" s="363">
        <v>2.5977999999999999</v>
      </c>
      <c r="AU249" s="363">
        <v>2.7759</v>
      </c>
      <c r="AV249" s="363">
        <v>2.9855999999999998</v>
      </c>
      <c r="AW249" s="363">
        <v>3.0996999999999999</v>
      </c>
      <c r="AZ249" s="363">
        <v>3.5522999999999998</v>
      </c>
      <c r="BA249" s="363">
        <v>3.5720999999999998</v>
      </c>
      <c r="BC249" s="363">
        <v>3.47</v>
      </c>
      <c r="BD249" s="363">
        <v>2.9403000000000001</v>
      </c>
      <c r="BE249" s="363">
        <v>3.2806000000000002</v>
      </c>
      <c r="BI249" s="363">
        <v>3.5093000000000001</v>
      </c>
      <c r="BN249" s="364">
        <f t="shared" si="6"/>
        <v>3.5093000000000001</v>
      </c>
      <c r="BO249" s="363">
        <f t="shared" si="7"/>
        <v>2015</v>
      </c>
    </row>
    <row r="250" spans="2:67" x14ac:dyDescent="0.25">
      <c r="B250" s="363" t="s">
        <v>656</v>
      </c>
      <c r="C250" s="363" t="s">
        <v>143</v>
      </c>
      <c r="D250" s="363" t="s">
        <v>1232</v>
      </c>
      <c r="E250" s="363" t="s">
        <v>1231</v>
      </c>
      <c r="AW250" s="363">
        <v>2.0798999999999999</v>
      </c>
      <c r="AX250" s="363">
        <v>2.8487</v>
      </c>
      <c r="BB250" s="363">
        <v>2.1772</v>
      </c>
      <c r="BC250" s="363">
        <v>2.1536</v>
      </c>
      <c r="BD250" s="363">
        <v>2.2402000000000002</v>
      </c>
      <c r="BH250" s="363">
        <v>2.4405999999999999</v>
      </c>
      <c r="BI250" s="363">
        <v>2.6478000000000002</v>
      </c>
      <c r="BJ250" s="363">
        <v>2.6351</v>
      </c>
      <c r="BN250" s="364">
        <f t="shared" si="6"/>
        <v>2.6351</v>
      </c>
      <c r="BO250" s="363">
        <f t="shared" si="7"/>
        <v>2016</v>
      </c>
    </row>
    <row r="251" spans="2:67" x14ac:dyDescent="0.25">
      <c r="B251" s="363" t="s">
        <v>657</v>
      </c>
      <c r="C251" s="363" t="s">
        <v>144</v>
      </c>
      <c r="D251" s="363" t="s">
        <v>1232</v>
      </c>
      <c r="E251" s="363" t="s">
        <v>1231</v>
      </c>
      <c r="AJ251" s="363">
        <v>1.3983000000000001</v>
      </c>
      <c r="AK251" s="363">
        <v>1.4818</v>
      </c>
      <c r="AL251" s="363">
        <v>1.5346</v>
      </c>
      <c r="AM251" s="363">
        <v>1.5980000000000001</v>
      </c>
      <c r="AN251" s="363">
        <v>1.5962000000000001</v>
      </c>
      <c r="AO251" s="363">
        <v>1.7746999999999999</v>
      </c>
      <c r="AP251" s="363">
        <v>1.7413000000000001</v>
      </c>
      <c r="AQ251" s="363">
        <v>1.7805</v>
      </c>
      <c r="AR251" s="363">
        <v>1.7986</v>
      </c>
      <c r="AS251" s="363">
        <v>1.7907999999999999</v>
      </c>
      <c r="AT251" s="363">
        <v>1.7575000000000001</v>
      </c>
      <c r="AU251" s="363">
        <v>1.7806</v>
      </c>
      <c r="AV251" s="363">
        <v>1.748</v>
      </c>
      <c r="AW251" s="363">
        <v>1.7575000000000001</v>
      </c>
      <c r="AX251" s="363">
        <v>1.7756000000000001</v>
      </c>
      <c r="AY251" s="363">
        <v>1.7926</v>
      </c>
      <c r="AZ251" s="363">
        <v>1.8485</v>
      </c>
      <c r="BA251" s="363">
        <v>2.0379999999999998</v>
      </c>
      <c r="BB251" s="363">
        <v>2.0952000000000002</v>
      </c>
      <c r="BC251" s="363">
        <v>2.1661999999999999</v>
      </c>
      <c r="BD251" s="363">
        <v>2.9788999999999999</v>
      </c>
      <c r="BE251" s="363">
        <v>3.1166999999999998</v>
      </c>
      <c r="BF251" s="363">
        <v>3.2431000000000001</v>
      </c>
      <c r="BG251" s="363">
        <v>3.2511999999999999</v>
      </c>
      <c r="BH251" s="363">
        <v>3.2208999999999999</v>
      </c>
      <c r="BI251" s="363">
        <v>2.6303999999999998</v>
      </c>
      <c r="BN251" s="364">
        <f t="shared" si="6"/>
        <v>2.6303999999999998</v>
      </c>
      <c r="BO251" s="363">
        <f t="shared" si="7"/>
        <v>2015</v>
      </c>
    </row>
    <row r="252" spans="2:67" x14ac:dyDescent="0.25">
      <c r="B252" s="363" t="s">
        <v>257</v>
      </c>
      <c r="C252" s="363" t="s">
        <v>145</v>
      </c>
      <c r="D252" s="363" t="s">
        <v>1232</v>
      </c>
      <c r="E252" s="363" t="s">
        <v>1231</v>
      </c>
      <c r="AV252" s="363">
        <v>4.0625</v>
      </c>
      <c r="AW252" s="363">
        <v>5.1020000000000003</v>
      </c>
      <c r="BB252" s="363">
        <v>6.2135999999999996</v>
      </c>
      <c r="BD252" s="363">
        <v>5.8179999999999996</v>
      </c>
      <c r="BH252" s="363">
        <v>3.7614999999999998</v>
      </c>
      <c r="BN252" s="364">
        <f t="shared" si="6"/>
        <v>3.7614999999999998</v>
      </c>
      <c r="BO252" s="363">
        <f t="shared" si="7"/>
        <v>2014</v>
      </c>
    </row>
    <row r="253" spans="2:67" x14ac:dyDescent="0.25">
      <c r="B253" s="363" t="s">
        <v>653</v>
      </c>
      <c r="C253" s="363" t="s">
        <v>146</v>
      </c>
      <c r="D253" s="363" t="s">
        <v>1232</v>
      </c>
      <c r="E253" s="363" t="s">
        <v>1231</v>
      </c>
      <c r="AV253" s="363">
        <v>0.36809999999999998</v>
      </c>
      <c r="AZ253" s="363">
        <v>0.23230000000000001</v>
      </c>
      <c r="BD253" s="363">
        <v>0.24199999999999999</v>
      </c>
      <c r="BF253" s="363">
        <v>0.42380000000000001</v>
      </c>
      <c r="BH253" s="363">
        <v>0.41260000000000002</v>
      </c>
      <c r="BN253" s="364">
        <f t="shared" si="6"/>
        <v>0.41260000000000002</v>
      </c>
      <c r="BO253" s="363">
        <f t="shared" si="7"/>
        <v>2014</v>
      </c>
    </row>
    <row r="254" spans="2:67" x14ac:dyDescent="0.25">
      <c r="B254" s="363" t="s">
        <v>216</v>
      </c>
      <c r="C254" s="363" t="s">
        <v>147</v>
      </c>
      <c r="D254" s="363" t="s">
        <v>1232</v>
      </c>
      <c r="E254" s="363" t="s">
        <v>1231</v>
      </c>
      <c r="AX254" s="363">
        <v>0.68810000000000004</v>
      </c>
      <c r="AY254" s="363">
        <v>1.3181</v>
      </c>
      <c r="BD254" s="363">
        <v>1.306</v>
      </c>
      <c r="BF254" s="363">
        <v>1.1351</v>
      </c>
      <c r="BI254" s="363">
        <v>0.63029999999999997</v>
      </c>
      <c r="BN254" s="364">
        <f t="shared" si="6"/>
        <v>0.63029999999999997</v>
      </c>
      <c r="BO254" s="363">
        <f t="shared" si="7"/>
        <v>2015</v>
      </c>
    </row>
    <row r="255" spans="2:67" x14ac:dyDescent="0.25">
      <c r="B255" s="363" t="s">
        <v>239</v>
      </c>
      <c r="C255" s="363" t="s">
        <v>148</v>
      </c>
      <c r="D255" s="363" t="s">
        <v>1232</v>
      </c>
      <c r="E255" s="363" t="s">
        <v>1231</v>
      </c>
      <c r="AZ255" s="363">
        <v>8.4499999999999993</v>
      </c>
      <c r="BD255" s="363">
        <v>7.9104000000000001</v>
      </c>
      <c r="BE255" s="363">
        <v>7.9118000000000004</v>
      </c>
      <c r="BF255" s="363">
        <v>7.9660000000000002</v>
      </c>
      <c r="BG255" s="363">
        <v>8.0038</v>
      </c>
      <c r="BH255" s="363">
        <v>7.0575999999999999</v>
      </c>
      <c r="BN255" s="364">
        <f t="shared" si="6"/>
        <v>7.0575999999999999</v>
      </c>
      <c r="BO255" s="363">
        <f t="shared" si="7"/>
        <v>2014</v>
      </c>
    </row>
    <row r="256" spans="2:67" x14ac:dyDescent="0.25">
      <c r="B256" s="363" t="s">
        <v>664</v>
      </c>
      <c r="C256" s="363" t="s">
        <v>665</v>
      </c>
      <c r="D256" s="363" t="s">
        <v>1232</v>
      </c>
      <c r="E256" s="363" t="s">
        <v>1231</v>
      </c>
      <c r="AJ256" s="363">
        <v>0.87700465242690206</v>
      </c>
      <c r="AT256" s="363">
        <v>1.453519471377172</v>
      </c>
      <c r="BI256" s="363">
        <v>3.4765419762677725</v>
      </c>
      <c r="BN256" s="364">
        <f t="shared" si="6"/>
        <v>3.4765419762677725</v>
      </c>
      <c r="BO256" s="363">
        <f t="shared" si="7"/>
        <v>2015</v>
      </c>
    </row>
    <row r="257" spans="2:67" x14ac:dyDescent="0.25">
      <c r="B257" s="363" t="s">
        <v>666</v>
      </c>
      <c r="C257" s="363" t="s">
        <v>667</v>
      </c>
      <c r="D257" s="363" t="s">
        <v>1232</v>
      </c>
      <c r="E257" s="363" t="s">
        <v>1231</v>
      </c>
      <c r="AV257" s="363">
        <v>0.86539999999999995</v>
      </c>
      <c r="AZ257" s="363">
        <v>2.9864999999999999</v>
      </c>
      <c r="BB257" s="363">
        <v>5.8479000000000001</v>
      </c>
      <c r="BD257" s="363">
        <v>5.548</v>
      </c>
      <c r="BJ257" s="363">
        <v>6.2782</v>
      </c>
      <c r="BK257" s="363">
        <v>1.9298999999999999</v>
      </c>
      <c r="BN257" s="364">
        <f t="shared" si="6"/>
        <v>1.9298999999999999</v>
      </c>
      <c r="BO257" s="363">
        <f t="shared" si="7"/>
        <v>2017</v>
      </c>
    </row>
    <row r="258" spans="2:67" x14ac:dyDescent="0.25">
      <c r="B258" s="363" t="s">
        <v>663</v>
      </c>
      <c r="C258" s="363" t="s">
        <v>149</v>
      </c>
      <c r="D258" s="363" t="s">
        <v>1232</v>
      </c>
      <c r="E258" s="363" t="s">
        <v>1231</v>
      </c>
      <c r="AO258" s="363">
        <v>8.94</v>
      </c>
      <c r="AT258" s="363">
        <v>9.4672999999999998</v>
      </c>
      <c r="AY258" s="363">
        <v>9.9177</v>
      </c>
      <c r="BD258" s="363">
        <v>12.607799999999999</v>
      </c>
      <c r="BH258" s="363">
        <v>8.8320000000000007</v>
      </c>
      <c r="BI258" s="363">
        <v>8.5500000000000007</v>
      </c>
      <c r="BN258" s="364">
        <f t="shared" si="6"/>
        <v>8.5500000000000007</v>
      </c>
      <c r="BO258" s="363">
        <f t="shared" si="7"/>
        <v>2015</v>
      </c>
    </row>
    <row r="259" spans="2:67" x14ac:dyDescent="0.25">
      <c r="B259" s="363" t="s">
        <v>668</v>
      </c>
      <c r="C259" s="363" t="s">
        <v>150</v>
      </c>
      <c r="D259" s="363" t="s">
        <v>1232</v>
      </c>
      <c r="E259" s="363" t="s">
        <v>1231</v>
      </c>
      <c r="AY259" s="363">
        <v>10.91</v>
      </c>
      <c r="BA259" s="363">
        <v>10.81</v>
      </c>
      <c r="BC259" s="363">
        <v>11.132</v>
      </c>
      <c r="BD259" s="363">
        <v>12.2281</v>
      </c>
      <c r="BE259" s="363">
        <v>12.273</v>
      </c>
      <c r="BF259" s="363">
        <v>12.217599999999999</v>
      </c>
      <c r="BG259" s="363">
        <v>12.1486</v>
      </c>
      <c r="BH259" s="363">
        <v>12.0739</v>
      </c>
      <c r="BN259" s="364">
        <f t="shared" si="6"/>
        <v>12.0739</v>
      </c>
      <c r="BO259" s="363">
        <f t="shared" si="7"/>
        <v>2014</v>
      </c>
    </row>
    <row r="260" spans="2:67" x14ac:dyDescent="0.25">
      <c r="B260" s="363" t="s">
        <v>642</v>
      </c>
      <c r="C260" s="363" t="s">
        <v>643</v>
      </c>
      <c r="D260" s="363" t="s">
        <v>1232</v>
      </c>
      <c r="E260" s="363" t="s">
        <v>1231</v>
      </c>
      <c r="AQ260" s="363">
        <v>2.5556000000000001</v>
      </c>
      <c r="AT260" s="363">
        <v>4.1426999999999996</v>
      </c>
      <c r="AU260" s="363">
        <v>4.4074</v>
      </c>
      <c r="AX260" s="363">
        <v>4.6409000000000002</v>
      </c>
      <c r="BD260" s="363">
        <v>2.5800999999999998</v>
      </c>
      <c r="BN260" s="364">
        <f t="shared" si="6"/>
        <v>2.5800999999999998</v>
      </c>
      <c r="BO260" s="363">
        <f t="shared" si="7"/>
        <v>2010</v>
      </c>
    </row>
    <row r="261" spans="2:67" x14ac:dyDescent="0.25">
      <c r="B261" s="363" t="s">
        <v>669</v>
      </c>
      <c r="C261" s="363" t="s">
        <v>670</v>
      </c>
      <c r="D261" s="363" t="s">
        <v>1232</v>
      </c>
      <c r="E261" s="363" t="s">
        <v>1231</v>
      </c>
      <c r="AQ261" s="363">
        <v>0.64990000000000003</v>
      </c>
      <c r="AU261" s="363">
        <v>1.1223000000000001</v>
      </c>
      <c r="BN261" s="364">
        <f t="shared" si="6"/>
        <v>1.1223000000000001</v>
      </c>
      <c r="BO261" s="363">
        <f t="shared" si="7"/>
        <v>2001</v>
      </c>
    </row>
    <row r="262" spans="2:67" x14ac:dyDescent="0.25">
      <c r="B262" s="363" t="s">
        <v>444</v>
      </c>
      <c r="C262" s="363" t="s">
        <v>445</v>
      </c>
      <c r="D262" s="363" t="s">
        <v>1232</v>
      </c>
      <c r="E262" s="363" t="s">
        <v>1231</v>
      </c>
      <c r="BN262" s="364" t="str">
        <f t="shared" si="6"/>
        <v>No reported value</v>
      </c>
      <c r="BO262" s="363" t="str">
        <f t="shared" si="7"/>
        <v>No reported value</v>
      </c>
    </row>
    <row r="263" spans="2:67" x14ac:dyDescent="0.25">
      <c r="B263" s="363" t="s">
        <v>672</v>
      </c>
      <c r="C263" s="363" t="s">
        <v>673</v>
      </c>
      <c r="D263" s="363" t="s">
        <v>1232</v>
      </c>
      <c r="E263" s="363" t="s">
        <v>1231</v>
      </c>
      <c r="BN263" s="364" t="str">
        <f t="shared" si="6"/>
        <v>No reported value</v>
      </c>
      <c r="BO263" s="363" t="str">
        <f t="shared" si="7"/>
        <v>No reported value</v>
      </c>
    </row>
    <row r="264" spans="2:67" x14ac:dyDescent="0.25">
      <c r="B264" s="363" t="s">
        <v>671</v>
      </c>
      <c r="C264" s="363" t="s">
        <v>160</v>
      </c>
      <c r="D264" s="363" t="s">
        <v>1232</v>
      </c>
      <c r="E264" s="363" t="s">
        <v>1231</v>
      </c>
      <c r="AU264" s="363">
        <v>0.72960000000000003</v>
      </c>
      <c r="AV264" s="363">
        <v>0.75419999999999998</v>
      </c>
      <c r="AX264" s="363">
        <v>0.66300000000000003</v>
      </c>
      <c r="AY264" s="363">
        <v>0.82630000000000003</v>
      </c>
      <c r="AZ264" s="363">
        <v>0.87480000000000002</v>
      </c>
      <c r="BA264" s="363">
        <v>0.94479999999999997</v>
      </c>
      <c r="BB264" s="363">
        <v>1.0152000000000001</v>
      </c>
      <c r="BC264" s="363">
        <v>1.1022000000000001</v>
      </c>
      <c r="BD264" s="363">
        <v>1.2256</v>
      </c>
      <c r="BE264" s="363">
        <v>1.1299999999999999</v>
      </c>
      <c r="BF264" s="363">
        <v>1.4419</v>
      </c>
      <c r="BG264" s="363">
        <v>1.226</v>
      </c>
      <c r="BH264" s="363">
        <v>1.4171</v>
      </c>
      <c r="BI264" s="363">
        <v>1.4092</v>
      </c>
      <c r="BJ264" s="363">
        <v>1.4320999999999999</v>
      </c>
      <c r="BN264" s="364">
        <f t="shared" si="6"/>
        <v>1.4320999999999999</v>
      </c>
      <c r="BO264" s="363">
        <f t="shared" si="7"/>
        <v>2016</v>
      </c>
    </row>
    <row r="265" spans="2:67" x14ac:dyDescent="0.25">
      <c r="B265" s="363" t="s">
        <v>258</v>
      </c>
      <c r="C265" s="363" t="s">
        <v>151</v>
      </c>
      <c r="D265" s="363" t="s">
        <v>1232</v>
      </c>
      <c r="E265" s="363" t="s">
        <v>1231</v>
      </c>
      <c r="AQ265" s="363">
        <v>2.4457</v>
      </c>
      <c r="AX265" s="363">
        <v>1.7638</v>
      </c>
      <c r="BA265" s="363">
        <v>1.5636000000000001</v>
      </c>
      <c r="BB265" s="363">
        <v>1.6866000000000001</v>
      </c>
      <c r="BD265" s="363">
        <v>1.696</v>
      </c>
      <c r="BF265" s="363">
        <v>1.8545</v>
      </c>
      <c r="BJ265" s="363">
        <v>1.3853</v>
      </c>
      <c r="BN265" s="364">
        <f t="shared" ref="BN265:BN272" si="8">IFERROR(LOOKUP(2,1/(ISNUMBER(F265:BM265)),F265:BM265),"No reported value")</f>
        <v>1.3853</v>
      </c>
      <c r="BO265" s="363">
        <f t="shared" ref="BO265:BO272" si="9">IFERROR(INDEX($F$8:$BM$8,1,MATCH($BN265,$F265:$BM265,0)),"No reported value")</f>
        <v>2016</v>
      </c>
    </row>
    <row r="266" spans="2:67" x14ac:dyDescent="0.25">
      <c r="B266" s="363" t="s">
        <v>676</v>
      </c>
      <c r="C266" s="363" t="s">
        <v>677</v>
      </c>
      <c r="D266" s="363" t="s">
        <v>1232</v>
      </c>
      <c r="E266" s="363" t="s">
        <v>1231</v>
      </c>
      <c r="AT266" s="363">
        <v>2.433415177749334</v>
      </c>
      <c r="BI266" s="363">
        <v>3.4234202979140669</v>
      </c>
      <c r="BN266" s="364">
        <f t="shared" si="8"/>
        <v>3.4234202979140669</v>
      </c>
      <c r="BO266" s="363">
        <f t="shared" si="9"/>
        <v>2015</v>
      </c>
    </row>
    <row r="267" spans="2:67" x14ac:dyDescent="0.25">
      <c r="B267" s="363" t="s">
        <v>254</v>
      </c>
      <c r="C267" s="363" t="s">
        <v>152</v>
      </c>
      <c r="D267" s="363" t="s">
        <v>1232</v>
      </c>
      <c r="E267" s="363" t="s">
        <v>1231</v>
      </c>
      <c r="AS267" s="363">
        <v>2.0081000000000002</v>
      </c>
      <c r="AW267" s="363">
        <v>1.7444999999999999</v>
      </c>
      <c r="BB267" s="363">
        <v>1.8965000000000001</v>
      </c>
      <c r="BD267" s="363">
        <v>1.536</v>
      </c>
      <c r="BF267" s="363">
        <v>1.7865</v>
      </c>
      <c r="BH267" s="363">
        <v>1.8565</v>
      </c>
      <c r="BN267" s="364">
        <f t="shared" si="8"/>
        <v>1.8565</v>
      </c>
      <c r="BO267" s="363">
        <f t="shared" si="9"/>
        <v>2014</v>
      </c>
    </row>
    <row r="268" spans="2:67" x14ac:dyDescent="0.25">
      <c r="B268" s="363" t="s">
        <v>237</v>
      </c>
      <c r="C268" s="363" t="s">
        <v>537</v>
      </c>
      <c r="D268" s="363" t="s">
        <v>1232</v>
      </c>
      <c r="E268" s="363" t="s">
        <v>1231</v>
      </c>
      <c r="BN268" s="364" t="str">
        <f t="shared" si="8"/>
        <v>No reported value</v>
      </c>
      <c r="BO268" s="363" t="str">
        <f t="shared" si="9"/>
        <v>No reported value</v>
      </c>
    </row>
    <row r="269" spans="2:67" x14ac:dyDescent="0.25">
      <c r="B269" s="363" t="s">
        <v>678</v>
      </c>
      <c r="C269" s="363" t="s">
        <v>153</v>
      </c>
      <c r="D269" s="363" t="s">
        <v>1232</v>
      </c>
      <c r="E269" s="363" t="s">
        <v>1231</v>
      </c>
      <c r="AQ269" s="363">
        <v>0.40389999999999998</v>
      </c>
      <c r="AX269" s="363">
        <v>0.68669999999999998</v>
      </c>
      <c r="BD269" s="363">
        <v>0.70279999999999998</v>
      </c>
      <c r="BH269" s="363">
        <v>0.73</v>
      </c>
      <c r="BN269" s="364">
        <f t="shared" si="8"/>
        <v>0.73</v>
      </c>
      <c r="BO269" s="363">
        <f t="shared" si="9"/>
        <v>2014</v>
      </c>
    </row>
    <row r="270" spans="2:67" x14ac:dyDescent="0.25">
      <c r="B270" s="363" t="s">
        <v>178</v>
      </c>
      <c r="C270" s="363" t="s">
        <v>154</v>
      </c>
      <c r="D270" s="363" t="s">
        <v>1232</v>
      </c>
      <c r="E270" s="363" t="s">
        <v>1231</v>
      </c>
      <c r="AR270" s="363">
        <v>3.9146999999999998</v>
      </c>
      <c r="AS270" s="363">
        <v>3.8371</v>
      </c>
      <c r="AT270" s="363">
        <v>3.7536</v>
      </c>
      <c r="AU270" s="363">
        <v>3.7153999999999998</v>
      </c>
      <c r="AV270" s="363">
        <v>3.6760000000000002</v>
      </c>
      <c r="AW270" s="363">
        <v>3.7298</v>
      </c>
      <c r="AX270" s="363">
        <v>3.8231999999999999</v>
      </c>
      <c r="AY270" s="363">
        <v>3.9178000000000002</v>
      </c>
      <c r="AZ270" s="363">
        <v>3.9889999999999999</v>
      </c>
      <c r="BA270" s="363">
        <v>4.0881999999999996</v>
      </c>
      <c r="BB270" s="363">
        <v>4.2213000000000003</v>
      </c>
      <c r="BC270" s="363">
        <v>4.3517999999999999</v>
      </c>
      <c r="BD270" s="363">
        <v>4.4797000000000002</v>
      </c>
      <c r="BE270" s="363">
        <v>4.5575999999999999</v>
      </c>
      <c r="BF270" s="363">
        <v>4.6932999999999998</v>
      </c>
      <c r="BG270" s="363">
        <v>4.8486000000000002</v>
      </c>
      <c r="BH270" s="363">
        <v>4.9584999999999999</v>
      </c>
      <c r="BI270" s="363">
        <v>5.0391000000000004</v>
      </c>
      <c r="BJ270" s="363">
        <v>5.1318000000000001</v>
      </c>
      <c r="BK270" s="363">
        <v>3.5171000000000001</v>
      </c>
      <c r="BN270" s="364">
        <f t="shared" si="8"/>
        <v>3.5171000000000001</v>
      </c>
      <c r="BO270" s="363">
        <f t="shared" si="9"/>
        <v>2017</v>
      </c>
    </row>
    <row r="271" spans="2:67" x14ac:dyDescent="0.25">
      <c r="B271" s="363" t="s">
        <v>217</v>
      </c>
      <c r="C271" s="363" t="s">
        <v>155</v>
      </c>
      <c r="D271" s="363" t="s">
        <v>1232</v>
      </c>
      <c r="E271" s="363" t="s">
        <v>1231</v>
      </c>
      <c r="AY271" s="363">
        <v>0.69440000000000002</v>
      </c>
      <c r="AZ271" s="363">
        <v>0.67579999999999996</v>
      </c>
      <c r="BB271" s="363">
        <v>0.69489999999999996</v>
      </c>
      <c r="BC271" s="363">
        <v>0.70579999999999998</v>
      </c>
      <c r="BD271" s="363">
        <v>0.71709999999999996</v>
      </c>
      <c r="BJ271" s="363">
        <v>0.89249999999999996</v>
      </c>
      <c r="BN271" s="364">
        <f t="shared" si="8"/>
        <v>0.89249999999999996</v>
      </c>
      <c r="BO271" s="363">
        <f t="shared" si="9"/>
        <v>2016</v>
      </c>
    </row>
    <row r="272" spans="2:67" x14ac:dyDescent="0.25">
      <c r="B272" s="363" t="s">
        <v>218</v>
      </c>
      <c r="C272" s="363" t="s">
        <v>156</v>
      </c>
      <c r="D272" s="363" t="s">
        <v>1232</v>
      </c>
      <c r="E272" s="363" t="s">
        <v>1231</v>
      </c>
      <c r="AJ272" s="363">
        <v>1.4896</v>
      </c>
      <c r="AO272" s="363">
        <v>1.5388999999999999</v>
      </c>
      <c r="BC272" s="363">
        <v>1.2069000000000001</v>
      </c>
      <c r="BD272" s="363">
        <v>1.2089000000000001</v>
      </c>
      <c r="BE272" s="363">
        <v>1.1832</v>
      </c>
      <c r="BF272" s="363">
        <v>1.0561</v>
      </c>
      <c r="BG272" s="363">
        <v>1.2436</v>
      </c>
      <c r="BH272" s="363">
        <v>1.1546000000000001</v>
      </c>
      <c r="BN272" s="364">
        <f t="shared" si="8"/>
        <v>1.1546000000000001</v>
      </c>
      <c r="BO272" s="363">
        <f t="shared" si="9"/>
        <v>2014</v>
      </c>
    </row>
  </sheetData>
  <sheetProtection algorithmName="SHA-512" hashValue="TjmpkfCtSXnOMLkUDI2zqpT3RXO7IKWGm2iLa7ccPIGznaDvNlkulzHhHBGxUvlogILxW3yFxlOhdrKjUx3/ng==" saltValue="yO3cZKOPtAyVvR31fKtjuw==" spinCount="100000" sheet="1" objects="1" scenarios="1"/>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1:BW269"/>
  <sheetViews>
    <sheetView showGridLines="0" zoomScale="70" zoomScaleNormal="70" workbookViewId="0">
      <selection activeCell="C15" sqref="C15"/>
    </sheetView>
  </sheetViews>
  <sheetFormatPr defaultRowHeight="15" outlineLevelCol="1" x14ac:dyDescent="0.25"/>
  <cols>
    <col min="1" max="1" width="4.42578125" style="138" customWidth="1"/>
    <col min="2" max="2" width="44" style="138" bestFit="1" customWidth="1"/>
    <col min="3" max="3" width="25.5703125" style="138" bestFit="1" customWidth="1"/>
    <col min="4" max="4" width="27.42578125" style="138" customWidth="1" outlineLevel="1"/>
    <col min="5" max="5" width="14.42578125" style="138" customWidth="1" outlineLevel="1"/>
    <col min="6" max="60" width="11.42578125" style="138" customWidth="1" outlineLevel="1"/>
    <col min="61" max="65" width="5" style="138" customWidth="1" outlineLevel="1"/>
    <col min="66" max="66" width="17.42578125" style="138" bestFit="1" customWidth="1"/>
    <col min="67" max="67" width="9.42578125" style="138"/>
    <col min="68" max="68" width="27.140625" style="138" bestFit="1" customWidth="1"/>
    <col min="69" max="69" width="27.28515625" style="138" bestFit="1" customWidth="1"/>
    <col min="70" max="71" width="9.42578125" style="138"/>
    <col min="72" max="72" width="22.140625" style="138" customWidth="1"/>
    <col min="73" max="256" width="9.42578125" style="138"/>
    <col min="257" max="257" width="4.42578125" style="138" customWidth="1"/>
    <col min="258" max="258" width="44" style="138" bestFit="1" customWidth="1"/>
    <col min="259" max="259" width="25.5703125" style="138" bestFit="1" customWidth="1"/>
    <col min="260" max="260" width="27.42578125" style="138" bestFit="1" customWidth="1"/>
    <col min="261" max="261" width="14.42578125" style="138" bestFit="1" customWidth="1"/>
    <col min="262" max="316" width="11.42578125" style="138" bestFit="1" customWidth="1"/>
    <col min="317" max="321" width="5" style="138" bestFit="1" customWidth="1"/>
    <col min="322" max="322" width="17.42578125" style="138" bestFit="1" customWidth="1"/>
    <col min="323" max="512" width="9.42578125" style="138"/>
    <col min="513" max="513" width="4.42578125" style="138" customWidth="1"/>
    <col min="514" max="514" width="44" style="138" bestFit="1" customWidth="1"/>
    <col min="515" max="515" width="25.5703125" style="138" bestFit="1" customWidth="1"/>
    <col min="516" max="516" width="27.42578125" style="138" bestFit="1" customWidth="1"/>
    <col min="517" max="517" width="14.42578125" style="138" bestFit="1" customWidth="1"/>
    <col min="518" max="572" width="11.42578125" style="138" bestFit="1" customWidth="1"/>
    <col min="573" max="577" width="5" style="138" bestFit="1" customWidth="1"/>
    <col min="578" max="578" width="17.42578125" style="138" bestFit="1" customWidth="1"/>
    <col min="579" max="768" width="9.42578125" style="138"/>
    <col min="769" max="769" width="4.42578125" style="138" customWidth="1"/>
    <col min="770" max="770" width="44" style="138" bestFit="1" customWidth="1"/>
    <col min="771" max="771" width="25.5703125" style="138" bestFit="1" customWidth="1"/>
    <col min="772" max="772" width="27.42578125" style="138" bestFit="1" customWidth="1"/>
    <col min="773" max="773" width="14.42578125" style="138" bestFit="1" customWidth="1"/>
    <col min="774" max="828" width="11.42578125" style="138" bestFit="1" customWidth="1"/>
    <col min="829" max="833" width="5" style="138" bestFit="1" customWidth="1"/>
    <col min="834" max="834" width="17.42578125" style="138" bestFit="1" customWidth="1"/>
    <col min="835" max="1024" width="9.42578125" style="138"/>
    <col min="1025" max="1025" width="4.42578125" style="138" customWidth="1"/>
    <col min="1026" max="1026" width="44" style="138" bestFit="1" customWidth="1"/>
    <col min="1027" max="1027" width="25.5703125" style="138" bestFit="1" customWidth="1"/>
    <col min="1028" max="1028" width="27.42578125" style="138" bestFit="1" customWidth="1"/>
    <col min="1029" max="1029" width="14.42578125" style="138" bestFit="1" customWidth="1"/>
    <col min="1030" max="1084" width="11.42578125" style="138" bestFit="1" customWidth="1"/>
    <col min="1085" max="1089" width="5" style="138" bestFit="1" customWidth="1"/>
    <col min="1090" max="1090" width="17.42578125" style="138" bestFit="1" customWidth="1"/>
    <col min="1091" max="1280" width="9.42578125" style="138"/>
    <col min="1281" max="1281" width="4.42578125" style="138" customWidth="1"/>
    <col min="1282" max="1282" width="44" style="138" bestFit="1" customWidth="1"/>
    <col min="1283" max="1283" width="25.5703125" style="138" bestFit="1" customWidth="1"/>
    <col min="1284" max="1284" width="27.42578125" style="138" bestFit="1" customWidth="1"/>
    <col min="1285" max="1285" width="14.42578125" style="138" bestFit="1" customWidth="1"/>
    <col min="1286" max="1340" width="11.42578125" style="138" bestFit="1" customWidth="1"/>
    <col min="1341" max="1345" width="5" style="138" bestFit="1" customWidth="1"/>
    <col min="1346" max="1346" width="17.42578125" style="138" bestFit="1" customWidth="1"/>
    <col min="1347" max="1536" width="9.42578125" style="138"/>
    <col min="1537" max="1537" width="4.42578125" style="138" customWidth="1"/>
    <col min="1538" max="1538" width="44" style="138" bestFit="1" customWidth="1"/>
    <col min="1539" max="1539" width="25.5703125" style="138" bestFit="1" customWidth="1"/>
    <col min="1540" max="1540" width="27.42578125" style="138" bestFit="1" customWidth="1"/>
    <col min="1541" max="1541" width="14.42578125" style="138" bestFit="1" customWidth="1"/>
    <col min="1542" max="1596" width="11.42578125" style="138" bestFit="1" customWidth="1"/>
    <col min="1597" max="1601" width="5" style="138" bestFit="1" customWidth="1"/>
    <col min="1602" max="1602" width="17.42578125" style="138" bestFit="1" customWidth="1"/>
    <col min="1603" max="1792" width="9.42578125" style="138"/>
    <col min="1793" max="1793" width="4.42578125" style="138" customWidth="1"/>
    <col min="1794" max="1794" width="44" style="138" bestFit="1" customWidth="1"/>
    <col min="1795" max="1795" width="25.5703125" style="138" bestFit="1" customWidth="1"/>
    <col min="1796" max="1796" width="27.42578125" style="138" bestFit="1" customWidth="1"/>
    <col min="1797" max="1797" width="14.42578125" style="138" bestFit="1" customWidth="1"/>
    <col min="1798" max="1852" width="11.42578125" style="138" bestFit="1" customWidth="1"/>
    <col min="1853" max="1857" width="5" style="138" bestFit="1" customWidth="1"/>
    <col min="1858" max="1858" width="17.42578125" style="138" bestFit="1" customWidth="1"/>
    <col min="1859" max="2048" width="9.42578125" style="138"/>
    <col min="2049" max="2049" width="4.42578125" style="138" customWidth="1"/>
    <col min="2050" max="2050" width="44" style="138" bestFit="1" customWidth="1"/>
    <col min="2051" max="2051" width="25.5703125" style="138" bestFit="1" customWidth="1"/>
    <col min="2052" max="2052" width="27.42578125" style="138" bestFit="1" customWidth="1"/>
    <col min="2053" max="2053" width="14.42578125" style="138" bestFit="1" customWidth="1"/>
    <col min="2054" max="2108" width="11.42578125" style="138" bestFit="1" customWidth="1"/>
    <col min="2109" max="2113" width="5" style="138" bestFit="1" customWidth="1"/>
    <col min="2114" max="2114" width="17.42578125" style="138" bestFit="1" customWidth="1"/>
    <col min="2115" max="2304" width="9.42578125" style="138"/>
    <col min="2305" max="2305" width="4.42578125" style="138" customWidth="1"/>
    <col min="2306" max="2306" width="44" style="138" bestFit="1" customWidth="1"/>
    <col min="2307" max="2307" width="25.5703125" style="138" bestFit="1" customWidth="1"/>
    <col min="2308" max="2308" width="27.42578125" style="138" bestFit="1" customWidth="1"/>
    <col min="2309" max="2309" width="14.42578125" style="138" bestFit="1" customWidth="1"/>
    <col min="2310" max="2364" width="11.42578125" style="138" bestFit="1" customWidth="1"/>
    <col min="2365" max="2369" width="5" style="138" bestFit="1" customWidth="1"/>
    <col min="2370" max="2370" width="17.42578125" style="138" bestFit="1" customWidth="1"/>
    <col min="2371" max="2560" width="9.42578125" style="138"/>
    <col min="2561" max="2561" width="4.42578125" style="138" customWidth="1"/>
    <col min="2562" max="2562" width="44" style="138" bestFit="1" customWidth="1"/>
    <col min="2563" max="2563" width="25.5703125" style="138" bestFit="1" customWidth="1"/>
    <col min="2564" max="2564" width="27.42578125" style="138" bestFit="1" customWidth="1"/>
    <col min="2565" max="2565" width="14.42578125" style="138" bestFit="1" customWidth="1"/>
    <col min="2566" max="2620" width="11.42578125" style="138" bestFit="1" customWidth="1"/>
    <col min="2621" max="2625" width="5" style="138" bestFit="1" customWidth="1"/>
    <col min="2626" max="2626" width="17.42578125" style="138" bestFit="1" customWidth="1"/>
    <col min="2627" max="2816" width="9.42578125" style="138"/>
    <col min="2817" max="2817" width="4.42578125" style="138" customWidth="1"/>
    <col min="2818" max="2818" width="44" style="138" bestFit="1" customWidth="1"/>
    <col min="2819" max="2819" width="25.5703125" style="138" bestFit="1" customWidth="1"/>
    <col min="2820" max="2820" width="27.42578125" style="138" bestFit="1" customWidth="1"/>
    <col min="2821" max="2821" width="14.42578125" style="138" bestFit="1" customWidth="1"/>
    <col min="2822" max="2876" width="11.42578125" style="138" bestFit="1" customWidth="1"/>
    <col min="2877" max="2881" width="5" style="138" bestFit="1" customWidth="1"/>
    <col min="2882" max="2882" width="17.42578125" style="138" bestFit="1" customWidth="1"/>
    <col min="2883" max="3072" width="9.42578125" style="138"/>
    <col min="3073" max="3073" width="4.42578125" style="138" customWidth="1"/>
    <col min="3074" max="3074" width="44" style="138" bestFit="1" customWidth="1"/>
    <col min="3075" max="3075" width="25.5703125" style="138" bestFit="1" customWidth="1"/>
    <col min="3076" max="3076" width="27.42578125" style="138" bestFit="1" customWidth="1"/>
    <col min="3077" max="3077" width="14.42578125" style="138" bestFit="1" customWidth="1"/>
    <col min="3078" max="3132" width="11.42578125" style="138" bestFit="1" customWidth="1"/>
    <col min="3133" max="3137" width="5" style="138" bestFit="1" customWidth="1"/>
    <col min="3138" max="3138" width="17.42578125" style="138" bestFit="1" customWidth="1"/>
    <col min="3139" max="3328" width="9.42578125" style="138"/>
    <col min="3329" max="3329" width="4.42578125" style="138" customWidth="1"/>
    <col min="3330" max="3330" width="44" style="138" bestFit="1" customWidth="1"/>
    <col min="3331" max="3331" width="25.5703125" style="138" bestFit="1" customWidth="1"/>
    <col min="3332" max="3332" width="27.42578125" style="138" bestFit="1" customWidth="1"/>
    <col min="3333" max="3333" width="14.42578125" style="138" bestFit="1" customWidth="1"/>
    <col min="3334" max="3388" width="11.42578125" style="138" bestFit="1" customWidth="1"/>
    <col min="3389" max="3393" width="5" style="138" bestFit="1" customWidth="1"/>
    <col min="3394" max="3394" width="17.42578125" style="138" bestFit="1" customWidth="1"/>
    <col min="3395" max="3584" width="9.42578125" style="138"/>
    <col min="3585" max="3585" width="4.42578125" style="138" customWidth="1"/>
    <col min="3586" max="3586" width="44" style="138" bestFit="1" customWidth="1"/>
    <col min="3587" max="3587" width="25.5703125" style="138" bestFit="1" customWidth="1"/>
    <col min="3588" max="3588" width="27.42578125" style="138" bestFit="1" customWidth="1"/>
    <col min="3589" max="3589" width="14.42578125" style="138" bestFit="1" customWidth="1"/>
    <col min="3590" max="3644" width="11.42578125" style="138" bestFit="1" customWidth="1"/>
    <col min="3645" max="3649" width="5" style="138" bestFit="1" customWidth="1"/>
    <col min="3650" max="3650" width="17.42578125" style="138" bestFit="1" customWidth="1"/>
    <col min="3651" max="3840" width="9.42578125" style="138"/>
    <col min="3841" max="3841" width="4.42578125" style="138" customWidth="1"/>
    <col min="3842" max="3842" width="44" style="138" bestFit="1" customWidth="1"/>
    <col min="3843" max="3843" width="25.5703125" style="138" bestFit="1" customWidth="1"/>
    <col min="3844" max="3844" width="27.42578125" style="138" bestFit="1" customWidth="1"/>
    <col min="3845" max="3845" width="14.42578125" style="138" bestFit="1" customWidth="1"/>
    <col min="3846" max="3900" width="11.42578125" style="138" bestFit="1" customWidth="1"/>
    <col min="3901" max="3905" width="5" style="138" bestFit="1" customWidth="1"/>
    <col min="3906" max="3906" width="17.42578125" style="138" bestFit="1" customWidth="1"/>
    <col min="3907" max="4096" width="9.42578125" style="138"/>
    <col min="4097" max="4097" width="4.42578125" style="138" customWidth="1"/>
    <col min="4098" max="4098" width="44" style="138" bestFit="1" customWidth="1"/>
    <col min="4099" max="4099" width="25.5703125" style="138" bestFit="1" customWidth="1"/>
    <col min="4100" max="4100" width="27.42578125" style="138" bestFit="1" customWidth="1"/>
    <col min="4101" max="4101" width="14.42578125" style="138" bestFit="1" customWidth="1"/>
    <col min="4102" max="4156" width="11.42578125" style="138" bestFit="1" customWidth="1"/>
    <col min="4157" max="4161" width="5" style="138" bestFit="1" customWidth="1"/>
    <col min="4162" max="4162" width="17.42578125" style="138" bestFit="1" customWidth="1"/>
    <col min="4163" max="4352" width="9.42578125" style="138"/>
    <col min="4353" max="4353" width="4.42578125" style="138" customWidth="1"/>
    <col min="4354" max="4354" width="44" style="138" bestFit="1" customWidth="1"/>
    <col min="4355" max="4355" width="25.5703125" style="138" bestFit="1" customWidth="1"/>
    <col min="4356" max="4356" width="27.42578125" style="138" bestFit="1" customWidth="1"/>
    <col min="4357" max="4357" width="14.42578125" style="138" bestFit="1" customWidth="1"/>
    <col min="4358" max="4412" width="11.42578125" style="138" bestFit="1" customWidth="1"/>
    <col min="4413" max="4417" width="5" style="138" bestFit="1" customWidth="1"/>
    <col min="4418" max="4418" width="17.42578125" style="138" bestFit="1" customWidth="1"/>
    <col min="4419" max="4608" width="9.42578125" style="138"/>
    <col min="4609" max="4609" width="4.42578125" style="138" customWidth="1"/>
    <col min="4610" max="4610" width="44" style="138" bestFit="1" customWidth="1"/>
    <col min="4611" max="4611" width="25.5703125" style="138" bestFit="1" customWidth="1"/>
    <col min="4612" max="4612" width="27.42578125" style="138" bestFit="1" customWidth="1"/>
    <col min="4613" max="4613" width="14.42578125" style="138" bestFit="1" customWidth="1"/>
    <col min="4614" max="4668" width="11.42578125" style="138" bestFit="1" customWidth="1"/>
    <col min="4669" max="4673" width="5" style="138" bestFit="1" customWidth="1"/>
    <col min="4674" max="4674" width="17.42578125" style="138" bestFit="1" customWidth="1"/>
    <col min="4675" max="4864" width="9.42578125" style="138"/>
    <col min="4865" max="4865" width="4.42578125" style="138" customWidth="1"/>
    <col min="4866" max="4866" width="44" style="138" bestFit="1" customWidth="1"/>
    <col min="4867" max="4867" width="25.5703125" style="138" bestFit="1" customWidth="1"/>
    <col min="4868" max="4868" width="27.42578125" style="138" bestFit="1" customWidth="1"/>
    <col min="4869" max="4869" width="14.42578125" style="138" bestFit="1" customWidth="1"/>
    <col min="4870" max="4924" width="11.42578125" style="138" bestFit="1" customWidth="1"/>
    <col min="4925" max="4929" width="5" style="138" bestFit="1" customWidth="1"/>
    <col min="4930" max="4930" width="17.42578125" style="138" bestFit="1" customWidth="1"/>
    <col min="4931" max="5120" width="9.42578125" style="138"/>
    <col min="5121" max="5121" width="4.42578125" style="138" customWidth="1"/>
    <col min="5122" max="5122" width="44" style="138" bestFit="1" customWidth="1"/>
    <col min="5123" max="5123" width="25.5703125" style="138" bestFit="1" customWidth="1"/>
    <col min="5124" max="5124" width="27.42578125" style="138" bestFit="1" customWidth="1"/>
    <col min="5125" max="5125" width="14.42578125" style="138" bestFit="1" customWidth="1"/>
    <col min="5126" max="5180" width="11.42578125" style="138" bestFit="1" customWidth="1"/>
    <col min="5181" max="5185" width="5" style="138" bestFit="1" customWidth="1"/>
    <col min="5186" max="5186" width="17.42578125" style="138" bestFit="1" customWidth="1"/>
    <col min="5187" max="5376" width="9.42578125" style="138"/>
    <col min="5377" max="5377" width="4.42578125" style="138" customWidth="1"/>
    <col min="5378" max="5378" width="44" style="138" bestFit="1" customWidth="1"/>
    <col min="5379" max="5379" width="25.5703125" style="138" bestFit="1" customWidth="1"/>
    <col min="5380" max="5380" width="27.42578125" style="138" bestFit="1" customWidth="1"/>
    <col min="5381" max="5381" width="14.42578125" style="138" bestFit="1" customWidth="1"/>
    <col min="5382" max="5436" width="11.42578125" style="138" bestFit="1" customWidth="1"/>
    <col min="5437" max="5441" width="5" style="138" bestFit="1" customWidth="1"/>
    <col min="5442" max="5442" width="17.42578125" style="138" bestFit="1" customWidth="1"/>
    <col min="5443" max="5632" width="9.42578125" style="138"/>
    <col min="5633" max="5633" width="4.42578125" style="138" customWidth="1"/>
    <col min="5634" max="5634" width="44" style="138" bestFit="1" customWidth="1"/>
    <col min="5635" max="5635" width="25.5703125" style="138" bestFit="1" customWidth="1"/>
    <col min="5636" max="5636" width="27.42578125" style="138" bestFit="1" customWidth="1"/>
    <col min="5637" max="5637" width="14.42578125" style="138" bestFit="1" customWidth="1"/>
    <col min="5638" max="5692" width="11.42578125" style="138" bestFit="1" customWidth="1"/>
    <col min="5693" max="5697" width="5" style="138" bestFit="1" customWidth="1"/>
    <col min="5698" max="5698" width="17.42578125" style="138" bestFit="1" customWidth="1"/>
    <col min="5699" max="5888" width="9.42578125" style="138"/>
    <col min="5889" max="5889" width="4.42578125" style="138" customWidth="1"/>
    <col min="5890" max="5890" width="44" style="138" bestFit="1" customWidth="1"/>
    <col min="5891" max="5891" width="25.5703125" style="138" bestFit="1" customWidth="1"/>
    <col min="5892" max="5892" width="27.42578125" style="138" bestFit="1" customWidth="1"/>
    <col min="5893" max="5893" width="14.42578125" style="138" bestFit="1" customWidth="1"/>
    <col min="5894" max="5948" width="11.42578125" style="138" bestFit="1" customWidth="1"/>
    <col min="5949" max="5953" width="5" style="138" bestFit="1" customWidth="1"/>
    <col min="5954" max="5954" width="17.42578125" style="138" bestFit="1" customWidth="1"/>
    <col min="5955" max="6144" width="9.42578125" style="138"/>
    <col min="6145" max="6145" width="4.42578125" style="138" customWidth="1"/>
    <col min="6146" max="6146" width="44" style="138" bestFit="1" customWidth="1"/>
    <col min="6147" max="6147" width="25.5703125" style="138" bestFit="1" customWidth="1"/>
    <col min="6148" max="6148" width="27.42578125" style="138" bestFit="1" customWidth="1"/>
    <col min="6149" max="6149" width="14.42578125" style="138" bestFit="1" customWidth="1"/>
    <col min="6150" max="6204" width="11.42578125" style="138" bestFit="1" customWidth="1"/>
    <col min="6205" max="6209" width="5" style="138" bestFit="1" customWidth="1"/>
    <col min="6210" max="6210" width="17.42578125" style="138" bestFit="1" customWidth="1"/>
    <col min="6211" max="6400" width="9.42578125" style="138"/>
    <col min="6401" max="6401" width="4.42578125" style="138" customWidth="1"/>
    <col min="6402" max="6402" width="44" style="138" bestFit="1" customWidth="1"/>
    <col min="6403" max="6403" width="25.5703125" style="138" bestFit="1" customWidth="1"/>
    <col min="6404" max="6404" width="27.42578125" style="138" bestFit="1" customWidth="1"/>
    <col min="6405" max="6405" width="14.42578125" style="138" bestFit="1" customWidth="1"/>
    <col min="6406" max="6460" width="11.42578125" style="138" bestFit="1" customWidth="1"/>
    <col min="6461" max="6465" width="5" style="138" bestFit="1" customWidth="1"/>
    <col min="6466" max="6466" width="17.42578125" style="138" bestFit="1" customWidth="1"/>
    <col min="6467" max="6656" width="9.42578125" style="138"/>
    <col min="6657" max="6657" width="4.42578125" style="138" customWidth="1"/>
    <col min="6658" max="6658" width="44" style="138" bestFit="1" customWidth="1"/>
    <col min="6659" max="6659" width="25.5703125" style="138" bestFit="1" customWidth="1"/>
    <col min="6660" max="6660" width="27.42578125" style="138" bestFit="1" customWidth="1"/>
    <col min="6661" max="6661" width="14.42578125" style="138" bestFit="1" customWidth="1"/>
    <col min="6662" max="6716" width="11.42578125" style="138" bestFit="1" customWidth="1"/>
    <col min="6717" max="6721" width="5" style="138" bestFit="1" customWidth="1"/>
    <col min="6722" max="6722" width="17.42578125" style="138" bestFit="1" customWidth="1"/>
    <col min="6723" max="6912" width="9.42578125" style="138"/>
    <col min="6913" max="6913" width="4.42578125" style="138" customWidth="1"/>
    <col min="6914" max="6914" width="44" style="138" bestFit="1" customWidth="1"/>
    <col min="6915" max="6915" width="25.5703125" style="138" bestFit="1" customWidth="1"/>
    <col min="6916" max="6916" width="27.42578125" style="138" bestFit="1" customWidth="1"/>
    <col min="6917" max="6917" width="14.42578125" style="138" bestFit="1" customWidth="1"/>
    <col min="6918" max="6972" width="11.42578125" style="138" bestFit="1" customWidth="1"/>
    <col min="6973" max="6977" width="5" style="138" bestFit="1" customWidth="1"/>
    <col min="6978" max="6978" width="17.42578125" style="138" bestFit="1" customWidth="1"/>
    <col min="6979" max="7168" width="9.42578125" style="138"/>
    <col min="7169" max="7169" width="4.42578125" style="138" customWidth="1"/>
    <col min="7170" max="7170" width="44" style="138" bestFit="1" customWidth="1"/>
    <col min="7171" max="7171" width="25.5703125" style="138" bestFit="1" customWidth="1"/>
    <col min="7172" max="7172" width="27.42578125" style="138" bestFit="1" customWidth="1"/>
    <col min="7173" max="7173" width="14.42578125" style="138" bestFit="1" customWidth="1"/>
    <col min="7174" max="7228" width="11.42578125" style="138" bestFit="1" customWidth="1"/>
    <col min="7229" max="7233" width="5" style="138" bestFit="1" customWidth="1"/>
    <col min="7234" max="7234" width="17.42578125" style="138" bestFit="1" customWidth="1"/>
    <col min="7235" max="7424" width="9.42578125" style="138"/>
    <col min="7425" max="7425" width="4.42578125" style="138" customWidth="1"/>
    <col min="7426" max="7426" width="44" style="138" bestFit="1" customWidth="1"/>
    <col min="7427" max="7427" width="25.5703125" style="138" bestFit="1" customWidth="1"/>
    <col min="7428" max="7428" width="27.42578125" style="138" bestFit="1" customWidth="1"/>
    <col min="7429" max="7429" width="14.42578125" style="138" bestFit="1" customWidth="1"/>
    <col min="7430" max="7484" width="11.42578125" style="138" bestFit="1" customWidth="1"/>
    <col min="7485" max="7489" width="5" style="138" bestFit="1" customWidth="1"/>
    <col min="7490" max="7490" width="17.42578125" style="138" bestFit="1" customWidth="1"/>
    <col min="7491" max="7680" width="9.42578125" style="138"/>
    <col min="7681" max="7681" width="4.42578125" style="138" customWidth="1"/>
    <col min="7682" max="7682" width="44" style="138" bestFit="1" customWidth="1"/>
    <col min="7683" max="7683" width="25.5703125" style="138" bestFit="1" customWidth="1"/>
    <col min="7684" max="7684" width="27.42578125" style="138" bestFit="1" customWidth="1"/>
    <col min="7685" max="7685" width="14.42578125" style="138" bestFit="1" customWidth="1"/>
    <col min="7686" max="7740" width="11.42578125" style="138" bestFit="1" customWidth="1"/>
    <col min="7741" max="7745" width="5" style="138" bestFit="1" customWidth="1"/>
    <col min="7746" max="7746" width="17.42578125" style="138" bestFit="1" customWidth="1"/>
    <col min="7747" max="7936" width="9.42578125" style="138"/>
    <col min="7937" max="7937" width="4.42578125" style="138" customWidth="1"/>
    <col min="7938" max="7938" width="44" style="138" bestFit="1" customWidth="1"/>
    <col min="7939" max="7939" width="25.5703125" style="138" bestFit="1" customWidth="1"/>
    <col min="7940" max="7940" width="27.42578125" style="138" bestFit="1" customWidth="1"/>
    <col min="7941" max="7941" width="14.42578125" style="138" bestFit="1" customWidth="1"/>
    <col min="7942" max="7996" width="11.42578125" style="138" bestFit="1" customWidth="1"/>
    <col min="7997" max="8001" width="5" style="138" bestFit="1" customWidth="1"/>
    <col min="8002" max="8002" width="17.42578125" style="138" bestFit="1" customWidth="1"/>
    <col min="8003" max="8192" width="9.42578125" style="138"/>
    <col min="8193" max="8193" width="4.42578125" style="138" customWidth="1"/>
    <col min="8194" max="8194" width="44" style="138" bestFit="1" customWidth="1"/>
    <col min="8195" max="8195" width="25.5703125" style="138" bestFit="1" customWidth="1"/>
    <col min="8196" max="8196" width="27.42578125" style="138" bestFit="1" customWidth="1"/>
    <col min="8197" max="8197" width="14.42578125" style="138" bestFit="1" customWidth="1"/>
    <col min="8198" max="8252" width="11.42578125" style="138" bestFit="1" customWidth="1"/>
    <col min="8253" max="8257" width="5" style="138" bestFit="1" customWidth="1"/>
    <col min="8258" max="8258" width="17.42578125" style="138" bestFit="1" customWidth="1"/>
    <col min="8259" max="8448" width="9.42578125" style="138"/>
    <col min="8449" max="8449" width="4.42578125" style="138" customWidth="1"/>
    <col min="8450" max="8450" width="44" style="138" bestFit="1" customWidth="1"/>
    <col min="8451" max="8451" width="25.5703125" style="138" bestFit="1" customWidth="1"/>
    <col min="8452" max="8452" width="27.42578125" style="138" bestFit="1" customWidth="1"/>
    <col min="8453" max="8453" width="14.42578125" style="138" bestFit="1" customWidth="1"/>
    <col min="8454" max="8508" width="11.42578125" style="138" bestFit="1" customWidth="1"/>
    <col min="8509" max="8513" width="5" style="138" bestFit="1" customWidth="1"/>
    <col min="8514" max="8514" width="17.42578125" style="138" bestFit="1" customWidth="1"/>
    <col min="8515" max="8704" width="9.42578125" style="138"/>
    <col min="8705" max="8705" width="4.42578125" style="138" customWidth="1"/>
    <col min="8706" max="8706" width="44" style="138" bestFit="1" customWidth="1"/>
    <col min="8707" max="8707" width="25.5703125" style="138" bestFit="1" customWidth="1"/>
    <col min="8708" max="8708" width="27.42578125" style="138" bestFit="1" customWidth="1"/>
    <col min="8709" max="8709" width="14.42578125" style="138" bestFit="1" customWidth="1"/>
    <col min="8710" max="8764" width="11.42578125" style="138" bestFit="1" customWidth="1"/>
    <col min="8765" max="8769" width="5" style="138" bestFit="1" customWidth="1"/>
    <col min="8770" max="8770" width="17.42578125" style="138" bestFit="1" customWidth="1"/>
    <col min="8771" max="8960" width="9.42578125" style="138"/>
    <col min="8961" max="8961" width="4.42578125" style="138" customWidth="1"/>
    <col min="8962" max="8962" width="44" style="138" bestFit="1" customWidth="1"/>
    <col min="8963" max="8963" width="25.5703125" style="138" bestFit="1" customWidth="1"/>
    <col min="8964" max="8964" width="27.42578125" style="138" bestFit="1" customWidth="1"/>
    <col min="8965" max="8965" width="14.42578125" style="138" bestFit="1" customWidth="1"/>
    <col min="8966" max="9020" width="11.42578125" style="138" bestFit="1" customWidth="1"/>
    <col min="9021" max="9025" width="5" style="138" bestFit="1" customWidth="1"/>
    <col min="9026" max="9026" width="17.42578125" style="138" bestFit="1" customWidth="1"/>
    <col min="9027" max="9216" width="9.42578125" style="138"/>
    <col min="9217" max="9217" width="4.42578125" style="138" customWidth="1"/>
    <col min="9218" max="9218" width="44" style="138" bestFit="1" customWidth="1"/>
    <col min="9219" max="9219" width="25.5703125" style="138" bestFit="1" customWidth="1"/>
    <col min="9220" max="9220" width="27.42578125" style="138" bestFit="1" customWidth="1"/>
    <col min="9221" max="9221" width="14.42578125" style="138" bestFit="1" customWidth="1"/>
    <col min="9222" max="9276" width="11.42578125" style="138" bestFit="1" customWidth="1"/>
    <col min="9277" max="9281" width="5" style="138" bestFit="1" customWidth="1"/>
    <col min="9282" max="9282" width="17.42578125" style="138" bestFit="1" customWidth="1"/>
    <col min="9283" max="9472" width="9.42578125" style="138"/>
    <col min="9473" max="9473" width="4.42578125" style="138" customWidth="1"/>
    <col min="9474" max="9474" width="44" style="138" bestFit="1" customWidth="1"/>
    <col min="9475" max="9475" width="25.5703125" style="138" bestFit="1" customWidth="1"/>
    <col min="9476" max="9476" width="27.42578125" style="138" bestFit="1" customWidth="1"/>
    <col min="9477" max="9477" width="14.42578125" style="138" bestFit="1" customWidth="1"/>
    <col min="9478" max="9532" width="11.42578125" style="138" bestFit="1" customWidth="1"/>
    <col min="9533" max="9537" width="5" style="138" bestFit="1" customWidth="1"/>
    <col min="9538" max="9538" width="17.42578125" style="138" bestFit="1" customWidth="1"/>
    <col min="9539" max="9728" width="9.42578125" style="138"/>
    <col min="9729" max="9729" width="4.42578125" style="138" customWidth="1"/>
    <col min="9730" max="9730" width="44" style="138" bestFit="1" customWidth="1"/>
    <col min="9731" max="9731" width="25.5703125" style="138" bestFit="1" customWidth="1"/>
    <col min="9732" max="9732" width="27.42578125" style="138" bestFit="1" customWidth="1"/>
    <col min="9733" max="9733" width="14.42578125" style="138" bestFit="1" customWidth="1"/>
    <col min="9734" max="9788" width="11.42578125" style="138" bestFit="1" customWidth="1"/>
    <col min="9789" max="9793" width="5" style="138" bestFit="1" customWidth="1"/>
    <col min="9794" max="9794" width="17.42578125" style="138" bestFit="1" customWidth="1"/>
    <col min="9795" max="9984" width="9.42578125" style="138"/>
    <col min="9985" max="9985" width="4.42578125" style="138" customWidth="1"/>
    <col min="9986" max="9986" width="44" style="138" bestFit="1" customWidth="1"/>
    <col min="9987" max="9987" width="25.5703125" style="138" bestFit="1" customWidth="1"/>
    <col min="9988" max="9988" width="27.42578125" style="138" bestFit="1" customWidth="1"/>
    <col min="9989" max="9989" width="14.42578125" style="138" bestFit="1" customWidth="1"/>
    <col min="9990" max="10044" width="11.42578125" style="138" bestFit="1" customWidth="1"/>
    <col min="10045" max="10049" width="5" style="138" bestFit="1" customWidth="1"/>
    <col min="10050" max="10050" width="17.42578125" style="138" bestFit="1" customWidth="1"/>
    <col min="10051" max="10240" width="9.42578125" style="138"/>
    <col min="10241" max="10241" width="4.42578125" style="138" customWidth="1"/>
    <col min="10242" max="10242" width="44" style="138" bestFit="1" customWidth="1"/>
    <col min="10243" max="10243" width="25.5703125" style="138" bestFit="1" customWidth="1"/>
    <col min="10244" max="10244" width="27.42578125" style="138" bestFit="1" customWidth="1"/>
    <col min="10245" max="10245" width="14.42578125" style="138" bestFit="1" customWidth="1"/>
    <col min="10246" max="10300" width="11.42578125" style="138" bestFit="1" customWidth="1"/>
    <col min="10301" max="10305" width="5" style="138" bestFit="1" customWidth="1"/>
    <col min="10306" max="10306" width="17.42578125" style="138" bestFit="1" customWidth="1"/>
    <col min="10307" max="10496" width="9.42578125" style="138"/>
    <col min="10497" max="10497" width="4.42578125" style="138" customWidth="1"/>
    <col min="10498" max="10498" width="44" style="138" bestFit="1" customWidth="1"/>
    <col min="10499" max="10499" width="25.5703125" style="138" bestFit="1" customWidth="1"/>
    <col min="10500" max="10500" width="27.42578125" style="138" bestFit="1" customWidth="1"/>
    <col min="10501" max="10501" width="14.42578125" style="138" bestFit="1" customWidth="1"/>
    <col min="10502" max="10556" width="11.42578125" style="138" bestFit="1" customWidth="1"/>
    <col min="10557" max="10561" width="5" style="138" bestFit="1" customWidth="1"/>
    <col min="10562" max="10562" width="17.42578125" style="138" bestFit="1" customWidth="1"/>
    <col min="10563" max="10752" width="9.42578125" style="138"/>
    <col min="10753" max="10753" width="4.42578125" style="138" customWidth="1"/>
    <col min="10754" max="10754" width="44" style="138" bestFit="1" customWidth="1"/>
    <col min="10755" max="10755" width="25.5703125" style="138" bestFit="1" customWidth="1"/>
    <col min="10756" max="10756" width="27.42578125" style="138" bestFit="1" customWidth="1"/>
    <col min="10757" max="10757" width="14.42578125" style="138" bestFit="1" customWidth="1"/>
    <col min="10758" max="10812" width="11.42578125" style="138" bestFit="1" customWidth="1"/>
    <col min="10813" max="10817" width="5" style="138" bestFit="1" customWidth="1"/>
    <col min="10818" max="10818" width="17.42578125" style="138" bestFit="1" customWidth="1"/>
    <col min="10819" max="11008" width="9.42578125" style="138"/>
    <col min="11009" max="11009" width="4.42578125" style="138" customWidth="1"/>
    <col min="11010" max="11010" width="44" style="138" bestFit="1" customWidth="1"/>
    <col min="11011" max="11011" width="25.5703125" style="138" bestFit="1" customWidth="1"/>
    <col min="11012" max="11012" width="27.42578125" style="138" bestFit="1" customWidth="1"/>
    <col min="11013" max="11013" width="14.42578125" style="138" bestFit="1" customWidth="1"/>
    <col min="11014" max="11068" width="11.42578125" style="138" bestFit="1" customWidth="1"/>
    <col min="11069" max="11073" width="5" style="138" bestFit="1" customWidth="1"/>
    <col min="11074" max="11074" width="17.42578125" style="138" bestFit="1" customWidth="1"/>
    <col min="11075" max="11264" width="9.42578125" style="138"/>
    <col min="11265" max="11265" width="4.42578125" style="138" customWidth="1"/>
    <col min="11266" max="11266" width="44" style="138" bestFit="1" customWidth="1"/>
    <col min="11267" max="11267" width="25.5703125" style="138" bestFit="1" customWidth="1"/>
    <col min="11268" max="11268" width="27.42578125" style="138" bestFit="1" customWidth="1"/>
    <col min="11269" max="11269" width="14.42578125" style="138" bestFit="1" customWidth="1"/>
    <col min="11270" max="11324" width="11.42578125" style="138" bestFit="1" customWidth="1"/>
    <col min="11325" max="11329" width="5" style="138" bestFit="1" customWidth="1"/>
    <col min="11330" max="11330" width="17.42578125" style="138" bestFit="1" customWidth="1"/>
    <col min="11331" max="11520" width="9.42578125" style="138"/>
    <col min="11521" max="11521" width="4.42578125" style="138" customWidth="1"/>
    <col min="11522" max="11522" width="44" style="138" bestFit="1" customWidth="1"/>
    <col min="11523" max="11523" width="25.5703125" style="138" bestFit="1" customWidth="1"/>
    <col min="11524" max="11524" width="27.42578125" style="138" bestFit="1" customWidth="1"/>
    <col min="11525" max="11525" width="14.42578125" style="138" bestFit="1" customWidth="1"/>
    <col min="11526" max="11580" width="11.42578125" style="138" bestFit="1" customWidth="1"/>
    <col min="11581" max="11585" width="5" style="138" bestFit="1" customWidth="1"/>
    <col min="11586" max="11586" width="17.42578125" style="138" bestFit="1" customWidth="1"/>
    <col min="11587" max="11776" width="9.42578125" style="138"/>
    <col min="11777" max="11777" width="4.42578125" style="138" customWidth="1"/>
    <col min="11778" max="11778" width="44" style="138" bestFit="1" customWidth="1"/>
    <col min="11779" max="11779" width="25.5703125" style="138" bestFit="1" customWidth="1"/>
    <col min="11780" max="11780" width="27.42578125" style="138" bestFit="1" customWidth="1"/>
    <col min="11781" max="11781" width="14.42578125" style="138" bestFit="1" customWidth="1"/>
    <col min="11782" max="11836" width="11.42578125" style="138" bestFit="1" customWidth="1"/>
    <col min="11837" max="11841" width="5" style="138" bestFit="1" customWidth="1"/>
    <col min="11842" max="11842" width="17.42578125" style="138" bestFit="1" customWidth="1"/>
    <col min="11843" max="12032" width="9.42578125" style="138"/>
    <col min="12033" max="12033" width="4.42578125" style="138" customWidth="1"/>
    <col min="12034" max="12034" width="44" style="138" bestFit="1" customWidth="1"/>
    <col min="12035" max="12035" width="25.5703125" style="138" bestFit="1" customWidth="1"/>
    <col min="12036" max="12036" width="27.42578125" style="138" bestFit="1" customWidth="1"/>
    <col min="12037" max="12037" width="14.42578125" style="138" bestFit="1" customWidth="1"/>
    <col min="12038" max="12092" width="11.42578125" style="138" bestFit="1" customWidth="1"/>
    <col min="12093" max="12097" width="5" style="138" bestFit="1" customWidth="1"/>
    <col min="12098" max="12098" width="17.42578125" style="138" bestFit="1" customWidth="1"/>
    <col min="12099" max="12288" width="9.42578125" style="138"/>
    <col min="12289" max="12289" width="4.42578125" style="138" customWidth="1"/>
    <col min="12290" max="12290" width="44" style="138" bestFit="1" customWidth="1"/>
    <col min="12291" max="12291" width="25.5703125" style="138" bestFit="1" customWidth="1"/>
    <col min="12292" max="12292" width="27.42578125" style="138" bestFit="1" customWidth="1"/>
    <col min="12293" max="12293" width="14.42578125" style="138" bestFit="1" customWidth="1"/>
    <col min="12294" max="12348" width="11.42578125" style="138" bestFit="1" customWidth="1"/>
    <col min="12349" max="12353" width="5" style="138" bestFit="1" customWidth="1"/>
    <col min="12354" max="12354" width="17.42578125" style="138" bestFit="1" customWidth="1"/>
    <col min="12355" max="12544" width="9.42578125" style="138"/>
    <col min="12545" max="12545" width="4.42578125" style="138" customWidth="1"/>
    <col min="12546" max="12546" width="44" style="138" bestFit="1" customWidth="1"/>
    <col min="12547" max="12547" width="25.5703125" style="138" bestFit="1" customWidth="1"/>
    <col min="12548" max="12548" width="27.42578125" style="138" bestFit="1" customWidth="1"/>
    <col min="12549" max="12549" width="14.42578125" style="138" bestFit="1" customWidth="1"/>
    <col min="12550" max="12604" width="11.42578125" style="138" bestFit="1" customWidth="1"/>
    <col min="12605" max="12609" width="5" style="138" bestFit="1" customWidth="1"/>
    <col min="12610" max="12610" width="17.42578125" style="138" bestFit="1" customWidth="1"/>
    <col min="12611" max="12800" width="9.42578125" style="138"/>
    <col min="12801" max="12801" width="4.42578125" style="138" customWidth="1"/>
    <col min="12802" max="12802" width="44" style="138" bestFit="1" customWidth="1"/>
    <col min="12803" max="12803" width="25.5703125" style="138" bestFit="1" customWidth="1"/>
    <col min="12804" max="12804" width="27.42578125" style="138" bestFit="1" customWidth="1"/>
    <col min="12805" max="12805" width="14.42578125" style="138" bestFit="1" customWidth="1"/>
    <col min="12806" max="12860" width="11.42578125" style="138" bestFit="1" customWidth="1"/>
    <col min="12861" max="12865" width="5" style="138" bestFit="1" customWidth="1"/>
    <col min="12866" max="12866" width="17.42578125" style="138" bestFit="1" customWidth="1"/>
    <col min="12867" max="13056" width="9.42578125" style="138"/>
    <col min="13057" max="13057" width="4.42578125" style="138" customWidth="1"/>
    <col min="13058" max="13058" width="44" style="138" bestFit="1" customWidth="1"/>
    <col min="13059" max="13059" width="25.5703125" style="138" bestFit="1" customWidth="1"/>
    <col min="13060" max="13060" width="27.42578125" style="138" bestFit="1" customWidth="1"/>
    <col min="13061" max="13061" width="14.42578125" style="138" bestFit="1" customWidth="1"/>
    <col min="13062" max="13116" width="11.42578125" style="138" bestFit="1" customWidth="1"/>
    <col min="13117" max="13121" width="5" style="138" bestFit="1" customWidth="1"/>
    <col min="13122" max="13122" width="17.42578125" style="138" bestFit="1" customWidth="1"/>
    <col min="13123" max="13312" width="9.42578125" style="138"/>
    <col min="13313" max="13313" width="4.42578125" style="138" customWidth="1"/>
    <col min="13314" max="13314" width="44" style="138" bestFit="1" customWidth="1"/>
    <col min="13315" max="13315" width="25.5703125" style="138" bestFit="1" customWidth="1"/>
    <col min="13316" max="13316" width="27.42578125" style="138" bestFit="1" customWidth="1"/>
    <col min="13317" max="13317" width="14.42578125" style="138" bestFit="1" customWidth="1"/>
    <col min="13318" max="13372" width="11.42578125" style="138" bestFit="1" customWidth="1"/>
    <col min="13373" max="13377" width="5" style="138" bestFit="1" customWidth="1"/>
    <col min="13378" max="13378" width="17.42578125" style="138" bestFit="1" customWidth="1"/>
    <col min="13379" max="13568" width="9.42578125" style="138"/>
    <col min="13569" max="13569" width="4.42578125" style="138" customWidth="1"/>
    <col min="13570" max="13570" width="44" style="138" bestFit="1" customWidth="1"/>
    <col min="13571" max="13571" width="25.5703125" style="138" bestFit="1" customWidth="1"/>
    <col min="13572" max="13572" width="27.42578125" style="138" bestFit="1" customWidth="1"/>
    <col min="13573" max="13573" width="14.42578125" style="138" bestFit="1" customWidth="1"/>
    <col min="13574" max="13628" width="11.42578125" style="138" bestFit="1" customWidth="1"/>
    <col min="13629" max="13633" width="5" style="138" bestFit="1" customWidth="1"/>
    <col min="13634" max="13634" width="17.42578125" style="138" bestFit="1" customWidth="1"/>
    <col min="13635" max="13824" width="9.42578125" style="138"/>
    <col min="13825" max="13825" width="4.42578125" style="138" customWidth="1"/>
    <col min="13826" max="13826" width="44" style="138" bestFit="1" customWidth="1"/>
    <col min="13827" max="13827" width="25.5703125" style="138" bestFit="1" customWidth="1"/>
    <col min="13828" max="13828" width="27.42578125" style="138" bestFit="1" customWidth="1"/>
    <col min="13829" max="13829" width="14.42578125" style="138" bestFit="1" customWidth="1"/>
    <col min="13830" max="13884" width="11.42578125" style="138" bestFit="1" customWidth="1"/>
    <col min="13885" max="13889" width="5" style="138" bestFit="1" customWidth="1"/>
    <col min="13890" max="13890" width="17.42578125" style="138" bestFit="1" customWidth="1"/>
    <col min="13891" max="14080" width="9.42578125" style="138"/>
    <col min="14081" max="14081" width="4.42578125" style="138" customWidth="1"/>
    <col min="14082" max="14082" width="44" style="138" bestFit="1" customWidth="1"/>
    <col min="14083" max="14083" width="25.5703125" style="138" bestFit="1" customWidth="1"/>
    <col min="14084" max="14084" width="27.42578125" style="138" bestFit="1" customWidth="1"/>
    <col min="14085" max="14085" width="14.42578125" style="138" bestFit="1" customWidth="1"/>
    <col min="14086" max="14140" width="11.42578125" style="138" bestFit="1" customWidth="1"/>
    <col min="14141" max="14145" width="5" style="138" bestFit="1" customWidth="1"/>
    <col min="14146" max="14146" width="17.42578125" style="138" bestFit="1" customWidth="1"/>
    <col min="14147" max="14336" width="9.42578125" style="138"/>
    <col min="14337" max="14337" width="4.42578125" style="138" customWidth="1"/>
    <col min="14338" max="14338" width="44" style="138" bestFit="1" customWidth="1"/>
    <col min="14339" max="14339" width="25.5703125" style="138" bestFit="1" customWidth="1"/>
    <col min="14340" max="14340" width="27.42578125" style="138" bestFit="1" customWidth="1"/>
    <col min="14341" max="14341" width="14.42578125" style="138" bestFit="1" customWidth="1"/>
    <col min="14342" max="14396" width="11.42578125" style="138" bestFit="1" customWidth="1"/>
    <col min="14397" max="14401" width="5" style="138" bestFit="1" customWidth="1"/>
    <col min="14402" max="14402" width="17.42578125" style="138" bestFit="1" customWidth="1"/>
    <col min="14403" max="14592" width="9.42578125" style="138"/>
    <col min="14593" max="14593" width="4.42578125" style="138" customWidth="1"/>
    <col min="14594" max="14594" width="44" style="138" bestFit="1" customWidth="1"/>
    <col min="14595" max="14595" width="25.5703125" style="138" bestFit="1" customWidth="1"/>
    <col min="14596" max="14596" width="27.42578125" style="138" bestFit="1" customWidth="1"/>
    <col min="14597" max="14597" width="14.42578125" style="138" bestFit="1" customWidth="1"/>
    <col min="14598" max="14652" width="11.42578125" style="138" bestFit="1" customWidth="1"/>
    <col min="14653" max="14657" width="5" style="138" bestFit="1" customWidth="1"/>
    <col min="14658" max="14658" width="17.42578125" style="138" bestFit="1" customWidth="1"/>
    <col min="14659" max="14848" width="9.42578125" style="138"/>
    <col min="14849" max="14849" width="4.42578125" style="138" customWidth="1"/>
    <col min="14850" max="14850" width="44" style="138" bestFit="1" customWidth="1"/>
    <col min="14851" max="14851" width="25.5703125" style="138" bestFit="1" customWidth="1"/>
    <col min="14852" max="14852" width="27.42578125" style="138" bestFit="1" customWidth="1"/>
    <col min="14853" max="14853" width="14.42578125" style="138" bestFit="1" customWidth="1"/>
    <col min="14854" max="14908" width="11.42578125" style="138" bestFit="1" customWidth="1"/>
    <col min="14909" max="14913" width="5" style="138" bestFit="1" customWidth="1"/>
    <col min="14914" max="14914" width="17.42578125" style="138" bestFit="1" customWidth="1"/>
    <col min="14915" max="15104" width="9.42578125" style="138"/>
    <col min="15105" max="15105" width="4.42578125" style="138" customWidth="1"/>
    <col min="15106" max="15106" width="44" style="138" bestFit="1" customWidth="1"/>
    <col min="15107" max="15107" width="25.5703125" style="138" bestFit="1" customWidth="1"/>
    <col min="15108" max="15108" width="27.42578125" style="138" bestFit="1" customWidth="1"/>
    <col min="15109" max="15109" width="14.42578125" style="138" bestFit="1" customWidth="1"/>
    <col min="15110" max="15164" width="11.42578125" style="138" bestFit="1" customWidth="1"/>
    <col min="15165" max="15169" width="5" style="138" bestFit="1" customWidth="1"/>
    <col min="15170" max="15170" width="17.42578125" style="138" bestFit="1" customWidth="1"/>
    <col min="15171" max="15360" width="9.42578125" style="138"/>
    <col min="15361" max="15361" width="4.42578125" style="138" customWidth="1"/>
    <col min="15362" max="15362" width="44" style="138" bestFit="1" customWidth="1"/>
    <col min="15363" max="15363" width="25.5703125" style="138" bestFit="1" customWidth="1"/>
    <col min="15364" max="15364" width="27.42578125" style="138" bestFit="1" customWidth="1"/>
    <col min="15365" max="15365" width="14.42578125" style="138" bestFit="1" customWidth="1"/>
    <col min="15366" max="15420" width="11.42578125" style="138" bestFit="1" customWidth="1"/>
    <col min="15421" max="15425" width="5" style="138" bestFit="1" customWidth="1"/>
    <col min="15426" max="15426" width="17.42578125" style="138" bestFit="1" customWidth="1"/>
    <col min="15427" max="15616" width="9.42578125" style="138"/>
    <col min="15617" max="15617" width="4.42578125" style="138" customWidth="1"/>
    <col min="15618" max="15618" width="44" style="138" bestFit="1" customWidth="1"/>
    <col min="15619" max="15619" width="25.5703125" style="138" bestFit="1" customWidth="1"/>
    <col min="15620" max="15620" width="27.42578125" style="138" bestFit="1" customWidth="1"/>
    <col min="15621" max="15621" width="14.42578125" style="138" bestFit="1" customWidth="1"/>
    <col min="15622" max="15676" width="11.42578125" style="138" bestFit="1" customWidth="1"/>
    <col min="15677" max="15681" width="5" style="138" bestFit="1" customWidth="1"/>
    <col min="15682" max="15682" width="17.42578125" style="138" bestFit="1" customWidth="1"/>
    <col min="15683" max="15872" width="9.42578125" style="138"/>
    <col min="15873" max="15873" width="4.42578125" style="138" customWidth="1"/>
    <col min="15874" max="15874" width="44" style="138" bestFit="1" customWidth="1"/>
    <col min="15875" max="15875" width="25.5703125" style="138" bestFit="1" customWidth="1"/>
    <col min="15876" max="15876" width="27.42578125" style="138" bestFit="1" customWidth="1"/>
    <col min="15877" max="15877" width="14.42578125" style="138" bestFit="1" customWidth="1"/>
    <col min="15878" max="15932" width="11.42578125" style="138" bestFit="1" customWidth="1"/>
    <col min="15933" max="15937" width="5" style="138" bestFit="1" customWidth="1"/>
    <col min="15938" max="15938" width="17.42578125" style="138" bestFit="1" customWidth="1"/>
    <col min="15939" max="16128" width="9.42578125" style="138"/>
    <col min="16129" max="16129" width="4.42578125" style="138" customWidth="1"/>
    <col min="16130" max="16130" width="44" style="138" bestFit="1" customWidth="1"/>
    <col min="16131" max="16131" width="25.5703125" style="138" bestFit="1" customWidth="1"/>
    <col min="16132" max="16132" width="27.42578125" style="138" bestFit="1" customWidth="1"/>
    <col min="16133" max="16133" width="14.42578125" style="138" bestFit="1" customWidth="1"/>
    <col min="16134" max="16188" width="11.42578125" style="138" bestFit="1" customWidth="1"/>
    <col min="16189" max="16193" width="5" style="138" bestFit="1" customWidth="1"/>
    <col min="16194" max="16194" width="17.42578125" style="138" bestFit="1" customWidth="1"/>
    <col min="16195" max="16384" width="9.42578125" style="138"/>
  </cols>
  <sheetData>
    <row r="1" spans="2:75" x14ac:dyDescent="0.25">
      <c r="B1" s="138" t="s">
        <v>901</v>
      </c>
      <c r="C1" s="138" t="s">
        <v>902</v>
      </c>
    </row>
    <row r="2" spans="2:75" x14ac:dyDescent="0.25">
      <c r="B2" s="138" t="s">
        <v>903</v>
      </c>
      <c r="C2" s="161">
        <v>43908</v>
      </c>
      <c r="BO2" s="8"/>
    </row>
    <row r="4" spans="2:75" x14ac:dyDescent="0.25">
      <c r="B4" s="28" t="s">
        <v>683</v>
      </c>
      <c r="C4" s="28" t="s">
        <v>684</v>
      </c>
      <c r="D4" s="28" t="s">
        <v>904</v>
      </c>
      <c r="E4" s="28" t="s">
        <v>905</v>
      </c>
      <c r="F4" s="28">
        <v>1960</v>
      </c>
      <c r="G4" s="28">
        <v>1961</v>
      </c>
      <c r="H4" s="28">
        <v>1962</v>
      </c>
      <c r="I4" s="28">
        <v>1963</v>
      </c>
      <c r="J4" s="28">
        <v>1964</v>
      </c>
      <c r="K4" s="28">
        <v>1965</v>
      </c>
      <c r="L4" s="28">
        <v>1966</v>
      </c>
      <c r="M4" s="28">
        <v>1967</v>
      </c>
      <c r="N4" s="28">
        <v>1968</v>
      </c>
      <c r="O4" s="28">
        <v>1969</v>
      </c>
      <c r="P4" s="28">
        <v>1970</v>
      </c>
      <c r="Q4" s="28">
        <v>1971</v>
      </c>
      <c r="R4" s="28">
        <v>1972</v>
      </c>
      <c r="S4" s="28">
        <v>1973</v>
      </c>
      <c r="T4" s="28">
        <v>1974</v>
      </c>
      <c r="U4" s="28">
        <v>1975</v>
      </c>
      <c r="V4" s="28">
        <v>1976</v>
      </c>
      <c r="W4" s="28">
        <v>1977</v>
      </c>
      <c r="X4" s="28">
        <v>1978</v>
      </c>
      <c r="Y4" s="28">
        <v>1979</v>
      </c>
      <c r="Z4" s="28">
        <v>1980</v>
      </c>
      <c r="AA4" s="28">
        <v>1981</v>
      </c>
      <c r="AB4" s="28">
        <v>1982</v>
      </c>
      <c r="AC4" s="28">
        <v>1983</v>
      </c>
      <c r="AD4" s="28">
        <v>1984</v>
      </c>
      <c r="AE4" s="28">
        <v>1985</v>
      </c>
      <c r="AF4" s="28">
        <v>1986</v>
      </c>
      <c r="AG4" s="28">
        <v>1987</v>
      </c>
      <c r="AH4" s="28">
        <v>1988</v>
      </c>
      <c r="AI4" s="28">
        <v>1989</v>
      </c>
      <c r="AJ4" s="28">
        <v>1990</v>
      </c>
      <c r="AK4" s="28">
        <v>1991</v>
      </c>
      <c r="AL4" s="28">
        <v>1992</v>
      </c>
      <c r="AM4" s="28">
        <v>1993</v>
      </c>
      <c r="AN4" s="28">
        <v>1994</v>
      </c>
      <c r="AO4" s="28">
        <v>1995</v>
      </c>
      <c r="AP4" s="28">
        <v>1996</v>
      </c>
      <c r="AQ4" s="28">
        <v>1997</v>
      </c>
      <c r="AR4" s="28">
        <v>1998</v>
      </c>
      <c r="AS4" s="28">
        <v>1999</v>
      </c>
      <c r="AT4" s="28">
        <v>2000</v>
      </c>
      <c r="AU4" s="28">
        <v>2001</v>
      </c>
      <c r="AV4" s="28">
        <v>2002</v>
      </c>
      <c r="AW4" s="28">
        <v>2003</v>
      </c>
      <c r="AX4" s="28">
        <v>2004</v>
      </c>
      <c r="AY4" s="28">
        <v>2005</v>
      </c>
      <c r="AZ4" s="28">
        <v>2006</v>
      </c>
      <c r="BA4" s="28">
        <v>2007</v>
      </c>
      <c r="BB4" s="28">
        <v>2008</v>
      </c>
      <c r="BC4" s="28">
        <v>2009</v>
      </c>
      <c r="BD4" s="28">
        <v>2010</v>
      </c>
      <c r="BE4" s="28">
        <v>2011</v>
      </c>
      <c r="BF4" s="28">
        <v>2012</v>
      </c>
      <c r="BG4" s="28">
        <v>2013</v>
      </c>
      <c r="BH4" s="28">
        <v>2014</v>
      </c>
      <c r="BI4" s="28">
        <v>2015</v>
      </c>
      <c r="BJ4" s="28">
        <v>2016</v>
      </c>
      <c r="BK4" s="28">
        <v>2017</v>
      </c>
      <c r="BL4" s="28">
        <v>2018</v>
      </c>
      <c r="BM4" s="28">
        <v>2019</v>
      </c>
      <c r="BN4" s="28" t="s">
        <v>906</v>
      </c>
      <c r="BO4" s="28" t="s">
        <v>919</v>
      </c>
      <c r="BP4" s="28" t="s">
        <v>1556</v>
      </c>
      <c r="BQ4" s="27" t="s">
        <v>1564</v>
      </c>
      <c r="BT4" s="10" t="s">
        <v>1561</v>
      </c>
    </row>
    <row r="5" spans="2:75" x14ac:dyDescent="0.25">
      <c r="B5" s="138" t="s">
        <v>429</v>
      </c>
      <c r="C5" s="138" t="s">
        <v>430</v>
      </c>
      <c r="D5" s="138" t="s">
        <v>907</v>
      </c>
      <c r="E5" s="138" t="s">
        <v>908</v>
      </c>
      <c r="BN5" s="160" t="str">
        <f>IFERROR(LOOKUP(2,1/(ISNUMBER(F5:BM5)),F5:BM5),"No reported value")</f>
        <v>No reported value</v>
      </c>
      <c r="BO5" s="628">
        <f>IF(BN5="No reported value",INDEX($BV$5:$BV$9,MATCH($BP5,$BT$5:$BT$9,0)),$BN5)</f>
        <v>4.82</v>
      </c>
      <c r="BP5" s="138" t="str">
        <f>INDEX('HCW Summary Data'!$D$9:$D$272,MATCH($B5,'HCW Summary Data'!$B$9:$B$272,0))</f>
        <v>High income</v>
      </c>
      <c r="BQ5" s="630">
        <f>INDEX($BV$12:$BV$16,MATCH($BP5,$BT$12:$BT$16,0))*100</f>
        <v>3.5700000000000003</v>
      </c>
      <c r="BT5" s="6" t="s">
        <v>517</v>
      </c>
      <c r="BV5" s="13">
        <v>4.82</v>
      </c>
      <c r="BW5" s="138" t="s">
        <v>1558</v>
      </c>
    </row>
    <row r="6" spans="2:75" x14ac:dyDescent="0.25">
      <c r="B6" s="138" t="s">
        <v>230</v>
      </c>
      <c r="C6" s="138" t="s">
        <v>0</v>
      </c>
      <c r="D6" s="138" t="s">
        <v>907</v>
      </c>
      <c r="E6" s="138" t="s">
        <v>908</v>
      </c>
      <c r="F6" s="138">
        <v>0.17062699794769301</v>
      </c>
      <c r="P6" s="138">
        <v>0.19900000095367401</v>
      </c>
      <c r="AA6" s="138">
        <v>0.275599986314774</v>
      </c>
      <c r="AG6" s="138">
        <v>0.3091000020504</v>
      </c>
      <c r="AJ6" s="138">
        <v>0.24979999659999999</v>
      </c>
      <c r="AT6" s="138">
        <v>0.3</v>
      </c>
      <c r="AU6" s="138">
        <v>0.4</v>
      </c>
      <c r="AV6" s="138">
        <v>0.4</v>
      </c>
      <c r="AW6" s="138">
        <v>0.4</v>
      </c>
      <c r="AX6" s="138">
        <v>0.4</v>
      </c>
      <c r="AY6" s="138">
        <v>0.4</v>
      </c>
      <c r="AZ6" s="138">
        <v>0.4</v>
      </c>
      <c r="BA6" s="138">
        <v>0.4</v>
      </c>
      <c r="BB6" s="138">
        <v>0.4</v>
      </c>
      <c r="BC6" s="138">
        <v>0.4</v>
      </c>
      <c r="BD6" s="138">
        <v>0.4</v>
      </c>
      <c r="BE6" s="138">
        <v>0.4</v>
      </c>
      <c r="BF6" s="138">
        <v>0.5</v>
      </c>
      <c r="BG6" s="138">
        <v>0.5</v>
      </c>
      <c r="BH6" s="138">
        <v>0.5</v>
      </c>
      <c r="BI6" s="138">
        <v>0.5</v>
      </c>
      <c r="BN6" s="160">
        <f t="shared" ref="BN6:BN69" si="0">IFERROR(LOOKUP(2,1/(ISNUMBER(F6:BM6)),F6:BM6),"No reported value")</f>
        <v>0.5</v>
      </c>
      <c r="BO6" s="628">
        <f t="shared" ref="BO6:BO69" si="1">IF(BN6="No reported value",INDEX($BV$5:$BV$9,MATCH($BP6,$BT$5:$BT$9,0)),$BN6)</f>
        <v>0.5</v>
      </c>
      <c r="BP6" s="627" t="str">
        <f>INDEX('HCW Summary Data'!$D$9:$D$272,MATCH($B6,'HCW Summary Data'!$B$9:$B$272,0))</f>
        <v>Upper middle income</v>
      </c>
      <c r="BQ6" s="630">
        <f t="shared" ref="BQ6:BQ69" si="2">INDEX($BV$12:$BV$16,MATCH($BP6,$BT$12:$BT$16,0))*100</f>
        <v>3.32</v>
      </c>
      <c r="BT6" s="138" t="s">
        <v>664</v>
      </c>
      <c r="BV6" s="13">
        <v>3.41</v>
      </c>
      <c r="BW6" s="138" t="s">
        <v>1560</v>
      </c>
    </row>
    <row r="7" spans="2:75" x14ac:dyDescent="0.25">
      <c r="B7" s="138" t="s">
        <v>182</v>
      </c>
      <c r="C7" s="138" t="s">
        <v>165</v>
      </c>
      <c r="D7" s="138" t="s">
        <v>907</v>
      </c>
      <c r="E7" s="138" t="s">
        <v>908</v>
      </c>
      <c r="F7" s="138">
        <v>2.06146168708801</v>
      </c>
      <c r="P7" s="138">
        <v>2.7209999561309801</v>
      </c>
      <c r="AJ7" s="138">
        <v>1.2913000584000001</v>
      </c>
      <c r="AY7" s="138">
        <v>0.8</v>
      </c>
      <c r="BN7" s="160">
        <f t="shared" si="0"/>
        <v>0.8</v>
      </c>
      <c r="BO7" s="628">
        <f t="shared" si="1"/>
        <v>0.8</v>
      </c>
      <c r="BP7" s="627" t="str">
        <f>INDEX('HCW Summary Data'!$D$9:$D$272,MATCH($B7,'HCW Summary Data'!$B$9:$B$272,0))</f>
        <v>High income</v>
      </c>
      <c r="BQ7" s="630">
        <f t="shared" si="2"/>
        <v>3.5700000000000003</v>
      </c>
      <c r="BT7" s="138" t="s">
        <v>561</v>
      </c>
      <c r="BV7" s="13">
        <v>2.08</v>
      </c>
      <c r="BW7" s="138" t="s">
        <v>1559</v>
      </c>
    </row>
    <row r="8" spans="2:75" x14ac:dyDescent="0.25">
      <c r="B8" s="138" t="s">
        <v>418</v>
      </c>
      <c r="C8" s="138" t="s">
        <v>419</v>
      </c>
      <c r="D8" s="138" t="s">
        <v>907</v>
      </c>
      <c r="E8" s="138" t="s">
        <v>908</v>
      </c>
      <c r="F8" s="138">
        <v>5.1026759147643999</v>
      </c>
      <c r="Z8" s="138">
        <v>4.2716999053955096</v>
      </c>
      <c r="AA8" s="138">
        <v>4.1870999336242702</v>
      </c>
      <c r="AB8" s="138">
        <v>4.1606998443603498</v>
      </c>
      <c r="AC8" s="138">
        <v>4.0862002372741699</v>
      </c>
      <c r="AD8" s="138">
        <v>4.1389999389648402</v>
      </c>
      <c r="AE8" s="138">
        <v>4.1388001441955602</v>
      </c>
      <c r="AF8" s="138">
        <v>4.0696997642517099</v>
      </c>
      <c r="AG8" s="138">
        <v>3.9700000286102299</v>
      </c>
      <c r="AH8" s="138">
        <v>3.9354999065399201</v>
      </c>
      <c r="AI8" s="138">
        <v>4.1321001052856401</v>
      </c>
      <c r="AJ8" s="138">
        <v>4.0248999595999999</v>
      </c>
      <c r="AK8" s="138">
        <v>3.9986999034999999</v>
      </c>
      <c r="AL8" s="138">
        <v>4.0134000778000001</v>
      </c>
      <c r="AM8" s="138">
        <v>3.8313999176000002</v>
      </c>
      <c r="AN8" s="138">
        <v>3.0171000957</v>
      </c>
      <c r="AO8" s="138">
        <v>3.1900000571999998</v>
      </c>
      <c r="AP8" s="138">
        <v>3.1400001048999999</v>
      </c>
      <c r="AQ8" s="138">
        <v>3.0499999522999999</v>
      </c>
      <c r="AR8" s="138">
        <v>3.0499999522999999</v>
      </c>
      <c r="AS8" s="138">
        <v>3.0299999714000001</v>
      </c>
      <c r="AT8" s="138">
        <v>3.3</v>
      </c>
      <c r="AU8" s="138">
        <v>3.3</v>
      </c>
      <c r="AV8" s="138">
        <v>3.1</v>
      </c>
      <c r="AW8" s="138">
        <v>3.1</v>
      </c>
      <c r="AX8" s="138">
        <v>3</v>
      </c>
      <c r="AY8" s="138">
        <v>3.1</v>
      </c>
      <c r="AZ8" s="138">
        <v>3.1</v>
      </c>
      <c r="BA8" s="138">
        <v>3.1</v>
      </c>
      <c r="BC8" s="138">
        <v>2.8</v>
      </c>
      <c r="BD8" s="138">
        <v>3</v>
      </c>
      <c r="BE8" s="138">
        <v>2.6</v>
      </c>
      <c r="BF8" s="138">
        <v>2.9</v>
      </c>
      <c r="BG8" s="138">
        <v>2.9</v>
      </c>
      <c r="BN8" s="160">
        <f t="shared" si="0"/>
        <v>2.9</v>
      </c>
      <c r="BO8" s="628">
        <f t="shared" si="1"/>
        <v>2.9</v>
      </c>
      <c r="BP8" s="627" t="str">
        <f>INDEX('HCW Summary Data'!$D$9:$D$272,MATCH($B8,'HCW Summary Data'!$B$9:$B$272,0))</f>
        <v>Upper middle income</v>
      </c>
      <c r="BQ8" s="630">
        <f t="shared" si="2"/>
        <v>3.32</v>
      </c>
      <c r="BT8" s="138" t="s">
        <v>559</v>
      </c>
      <c r="BV8" s="13">
        <v>1.24</v>
      </c>
      <c r="BW8" s="138" t="s">
        <v>1557</v>
      </c>
    </row>
    <row r="9" spans="2:75" x14ac:dyDescent="0.25">
      <c r="B9" s="138" t="s">
        <v>422</v>
      </c>
      <c r="C9" s="138" t="s">
        <v>1</v>
      </c>
      <c r="D9" s="138" t="s">
        <v>907</v>
      </c>
      <c r="E9" s="138" t="s">
        <v>908</v>
      </c>
      <c r="AP9" s="138">
        <v>3.1800000667999999</v>
      </c>
      <c r="AQ9" s="138">
        <v>3</v>
      </c>
      <c r="AR9" s="138">
        <v>3.0899999141999999</v>
      </c>
      <c r="AS9" s="138">
        <v>3.2000000477000001</v>
      </c>
      <c r="AT9" s="138">
        <v>3.2000000477000001</v>
      </c>
      <c r="AU9" s="138">
        <v>2.5899999141999999</v>
      </c>
      <c r="AW9" s="138">
        <v>3.2999999522999999</v>
      </c>
      <c r="AY9" s="138">
        <v>2.7</v>
      </c>
      <c r="AZ9" s="138">
        <v>2.6</v>
      </c>
      <c r="BA9" s="138">
        <v>2.6</v>
      </c>
      <c r="BC9" s="138">
        <v>2.5</v>
      </c>
      <c r="BN9" s="160">
        <f t="shared" si="0"/>
        <v>2.5</v>
      </c>
      <c r="BO9" s="628">
        <f t="shared" si="1"/>
        <v>2.5</v>
      </c>
      <c r="BP9" s="627" t="str">
        <f>INDEX('HCW Summary Data'!$D$9:$D$272,MATCH($B9,'HCW Summary Data'!$B$9:$B$272,0))</f>
        <v>Lower middle income</v>
      </c>
      <c r="BQ9" s="630">
        <f t="shared" si="2"/>
        <v>2.3800000000000003</v>
      </c>
      <c r="BT9" s="138" t="s">
        <v>1182</v>
      </c>
      <c r="BV9" s="13">
        <v>2.6</v>
      </c>
      <c r="BW9" s="138" t="s">
        <v>920</v>
      </c>
    </row>
    <row r="10" spans="2:75" x14ac:dyDescent="0.25">
      <c r="B10" s="138" t="s">
        <v>425</v>
      </c>
      <c r="C10" s="138" t="s">
        <v>426</v>
      </c>
      <c r="D10" s="138" t="s">
        <v>907</v>
      </c>
      <c r="E10" s="138" t="s">
        <v>908</v>
      </c>
      <c r="F10" s="138">
        <v>1.9273014488226168</v>
      </c>
      <c r="P10" s="138">
        <v>1.9178855601321714</v>
      </c>
      <c r="U10" s="138">
        <v>1.5838141938869765</v>
      </c>
      <c r="AA10" s="138">
        <v>1.7076106017146033</v>
      </c>
      <c r="AJ10" s="138">
        <v>1.7955814029383479</v>
      </c>
      <c r="AT10" s="138">
        <v>1.5979110469803108</v>
      </c>
      <c r="AU10" s="138">
        <v>1.639466763962274</v>
      </c>
      <c r="AV10" s="138">
        <v>1.5747993164633365</v>
      </c>
      <c r="AW10" s="138">
        <v>1.5740629780330366</v>
      </c>
      <c r="AX10" s="138">
        <v>1.6123290377657571</v>
      </c>
      <c r="AY10" s="138">
        <v>1.6302612357670523</v>
      </c>
      <c r="AZ10" s="138">
        <v>1.6525176858459851</v>
      </c>
      <c r="BA10" s="138">
        <v>1.6171139714320726</v>
      </c>
      <c r="BB10" s="138">
        <v>1.6360572270794793</v>
      </c>
      <c r="BC10" s="138">
        <v>1.5288537576491594</v>
      </c>
      <c r="BD10" s="138">
        <v>1.5295228608156684</v>
      </c>
      <c r="BE10" s="138">
        <v>1.1602230655564261</v>
      </c>
      <c r="BF10" s="138">
        <v>1.1583826709097418</v>
      </c>
      <c r="BG10" s="138">
        <v>1.1518991930072484</v>
      </c>
      <c r="BH10" s="138">
        <v>1.6245235818549295</v>
      </c>
      <c r="BN10" s="160">
        <f t="shared" si="0"/>
        <v>1.6245235818549295</v>
      </c>
      <c r="BO10" s="628">
        <f t="shared" si="1"/>
        <v>1.6245235818549295</v>
      </c>
      <c r="BP10" s="627" t="str">
        <f>INDEX('HCW Summary Data'!$D$9:$D$272,MATCH($B10,'HCW Summary Data'!$B$9:$B$272,0))</f>
        <v>OUT</v>
      </c>
      <c r="BQ10" s="630">
        <f t="shared" si="2"/>
        <v>2.7250000000000001</v>
      </c>
    </row>
    <row r="11" spans="2:75" x14ac:dyDescent="0.25">
      <c r="B11" s="138" t="s">
        <v>661</v>
      </c>
      <c r="C11" s="138" t="s">
        <v>2</v>
      </c>
      <c r="D11" s="138" t="s">
        <v>907</v>
      </c>
      <c r="E11" s="138" t="s">
        <v>908</v>
      </c>
      <c r="Z11" s="138">
        <v>2.8494999408721902</v>
      </c>
      <c r="AA11" s="138">
        <v>2.87509989738464</v>
      </c>
      <c r="AJ11" s="138">
        <v>2.6400001048999999</v>
      </c>
      <c r="AL11" s="138">
        <v>3.0604999065</v>
      </c>
      <c r="AP11" s="138">
        <v>2.6400001048999999</v>
      </c>
      <c r="AT11" s="138">
        <v>2.4</v>
      </c>
      <c r="AU11" s="138">
        <v>2.2999999999999998</v>
      </c>
      <c r="AV11" s="138">
        <v>2.2000000000000002</v>
      </c>
      <c r="AW11" s="138">
        <v>2.2000000000000002</v>
      </c>
      <c r="AX11" s="138">
        <v>2.2000000000000002</v>
      </c>
      <c r="AY11" s="138">
        <v>2.2000000000000002</v>
      </c>
      <c r="AZ11" s="138">
        <v>1.9</v>
      </c>
      <c r="BA11" s="138">
        <v>1.9</v>
      </c>
      <c r="BB11" s="138">
        <v>1.9</v>
      </c>
      <c r="BC11" s="138">
        <v>1.9</v>
      </c>
      <c r="BD11" s="138">
        <v>1.9</v>
      </c>
      <c r="BE11" s="138">
        <v>1.1000000000000001</v>
      </c>
      <c r="BF11" s="138">
        <v>1.1000000000000001</v>
      </c>
      <c r="BG11" s="138">
        <v>1.2</v>
      </c>
      <c r="BN11" s="160">
        <f t="shared" si="0"/>
        <v>1.2</v>
      </c>
      <c r="BO11" s="628">
        <f t="shared" si="1"/>
        <v>1.2</v>
      </c>
      <c r="BP11" s="627" t="str">
        <f>INDEX('HCW Summary Data'!$D$9:$D$272,MATCH($B11,'HCW Summary Data'!$B$9:$B$272,0))</f>
        <v>High income</v>
      </c>
      <c r="BQ11" s="630">
        <f t="shared" si="2"/>
        <v>3.5700000000000003</v>
      </c>
      <c r="BT11" s="10" t="s">
        <v>1562</v>
      </c>
    </row>
    <row r="12" spans="2:75" x14ac:dyDescent="0.25">
      <c r="B12" s="138" t="s">
        <v>427</v>
      </c>
      <c r="C12" s="138" t="s">
        <v>428</v>
      </c>
      <c r="D12" s="138" t="s">
        <v>907</v>
      </c>
      <c r="E12" s="138" t="s">
        <v>908</v>
      </c>
      <c r="F12" s="138">
        <v>6.3522505760192898</v>
      </c>
      <c r="P12" s="138">
        <v>5.5858001708984402</v>
      </c>
      <c r="AJ12" s="138">
        <v>4.5942997932000003</v>
      </c>
      <c r="AM12" s="138">
        <v>4.5999999045999997</v>
      </c>
      <c r="AP12" s="138">
        <v>3.2899999619</v>
      </c>
      <c r="AT12" s="138">
        <v>4.0999999999999996</v>
      </c>
      <c r="AY12" s="138">
        <v>4</v>
      </c>
      <c r="BD12" s="138">
        <v>4.5</v>
      </c>
      <c r="BE12" s="138">
        <v>4.5</v>
      </c>
      <c r="BF12" s="138">
        <v>4.7</v>
      </c>
      <c r="BG12" s="138">
        <v>4.9000000000000004</v>
      </c>
      <c r="BH12" s="138">
        <v>5</v>
      </c>
      <c r="BN12" s="160">
        <f t="shared" si="0"/>
        <v>5</v>
      </c>
      <c r="BO12" s="628">
        <f t="shared" si="1"/>
        <v>5</v>
      </c>
      <c r="BP12" s="627" t="str">
        <f>INDEX('HCW Summary Data'!$D$9:$D$272,MATCH($B12,'HCW Summary Data'!$B$9:$B$272,0))</f>
        <v>Upper middle income</v>
      </c>
      <c r="BQ12" s="630">
        <f t="shared" si="2"/>
        <v>3.32</v>
      </c>
      <c r="BT12" s="6" t="s">
        <v>517</v>
      </c>
      <c r="BV12" s="629">
        <v>3.5700000000000003E-2</v>
      </c>
      <c r="BW12" s="138" t="s">
        <v>1563</v>
      </c>
    </row>
    <row r="13" spans="2:75" x14ac:dyDescent="0.25">
      <c r="B13" s="138" t="s">
        <v>234</v>
      </c>
      <c r="C13" s="138" t="s">
        <v>3</v>
      </c>
      <c r="D13" s="138" t="s">
        <v>907</v>
      </c>
      <c r="E13" s="138" t="s">
        <v>908</v>
      </c>
      <c r="Z13" s="138">
        <v>8.3954000473022496</v>
      </c>
      <c r="AA13" s="138">
        <v>8.5783996582031303</v>
      </c>
      <c r="AB13" s="138">
        <v>8.68280029296875</v>
      </c>
      <c r="AC13" s="138">
        <v>8.5481004714965803</v>
      </c>
      <c r="AD13" s="138">
        <v>8.6600999832153303</v>
      </c>
      <c r="AE13" s="138">
        <v>8.6991996765136701</v>
      </c>
      <c r="AF13" s="138">
        <v>9.0242004394531303</v>
      </c>
      <c r="AG13" s="138">
        <v>8.9966001510620099</v>
      </c>
      <c r="AH13" s="138">
        <v>9.1904001235961896</v>
      </c>
      <c r="AI13" s="138">
        <v>9.0357999801635707</v>
      </c>
      <c r="AJ13" s="138">
        <v>9.0947999954000007</v>
      </c>
      <c r="AK13" s="138">
        <v>8.5292997360000005</v>
      </c>
      <c r="AL13" s="138">
        <v>8.3676996231</v>
      </c>
      <c r="AM13" s="138">
        <v>8.2146997452000008</v>
      </c>
      <c r="AN13" s="138">
        <v>7.7659997939999998</v>
      </c>
      <c r="AO13" s="138">
        <v>7.6399998665000002</v>
      </c>
      <c r="AP13" s="138">
        <v>7.1300001143999996</v>
      </c>
      <c r="AQ13" s="138">
        <v>6.75</v>
      </c>
      <c r="AR13" s="138">
        <v>6.6599998474</v>
      </c>
      <c r="AS13" s="138">
        <v>6.1999998093000004</v>
      </c>
      <c r="AT13" s="138">
        <v>6.4</v>
      </c>
      <c r="AU13" s="138">
        <v>5</v>
      </c>
      <c r="AV13" s="138">
        <v>4.3</v>
      </c>
      <c r="AW13" s="138">
        <v>4.4000000000000004</v>
      </c>
      <c r="AX13" s="138">
        <v>4.4000000000000004</v>
      </c>
      <c r="AY13" s="138">
        <v>4.5</v>
      </c>
      <c r="AZ13" s="138">
        <v>4.4000000000000004</v>
      </c>
      <c r="BA13" s="138">
        <v>4.0999999999999996</v>
      </c>
      <c r="BB13" s="138">
        <v>3.8</v>
      </c>
      <c r="BC13" s="138">
        <v>3.7</v>
      </c>
      <c r="BD13" s="138">
        <v>3.7</v>
      </c>
      <c r="BE13" s="138">
        <v>3.7</v>
      </c>
      <c r="BF13" s="138">
        <v>4</v>
      </c>
      <c r="BG13" s="138">
        <v>4.0999999999999996</v>
      </c>
      <c r="BI13" s="138">
        <v>4.2</v>
      </c>
      <c r="BN13" s="160">
        <f t="shared" si="0"/>
        <v>4.2</v>
      </c>
      <c r="BO13" s="628">
        <f t="shared" si="1"/>
        <v>4.2</v>
      </c>
      <c r="BP13" s="627" t="str">
        <f>INDEX('HCW Summary Data'!$D$9:$D$272,MATCH($B13,'HCW Summary Data'!$B$9:$B$272,0))</f>
        <v>High income</v>
      </c>
      <c r="BQ13" s="630">
        <f t="shared" si="2"/>
        <v>3.5700000000000003</v>
      </c>
      <c r="BT13" s="627" t="s">
        <v>664</v>
      </c>
      <c r="BV13" s="629">
        <v>3.32E-2</v>
      </c>
      <c r="BW13" s="627" t="s">
        <v>1563</v>
      </c>
    </row>
    <row r="14" spans="2:75" x14ac:dyDescent="0.25">
      <c r="B14" s="138" t="s">
        <v>421</v>
      </c>
      <c r="C14" s="138" t="s">
        <v>193</v>
      </c>
      <c r="D14" s="138" t="s">
        <v>907</v>
      </c>
      <c r="E14" s="138" t="s">
        <v>908</v>
      </c>
      <c r="BN14" s="160" t="str">
        <f t="shared" si="0"/>
        <v>No reported value</v>
      </c>
      <c r="BO14" s="628">
        <f t="shared" si="1"/>
        <v>4.82</v>
      </c>
      <c r="BP14" s="627" t="str">
        <f>INDEX('HCW Summary Data'!$D$9:$D$272,MATCH($B14,'HCW Summary Data'!$B$9:$B$272,0))</f>
        <v>High income</v>
      </c>
      <c r="BQ14" s="630">
        <f t="shared" si="2"/>
        <v>3.5700000000000003</v>
      </c>
      <c r="BT14" s="627" t="s">
        <v>561</v>
      </c>
      <c r="BV14" s="629">
        <v>2.3800000000000002E-2</v>
      </c>
      <c r="BW14" s="627" t="s">
        <v>1563</v>
      </c>
    </row>
    <row r="15" spans="2:75" x14ac:dyDescent="0.25">
      <c r="B15" s="138" t="s">
        <v>423</v>
      </c>
      <c r="C15" s="138" t="s">
        <v>424</v>
      </c>
      <c r="D15" s="138" t="s">
        <v>907</v>
      </c>
      <c r="E15" s="138" t="s">
        <v>908</v>
      </c>
      <c r="F15" s="138">
        <v>7.70642185211182</v>
      </c>
      <c r="P15" s="138">
        <v>6.5300002098083496</v>
      </c>
      <c r="AJ15" s="138">
        <v>6.5999999045999997</v>
      </c>
      <c r="AM15" s="138">
        <v>6.1048002242999999</v>
      </c>
      <c r="AP15" s="138">
        <v>3.8800001144</v>
      </c>
      <c r="AU15" s="138">
        <v>2.6</v>
      </c>
      <c r="AV15" s="138">
        <v>2.2999999999999998</v>
      </c>
      <c r="AW15" s="138">
        <v>2.5</v>
      </c>
      <c r="AX15" s="138">
        <v>2.4</v>
      </c>
      <c r="AY15" s="138">
        <v>2.4</v>
      </c>
      <c r="AZ15" s="138">
        <v>2.4</v>
      </c>
      <c r="BA15" s="138">
        <v>2</v>
      </c>
      <c r="BB15" s="138">
        <v>1.7</v>
      </c>
      <c r="BC15" s="138">
        <v>2.2000000000000002</v>
      </c>
      <c r="BD15" s="138">
        <v>2.2000000000000002</v>
      </c>
      <c r="BE15" s="138">
        <v>2.1</v>
      </c>
      <c r="BG15" s="138">
        <v>3.9</v>
      </c>
      <c r="BH15" s="138">
        <v>3.8</v>
      </c>
      <c r="BN15" s="160">
        <f t="shared" si="0"/>
        <v>3.8</v>
      </c>
      <c r="BO15" s="628">
        <f t="shared" si="1"/>
        <v>3.8</v>
      </c>
      <c r="BP15" s="627" t="str">
        <f>INDEX('HCW Summary Data'!$D$9:$D$272,MATCH($B15,'HCW Summary Data'!$B$9:$B$272,0))</f>
        <v>Upper middle income</v>
      </c>
      <c r="BQ15" s="630">
        <f t="shared" si="2"/>
        <v>3.32</v>
      </c>
      <c r="BT15" s="627" t="s">
        <v>559</v>
      </c>
      <c r="BV15" s="629">
        <v>1.6299999999999999E-2</v>
      </c>
      <c r="BW15" s="627" t="s">
        <v>1563</v>
      </c>
    </row>
    <row r="16" spans="2:75" x14ac:dyDescent="0.25">
      <c r="B16" s="138" t="s">
        <v>431</v>
      </c>
      <c r="C16" s="138" t="s">
        <v>4</v>
      </c>
      <c r="D16" s="138" t="s">
        <v>907</v>
      </c>
      <c r="E16" s="138" t="s">
        <v>908</v>
      </c>
      <c r="F16" s="138">
        <v>11.199999809265099</v>
      </c>
      <c r="G16" s="138">
        <v>11.300000190734901</v>
      </c>
      <c r="H16" s="138">
        <v>11.3999996185303</v>
      </c>
      <c r="I16" s="138">
        <v>11.699999809265099</v>
      </c>
      <c r="J16" s="138">
        <v>11.800000190734901</v>
      </c>
      <c r="K16" s="138">
        <v>11.8999996185303</v>
      </c>
      <c r="L16" s="138">
        <v>11.800000190734901</v>
      </c>
      <c r="M16" s="138">
        <v>11.800000190734901</v>
      </c>
      <c r="N16" s="138">
        <v>11.800000190734901</v>
      </c>
      <c r="O16" s="138">
        <v>11.699999809265099</v>
      </c>
      <c r="P16" s="138">
        <v>11.699999809265099</v>
      </c>
      <c r="Q16" s="138">
        <v>11.6000003814697</v>
      </c>
      <c r="R16" s="138">
        <v>11.800000190734901</v>
      </c>
      <c r="S16" s="138">
        <v>11.800000190734901</v>
      </c>
      <c r="T16" s="138">
        <v>12</v>
      </c>
      <c r="U16" s="138">
        <v>11.8999996185303</v>
      </c>
      <c r="V16" s="138">
        <v>11.8999996185303</v>
      </c>
      <c r="W16" s="138">
        <v>12.1000003814697</v>
      </c>
      <c r="X16" s="138">
        <v>12.1000003814697</v>
      </c>
      <c r="Y16" s="138">
        <v>12.199999809265099</v>
      </c>
      <c r="Z16" s="138">
        <v>12.300000190734901</v>
      </c>
      <c r="AA16" s="138">
        <v>12.199999809265099</v>
      </c>
      <c r="AB16" s="138">
        <v>12.1000003814697</v>
      </c>
      <c r="AC16" s="138">
        <v>11.8999996185303</v>
      </c>
      <c r="AD16" s="138">
        <v>11.699999809265099</v>
      </c>
      <c r="AE16" s="138">
        <v>10.8999996185303</v>
      </c>
      <c r="AG16" s="138">
        <v>10.5</v>
      </c>
      <c r="AI16" s="138">
        <v>9.8000001907348597</v>
      </c>
      <c r="AK16" s="138">
        <v>9.1999998092999995</v>
      </c>
      <c r="AL16" s="138">
        <v>8.8999996185000008</v>
      </c>
      <c r="AM16" s="138">
        <v>8.8999996185000008</v>
      </c>
      <c r="AN16" s="138">
        <v>8.6999998092999995</v>
      </c>
      <c r="AO16" s="138">
        <v>8.6999998092999995</v>
      </c>
      <c r="AP16" s="138">
        <v>8.5</v>
      </c>
      <c r="AQ16" s="138">
        <v>8.3000001907000005</v>
      </c>
      <c r="AR16" s="138">
        <v>8.1999998092999995</v>
      </c>
      <c r="AS16" s="138">
        <v>7.9000000954000003</v>
      </c>
      <c r="AT16" s="138">
        <v>7.8000001906999996</v>
      </c>
      <c r="AU16" s="138">
        <v>7.5999999045999997</v>
      </c>
      <c r="AV16" s="138">
        <v>4</v>
      </c>
      <c r="AX16" s="138">
        <v>3.9</v>
      </c>
      <c r="AY16" s="138">
        <v>4</v>
      </c>
      <c r="AZ16" s="138">
        <v>3.97</v>
      </c>
      <c r="BC16" s="138">
        <v>3.8</v>
      </c>
      <c r="BD16" s="138">
        <v>3.9</v>
      </c>
      <c r="BE16" s="138">
        <v>3.8</v>
      </c>
      <c r="BH16" s="138">
        <v>3.8</v>
      </c>
      <c r="BN16" s="160">
        <f t="shared" si="0"/>
        <v>3.8</v>
      </c>
      <c r="BO16" s="628">
        <f t="shared" si="1"/>
        <v>3.8</v>
      </c>
      <c r="BP16" s="627" t="str">
        <f>INDEX('HCW Summary Data'!$D$9:$D$272,MATCH($B16,'HCW Summary Data'!$B$9:$B$272,0))</f>
        <v>High income</v>
      </c>
      <c r="BQ16" s="630">
        <f t="shared" si="2"/>
        <v>3.5700000000000003</v>
      </c>
      <c r="BT16" s="627" t="s">
        <v>1182</v>
      </c>
      <c r="BV16" s="629">
        <f>AVERAGE(BV12:BV15)</f>
        <v>2.725E-2</v>
      </c>
      <c r="BW16" s="627" t="s">
        <v>1218</v>
      </c>
    </row>
    <row r="17" spans="2:69" x14ac:dyDescent="0.25">
      <c r="B17" s="138" t="s">
        <v>432</v>
      </c>
      <c r="C17" s="138" t="s">
        <v>5</v>
      </c>
      <c r="D17" s="138" t="s">
        <v>907</v>
      </c>
      <c r="E17" s="138" t="s">
        <v>908</v>
      </c>
      <c r="F17" s="138">
        <v>10.800000190734901</v>
      </c>
      <c r="P17" s="138">
        <v>10.800000190734901</v>
      </c>
      <c r="Z17" s="138">
        <v>11.199999809265099</v>
      </c>
      <c r="AE17" s="138">
        <v>10.8999996185303</v>
      </c>
      <c r="AF17" s="138">
        <v>10.800000190734901</v>
      </c>
      <c r="AG17" s="138">
        <v>10.699999809265099</v>
      </c>
      <c r="AH17" s="138">
        <v>10.6000003814697</v>
      </c>
      <c r="AI17" s="138">
        <v>10.3999996185303</v>
      </c>
      <c r="AJ17" s="138">
        <v>10.199999809299999</v>
      </c>
      <c r="AK17" s="138">
        <v>9.8999996185000008</v>
      </c>
      <c r="AL17" s="138">
        <v>9.6999998092999995</v>
      </c>
      <c r="AM17" s="138">
        <v>9.3999996185000008</v>
      </c>
      <c r="AN17" s="138">
        <v>9.5</v>
      </c>
      <c r="AO17" s="138">
        <v>9.3999996185000008</v>
      </c>
      <c r="AP17" s="138">
        <v>9.3000001907000005</v>
      </c>
      <c r="AQ17" s="138">
        <v>9.1999998092999995</v>
      </c>
      <c r="AR17" s="138">
        <v>9</v>
      </c>
      <c r="AS17" s="138">
        <v>8.8999996185000008</v>
      </c>
      <c r="AT17" s="138">
        <v>7.9</v>
      </c>
      <c r="AU17" s="138">
        <v>7.8</v>
      </c>
      <c r="AV17" s="138">
        <v>7.8</v>
      </c>
      <c r="AW17" s="138">
        <v>7.7</v>
      </c>
      <c r="AX17" s="138">
        <v>7.7</v>
      </c>
      <c r="AY17" s="138">
        <v>7.7</v>
      </c>
      <c r="AZ17" s="138">
        <v>7.7</v>
      </c>
      <c r="BA17" s="138">
        <v>7.8</v>
      </c>
      <c r="BB17" s="138">
        <v>7.7</v>
      </c>
      <c r="BC17" s="138">
        <v>7.7</v>
      </c>
      <c r="BD17" s="138">
        <v>7.7</v>
      </c>
      <c r="BE17" s="138">
        <v>7.7</v>
      </c>
      <c r="BF17" s="138">
        <v>7.7</v>
      </c>
      <c r="BG17" s="138">
        <v>7.6</v>
      </c>
      <c r="BN17" s="160">
        <f t="shared" si="0"/>
        <v>7.6</v>
      </c>
      <c r="BO17" s="628">
        <f t="shared" si="1"/>
        <v>7.6</v>
      </c>
      <c r="BP17" s="627" t="str">
        <f>INDEX('HCW Summary Data'!$D$9:$D$272,MATCH($B17,'HCW Summary Data'!$B$9:$B$272,0))</f>
        <v>Upper middle income</v>
      </c>
      <c r="BQ17" s="630">
        <f t="shared" si="2"/>
        <v>3.32</v>
      </c>
    </row>
    <row r="18" spans="2:69" x14ac:dyDescent="0.25">
      <c r="B18" s="138" t="s">
        <v>235</v>
      </c>
      <c r="C18" s="138" t="s">
        <v>6</v>
      </c>
      <c r="D18" s="138" t="s">
        <v>907</v>
      </c>
      <c r="E18" s="138" t="s">
        <v>908</v>
      </c>
      <c r="Z18" s="138">
        <v>9.7452001571655291</v>
      </c>
      <c r="AE18" s="138">
        <v>9.8968000411987305</v>
      </c>
      <c r="AF18" s="138">
        <v>9.8410997390747106</v>
      </c>
      <c r="AG18" s="138">
        <v>9.8821001052856392</v>
      </c>
      <c r="AH18" s="138">
        <v>9.9663000106811506</v>
      </c>
      <c r="AI18" s="138">
        <v>10.204400062561</v>
      </c>
      <c r="AJ18" s="138">
        <v>10.099200248700001</v>
      </c>
      <c r="AK18" s="138">
        <v>10.0208997726</v>
      </c>
      <c r="AL18" s="138">
        <v>10.542799949600001</v>
      </c>
      <c r="AM18" s="138">
        <v>10.487500190700001</v>
      </c>
      <c r="AN18" s="138">
        <v>10.070599555999999</v>
      </c>
      <c r="AO18" s="138">
        <v>10.0200004578</v>
      </c>
      <c r="AP18" s="138">
        <v>9.8100004195999997</v>
      </c>
      <c r="AQ18" s="138">
        <v>9.6099996566999994</v>
      </c>
      <c r="AR18" s="138">
        <v>9.0600004195999997</v>
      </c>
      <c r="AS18" s="138">
        <v>8.8999996185000008</v>
      </c>
      <c r="AT18" s="138">
        <v>8.6999999999999993</v>
      </c>
      <c r="AU18" s="138">
        <v>8.5</v>
      </c>
      <c r="AV18" s="138">
        <v>8.4</v>
      </c>
      <c r="AW18" s="138">
        <v>8.3000000000000007</v>
      </c>
      <c r="AX18" s="138">
        <v>8.1999999999999993</v>
      </c>
      <c r="AY18" s="138">
        <v>8.1999999999999993</v>
      </c>
      <c r="AZ18" s="138">
        <v>7.9</v>
      </c>
      <c r="BA18" s="138">
        <v>7.9</v>
      </c>
      <c r="BB18" s="138">
        <v>7.7</v>
      </c>
      <c r="BC18" s="138">
        <v>7.5</v>
      </c>
      <c r="BD18" s="138">
        <v>5.0999999999999996</v>
      </c>
      <c r="BE18" s="138">
        <v>4.5999999999999996</v>
      </c>
      <c r="BF18" s="138">
        <v>4.5999999999999996</v>
      </c>
      <c r="BG18" s="138">
        <v>4.7</v>
      </c>
      <c r="BN18" s="160">
        <f t="shared" si="0"/>
        <v>4.7</v>
      </c>
      <c r="BO18" s="628">
        <f t="shared" si="1"/>
        <v>4.7</v>
      </c>
      <c r="BP18" s="627" t="str">
        <f>INDEX('HCW Summary Data'!$D$9:$D$272,MATCH($B18,'HCW Summary Data'!$B$9:$B$272,0))</f>
        <v>High income</v>
      </c>
      <c r="BQ18" s="630">
        <f t="shared" si="2"/>
        <v>3.5700000000000003</v>
      </c>
    </row>
    <row r="19" spans="2:69" x14ac:dyDescent="0.25">
      <c r="B19" s="138" t="s">
        <v>186</v>
      </c>
      <c r="C19" s="138" t="s">
        <v>7</v>
      </c>
      <c r="D19" s="138" t="s">
        <v>907</v>
      </c>
      <c r="E19" s="138" t="s">
        <v>908</v>
      </c>
      <c r="F19" s="138">
        <v>1.1224073171615601</v>
      </c>
      <c r="P19" s="138">
        <v>1.28059995174408</v>
      </c>
      <c r="U19" s="138">
        <v>1.1232000589370701</v>
      </c>
      <c r="AF19" s="138">
        <v>0.67919999361038197</v>
      </c>
      <c r="AK19" s="138">
        <v>0.66310000420000004</v>
      </c>
      <c r="AZ19" s="138">
        <v>0.7</v>
      </c>
      <c r="BE19" s="138">
        <v>1.9</v>
      </c>
      <c r="BH19" s="138">
        <v>0.8</v>
      </c>
      <c r="BN19" s="160">
        <f t="shared" si="0"/>
        <v>0.8</v>
      </c>
      <c r="BO19" s="628">
        <f t="shared" si="1"/>
        <v>0.8</v>
      </c>
      <c r="BP19" s="627" t="str">
        <f>INDEX('HCW Summary Data'!$D$9:$D$272,MATCH($B19,'HCW Summary Data'!$B$9:$B$272,0))</f>
        <v>Lower middle income</v>
      </c>
      <c r="BQ19" s="630">
        <f t="shared" si="2"/>
        <v>2.3800000000000003</v>
      </c>
    </row>
    <row r="20" spans="2:69" x14ac:dyDescent="0.25">
      <c r="B20" s="138" t="s">
        <v>438</v>
      </c>
      <c r="C20" s="138" t="s">
        <v>8</v>
      </c>
      <c r="D20" s="138" t="s">
        <v>907</v>
      </c>
      <c r="E20" s="138" t="s">
        <v>908</v>
      </c>
      <c r="P20" s="138">
        <v>8.3000001907348597</v>
      </c>
      <c r="Z20" s="138">
        <v>9.3999996185302699</v>
      </c>
      <c r="AE20" s="138">
        <v>9.1000003814697301</v>
      </c>
      <c r="AJ20" s="138">
        <v>8</v>
      </c>
      <c r="AK20" s="138">
        <v>7.9000000954000003</v>
      </c>
      <c r="AL20" s="138">
        <v>7.6999998093000004</v>
      </c>
      <c r="AM20" s="138">
        <v>7.6999998093000004</v>
      </c>
      <c r="AN20" s="138">
        <v>7.5999999045999997</v>
      </c>
      <c r="AQ20" s="138">
        <v>7.1999998093000004</v>
      </c>
      <c r="AR20" s="138">
        <v>7.1999998093000004</v>
      </c>
      <c r="AS20" s="138">
        <v>7.0999999045999997</v>
      </c>
      <c r="AT20" s="138">
        <v>7.8</v>
      </c>
      <c r="AU20" s="138">
        <v>7.7</v>
      </c>
      <c r="AV20" s="138">
        <v>7.6</v>
      </c>
      <c r="AW20" s="138">
        <v>7.5</v>
      </c>
      <c r="AX20" s="138">
        <v>7.5</v>
      </c>
      <c r="AY20" s="138">
        <v>7.4</v>
      </c>
      <c r="AZ20" s="138">
        <v>6.7</v>
      </c>
      <c r="BA20" s="138">
        <v>6.6</v>
      </c>
      <c r="BB20" s="138">
        <v>6.6</v>
      </c>
      <c r="BC20" s="138">
        <v>6.5</v>
      </c>
      <c r="BD20" s="138">
        <v>6.5</v>
      </c>
      <c r="BE20" s="138">
        <v>6.4</v>
      </c>
      <c r="BF20" s="138">
        <v>6.3</v>
      </c>
      <c r="BG20" s="138">
        <v>6.3</v>
      </c>
      <c r="BH20" s="138">
        <v>6.2</v>
      </c>
      <c r="BN20" s="160">
        <f t="shared" si="0"/>
        <v>6.2</v>
      </c>
      <c r="BO20" s="628">
        <f t="shared" si="1"/>
        <v>6.2</v>
      </c>
      <c r="BP20" s="627" t="str">
        <f>INDEX('HCW Summary Data'!$D$9:$D$272,MATCH($B20,'HCW Summary Data'!$B$9:$B$272,0))</f>
        <v>Upper middle income</v>
      </c>
      <c r="BQ20" s="630">
        <f t="shared" si="2"/>
        <v>3.32</v>
      </c>
    </row>
    <row r="21" spans="2:69" x14ac:dyDescent="0.25">
      <c r="B21" s="138" t="s">
        <v>183</v>
      </c>
      <c r="C21" s="138" t="s">
        <v>9</v>
      </c>
      <c r="D21" s="138" t="s">
        <v>907</v>
      </c>
      <c r="E21" s="138" t="s">
        <v>908</v>
      </c>
      <c r="F21" s="138">
        <v>1.2257487773895299</v>
      </c>
      <c r="P21" s="138">
        <v>1.1548999547958401</v>
      </c>
      <c r="Z21" s="138">
        <v>1.46490001678467</v>
      </c>
      <c r="AA21" s="138">
        <v>1.1311999559402499</v>
      </c>
      <c r="AE21" s="138">
        <v>0.35960000753402699</v>
      </c>
      <c r="AJ21" s="138">
        <v>0.8338999748</v>
      </c>
      <c r="AK21" s="138">
        <v>0.50050002339999999</v>
      </c>
      <c r="AL21" s="138">
        <v>0.22310000660000001</v>
      </c>
      <c r="AM21" s="138">
        <v>0.23909999430000001</v>
      </c>
      <c r="AN21" s="138">
        <v>0.23360000550000001</v>
      </c>
      <c r="AY21" s="138">
        <v>0.5</v>
      </c>
      <c r="BD21" s="138">
        <v>0.5</v>
      </c>
      <c r="BN21" s="160">
        <f t="shared" si="0"/>
        <v>0.5</v>
      </c>
      <c r="BO21" s="628">
        <f t="shared" si="1"/>
        <v>0.5</v>
      </c>
      <c r="BP21" s="627" t="str">
        <f>INDEX('HCW Summary Data'!$D$9:$D$272,MATCH($B21,'HCW Summary Data'!$B$9:$B$272,0))</f>
        <v>High income</v>
      </c>
      <c r="BQ21" s="630">
        <f t="shared" si="2"/>
        <v>3.5700000000000003</v>
      </c>
    </row>
    <row r="22" spans="2:69" x14ac:dyDescent="0.25">
      <c r="B22" s="138" t="s">
        <v>185</v>
      </c>
      <c r="C22" s="138" t="s">
        <v>10</v>
      </c>
      <c r="D22" s="138" t="s">
        <v>907</v>
      </c>
      <c r="E22" s="138" t="s">
        <v>908</v>
      </c>
      <c r="F22" s="138">
        <v>0.52375811338424705</v>
      </c>
      <c r="P22" s="138">
        <v>0.57150000333786</v>
      </c>
      <c r="AI22" s="138">
        <v>0.30640000104904203</v>
      </c>
      <c r="AJ22" s="138">
        <v>0.29929998520000001</v>
      </c>
      <c r="AO22" s="138">
        <v>1.2999999523000001</v>
      </c>
      <c r="AP22" s="138">
        <v>1.4199999570999999</v>
      </c>
      <c r="AZ22" s="138">
        <v>0.9</v>
      </c>
      <c r="BD22" s="138">
        <v>0.4</v>
      </c>
      <c r="BN22" s="160">
        <f t="shared" si="0"/>
        <v>0.4</v>
      </c>
      <c r="BO22" s="628">
        <f t="shared" si="1"/>
        <v>0.4</v>
      </c>
      <c r="BP22" s="627" t="str">
        <f>INDEX('HCW Summary Data'!$D$9:$D$272,MATCH($B22,'HCW Summary Data'!$B$9:$B$272,0))</f>
        <v>Low income</v>
      </c>
      <c r="BQ22" s="630">
        <f t="shared" si="2"/>
        <v>1.63</v>
      </c>
    </row>
    <row r="23" spans="2:69" x14ac:dyDescent="0.25">
      <c r="B23" s="138" t="s">
        <v>240</v>
      </c>
      <c r="C23" s="138" t="s">
        <v>11</v>
      </c>
      <c r="D23" s="138" t="s">
        <v>907</v>
      </c>
      <c r="E23" s="138" t="s">
        <v>908</v>
      </c>
      <c r="P23" s="138">
        <v>0.155100002884865</v>
      </c>
      <c r="Z23" s="138">
        <v>0.21580000221729301</v>
      </c>
      <c r="AA23" s="138">
        <v>0.22519999742507901</v>
      </c>
      <c r="AE23" s="138">
        <v>0.28780001401901201</v>
      </c>
      <c r="AJ23" s="138">
        <v>0.3041999936</v>
      </c>
      <c r="AK23" s="138">
        <v>0.30809998509999997</v>
      </c>
      <c r="AN23" s="138">
        <v>0.3048999906</v>
      </c>
      <c r="AS23" s="138">
        <v>0.30000001189999997</v>
      </c>
      <c r="AU23" s="138">
        <v>0.3</v>
      </c>
      <c r="AV23" s="138">
        <v>0.34</v>
      </c>
      <c r="AY23" s="138">
        <v>0.3</v>
      </c>
      <c r="BE23" s="138">
        <v>0.6</v>
      </c>
      <c r="BH23" s="138">
        <v>0.6</v>
      </c>
      <c r="BI23" s="138">
        <v>0.8</v>
      </c>
      <c r="BN23" s="160">
        <f t="shared" si="0"/>
        <v>0.8</v>
      </c>
      <c r="BO23" s="628">
        <f t="shared" si="1"/>
        <v>0.8</v>
      </c>
      <c r="BP23" s="627" t="str">
        <f>INDEX('HCW Summary Data'!$D$9:$D$272,MATCH($B23,'HCW Summary Data'!$B$9:$B$272,0))</f>
        <v>High income</v>
      </c>
      <c r="BQ23" s="630">
        <f t="shared" si="2"/>
        <v>3.5700000000000003</v>
      </c>
    </row>
    <row r="24" spans="2:69" x14ac:dyDescent="0.25">
      <c r="B24" s="138" t="s">
        <v>447</v>
      </c>
      <c r="C24" s="138" t="s">
        <v>12</v>
      </c>
      <c r="D24" s="138" t="s">
        <v>907</v>
      </c>
      <c r="E24" s="138" t="s">
        <v>908</v>
      </c>
      <c r="F24" s="138">
        <v>6.2136774063110396</v>
      </c>
      <c r="Z24" s="138">
        <v>8.8506002426147496</v>
      </c>
      <c r="AA24" s="138">
        <v>8.8590002059936506</v>
      </c>
      <c r="AB24" s="138">
        <v>8.8866996765136701</v>
      </c>
      <c r="AC24" s="138">
        <v>8.8767995834350604</v>
      </c>
      <c r="AD24" s="138">
        <v>8.9630002975463903</v>
      </c>
      <c r="AE24" s="138">
        <v>9.1140003204345703</v>
      </c>
      <c r="AF24" s="138">
        <v>9.4520998001098597</v>
      </c>
      <c r="AG24" s="138">
        <v>9.5642004013061506</v>
      </c>
      <c r="AH24" s="138">
        <v>9.5601997375488299</v>
      </c>
      <c r="AI24" s="138">
        <v>9.7020998001098597</v>
      </c>
      <c r="AJ24" s="138">
        <v>9.7908000945999998</v>
      </c>
      <c r="AK24" s="138">
        <v>9.7681999207000008</v>
      </c>
      <c r="AL24" s="138">
        <v>10.206399917600001</v>
      </c>
      <c r="AM24" s="138">
        <v>10.4941997528</v>
      </c>
      <c r="AN24" s="138">
        <v>10.196100234999999</v>
      </c>
      <c r="AO24" s="138">
        <v>10.3699998856</v>
      </c>
      <c r="AP24" s="138">
        <v>10.470000267</v>
      </c>
      <c r="AQ24" s="138">
        <v>10.279999733</v>
      </c>
      <c r="AR24" s="138">
        <v>8.4099998474</v>
      </c>
      <c r="AS24" s="138">
        <v>7.4899997710999999</v>
      </c>
      <c r="AT24" s="138">
        <v>7.4</v>
      </c>
      <c r="AU24" s="138">
        <v>7.2</v>
      </c>
      <c r="AV24" s="138">
        <v>6.5</v>
      </c>
      <c r="AW24" s="138">
        <v>6.3</v>
      </c>
      <c r="AX24" s="138">
        <v>6.1</v>
      </c>
      <c r="AY24" s="138">
        <v>6.4</v>
      </c>
      <c r="AZ24" s="138">
        <v>6.2</v>
      </c>
      <c r="BA24" s="138">
        <v>6.4</v>
      </c>
      <c r="BB24" s="138">
        <v>6.5</v>
      </c>
      <c r="BC24" s="138">
        <v>6.6</v>
      </c>
      <c r="BD24" s="138">
        <v>6.5</v>
      </c>
      <c r="BE24" s="138">
        <v>6.4</v>
      </c>
      <c r="BF24" s="138">
        <v>6.6</v>
      </c>
      <c r="BG24" s="138">
        <v>6.8</v>
      </c>
      <c r="BN24" s="160">
        <f t="shared" si="0"/>
        <v>6.8</v>
      </c>
      <c r="BO24" s="628">
        <f t="shared" si="1"/>
        <v>6.8</v>
      </c>
      <c r="BP24" s="627" t="str">
        <f>INDEX('HCW Summary Data'!$D$9:$D$272,MATCH($B24,'HCW Summary Data'!$B$9:$B$272,0))</f>
        <v>Low income</v>
      </c>
      <c r="BQ24" s="630">
        <f t="shared" si="2"/>
        <v>1.63</v>
      </c>
    </row>
    <row r="25" spans="2:69" x14ac:dyDescent="0.25">
      <c r="B25" s="138" t="s">
        <v>434</v>
      </c>
      <c r="C25" s="138" t="s">
        <v>13</v>
      </c>
      <c r="D25" s="138" t="s">
        <v>907</v>
      </c>
      <c r="E25" s="138" t="s">
        <v>908</v>
      </c>
      <c r="F25" s="138">
        <v>4.7114095687866202</v>
      </c>
      <c r="P25" s="138">
        <v>4.3428997993469203</v>
      </c>
      <c r="Z25" s="138">
        <v>3.3143999576568599</v>
      </c>
      <c r="AI25" s="138">
        <v>3.33949995040894</v>
      </c>
      <c r="AQ25" s="138">
        <v>2.9000000953999998</v>
      </c>
      <c r="AT25" s="138">
        <v>2.8</v>
      </c>
      <c r="AU25" s="138">
        <v>2.8</v>
      </c>
      <c r="AV25" s="138">
        <v>2.9</v>
      </c>
      <c r="AW25" s="138">
        <v>2.8</v>
      </c>
      <c r="AX25" s="138">
        <v>2.8</v>
      </c>
      <c r="AY25" s="138">
        <v>2.8</v>
      </c>
      <c r="AZ25" s="138">
        <v>2.7</v>
      </c>
      <c r="BA25" s="138">
        <v>2.7</v>
      </c>
      <c r="BB25" s="138">
        <v>2</v>
      </c>
      <c r="BC25" s="138">
        <v>1.8</v>
      </c>
      <c r="BD25" s="138">
        <v>1.8</v>
      </c>
      <c r="BE25" s="138">
        <v>1.7</v>
      </c>
      <c r="BF25" s="138">
        <v>2.1</v>
      </c>
      <c r="BG25" s="138">
        <v>2.1</v>
      </c>
      <c r="BH25" s="138">
        <v>2</v>
      </c>
      <c r="BN25" s="160">
        <f t="shared" si="0"/>
        <v>2</v>
      </c>
      <c r="BO25" s="628">
        <f t="shared" si="1"/>
        <v>2</v>
      </c>
      <c r="BP25" s="627" t="str">
        <f>INDEX('HCW Summary Data'!$D$9:$D$272,MATCH($B25,'HCW Summary Data'!$B$9:$B$272,0))</f>
        <v>Lower middle income</v>
      </c>
      <c r="BQ25" s="630">
        <f t="shared" si="2"/>
        <v>2.3800000000000003</v>
      </c>
    </row>
    <row r="26" spans="2:69" x14ac:dyDescent="0.25">
      <c r="B26" s="138" t="s">
        <v>433</v>
      </c>
      <c r="C26" s="138" t="s">
        <v>14</v>
      </c>
      <c r="D26" s="138" t="s">
        <v>907</v>
      </c>
      <c r="E26" s="138" t="s">
        <v>908</v>
      </c>
      <c r="F26" s="138">
        <v>5.7256636619567898</v>
      </c>
      <c r="P26" s="138">
        <v>5.0935997962951696</v>
      </c>
      <c r="Z26" s="138">
        <v>4.4047999382018999</v>
      </c>
      <c r="AJ26" s="138">
        <v>4</v>
      </c>
      <c r="AM26" s="138">
        <v>3.8838999270999999</v>
      </c>
      <c r="AO26" s="138">
        <v>3.6</v>
      </c>
      <c r="AP26" s="138">
        <v>3.9400000571999998</v>
      </c>
      <c r="AT26" s="138">
        <v>3.5</v>
      </c>
      <c r="AU26" s="138">
        <v>3.4</v>
      </c>
      <c r="AV26" s="138">
        <v>3.4000000953999998</v>
      </c>
      <c r="AW26" s="138">
        <v>3.4</v>
      </c>
      <c r="AX26" s="138">
        <v>3.4</v>
      </c>
      <c r="AZ26" s="138">
        <v>3.2</v>
      </c>
      <c r="BA26" s="138">
        <v>3.2</v>
      </c>
      <c r="BB26" s="138">
        <v>3.1</v>
      </c>
      <c r="BC26" s="138">
        <v>3.2</v>
      </c>
      <c r="BD26" s="138">
        <v>3.1</v>
      </c>
      <c r="BE26" s="138">
        <v>2.9</v>
      </c>
      <c r="BF26" s="138">
        <v>2.9</v>
      </c>
      <c r="BG26" s="138">
        <v>2.9</v>
      </c>
      <c r="BN26" s="160">
        <f t="shared" si="0"/>
        <v>2.9</v>
      </c>
      <c r="BO26" s="628">
        <f t="shared" si="1"/>
        <v>2.9</v>
      </c>
      <c r="BP26" s="627" t="str">
        <f>INDEX('HCW Summary Data'!$D$9:$D$272,MATCH($B26,'HCW Summary Data'!$B$9:$B$272,0))</f>
        <v>High income</v>
      </c>
      <c r="BQ26" s="630">
        <f t="shared" si="2"/>
        <v>3.5700000000000003</v>
      </c>
    </row>
    <row r="27" spans="2:69" x14ac:dyDescent="0.25">
      <c r="B27" s="138" t="s">
        <v>442</v>
      </c>
      <c r="C27" s="138" t="s">
        <v>15</v>
      </c>
      <c r="D27" s="138" t="s">
        <v>907</v>
      </c>
      <c r="E27" s="138" t="s">
        <v>908</v>
      </c>
      <c r="Z27" s="138">
        <v>4.8310999870300302</v>
      </c>
      <c r="AA27" s="138">
        <v>4.9228000640869096</v>
      </c>
      <c r="AB27" s="138">
        <v>4.9179000854492196</v>
      </c>
      <c r="AC27" s="138">
        <v>4.9046998023986799</v>
      </c>
      <c r="AD27" s="138">
        <v>4.8137001991271999</v>
      </c>
      <c r="AE27" s="138">
        <v>4.71810007095337</v>
      </c>
      <c r="AF27" s="138">
        <v>4.7420001029968297</v>
      </c>
      <c r="AG27" s="138">
        <v>4.5935001373290998</v>
      </c>
      <c r="AH27" s="138">
        <v>4.5781998634338397</v>
      </c>
      <c r="AI27" s="138">
        <v>4.4983000755310103</v>
      </c>
      <c r="AJ27" s="138">
        <v>4.4590997695999999</v>
      </c>
      <c r="AK27" s="138">
        <v>4.3779997825999999</v>
      </c>
      <c r="AR27" s="138">
        <v>3.8199999332000001</v>
      </c>
      <c r="AS27" s="138">
        <v>3.7999999522999999</v>
      </c>
      <c r="AT27" s="138">
        <v>3.4</v>
      </c>
      <c r="AU27" s="138">
        <v>3.2</v>
      </c>
      <c r="AV27" s="138">
        <v>3.2</v>
      </c>
      <c r="AW27" s="138">
        <v>3.2</v>
      </c>
      <c r="AX27" s="138">
        <v>3.1</v>
      </c>
      <c r="AY27" s="138">
        <v>3</v>
      </c>
      <c r="AZ27" s="138">
        <v>3.3</v>
      </c>
      <c r="BA27" s="138">
        <v>3.4</v>
      </c>
      <c r="BB27" s="138">
        <v>3.4</v>
      </c>
      <c r="BC27" s="138">
        <v>3.3</v>
      </c>
      <c r="BD27" s="138">
        <v>3.4</v>
      </c>
      <c r="BE27" s="138">
        <v>3.5</v>
      </c>
      <c r="BF27" s="138">
        <v>3.5</v>
      </c>
      <c r="BG27" s="138">
        <v>3.5</v>
      </c>
      <c r="BN27" s="160">
        <f t="shared" si="0"/>
        <v>3.5</v>
      </c>
      <c r="BO27" s="628">
        <f t="shared" si="1"/>
        <v>3.5</v>
      </c>
      <c r="BP27" s="627" t="str">
        <f>INDEX('HCW Summary Data'!$D$9:$D$272,MATCH($B27,'HCW Summary Data'!$B$9:$B$272,0))</f>
        <v>Upper middle income</v>
      </c>
      <c r="BQ27" s="630">
        <f t="shared" si="2"/>
        <v>3.32</v>
      </c>
    </row>
    <row r="28" spans="2:69" x14ac:dyDescent="0.25">
      <c r="B28" s="138" t="s">
        <v>437</v>
      </c>
      <c r="C28" s="138" t="s">
        <v>16</v>
      </c>
      <c r="D28" s="138" t="s">
        <v>907</v>
      </c>
      <c r="E28" s="138" t="s">
        <v>908</v>
      </c>
      <c r="Z28" s="138">
        <v>12.546099662780801</v>
      </c>
      <c r="AE28" s="138">
        <v>13.0712995529175</v>
      </c>
      <c r="AF28" s="138">
        <v>13.260499954223601</v>
      </c>
      <c r="AG28" s="138">
        <v>13.4562997817993</v>
      </c>
      <c r="AH28" s="138">
        <v>13.3729000091553</v>
      </c>
      <c r="AI28" s="138">
        <v>13.5795001983643</v>
      </c>
      <c r="AJ28" s="138">
        <v>13.226400375400001</v>
      </c>
      <c r="AK28" s="138">
        <v>13.204700470000001</v>
      </c>
      <c r="AL28" s="138">
        <v>12.6906995773</v>
      </c>
      <c r="AM28" s="138">
        <v>12.4762001038</v>
      </c>
      <c r="AN28" s="138">
        <v>12.463899612400001</v>
      </c>
      <c r="AO28" s="138">
        <v>12.3800001144</v>
      </c>
      <c r="AP28" s="138">
        <v>12.2700004578</v>
      </c>
      <c r="AQ28" s="138">
        <v>12.359999656699999</v>
      </c>
      <c r="AR28" s="138">
        <v>12.420000076299999</v>
      </c>
      <c r="AS28" s="138">
        <v>12.640000343300001</v>
      </c>
      <c r="AT28" s="138">
        <v>12.6</v>
      </c>
      <c r="AU28" s="138">
        <v>12.6</v>
      </c>
      <c r="AV28" s="138">
        <v>11.9</v>
      </c>
      <c r="AW28" s="138">
        <v>11.3</v>
      </c>
      <c r="AX28" s="138">
        <v>10.7</v>
      </c>
      <c r="AY28" s="138">
        <v>11.1</v>
      </c>
      <c r="AZ28" s="138">
        <v>11.2</v>
      </c>
      <c r="BA28" s="138">
        <v>11.2</v>
      </c>
      <c r="BB28" s="138">
        <v>11.1</v>
      </c>
      <c r="BC28" s="138">
        <v>11.1</v>
      </c>
      <c r="BD28" s="138">
        <v>11.5</v>
      </c>
      <c r="BE28" s="138">
        <v>11.3</v>
      </c>
      <c r="BF28" s="138">
        <v>11.3</v>
      </c>
      <c r="BG28" s="138">
        <v>11</v>
      </c>
      <c r="BN28" s="160">
        <f t="shared" si="0"/>
        <v>11</v>
      </c>
      <c r="BO28" s="628">
        <f t="shared" si="1"/>
        <v>11</v>
      </c>
      <c r="BP28" s="627" t="str">
        <f>INDEX('HCW Summary Data'!$D$9:$D$272,MATCH($B28,'HCW Summary Data'!$B$9:$B$272,0))</f>
        <v>High income</v>
      </c>
      <c r="BQ28" s="630">
        <f t="shared" si="2"/>
        <v>3.5700000000000003</v>
      </c>
    </row>
    <row r="29" spans="2:69" x14ac:dyDescent="0.25">
      <c r="B29" s="138" t="s">
        <v>439</v>
      </c>
      <c r="C29" s="138" t="s">
        <v>17</v>
      </c>
      <c r="D29" s="138" t="s">
        <v>907</v>
      </c>
      <c r="E29" s="138" t="s">
        <v>908</v>
      </c>
      <c r="F29" s="138">
        <v>4.6677651405334499</v>
      </c>
      <c r="P29" s="138">
        <v>5.4014000892639196</v>
      </c>
      <c r="AF29" s="138">
        <v>3.3168001174926802</v>
      </c>
      <c r="AJ29" s="138">
        <v>2.7000000477000001</v>
      </c>
      <c r="AM29" s="138">
        <v>2.7999999522999999</v>
      </c>
      <c r="AO29" s="138">
        <v>2.5</v>
      </c>
      <c r="AP29" s="138">
        <v>2.1300001144</v>
      </c>
      <c r="AT29" s="138">
        <v>1.9</v>
      </c>
      <c r="AW29" s="138">
        <v>1.2999999523000001</v>
      </c>
      <c r="AX29" s="138">
        <v>1.3</v>
      </c>
      <c r="AY29" s="138">
        <v>1.2</v>
      </c>
      <c r="AZ29" s="138">
        <v>1.3</v>
      </c>
      <c r="BA29" s="138">
        <v>1.2</v>
      </c>
      <c r="BB29" s="138">
        <v>1.2</v>
      </c>
      <c r="BC29" s="138">
        <v>1.1000000000000001</v>
      </c>
      <c r="BD29" s="138">
        <v>1.2</v>
      </c>
      <c r="BE29" s="138">
        <v>1.1000000000000001</v>
      </c>
      <c r="BF29" s="138">
        <v>1.1000000000000001</v>
      </c>
      <c r="BG29" s="138">
        <v>0.9</v>
      </c>
      <c r="BH29" s="138">
        <v>1.3</v>
      </c>
      <c r="BN29" s="160">
        <f t="shared" si="0"/>
        <v>1.3</v>
      </c>
      <c r="BO29" s="628">
        <f t="shared" si="1"/>
        <v>1.3</v>
      </c>
      <c r="BP29" s="627" t="str">
        <f>INDEX('HCW Summary Data'!$D$9:$D$272,MATCH($B29,'HCW Summary Data'!$B$9:$B$272,0))</f>
        <v>Low income</v>
      </c>
      <c r="BQ29" s="630">
        <f t="shared" si="2"/>
        <v>1.63</v>
      </c>
    </row>
    <row r="30" spans="2:69" x14ac:dyDescent="0.25">
      <c r="B30" s="138" t="s">
        <v>440</v>
      </c>
      <c r="C30" s="138" t="s">
        <v>441</v>
      </c>
      <c r="D30" s="138" t="s">
        <v>907</v>
      </c>
      <c r="E30" s="138" t="s">
        <v>908</v>
      </c>
      <c r="AP30" s="138">
        <v>6.3000001906999996</v>
      </c>
      <c r="BN30" s="160">
        <f t="shared" si="0"/>
        <v>6.3000001906999996</v>
      </c>
      <c r="BO30" s="628">
        <f t="shared" si="1"/>
        <v>6.3000001906999996</v>
      </c>
      <c r="BP30" s="627" t="str">
        <f>INDEX('HCW Summary Data'!$D$9:$D$272,MATCH($B30,'HCW Summary Data'!$B$9:$B$272,0))</f>
        <v>Lower middle income</v>
      </c>
      <c r="BQ30" s="630">
        <f t="shared" si="2"/>
        <v>2.3800000000000003</v>
      </c>
    </row>
    <row r="31" spans="2:69" x14ac:dyDescent="0.25">
      <c r="B31" s="138" t="s">
        <v>219</v>
      </c>
      <c r="C31" s="138" t="s">
        <v>18</v>
      </c>
      <c r="D31" s="138" t="s">
        <v>907</v>
      </c>
      <c r="E31" s="138" t="s">
        <v>908</v>
      </c>
      <c r="F31" s="138">
        <v>1.84541928768158</v>
      </c>
      <c r="P31" s="138">
        <v>2.3217000961303702</v>
      </c>
      <c r="U31" s="138">
        <v>2.0587999820709202</v>
      </c>
      <c r="AJ31" s="138">
        <v>1.317800045</v>
      </c>
      <c r="AK31" s="138">
        <v>1.4110000134</v>
      </c>
      <c r="AM31" s="138">
        <v>1.3999999761999999</v>
      </c>
      <c r="AP31" s="138">
        <v>1.6699999570999999</v>
      </c>
      <c r="AW31" s="138">
        <v>1</v>
      </c>
      <c r="AX31" s="138">
        <v>1</v>
      </c>
      <c r="AZ31" s="138">
        <v>1.1000000000000001</v>
      </c>
      <c r="BA31" s="138">
        <v>1.1000000000000001</v>
      </c>
      <c r="BB31" s="138">
        <v>1.1000000000000001</v>
      </c>
      <c r="BC31" s="138">
        <v>1.1000000000000001</v>
      </c>
      <c r="BE31" s="138">
        <v>1.1000000000000001</v>
      </c>
      <c r="BF31" s="138">
        <v>1.1000000000000001</v>
      </c>
      <c r="BG31" s="138">
        <v>1.1000000000000001</v>
      </c>
      <c r="BH31" s="138">
        <v>1.1000000000000001</v>
      </c>
      <c r="BN31" s="160">
        <f t="shared" si="0"/>
        <v>1.1000000000000001</v>
      </c>
      <c r="BO31" s="628">
        <f t="shared" si="1"/>
        <v>1.1000000000000001</v>
      </c>
      <c r="BP31" s="627" t="str">
        <f>INDEX('HCW Summary Data'!$D$9:$D$272,MATCH($B31,'HCW Summary Data'!$B$9:$B$272,0))</f>
        <v>Upper middle income</v>
      </c>
      <c r="BQ31" s="630">
        <f t="shared" si="2"/>
        <v>3.32</v>
      </c>
    </row>
    <row r="32" spans="2:69" x14ac:dyDescent="0.25">
      <c r="B32" s="138" t="s">
        <v>443</v>
      </c>
      <c r="C32" s="138" t="s">
        <v>19</v>
      </c>
      <c r="D32" s="138" t="s">
        <v>907</v>
      </c>
      <c r="E32" s="138" t="s">
        <v>908</v>
      </c>
      <c r="F32" s="138">
        <v>3.2017953395843501</v>
      </c>
      <c r="P32" s="138">
        <v>3.6918001174926802</v>
      </c>
      <c r="U32" s="138">
        <v>4.9951000213623002</v>
      </c>
      <c r="AG32" s="138">
        <v>3.5603001117706299</v>
      </c>
      <c r="AJ32" s="138">
        <v>3.3452999592000001</v>
      </c>
      <c r="AM32" s="138">
        <v>3.5</v>
      </c>
      <c r="AP32" s="138">
        <v>3.1099998951000001</v>
      </c>
      <c r="AV32" s="138">
        <v>2.6</v>
      </c>
      <c r="AY32" s="138">
        <v>2.4</v>
      </c>
      <c r="BC32" s="138">
        <v>2.4</v>
      </c>
      <c r="BD32" s="138">
        <v>2.4</v>
      </c>
      <c r="BE32" s="138">
        <v>2.2999999999999998</v>
      </c>
      <c r="BF32" s="138">
        <v>2.2999999999999998</v>
      </c>
      <c r="BG32" s="138">
        <v>2.2999999999999998</v>
      </c>
      <c r="BH32" s="138">
        <v>2.2000000000000002</v>
      </c>
      <c r="BN32" s="160">
        <f t="shared" si="0"/>
        <v>2.2000000000000002</v>
      </c>
      <c r="BO32" s="628">
        <f t="shared" si="1"/>
        <v>2.2000000000000002</v>
      </c>
      <c r="BP32" s="627" t="str">
        <f>INDEX('HCW Summary Data'!$D$9:$D$272,MATCH($B32,'HCW Summary Data'!$B$9:$B$272,0))</f>
        <v>High income</v>
      </c>
      <c r="BQ32" s="630">
        <f t="shared" si="2"/>
        <v>3.5700000000000003</v>
      </c>
    </row>
    <row r="33" spans="2:69" x14ac:dyDescent="0.25">
      <c r="B33" s="138" t="s">
        <v>435</v>
      </c>
      <c r="C33" s="138" t="s">
        <v>436</v>
      </c>
      <c r="D33" s="138" t="s">
        <v>907</v>
      </c>
      <c r="E33" s="138" t="s">
        <v>908</v>
      </c>
      <c r="F33" s="138">
        <v>5.9297790527343803</v>
      </c>
      <c r="P33" s="138">
        <v>10.221599578857401</v>
      </c>
      <c r="Z33" s="138">
        <v>8.5347003936767596</v>
      </c>
      <c r="AJ33" s="138">
        <v>8.3999996185000008</v>
      </c>
      <c r="AM33" s="138">
        <v>1.2676000595000001</v>
      </c>
      <c r="AO33" s="138">
        <v>7.4</v>
      </c>
      <c r="AP33" s="138">
        <v>7.5599999428000002</v>
      </c>
      <c r="AW33" s="138">
        <v>7.3</v>
      </c>
      <c r="AX33" s="138">
        <v>7.3</v>
      </c>
      <c r="AY33" s="138">
        <v>6.7</v>
      </c>
      <c r="AZ33" s="138">
        <v>6.6</v>
      </c>
      <c r="BB33" s="138">
        <v>7.6</v>
      </c>
      <c r="BC33" s="138">
        <v>6.8</v>
      </c>
      <c r="BD33" s="138">
        <v>6.6</v>
      </c>
      <c r="BF33" s="138">
        <v>6.2</v>
      </c>
      <c r="BG33" s="138">
        <v>6.2</v>
      </c>
      <c r="BH33" s="138">
        <v>5.8</v>
      </c>
      <c r="BN33" s="160">
        <f t="shared" si="0"/>
        <v>5.8</v>
      </c>
      <c r="BO33" s="628">
        <f t="shared" si="1"/>
        <v>5.8</v>
      </c>
      <c r="BP33" s="627" t="str">
        <f>INDEX('HCW Summary Data'!$D$9:$D$272,MATCH($B33,'HCW Summary Data'!$B$9:$B$272,0))</f>
        <v>Upper middle income</v>
      </c>
      <c r="BQ33" s="630">
        <f t="shared" si="2"/>
        <v>3.32</v>
      </c>
    </row>
    <row r="34" spans="2:69" x14ac:dyDescent="0.25">
      <c r="B34" s="138" t="s">
        <v>446</v>
      </c>
      <c r="C34" s="138" t="s">
        <v>20</v>
      </c>
      <c r="D34" s="138" t="s">
        <v>907</v>
      </c>
      <c r="E34" s="138" t="s">
        <v>908</v>
      </c>
      <c r="F34" s="138">
        <v>4.9024391174316397</v>
      </c>
      <c r="P34" s="138">
        <v>3.5076999664306601</v>
      </c>
      <c r="AA34" s="138">
        <v>2.9358999729156499</v>
      </c>
      <c r="AB34" s="138">
        <v>2.9939999580383301</v>
      </c>
      <c r="AT34" s="138">
        <v>2.5999999046000002</v>
      </c>
      <c r="AV34" s="138">
        <v>2.7</v>
      </c>
      <c r="AX34" s="138">
        <v>2.6</v>
      </c>
      <c r="AY34" s="138">
        <v>3</v>
      </c>
      <c r="AZ34" s="138">
        <v>2.79</v>
      </c>
      <c r="BB34" s="138">
        <v>2.7</v>
      </c>
      <c r="BC34" s="138">
        <v>2.6</v>
      </c>
      <c r="BE34" s="138">
        <v>2.79</v>
      </c>
      <c r="BF34" s="138">
        <v>2.7</v>
      </c>
      <c r="BI34" s="138">
        <v>2.7</v>
      </c>
      <c r="BN34" s="160">
        <f t="shared" si="0"/>
        <v>2.7</v>
      </c>
      <c r="BO34" s="628">
        <f t="shared" si="1"/>
        <v>2.7</v>
      </c>
      <c r="BP34" s="627" t="str">
        <f>INDEX('HCW Summary Data'!$D$9:$D$272,MATCH($B34,'HCW Summary Data'!$B$9:$B$272,0))</f>
        <v>Upper middle income</v>
      </c>
      <c r="BQ34" s="630">
        <f t="shared" si="2"/>
        <v>3.32</v>
      </c>
    </row>
    <row r="35" spans="2:69" x14ac:dyDescent="0.25">
      <c r="B35" s="138" t="s">
        <v>241</v>
      </c>
      <c r="C35" s="138" t="s">
        <v>21</v>
      </c>
      <c r="D35" s="138" t="s">
        <v>907</v>
      </c>
      <c r="E35" s="138" t="s">
        <v>908</v>
      </c>
      <c r="AF35" s="138">
        <v>1.70589995384216</v>
      </c>
      <c r="AJ35" s="138">
        <v>0.84670001269999995</v>
      </c>
      <c r="AN35" s="138">
        <v>1.6147999763000001</v>
      </c>
      <c r="AS35" s="138">
        <v>1.6000000238000001</v>
      </c>
      <c r="AU35" s="138">
        <v>1.6</v>
      </c>
      <c r="AV35" s="138">
        <v>1.6</v>
      </c>
      <c r="AZ35" s="138">
        <v>1.7</v>
      </c>
      <c r="BE35" s="138">
        <v>1.8</v>
      </c>
      <c r="BF35" s="138">
        <v>1.7</v>
      </c>
      <c r="BN35" s="160">
        <f t="shared" si="0"/>
        <v>1.7</v>
      </c>
      <c r="BO35" s="628">
        <f t="shared" si="1"/>
        <v>1.7</v>
      </c>
      <c r="BP35" s="627" t="str">
        <f>INDEX('HCW Summary Data'!$D$9:$D$272,MATCH($B35,'HCW Summary Data'!$B$9:$B$272,0))</f>
        <v>Lower middle income</v>
      </c>
      <c r="BQ35" s="630">
        <f t="shared" si="2"/>
        <v>2.3800000000000003</v>
      </c>
    </row>
    <row r="36" spans="2:69" x14ac:dyDescent="0.25">
      <c r="B36" s="138" t="s">
        <v>184</v>
      </c>
      <c r="C36" s="138" t="s">
        <v>22</v>
      </c>
      <c r="D36" s="138" t="s">
        <v>907</v>
      </c>
      <c r="E36" s="138" t="s">
        <v>908</v>
      </c>
      <c r="F36" s="138">
        <v>2.1229166984558101</v>
      </c>
      <c r="Z36" s="138">
        <v>2.3631000518798801</v>
      </c>
      <c r="AJ36" s="138">
        <v>1.5751999617000001</v>
      </c>
      <c r="AW36" s="138">
        <v>2.2000000000000002</v>
      </c>
      <c r="BA36" s="138">
        <v>2.4</v>
      </c>
      <c r="BB36" s="138">
        <v>1.8</v>
      </c>
      <c r="BD36" s="138">
        <v>1.8</v>
      </c>
      <c r="BN36" s="160">
        <f t="shared" si="0"/>
        <v>1.8</v>
      </c>
      <c r="BO36" s="628">
        <f t="shared" si="1"/>
        <v>1.8</v>
      </c>
      <c r="BP36" s="627" t="str">
        <f>INDEX('HCW Summary Data'!$D$9:$D$272,MATCH($B36,'HCW Summary Data'!$B$9:$B$272,0))</f>
        <v>Upper middle income</v>
      </c>
      <c r="BQ36" s="630">
        <f t="shared" si="2"/>
        <v>3.32</v>
      </c>
    </row>
    <row r="37" spans="2:69" x14ac:dyDescent="0.25">
      <c r="B37" s="138" t="s">
        <v>188</v>
      </c>
      <c r="C37" s="138" t="s">
        <v>173</v>
      </c>
      <c r="D37" s="138" t="s">
        <v>907</v>
      </c>
      <c r="E37" s="138" t="s">
        <v>908</v>
      </c>
      <c r="F37" s="138">
        <v>1.2314211130142201</v>
      </c>
      <c r="P37" s="138">
        <v>1.87559998035431</v>
      </c>
      <c r="Z37" s="138">
        <v>1.55859994888306</v>
      </c>
      <c r="AJ37" s="138">
        <v>0.87319999930000003</v>
      </c>
      <c r="AZ37" s="138">
        <v>1.2</v>
      </c>
      <c r="BE37" s="138">
        <v>1</v>
      </c>
      <c r="BN37" s="160">
        <f t="shared" si="0"/>
        <v>1</v>
      </c>
      <c r="BO37" s="628">
        <f t="shared" si="1"/>
        <v>1</v>
      </c>
      <c r="BP37" s="627" t="str">
        <f>INDEX('HCW Summary Data'!$D$9:$D$272,MATCH($B37,'HCW Summary Data'!$B$9:$B$272,0))</f>
        <v>Low income</v>
      </c>
      <c r="BQ37" s="630">
        <f t="shared" si="2"/>
        <v>1.63</v>
      </c>
    </row>
    <row r="38" spans="2:69" x14ac:dyDescent="0.25">
      <c r="B38" s="138" t="s">
        <v>449</v>
      </c>
      <c r="C38" s="138" t="s">
        <v>159</v>
      </c>
      <c r="D38" s="138" t="s">
        <v>907</v>
      </c>
      <c r="E38" s="138" t="s">
        <v>908</v>
      </c>
      <c r="F38" s="138">
        <v>6.1999998092651403</v>
      </c>
      <c r="P38" s="138">
        <v>7</v>
      </c>
      <c r="V38" s="138">
        <v>6.9000000953674299</v>
      </c>
      <c r="W38" s="138">
        <v>6.9000000953674299</v>
      </c>
      <c r="X38" s="138">
        <v>6.9000000953674299</v>
      </c>
      <c r="Y38" s="138">
        <v>6.8000001907348597</v>
      </c>
      <c r="Z38" s="138">
        <v>6.8000001907348597</v>
      </c>
      <c r="AA38" s="138">
        <v>6.9000000953674299</v>
      </c>
      <c r="AB38" s="138">
        <v>6.8000001907348597</v>
      </c>
      <c r="AC38" s="138">
        <v>6.8000001907348597</v>
      </c>
      <c r="AD38" s="138">
        <v>6.8000001907348597</v>
      </c>
      <c r="AE38" s="138">
        <v>6.8000001907348597</v>
      </c>
      <c r="AF38" s="138">
        <v>6.6999998092651403</v>
      </c>
      <c r="AG38" s="138">
        <v>6.5999999046325701</v>
      </c>
      <c r="AH38" s="138">
        <v>6.5</v>
      </c>
      <c r="AI38" s="138">
        <v>6.3000001907348597</v>
      </c>
      <c r="AJ38" s="138">
        <v>6</v>
      </c>
      <c r="AK38" s="138">
        <v>5.8000001906999996</v>
      </c>
      <c r="AL38" s="138">
        <v>5.5</v>
      </c>
      <c r="AM38" s="138">
        <v>5.4000000954000003</v>
      </c>
      <c r="AO38" s="138">
        <v>5</v>
      </c>
      <c r="AP38" s="138">
        <v>4.5999999045999997</v>
      </c>
      <c r="AQ38" s="138">
        <v>4.4000000954000003</v>
      </c>
      <c r="AR38" s="138">
        <v>4.1999998093000004</v>
      </c>
      <c r="AS38" s="138">
        <v>3.9000000953999998</v>
      </c>
      <c r="AT38" s="138">
        <v>3.4</v>
      </c>
      <c r="AU38" s="138">
        <v>3.7000000477000001</v>
      </c>
      <c r="AV38" s="138">
        <v>3.7000000477000001</v>
      </c>
      <c r="AW38" s="138">
        <v>3.6</v>
      </c>
      <c r="AY38" s="138">
        <v>3.4</v>
      </c>
      <c r="AZ38" s="138">
        <v>3.4</v>
      </c>
      <c r="BB38" s="138">
        <v>3.4</v>
      </c>
      <c r="BC38" s="138">
        <v>3.2</v>
      </c>
      <c r="BD38" s="138">
        <v>2.7</v>
      </c>
      <c r="BE38" s="138">
        <v>2.7</v>
      </c>
      <c r="BF38" s="138">
        <v>2.7</v>
      </c>
      <c r="BN38" s="160">
        <f t="shared" si="0"/>
        <v>2.7</v>
      </c>
      <c r="BO38" s="628">
        <f t="shared" si="1"/>
        <v>2.7</v>
      </c>
      <c r="BP38" s="627" t="str">
        <f>INDEX('HCW Summary Data'!$D$9:$D$272,MATCH($B38,'HCW Summary Data'!$B$9:$B$272,0))</f>
        <v>High income</v>
      </c>
      <c r="BQ38" s="630">
        <f t="shared" si="2"/>
        <v>3.5700000000000003</v>
      </c>
    </row>
    <row r="39" spans="2:69" x14ac:dyDescent="0.25">
      <c r="B39" s="138" t="s">
        <v>454</v>
      </c>
      <c r="C39" s="138" t="s">
        <v>455</v>
      </c>
      <c r="D39" s="138" t="s">
        <v>907</v>
      </c>
      <c r="E39" s="138" t="s">
        <v>908</v>
      </c>
      <c r="Z39" s="138">
        <v>8.0305355221948531</v>
      </c>
      <c r="AE39" s="138">
        <v>8.2006632015622518</v>
      </c>
      <c r="AJ39" s="138">
        <v>8.1198405040173611</v>
      </c>
      <c r="AK39" s="138">
        <v>8.0388287647443555</v>
      </c>
      <c r="AL39" s="138">
        <v>7.6722857567347456</v>
      </c>
      <c r="AM39" s="138">
        <v>7.6428860583175275</v>
      </c>
      <c r="AN39" s="138">
        <v>7.6306715967644534</v>
      </c>
      <c r="AO39" s="138">
        <v>7.2386886995594271</v>
      </c>
      <c r="AP39" s="138">
        <v>7.268246556785571</v>
      </c>
      <c r="AQ39" s="138">
        <v>7.023065449365304</v>
      </c>
      <c r="AR39" s="138">
        <v>6.7973288388091033</v>
      </c>
      <c r="AS39" s="138">
        <v>6.6165306786963418</v>
      </c>
      <c r="AT39" s="138">
        <v>6.6976154731317905</v>
      </c>
      <c r="AV39" s="138">
        <v>6.751321661667137</v>
      </c>
      <c r="AW39" s="138">
        <v>6.8828985796437694</v>
      </c>
      <c r="AX39" s="138">
        <v>6.823980197968404</v>
      </c>
      <c r="AY39" s="138">
        <v>6.7752422737836167</v>
      </c>
      <c r="AZ39" s="138">
        <v>6.7199624267109703</v>
      </c>
      <c r="BA39" s="138">
        <v>6.5774607504351827</v>
      </c>
      <c r="BB39" s="138">
        <v>6.6377943260312762</v>
      </c>
      <c r="BC39" s="138">
        <v>6.6334882985978831</v>
      </c>
      <c r="BD39" s="138">
        <v>6.4870682504524178</v>
      </c>
      <c r="BE39" s="138">
        <v>6.4207815070008127</v>
      </c>
      <c r="BF39" s="138">
        <v>6.4230466048124288</v>
      </c>
      <c r="BG39" s="138">
        <v>6.4214466607823937</v>
      </c>
      <c r="BN39" s="160">
        <f t="shared" si="0"/>
        <v>6.4214466607823937</v>
      </c>
      <c r="BO39" s="628">
        <f t="shared" si="1"/>
        <v>6.4214466607823937</v>
      </c>
      <c r="BP39" s="627" t="str">
        <f>INDEX('HCW Summary Data'!$D$9:$D$272,MATCH($B39,'HCW Summary Data'!$B$9:$B$272,0))</f>
        <v>OUT</v>
      </c>
      <c r="BQ39" s="630">
        <f t="shared" si="2"/>
        <v>2.7250000000000001</v>
      </c>
    </row>
    <row r="40" spans="2:69" x14ac:dyDescent="0.25">
      <c r="B40" s="138" t="s">
        <v>651</v>
      </c>
      <c r="C40" s="138" t="s">
        <v>23</v>
      </c>
      <c r="D40" s="138" t="s">
        <v>907</v>
      </c>
      <c r="E40" s="138" t="s">
        <v>908</v>
      </c>
      <c r="AK40" s="138">
        <v>19.899999618500001</v>
      </c>
      <c r="AT40" s="138">
        <v>6.3</v>
      </c>
      <c r="AU40" s="138">
        <v>6</v>
      </c>
      <c r="AV40" s="138">
        <v>5.9</v>
      </c>
      <c r="AW40" s="138">
        <v>5.8</v>
      </c>
      <c r="AX40" s="138">
        <v>5.7</v>
      </c>
      <c r="AY40" s="138">
        <v>5.5</v>
      </c>
      <c r="AZ40" s="138">
        <v>5.4</v>
      </c>
      <c r="BA40" s="138">
        <v>5.4</v>
      </c>
      <c r="BB40" s="138">
        <v>5.3</v>
      </c>
      <c r="BC40" s="138">
        <v>5.0999999999999996</v>
      </c>
      <c r="BD40" s="138">
        <v>5</v>
      </c>
      <c r="BE40" s="138">
        <v>4.9000000000000004</v>
      </c>
      <c r="BF40" s="138">
        <v>4.8</v>
      </c>
      <c r="BG40" s="138">
        <v>4.7</v>
      </c>
      <c r="BN40" s="160">
        <f t="shared" si="0"/>
        <v>4.7</v>
      </c>
      <c r="BO40" s="628">
        <f t="shared" si="1"/>
        <v>4.7</v>
      </c>
      <c r="BP40" s="627" t="str">
        <f>INDEX('HCW Summary Data'!$D$9:$D$272,MATCH($B40,'HCW Summary Data'!$B$9:$B$272,0))</f>
        <v>Low income</v>
      </c>
      <c r="BQ40" s="630">
        <f t="shared" si="2"/>
        <v>1.63</v>
      </c>
    </row>
    <row r="41" spans="2:69" x14ac:dyDescent="0.25">
      <c r="B41" s="138" t="s">
        <v>456</v>
      </c>
      <c r="C41" s="138" t="s">
        <v>457</v>
      </c>
      <c r="D41" s="138" t="s">
        <v>907</v>
      </c>
      <c r="E41" s="138" t="s">
        <v>908</v>
      </c>
      <c r="F41" s="138">
        <v>11.153845787048301</v>
      </c>
      <c r="P41" s="138">
        <v>11.2250003814697</v>
      </c>
      <c r="Z41" s="138">
        <v>10.6512002944946</v>
      </c>
      <c r="AA41" s="138">
        <v>10.595100402831999</v>
      </c>
      <c r="BN41" s="160">
        <f t="shared" si="0"/>
        <v>10.595100402831999</v>
      </c>
      <c r="BO41" s="628">
        <f t="shared" si="1"/>
        <v>10.595100402831999</v>
      </c>
      <c r="BP41" s="627" t="str">
        <f>INDEX('HCW Summary Data'!$D$9:$D$272,MATCH($B41,'HCW Summary Data'!$B$9:$B$272,0))</f>
        <v>High income</v>
      </c>
      <c r="BQ41" s="630">
        <f t="shared" si="2"/>
        <v>3.5700000000000003</v>
      </c>
    </row>
    <row r="42" spans="2:69" x14ac:dyDescent="0.25">
      <c r="B42" s="138" t="s">
        <v>220</v>
      </c>
      <c r="C42" s="138" t="s">
        <v>24</v>
      </c>
      <c r="D42" s="138" t="s">
        <v>907</v>
      </c>
      <c r="E42" s="138" t="s">
        <v>908</v>
      </c>
      <c r="F42" s="138">
        <v>3.6742901802063002</v>
      </c>
      <c r="P42" s="138">
        <v>3.77640008926392</v>
      </c>
      <c r="Z42" s="138">
        <v>3.40639996528625</v>
      </c>
      <c r="AI42" s="138">
        <v>3.1767001152038601</v>
      </c>
      <c r="AJ42" s="138">
        <v>3.1586000918999999</v>
      </c>
      <c r="AM42" s="138">
        <v>3.0999999046000002</v>
      </c>
      <c r="AP42" s="138">
        <v>2.6700000763</v>
      </c>
      <c r="AV42" s="138">
        <v>2.5999999046000002</v>
      </c>
      <c r="AX42" s="138">
        <v>2.4</v>
      </c>
      <c r="AY42" s="138">
        <v>2.2999999999999998</v>
      </c>
      <c r="AZ42" s="138">
        <v>2.2999999999999998</v>
      </c>
      <c r="BC42" s="138">
        <v>2.1</v>
      </c>
      <c r="BD42" s="138">
        <v>2</v>
      </c>
      <c r="BE42" s="138">
        <v>2.1</v>
      </c>
      <c r="BF42" s="138">
        <v>2.2000000000000002</v>
      </c>
      <c r="BG42" s="138">
        <v>2.2000000000000002</v>
      </c>
      <c r="BN42" s="160">
        <f t="shared" si="0"/>
        <v>2.2000000000000002</v>
      </c>
      <c r="BO42" s="628">
        <f t="shared" si="1"/>
        <v>2.2000000000000002</v>
      </c>
      <c r="BP42" s="627" t="str">
        <f>INDEX('HCW Summary Data'!$D$9:$D$272,MATCH($B42,'HCW Summary Data'!$B$9:$B$272,0))</f>
        <v>Upper middle income</v>
      </c>
      <c r="BQ42" s="630">
        <f t="shared" si="2"/>
        <v>3.32</v>
      </c>
    </row>
    <row r="43" spans="2:69" x14ac:dyDescent="0.25">
      <c r="B43" s="138" t="s">
        <v>458</v>
      </c>
      <c r="C43" s="138" t="s">
        <v>25</v>
      </c>
      <c r="D43" s="138" t="s">
        <v>907</v>
      </c>
      <c r="E43" s="138" t="s">
        <v>908</v>
      </c>
      <c r="K43" s="138">
        <v>1.4400000572204601</v>
      </c>
      <c r="L43" s="138">
        <v>1.5199999809265099</v>
      </c>
      <c r="M43" s="138">
        <v>1.5</v>
      </c>
      <c r="N43" s="138">
        <v>1.45000004768372</v>
      </c>
      <c r="O43" s="138">
        <v>1.45000004768372</v>
      </c>
      <c r="P43" s="138">
        <v>1.53999996185303</v>
      </c>
      <c r="Q43" s="138">
        <v>1.58000004291534</v>
      </c>
      <c r="R43" s="138">
        <v>1.71000003814697</v>
      </c>
      <c r="S43" s="138">
        <v>1.7699999809265099</v>
      </c>
      <c r="T43" s="138">
        <v>1.8500000238418599</v>
      </c>
      <c r="U43" s="138">
        <v>1.91999995708466</v>
      </c>
      <c r="V43" s="138">
        <v>2</v>
      </c>
      <c r="W43" s="138">
        <v>2.0699999332428001</v>
      </c>
      <c r="X43" s="138">
        <v>2.1400001049041699</v>
      </c>
      <c r="Y43" s="138">
        <v>2.2000000476837198</v>
      </c>
      <c r="Z43" s="138">
        <v>2.2300000190734899</v>
      </c>
      <c r="AA43" s="138">
        <v>2.25</v>
      </c>
      <c r="AB43" s="138">
        <v>2.2599999904632599</v>
      </c>
      <c r="AC43" s="138">
        <v>2.28999996185303</v>
      </c>
      <c r="AD43" s="138">
        <v>2.3299999237060498</v>
      </c>
      <c r="AE43" s="138">
        <v>2.3699998855590798</v>
      </c>
      <c r="AF43" s="138">
        <v>2.4000000953674299</v>
      </c>
      <c r="AG43" s="138">
        <v>2.4800000190734899</v>
      </c>
      <c r="AH43" s="138">
        <v>2.53999996185303</v>
      </c>
      <c r="AI43" s="138">
        <v>2.5599999427795401</v>
      </c>
      <c r="AJ43" s="138">
        <v>2.5799999237</v>
      </c>
      <c r="AK43" s="138">
        <v>2.5999999046000002</v>
      </c>
      <c r="AL43" s="138">
        <v>2.6199998856</v>
      </c>
      <c r="AM43" s="138">
        <v>2.6300001144</v>
      </c>
      <c r="AN43" s="138">
        <v>2.6300001144</v>
      </c>
      <c r="AO43" s="138">
        <v>2.6099998951000001</v>
      </c>
      <c r="AP43" s="138">
        <v>2.5499999522999999</v>
      </c>
      <c r="AQ43" s="138">
        <v>2.5499999522999999</v>
      </c>
      <c r="AR43" s="138">
        <v>2.5299999714000001</v>
      </c>
      <c r="AS43" s="138">
        <v>2.5199999809000002</v>
      </c>
      <c r="AT43" s="138">
        <v>2.5199999809000002</v>
      </c>
      <c r="AU43" s="138">
        <v>2.5199999809000002</v>
      </c>
      <c r="AV43" s="138">
        <v>2.4500000477000001</v>
      </c>
      <c r="AW43" s="138">
        <v>2.2000000000000002</v>
      </c>
      <c r="AX43" s="138">
        <v>3</v>
      </c>
      <c r="AY43" s="138">
        <v>2.4500000000000002</v>
      </c>
      <c r="AZ43" s="138">
        <v>2.23</v>
      </c>
      <c r="BC43" s="138">
        <v>4.2</v>
      </c>
      <c r="BD43" s="138">
        <v>3.56</v>
      </c>
      <c r="BE43" s="138">
        <v>3.8</v>
      </c>
      <c r="BF43" s="138">
        <v>4.2</v>
      </c>
      <c r="BN43" s="160">
        <f t="shared" si="0"/>
        <v>4.2</v>
      </c>
      <c r="BO43" s="628">
        <f t="shared" si="1"/>
        <v>4.2</v>
      </c>
      <c r="BP43" s="627" t="str">
        <f>INDEX('HCW Summary Data'!$D$9:$D$272,MATCH($B43,'HCW Summary Data'!$B$9:$B$272,0))</f>
        <v>Upper middle income</v>
      </c>
      <c r="BQ43" s="630">
        <f t="shared" si="2"/>
        <v>3.32</v>
      </c>
    </row>
    <row r="44" spans="2:69" x14ac:dyDescent="0.25">
      <c r="B44" s="138" t="s">
        <v>464</v>
      </c>
      <c r="C44" s="138" t="s">
        <v>26</v>
      </c>
      <c r="D44" s="138" t="s">
        <v>907</v>
      </c>
      <c r="E44" s="138" t="s">
        <v>908</v>
      </c>
      <c r="F44" s="138">
        <v>1.3487695455551101</v>
      </c>
      <c r="P44" s="138">
        <v>1.15610003471375</v>
      </c>
      <c r="AI44" s="138">
        <v>0.82849997282028198</v>
      </c>
      <c r="AJ44" s="138">
        <v>0.81160002949999999</v>
      </c>
      <c r="AZ44" s="138">
        <v>0.4</v>
      </c>
      <c r="BN44" s="160">
        <f t="shared" si="0"/>
        <v>0.4</v>
      </c>
      <c r="BO44" s="628">
        <f t="shared" si="1"/>
        <v>0.4</v>
      </c>
      <c r="BP44" s="627" t="str">
        <f>INDEX('HCW Summary Data'!$D$9:$D$272,MATCH($B44,'HCW Summary Data'!$B$9:$B$272,0))</f>
        <v>High income</v>
      </c>
      <c r="BQ44" s="630">
        <f t="shared" si="2"/>
        <v>3.5700000000000003</v>
      </c>
    </row>
    <row r="45" spans="2:69" x14ac:dyDescent="0.25">
      <c r="B45" s="138" t="s">
        <v>187</v>
      </c>
      <c r="C45" s="138" t="s">
        <v>27</v>
      </c>
      <c r="D45" s="138" t="s">
        <v>907</v>
      </c>
      <c r="E45" s="138" t="s">
        <v>908</v>
      </c>
      <c r="F45" s="138">
        <v>2.0022659301757799</v>
      </c>
      <c r="P45" s="138">
        <v>1.7515000104904199</v>
      </c>
      <c r="U45" s="138">
        <v>2.4658999443054199</v>
      </c>
      <c r="AI45" s="138">
        <v>2.5982999801635698</v>
      </c>
      <c r="AJ45" s="138">
        <v>2.5532999039000002</v>
      </c>
      <c r="AZ45" s="138">
        <v>1.5</v>
      </c>
      <c r="BD45" s="138">
        <v>1.3</v>
      </c>
      <c r="BN45" s="160">
        <f t="shared" si="0"/>
        <v>1.3</v>
      </c>
      <c r="BO45" s="628">
        <f t="shared" si="1"/>
        <v>1.3</v>
      </c>
      <c r="BP45" s="627" t="str">
        <f>INDEX('HCW Summary Data'!$D$9:$D$272,MATCH($B45,'HCW Summary Data'!$B$9:$B$272,0))</f>
        <v>High income</v>
      </c>
      <c r="BQ45" s="630">
        <f t="shared" si="2"/>
        <v>3.5700000000000003</v>
      </c>
    </row>
    <row r="46" spans="2:69" x14ac:dyDescent="0.25">
      <c r="B46" s="138" t="s">
        <v>461</v>
      </c>
      <c r="C46" s="138" t="s">
        <v>28</v>
      </c>
      <c r="D46" s="138" t="s">
        <v>907</v>
      </c>
      <c r="E46" s="138" t="s">
        <v>908</v>
      </c>
      <c r="F46" s="138">
        <v>5.6740365028381303</v>
      </c>
      <c r="P46" s="138">
        <v>3.3234000205993701</v>
      </c>
      <c r="U46" s="138">
        <v>3.2253000736236599</v>
      </c>
      <c r="AG46" s="138">
        <v>1.59309995174408</v>
      </c>
      <c r="AJ46" s="138">
        <v>1.4268000126</v>
      </c>
      <c r="AY46" s="138">
        <v>1.1000000000000001</v>
      </c>
      <c r="AZ46" s="138">
        <v>0.8</v>
      </c>
      <c r="BN46" s="160">
        <f t="shared" si="0"/>
        <v>0.8</v>
      </c>
      <c r="BO46" s="628">
        <f t="shared" si="1"/>
        <v>0.8</v>
      </c>
      <c r="BP46" s="627" t="str">
        <f>INDEX('HCW Summary Data'!$D$9:$D$272,MATCH($B46,'HCW Summary Data'!$B$9:$B$272,0))</f>
        <v>Lower middle income</v>
      </c>
      <c r="BQ46" s="630">
        <f t="shared" si="2"/>
        <v>2.3800000000000003</v>
      </c>
    </row>
    <row r="47" spans="2:69" x14ac:dyDescent="0.25">
      <c r="B47" s="138" t="s">
        <v>462</v>
      </c>
      <c r="C47" s="138" t="s">
        <v>29</v>
      </c>
      <c r="D47" s="138" t="s">
        <v>907</v>
      </c>
      <c r="E47" s="138" t="s">
        <v>908</v>
      </c>
      <c r="F47" s="138">
        <v>3.7570850849151598</v>
      </c>
      <c r="P47" s="138">
        <v>4.3871998786926296</v>
      </c>
      <c r="AJ47" s="138">
        <v>3.3499999046000002</v>
      </c>
      <c r="AY47" s="138">
        <v>1.6</v>
      </c>
      <c r="BN47" s="160">
        <f t="shared" si="0"/>
        <v>1.6</v>
      </c>
      <c r="BO47" s="628">
        <f t="shared" si="1"/>
        <v>1.6</v>
      </c>
      <c r="BP47" s="627" t="str">
        <f>INDEX('HCW Summary Data'!$D$9:$D$272,MATCH($B47,'HCW Summary Data'!$B$9:$B$272,0))</f>
        <v>Upper middle income</v>
      </c>
      <c r="BQ47" s="630">
        <f t="shared" si="2"/>
        <v>3.32</v>
      </c>
    </row>
    <row r="48" spans="2:69" x14ac:dyDescent="0.25">
      <c r="B48" s="138" t="s">
        <v>459</v>
      </c>
      <c r="C48" s="138" t="s">
        <v>460</v>
      </c>
      <c r="D48" s="138" t="s">
        <v>907</v>
      </c>
      <c r="E48" s="138" t="s">
        <v>908</v>
      </c>
      <c r="F48" s="138">
        <v>2.5755472183227499</v>
      </c>
      <c r="P48" s="138">
        <v>2.09730005264282</v>
      </c>
      <c r="Z48" s="138">
        <v>1.5641000270843499</v>
      </c>
      <c r="AI48" s="138">
        <v>1.2510999441146899</v>
      </c>
      <c r="AJ48" s="138">
        <v>1.3667000532</v>
      </c>
      <c r="AM48" s="138">
        <v>1.2999999523000001</v>
      </c>
      <c r="AP48" s="138">
        <v>1.4600000381</v>
      </c>
      <c r="AW48" s="138">
        <v>1.1000000238000001</v>
      </c>
      <c r="AX48" s="138">
        <v>1.2</v>
      </c>
      <c r="AZ48" s="138">
        <v>1</v>
      </c>
      <c r="BA48" s="138">
        <v>1</v>
      </c>
      <c r="BE48" s="138">
        <v>1.4</v>
      </c>
      <c r="BF48" s="138">
        <v>1.5</v>
      </c>
      <c r="BG48" s="138">
        <v>1.5</v>
      </c>
      <c r="BH48" s="138">
        <v>1.5</v>
      </c>
      <c r="BN48" s="160">
        <f t="shared" si="0"/>
        <v>1.5</v>
      </c>
      <c r="BO48" s="628">
        <f t="shared" si="1"/>
        <v>1.5</v>
      </c>
      <c r="BP48" s="627" t="str">
        <f>INDEX('HCW Summary Data'!$D$9:$D$272,MATCH($B48,'HCW Summary Data'!$B$9:$B$272,0))</f>
        <v>Lower middle income</v>
      </c>
      <c r="BQ48" s="630">
        <f t="shared" si="2"/>
        <v>2.3800000000000003</v>
      </c>
    </row>
    <row r="49" spans="2:69" x14ac:dyDescent="0.25">
      <c r="B49" s="138" t="s">
        <v>190</v>
      </c>
      <c r="C49" s="138" t="s">
        <v>157</v>
      </c>
      <c r="D49" s="138" t="s">
        <v>907</v>
      </c>
      <c r="E49" s="138" t="s">
        <v>908</v>
      </c>
      <c r="AI49" s="138">
        <v>3.12490010261536</v>
      </c>
      <c r="AJ49" s="138">
        <v>2.7616000175000002</v>
      </c>
      <c r="AZ49" s="138">
        <v>2.2000000000000002</v>
      </c>
      <c r="BD49" s="138">
        <v>2.2000000000000002</v>
      </c>
      <c r="BN49" s="160">
        <f t="shared" si="0"/>
        <v>2.2000000000000002</v>
      </c>
      <c r="BO49" s="628">
        <f t="shared" si="1"/>
        <v>2.2000000000000002</v>
      </c>
      <c r="BP49" s="627" t="str">
        <f>INDEX('HCW Summary Data'!$D$9:$D$272,MATCH($B49,'HCW Summary Data'!$B$9:$B$272,0))</f>
        <v>Low income</v>
      </c>
      <c r="BQ49" s="630">
        <f t="shared" si="2"/>
        <v>1.63</v>
      </c>
    </row>
    <row r="50" spans="2:69" x14ac:dyDescent="0.25">
      <c r="B50" s="138" t="s">
        <v>448</v>
      </c>
      <c r="C50" s="138" t="s">
        <v>30</v>
      </c>
      <c r="D50" s="138" t="s">
        <v>907</v>
      </c>
      <c r="E50" s="138" t="s">
        <v>908</v>
      </c>
      <c r="P50" s="138">
        <v>1.4082000255584699</v>
      </c>
      <c r="Z50" s="138">
        <v>2.1868999004364</v>
      </c>
      <c r="AH50" s="138">
        <v>1.59769999980927</v>
      </c>
      <c r="AL50" s="138">
        <v>1.5830999613000001</v>
      </c>
      <c r="AY50" s="138">
        <v>2.1</v>
      </c>
      <c r="BB50" s="138">
        <v>2.1</v>
      </c>
      <c r="BD50" s="138">
        <v>2.1</v>
      </c>
      <c r="BN50" s="160">
        <f t="shared" si="0"/>
        <v>2.1</v>
      </c>
      <c r="BO50" s="628">
        <f t="shared" si="1"/>
        <v>2.1</v>
      </c>
      <c r="BP50" s="627" t="str">
        <f>INDEX('HCW Summary Data'!$D$9:$D$272,MATCH($B50,'HCW Summary Data'!$B$9:$B$272,0))</f>
        <v>Lower middle income</v>
      </c>
      <c r="BQ50" s="630">
        <f t="shared" si="2"/>
        <v>2.3800000000000003</v>
      </c>
    </row>
    <row r="51" spans="2:69" x14ac:dyDescent="0.25">
      <c r="B51" s="138" t="s">
        <v>463</v>
      </c>
      <c r="C51" s="138" t="s">
        <v>31</v>
      </c>
      <c r="D51" s="138" t="s">
        <v>907</v>
      </c>
      <c r="E51" s="138" t="s">
        <v>908</v>
      </c>
      <c r="F51" s="138">
        <v>4.7907772064209002</v>
      </c>
      <c r="P51" s="138">
        <v>3.9395999908447301</v>
      </c>
      <c r="Z51" s="138">
        <v>3.3143999576568599</v>
      </c>
      <c r="AJ51" s="138">
        <v>2.5</v>
      </c>
      <c r="AN51" s="138">
        <v>1.793900013</v>
      </c>
      <c r="AO51" s="138">
        <v>1.7799999714000001</v>
      </c>
      <c r="AP51" s="138">
        <v>1.75</v>
      </c>
      <c r="AQ51" s="138">
        <v>1.7100000381</v>
      </c>
      <c r="AR51" s="138">
        <v>1.6799999475</v>
      </c>
      <c r="AW51" s="138">
        <v>1.3999999761999999</v>
      </c>
      <c r="AX51" s="138">
        <v>1.4</v>
      </c>
      <c r="AZ51" s="138">
        <v>1.3</v>
      </c>
      <c r="BA51" s="138">
        <v>1.3</v>
      </c>
      <c r="BB51" s="138">
        <v>1.2</v>
      </c>
      <c r="BD51" s="138">
        <v>1.2</v>
      </c>
      <c r="BE51" s="138">
        <v>1.2</v>
      </c>
      <c r="BF51" s="138">
        <v>1.2</v>
      </c>
      <c r="BG51" s="138">
        <v>1.1000000000000001</v>
      </c>
      <c r="BH51" s="138">
        <v>1.1000000000000001</v>
      </c>
      <c r="BI51" s="138">
        <v>1.2</v>
      </c>
      <c r="BN51" s="160">
        <f t="shared" si="0"/>
        <v>1.2</v>
      </c>
      <c r="BO51" s="628">
        <f t="shared" si="1"/>
        <v>1.2</v>
      </c>
      <c r="BP51" s="627" t="str">
        <f>INDEX('HCW Summary Data'!$D$9:$D$272,MATCH($B51,'HCW Summary Data'!$B$9:$B$272,0))</f>
        <v>Lower middle income</v>
      </c>
      <c r="BQ51" s="630">
        <f t="shared" si="2"/>
        <v>2.3800000000000003</v>
      </c>
    </row>
    <row r="52" spans="2:69" x14ac:dyDescent="0.25">
      <c r="B52" s="138" t="s">
        <v>450</v>
      </c>
      <c r="C52" s="138" t="s">
        <v>451</v>
      </c>
      <c r="D52" s="138" t="s">
        <v>907</v>
      </c>
      <c r="E52" s="138" t="s">
        <v>908</v>
      </c>
      <c r="F52" s="138">
        <v>5.0542402852015282</v>
      </c>
      <c r="P52" s="138">
        <v>4.9959717435372122</v>
      </c>
      <c r="U52" s="138">
        <v>4.9904186611762009</v>
      </c>
      <c r="AJ52" s="138">
        <v>3.6200715680923494</v>
      </c>
      <c r="AM52" s="138">
        <v>2.821147878470105</v>
      </c>
      <c r="AO52" s="138">
        <v>3.0915157625909475</v>
      </c>
      <c r="AP52" s="138">
        <v>3.4794432509606446</v>
      </c>
      <c r="AU52" s="138">
        <v>2.492976553433266</v>
      </c>
      <c r="AW52" s="138">
        <v>2.5315270020133447</v>
      </c>
      <c r="AY52" s="138">
        <v>2.4425735934444379</v>
      </c>
      <c r="AZ52" s="138">
        <v>2.5565645478298715</v>
      </c>
      <c r="BA52" s="138">
        <v>2.1822798207752832</v>
      </c>
      <c r="BC52" s="138">
        <v>2.3005340343089831</v>
      </c>
      <c r="BD52" s="138">
        <v>2.3247974745989368</v>
      </c>
      <c r="BF52" s="138">
        <v>2.3547239173376635</v>
      </c>
      <c r="BG52" s="138">
        <v>2.2672339247277939</v>
      </c>
      <c r="BN52" s="160">
        <f t="shared" si="0"/>
        <v>2.2672339247277939</v>
      </c>
      <c r="BO52" s="628">
        <f t="shared" si="1"/>
        <v>2.2672339247277939</v>
      </c>
      <c r="BP52" s="627" t="str">
        <f>INDEX('HCW Summary Data'!$D$9:$D$272,MATCH($B52,'HCW Summary Data'!$B$9:$B$272,0))</f>
        <v>OUT</v>
      </c>
      <c r="BQ52" s="630">
        <f t="shared" si="2"/>
        <v>2.7250000000000001</v>
      </c>
    </row>
    <row r="53" spans="2:69" x14ac:dyDescent="0.25">
      <c r="B53" s="138" t="s">
        <v>221</v>
      </c>
      <c r="C53" s="138" t="s">
        <v>161</v>
      </c>
      <c r="D53" s="138" t="s">
        <v>907</v>
      </c>
      <c r="E53" s="138" t="s">
        <v>908</v>
      </c>
      <c r="F53" s="138">
        <v>4.3664994239807102</v>
      </c>
      <c r="P53" s="138">
        <v>4.6324000358581499</v>
      </c>
      <c r="AJ53" s="138">
        <v>5.4211997986</v>
      </c>
      <c r="AM53" s="138">
        <v>6</v>
      </c>
      <c r="AP53" s="138">
        <v>5.1300001143999996</v>
      </c>
      <c r="AW53" s="138">
        <v>4.9000000954000003</v>
      </c>
      <c r="AY53" s="138">
        <v>4.9000000000000004</v>
      </c>
      <c r="AZ53" s="138">
        <v>4.9000000000000004</v>
      </c>
      <c r="BA53" s="138">
        <v>4.9000000000000004</v>
      </c>
      <c r="BB53" s="138">
        <v>6</v>
      </c>
      <c r="BC53" s="138">
        <v>5.9</v>
      </c>
      <c r="BD53" s="138">
        <v>5.9</v>
      </c>
      <c r="BE53" s="138">
        <v>5.0999999999999996</v>
      </c>
      <c r="BF53" s="138">
        <v>5.3</v>
      </c>
      <c r="BG53" s="138">
        <v>5.0999999999999996</v>
      </c>
      <c r="BH53" s="138">
        <v>5.2</v>
      </c>
      <c r="BN53" s="160">
        <f t="shared" si="0"/>
        <v>5.2</v>
      </c>
      <c r="BO53" s="628">
        <f t="shared" si="1"/>
        <v>5.2</v>
      </c>
      <c r="BP53" s="627" t="str">
        <f>INDEX('HCW Summary Data'!$D$9:$D$272,MATCH($B53,'HCW Summary Data'!$B$9:$B$272,0))</f>
        <v>High income</v>
      </c>
      <c r="BQ53" s="630">
        <f t="shared" si="2"/>
        <v>3.5700000000000003</v>
      </c>
    </row>
    <row r="54" spans="2:69" x14ac:dyDescent="0.25">
      <c r="B54" s="138" t="s">
        <v>466</v>
      </c>
      <c r="C54" s="138" t="s">
        <v>467</v>
      </c>
      <c r="D54" s="138" t="s">
        <v>907</v>
      </c>
      <c r="E54" s="138" t="s">
        <v>908</v>
      </c>
      <c r="BN54" s="160" t="str">
        <f t="shared" si="0"/>
        <v>No reported value</v>
      </c>
      <c r="BO54" s="628">
        <f t="shared" si="1"/>
        <v>4.82</v>
      </c>
      <c r="BP54" s="627" t="str">
        <f>INDEX('HCW Summary Data'!$D$9:$D$272,MATCH($B54,'HCW Summary Data'!$B$9:$B$272,0))</f>
        <v>High income</v>
      </c>
      <c r="BQ54" s="630">
        <f t="shared" si="2"/>
        <v>3.5700000000000003</v>
      </c>
    </row>
    <row r="55" spans="2:69" x14ac:dyDescent="0.25">
      <c r="B55" s="138" t="s">
        <v>452</v>
      </c>
      <c r="C55" s="138" t="s">
        <v>453</v>
      </c>
      <c r="D55" s="138" t="s">
        <v>907</v>
      </c>
      <c r="E55" s="138" t="s">
        <v>908</v>
      </c>
      <c r="AJ55" s="138">
        <v>3</v>
      </c>
      <c r="BN55" s="160">
        <f t="shared" si="0"/>
        <v>3</v>
      </c>
      <c r="BO55" s="628">
        <f t="shared" si="1"/>
        <v>3</v>
      </c>
      <c r="BP55" s="627" t="str">
        <f>INDEX('HCW Summary Data'!$D$9:$D$272,MATCH($B55,'HCW Summary Data'!$B$9:$B$272,0))</f>
        <v>Low income</v>
      </c>
      <c r="BQ55" s="630">
        <f t="shared" si="2"/>
        <v>1.63</v>
      </c>
    </row>
    <row r="56" spans="2:69" x14ac:dyDescent="0.25">
      <c r="B56" s="138" t="s">
        <v>468</v>
      </c>
      <c r="C56" s="138" t="s">
        <v>32</v>
      </c>
      <c r="D56" s="138" t="s">
        <v>907</v>
      </c>
      <c r="E56" s="138" t="s">
        <v>908</v>
      </c>
      <c r="F56" s="138">
        <v>4.52356004714966</v>
      </c>
      <c r="P56" s="138">
        <v>5.3821001052856401</v>
      </c>
      <c r="Z56" s="138">
        <v>5.6529998779296902</v>
      </c>
      <c r="AA56" s="138">
        <v>5.7200999259948704</v>
      </c>
      <c r="AI56" s="138">
        <v>5.0864000320434597</v>
      </c>
      <c r="AT56" s="138">
        <v>4.5</v>
      </c>
      <c r="AU56" s="138">
        <v>4.4000000000000004</v>
      </c>
      <c r="AV56" s="138">
        <v>4.4000000000000004</v>
      </c>
      <c r="AW56" s="138">
        <v>4.3</v>
      </c>
      <c r="AX56" s="138">
        <v>4.2</v>
      </c>
      <c r="AY56" s="138">
        <v>3.8</v>
      </c>
      <c r="AZ56" s="138">
        <v>3.7</v>
      </c>
      <c r="BA56" s="138">
        <v>3.8</v>
      </c>
      <c r="BB56" s="138">
        <v>3.8</v>
      </c>
      <c r="BC56" s="138">
        <v>3.7</v>
      </c>
      <c r="BD56" s="138">
        <v>3.5</v>
      </c>
      <c r="BE56" s="138">
        <v>3.5</v>
      </c>
      <c r="BF56" s="138">
        <v>3.5</v>
      </c>
      <c r="BG56" s="138">
        <v>3.4</v>
      </c>
      <c r="BN56" s="160">
        <f t="shared" si="0"/>
        <v>3.4</v>
      </c>
      <c r="BO56" s="628">
        <f t="shared" si="1"/>
        <v>3.4</v>
      </c>
      <c r="BP56" s="627" t="str">
        <f>INDEX('HCW Summary Data'!$D$9:$D$272,MATCH($B56,'HCW Summary Data'!$B$9:$B$272,0))</f>
        <v>High income</v>
      </c>
      <c r="BQ56" s="630">
        <f t="shared" si="2"/>
        <v>3.5700000000000003</v>
      </c>
    </row>
    <row r="57" spans="2:69" x14ac:dyDescent="0.25">
      <c r="B57" s="138" t="s">
        <v>469</v>
      </c>
      <c r="C57" s="138" t="s">
        <v>33</v>
      </c>
      <c r="D57" s="138" t="s">
        <v>907</v>
      </c>
      <c r="E57" s="138" t="s">
        <v>908</v>
      </c>
      <c r="Z57" s="138">
        <v>11.300000190734901</v>
      </c>
      <c r="AE57" s="138">
        <v>11.3999996185303</v>
      </c>
      <c r="AJ57" s="138">
        <v>11.300000190700001</v>
      </c>
      <c r="AK57" s="138">
        <v>11.100000381499999</v>
      </c>
      <c r="AL57" s="138">
        <v>10.699999809299999</v>
      </c>
      <c r="AM57" s="138">
        <v>10.399999618500001</v>
      </c>
      <c r="AN57" s="138">
        <v>10.199999809299999</v>
      </c>
      <c r="AT57" s="138">
        <v>7.8</v>
      </c>
      <c r="AU57" s="138">
        <v>7.8</v>
      </c>
      <c r="AV57" s="138">
        <v>7.8</v>
      </c>
      <c r="AW57" s="138">
        <v>7.7</v>
      </c>
      <c r="AX57" s="138">
        <v>7.6</v>
      </c>
      <c r="AY57" s="138">
        <v>7.6</v>
      </c>
      <c r="AZ57" s="138">
        <v>7.4</v>
      </c>
      <c r="BA57" s="138">
        <v>7.3</v>
      </c>
      <c r="BB57" s="138">
        <v>7.2</v>
      </c>
      <c r="BC57" s="138">
        <v>7.1</v>
      </c>
      <c r="BD57" s="138">
        <v>7</v>
      </c>
      <c r="BE57" s="138">
        <v>6.8</v>
      </c>
      <c r="BF57" s="138">
        <v>6.7</v>
      </c>
      <c r="BG57" s="138">
        <v>6.5</v>
      </c>
      <c r="BI57" s="138">
        <v>6.5</v>
      </c>
      <c r="BN57" s="160">
        <f t="shared" si="0"/>
        <v>6.5</v>
      </c>
      <c r="BO57" s="628">
        <f t="shared" si="1"/>
        <v>6.5</v>
      </c>
      <c r="BP57" s="627" t="str">
        <f>INDEX('HCW Summary Data'!$D$9:$D$272,MATCH($B57,'HCW Summary Data'!$B$9:$B$272,0))</f>
        <v>High income</v>
      </c>
      <c r="BQ57" s="630">
        <f t="shared" si="2"/>
        <v>3.5700000000000003</v>
      </c>
    </row>
    <row r="58" spans="2:69" x14ac:dyDescent="0.25">
      <c r="B58" s="138" t="s">
        <v>506</v>
      </c>
      <c r="C58" s="138" t="s">
        <v>34</v>
      </c>
      <c r="D58" s="138" t="s">
        <v>907</v>
      </c>
      <c r="E58" s="138" t="s">
        <v>908</v>
      </c>
      <c r="F58" s="138">
        <v>10.5</v>
      </c>
      <c r="P58" s="138">
        <v>11.300000190734901</v>
      </c>
      <c r="Z58" s="138">
        <v>11.5</v>
      </c>
      <c r="AE58" s="138">
        <v>11</v>
      </c>
      <c r="AJ58" s="138">
        <v>10.399999618500001</v>
      </c>
      <c r="AK58" s="138">
        <v>10.100000381499999</v>
      </c>
      <c r="AL58" s="138">
        <v>9.8999996185000008</v>
      </c>
      <c r="AM58" s="138">
        <v>9.6999998092999995</v>
      </c>
      <c r="AN58" s="138">
        <v>9.6999998092999995</v>
      </c>
      <c r="AO58" s="138">
        <v>9.6999998092999995</v>
      </c>
      <c r="AP58" s="138">
        <v>9.6000003814999992</v>
      </c>
      <c r="AQ58" s="138">
        <v>9.3999996185000008</v>
      </c>
      <c r="AR58" s="138">
        <v>9.3000001907000005</v>
      </c>
      <c r="AS58" s="138">
        <v>9.1999998092999995</v>
      </c>
      <c r="AT58" s="138">
        <v>9.1</v>
      </c>
      <c r="AU58" s="138">
        <v>9</v>
      </c>
      <c r="AV58" s="138">
        <v>8.9</v>
      </c>
      <c r="AW58" s="138">
        <v>8.6999999999999993</v>
      </c>
      <c r="AX58" s="138">
        <v>8.6</v>
      </c>
      <c r="AY58" s="138">
        <v>8.5</v>
      </c>
      <c r="AZ58" s="138">
        <v>8.3000000000000007</v>
      </c>
      <c r="BA58" s="138">
        <v>8.1999999999999993</v>
      </c>
      <c r="BB58" s="138">
        <v>8.1999999999999993</v>
      </c>
      <c r="BC58" s="138">
        <v>8.1999999999999993</v>
      </c>
      <c r="BD58" s="138">
        <v>8.1999999999999993</v>
      </c>
      <c r="BE58" s="138">
        <v>8.1999999999999993</v>
      </c>
      <c r="BF58" s="138">
        <v>8.1999999999999993</v>
      </c>
      <c r="BG58" s="138">
        <v>8.3000000000000007</v>
      </c>
      <c r="BN58" s="160">
        <f t="shared" si="0"/>
        <v>8.3000000000000007</v>
      </c>
      <c r="BO58" s="628">
        <f t="shared" si="1"/>
        <v>8.3000000000000007</v>
      </c>
      <c r="BP58" s="627" t="str">
        <f>INDEX('HCW Summary Data'!$D$9:$D$272,MATCH($B58,'HCW Summary Data'!$B$9:$B$272,0))</f>
        <v>Lower middle income</v>
      </c>
      <c r="BQ58" s="630">
        <f t="shared" si="2"/>
        <v>2.3800000000000003</v>
      </c>
    </row>
    <row r="59" spans="2:69" x14ac:dyDescent="0.25">
      <c r="B59" s="138" t="s">
        <v>231</v>
      </c>
      <c r="C59" s="138" t="s">
        <v>35</v>
      </c>
      <c r="D59" s="138" t="s">
        <v>907</v>
      </c>
      <c r="E59" s="138" t="s">
        <v>908</v>
      </c>
      <c r="F59" s="138">
        <v>7.8313255310058603</v>
      </c>
      <c r="P59" s="138">
        <v>6.0774002075195304</v>
      </c>
      <c r="AA59" s="138">
        <v>3.6105000972747798</v>
      </c>
      <c r="AJ59" s="138">
        <v>2.5397000313000002</v>
      </c>
      <c r="AT59" s="138">
        <v>1.8</v>
      </c>
      <c r="AU59" s="138">
        <v>1.8</v>
      </c>
      <c r="AV59" s="138">
        <v>1.8</v>
      </c>
      <c r="AW59" s="138">
        <v>1.6</v>
      </c>
      <c r="AX59" s="138">
        <v>1.6</v>
      </c>
      <c r="AY59" s="138">
        <v>1.6</v>
      </c>
      <c r="AZ59" s="138">
        <v>1.6</v>
      </c>
      <c r="BD59" s="138">
        <v>1.4</v>
      </c>
      <c r="BE59" s="138">
        <v>1.4</v>
      </c>
      <c r="BF59" s="138">
        <v>1.4</v>
      </c>
      <c r="BG59" s="138">
        <v>1.4</v>
      </c>
      <c r="BH59" s="138">
        <v>1.4</v>
      </c>
      <c r="BN59" s="160">
        <f t="shared" si="0"/>
        <v>1.4</v>
      </c>
      <c r="BO59" s="628">
        <f t="shared" si="1"/>
        <v>1.4</v>
      </c>
      <c r="BP59" s="627" t="str">
        <f>INDEX('HCW Summary Data'!$D$9:$D$272,MATCH($B59,'HCW Summary Data'!$B$9:$B$272,0))</f>
        <v>Upper middle income</v>
      </c>
      <c r="BQ59" s="630">
        <f t="shared" si="2"/>
        <v>3.32</v>
      </c>
    </row>
    <row r="60" spans="2:69" x14ac:dyDescent="0.25">
      <c r="B60" s="138" t="s">
        <v>471</v>
      </c>
      <c r="C60" s="138" t="s">
        <v>472</v>
      </c>
      <c r="D60" s="138" t="s">
        <v>907</v>
      </c>
      <c r="E60" s="138" t="s">
        <v>908</v>
      </c>
      <c r="F60" s="138">
        <v>4.5439467430114702</v>
      </c>
      <c r="P60" s="138">
        <v>4.4443998336792001</v>
      </c>
      <c r="AJ60" s="138">
        <v>3</v>
      </c>
      <c r="AM60" s="138">
        <v>2.5938999652999999</v>
      </c>
      <c r="AO60" s="138">
        <v>3.6</v>
      </c>
      <c r="AP60" s="138">
        <v>2.6500000953999998</v>
      </c>
      <c r="AT60" s="138">
        <v>3.8</v>
      </c>
      <c r="AU60" s="138">
        <v>3.5</v>
      </c>
      <c r="AV60" s="138">
        <v>3.9000000953999998</v>
      </c>
      <c r="AW60" s="138">
        <v>3.9</v>
      </c>
      <c r="AX60" s="138">
        <v>3.9</v>
      </c>
      <c r="AY60" s="138">
        <v>3.9</v>
      </c>
      <c r="BA60" s="138">
        <v>4</v>
      </c>
      <c r="BB60" s="138">
        <v>3.8</v>
      </c>
      <c r="BC60" s="138">
        <v>3.8</v>
      </c>
      <c r="BD60" s="138">
        <v>3.8</v>
      </c>
      <c r="BE60" s="138">
        <v>3.8</v>
      </c>
      <c r="BF60" s="138">
        <v>3.8</v>
      </c>
      <c r="BN60" s="160">
        <f t="shared" si="0"/>
        <v>3.8</v>
      </c>
      <c r="BO60" s="628">
        <f t="shared" si="1"/>
        <v>3.8</v>
      </c>
      <c r="BP60" s="627" t="str">
        <f>INDEX('HCW Summary Data'!$D$9:$D$272,MATCH($B60,'HCW Summary Data'!$B$9:$B$272,0))</f>
        <v>Upper middle income</v>
      </c>
      <c r="BQ60" s="630">
        <f t="shared" si="2"/>
        <v>3.32</v>
      </c>
    </row>
    <row r="61" spans="2:69" x14ac:dyDescent="0.25">
      <c r="B61" s="138" t="s">
        <v>470</v>
      </c>
      <c r="C61" s="138" t="s">
        <v>36</v>
      </c>
      <c r="D61" s="138" t="s">
        <v>907</v>
      </c>
      <c r="E61" s="138" t="s">
        <v>908</v>
      </c>
      <c r="P61" s="138">
        <v>8.1000003814697301</v>
      </c>
      <c r="R61" s="138">
        <v>8.3999996185302699</v>
      </c>
      <c r="S61" s="138">
        <v>8.3000001907348597</v>
      </c>
      <c r="T61" s="138">
        <v>8.5</v>
      </c>
      <c r="U61" s="138">
        <v>8.5</v>
      </c>
      <c r="V61" s="138">
        <v>8.6000003814697301</v>
      </c>
      <c r="W61" s="138">
        <v>8.3999996185302699</v>
      </c>
      <c r="X61" s="138">
        <v>8.5</v>
      </c>
      <c r="Y61" s="138">
        <v>8.1999998092651403</v>
      </c>
      <c r="Z61" s="138">
        <v>8.1000003814697301</v>
      </c>
      <c r="AA61" s="138">
        <v>7.8000001907348597</v>
      </c>
      <c r="AB61" s="138">
        <v>7.6999998092651403</v>
      </c>
      <c r="AC61" s="138">
        <v>7.4000000953674299</v>
      </c>
      <c r="AD61" s="138">
        <v>7.0999999046325701</v>
      </c>
      <c r="AE61" s="138">
        <v>7</v>
      </c>
      <c r="AF61" s="138">
        <v>6.9000000953674299</v>
      </c>
      <c r="AG61" s="138">
        <v>6.1999998092651403</v>
      </c>
      <c r="AH61" s="138">
        <v>6</v>
      </c>
      <c r="AI61" s="138">
        <v>5.8000001907348597</v>
      </c>
      <c r="AJ61" s="138">
        <v>5.5999999045999997</v>
      </c>
      <c r="AK61" s="138">
        <v>5.4000000954000003</v>
      </c>
      <c r="AL61" s="138">
        <v>5.0999999045999997</v>
      </c>
      <c r="AM61" s="138">
        <v>5</v>
      </c>
      <c r="AN61" s="138">
        <v>5</v>
      </c>
      <c r="AO61" s="138">
        <v>4.9000000954000003</v>
      </c>
      <c r="AP61" s="138">
        <v>4.6999998093000004</v>
      </c>
      <c r="AQ61" s="138">
        <v>4.5999999045999997</v>
      </c>
      <c r="AR61" s="138">
        <v>4.5</v>
      </c>
      <c r="AS61" s="138">
        <v>4.3000001906999996</v>
      </c>
      <c r="AT61" s="138">
        <v>4.3</v>
      </c>
      <c r="AU61" s="138">
        <v>4.2</v>
      </c>
      <c r="AV61" s="138">
        <v>4.3</v>
      </c>
      <c r="AW61" s="138">
        <v>4.0999999999999996</v>
      </c>
      <c r="AX61" s="138">
        <v>4</v>
      </c>
      <c r="AY61" s="138">
        <v>3.9</v>
      </c>
      <c r="AZ61" s="138">
        <v>3.8</v>
      </c>
      <c r="BA61" s="138">
        <v>3.7</v>
      </c>
      <c r="BB61" s="138">
        <v>3.6</v>
      </c>
      <c r="BC61" s="138">
        <v>3.5</v>
      </c>
      <c r="BD61" s="138">
        <v>3.5</v>
      </c>
      <c r="BE61" s="138">
        <v>3.1</v>
      </c>
      <c r="BG61" s="138">
        <v>3.1</v>
      </c>
      <c r="BI61" s="138">
        <v>2.5</v>
      </c>
      <c r="BN61" s="160">
        <f t="shared" si="0"/>
        <v>2.5</v>
      </c>
      <c r="BO61" s="628">
        <f t="shared" si="1"/>
        <v>2.5</v>
      </c>
      <c r="BP61" s="627" t="str">
        <f>INDEX('HCW Summary Data'!$D$9:$D$272,MATCH($B61,'HCW Summary Data'!$B$9:$B$272,0))</f>
        <v>Lower middle income</v>
      </c>
      <c r="BQ61" s="630">
        <f t="shared" si="2"/>
        <v>2.3800000000000003</v>
      </c>
    </row>
    <row r="62" spans="2:69" x14ac:dyDescent="0.25">
      <c r="B62" s="138" t="s">
        <v>473</v>
      </c>
      <c r="C62" s="138" t="s">
        <v>474</v>
      </c>
      <c r="D62" s="138" t="s">
        <v>907</v>
      </c>
      <c r="E62" s="138" t="s">
        <v>908</v>
      </c>
      <c r="F62" s="138">
        <v>2.3286907672882098</v>
      </c>
      <c r="P62" s="138">
        <v>2.6394000053405802</v>
      </c>
      <c r="U62" s="138">
        <v>2.5014998912811302</v>
      </c>
      <c r="AJ62" s="138">
        <v>1.8812999724999999</v>
      </c>
      <c r="AM62" s="138">
        <v>2</v>
      </c>
      <c r="AP62" s="138">
        <v>1.5</v>
      </c>
      <c r="AW62" s="138">
        <v>2.0999999046000002</v>
      </c>
      <c r="AY62" s="138">
        <v>2</v>
      </c>
      <c r="BA62" s="138">
        <v>1</v>
      </c>
      <c r="BB62" s="138">
        <v>1</v>
      </c>
      <c r="BC62" s="138">
        <v>1</v>
      </c>
      <c r="BD62" s="138">
        <v>1.6</v>
      </c>
      <c r="BE62" s="138">
        <v>1.7</v>
      </c>
      <c r="BG62" s="138">
        <v>1.6</v>
      </c>
      <c r="BH62" s="138">
        <v>1.6</v>
      </c>
      <c r="BN62" s="160">
        <f t="shared" si="0"/>
        <v>1.6</v>
      </c>
      <c r="BO62" s="628">
        <f t="shared" si="1"/>
        <v>1.6</v>
      </c>
      <c r="BP62" s="627" t="str">
        <f>INDEX('HCW Summary Data'!$D$9:$D$272,MATCH($B62,'HCW Summary Data'!$B$9:$B$272,0))</f>
        <v>Upper middle income</v>
      </c>
      <c r="BQ62" s="630">
        <f t="shared" si="2"/>
        <v>3.32</v>
      </c>
    </row>
    <row r="63" spans="2:69" x14ac:dyDescent="0.25">
      <c r="B63" s="138" t="s">
        <v>420</v>
      </c>
      <c r="C63" s="138" t="s">
        <v>37</v>
      </c>
      <c r="D63" s="138" t="s">
        <v>907</v>
      </c>
      <c r="E63" s="138" t="s">
        <v>908</v>
      </c>
      <c r="F63" s="138">
        <v>3.1874074935913099</v>
      </c>
      <c r="P63" s="138">
        <v>2.8424999713897701</v>
      </c>
      <c r="AF63" s="138">
        <v>2.4883999824523899</v>
      </c>
      <c r="AH63" s="138">
        <v>2.62899994850159</v>
      </c>
      <c r="AI63" s="138">
        <v>2.5643999576568599</v>
      </c>
      <c r="AJ63" s="138">
        <v>2.4993000031000001</v>
      </c>
      <c r="AN63" s="138">
        <v>2.1031999587999999</v>
      </c>
      <c r="AR63" s="138">
        <v>2.0999999046000002</v>
      </c>
      <c r="AX63" s="138">
        <v>1.7</v>
      </c>
      <c r="BI63" s="138">
        <v>1.9</v>
      </c>
      <c r="BN63" s="160">
        <f t="shared" si="0"/>
        <v>1.9</v>
      </c>
      <c r="BO63" s="628">
        <f t="shared" si="1"/>
        <v>1.9</v>
      </c>
      <c r="BP63" s="627" t="str">
        <f>INDEX('HCW Summary Data'!$D$9:$D$272,MATCH($B63,'HCW Summary Data'!$B$9:$B$272,0))</f>
        <v>Upper middle income</v>
      </c>
      <c r="BQ63" s="630">
        <f t="shared" si="2"/>
        <v>3.32</v>
      </c>
    </row>
    <row r="64" spans="2:69" x14ac:dyDescent="0.25">
      <c r="B64" s="138" t="s">
        <v>479</v>
      </c>
      <c r="C64" s="138" t="s">
        <v>480</v>
      </c>
      <c r="D64" s="138" t="s">
        <v>907</v>
      </c>
      <c r="E64" s="138" t="s">
        <v>908</v>
      </c>
      <c r="K64" s="138">
        <v>1.4400000572204601</v>
      </c>
      <c r="L64" s="138">
        <v>1.5199999809265097</v>
      </c>
      <c r="M64" s="138">
        <v>1.5</v>
      </c>
      <c r="N64" s="138">
        <v>1.45000004768372</v>
      </c>
      <c r="O64" s="138">
        <v>1.45000004768372</v>
      </c>
      <c r="P64" s="138">
        <v>1.4418845852024127</v>
      </c>
      <c r="Q64" s="138">
        <v>1.58000004291534</v>
      </c>
      <c r="R64" s="138">
        <v>1.71000003814697</v>
      </c>
      <c r="S64" s="138">
        <v>1.7699999809265099</v>
      </c>
      <c r="T64" s="138">
        <v>1.8500000238418601</v>
      </c>
      <c r="U64" s="138">
        <v>1.781145328361206</v>
      </c>
      <c r="V64" s="138">
        <v>1.9873244335741538</v>
      </c>
      <c r="W64" s="138">
        <v>2.0699999332428001</v>
      </c>
      <c r="X64" s="138">
        <v>2.1400001049041699</v>
      </c>
      <c r="Y64" s="138">
        <v>2.2000000476837198</v>
      </c>
      <c r="Z64" s="138">
        <v>2.2237280297986226</v>
      </c>
      <c r="AA64" s="138">
        <v>2.2944433840718892</v>
      </c>
      <c r="AB64" s="138">
        <v>2.2341767405230057</v>
      </c>
      <c r="AC64" s="138">
        <v>2.2624806304022251</v>
      </c>
      <c r="AD64" s="138">
        <v>2.3100079927720474</v>
      </c>
      <c r="AE64" s="138">
        <v>2.1220048777816523</v>
      </c>
      <c r="AF64" s="138">
        <v>2.365937305387547</v>
      </c>
      <c r="AG64" s="138">
        <v>2.4799684931745709</v>
      </c>
      <c r="AH64" s="138">
        <v>2.5366463166226429</v>
      </c>
      <c r="AI64" s="138">
        <v>2.3565014272552718</v>
      </c>
      <c r="AJ64" s="138">
        <v>2.2787709059376415</v>
      </c>
      <c r="AK64" s="138">
        <v>2.2722516619535922</v>
      </c>
      <c r="AL64" s="138">
        <v>2.2777069907449761</v>
      </c>
      <c r="AM64" s="138">
        <v>2.2919769188919759</v>
      </c>
      <c r="AN64" s="138">
        <v>2.3496088918205911</v>
      </c>
      <c r="AO64" s="138">
        <v>2.5720545817157396</v>
      </c>
      <c r="AP64" s="138">
        <v>2.5408365363524146</v>
      </c>
      <c r="AQ64" s="138">
        <v>2.4980746146048984</v>
      </c>
      <c r="AR64" s="138">
        <v>2.2557050858077625</v>
      </c>
      <c r="AS64" s="138">
        <v>2.5048830581538994</v>
      </c>
      <c r="AT64" s="138">
        <v>2.4434965467112728</v>
      </c>
      <c r="AU64" s="138">
        <v>2.4032453335950055</v>
      </c>
      <c r="AV64" s="138">
        <v>2.1757774135088632</v>
      </c>
      <c r="AW64" s="138">
        <v>2.2002094602436109</v>
      </c>
      <c r="AX64" s="138">
        <v>2.9656498563794167</v>
      </c>
      <c r="AY64" s="138">
        <v>2.4265117760837809</v>
      </c>
      <c r="AZ64" s="138">
        <v>2.105849518605877</v>
      </c>
      <c r="BC64" s="138">
        <v>3.8759164044274304</v>
      </c>
      <c r="BD64" s="138">
        <v>2.9969576480971458</v>
      </c>
      <c r="BE64" s="138">
        <v>3.5553882591873687</v>
      </c>
      <c r="BF64" s="138">
        <v>3.6474003099242402</v>
      </c>
      <c r="BN64" s="160">
        <f t="shared" si="0"/>
        <v>3.6474003099242402</v>
      </c>
      <c r="BO64" s="628">
        <f t="shared" si="1"/>
        <v>3.6474003099242402</v>
      </c>
      <c r="BP64" s="627" t="str">
        <f>INDEX('HCW Summary Data'!$D$9:$D$272,MATCH($B64,'HCW Summary Data'!$B$9:$B$272,0))</f>
        <v>OUT</v>
      </c>
      <c r="BQ64" s="630">
        <f t="shared" si="2"/>
        <v>2.7250000000000001</v>
      </c>
    </row>
    <row r="65" spans="2:69" x14ac:dyDescent="0.25">
      <c r="B65" s="138" t="s">
        <v>475</v>
      </c>
      <c r="C65" s="138" t="s">
        <v>476</v>
      </c>
      <c r="D65" s="138" t="s">
        <v>907</v>
      </c>
      <c r="E65" s="138" t="s">
        <v>908</v>
      </c>
      <c r="F65" s="138">
        <v>0.92014068075675493</v>
      </c>
      <c r="P65" s="138">
        <v>0.9674259965935863</v>
      </c>
      <c r="U65" s="138">
        <v>0.88783230114551148</v>
      </c>
      <c r="Z65" s="138">
        <v>1.0389909371006885</v>
      </c>
      <c r="AE65" s="138">
        <v>1.1071949843192255</v>
      </c>
      <c r="AK65" s="138">
        <v>1.0902456227449662</v>
      </c>
      <c r="AV65" s="138">
        <v>0.92328389667531285</v>
      </c>
      <c r="AW65" s="138">
        <v>1.1867955831751253</v>
      </c>
      <c r="AY65" s="138">
        <v>1.2199385789790524</v>
      </c>
      <c r="BE65" s="138">
        <v>1.225174071977523</v>
      </c>
      <c r="BN65" s="160">
        <f t="shared" si="0"/>
        <v>1.225174071977523</v>
      </c>
      <c r="BO65" s="628">
        <f t="shared" si="1"/>
        <v>1.225174071977523</v>
      </c>
      <c r="BP65" s="627" t="str">
        <f>INDEX('HCW Summary Data'!$D$9:$D$272,MATCH($B65,'HCW Summary Data'!$B$9:$B$272,0))</f>
        <v>OUT</v>
      </c>
      <c r="BQ65" s="630">
        <f t="shared" si="2"/>
        <v>2.7250000000000001</v>
      </c>
    </row>
    <row r="66" spans="2:69" x14ac:dyDescent="0.25">
      <c r="B66" s="138" t="s">
        <v>477</v>
      </c>
      <c r="C66" s="138" t="s">
        <v>478</v>
      </c>
      <c r="D66" s="138" t="s">
        <v>907</v>
      </c>
      <c r="E66" s="138" t="s">
        <v>908</v>
      </c>
      <c r="P66" s="138">
        <v>2.5604409087819779</v>
      </c>
      <c r="U66" s="138">
        <v>1.9170610784265285</v>
      </c>
      <c r="V66" s="138">
        <v>2.1282376747925764</v>
      </c>
      <c r="Z66" s="138">
        <v>3.3245762216168999</v>
      </c>
      <c r="AA66" s="138">
        <v>2.4382876835587126</v>
      </c>
      <c r="AB66" s="138">
        <v>2.3829888855423045</v>
      </c>
      <c r="AC66" s="138">
        <v>2.4117675291027241</v>
      </c>
      <c r="AD66" s="138">
        <v>2.4561714855828503</v>
      </c>
      <c r="AE66" s="138">
        <v>3.286506784882953</v>
      </c>
      <c r="AF66" s="138">
        <v>2.3968444982000801</v>
      </c>
      <c r="AI66" s="138">
        <v>2.4876547655988452</v>
      </c>
      <c r="AJ66" s="138">
        <v>2.3412316030651796</v>
      </c>
      <c r="AK66" s="138">
        <v>2.4209089486325808</v>
      </c>
      <c r="AL66" s="138">
        <v>2.4288536459920791</v>
      </c>
      <c r="AM66" s="138">
        <v>3.435135505159753</v>
      </c>
      <c r="AN66" s="138">
        <v>3.5270168254647105</v>
      </c>
      <c r="AO66" s="138">
        <v>3.8012461688585653</v>
      </c>
      <c r="AP66" s="138">
        <v>3.8035866737978621</v>
      </c>
      <c r="AQ66" s="138">
        <v>3.7071163902586619</v>
      </c>
      <c r="AR66" s="138">
        <v>3.3931815174459792</v>
      </c>
      <c r="AS66" s="138">
        <v>3.7006778361321988</v>
      </c>
      <c r="AT66" s="138">
        <v>3.6116040938520952</v>
      </c>
      <c r="AU66" s="138">
        <v>3.3708232843092727</v>
      </c>
      <c r="AV66" s="138">
        <v>3.0847648618839263</v>
      </c>
      <c r="AW66" s="138">
        <v>3.4136565935856353</v>
      </c>
      <c r="AX66" s="138">
        <v>4.0250213497128975</v>
      </c>
      <c r="AY66" s="138">
        <v>3.3582224287216431</v>
      </c>
      <c r="AZ66" s="138">
        <v>3.171012411766156</v>
      </c>
      <c r="BC66" s="138">
        <v>4.7782421783256428</v>
      </c>
      <c r="BD66" s="138">
        <v>3.0072930745980861</v>
      </c>
      <c r="BE66" s="138">
        <v>3.5498561092414782</v>
      </c>
      <c r="BF66" s="138">
        <v>4.4436004873796424</v>
      </c>
      <c r="BN66" s="160">
        <f t="shared" si="0"/>
        <v>4.4436004873796424</v>
      </c>
      <c r="BO66" s="628">
        <f t="shared" si="1"/>
        <v>4.4436004873796424</v>
      </c>
      <c r="BP66" s="627" t="str">
        <f>INDEX('HCW Summary Data'!$D$9:$D$272,MATCH($B66,'HCW Summary Data'!$B$9:$B$272,0))</f>
        <v>OUT</v>
      </c>
      <c r="BQ66" s="630">
        <f t="shared" si="2"/>
        <v>2.7250000000000001</v>
      </c>
    </row>
    <row r="67" spans="2:69" x14ac:dyDescent="0.25">
      <c r="B67" s="138" t="s">
        <v>491</v>
      </c>
      <c r="C67" s="138" t="s">
        <v>492</v>
      </c>
      <c r="D67" s="138" t="s">
        <v>907</v>
      </c>
      <c r="E67" s="138" t="s">
        <v>908</v>
      </c>
      <c r="AE67" s="138">
        <v>10.647881393051197</v>
      </c>
      <c r="AF67" s="138">
        <v>10.69960348321656</v>
      </c>
      <c r="AG67" s="138">
        <v>10.731692249671609</v>
      </c>
      <c r="AH67" s="138">
        <v>10.764226102513124</v>
      </c>
      <c r="AI67" s="138">
        <v>10.785096813596414</v>
      </c>
      <c r="AJ67" s="138">
        <v>10.772121014754356</v>
      </c>
      <c r="AK67" s="138">
        <v>10.527971479941213</v>
      </c>
      <c r="AL67" s="138">
        <v>10.283776701611817</v>
      </c>
      <c r="AM67" s="138">
        <v>10.103069911052978</v>
      </c>
      <c r="AN67" s="138">
        <v>9.7999103685944302</v>
      </c>
      <c r="AO67" s="138">
        <v>9.5780944160588426</v>
      </c>
      <c r="AP67" s="138">
        <v>9.1615508082623087</v>
      </c>
      <c r="AQ67" s="138">
        <v>8.6269556204966609</v>
      </c>
      <c r="AR67" s="138">
        <v>8.3037535671264511</v>
      </c>
      <c r="AS67" s="138">
        <v>8.0750100679826122</v>
      </c>
      <c r="AT67" s="138">
        <v>7.9434320633968323</v>
      </c>
      <c r="AU67" s="138">
        <v>7.845315758331437</v>
      </c>
      <c r="AV67" s="138">
        <v>7.7677174453057676</v>
      </c>
      <c r="AW67" s="138">
        <v>7.5939839791801784</v>
      </c>
      <c r="AX67" s="138">
        <v>7.2920234598650433</v>
      </c>
      <c r="AY67" s="138">
        <v>7.2059179484001969</v>
      </c>
      <c r="AZ67" s="138">
        <v>7.1653136170917406</v>
      </c>
      <c r="BA67" s="138">
        <v>6.9725578700635387</v>
      </c>
      <c r="BB67" s="138">
        <v>6.9101077130156234</v>
      </c>
      <c r="BC67" s="138">
        <v>6.8891524282934258</v>
      </c>
      <c r="BD67" s="138">
        <v>6.7141315224360349</v>
      </c>
      <c r="BE67" s="138">
        <v>6.526889307883553</v>
      </c>
      <c r="BF67" s="138">
        <v>6.4621489237342944</v>
      </c>
      <c r="BG67" s="138">
        <v>6.3536554875275035</v>
      </c>
      <c r="BN67" s="160">
        <f t="shared" si="0"/>
        <v>6.3536554875275035</v>
      </c>
      <c r="BO67" s="628">
        <f t="shared" si="1"/>
        <v>6.3536554875275035</v>
      </c>
      <c r="BP67" s="627" t="str">
        <f>INDEX('HCW Summary Data'!$D$9:$D$272,MATCH($B67,'HCW Summary Data'!$B$9:$B$272,0))</f>
        <v>OUT</v>
      </c>
      <c r="BQ67" s="630">
        <f t="shared" si="2"/>
        <v>2.7250000000000001</v>
      </c>
    </row>
    <row r="68" spans="2:69" x14ac:dyDescent="0.25">
      <c r="B68" s="138" t="s">
        <v>489</v>
      </c>
      <c r="C68" s="138" t="s">
        <v>490</v>
      </c>
      <c r="D68" s="138" t="s">
        <v>907</v>
      </c>
      <c r="E68" s="138" t="s">
        <v>908</v>
      </c>
      <c r="Z68" s="138">
        <v>9.1576921109640672</v>
      </c>
      <c r="AE68" s="138">
        <v>9.5903866634651962</v>
      </c>
      <c r="AF68" s="138">
        <v>9.6761364320873895</v>
      </c>
      <c r="AG68" s="138">
        <v>9.657898595618196</v>
      </c>
      <c r="AH68" s="138">
        <v>9.6259404045284374</v>
      </c>
      <c r="AI68" s="138">
        <v>9.5697576288973547</v>
      </c>
      <c r="AJ68" s="138">
        <v>9.1682881464211405</v>
      </c>
      <c r="AK68" s="138">
        <v>9.0313720961776127</v>
      </c>
      <c r="AL68" s="138">
        <v>8.7010240893671114</v>
      </c>
      <c r="AM68" s="138">
        <v>8.5243094675918822</v>
      </c>
      <c r="AN68" s="138">
        <v>8.3277769968538315</v>
      </c>
      <c r="AO68" s="138">
        <v>8.133391246696652</v>
      </c>
      <c r="AP68" s="138">
        <v>7.908296498571632</v>
      </c>
      <c r="AQ68" s="138">
        <v>7.5473841706170379</v>
      </c>
      <c r="AR68" s="138">
        <v>7.3030722003386241</v>
      </c>
      <c r="AS68" s="138">
        <v>7.0957499625425724</v>
      </c>
      <c r="AT68" s="138">
        <v>6.9693971787262292</v>
      </c>
      <c r="AU68" s="138">
        <v>6.9585250016874056</v>
      </c>
      <c r="AV68" s="138">
        <v>6.8179359855156436</v>
      </c>
      <c r="AW68" s="138">
        <v>6.7238296078481987</v>
      </c>
      <c r="AX68" s="138">
        <v>6.5277522156009837</v>
      </c>
      <c r="AY68" s="138">
        <v>6.4423706219355035</v>
      </c>
      <c r="AZ68" s="138">
        <v>6.3576100162742195</v>
      </c>
      <c r="BA68" s="138">
        <v>6.2152038577770492</v>
      </c>
      <c r="BB68" s="138">
        <v>6.1361242774446971</v>
      </c>
      <c r="BC68" s="138">
        <v>6.0871665633742555</v>
      </c>
      <c r="BD68" s="138">
        <v>5.9797164022951739</v>
      </c>
      <c r="BE68" s="138">
        <v>5.8554030012948486</v>
      </c>
      <c r="BF68" s="138">
        <v>5.804723767468837</v>
      </c>
      <c r="BG68" s="138">
        <v>5.9249214621143169</v>
      </c>
      <c r="BN68" s="160">
        <f t="shared" si="0"/>
        <v>5.9249214621143169</v>
      </c>
      <c r="BO68" s="628">
        <f t="shared" si="1"/>
        <v>5.9249214621143169</v>
      </c>
      <c r="BP68" s="627" t="str">
        <f>INDEX('HCW Summary Data'!$D$9:$D$272,MATCH($B68,'HCW Summary Data'!$B$9:$B$272,0))</f>
        <v>OUT</v>
      </c>
      <c r="BQ68" s="630">
        <f t="shared" si="2"/>
        <v>2.7250000000000001</v>
      </c>
    </row>
    <row r="69" spans="2:69" x14ac:dyDescent="0.25">
      <c r="B69" s="138" t="s">
        <v>483</v>
      </c>
      <c r="C69" s="138" t="s">
        <v>38</v>
      </c>
      <c r="D69" s="138" t="s">
        <v>907</v>
      </c>
      <c r="E69" s="138" t="s">
        <v>908</v>
      </c>
      <c r="F69" s="138">
        <v>1.8706915378570601</v>
      </c>
      <c r="P69" s="138">
        <v>2.34910011291504</v>
      </c>
      <c r="U69" s="138">
        <v>2.5462999343872101</v>
      </c>
      <c r="Z69" s="138">
        <v>1.90719997882843</v>
      </c>
      <c r="AJ69" s="138">
        <v>1.6440999508</v>
      </c>
      <c r="AM69" s="138">
        <v>1.6000000238000001</v>
      </c>
      <c r="AP69" s="138">
        <v>1.5499999523000001</v>
      </c>
      <c r="AV69" s="138">
        <v>1.5</v>
      </c>
      <c r="AW69" s="138">
        <v>1.7</v>
      </c>
      <c r="BA69" s="138">
        <v>1.5</v>
      </c>
      <c r="BB69" s="138">
        <v>1.5</v>
      </c>
      <c r="BC69" s="138">
        <v>1.5</v>
      </c>
      <c r="BD69" s="138">
        <v>1.6</v>
      </c>
      <c r="BE69" s="138">
        <v>1.6</v>
      </c>
      <c r="BF69" s="138">
        <v>1.5</v>
      </c>
      <c r="BG69" s="138">
        <v>1.5</v>
      </c>
      <c r="BN69" s="160">
        <f t="shared" si="0"/>
        <v>1.5</v>
      </c>
      <c r="BO69" s="628">
        <f t="shared" si="1"/>
        <v>1.5</v>
      </c>
      <c r="BP69" s="627" t="str">
        <f>INDEX('HCW Summary Data'!$D$9:$D$272,MATCH($B69,'HCW Summary Data'!$B$9:$B$272,0))</f>
        <v>Lower middle income</v>
      </c>
      <c r="BQ69" s="630">
        <f t="shared" si="2"/>
        <v>2.3800000000000003</v>
      </c>
    </row>
    <row r="70" spans="2:69" x14ac:dyDescent="0.25">
      <c r="B70" s="138" t="s">
        <v>484</v>
      </c>
      <c r="C70" s="138" t="s">
        <v>39</v>
      </c>
      <c r="D70" s="138" t="s">
        <v>907</v>
      </c>
      <c r="E70" s="138" t="s">
        <v>908</v>
      </c>
      <c r="F70" s="138">
        <v>2.14697933197021</v>
      </c>
      <c r="P70" s="138">
        <v>2.1805000305175799</v>
      </c>
      <c r="U70" s="138">
        <v>2.03660011291504</v>
      </c>
      <c r="Z70" s="138">
        <v>2.0262999534606898</v>
      </c>
      <c r="AA70" s="138">
        <v>2.0722000598907502</v>
      </c>
      <c r="AF70" s="138">
        <v>2.08570003509521</v>
      </c>
      <c r="AH70" s="138">
        <v>2.1247000694274898</v>
      </c>
      <c r="AI70" s="138">
        <v>2.0199000835418701</v>
      </c>
      <c r="AJ70" s="138">
        <v>2.0708999634</v>
      </c>
      <c r="AK70" s="138">
        <v>2.0241999626</v>
      </c>
      <c r="AL70" s="138">
        <v>2.0004000664000001</v>
      </c>
      <c r="AM70" s="138">
        <v>1.9292999505999999</v>
      </c>
      <c r="AP70" s="138">
        <v>2.0999999046000002</v>
      </c>
      <c r="AQ70" s="138">
        <v>2.0999999046000002</v>
      </c>
      <c r="AT70" s="138">
        <v>2.1</v>
      </c>
      <c r="AU70" s="138">
        <v>2.1</v>
      </c>
      <c r="AV70" s="138">
        <v>2.1</v>
      </c>
      <c r="AW70" s="138">
        <v>2.2000000000000002</v>
      </c>
      <c r="AX70" s="138">
        <v>2.2000000000000002</v>
      </c>
      <c r="AY70" s="138">
        <v>2.2000000000000002</v>
      </c>
      <c r="AZ70" s="138">
        <v>2.2000000000000002</v>
      </c>
      <c r="BA70" s="138">
        <v>2.1</v>
      </c>
      <c r="BB70" s="138">
        <v>2.1</v>
      </c>
      <c r="BC70" s="138">
        <v>1.7</v>
      </c>
      <c r="BD70" s="138">
        <v>1.7</v>
      </c>
      <c r="BE70" s="138">
        <v>0.5</v>
      </c>
      <c r="BF70" s="138">
        <v>0.5</v>
      </c>
      <c r="BG70" s="138">
        <v>0.5</v>
      </c>
      <c r="BH70" s="138">
        <v>1.6</v>
      </c>
      <c r="BN70" s="160">
        <f t="shared" ref="BN70:BN133" si="3">IFERROR(LOOKUP(2,1/(ISNUMBER(F70:BM70)),F70:BM70),"No reported value")</f>
        <v>1.6</v>
      </c>
      <c r="BO70" s="628">
        <f t="shared" ref="BO70:BO133" si="4">IF(BN70="No reported value",INDEX($BV$5:$BV$9,MATCH($BP70,$BT$5:$BT$9,0)),$BN70)</f>
        <v>1.6</v>
      </c>
      <c r="BP70" s="627" t="str">
        <f>INDEX('HCW Summary Data'!$D$9:$D$272,MATCH($B70,'HCW Summary Data'!$B$9:$B$272,0))</f>
        <v>Lower middle income</v>
      </c>
      <c r="BQ70" s="630">
        <f t="shared" ref="BQ70:BQ133" si="5">INDEX($BV$12:$BV$16,MATCH($BP70,$BT$12:$BT$16,0))*100</f>
        <v>2.3800000000000003</v>
      </c>
    </row>
    <row r="71" spans="2:69" x14ac:dyDescent="0.25">
      <c r="B71" s="138" t="s">
        <v>487</v>
      </c>
      <c r="C71" s="138" t="s">
        <v>488</v>
      </c>
      <c r="D71" s="138" t="s">
        <v>907</v>
      </c>
      <c r="E71" s="138" t="s">
        <v>908</v>
      </c>
      <c r="P71" s="138">
        <v>9.6521868385000644</v>
      </c>
      <c r="Z71" s="138">
        <v>9.9420886777830777</v>
      </c>
      <c r="AE71" s="138">
        <v>9.075240271891257</v>
      </c>
      <c r="AJ71" s="138">
        <v>8.2412360403579328</v>
      </c>
      <c r="AK71" s="138">
        <v>8.0306240544810166</v>
      </c>
      <c r="AL71" s="138">
        <v>7.9077186424865422</v>
      </c>
      <c r="AM71" s="138">
        <v>7.7492458438421608</v>
      </c>
      <c r="AN71" s="138">
        <v>7.6486468837808177</v>
      </c>
      <c r="AO71" s="138">
        <v>7.5170944921046079</v>
      </c>
      <c r="AP71" s="138">
        <v>7.5023342470456527</v>
      </c>
      <c r="AQ71" s="138">
        <v>7.2348930466716697</v>
      </c>
      <c r="AR71" s="138">
        <v>7.0734917676958302</v>
      </c>
      <c r="AS71" s="138">
        <v>6.8794890069709806</v>
      </c>
      <c r="AT71" s="138">
        <v>6.721156724913099</v>
      </c>
      <c r="AU71" s="138">
        <v>6.6187218926077271</v>
      </c>
      <c r="AV71" s="138">
        <v>6.4973341818610564</v>
      </c>
      <c r="AW71" s="138">
        <v>6.3406305924854127</v>
      </c>
      <c r="AX71" s="138">
        <v>6.2100520963119461</v>
      </c>
      <c r="AY71" s="138">
        <v>6.14497378543303</v>
      </c>
      <c r="AZ71" s="138">
        <v>6.0038504592078734</v>
      </c>
      <c r="BA71" s="138">
        <v>5.9403162901826638</v>
      </c>
      <c r="BB71" s="138">
        <v>5.8257270773313774</v>
      </c>
      <c r="BC71" s="138">
        <v>5.7369896993653624</v>
      </c>
      <c r="BD71" s="138">
        <v>5.7135257237066037</v>
      </c>
      <c r="BE71" s="138">
        <v>5.6436411656663612</v>
      </c>
      <c r="BF71" s="138">
        <v>5.5763100928481117</v>
      </c>
      <c r="BG71" s="138">
        <v>6.1674908124806294</v>
      </c>
      <c r="BN71" s="160">
        <f t="shared" si="3"/>
        <v>6.1674908124806294</v>
      </c>
      <c r="BO71" s="628">
        <f t="shared" si="4"/>
        <v>6.1674908124806294</v>
      </c>
      <c r="BP71" s="627" t="str">
        <f>INDEX('HCW Summary Data'!$D$9:$D$272,MATCH($B71,'HCW Summary Data'!$B$9:$B$272,0))</f>
        <v>OUT</v>
      </c>
      <c r="BQ71" s="630">
        <f t="shared" si="5"/>
        <v>2.7250000000000001</v>
      </c>
    </row>
    <row r="72" spans="2:69" x14ac:dyDescent="0.25">
      <c r="B72" s="138" t="s">
        <v>192</v>
      </c>
      <c r="C72" s="138" t="s">
        <v>168</v>
      </c>
      <c r="D72" s="138" t="s">
        <v>907</v>
      </c>
      <c r="E72" s="138" t="s">
        <v>908</v>
      </c>
      <c r="AZ72" s="138">
        <v>1.2</v>
      </c>
      <c r="BE72" s="138">
        <v>0.7</v>
      </c>
      <c r="BN72" s="160">
        <f t="shared" si="3"/>
        <v>0.7</v>
      </c>
      <c r="BO72" s="628">
        <f t="shared" si="4"/>
        <v>0.7</v>
      </c>
      <c r="BP72" s="627" t="str">
        <f>INDEX('HCW Summary Data'!$D$9:$D$272,MATCH($B72,'HCW Summary Data'!$B$9:$B$272,0))</f>
        <v>High income</v>
      </c>
      <c r="BQ72" s="630">
        <f t="shared" si="5"/>
        <v>3.5700000000000003</v>
      </c>
    </row>
    <row r="73" spans="2:69" x14ac:dyDescent="0.25">
      <c r="B73" s="138" t="s">
        <v>636</v>
      </c>
      <c r="C73" s="138" t="s">
        <v>40</v>
      </c>
      <c r="D73" s="138" t="s">
        <v>907</v>
      </c>
      <c r="E73" s="138" t="s">
        <v>908</v>
      </c>
      <c r="P73" s="138">
        <v>4.6999998092651403</v>
      </c>
      <c r="Y73" s="138">
        <v>5.5</v>
      </c>
      <c r="Z73" s="138">
        <v>5.4000000953674299</v>
      </c>
      <c r="AA73" s="138">
        <v>5.4000000953674299</v>
      </c>
      <c r="AB73" s="138">
        <v>5.4000000953674299</v>
      </c>
      <c r="AC73" s="138">
        <v>5.1999998092651403</v>
      </c>
      <c r="AD73" s="138">
        <v>5</v>
      </c>
      <c r="AE73" s="138">
        <v>4.9000000953674299</v>
      </c>
      <c r="AF73" s="138">
        <v>4.8000001907348597</v>
      </c>
      <c r="AG73" s="138">
        <v>4.8000001907348597</v>
      </c>
      <c r="AH73" s="138">
        <v>4.6999998092651403</v>
      </c>
      <c r="AI73" s="138">
        <v>4.6999998092651403</v>
      </c>
      <c r="AJ73" s="138">
        <v>4.5999999045999997</v>
      </c>
      <c r="AK73" s="138">
        <v>4.5999999045999997</v>
      </c>
      <c r="AL73" s="138">
        <v>4.5</v>
      </c>
      <c r="AM73" s="138">
        <v>4.4000000954000003</v>
      </c>
      <c r="AN73" s="138">
        <v>4.4000000954000003</v>
      </c>
      <c r="AO73" s="138">
        <v>4.3000001906999996</v>
      </c>
      <c r="AP73" s="138">
        <v>4.3000001906999996</v>
      </c>
      <c r="AQ73" s="138">
        <v>4.1999998093000004</v>
      </c>
      <c r="AR73" s="138">
        <v>4.1999998093000004</v>
      </c>
      <c r="AS73" s="138">
        <v>4.0999999045999997</v>
      </c>
      <c r="AT73" s="138">
        <v>3.7</v>
      </c>
      <c r="AU73" s="138">
        <v>3.6</v>
      </c>
      <c r="AV73" s="138">
        <v>3.5</v>
      </c>
      <c r="AW73" s="138">
        <v>3.5</v>
      </c>
      <c r="AX73" s="138">
        <v>3.4</v>
      </c>
      <c r="AY73" s="138">
        <v>3.4</v>
      </c>
      <c r="AZ73" s="138">
        <v>3.3</v>
      </c>
      <c r="BA73" s="138">
        <v>3.3</v>
      </c>
      <c r="BB73" s="138">
        <v>3.2</v>
      </c>
      <c r="BC73" s="138">
        <v>3.2</v>
      </c>
      <c r="BD73" s="138">
        <v>3.2</v>
      </c>
      <c r="BE73" s="138">
        <v>3.1</v>
      </c>
      <c r="BF73" s="138">
        <v>3</v>
      </c>
      <c r="BG73" s="138">
        <v>3</v>
      </c>
      <c r="BN73" s="160">
        <f t="shared" si="3"/>
        <v>3</v>
      </c>
      <c r="BO73" s="628">
        <f t="shared" si="4"/>
        <v>3</v>
      </c>
      <c r="BP73" s="627" t="str">
        <f>INDEX('HCW Summary Data'!$D$9:$D$272,MATCH($B73,'HCW Summary Data'!$B$9:$B$272,0))</f>
        <v>Upper middle income</v>
      </c>
      <c r="BQ73" s="630">
        <f t="shared" si="5"/>
        <v>3.32</v>
      </c>
    </row>
    <row r="74" spans="2:69" x14ac:dyDescent="0.25">
      <c r="B74" s="138" t="s">
        <v>485</v>
      </c>
      <c r="C74" s="138" t="s">
        <v>41</v>
      </c>
      <c r="D74" s="138" t="s">
        <v>907</v>
      </c>
      <c r="E74" s="138" t="s">
        <v>908</v>
      </c>
      <c r="Z74" s="138">
        <v>12.1850996017456</v>
      </c>
      <c r="AE74" s="138">
        <v>12.2743997573853</v>
      </c>
      <c r="AF74" s="138">
        <v>12.265199661254901</v>
      </c>
      <c r="AG74" s="138">
        <v>12.1365003585815</v>
      </c>
      <c r="AH74" s="138">
        <v>12.026700019836399</v>
      </c>
      <c r="AI74" s="138">
        <v>11.9308004379272</v>
      </c>
      <c r="AJ74" s="138">
        <v>11.6106004715</v>
      </c>
      <c r="AK74" s="138">
        <v>11.289199829099999</v>
      </c>
      <c r="AL74" s="138">
        <v>9.6816997528000002</v>
      </c>
      <c r="AM74" s="138">
        <v>9.6223001480000008</v>
      </c>
      <c r="AN74" s="138">
        <v>8.5613002776999991</v>
      </c>
      <c r="AO74" s="138">
        <v>8.3500003814999992</v>
      </c>
      <c r="AP74" s="138">
        <v>7.9000000954000003</v>
      </c>
      <c r="AQ74" s="138">
        <v>7.7100000380999996</v>
      </c>
      <c r="AR74" s="138">
        <v>7.5799999237</v>
      </c>
      <c r="AS74" s="138">
        <v>7.5300002097999998</v>
      </c>
      <c r="AT74" s="138">
        <v>7</v>
      </c>
      <c r="AU74" s="138">
        <v>6.6</v>
      </c>
      <c r="AV74" s="138">
        <v>6</v>
      </c>
      <c r="AW74" s="138">
        <v>5.7</v>
      </c>
      <c r="AX74" s="138">
        <v>5.7</v>
      </c>
      <c r="AY74" s="138">
        <v>5.4</v>
      </c>
      <c r="AZ74" s="138">
        <v>5.6</v>
      </c>
      <c r="BA74" s="138">
        <v>5.5</v>
      </c>
      <c r="BB74" s="138">
        <v>5.7</v>
      </c>
      <c r="BC74" s="138">
        <v>5.4</v>
      </c>
      <c r="BD74" s="138">
        <v>5.2</v>
      </c>
      <c r="BE74" s="138">
        <v>5.3</v>
      </c>
      <c r="BF74" s="138">
        <v>5.5</v>
      </c>
      <c r="BG74" s="138">
        <v>5</v>
      </c>
      <c r="BI74" s="138">
        <v>5</v>
      </c>
      <c r="BN74" s="160">
        <f t="shared" si="3"/>
        <v>5</v>
      </c>
      <c r="BO74" s="628">
        <f t="shared" si="4"/>
        <v>5</v>
      </c>
      <c r="BP74" s="627" t="str">
        <f>INDEX('HCW Summary Data'!$D$9:$D$272,MATCH($B74,'HCW Summary Data'!$B$9:$B$272,0))</f>
        <v>Lower middle income</v>
      </c>
      <c r="BQ74" s="630">
        <f t="shared" si="5"/>
        <v>2.3800000000000003</v>
      </c>
    </row>
    <row r="75" spans="2:69" x14ac:dyDescent="0.25">
      <c r="B75" s="138" t="s">
        <v>194</v>
      </c>
      <c r="C75" s="138" t="s">
        <v>42</v>
      </c>
      <c r="D75" s="138" t="s">
        <v>907</v>
      </c>
      <c r="E75" s="138" t="s">
        <v>908</v>
      </c>
      <c r="F75" s="138">
        <v>0.29423388838768</v>
      </c>
      <c r="P75" s="138">
        <v>0.28519999980926503</v>
      </c>
      <c r="U75" s="138">
        <v>0.285699993371964</v>
      </c>
      <c r="Z75" s="138">
        <v>0.29550001025199901</v>
      </c>
      <c r="AJ75" s="138">
        <v>0.2415000051</v>
      </c>
      <c r="AX75" s="138">
        <v>0.2</v>
      </c>
      <c r="AZ75" s="138">
        <v>0.2</v>
      </c>
      <c r="BB75" s="138">
        <v>0.2</v>
      </c>
      <c r="BE75" s="138">
        <v>6.3</v>
      </c>
      <c r="BI75" s="138">
        <v>0.3</v>
      </c>
      <c r="BN75" s="160">
        <f t="shared" si="3"/>
        <v>0.3</v>
      </c>
      <c r="BO75" s="628">
        <f t="shared" si="4"/>
        <v>0.3</v>
      </c>
      <c r="BP75" s="627" t="str">
        <f>INDEX('HCW Summary Data'!$D$9:$D$272,MATCH($B75,'HCW Summary Data'!$B$9:$B$272,0))</f>
        <v>High income</v>
      </c>
      <c r="BQ75" s="630">
        <f t="shared" si="5"/>
        <v>3.5700000000000003</v>
      </c>
    </row>
    <row r="76" spans="2:69" x14ac:dyDescent="0.25">
      <c r="B76" s="138" t="s">
        <v>495</v>
      </c>
      <c r="C76" s="138" t="s">
        <v>496</v>
      </c>
      <c r="D76" s="138" t="s">
        <v>907</v>
      </c>
      <c r="E76" s="138" t="s">
        <v>908</v>
      </c>
      <c r="P76" s="138">
        <v>9.2814837195679694</v>
      </c>
      <c r="Z76" s="138">
        <v>9.3315284648278602</v>
      </c>
      <c r="AE76" s="138">
        <v>8.6898606374655696</v>
      </c>
      <c r="AJ76" s="138">
        <v>7.9149497199830394</v>
      </c>
      <c r="AK76" s="138">
        <v>7.7122804894849706</v>
      </c>
      <c r="AL76" s="138">
        <v>7.4589449037143734</v>
      </c>
      <c r="AM76" s="138">
        <v>7.30177574253117</v>
      </c>
      <c r="AN76" s="138">
        <v>7.2138291484978962</v>
      </c>
      <c r="AO76" s="138">
        <v>6.9916042197264705</v>
      </c>
      <c r="AP76" s="138">
        <v>6.9528350810373212</v>
      </c>
      <c r="AQ76" s="138">
        <v>6.7596036871030503</v>
      </c>
      <c r="AR76" s="138">
        <v>6.5575947202518403</v>
      </c>
      <c r="AS76" s="138">
        <v>6.3650354034665142</v>
      </c>
      <c r="AT76" s="138">
        <v>6.2842420263390375</v>
      </c>
      <c r="AU76" s="138">
        <v>6.2942644875254157</v>
      </c>
      <c r="AV76" s="138">
        <v>6.1414977527868801</v>
      </c>
      <c r="AW76" s="138">
        <v>6.0701597055612639</v>
      </c>
      <c r="AX76" s="138">
        <v>5.9614359247604076</v>
      </c>
      <c r="AY76" s="138">
        <v>5.8830739072176756</v>
      </c>
      <c r="AZ76" s="138">
        <v>5.764742719885299</v>
      </c>
      <c r="BA76" s="138">
        <v>5.6634509506829467</v>
      </c>
      <c r="BB76" s="138">
        <v>5.5986562394958082</v>
      </c>
      <c r="BC76" s="138">
        <v>5.5298258047834308</v>
      </c>
      <c r="BD76" s="138">
        <v>5.4358933029301104</v>
      </c>
      <c r="BE76" s="138">
        <v>5.355739772247321</v>
      </c>
      <c r="BF76" s="138">
        <v>5.3220973418402844</v>
      </c>
      <c r="BG76" s="138">
        <v>5.6014569885033216</v>
      </c>
      <c r="BN76" s="160">
        <f t="shared" si="3"/>
        <v>5.6014569885033216</v>
      </c>
      <c r="BO76" s="628">
        <f t="shared" si="4"/>
        <v>5.6014569885033216</v>
      </c>
      <c r="BP76" s="627" t="str">
        <f>INDEX('HCW Summary Data'!$D$9:$D$272,MATCH($B76,'HCW Summary Data'!$B$9:$B$272,0))</f>
        <v>OUT</v>
      </c>
      <c r="BQ76" s="630">
        <f t="shared" si="5"/>
        <v>2.7250000000000001</v>
      </c>
    </row>
    <row r="77" spans="2:69" x14ac:dyDescent="0.25">
      <c r="B77" s="138" t="s">
        <v>500</v>
      </c>
      <c r="C77" s="138" t="s">
        <v>501</v>
      </c>
      <c r="D77" s="138" t="s">
        <v>907</v>
      </c>
      <c r="E77" s="138" t="s">
        <v>908</v>
      </c>
      <c r="F77" s="138">
        <v>1.737769374760578</v>
      </c>
      <c r="P77" s="138">
        <v>1.6668245473295027</v>
      </c>
      <c r="AJ77" s="138">
        <v>1.1304049698107546</v>
      </c>
      <c r="AZ77" s="138">
        <v>0.9770048657316277</v>
      </c>
      <c r="BN77" s="160">
        <f t="shared" si="3"/>
        <v>0.9770048657316277</v>
      </c>
      <c r="BO77" s="628">
        <f t="shared" si="4"/>
        <v>0.9770048657316277</v>
      </c>
      <c r="BP77" s="627" t="str">
        <f>INDEX('HCW Summary Data'!$D$9:$D$272,MATCH($B77,'HCW Summary Data'!$B$9:$B$272,0))</f>
        <v>OUT</v>
      </c>
      <c r="BQ77" s="630">
        <f t="shared" si="5"/>
        <v>2.7250000000000001</v>
      </c>
    </row>
    <row r="78" spans="2:69" x14ac:dyDescent="0.25">
      <c r="B78" s="138" t="s">
        <v>499</v>
      </c>
      <c r="C78" s="138" t="s">
        <v>43</v>
      </c>
      <c r="D78" s="138" t="s">
        <v>907</v>
      </c>
      <c r="E78" s="138" t="s">
        <v>908</v>
      </c>
      <c r="P78" s="138">
        <v>15.1000003814697</v>
      </c>
      <c r="Z78" s="138">
        <v>15.6000003814697</v>
      </c>
      <c r="AE78" s="138">
        <v>14</v>
      </c>
      <c r="AJ78" s="138">
        <v>12.5</v>
      </c>
      <c r="AK78" s="138">
        <v>11.199999809299999</v>
      </c>
      <c r="AL78" s="138">
        <v>11</v>
      </c>
      <c r="AM78" s="138">
        <v>10</v>
      </c>
      <c r="AN78" s="138">
        <v>10</v>
      </c>
      <c r="AO78" s="138">
        <v>9.3000001907000005</v>
      </c>
      <c r="AP78" s="138">
        <v>9.1999998092999995</v>
      </c>
      <c r="AQ78" s="138">
        <v>7.9000000954000003</v>
      </c>
      <c r="AR78" s="138">
        <v>7.8000001906999996</v>
      </c>
      <c r="AS78" s="138">
        <v>7.5999999045999997</v>
      </c>
      <c r="AT78" s="138">
        <v>7.5</v>
      </c>
      <c r="AU78" s="138">
        <v>7.5</v>
      </c>
      <c r="AV78" s="138">
        <v>7.4</v>
      </c>
      <c r="AW78" s="138">
        <v>7.2</v>
      </c>
      <c r="AX78" s="138">
        <v>7.1</v>
      </c>
      <c r="AY78" s="138">
        <v>7.1</v>
      </c>
      <c r="AZ78" s="138">
        <v>7</v>
      </c>
      <c r="BA78" s="138">
        <v>6.7</v>
      </c>
      <c r="BB78" s="138">
        <v>6.5</v>
      </c>
      <c r="BC78" s="138">
        <v>6.3</v>
      </c>
      <c r="BD78" s="138">
        <v>5.9</v>
      </c>
      <c r="BE78" s="138">
        <v>5.5</v>
      </c>
      <c r="BF78" s="138">
        <v>5.3</v>
      </c>
      <c r="BG78" s="138">
        <v>4.9000000000000004</v>
      </c>
      <c r="BI78" s="138">
        <v>4.4000000000000004</v>
      </c>
      <c r="BN78" s="160">
        <f t="shared" si="3"/>
        <v>4.4000000000000004</v>
      </c>
      <c r="BO78" s="628">
        <f t="shared" si="4"/>
        <v>4.4000000000000004</v>
      </c>
      <c r="BP78" s="627" t="str">
        <f>INDEX('HCW Summary Data'!$D$9:$D$272,MATCH($B78,'HCW Summary Data'!$B$9:$B$272,0))</f>
        <v>High income</v>
      </c>
      <c r="BQ78" s="630">
        <f t="shared" si="5"/>
        <v>3.5700000000000003</v>
      </c>
    </row>
    <row r="79" spans="2:69" x14ac:dyDescent="0.25">
      <c r="B79" s="138" t="s">
        <v>248</v>
      </c>
      <c r="C79" s="138" t="s">
        <v>44</v>
      </c>
      <c r="D79" s="138" t="s">
        <v>907</v>
      </c>
      <c r="E79" s="138" t="s">
        <v>908</v>
      </c>
      <c r="F79" s="138">
        <v>4.04060935974121</v>
      </c>
      <c r="P79" s="138">
        <v>2.9096000194549601</v>
      </c>
      <c r="U79" s="138">
        <v>3.3333001136779798</v>
      </c>
      <c r="Z79" s="138">
        <v>2.8138999938964799</v>
      </c>
      <c r="AA79" s="138">
        <v>2.7460999488830602</v>
      </c>
      <c r="AS79" s="138">
        <v>2.6</v>
      </c>
      <c r="AX79" s="138">
        <v>2.1</v>
      </c>
      <c r="AY79" s="138">
        <v>2.09</v>
      </c>
      <c r="BB79" s="138">
        <v>2.1</v>
      </c>
      <c r="BC79" s="138">
        <v>2.1</v>
      </c>
      <c r="BE79" s="138">
        <v>2.2999999999999998</v>
      </c>
      <c r="BN79" s="160">
        <f t="shared" si="3"/>
        <v>2.2999999999999998</v>
      </c>
      <c r="BO79" s="628">
        <f t="shared" si="4"/>
        <v>2.2999999999999998</v>
      </c>
      <c r="BP79" s="627" t="str">
        <f>INDEX('HCW Summary Data'!$D$9:$D$272,MATCH($B79,'HCW Summary Data'!$B$9:$B$272,0))</f>
        <v>High income</v>
      </c>
      <c r="BQ79" s="630">
        <f t="shared" si="5"/>
        <v>3.5700000000000003</v>
      </c>
    </row>
    <row r="80" spans="2:69" x14ac:dyDescent="0.25">
      <c r="B80" s="138" t="s">
        <v>502</v>
      </c>
      <c r="C80" s="138" t="s">
        <v>45</v>
      </c>
      <c r="D80" s="138" t="s">
        <v>907</v>
      </c>
      <c r="E80" s="138" t="s">
        <v>908</v>
      </c>
      <c r="T80" s="138">
        <v>10.5</v>
      </c>
      <c r="U80" s="138">
        <v>10.6000003814697</v>
      </c>
      <c r="V80" s="138">
        <v>10.6000003814697</v>
      </c>
      <c r="W80" s="138">
        <v>10.800000190734901</v>
      </c>
      <c r="X80" s="138">
        <v>10.8999996185303</v>
      </c>
      <c r="Y80" s="138">
        <v>11.1000003814697</v>
      </c>
      <c r="Z80" s="138">
        <v>11.1000003814697</v>
      </c>
      <c r="AA80" s="138">
        <v>11.1000003814697</v>
      </c>
      <c r="AB80" s="138">
        <v>11</v>
      </c>
      <c r="AC80" s="138">
        <v>10.800000190734901</v>
      </c>
      <c r="AD80" s="138">
        <v>10.699999809265099</v>
      </c>
      <c r="AE80" s="138">
        <v>10.5</v>
      </c>
      <c r="AF80" s="138">
        <v>10.300000190734901</v>
      </c>
      <c r="AG80" s="138">
        <v>10.199999809265099</v>
      </c>
      <c r="AH80" s="138">
        <v>10.1000003814697</v>
      </c>
      <c r="AI80" s="138">
        <v>9.8999996185302699</v>
      </c>
      <c r="AJ80" s="138">
        <v>9.6999998092999995</v>
      </c>
      <c r="AK80" s="138">
        <v>9.6000003814999992</v>
      </c>
      <c r="AL80" s="138">
        <v>9.3999996185000008</v>
      </c>
      <c r="AM80" s="138">
        <v>9.3000001907000005</v>
      </c>
      <c r="AN80" s="138">
        <v>9.1000003814999992</v>
      </c>
      <c r="AO80" s="138">
        <v>8.8999996185000008</v>
      </c>
      <c r="AP80" s="138">
        <v>8.8000001907000005</v>
      </c>
      <c r="AQ80" s="138">
        <v>8.6000003814999992</v>
      </c>
      <c r="AR80" s="138">
        <v>8.3999996185000008</v>
      </c>
      <c r="AS80" s="138">
        <v>8.3000001907000005</v>
      </c>
      <c r="AT80" s="138">
        <v>8.1999999999999993</v>
      </c>
      <c r="AU80" s="138">
        <v>8.1</v>
      </c>
      <c r="AV80" s="138">
        <v>8</v>
      </c>
      <c r="AW80" s="138">
        <v>7.8</v>
      </c>
      <c r="AX80" s="138">
        <v>7.6</v>
      </c>
      <c r="AY80" s="138">
        <v>7.5</v>
      </c>
      <c r="AZ80" s="138">
        <v>7.3</v>
      </c>
      <c r="BA80" s="138">
        <v>7.3</v>
      </c>
      <c r="BB80" s="138">
        <v>7.1</v>
      </c>
      <c r="BC80" s="138">
        <v>6.9</v>
      </c>
      <c r="BD80" s="138">
        <v>6.6</v>
      </c>
      <c r="BE80" s="138">
        <v>6.6</v>
      </c>
      <c r="BF80" s="138">
        <v>6.5</v>
      </c>
      <c r="BG80" s="138">
        <v>6.5</v>
      </c>
      <c r="BN80" s="160">
        <f t="shared" si="3"/>
        <v>6.5</v>
      </c>
      <c r="BO80" s="628">
        <f t="shared" si="4"/>
        <v>6.5</v>
      </c>
      <c r="BP80" s="627" t="str">
        <f>INDEX('HCW Summary Data'!$D$9:$D$272,MATCH($B80,'HCW Summary Data'!$B$9:$B$272,0))</f>
        <v>High income</v>
      </c>
      <c r="BQ80" s="630">
        <f t="shared" si="5"/>
        <v>3.5700000000000003</v>
      </c>
    </row>
    <row r="81" spans="2:69" x14ac:dyDescent="0.25">
      <c r="B81" s="138" t="s">
        <v>497</v>
      </c>
      <c r="C81" s="138" t="s">
        <v>498</v>
      </c>
      <c r="D81" s="138" t="s">
        <v>907</v>
      </c>
      <c r="E81" s="138" t="s">
        <v>908</v>
      </c>
      <c r="BN81" s="160" t="str">
        <f t="shared" si="3"/>
        <v>No reported value</v>
      </c>
      <c r="BO81" s="628">
        <f t="shared" si="4"/>
        <v>3.41</v>
      </c>
      <c r="BP81" s="627" t="str">
        <f>INDEX('HCW Summary Data'!$D$9:$D$272,MATCH($B81,'HCW Summary Data'!$B$9:$B$272,0))</f>
        <v>Upper middle income</v>
      </c>
      <c r="BQ81" s="630">
        <f t="shared" si="5"/>
        <v>3.32</v>
      </c>
    </row>
    <row r="82" spans="2:69" x14ac:dyDescent="0.25">
      <c r="B82" s="138" t="s">
        <v>570</v>
      </c>
      <c r="C82" s="138" t="s">
        <v>571</v>
      </c>
      <c r="D82" s="138" t="s">
        <v>907</v>
      </c>
      <c r="E82" s="138" t="s">
        <v>908</v>
      </c>
      <c r="AI82" s="138">
        <v>3.4672999382018999</v>
      </c>
      <c r="AT82" s="138">
        <v>2.8</v>
      </c>
      <c r="AY82" s="138">
        <v>3.3</v>
      </c>
      <c r="AZ82" s="138">
        <v>3.31</v>
      </c>
      <c r="BC82" s="138">
        <v>3.2</v>
      </c>
      <c r="BN82" s="160">
        <f t="shared" si="3"/>
        <v>3.2</v>
      </c>
      <c r="BO82" s="628">
        <f t="shared" si="4"/>
        <v>3.2</v>
      </c>
      <c r="BP82" s="627" t="str">
        <f>INDEX('HCW Summary Data'!$D$9:$D$272,MATCH($B82,'HCW Summary Data'!$B$9:$B$272,0))</f>
        <v>Lower middle income</v>
      </c>
      <c r="BQ82" s="630">
        <f t="shared" si="5"/>
        <v>2.3800000000000003</v>
      </c>
    </row>
    <row r="83" spans="2:69" x14ac:dyDescent="0.25">
      <c r="B83" s="138" t="s">
        <v>195</v>
      </c>
      <c r="C83" s="138" t="s">
        <v>46</v>
      </c>
      <c r="D83" s="138" t="s">
        <v>907</v>
      </c>
      <c r="E83" s="138" t="s">
        <v>908</v>
      </c>
      <c r="F83" s="138">
        <v>5.7139916419982901</v>
      </c>
      <c r="P83" s="138">
        <v>9.9106998443603498</v>
      </c>
      <c r="AE83" s="138">
        <v>1.5520000457763701</v>
      </c>
      <c r="AJ83" s="138">
        <v>3.1937999724999999</v>
      </c>
      <c r="AZ83" s="138">
        <v>2</v>
      </c>
      <c r="BB83" s="138">
        <v>1.3</v>
      </c>
      <c r="BD83" s="138">
        <v>6.3</v>
      </c>
      <c r="BN83" s="160">
        <f t="shared" si="3"/>
        <v>6.3</v>
      </c>
      <c r="BO83" s="628">
        <f t="shared" si="4"/>
        <v>6.3</v>
      </c>
      <c r="BP83" s="627" t="str">
        <f>INDEX('HCW Summary Data'!$D$9:$D$272,MATCH($B83,'HCW Summary Data'!$B$9:$B$272,0))</f>
        <v>Low income</v>
      </c>
      <c r="BQ83" s="630">
        <f t="shared" si="5"/>
        <v>1.63</v>
      </c>
    </row>
    <row r="84" spans="2:69" x14ac:dyDescent="0.25">
      <c r="B84" s="138" t="s">
        <v>662</v>
      </c>
      <c r="C84" s="138" t="s">
        <v>47</v>
      </c>
      <c r="D84" s="138" t="s">
        <v>907</v>
      </c>
      <c r="E84" s="138" t="s">
        <v>908</v>
      </c>
      <c r="F84" s="138">
        <v>10.699999809265099</v>
      </c>
      <c r="P84" s="138">
        <v>9.6000003814697301</v>
      </c>
      <c r="Z84" s="138">
        <v>8.1000003814697301</v>
      </c>
      <c r="AE84" s="138">
        <v>7.4000000953674299</v>
      </c>
      <c r="AJ84" s="138">
        <v>5.9000000954000003</v>
      </c>
      <c r="AK84" s="138">
        <v>5.5999999045999997</v>
      </c>
      <c r="AL84" s="138">
        <v>5.4000000954000003</v>
      </c>
      <c r="AM84" s="138">
        <v>5.0999999045999997</v>
      </c>
      <c r="AN84" s="138">
        <v>4.8000001906999996</v>
      </c>
      <c r="AO84" s="138">
        <v>4.8000001906999996</v>
      </c>
      <c r="AP84" s="138">
        <v>4.5999999045999997</v>
      </c>
      <c r="AQ84" s="138">
        <v>4.5999999045999997</v>
      </c>
      <c r="AR84" s="138">
        <v>4.4000000954000003</v>
      </c>
      <c r="AS84" s="138">
        <v>4.1999998093000004</v>
      </c>
      <c r="AT84" s="138">
        <v>4.0999999999999996</v>
      </c>
      <c r="AU84" s="138">
        <v>4</v>
      </c>
      <c r="AV84" s="138">
        <v>4</v>
      </c>
      <c r="AW84" s="138">
        <v>4</v>
      </c>
      <c r="AX84" s="138">
        <v>3.9</v>
      </c>
      <c r="AY84" s="138">
        <v>3.7</v>
      </c>
      <c r="AZ84" s="138">
        <v>3.6</v>
      </c>
      <c r="BA84" s="138">
        <v>3.4</v>
      </c>
      <c r="BB84" s="138">
        <v>3.4</v>
      </c>
      <c r="BC84" s="138">
        <v>3.3</v>
      </c>
      <c r="BD84" s="138">
        <v>3</v>
      </c>
      <c r="BE84" s="138">
        <v>2.9</v>
      </c>
      <c r="BF84" s="138">
        <v>2.8</v>
      </c>
      <c r="BG84" s="138">
        <v>2.8</v>
      </c>
      <c r="BN84" s="160">
        <f t="shared" si="3"/>
        <v>2.8</v>
      </c>
      <c r="BO84" s="628">
        <f t="shared" si="4"/>
        <v>2.8</v>
      </c>
      <c r="BP84" s="627" t="str">
        <f>INDEX('HCW Summary Data'!$D$9:$D$272,MATCH($B84,'HCW Summary Data'!$B$9:$B$272,0))</f>
        <v>High income</v>
      </c>
      <c r="BQ84" s="630">
        <f t="shared" si="5"/>
        <v>3.5700000000000003</v>
      </c>
    </row>
    <row r="85" spans="2:69" x14ac:dyDescent="0.25">
      <c r="B85" s="138" t="s">
        <v>236</v>
      </c>
      <c r="C85" s="138" t="s">
        <v>48</v>
      </c>
      <c r="D85" s="138" t="s">
        <v>907</v>
      </c>
      <c r="E85" s="138" t="s">
        <v>908</v>
      </c>
      <c r="Z85" s="138">
        <v>10.170800209045399</v>
      </c>
      <c r="AE85" s="138">
        <v>9.9734001159668004</v>
      </c>
      <c r="AF85" s="138">
        <v>10.0150003433228</v>
      </c>
      <c r="AG85" s="138">
        <v>10.1073999404907</v>
      </c>
      <c r="AH85" s="138">
        <v>9.9934997558593803</v>
      </c>
      <c r="AI85" s="138">
        <v>9.9956998825073207</v>
      </c>
      <c r="AJ85" s="138">
        <v>9.7974996566999994</v>
      </c>
      <c r="AK85" s="138">
        <v>9.7981004714999997</v>
      </c>
      <c r="AL85" s="138">
        <v>10.0087003708</v>
      </c>
      <c r="AM85" s="138">
        <v>9.3910999297999993</v>
      </c>
      <c r="AN85" s="138">
        <v>9.6758003235000007</v>
      </c>
      <c r="AO85" s="138">
        <v>7.6599998474</v>
      </c>
      <c r="AP85" s="138">
        <v>5.6700000763</v>
      </c>
      <c r="AQ85" s="138">
        <v>5.8600001334999998</v>
      </c>
      <c r="AR85" s="138">
        <v>5.7100000380999996</v>
      </c>
      <c r="AS85" s="138">
        <v>5.6900000571999998</v>
      </c>
      <c r="AT85" s="138">
        <v>4.8</v>
      </c>
      <c r="AU85" s="138">
        <v>4.5</v>
      </c>
      <c r="AV85" s="138">
        <v>4.2</v>
      </c>
      <c r="AW85" s="138">
        <v>4.2</v>
      </c>
      <c r="AX85" s="138">
        <v>4.0999999999999996</v>
      </c>
      <c r="AY85" s="138">
        <v>3.9</v>
      </c>
      <c r="AZ85" s="138">
        <v>3.7</v>
      </c>
      <c r="BA85" s="138">
        <v>3.3</v>
      </c>
      <c r="BB85" s="138">
        <v>3.2</v>
      </c>
      <c r="BC85" s="138">
        <v>3.1</v>
      </c>
      <c r="BD85" s="138">
        <v>3</v>
      </c>
      <c r="BE85" s="138">
        <v>2.8</v>
      </c>
      <c r="BF85" s="138">
        <v>2.5</v>
      </c>
      <c r="BG85" s="138">
        <v>2.6</v>
      </c>
      <c r="BN85" s="160">
        <f t="shared" si="3"/>
        <v>2.6</v>
      </c>
      <c r="BO85" s="628">
        <f t="shared" si="4"/>
        <v>2.6</v>
      </c>
      <c r="BP85" s="627" t="str">
        <f>INDEX('HCW Summary Data'!$D$9:$D$272,MATCH($B85,'HCW Summary Data'!$B$9:$B$272,0))</f>
        <v>High income</v>
      </c>
      <c r="BQ85" s="630">
        <f t="shared" si="5"/>
        <v>3.5700000000000003</v>
      </c>
    </row>
    <row r="86" spans="2:69" x14ac:dyDescent="0.25">
      <c r="B86" s="138" t="s">
        <v>196</v>
      </c>
      <c r="C86" s="138" t="s">
        <v>162</v>
      </c>
      <c r="D86" s="138" t="s">
        <v>907</v>
      </c>
      <c r="E86" s="138" t="s">
        <v>908</v>
      </c>
      <c r="F86" s="138">
        <v>0.77989369630813599</v>
      </c>
      <c r="P86" s="138">
        <v>1.3228000402450599</v>
      </c>
      <c r="U86" s="138">
        <v>1.25080001354218</v>
      </c>
      <c r="AE86" s="138">
        <v>1.56700003147125</v>
      </c>
      <c r="AJ86" s="138">
        <v>1.4600000381</v>
      </c>
      <c r="AY86" s="138">
        <v>0.9</v>
      </c>
      <c r="BC86" s="138">
        <v>0.9</v>
      </c>
      <c r="BE86" s="138">
        <v>0.9</v>
      </c>
      <c r="BN86" s="160">
        <f t="shared" si="3"/>
        <v>0.9</v>
      </c>
      <c r="BO86" s="628">
        <f t="shared" si="4"/>
        <v>0.9</v>
      </c>
      <c r="BP86" s="627" t="str">
        <f>INDEX('HCW Summary Data'!$D$9:$D$272,MATCH($B86,'HCW Summary Data'!$B$9:$B$272,0))</f>
        <v>High income</v>
      </c>
      <c r="BQ86" s="630">
        <f t="shared" si="5"/>
        <v>3.5700000000000003</v>
      </c>
    </row>
    <row r="87" spans="2:69" x14ac:dyDescent="0.25">
      <c r="B87" s="138" t="s">
        <v>507</v>
      </c>
      <c r="C87" s="138" t="s">
        <v>508</v>
      </c>
      <c r="D87" s="138" t="s">
        <v>907</v>
      </c>
      <c r="E87" s="138" t="s">
        <v>908</v>
      </c>
      <c r="BN87" s="160" t="str">
        <f t="shared" si="3"/>
        <v>No reported value</v>
      </c>
      <c r="BO87" s="628">
        <f t="shared" si="4"/>
        <v>4.82</v>
      </c>
      <c r="BP87" s="627" t="str">
        <f>INDEX('HCW Summary Data'!$D$9:$D$272,MATCH($B87,'HCW Summary Data'!$B$9:$B$272,0))</f>
        <v>High income</v>
      </c>
      <c r="BQ87" s="630">
        <f t="shared" si="5"/>
        <v>3.5700000000000003</v>
      </c>
    </row>
    <row r="88" spans="2:69" x14ac:dyDescent="0.25">
      <c r="B88" s="138" t="s">
        <v>197</v>
      </c>
      <c r="C88" s="138" t="s">
        <v>49</v>
      </c>
      <c r="D88" s="138" t="s">
        <v>907</v>
      </c>
      <c r="E88" s="138" t="s">
        <v>908</v>
      </c>
      <c r="F88" s="138">
        <v>0.73915815353393599</v>
      </c>
      <c r="P88" s="138">
        <v>1.75849997997284</v>
      </c>
      <c r="AH88" s="138">
        <v>0.58410000801086404</v>
      </c>
      <c r="AJ88" s="138">
        <v>0.55070000890000004</v>
      </c>
      <c r="AY88" s="138">
        <v>0.3</v>
      </c>
      <c r="BE88" s="138">
        <v>0.3</v>
      </c>
      <c r="BN88" s="160">
        <f t="shared" si="3"/>
        <v>0.3</v>
      </c>
      <c r="BO88" s="628">
        <f t="shared" si="4"/>
        <v>0.3</v>
      </c>
      <c r="BP88" s="627" t="str">
        <f>INDEX('HCW Summary Data'!$D$9:$D$272,MATCH($B88,'HCW Summary Data'!$B$9:$B$272,0))</f>
        <v>Low income</v>
      </c>
      <c r="BQ88" s="630">
        <f t="shared" si="5"/>
        <v>1.63</v>
      </c>
    </row>
    <row r="89" spans="2:69" x14ac:dyDescent="0.25">
      <c r="B89" s="138" t="s">
        <v>505</v>
      </c>
      <c r="C89" s="138" t="s">
        <v>50</v>
      </c>
      <c r="D89" s="138" t="s">
        <v>907</v>
      </c>
      <c r="E89" s="138" t="s">
        <v>908</v>
      </c>
      <c r="F89" s="138">
        <v>1.18181812763214</v>
      </c>
      <c r="AE89" s="138">
        <v>1.6577999591827399</v>
      </c>
      <c r="AJ89" s="138">
        <v>0.61089998479999996</v>
      </c>
      <c r="AY89" s="138">
        <v>0.8</v>
      </c>
      <c r="BC89" s="138">
        <v>1.1000000000000001</v>
      </c>
      <c r="BE89" s="138">
        <v>1.1000000000000001</v>
      </c>
      <c r="BN89" s="160">
        <f t="shared" si="3"/>
        <v>1.1000000000000001</v>
      </c>
      <c r="BO89" s="628">
        <f t="shared" si="4"/>
        <v>1.1000000000000001</v>
      </c>
      <c r="BP89" s="627" t="str">
        <f>INDEX('HCW Summary Data'!$D$9:$D$272,MATCH($B89,'HCW Summary Data'!$B$9:$B$272,0))</f>
        <v>Upper middle income</v>
      </c>
      <c r="BQ89" s="630">
        <f t="shared" si="5"/>
        <v>3.32</v>
      </c>
    </row>
    <row r="90" spans="2:69" x14ac:dyDescent="0.25">
      <c r="B90" s="138" t="s">
        <v>198</v>
      </c>
      <c r="C90" s="138" t="s">
        <v>172</v>
      </c>
      <c r="D90" s="138" t="s">
        <v>907</v>
      </c>
      <c r="E90" s="138" t="s">
        <v>908</v>
      </c>
      <c r="F90" s="138">
        <v>1.6211849451065099</v>
      </c>
      <c r="P90" s="138">
        <v>1.5745999813079801</v>
      </c>
      <c r="Z90" s="138">
        <v>1.8860000371932999</v>
      </c>
      <c r="AA90" s="138">
        <v>1.9716999530792201</v>
      </c>
      <c r="AJ90" s="138">
        <v>1.4779000282000001</v>
      </c>
      <c r="BA90" s="138">
        <v>0.7</v>
      </c>
      <c r="BC90" s="138">
        <v>1</v>
      </c>
      <c r="BN90" s="160">
        <f t="shared" si="3"/>
        <v>1</v>
      </c>
      <c r="BO90" s="628">
        <f t="shared" si="4"/>
        <v>1</v>
      </c>
      <c r="BP90" s="627" t="str">
        <f>INDEX('HCW Summary Data'!$D$9:$D$272,MATCH($B90,'HCW Summary Data'!$B$9:$B$272,0))</f>
        <v>Upper middle income</v>
      </c>
      <c r="BQ90" s="630">
        <f t="shared" si="5"/>
        <v>3.32</v>
      </c>
    </row>
    <row r="91" spans="2:69" x14ac:dyDescent="0.25">
      <c r="B91" s="138" t="s">
        <v>191</v>
      </c>
      <c r="C91" s="138" t="s">
        <v>174</v>
      </c>
      <c r="D91" s="138" t="s">
        <v>907</v>
      </c>
      <c r="E91" s="138" t="s">
        <v>908</v>
      </c>
      <c r="F91" s="138">
        <v>4.99603176116943</v>
      </c>
      <c r="AH91" s="138">
        <v>2.80299997329712</v>
      </c>
      <c r="AU91" s="138">
        <v>1.1000000000000001</v>
      </c>
      <c r="AY91" s="138">
        <v>2.2000000000000002</v>
      </c>
      <c r="BC91" s="138">
        <v>1.9</v>
      </c>
      <c r="BD91" s="138">
        <v>2.1</v>
      </c>
      <c r="BN91" s="160">
        <f t="shared" si="3"/>
        <v>2.1</v>
      </c>
      <c r="BO91" s="628">
        <f t="shared" si="4"/>
        <v>2.1</v>
      </c>
      <c r="BP91" s="627" t="str">
        <f>INDEX('HCW Summary Data'!$D$9:$D$272,MATCH($B91,'HCW Summary Data'!$B$9:$B$272,0))</f>
        <v>Low income</v>
      </c>
      <c r="BQ91" s="630">
        <f t="shared" si="5"/>
        <v>1.63</v>
      </c>
    </row>
    <row r="92" spans="2:69" x14ac:dyDescent="0.25">
      <c r="B92" s="138" t="s">
        <v>509</v>
      </c>
      <c r="C92" s="138" t="s">
        <v>51</v>
      </c>
      <c r="D92" s="138" t="s">
        <v>907</v>
      </c>
      <c r="E92" s="138" t="s">
        <v>908</v>
      </c>
      <c r="F92" s="138">
        <v>5.8000001907348597</v>
      </c>
      <c r="P92" s="138">
        <v>6.1999998092651403</v>
      </c>
      <c r="Z92" s="138">
        <v>6.1999998092651403</v>
      </c>
      <c r="AE92" s="138">
        <v>5.5</v>
      </c>
      <c r="AF92" s="138">
        <v>5.3000001907348597</v>
      </c>
      <c r="AG92" s="138">
        <v>5.1999998092651403</v>
      </c>
      <c r="AH92" s="138">
        <v>5.1999998092651403</v>
      </c>
      <c r="AI92" s="138">
        <v>5.0999999046325701</v>
      </c>
      <c r="AJ92" s="138">
        <v>5.0999999045999997</v>
      </c>
      <c r="AK92" s="138">
        <v>5</v>
      </c>
      <c r="AL92" s="138">
        <v>5</v>
      </c>
      <c r="AM92" s="138">
        <v>5</v>
      </c>
      <c r="AN92" s="138">
        <v>4.9000000954000003</v>
      </c>
      <c r="AO92" s="138">
        <v>4.9000000954000003</v>
      </c>
      <c r="AP92" s="138">
        <v>4.9000000954000003</v>
      </c>
      <c r="AQ92" s="138">
        <v>4.9000000954000003</v>
      </c>
      <c r="AR92" s="138">
        <v>4.8000001906999996</v>
      </c>
      <c r="AS92" s="138">
        <v>4.6999998093000004</v>
      </c>
      <c r="AT92" s="138">
        <v>4.7</v>
      </c>
      <c r="AU92" s="138">
        <v>4.8</v>
      </c>
      <c r="AV92" s="138">
        <v>4.7</v>
      </c>
      <c r="AW92" s="138">
        <v>4.7</v>
      </c>
      <c r="AX92" s="138">
        <v>4.7</v>
      </c>
      <c r="AY92" s="138">
        <v>4.7</v>
      </c>
      <c r="AZ92" s="138">
        <v>4.8</v>
      </c>
      <c r="BA92" s="138">
        <v>4.8</v>
      </c>
      <c r="BB92" s="138">
        <v>4.8</v>
      </c>
      <c r="BC92" s="138">
        <v>4.8</v>
      </c>
      <c r="BD92" s="138">
        <v>4.8</v>
      </c>
      <c r="BE92" s="138">
        <v>4.5</v>
      </c>
      <c r="BF92" s="138">
        <v>4.4000000000000004</v>
      </c>
      <c r="BI92" s="138">
        <v>4.3</v>
      </c>
      <c r="BN92" s="160">
        <f t="shared" si="3"/>
        <v>4.3</v>
      </c>
      <c r="BO92" s="628">
        <f t="shared" si="4"/>
        <v>4.3</v>
      </c>
      <c r="BP92" s="627" t="str">
        <f>INDEX('HCW Summary Data'!$D$9:$D$272,MATCH($B92,'HCW Summary Data'!$B$9:$B$272,0))</f>
        <v>High income</v>
      </c>
      <c r="BQ92" s="630">
        <f t="shared" si="5"/>
        <v>3.5700000000000003</v>
      </c>
    </row>
    <row r="93" spans="2:69" x14ac:dyDescent="0.25">
      <c r="B93" s="138" t="s">
        <v>512</v>
      </c>
      <c r="C93" s="138" t="s">
        <v>52</v>
      </c>
      <c r="D93" s="138" t="s">
        <v>907</v>
      </c>
      <c r="E93" s="138" t="s">
        <v>908</v>
      </c>
      <c r="F93" s="138">
        <v>6.2222223281860396</v>
      </c>
      <c r="P93" s="138">
        <v>7.2536997795104998</v>
      </c>
      <c r="Z93" s="138">
        <v>5.7713999748229998</v>
      </c>
      <c r="AJ93" s="138">
        <v>8</v>
      </c>
      <c r="AM93" s="138">
        <v>8.1778001785000001</v>
      </c>
      <c r="AO93" s="138">
        <v>5.5</v>
      </c>
      <c r="AP93" s="138">
        <v>5.2699999808999998</v>
      </c>
      <c r="AT93" s="138">
        <v>6.2</v>
      </c>
      <c r="AV93" s="138">
        <v>6.9</v>
      </c>
      <c r="AW93" s="138">
        <v>5.6999998093000004</v>
      </c>
      <c r="AY93" s="138">
        <v>4.0999999999999996</v>
      </c>
      <c r="BA93" s="138">
        <v>2.6</v>
      </c>
      <c r="BB93" s="138">
        <v>2.6</v>
      </c>
      <c r="BC93" s="138">
        <v>2.4</v>
      </c>
      <c r="BE93" s="138">
        <v>3.5</v>
      </c>
      <c r="BF93" s="138">
        <v>3.5</v>
      </c>
      <c r="BG93" s="138">
        <v>3.7</v>
      </c>
      <c r="BH93" s="138">
        <v>3.7</v>
      </c>
      <c r="BN93" s="160">
        <f t="shared" si="3"/>
        <v>3.7</v>
      </c>
      <c r="BO93" s="628">
        <f t="shared" si="4"/>
        <v>3.7</v>
      </c>
      <c r="BP93" s="627" t="str">
        <f>INDEX('HCW Summary Data'!$D$9:$D$272,MATCH($B93,'HCW Summary Data'!$B$9:$B$272,0))</f>
        <v>High income</v>
      </c>
      <c r="BQ93" s="630">
        <f t="shared" si="5"/>
        <v>3.5700000000000003</v>
      </c>
    </row>
    <row r="94" spans="2:69" x14ac:dyDescent="0.25">
      <c r="B94" s="138" t="s">
        <v>510</v>
      </c>
      <c r="C94" s="138" t="s">
        <v>511</v>
      </c>
      <c r="D94" s="138" t="s">
        <v>907</v>
      </c>
      <c r="E94" s="138" t="s">
        <v>908</v>
      </c>
      <c r="P94" s="138">
        <v>14.353400230407701</v>
      </c>
      <c r="BN94" s="160">
        <f t="shared" si="3"/>
        <v>14.353400230407701</v>
      </c>
      <c r="BO94" s="628">
        <f t="shared" si="4"/>
        <v>14.353400230407701</v>
      </c>
      <c r="BP94" s="627" t="str">
        <f>INDEX('HCW Summary Data'!$D$9:$D$272,MATCH($B94,'HCW Summary Data'!$B$9:$B$272,0))</f>
        <v>Upper middle income</v>
      </c>
      <c r="BQ94" s="630">
        <f t="shared" si="5"/>
        <v>3.32</v>
      </c>
    </row>
    <row r="95" spans="2:69" x14ac:dyDescent="0.25">
      <c r="B95" s="138" t="s">
        <v>223</v>
      </c>
      <c r="C95" s="138" t="s">
        <v>53</v>
      </c>
      <c r="D95" s="138" t="s">
        <v>907</v>
      </c>
      <c r="E95" s="138" t="s">
        <v>908</v>
      </c>
      <c r="F95" s="138">
        <v>2.6310875415802002</v>
      </c>
      <c r="P95" s="138">
        <v>2.1710999011993399</v>
      </c>
      <c r="U95" s="138">
        <v>2.0027000904083301</v>
      </c>
      <c r="AF95" s="138">
        <v>1.7211999893188501</v>
      </c>
      <c r="AI95" s="138">
        <v>0.87779998779296897</v>
      </c>
      <c r="AJ95" s="138">
        <v>1.1000000238000001</v>
      </c>
      <c r="AM95" s="138">
        <v>1.1000000238000001</v>
      </c>
      <c r="AP95" s="138">
        <v>0.98000001910000001</v>
      </c>
      <c r="AV95" s="138">
        <v>0.5</v>
      </c>
      <c r="AY95" s="138">
        <v>0.7</v>
      </c>
      <c r="BA95" s="138">
        <v>0.7</v>
      </c>
      <c r="BB95" s="138">
        <v>0.6</v>
      </c>
      <c r="BC95" s="138">
        <v>0.6</v>
      </c>
      <c r="BD95" s="138">
        <v>0.6</v>
      </c>
      <c r="BE95" s="138">
        <v>0.6</v>
      </c>
      <c r="BF95" s="138">
        <v>0.6</v>
      </c>
      <c r="BH95" s="138">
        <v>0.6</v>
      </c>
      <c r="BN95" s="160">
        <f t="shared" si="3"/>
        <v>0.6</v>
      </c>
      <c r="BO95" s="628">
        <f t="shared" si="4"/>
        <v>0.6</v>
      </c>
      <c r="BP95" s="627" t="str">
        <f>INDEX('HCW Summary Data'!$D$9:$D$272,MATCH($B95,'HCW Summary Data'!$B$9:$B$272,0))</f>
        <v>Low income</v>
      </c>
      <c r="BQ95" s="630">
        <f t="shared" si="5"/>
        <v>1.63</v>
      </c>
    </row>
    <row r="96" spans="2:69" x14ac:dyDescent="0.25">
      <c r="B96" s="138" t="s">
        <v>513</v>
      </c>
      <c r="C96" s="138" t="s">
        <v>514</v>
      </c>
      <c r="D96" s="138" t="s">
        <v>907</v>
      </c>
      <c r="E96" s="138" t="s">
        <v>908</v>
      </c>
      <c r="BN96" s="160" t="str">
        <f t="shared" si="3"/>
        <v>No reported value</v>
      </c>
      <c r="BO96" s="628">
        <f t="shared" si="4"/>
        <v>3.41</v>
      </c>
      <c r="BP96" s="627" t="str">
        <f>INDEX('HCW Summary Data'!$D$9:$D$272,MATCH($B96,'HCW Summary Data'!$B$9:$B$272,0))</f>
        <v>Upper middle income</v>
      </c>
      <c r="BQ96" s="630">
        <f t="shared" si="5"/>
        <v>3.32</v>
      </c>
    </row>
    <row r="97" spans="2:69" x14ac:dyDescent="0.25">
      <c r="B97" s="138" t="s">
        <v>224</v>
      </c>
      <c r="C97" s="138" t="s">
        <v>54</v>
      </c>
      <c r="D97" s="138" t="s">
        <v>907</v>
      </c>
      <c r="E97" s="138" t="s">
        <v>908</v>
      </c>
      <c r="F97" s="138">
        <v>5.5746922492981001</v>
      </c>
      <c r="P97" s="138">
        <v>4.76300001144409</v>
      </c>
      <c r="U97" s="138">
        <v>4.97279977798462</v>
      </c>
      <c r="AE97" s="138">
        <v>3.4920001029968302</v>
      </c>
      <c r="AM97" s="138">
        <v>3.0999999046000002</v>
      </c>
      <c r="AO97" s="138">
        <v>3.1</v>
      </c>
      <c r="AP97" s="138">
        <v>3.8699998856</v>
      </c>
      <c r="AU97" s="138">
        <v>2.9</v>
      </c>
      <c r="AY97" s="138">
        <v>2.8</v>
      </c>
      <c r="AZ97" s="138">
        <v>2.5</v>
      </c>
      <c r="BA97" s="138">
        <v>1.9</v>
      </c>
      <c r="BC97" s="138">
        <v>2</v>
      </c>
      <c r="BH97" s="138">
        <v>1.6</v>
      </c>
      <c r="BN97" s="160">
        <f t="shared" si="3"/>
        <v>1.6</v>
      </c>
      <c r="BO97" s="628">
        <f t="shared" si="4"/>
        <v>1.6</v>
      </c>
      <c r="BP97" s="627" t="str">
        <f>INDEX('HCW Summary Data'!$D$9:$D$272,MATCH($B97,'HCW Summary Data'!$B$9:$B$272,0))</f>
        <v>Low income</v>
      </c>
      <c r="BQ97" s="630">
        <f t="shared" si="5"/>
        <v>1.63</v>
      </c>
    </row>
    <row r="98" spans="2:69" x14ac:dyDescent="0.25">
      <c r="B98" s="138" t="s">
        <v>517</v>
      </c>
      <c r="C98" s="138" t="s">
        <v>518</v>
      </c>
      <c r="D98" s="138" t="s">
        <v>907</v>
      </c>
      <c r="E98" s="138" t="s">
        <v>908</v>
      </c>
      <c r="F98" s="138">
        <v>8.9393636328952049</v>
      </c>
      <c r="P98" s="138">
        <v>9.0969661095826897</v>
      </c>
      <c r="Z98" s="138">
        <v>8.3983491889122774</v>
      </c>
      <c r="AE98" s="138">
        <v>8.1736091628002452</v>
      </c>
      <c r="AJ98" s="138">
        <v>6.2840072218646057</v>
      </c>
      <c r="AK98" s="138">
        <v>6.4721165270572243</v>
      </c>
      <c r="AL98" s="138">
        <v>6.1597522770836095</v>
      </c>
      <c r="AM98" s="138">
        <v>7.2071038799014868</v>
      </c>
      <c r="AN98" s="138">
        <v>7.2563919594141657</v>
      </c>
      <c r="AO98" s="138">
        <v>7.0707411673113354</v>
      </c>
      <c r="AP98" s="138">
        <v>6.839729886985066</v>
      </c>
      <c r="AQ98" s="138">
        <v>6.7098793533021226</v>
      </c>
      <c r="AR98" s="138">
        <v>6.6757650276338509</v>
      </c>
      <c r="AS98" s="138">
        <v>6.5444376431636293</v>
      </c>
      <c r="AT98" s="138">
        <v>6.3071340708475931</v>
      </c>
      <c r="AU98" s="138">
        <v>6.0816510158386805</v>
      </c>
      <c r="AV98" s="138">
        <v>6.0621755508033592</v>
      </c>
      <c r="AW98" s="138">
        <v>6.0945563106876568</v>
      </c>
      <c r="AY98" s="138">
        <v>5.7545812221347923</v>
      </c>
      <c r="AZ98" s="138">
        <v>5.7721524491612559</v>
      </c>
      <c r="BA98" s="138">
        <v>4.5097173701534539</v>
      </c>
      <c r="BB98" s="138">
        <v>5.8955490639820178</v>
      </c>
      <c r="BC98" s="138">
        <v>5.6505031002300923</v>
      </c>
      <c r="BD98" s="138">
        <v>4.155933226773044</v>
      </c>
      <c r="BE98" s="138">
        <v>4.0499286849509764</v>
      </c>
      <c r="BF98" s="138">
        <v>5.4373878909967299</v>
      </c>
      <c r="BG98" s="138">
        <v>4.1105990505398529</v>
      </c>
      <c r="BN98" s="160">
        <f t="shared" si="3"/>
        <v>4.1105990505398529</v>
      </c>
      <c r="BO98" s="628">
        <f t="shared" si="4"/>
        <v>4.1105990505398529</v>
      </c>
      <c r="BP98" s="627" t="str">
        <f>INDEX('HCW Summary Data'!$D$9:$D$272,MATCH($B98,'HCW Summary Data'!$B$9:$B$272,0))</f>
        <v>OUT</v>
      </c>
      <c r="BQ98" s="630">
        <f t="shared" si="5"/>
        <v>2.7250000000000001</v>
      </c>
    </row>
    <row r="99" spans="2:69" x14ac:dyDescent="0.25">
      <c r="B99" s="138" t="s">
        <v>519</v>
      </c>
      <c r="C99" s="138" t="s">
        <v>520</v>
      </c>
      <c r="D99" s="138" t="s">
        <v>907</v>
      </c>
      <c r="E99" s="138" t="s">
        <v>908</v>
      </c>
      <c r="F99" s="138">
        <v>2.6403393745422399</v>
      </c>
      <c r="P99" s="138">
        <v>4.1782999038696298</v>
      </c>
      <c r="U99" s="138">
        <v>5.04129981994629</v>
      </c>
      <c r="Z99" s="138">
        <v>4.0209999084472701</v>
      </c>
      <c r="AA99" s="138">
        <v>4.1097998619079599</v>
      </c>
      <c r="AE99" s="138">
        <v>4.8909001350402797</v>
      </c>
      <c r="BN99" s="160">
        <f t="shared" si="3"/>
        <v>4.8909001350402797</v>
      </c>
      <c r="BO99" s="628">
        <f t="shared" si="4"/>
        <v>4.8909001350402797</v>
      </c>
      <c r="BP99" s="627" t="str">
        <f>INDEX('HCW Summary Data'!$D$9:$D$272,MATCH($B99,'HCW Summary Data'!$B$9:$B$272,0))</f>
        <v>High income</v>
      </c>
      <c r="BQ99" s="630">
        <f t="shared" si="5"/>
        <v>3.5700000000000003</v>
      </c>
    </row>
    <row r="100" spans="2:69" x14ac:dyDescent="0.25">
      <c r="B100" s="138" t="s">
        <v>226</v>
      </c>
      <c r="C100" s="138" t="s">
        <v>166</v>
      </c>
      <c r="D100" s="138" t="s">
        <v>907</v>
      </c>
      <c r="E100" s="138" t="s">
        <v>908</v>
      </c>
      <c r="F100" s="138">
        <v>1.64625132083893</v>
      </c>
      <c r="P100" s="138">
        <v>1.7531000375747701</v>
      </c>
      <c r="U100" s="138">
        <v>1.7036999464035001</v>
      </c>
      <c r="Z100" s="138">
        <v>1.3241000175476101</v>
      </c>
      <c r="AE100" s="138">
        <v>1.3094999790191699</v>
      </c>
      <c r="AJ100" s="138">
        <v>1.0067000389</v>
      </c>
      <c r="AM100" s="138">
        <v>0.80000001190000003</v>
      </c>
      <c r="AP100" s="138">
        <v>1.0599999428</v>
      </c>
      <c r="AV100" s="138">
        <v>1</v>
      </c>
      <c r="BB100" s="138">
        <v>0.7</v>
      </c>
      <c r="BC100" s="138">
        <v>0.8</v>
      </c>
      <c r="BD100" s="138">
        <v>0.8</v>
      </c>
      <c r="BE100" s="138">
        <v>0.7</v>
      </c>
      <c r="BF100" s="138">
        <v>0.7</v>
      </c>
      <c r="BG100" s="138">
        <v>0.7</v>
      </c>
      <c r="BH100" s="138">
        <v>0.7</v>
      </c>
      <c r="BN100" s="160">
        <f t="shared" si="3"/>
        <v>0.7</v>
      </c>
      <c r="BO100" s="628">
        <f t="shared" si="4"/>
        <v>0.7</v>
      </c>
      <c r="BP100" s="627" t="str">
        <f>INDEX('HCW Summary Data'!$D$9:$D$272,MATCH($B100,'HCW Summary Data'!$B$9:$B$272,0))</f>
        <v>High income</v>
      </c>
      <c r="BQ100" s="630">
        <f t="shared" si="5"/>
        <v>3.5700000000000003</v>
      </c>
    </row>
    <row r="101" spans="2:69" x14ac:dyDescent="0.25">
      <c r="B101" s="138" t="s">
        <v>515</v>
      </c>
      <c r="C101" s="138" t="s">
        <v>516</v>
      </c>
      <c r="D101" s="138" t="s">
        <v>907</v>
      </c>
      <c r="E101" s="138" t="s">
        <v>908</v>
      </c>
      <c r="F101" s="138">
        <v>1.5165460578571366</v>
      </c>
      <c r="P101" s="138">
        <v>1.4215095364984542</v>
      </c>
      <c r="U101" s="138">
        <v>1.5230015052052304</v>
      </c>
      <c r="AJ101" s="138">
        <v>0.99774240856121321</v>
      </c>
      <c r="AZ101" s="138">
        <v>0.74351169398035633</v>
      </c>
      <c r="BN101" s="160">
        <f t="shared" si="3"/>
        <v>0.74351169398035633</v>
      </c>
      <c r="BO101" s="628">
        <f t="shared" si="4"/>
        <v>0.74351169398035633</v>
      </c>
      <c r="BP101" s="627" t="str">
        <f>INDEX('HCW Summary Data'!$D$9:$D$272,MATCH($B101,'HCW Summary Data'!$B$9:$B$272,0))</f>
        <v>OUT</v>
      </c>
      <c r="BQ101" s="630">
        <f t="shared" si="5"/>
        <v>2.7250000000000001</v>
      </c>
    </row>
    <row r="102" spans="2:69" x14ac:dyDescent="0.25">
      <c r="B102" s="138" t="s">
        <v>465</v>
      </c>
      <c r="C102" s="138" t="s">
        <v>55</v>
      </c>
      <c r="D102" s="138" t="s">
        <v>907</v>
      </c>
      <c r="E102" s="138" t="s">
        <v>908</v>
      </c>
      <c r="Z102" s="138">
        <v>7.2347998619079599</v>
      </c>
      <c r="AA102" s="138">
        <v>7.3081002235412598</v>
      </c>
      <c r="AB102" s="138">
        <v>7.4235000610351598</v>
      </c>
      <c r="AC102" s="138">
        <v>7.4651999473571804</v>
      </c>
      <c r="AD102" s="138">
        <v>7.4465999603271502</v>
      </c>
      <c r="AE102" s="138">
        <v>7.4542999267578098</v>
      </c>
      <c r="AF102" s="138">
        <v>7.4025998115539604</v>
      </c>
      <c r="AG102" s="138">
        <v>7.4225001335143999</v>
      </c>
      <c r="AH102" s="138">
        <v>7.4416999816894496</v>
      </c>
      <c r="AI102" s="138">
        <v>7.3930001258850098</v>
      </c>
      <c r="AJ102" s="138">
        <v>7.3777999877999996</v>
      </c>
      <c r="AK102" s="138">
        <v>6.5201001167000001</v>
      </c>
      <c r="AL102" s="138">
        <v>6.2101001739999999</v>
      </c>
      <c r="AM102" s="138">
        <v>6.0711998940000003</v>
      </c>
      <c r="AN102" s="138">
        <v>5.9095001220999999</v>
      </c>
      <c r="AO102" s="138">
        <v>5.75</v>
      </c>
      <c r="AP102" s="138">
        <v>6.1900000571999998</v>
      </c>
      <c r="AQ102" s="138">
        <v>6.0100002289000001</v>
      </c>
      <c r="AR102" s="138">
        <v>6.0599999428000002</v>
      </c>
      <c r="AS102" s="138">
        <v>5.9299998282999997</v>
      </c>
      <c r="AT102" s="138">
        <v>6.2</v>
      </c>
      <c r="AU102" s="138">
        <v>6</v>
      </c>
      <c r="AV102" s="138">
        <v>5.7</v>
      </c>
      <c r="AW102" s="138">
        <v>5.6</v>
      </c>
      <c r="AX102" s="138">
        <v>5.5</v>
      </c>
      <c r="AY102" s="138">
        <v>5.5</v>
      </c>
      <c r="AZ102" s="138">
        <v>5.5</v>
      </c>
      <c r="BA102" s="138">
        <v>5.5</v>
      </c>
      <c r="BB102" s="138">
        <v>5.5</v>
      </c>
      <c r="BC102" s="138">
        <v>5.4</v>
      </c>
      <c r="BD102" s="138">
        <v>5.6</v>
      </c>
      <c r="BE102" s="138">
        <v>5.7</v>
      </c>
      <c r="BF102" s="138">
        <v>5.9</v>
      </c>
      <c r="BG102" s="138">
        <v>5.9</v>
      </c>
      <c r="BH102" s="138">
        <v>5.89</v>
      </c>
      <c r="BI102" s="138">
        <v>5.6</v>
      </c>
      <c r="BN102" s="160">
        <f t="shared" si="3"/>
        <v>5.6</v>
      </c>
      <c r="BO102" s="628">
        <f t="shared" si="4"/>
        <v>5.6</v>
      </c>
      <c r="BP102" s="627" t="str">
        <f>INDEX('HCW Summary Data'!$D$9:$D$272,MATCH($B102,'HCW Summary Data'!$B$9:$B$272,0))</f>
        <v>Upper middle income</v>
      </c>
      <c r="BQ102" s="630">
        <f t="shared" si="5"/>
        <v>3.32</v>
      </c>
    </row>
    <row r="103" spans="2:69" x14ac:dyDescent="0.25">
      <c r="B103" s="138" t="s">
        <v>225</v>
      </c>
      <c r="C103" s="138" t="s">
        <v>56</v>
      </c>
      <c r="D103" s="138" t="s">
        <v>907</v>
      </c>
      <c r="E103" s="138" t="s">
        <v>908</v>
      </c>
      <c r="F103" s="138">
        <v>0.60883283615112305</v>
      </c>
      <c r="P103" s="138">
        <v>0.78430002927780196</v>
      </c>
      <c r="U103" s="138">
        <v>0.77600002288818404</v>
      </c>
      <c r="Z103" s="138">
        <v>0.74049997329711903</v>
      </c>
      <c r="AE103" s="138">
        <v>0.72310000658035301</v>
      </c>
      <c r="AJ103" s="138">
        <v>0.75559997560000003</v>
      </c>
      <c r="AM103" s="138">
        <v>0.79909998179999997</v>
      </c>
      <c r="AP103" s="138">
        <v>0.70999997849999996</v>
      </c>
      <c r="AT103" s="138">
        <v>0.7</v>
      </c>
      <c r="BA103" s="138">
        <v>1.3</v>
      </c>
      <c r="BG103" s="138">
        <v>0.7</v>
      </c>
      <c r="BN103" s="160">
        <f t="shared" si="3"/>
        <v>0.7</v>
      </c>
      <c r="BO103" s="628">
        <f t="shared" si="4"/>
        <v>0.7</v>
      </c>
      <c r="BP103" s="627" t="str">
        <f>INDEX('HCW Summary Data'!$D$9:$D$272,MATCH($B103,'HCW Summary Data'!$B$9:$B$272,0))</f>
        <v>Lower middle income</v>
      </c>
      <c r="BQ103" s="630">
        <f t="shared" si="5"/>
        <v>2.3800000000000003</v>
      </c>
    </row>
    <row r="104" spans="2:69" x14ac:dyDescent="0.25">
      <c r="B104" s="138" t="s">
        <v>521</v>
      </c>
      <c r="C104" s="138" t="s">
        <v>57</v>
      </c>
      <c r="D104" s="138" t="s">
        <v>907</v>
      </c>
      <c r="E104" s="138" t="s">
        <v>908</v>
      </c>
      <c r="AN104" s="138">
        <v>9.3000001907000005</v>
      </c>
      <c r="AO104" s="138">
        <v>8.8000001907000005</v>
      </c>
      <c r="AP104" s="138">
        <v>8.8000001907000005</v>
      </c>
      <c r="AQ104" s="138">
        <v>8</v>
      </c>
      <c r="AR104" s="138">
        <v>8.1000003814999992</v>
      </c>
      <c r="AS104" s="138">
        <v>8.1000003814999992</v>
      </c>
      <c r="AT104" s="138">
        <v>8.1999999999999993</v>
      </c>
      <c r="AU104" s="138">
        <v>7.9</v>
      </c>
      <c r="AV104" s="138">
        <v>7.9</v>
      </c>
      <c r="AW104" s="138">
        <v>7.9</v>
      </c>
      <c r="AX104" s="138">
        <v>7.9</v>
      </c>
      <c r="AY104" s="138">
        <v>7.9</v>
      </c>
      <c r="AZ104" s="138">
        <v>8</v>
      </c>
      <c r="BA104" s="138">
        <v>7.2</v>
      </c>
      <c r="BB104" s="138">
        <v>7.1</v>
      </c>
      <c r="BC104" s="138">
        <v>7.1</v>
      </c>
      <c r="BD104" s="138">
        <v>7.2</v>
      </c>
      <c r="BE104" s="138">
        <v>7.2</v>
      </c>
      <c r="BF104" s="138">
        <v>7</v>
      </c>
      <c r="BG104" s="138">
        <v>7</v>
      </c>
      <c r="BN104" s="160">
        <f t="shared" si="3"/>
        <v>7</v>
      </c>
      <c r="BO104" s="628">
        <f t="shared" si="4"/>
        <v>7</v>
      </c>
      <c r="BP104" s="627" t="str">
        <f>INDEX('HCW Summary Data'!$D$9:$D$272,MATCH($B104,'HCW Summary Data'!$B$9:$B$272,0))</f>
        <v>High income</v>
      </c>
      <c r="BQ104" s="630">
        <f t="shared" si="5"/>
        <v>3.5700000000000003</v>
      </c>
    </row>
    <row r="105" spans="2:69" x14ac:dyDescent="0.25">
      <c r="B105" s="138" t="s">
        <v>909</v>
      </c>
      <c r="C105" s="138" t="s">
        <v>910</v>
      </c>
      <c r="D105" s="138" t="s">
        <v>907</v>
      </c>
      <c r="E105" s="138" t="s">
        <v>908</v>
      </c>
      <c r="P105" s="138">
        <v>1.5368047936149709</v>
      </c>
      <c r="U105" s="138">
        <v>1.6164170006263976</v>
      </c>
      <c r="Z105" s="138">
        <v>2.261013896593242</v>
      </c>
      <c r="AA105" s="138">
        <v>2.2066140106678498</v>
      </c>
      <c r="AE105" s="138">
        <v>2.8558888931654955</v>
      </c>
      <c r="AG105" s="138">
        <v>3.0502463170257412</v>
      </c>
      <c r="AJ105" s="138">
        <v>3.476432183815088</v>
      </c>
      <c r="AK105" s="138">
        <v>2.7823653456786754</v>
      </c>
      <c r="AV105" s="138">
        <v>2.2273854611341739</v>
      </c>
      <c r="AW105" s="138">
        <v>2.2972606001799334</v>
      </c>
      <c r="AY105" s="138">
        <v>2.4321299906171747</v>
      </c>
      <c r="BD105" s="138">
        <v>3.2007655149071743</v>
      </c>
      <c r="BE105" s="138">
        <v>2.6029659986802662</v>
      </c>
      <c r="BN105" s="160">
        <f t="shared" si="3"/>
        <v>2.6029659986802662</v>
      </c>
      <c r="BO105" s="628">
        <f t="shared" si="4"/>
        <v>2.6029659986802662</v>
      </c>
      <c r="BP105" s="627" t="str">
        <f>INDEX('HCW Summary Data'!$D$9:$D$272,MATCH($B105,'HCW Summary Data'!$B$9:$B$272,0))</f>
        <v>OUT</v>
      </c>
      <c r="BQ105" s="630">
        <f t="shared" si="5"/>
        <v>2.7250000000000001</v>
      </c>
    </row>
    <row r="106" spans="2:69" x14ac:dyDescent="0.25">
      <c r="B106" s="138" t="s">
        <v>911</v>
      </c>
      <c r="C106" s="138" t="s">
        <v>912</v>
      </c>
      <c r="D106" s="138" t="s">
        <v>907</v>
      </c>
      <c r="E106" s="138" t="s">
        <v>908</v>
      </c>
      <c r="P106" s="138">
        <v>1.4383312812286475</v>
      </c>
      <c r="U106" s="138">
        <v>1.5456394796656405</v>
      </c>
      <c r="Z106" s="138">
        <v>2.1081868175259877</v>
      </c>
      <c r="AE106" s="138">
        <v>2.8234217230873329</v>
      </c>
      <c r="AJ106" s="138">
        <v>3.0090953154875835</v>
      </c>
      <c r="AK106" s="138">
        <v>2.6891395090991361</v>
      </c>
      <c r="AV106" s="138">
        <v>2.0753667561125679</v>
      </c>
      <c r="AW106" s="138">
        <v>2.2211259824298648</v>
      </c>
      <c r="AY106" s="138">
        <v>2.2104299132657212</v>
      </c>
      <c r="BE106" s="138">
        <v>2.4609253863224496</v>
      </c>
      <c r="BN106" s="160">
        <f t="shared" si="3"/>
        <v>2.4609253863224496</v>
      </c>
      <c r="BO106" s="628">
        <f t="shared" si="4"/>
        <v>2.4609253863224496</v>
      </c>
      <c r="BP106" s="627" t="str">
        <f>INDEX('HCW Summary Data'!$D$9:$D$272,MATCH($B106,'HCW Summary Data'!$B$9:$B$272,0))</f>
        <v>OUT</v>
      </c>
      <c r="BQ106" s="630">
        <f t="shared" si="5"/>
        <v>2.7250000000000001</v>
      </c>
    </row>
    <row r="107" spans="2:69" x14ac:dyDescent="0.25">
      <c r="B107" s="138" t="s">
        <v>913</v>
      </c>
      <c r="C107" s="138" t="s">
        <v>914</v>
      </c>
      <c r="D107" s="138" t="s">
        <v>907</v>
      </c>
      <c r="E107" s="138" t="s">
        <v>908</v>
      </c>
      <c r="F107" s="138">
        <v>1.1163977879161611</v>
      </c>
      <c r="P107" s="138">
        <v>1.0069887082186986</v>
      </c>
      <c r="Z107" s="138">
        <v>1.2929047866838763</v>
      </c>
      <c r="AJ107" s="138">
        <v>1.4494300762004075</v>
      </c>
      <c r="BN107" s="160">
        <f t="shared" si="3"/>
        <v>1.4494300762004075</v>
      </c>
      <c r="BO107" s="628">
        <f t="shared" si="4"/>
        <v>1.4494300762004075</v>
      </c>
      <c r="BP107" s="627" t="str">
        <f>INDEX('HCW Summary Data'!$D$9:$D$272,MATCH($B107,'HCW Summary Data'!$B$9:$B$272,0))</f>
        <v>OUT</v>
      </c>
      <c r="BQ107" s="630">
        <f t="shared" si="5"/>
        <v>2.7250000000000001</v>
      </c>
    </row>
    <row r="108" spans="2:69" x14ac:dyDescent="0.25">
      <c r="B108" s="138" t="s">
        <v>915</v>
      </c>
      <c r="C108" s="138" t="s">
        <v>916</v>
      </c>
      <c r="D108" s="138" t="s">
        <v>907</v>
      </c>
      <c r="E108" s="138" t="s">
        <v>908</v>
      </c>
      <c r="F108" s="138">
        <v>0.85927364365682435</v>
      </c>
      <c r="P108" s="138">
        <v>1.0156668138212943</v>
      </c>
      <c r="U108" s="138">
        <v>0.89334069871635058</v>
      </c>
      <c r="Z108" s="138">
        <v>1.9465926333924746</v>
      </c>
      <c r="AJ108" s="138">
        <v>2.2659178530580681</v>
      </c>
      <c r="AT108" s="138">
        <v>1.36447776116317</v>
      </c>
      <c r="AX108" s="138">
        <v>1.1226850423938446</v>
      </c>
      <c r="BN108" s="160">
        <f t="shared" si="3"/>
        <v>1.1226850423938446</v>
      </c>
      <c r="BO108" s="628">
        <f t="shared" si="4"/>
        <v>1.1226850423938446</v>
      </c>
      <c r="BP108" s="627" t="str">
        <f>INDEX('HCW Summary Data'!$D$9:$D$272,MATCH($B108,'HCW Summary Data'!$B$9:$B$272,0))</f>
        <v>OUT</v>
      </c>
      <c r="BQ108" s="630">
        <f t="shared" si="5"/>
        <v>2.7250000000000001</v>
      </c>
    </row>
    <row r="109" spans="2:69" x14ac:dyDescent="0.25">
      <c r="B109" s="138" t="s">
        <v>242</v>
      </c>
      <c r="C109" s="138" t="s">
        <v>58</v>
      </c>
      <c r="D109" s="138" t="s">
        <v>907</v>
      </c>
      <c r="E109" s="138" t="s">
        <v>908</v>
      </c>
      <c r="F109" s="138">
        <v>0.74045705795288097</v>
      </c>
      <c r="P109" s="138">
        <v>0.65460002422332797</v>
      </c>
      <c r="U109" s="138">
        <v>0.81830000877380404</v>
      </c>
      <c r="AE109" s="138">
        <v>0.55680000782012895</v>
      </c>
      <c r="AI109" s="138">
        <v>0.70260000228881803</v>
      </c>
      <c r="AJ109" s="138">
        <v>0.66519999500000004</v>
      </c>
      <c r="AK109" s="138">
        <v>0.66860002279999997</v>
      </c>
      <c r="AL109" s="138">
        <v>0.66500002150000004</v>
      </c>
      <c r="AM109" s="138">
        <v>0.65759998559999999</v>
      </c>
      <c r="AN109" s="138">
        <v>0.66009998319999996</v>
      </c>
      <c r="AR109" s="138">
        <v>0.6</v>
      </c>
      <c r="AV109" s="138">
        <v>0.6</v>
      </c>
      <c r="BD109" s="138">
        <v>0.6</v>
      </c>
      <c r="BF109" s="138">
        <v>0.9</v>
      </c>
      <c r="BI109" s="138">
        <v>1.2</v>
      </c>
      <c r="BN109" s="160">
        <f t="shared" si="3"/>
        <v>1.2</v>
      </c>
      <c r="BO109" s="628">
        <f t="shared" si="4"/>
        <v>1.2</v>
      </c>
      <c r="BP109" s="627" t="str">
        <f>INDEX('HCW Summary Data'!$D$9:$D$272,MATCH($B109,'HCW Summary Data'!$B$9:$B$272,0))</f>
        <v>Upper middle income</v>
      </c>
      <c r="BQ109" s="630">
        <f t="shared" si="5"/>
        <v>3.32</v>
      </c>
    </row>
    <row r="110" spans="2:69" x14ac:dyDescent="0.25">
      <c r="B110" s="138" t="s">
        <v>917</v>
      </c>
      <c r="C110" s="138" t="s">
        <v>918</v>
      </c>
      <c r="D110" s="138" t="s">
        <v>907</v>
      </c>
      <c r="E110" s="138" t="s">
        <v>908</v>
      </c>
      <c r="F110" s="138">
        <v>1.2586431280686194</v>
      </c>
      <c r="P110" s="138">
        <v>1.002929389439944</v>
      </c>
      <c r="AJ110" s="138">
        <v>0.97496863705028103</v>
      </c>
      <c r="BN110" s="160">
        <f t="shared" si="3"/>
        <v>0.97496863705028103</v>
      </c>
      <c r="BO110" s="628">
        <f t="shared" si="4"/>
        <v>0.97496863705028103</v>
      </c>
      <c r="BP110" s="627" t="str">
        <f>INDEX('HCW Summary Data'!$D$9:$D$272,MATCH($B110,'HCW Summary Data'!$B$9:$B$272,0))</f>
        <v>OUT</v>
      </c>
      <c r="BQ110" s="630">
        <f t="shared" si="5"/>
        <v>2.7250000000000001</v>
      </c>
    </row>
    <row r="111" spans="2:69" x14ac:dyDescent="0.25">
      <c r="B111" s="138" t="s">
        <v>527</v>
      </c>
      <c r="C111" s="138" t="s">
        <v>528</v>
      </c>
      <c r="D111" s="138" t="s">
        <v>907</v>
      </c>
      <c r="E111" s="138" t="s">
        <v>908</v>
      </c>
      <c r="F111" s="138">
        <v>1.8449837295145264</v>
      </c>
      <c r="P111" s="138">
        <v>1.9132313316957892</v>
      </c>
      <c r="Z111" s="138">
        <v>1.7561565950241553</v>
      </c>
      <c r="AA111" s="138">
        <v>1.7541120950407536</v>
      </c>
      <c r="AJ111" s="138">
        <v>1.7522383307353393</v>
      </c>
      <c r="AY111" s="138">
        <v>1.7693946173590436</v>
      </c>
      <c r="AZ111" s="138">
        <v>1.5847432589061126</v>
      </c>
      <c r="BC111" s="138">
        <v>1.5842793837592861</v>
      </c>
      <c r="BN111" s="160">
        <f t="shared" si="3"/>
        <v>1.5842793837592861</v>
      </c>
      <c r="BO111" s="628">
        <f t="shared" si="4"/>
        <v>1.5842793837592861</v>
      </c>
      <c r="BP111" s="627" t="str">
        <f>INDEX('HCW Summary Data'!$D$9:$D$272,MATCH($B111,'HCW Summary Data'!$B$9:$B$272,0))</f>
        <v>High income</v>
      </c>
      <c r="BQ111" s="630">
        <f t="shared" si="5"/>
        <v>3.5700000000000003</v>
      </c>
    </row>
    <row r="112" spans="2:69" x14ac:dyDescent="0.25">
      <c r="B112" s="138" t="s">
        <v>523</v>
      </c>
      <c r="C112" s="138" t="s">
        <v>59</v>
      </c>
      <c r="D112" s="138" t="s">
        <v>907</v>
      </c>
      <c r="E112" s="138" t="s">
        <v>908</v>
      </c>
      <c r="F112" s="138">
        <v>0.45898690819740301</v>
      </c>
      <c r="P112" s="138">
        <v>0.60449999570846602</v>
      </c>
      <c r="U112" s="138">
        <v>0.58819997310638406</v>
      </c>
      <c r="Z112" s="138">
        <v>0.76969999074935902</v>
      </c>
      <c r="AA112" s="138">
        <v>0.76940000057220503</v>
      </c>
      <c r="AE112" s="138">
        <v>0.76920002698898304</v>
      </c>
      <c r="AG112" s="138">
        <v>0.71820002794265703</v>
      </c>
      <c r="AK112" s="138">
        <v>0.78700000049999996</v>
      </c>
      <c r="AV112" s="138">
        <v>0.69</v>
      </c>
      <c r="AW112" s="138">
        <v>0.89999997620000005</v>
      </c>
      <c r="AY112" s="138">
        <v>0.9</v>
      </c>
      <c r="BE112" s="138">
        <v>0.7</v>
      </c>
      <c r="BN112" s="160">
        <f t="shared" si="3"/>
        <v>0.7</v>
      </c>
      <c r="BO112" s="628">
        <f t="shared" si="4"/>
        <v>0.7</v>
      </c>
      <c r="BP112" s="627" t="str">
        <f>INDEX('HCW Summary Data'!$D$9:$D$272,MATCH($B112,'HCW Summary Data'!$B$9:$B$272,0))</f>
        <v>Lower middle income</v>
      </c>
      <c r="BQ112" s="630">
        <f t="shared" si="5"/>
        <v>2.3800000000000003</v>
      </c>
    </row>
    <row r="113" spans="2:69" x14ac:dyDescent="0.25">
      <c r="B113" s="138" t="s">
        <v>595</v>
      </c>
      <c r="C113" s="138" t="s">
        <v>596</v>
      </c>
      <c r="D113" s="138" t="s">
        <v>907</v>
      </c>
      <c r="E113" s="138" t="s">
        <v>908</v>
      </c>
      <c r="BN113" s="160" t="str">
        <f t="shared" si="3"/>
        <v>No reported value</v>
      </c>
      <c r="BO113" s="628">
        <f t="shared" si="4"/>
        <v>2.6</v>
      </c>
      <c r="BP113" s="627" t="str">
        <f>INDEX('HCW Summary Data'!$D$9:$D$272,MATCH($B113,'HCW Summary Data'!$B$9:$B$272,0))</f>
        <v>OUT</v>
      </c>
      <c r="BQ113" s="630">
        <f t="shared" si="5"/>
        <v>2.7250000000000001</v>
      </c>
    </row>
    <row r="114" spans="2:69" x14ac:dyDescent="0.25">
      <c r="B114" s="138" t="s">
        <v>526</v>
      </c>
      <c r="C114" s="138" t="s">
        <v>60</v>
      </c>
      <c r="D114" s="138" t="s">
        <v>907</v>
      </c>
      <c r="E114" s="138" t="s">
        <v>908</v>
      </c>
      <c r="Z114" s="138">
        <v>9</v>
      </c>
      <c r="AA114" s="138">
        <v>9</v>
      </c>
      <c r="AB114" s="138">
        <v>8.8000001907348597</v>
      </c>
      <c r="AC114" s="138">
        <v>8.6000003814697301</v>
      </c>
      <c r="AD114" s="138">
        <v>8.3999996185302699</v>
      </c>
      <c r="AE114" s="138">
        <v>8.1999998092651403</v>
      </c>
      <c r="AF114" s="138">
        <v>7.9000000953674299</v>
      </c>
      <c r="AG114" s="138">
        <v>7.1999998092651403</v>
      </c>
      <c r="AH114" s="138">
        <v>6.4000000953674299</v>
      </c>
      <c r="AI114" s="138">
        <v>6.1999998092651403</v>
      </c>
      <c r="AJ114" s="138">
        <v>6.0999999045999997</v>
      </c>
      <c r="AK114" s="138">
        <v>6</v>
      </c>
      <c r="AL114" s="138">
        <v>5.6999998093000004</v>
      </c>
      <c r="AM114" s="138">
        <v>5.5</v>
      </c>
      <c r="AN114" s="138">
        <v>5.3000001906999996</v>
      </c>
      <c r="AO114" s="138">
        <v>5.1999998093000004</v>
      </c>
      <c r="AP114" s="138">
        <v>5.0999999045999997</v>
      </c>
      <c r="AQ114" s="138">
        <v>4.9000000954000003</v>
      </c>
      <c r="AR114" s="138">
        <v>4.8000001906999996</v>
      </c>
      <c r="AS114" s="138">
        <v>4.6999998093000004</v>
      </c>
      <c r="AT114" s="138">
        <v>6.2</v>
      </c>
      <c r="AU114" s="138">
        <v>5.9</v>
      </c>
      <c r="AV114" s="138">
        <v>5.8</v>
      </c>
      <c r="AW114" s="138">
        <v>5.7</v>
      </c>
      <c r="AX114" s="138">
        <v>5.7</v>
      </c>
      <c r="AY114" s="138">
        <v>5.5</v>
      </c>
      <c r="AZ114" s="138">
        <v>5.3</v>
      </c>
      <c r="BA114" s="138">
        <v>5.2</v>
      </c>
      <c r="BB114" s="138">
        <v>4.9000000000000004</v>
      </c>
      <c r="BC114" s="138">
        <v>3.2</v>
      </c>
      <c r="BD114" s="138">
        <v>3</v>
      </c>
      <c r="BE114" s="138">
        <v>2.9</v>
      </c>
      <c r="BF114" s="138">
        <v>2.8</v>
      </c>
      <c r="BG114" s="138">
        <v>2.8</v>
      </c>
      <c r="BN114" s="160">
        <f t="shared" si="3"/>
        <v>2.8</v>
      </c>
      <c r="BO114" s="628">
        <f t="shared" si="4"/>
        <v>2.8</v>
      </c>
      <c r="BP114" s="627" t="str">
        <f>INDEX('HCW Summary Data'!$D$9:$D$272,MATCH($B114,'HCW Summary Data'!$B$9:$B$272,0))</f>
        <v>High income</v>
      </c>
      <c r="BQ114" s="630">
        <f t="shared" si="5"/>
        <v>3.5700000000000003</v>
      </c>
    </row>
    <row r="115" spans="2:69" x14ac:dyDescent="0.25">
      <c r="B115" s="138" t="s">
        <v>524</v>
      </c>
      <c r="C115" s="138" t="s">
        <v>61</v>
      </c>
      <c r="D115" s="138" t="s">
        <v>907</v>
      </c>
      <c r="E115" s="138" t="s">
        <v>908</v>
      </c>
      <c r="F115" s="138">
        <v>0.92567503452301003</v>
      </c>
      <c r="P115" s="138">
        <v>1.37960004806519</v>
      </c>
      <c r="Z115" s="138">
        <v>1.4805999994278001</v>
      </c>
      <c r="AA115" s="138">
        <v>1.5155999660491899</v>
      </c>
      <c r="AG115" s="138">
        <v>1.5104999542236299</v>
      </c>
      <c r="AH115" s="138">
        <v>1.4837000370025599</v>
      </c>
      <c r="AJ115" s="138">
        <v>1.4330999850999999</v>
      </c>
      <c r="AP115" s="138">
        <v>1.6000000238000001</v>
      </c>
      <c r="AT115" s="138">
        <v>1.6</v>
      </c>
      <c r="AU115" s="138">
        <v>1.6</v>
      </c>
      <c r="AV115" s="138">
        <v>1.6</v>
      </c>
      <c r="AW115" s="138">
        <v>1.6</v>
      </c>
      <c r="AX115" s="138">
        <v>1.6</v>
      </c>
      <c r="AY115" s="138">
        <v>1.7</v>
      </c>
      <c r="AZ115" s="138">
        <v>1.7</v>
      </c>
      <c r="BA115" s="138">
        <v>1.7</v>
      </c>
      <c r="BB115" s="138">
        <v>1.4</v>
      </c>
      <c r="BC115" s="138">
        <v>1.4</v>
      </c>
      <c r="BD115" s="138">
        <v>1.7</v>
      </c>
      <c r="BE115" s="138">
        <v>1.7</v>
      </c>
      <c r="BF115" s="138">
        <v>0.1</v>
      </c>
      <c r="BG115" s="138">
        <v>1.5</v>
      </c>
      <c r="BH115" s="138">
        <v>1.5</v>
      </c>
      <c r="BN115" s="160">
        <f t="shared" si="3"/>
        <v>1.5</v>
      </c>
      <c r="BO115" s="628">
        <f t="shared" si="4"/>
        <v>1.5</v>
      </c>
      <c r="BP115" s="627" t="str">
        <f>INDEX('HCW Summary Data'!$D$9:$D$272,MATCH($B115,'HCW Summary Data'!$B$9:$B$272,0))</f>
        <v>Upper middle income</v>
      </c>
      <c r="BQ115" s="630">
        <f t="shared" si="5"/>
        <v>3.32</v>
      </c>
    </row>
    <row r="116" spans="2:69" x14ac:dyDescent="0.25">
      <c r="B116" s="138" t="s">
        <v>525</v>
      </c>
      <c r="C116" s="138" t="s">
        <v>62</v>
      </c>
      <c r="D116" s="138" t="s">
        <v>907</v>
      </c>
      <c r="E116" s="138" t="s">
        <v>908</v>
      </c>
      <c r="F116" s="138">
        <v>1.8580399751663199</v>
      </c>
      <c r="P116" s="138">
        <v>1.95099997520447</v>
      </c>
      <c r="Z116" s="138">
        <v>1.94640004634857</v>
      </c>
      <c r="AA116" s="138">
        <v>1.89310002326965</v>
      </c>
      <c r="AI116" s="138">
        <v>1.71389997005463</v>
      </c>
      <c r="AJ116" s="138">
        <v>1.6596000195</v>
      </c>
      <c r="AR116" s="138">
        <v>1.4500000476999999</v>
      </c>
      <c r="AT116" s="138">
        <v>1.2</v>
      </c>
      <c r="AU116" s="138">
        <v>1.3</v>
      </c>
      <c r="AV116" s="138">
        <v>1.3</v>
      </c>
      <c r="AW116" s="138">
        <v>1.3</v>
      </c>
      <c r="AX116" s="138">
        <v>1.3</v>
      </c>
      <c r="AY116" s="138">
        <v>1.3</v>
      </c>
      <c r="AZ116" s="138">
        <v>1.3</v>
      </c>
      <c r="BA116" s="138">
        <v>1.3</v>
      </c>
      <c r="BB116" s="138">
        <v>1.3</v>
      </c>
      <c r="BC116" s="138">
        <v>1.3</v>
      </c>
      <c r="BD116" s="138">
        <v>1.3</v>
      </c>
      <c r="BE116" s="138">
        <v>1.3</v>
      </c>
      <c r="BF116" s="138">
        <v>1.3</v>
      </c>
      <c r="BG116" s="138">
        <v>1.3</v>
      </c>
      <c r="BH116" s="138">
        <v>1.4</v>
      </c>
      <c r="BN116" s="160">
        <f t="shared" si="3"/>
        <v>1.4</v>
      </c>
      <c r="BO116" s="628">
        <f t="shared" si="4"/>
        <v>1.4</v>
      </c>
      <c r="BP116" s="627" t="str">
        <f>INDEX('HCW Summary Data'!$D$9:$D$272,MATCH($B116,'HCW Summary Data'!$B$9:$B$272,0))</f>
        <v>High income</v>
      </c>
      <c r="BQ116" s="630">
        <f t="shared" si="5"/>
        <v>3.5700000000000003</v>
      </c>
    </row>
    <row r="117" spans="2:69" x14ac:dyDescent="0.25">
      <c r="B117" s="138" t="s">
        <v>522</v>
      </c>
      <c r="C117" s="138" t="s">
        <v>63</v>
      </c>
      <c r="D117" s="138" t="s">
        <v>907</v>
      </c>
      <c r="E117" s="138" t="s">
        <v>908</v>
      </c>
      <c r="F117" s="138">
        <v>9.8000001907348597</v>
      </c>
      <c r="P117" s="138">
        <v>12.8999996185303</v>
      </c>
      <c r="Z117" s="138">
        <v>14.800000190734901</v>
      </c>
      <c r="AE117" s="138">
        <v>15.800000190734901</v>
      </c>
      <c r="AJ117" s="138">
        <v>16.7000007629</v>
      </c>
      <c r="AK117" s="138">
        <v>16.2999992371</v>
      </c>
      <c r="AL117" s="138">
        <v>15.899999618500001</v>
      </c>
      <c r="AM117" s="138">
        <v>14.800000190700001</v>
      </c>
      <c r="AN117" s="138">
        <v>14.699999809299999</v>
      </c>
      <c r="AO117" s="138">
        <v>14.600000381499999</v>
      </c>
      <c r="AV117" s="138">
        <v>7.5</v>
      </c>
      <c r="AZ117" s="138">
        <v>5.3391000000000002</v>
      </c>
      <c r="BA117" s="138">
        <v>4.2</v>
      </c>
      <c r="BB117" s="138">
        <v>3.9</v>
      </c>
      <c r="BC117" s="138">
        <v>3.7</v>
      </c>
      <c r="BD117" s="138">
        <v>3.6</v>
      </c>
      <c r="BE117" s="138">
        <v>3.3</v>
      </c>
      <c r="BF117" s="138">
        <v>3.3</v>
      </c>
      <c r="BG117" s="138">
        <v>3.2</v>
      </c>
      <c r="BH117" s="138">
        <v>3.2</v>
      </c>
      <c r="BN117" s="160">
        <f t="shared" si="3"/>
        <v>3.2</v>
      </c>
      <c r="BO117" s="628">
        <f t="shared" si="4"/>
        <v>3.2</v>
      </c>
      <c r="BP117" s="627" t="str">
        <f>INDEX('HCW Summary Data'!$D$9:$D$272,MATCH($B117,'HCW Summary Data'!$B$9:$B$272,0))</f>
        <v>Lower middle income</v>
      </c>
      <c r="BQ117" s="630">
        <f t="shared" si="5"/>
        <v>2.3800000000000003</v>
      </c>
    </row>
    <row r="118" spans="2:69" x14ac:dyDescent="0.25">
      <c r="B118" s="138" t="s">
        <v>529</v>
      </c>
      <c r="C118" s="138" t="s">
        <v>64</v>
      </c>
      <c r="D118" s="138" t="s">
        <v>907</v>
      </c>
      <c r="E118" s="138" t="s">
        <v>908</v>
      </c>
      <c r="F118" s="138">
        <v>6.73793745040894</v>
      </c>
      <c r="U118" s="138">
        <v>8.0792999267578107</v>
      </c>
      <c r="Z118" s="138">
        <v>6.7973999977111799</v>
      </c>
      <c r="AA118" s="138">
        <v>6.7294001579284703</v>
      </c>
      <c r="AB118" s="138">
        <v>6.7666001319885298</v>
      </c>
      <c r="AC118" s="138">
        <v>6.5434999465942401</v>
      </c>
      <c r="AD118" s="138">
        <v>6.4966001510620099</v>
      </c>
      <c r="AE118" s="138">
        <v>6.50950002670288</v>
      </c>
      <c r="AF118" s="138">
        <v>6.3801999092102104</v>
      </c>
      <c r="AG118" s="138">
        <v>6.2898998260498002</v>
      </c>
      <c r="AH118" s="138">
        <v>6.3168997764587402</v>
      </c>
      <c r="AI118" s="138">
        <v>6.2836999893188503</v>
      </c>
      <c r="AJ118" s="138">
        <v>6.2431998252999996</v>
      </c>
      <c r="AK118" s="138">
        <v>5.9699997902000002</v>
      </c>
      <c r="AL118" s="138">
        <v>5.9895000457999998</v>
      </c>
      <c r="AM118" s="138">
        <v>6.0778999329000003</v>
      </c>
      <c r="AN118" s="138">
        <v>6.1012001038000001</v>
      </c>
      <c r="AO118" s="138">
        <v>5.9800000191000002</v>
      </c>
      <c r="AP118" s="138">
        <v>6.0300002097999998</v>
      </c>
      <c r="AQ118" s="138">
        <v>6.0500001906999996</v>
      </c>
      <c r="AR118" s="138">
        <v>6.0999999045999997</v>
      </c>
      <c r="AS118" s="138">
        <v>6.1199998856000004</v>
      </c>
      <c r="AT118" s="138">
        <v>3.7</v>
      </c>
      <c r="AU118" s="138">
        <v>3.8</v>
      </c>
      <c r="AV118" s="138">
        <v>3.8</v>
      </c>
      <c r="AW118" s="138">
        <v>3.8</v>
      </c>
      <c r="AX118" s="138">
        <v>3.7</v>
      </c>
      <c r="AY118" s="138">
        <v>3.7</v>
      </c>
      <c r="AZ118" s="138">
        <v>3.4</v>
      </c>
      <c r="BA118" s="138">
        <v>5.8</v>
      </c>
      <c r="BB118" s="138">
        <v>3.2</v>
      </c>
      <c r="BC118" s="138">
        <v>3.2</v>
      </c>
      <c r="BD118" s="138">
        <v>3.2</v>
      </c>
      <c r="BE118" s="138">
        <v>3.1</v>
      </c>
      <c r="BF118" s="138">
        <v>3.1</v>
      </c>
      <c r="BG118" s="138">
        <v>3.1</v>
      </c>
      <c r="BN118" s="160">
        <f t="shared" si="3"/>
        <v>3.1</v>
      </c>
      <c r="BO118" s="628">
        <f t="shared" si="4"/>
        <v>3.1</v>
      </c>
      <c r="BP118" s="627" t="str">
        <f>INDEX('HCW Summary Data'!$D$9:$D$272,MATCH($B118,'HCW Summary Data'!$B$9:$B$272,0))</f>
        <v>High income</v>
      </c>
      <c r="BQ118" s="630">
        <f t="shared" si="5"/>
        <v>3.5700000000000003</v>
      </c>
    </row>
    <row r="119" spans="2:69" x14ac:dyDescent="0.25">
      <c r="B119" s="138" t="s">
        <v>530</v>
      </c>
      <c r="C119" s="138" t="s">
        <v>65</v>
      </c>
      <c r="D119" s="138" t="s">
        <v>907</v>
      </c>
      <c r="E119" s="138" t="s">
        <v>908</v>
      </c>
      <c r="F119" s="138">
        <v>8.8999996185302699</v>
      </c>
      <c r="G119" s="138">
        <v>9</v>
      </c>
      <c r="H119" s="138">
        <v>9.1999998092651403</v>
      </c>
      <c r="I119" s="138">
        <v>9.3000001907348597</v>
      </c>
      <c r="J119" s="138">
        <v>9.5</v>
      </c>
      <c r="K119" s="138">
        <v>9.6000003814697301</v>
      </c>
      <c r="L119" s="138">
        <v>9.6999998092651403</v>
      </c>
      <c r="M119" s="138">
        <v>9.8999996185302699</v>
      </c>
      <c r="N119" s="138">
        <v>10.1000003814697</v>
      </c>
      <c r="O119" s="138">
        <v>10.300000190734901</v>
      </c>
      <c r="P119" s="138">
        <v>10.6000003814697</v>
      </c>
      <c r="Q119" s="138">
        <v>10.6000003814697</v>
      </c>
      <c r="R119" s="138">
        <v>10.6000003814697</v>
      </c>
      <c r="S119" s="138">
        <v>10.5</v>
      </c>
      <c r="T119" s="138">
        <v>10.6000003814697</v>
      </c>
      <c r="U119" s="138">
        <v>10.6000003814697</v>
      </c>
      <c r="V119" s="138">
        <v>10.3999996185303</v>
      </c>
      <c r="W119" s="138">
        <v>10.300000190734901</v>
      </c>
      <c r="X119" s="138">
        <v>10</v>
      </c>
      <c r="Y119" s="138">
        <v>9.8000001907348597</v>
      </c>
      <c r="Z119" s="138">
        <v>9.6000003814697301</v>
      </c>
      <c r="AA119" s="138">
        <v>9.3999996185302699</v>
      </c>
      <c r="AB119" s="138">
        <v>9.1000003814697301</v>
      </c>
      <c r="AC119" s="138">
        <v>8.8999996185302699</v>
      </c>
      <c r="AD119" s="138">
        <v>8.5</v>
      </c>
      <c r="AE119" s="138">
        <v>8.3000001907348597</v>
      </c>
      <c r="AF119" s="138">
        <v>8</v>
      </c>
      <c r="AG119" s="138">
        <v>7.8000001907348597</v>
      </c>
      <c r="AH119" s="138">
        <v>7.5</v>
      </c>
      <c r="AI119" s="138">
        <v>7.0999999046325701</v>
      </c>
      <c r="AJ119" s="138">
        <v>7.1999998093000004</v>
      </c>
      <c r="AK119" s="138">
        <v>6.8000001906999996</v>
      </c>
      <c r="AL119" s="138">
        <v>6.9000000954000003</v>
      </c>
      <c r="AM119" s="138">
        <v>6.6999998093000004</v>
      </c>
      <c r="AN119" s="138">
        <v>6.5999999045999997</v>
      </c>
      <c r="AO119" s="138">
        <v>6.3000001906999996</v>
      </c>
      <c r="AP119" s="138">
        <v>6.5</v>
      </c>
      <c r="AQ119" s="138">
        <v>5.9000000954000003</v>
      </c>
      <c r="AR119" s="138">
        <v>5.5</v>
      </c>
      <c r="AS119" s="138">
        <v>4.9000000954000003</v>
      </c>
      <c r="AT119" s="138">
        <v>4.7</v>
      </c>
      <c r="AU119" s="138">
        <v>4.5999999999999996</v>
      </c>
      <c r="AV119" s="138">
        <v>4.4000000000000004</v>
      </c>
      <c r="AW119" s="138">
        <v>4.2</v>
      </c>
      <c r="AX119" s="138">
        <v>4</v>
      </c>
      <c r="AY119" s="138">
        <v>4</v>
      </c>
      <c r="AZ119" s="138">
        <v>3.9</v>
      </c>
      <c r="BA119" s="138">
        <v>3.8</v>
      </c>
      <c r="BB119" s="138">
        <v>3.7</v>
      </c>
      <c r="BC119" s="138">
        <v>3.6</v>
      </c>
      <c r="BD119" s="138">
        <v>3.6</v>
      </c>
      <c r="BE119" s="138">
        <v>3.5</v>
      </c>
      <c r="BF119" s="138">
        <v>3.4</v>
      </c>
      <c r="BN119" s="160">
        <f t="shared" si="3"/>
        <v>3.4</v>
      </c>
      <c r="BO119" s="628">
        <f t="shared" si="4"/>
        <v>3.4</v>
      </c>
      <c r="BP119" s="627" t="str">
        <f>INDEX('HCW Summary Data'!$D$9:$D$272,MATCH($B119,'HCW Summary Data'!$B$9:$B$272,0))</f>
        <v>Upper middle income</v>
      </c>
      <c r="BQ119" s="630">
        <f t="shared" si="5"/>
        <v>3.32</v>
      </c>
    </row>
    <row r="120" spans="2:69" x14ac:dyDescent="0.25">
      <c r="B120" s="138" t="s">
        <v>531</v>
      </c>
      <c r="C120" s="138" t="s">
        <v>66</v>
      </c>
      <c r="D120" s="138" t="s">
        <v>907</v>
      </c>
      <c r="E120" s="138" t="s">
        <v>908</v>
      </c>
      <c r="F120" s="138">
        <v>4.1454882621765101</v>
      </c>
      <c r="P120" s="138">
        <v>4.1048998832702601</v>
      </c>
      <c r="U120" s="138">
        <v>4.9994997978210396</v>
      </c>
      <c r="AE120" s="138">
        <v>3.3333001136779798</v>
      </c>
      <c r="AI120" s="138">
        <v>2.4000999927520801</v>
      </c>
      <c r="AJ120" s="138">
        <v>2.2000000477000001</v>
      </c>
      <c r="AM120" s="138">
        <v>2.1003000736000002</v>
      </c>
      <c r="AO120" s="138">
        <v>2.1</v>
      </c>
      <c r="AP120" s="138">
        <v>2.1199998856</v>
      </c>
      <c r="AU120" s="138">
        <v>1.5</v>
      </c>
      <c r="AV120" s="138">
        <v>1.5</v>
      </c>
      <c r="AW120" s="138">
        <v>1.3999999761999999</v>
      </c>
      <c r="AX120" s="138">
        <v>1.8</v>
      </c>
      <c r="AY120" s="138">
        <v>1.7</v>
      </c>
      <c r="AZ120" s="138">
        <v>2</v>
      </c>
      <c r="BA120" s="138">
        <v>1.7</v>
      </c>
      <c r="BC120" s="138">
        <v>1.7</v>
      </c>
      <c r="BD120" s="138">
        <v>1.8</v>
      </c>
      <c r="BF120" s="138">
        <v>1.7</v>
      </c>
      <c r="BG120" s="138">
        <v>1.7</v>
      </c>
      <c r="BN120" s="160">
        <f t="shared" si="3"/>
        <v>1.7</v>
      </c>
      <c r="BO120" s="628">
        <f t="shared" si="4"/>
        <v>1.7</v>
      </c>
      <c r="BP120" s="627" t="str">
        <f>INDEX('HCW Summary Data'!$D$9:$D$272,MATCH($B120,'HCW Summary Data'!$B$9:$B$272,0))</f>
        <v>High income</v>
      </c>
      <c r="BQ120" s="630">
        <f t="shared" si="5"/>
        <v>3.5700000000000003</v>
      </c>
    </row>
    <row r="121" spans="2:69" x14ac:dyDescent="0.25">
      <c r="B121" s="138" t="s">
        <v>533</v>
      </c>
      <c r="C121" s="138" t="s">
        <v>67</v>
      </c>
      <c r="D121" s="138" t="s">
        <v>907</v>
      </c>
      <c r="E121" s="138" t="s">
        <v>908</v>
      </c>
      <c r="F121" s="138">
        <v>3.6054501533508301</v>
      </c>
      <c r="P121" s="138">
        <v>1.1280000209808301</v>
      </c>
      <c r="U121" s="138">
        <v>1.02600002288818</v>
      </c>
      <c r="Z121" s="138">
        <v>1.2576999664306601</v>
      </c>
      <c r="AA121" s="138">
        <v>1.2063000202178999</v>
      </c>
      <c r="AE121" s="138">
        <v>1.20550000667572</v>
      </c>
      <c r="AJ121" s="138">
        <v>1.7977999448999999</v>
      </c>
      <c r="AN121" s="138">
        <v>1.6302000284</v>
      </c>
      <c r="AQ121" s="138">
        <v>1.7999999523000001</v>
      </c>
      <c r="AT121" s="138">
        <v>1.7</v>
      </c>
      <c r="AU121" s="138">
        <v>1.7</v>
      </c>
      <c r="AV121" s="138">
        <v>1.7</v>
      </c>
      <c r="AW121" s="138">
        <v>1.7</v>
      </c>
      <c r="AX121" s="138">
        <v>1.7</v>
      </c>
      <c r="AY121" s="138">
        <v>1.7</v>
      </c>
      <c r="AZ121" s="138">
        <v>1.9</v>
      </c>
      <c r="BA121" s="138">
        <v>1.9</v>
      </c>
      <c r="BB121" s="138">
        <v>1.8</v>
      </c>
      <c r="BC121" s="138">
        <v>1.8</v>
      </c>
      <c r="BD121" s="138">
        <v>1.8</v>
      </c>
      <c r="BE121" s="138">
        <v>1.8</v>
      </c>
      <c r="BF121" s="138">
        <v>1.8</v>
      </c>
      <c r="BG121" s="138">
        <v>1.8</v>
      </c>
      <c r="BH121" s="138">
        <v>1.9</v>
      </c>
      <c r="BI121" s="138">
        <v>1.4</v>
      </c>
      <c r="BN121" s="160">
        <f t="shared" si="3"/>
        <v>1.4</v>
      </c>
      <c r="BO121" s="628">
        <f t="shared" si="4"/>
        <v>1.4</v>
      </c>
      <c r="BP121" s="627" t="str">
        <f>INDEX('HCW Summary Data'!$D$9:$D$272,MATCH($B121,'HCW Summary Data'!$B$9:$B$272,0))</f>
        <v>Upper middle income</v>
      </c>
      <c r="BQ121" s="630">
        <f t="shared" si="5"/>
        <v>3.32</v>
      </c>
    </row>
    <row r="122" spans="2:69" x14ac:dyDescent="0.25">
      <c r="B122" s="138" t="s">
        <v>532</v>
      </c>
      <c r="C122" s="138" t="s">
        <v>68</v>
      </c>
      <c r="D122" s="138" t="s">
        <v>907</v>
      </c>
      <c r="E122" s="138" t="s">
        <v>908</v>
      </c>
      <c r="F122" s="138">
        <v>9</v>
      </c>
      <c r="P122" s="138">
        <v>12.5</v>
      </c>
      <c r="Z122" s="138">
        <v>13.699999809265099</v>
      </c>
      <c r="AE122" s="138">
        <v>14.699999809265099</v>
      </c>
      <c r="AM122" s="138">
        <v>15.600000381499999</v>
      </c>
      <c r="AN122" s="138">
        <v>15.5</v>
      </c>
      <c r="AO122" s="138">
        <v>15.399999618500001</v>
      </c>
      <c r="AP122" s="138">
        <v>15.199999809299999</v>
      </c>
      <c r="AQ122" s="138">
        <v>15.100000381499999</v>
      </c>
      <c r="AR122" s="138">
        <v>15</v>
      </c>
      <c r="AS122" s="138">
        <v>14.800000190700001</v>
      </c>
      <c r="AT122" s="138">
        <v>14.699999809299999</v>
      </c>
      <c r="AU122" s="138">
        <v>12.9</v>
      </c>
      <c r="AV122" s="138">
        <v>14.399999618500001</v>
      </c>
      <c r="AW122" s="138">
        <v>14.300000190700001</v>
      </c>
      <c r="AX122" s="138">
        <v>13.9</v>
      </c>
      <c r="AY122" s="138">
        <v>14.1</v>
      </c>
      <c r="AZ122" s="138">
        <v>13.98</v>
      </c>
      <c r="BB122" s="138">
        <v>13.8</v>
      </c>
      <c r="BC122" s="138">
        <v>13.7</v>
      </c>
      <c r="BF122" s="138">
        <v>13.4</v>
      </c>
      <c r="BN122" s="160">
        <f t="shared" si="3"/>
        <v>13.4</v>
      </c>
      <c r="BO122" s="628">
        <f t="shared" si="4"/>
        <v>13.4</v>
      </c>
      <c r="BP122" s="627" t="str">
        <f>INDEX('HCW Summary Data'!$D$9:$D$272,MATCH($B122,'HCW Summary Data'!$B$9:$B$272,0))</f>
        <v>Upper middle income</v>
      </c>
      <c r="BQ122" s="630">
        <f t="shared" si="5"/>
        <v>3.32</v>
      </c>
    </row>
    <row r="123" spans="2:69" x14ac:dyDescent="0.25">
      <c r="B123" s="138" t="s">
        <v>534</v>
      </c>
      <c r="C123" s="138" t="s">
        <v>69</v>
      </c>
      <c r="D123" s="138" t="s">
        <v>907</v>
      </c>
      <c r="E123" s="138" t="s">
        <v>908</v>
      </c>
      <c r="Z123" s="138">
        <v>13.0934000015259</v>
      </c>
      <c r="AA123" s="138">
        <v>13.229100227356</v>
      </c>
      <c r="AB123" s="138">
        <v>13.311499595642101</v>
      </c>
      <c r="AC123" s="138">
        <v>13.3694000244141</v>
      </c>
      <c r="AD123" s="138">
        <v>13.5123996734619</v>
      </c>
      <c r="AE123" s="138">
        <v>13.585700035095201</v>
      </c>
      <c r="AF123" s="138">
        <v>13.560700416564901</v>
      </c>
      <c r="AG123" s="138">
        <v>13.556099891662599</v>
      </c>
      <c r="AH123" s="138">
        <v>13.5441999435425</v>
      </c>
      <c r="AI123" s="138">
        <v>13.6300001144409</v>
      </c>
      <c r="AJ123" s="138">
        <v>13.6660995483</v>
      </c>
      <c r="AK123" s="138">
        <v>13.7089996338</v>
      </c>
      <c r="AL123" s="138">
        <v>13.461899757399999</v>
      </c>
      <c r="AM123" s="138">
        <v>13.1665000916</v>
      </c>
      <c r="AN123" s="138">
        <v>12.144700050399999</v>
      </c>
      <c r="AO123" s="138">
        <v>11.649999618500001</v>
      </c>
      <c r="AP123" s="138">
        <v>10.329999923700001</v>
      </c>
      <c r="AQ123" s="138">
        <v>8.4499998092999995</v>
      </c>
      <c r="AR123" s="138">
        <v>8.1899995804000003</v>
      </c>
      <c r="AS123" s="138">
        <v>7.25</v>
      </c>
      <c r="AT123" s="138">
        <v>7.2</v>
      </c>
      <c r="AU123" s="138">
        <v>7</v>
      </c>
      <c r="AV123" s="138">
        <v>7</v>
      </c>
      <c r="AW123" s="138">
        <v>7.7</v>
      </c>
      <c r="AX123" s="138">
        <v>7.8</v>
      </c>
      <c r="AY123" s="138">
        <v>7.8</v>
      </c>
      <c r="AZ123" s="138">
        <v>7.8</v>
      </c>
      <c r="BA123" s="138">
        <v>7.7</v>
      </c>
      <c r="BB123" s="138">
        <v>7.7</v>
      </c>
      <c r="BC123" s="138">
        <v>7.6</v>
      </c>
      <c r="BD123" s="138">
        <v>7.3</v>
      </c>
      <c r="BE123" s="138">
        <v>7.1</v>
      </c>
      <c r="BF123" s="138">
        <v>7</v>
      </c>
      <c r="BG123" s="138">
        <v>6.7</v>
      </c>
      <c r="BN123" s="160">
        <f t="shared" si="3"/>
        <v>6.7</v>
      </c>
      <c r="BO123" s="628">
        <f t="shared" si="4"/>
        <v>6.7</v>
      </c>
      <c r="BP123" s="627" t="str">
        <f>INDEX('HCW Summary Data'!$D$9:$D$272,MATCH($B123,'HCW Summary Data'!$B$9:$B$272,0))</f>
        <v>Lower middle income</v>
      </c>
      <c r="BQ123" s="630">
        <f t="shared" si="5"/>
        <v>2.3800000000000003</v>
      </c>
    </row>
    <row r="124" spans="2:69" x14ac:dyDescent="0.25">
      <c r="B124" s="138" t="s">
        <v>199</v>
      </c>
      <c r="C124" s="138" t="s">
        <v>70</v>
      </c>
      <c r="D124" s="138" t="s">
        <v>907</v>
      </c>
      <c r="E124" s="138" t="s">
        <v>908</v>
      </c>
      <c r="F124" s="138">
        <v>1.2504800558090201</v>
      </c>
      <c r="P124" s="138">
        <v>1.26429998874664</v>
      </c>
      <c r="U124" s="138">
        <v>1.25</v>
      </c>
      <c r="AE124" s="138">
        <v>1.7071000337600699</v>
      </c>
      <c r="AI124" s="138">
        <v>1.4362000226974501</v>
      </c>
      <c r="AJ124" s="138">
        <v>1.6471999883999999</v>
      </c>
      <c r="AV124" s="138">
        <v>1.9</v>
      </c>
      <c r="AX124" s="138">
        <v>1.4</v>
      </c>
      <c r="AZ124" s="138">
        <v>1.4</v>
      </c>
      <c r="BD124" s="138">
        <v>1.4</v>
      </c>
      <c r="BN124" s="160">
        <f t="shared" si="3"/>
        <v>1.4</v>
      </c>
      <c r="BO124" s="628">
        <f t="shared" si="4"/>
        <v>1.4</v>
      </c>
      <c r="BP124" s="627" t="str">
        <f>INDEX('HCW Summary Data'!$D$9:$D$272,MATCH($B124,'HCW Summary Data'!$B$9:$B$272,0))</f>
        <v>Lower middle income</v>
      </c>
      <c r="BQ124" s="630">
        <f t="shared" si="5"/>
        <v>2.3800000000000003</v>
      </c>
    </row>
    <row r="125" spans="2:69" x14ac:dyDescent="0.25">
      <c r="B125" s="138" t="s">
        <v>539</v>
      </c>
      <c r="C125" s="138" t="s">
        <v>71</v>
      </c>
      <c r="D125" s="138" t="s">
        <v>907</v>
      </c>
      <c r="E125" s="138" t="s">
        <v>908</v>
      </c>
      <c r="Z125" s="138">
        <v>12.011400222778301</v>
      </c>
      <c r="AA125" s="138">
        <v>12.1184997558594</v>
      </c>
      <c r="AB125" s="138">
        <v>12.103300094604499</v>
      </c>
      <c r="AC125" s="138">
        <v>11.936499595642101</v>
      </c>
      <c r="AD125" s="138">
        <v>11.977100372314499</v>
      </c>
      <c r="AE125" s="138">
        <v>12.0304002761841</v>
      </c>
      <c r="AF125" s="138">
        <v>12.0309000015259</v>
      </c>
      <c r="AG125" s="138">
        <v>12.0642004013062</v>
      </c>
      <c r="AH125" s="138">
        <v>11.947400093078601</v>
      </c>
      <c r="AI125" s="138">
        <v>11.9720001220703</v>
      </c>
      <c r="AJ125" s="138">
        <v>11.977299690200001</v>
      </c>
      <c r="AK125" s="138">
        <v>12.0579996109</v>
      </c>
      <c r="AL125" s="138">
        <v>11.932000160199999</v>
      </c>
      <c r="AM125" s="138">
        <v>10.7455997467</v>
      </c>
      <c r="AN125" s="138">
        <v>9.6052999496000009</v>
      </c>
      <c r="AO125" s="138">
        <v>8.6400003433000006</v>
      </c>
      <c r="AP125" s="138">
        <v>8.4099998474</v>
      </c>
      <c r="AQ125" s="138">
        <v>8.6000003814999992</v>
      </c>
      <c r="AR125" s="138">
        <v>8.3000001907000005</v>
      </c>
      <c r="AS125" s="138">
        <v>7.4699997902000002</v>
      </c>
      <c r="AT125" s="138">
        <v>7</v>
      </c>
      <c r="AU125" s="138">
        <v>6.2</v>
      </c>
      <c r="AV125" s="138">
        <v>5.5</v>
      </c>
      <c r="AW125" s="138">
        <v>5.3</v>
      </c>
      <c r="AX125" s="138">
        <v>5.0999999999999996</v>
      </c>
      <c r="AY125" s="138">
        <v>5.0999999999999996</v>
      </c>
      <c r="AZ125" s="138">
        <v>5.0999999999999996</v>
      </c>
      <c r="BA125" s="138">
        <v>5.0999999999999996</v>
      </c>
      <c r="BB125" s="138">
        <v>5</v>
      </c>
      <c r="BC125" s="138">
        <v>4.8</v>
      </c>
      <c r="BD125" s="138">
        <v>4.8</v>
      </c>
      <c r="BE125" s="138">
        <v>4.7</v>
      </c>
      <c r="BF125" s="138">
        <v>4.5999999999999996</v>
      </c>
      <c r="BG125" s="138">
        <v>4.5</v>
      </c>
      <c r="BN125" s="160">
        <f t="shared" si="3"/>
        <v>4.5</v>
      </c>
      <c r="BO125" s="628">
        <f t="shared" si="4"/>
        <v>4.5</v>
      </c>
      <c r="BP125" s="627" t="str">
        <f>INDEX('HCW Summary Data'!$D$9:$D$272,MATCH($B125,'HCW Summary Data'!$B$9:$B$272,0))</f>
        <v>Lower middle income</v>
      </c>
      <c r="BQ125" s="630">
        <f t="shared" si="5"/>
        <v>2.3800000000000003</v>
      </c>
    </row>
    <row r="126" spans="2:69" x14ac:dyDescent="0.25">
      <c r="B126" s="138" t="s">
        <v>247</v>
      </c>
      <c r="C126" s="138" t="s">
        <v>72</v>
      </c>
      <c r="D126" s="138" t="s">
        <v>907</v>
      </c>
      <c r="E126" s="138" t="s">
        <v>908</v>
      </c>
      <c r="F126" s="138">
        <v>0.74654889106750499</v>
      </c>
      <c r="P126" s="138">
        <v>1.0809999704361</v>
      </c>
      <c r="AH126" s="138">
        <v>2.0987000465393102</v>
      </c>
      <c r="AJ126" s="138">
        <v>2.0720999241000002</v>
      </c>
      <c r="AU126" s="138">
        <v>0.6</v>
      </c>
      <c r="AX126" s="138">
        <v>0.1</v>
      </c>
      <c r="BD126" s="138">
        <v>0.84</v>
      </c>
      <c r="BE126" s="138">
        <v>0.7</v>
      </c>
      <c r="BG126" s="138">
        <v>0.7</v>
      </c>
      <c r="BI126" s="138">
        <v>0.8</v>
      </c>
      <c r="BN126" s="160">
        <f t="shared" si="3"/>
        <v>0.8</v>
      </c>
      <c r="BO126" s="628">
        <f t="shared" si="4"/>
        <v>0.8</v>
      </c>
      <c r="BP126" s="627" t="str">
        <f>INDEX('HCW Summary Data'!$D$9:$D$272,MATCH($B126,'HCW Summary Data'!$B$9:$B$272,0))</f>
        <v>Lower middle income</v>
      </c>
      <c r="BQ126" s="630">
        <f t="shared" si="5"/>
        <v>2.3800000000000003</v>
      </c>
    </row>
    <row r="127" spans="2:69" x14ac:dyDescent="0.25">
      <c r="B127" s="138" t="s">
        <v>249</v>
      </c>
      <c r="C127" s="138" t="s">
        <v>73</v>
      </c>
      <c r="D127" s="138" t="s">
        <v>907</v>
      </c>
      <c r="E127" s="138" t="s">
        <v>908</v>
      </c>
      <c r="F127" s="138">
        <v>6.3636364936828604</v>
      </c>
      <c r="P127" s="138">
        <v>12.3312997817993</v>
      </c>
      <c r="Z127" s="138">
        <v>5.0946998596191397</v>
      </c>
      <c r="AA127" s="138">
        <v>4.7683000564575204</v>
      </c>
      <c r="AJ127" s="138">
        <v>4.2718000411999997</v>
      </c>
      <c r="AR127" s="138">
        <v>1.7999999523000001</v>
      </c>
      <c r="AX127" s="138">
        <v>1.5</v>
      </c>
      <c r="AY127" s="138">
        <v>1.51</v>
      </c>
      <c r="BC127" s="138">
        <v>1.5</v>
      </c>
      <c r="BD127" s="138">
        <v>1.4</v>
      </c>
      <c r="BE127" s="138">
        <v>1.3</v>
      </c>
      <c r="BI127" s="138">
        <v>1.9</v>
      </c>
      <c r="BN127" s="160">
        <f t="shared" si="3"/>
        <v>1.9</v>
      </c>
      <c r="BO127" s="628">
        <f t="shared" si="4"/>
        <v>1.9</v>
      </c>
      <c r="BP127" s="627" t="str">
        <f>INDEX('HCW Summary Data'!$D$9:$D$272,MATCH($B127,'HCW Summary Data'!$B$9:$B$272,0))</f>
        <v>Low income</v>
      </c>
      <c r="BQ127" s="630">
        <f t="shared" si="5"/>
        <v>1.63</v>
      </c>
    </row>
    <row r="128" spans="2:69" x14ac:dyDescent="0.25">
      <c r="B128" s="138" t="s">
        <v>637</v>
      </c>
      <c r="C128" s="138" t="s">
        <v>638</v>
      </c>
      <c r="D128" s="138" t="s">
        <v>907</v>
      </c>
      <c r="E128" s="138" t="s">
        <v>908</v>
      </c>
      <c r="F128" s="138">
        <v>3.8627450466156001</v>
      </c>
      <c r="P128" s="138">
        <v>5.9464998245239302</v>
      </c>
      <c r="Z128" s="138">
        <v>8.5360002517700195</v>
      </c>
      <c r="AJ128" s="138">
        <v>9.1999998092999995</v>
      </c>
      <c r="AO128" s="138">
        <v>6.4</v>
      </c>
      <c r="AP128" s="138">
        <v>6.3600001334999998</v>
      </c>
      <c r="AU128" s="138">
        <v>4.3</v>
      </c>
      <c r="AV128" s="138">
        <v>5.5</v>
      </c>
      <c r="AW128" s="138">
        <v>5.5</v>
      </c>
      <c r="AX128" s="138">
        <v>6</v>
      </c>
      <c r="AY128" s="138">
        <v>5.7</v>
      </c>
      <c r="BB128" s="138">
        <v>5.5</v>
      </c>
      <c r="BC128" s="138">
        <v>6</v>
      </c>
      <c r="BD128" s="138">
        <v>4.8</v>
      </c>
      <c r="BE128" s="138">
        <v>4.8</v>
      </c>
      <c r="BF128" s="138">
        <v>2.2999999999999998</v>
      </c>
      <c r="BN128" s="160">
        <f t="shared" si="3"/>
        <v>2.2999999999999998</v>
      </c>
      <c r="BO128" s="628">
        <f t="shared" si="4"/>
        <v>2.2999999999999998</v>
      </c>
      <c r="BP128" s="627" t="str">
        <f>INDEX('HCW Summary Data'!$D$9:$D$272,MATCH($B128,'HCW Summary Data'!$B$9:$B$272,0))</f>
        <v>Upper middle income</v>
      </c>
      <c r="BQ128" s="630">
        <f t="shared" si="5"/>
        <v>3.32</v>
      </c>
    </row>
    <row r="129" spans="2:69" x14ac:dyDescent="0.25">
      <c r="B129" s="138" t="s">
        <v>536</v>
      </c>
      <c r="C129" s="138" t="s">
        <v>74</v>
      </c>
      <c r="D129" s="138" t="s">
        <v>907</v>
      </c>
      <c r="E129" s="138" t="s">
        <v>908</v>
      </c>
      <c r="Z129" s="138">
        <v>1.70000004768372</v>
      </c>
      <c r="AE129" s="138">
        <v>2.4000000953674299</v>
      </c>
      <c r="AI129" s="138">
        <v>3</v>
      </c>
      <c r="AJ129" s="138">
        <v>3.0999999046000002</v>
      </c>
      <c r="AK129" s="138">
        <v>3.2999999522999999</v>
      </c>
      <c r="AL129" s="138">
        <v>3.5</v>
      </c>
      <c r="AM129" s="138">
        <v>3.7000000477000001</v>
      </c>
      <c r="AN129" s="138">
        <v>4.0999999045999997</v>
      </c>
      <c r="AO129" s="138">
        <v>4.4000000954000003</v>
      </c>
      <c r="AP129" s="138">
        <v>4.5999999045999997</v>
      </c>
      <c r="AQ129" s="138">
        <v>4.8000001906999996</v>
      </c>
      <c r="AR129" s="138">
        <v>5.0999999045999997</v>
      </c>
      <c r="AS129" s="138">
        <v>5.5999999045999997</v>
      </c>
      <c r="AT129" s="138">
        <v>6.0999999045999997</v>
      </c>
      <c r="AU129" s="138">
        <v>6.0999999045999997</v>
      </c>
      <c r="AV129" s="138">
        <v>6.6</v>
      </c>
      <c r="AW129" s="138">
        <v>7.0999999045999997</v>
      </c>
      <c r="AX129" s="138">
        <v>8.6</v>
      </c>
      <c r="AZ129" s="138">
        <v>8.64</v>
      </c>
      <c r="BB129" s="138">
        <v>12.3</v>
      </c>
      <c r="BC129" s="138">
        <v>10.3</v>
      </c>
      <c r="BF129" s="138">
        <v>10.3</v>
      </c>
      <c r="BI129" s="138">
        <v>11.5</v>
      </c>
      <c r="BN129" s="160">
        <f t="shared" si="3"/>
        <v>11.5</v>
      </c>
      <c r="BO129" s="628">
        <f t="shared" si="4"/>
        <v>11.5</v>
      </c>
      <c r="BP129" s="627" t="str">
        <f>INDEX('HCW Summary Data'!$D$9:$D$272,MATCH($B129,'HCW Summary Data'!$B$9:$B$272,0))</f>
        <v>Upper middle income</v>
      </c>
      <c r="BQ129" s="630">
        <f t="shared" si="5"/>
        <v>3.32</v>
      </c>
    </row>
    <row r="130" spans="2:69" x14ac:dyDescent="0.25">
      <c r="B130" s="138" t="s">
        <v>538</v>
      </c>
      <c r="C130" s="138" t="s">
        <v>75</v>
      </c>
      <c r="D130" s="138" t="s">
        <v>907</v>
      </c>
      <c r="E130" s="138" t="s">
        <v>908</v>
      </c>
      <c r="F130" s="138">
        <v>6.7985610961914098</v>
      </c>
      <c r="P130" s="138">
        <v>4.8347001075744602</v>
      </c>
      <c r="Z130" s="138">
        <v>4.1447000503540004</v>
      </c>
      <c r="AI130" s="138">
        <v>2.9853999614715598</v>
      </c>
      <c r="AQ130" s="138">
        <v>2.7599999904999999</v>
      </c>
      <c r="AT130" s="138">
        <v>2.4</v>
      </c>
      <c r="AU130" s="138">
        <v>2.2999999999999998</v>
      </c>
      <c r="AV130" s="138">
        <v>2.2000000000000002</v>
      </c>
      <c r="AW130" s="138">
        <v>2.2000000000000002</v>
      </c>
      <c r="AX130" s="138">
        <v>2.1</v>
      </c>
      <c r="AY130" s="138">
        <v>1.9</v>
      </c>
      <c r="AZ130" s="138">
        <v>1.9</v>
      </c>
      <c r="BA130" s="138">
        <v>1.9</v>
      </c>
      <c r="BB130" s="138">
        <v>1.8</v>
      </c>
      <c r="BC130" s="138">
        <v>2</v>
      </c>
      <c r="BD130" s="138">
        <v>2</v>
      </c>
      <c r="BE130" s="138">
        <v>1.9</v>
      </c>
      <c r="BF130" s="138">
        <v>2.2000000000000002</v>
      </c>
      <c r="BG130" s="138">
        <v>2.2000000000000002</v>
      </c>
      <c r="BH130" s="138">
        <v>2</v>
      </c>
      <c r="BN130" s="160">
        <f t="shared" si="3"/>
        <v>2</v>
      </c>
      <c r="BO130" s="628">
        <f t="shared" si="4"/>
        <v>2</v>
      </c>
      <c r="BP130" s="627" t="str">
        <f>INDEX('HCW Summary Data'!$D$9:$D$272,MATCH($B130,'HCW Summary Data'!$B$9:$B$272,0))</f>
        <v>Lower middle income</v>
      </c>
      <c r="BQ130" s="630">
        <f t="shared" si="5"/>
        <v>2.3800000000000003</v>
      </c>
    </row>
    <row r="131" spans="2:69" x14ac:dyDescent="0.25">
      <c r="B131" s="138" t="s">
        <v>545</v>
      </c>
      <c r="C131" s="138" t="s">
        <v>546</v>
      </c>
      <c r="D131" s="138" t="s">
        <v>907</v>
      </c>
      <c r="E131" s="138" t="s">
        <v>908</v>
      </c>
      <c r="F131" s="138">
        <v>3.3643986694181667</v>
      </c>
      <c r="P131" s="138">
        <v>3.4023376263007501</v>
      </c>
      <c r="AJ131" s="138">
        <v>2.4378533258951576</v>
      </c>
      <c r="AM131" s="138">
        <v>2.5268369042786767</v>
      </c>
      <c r="AP131" s="138">
        <v>2.2137664736337821</v>
      </c>
      <c r="BC131" s="138">
        <v>1.9405190020747887</v>
      </c>
      <c r="BD131" s="138">
        <v>2.2444139681495319</v>
      </c>
      <c r="BE131" s="138">
        <v>1.9922714667902508</v>
      </c>
      <c r="BF131" s="138">
        <v>2.0912725042613385</v>
      </c>
      <c r="BG131" s="138">
        <v>2.1293092837867889</v>
      </c>
      <c r="BH131" s="138">
        <v>2.1629051321494908</v>
      </c>
      <c r="BN131" s="160">
        <f t="shared" si="3"/>
        <v>2.1629051321494908</v>
      </c>
      <c r="BO131" s="628">
        <f t="shared" si="4"/>
        <v>2.1629051321494908</v>
      </c>
      <c r="BP131" s="627" t="str">
        <f>INDEX('HCW Summary Data'!$D$9:$D$272,MATCH($B131,'HCW Summary Data'!$B$9:$B$272,0))</f>
        <v>OUT</v>
      </c>
      <c r="BQ131" s="630">
        <f t="shared" si="5"/>
        <v>2.7250000000000001</v>
      </c>
    </row>
    <row r="132" spans="2:69" x14ac:dyDescent="0.25">
      <c r="B132" s="138" t="s">
        <v>540</v>
      </c>
      <c r="C132" s="138" t="s">
        <v>76</v>
      </c>
      <c r="D132" s="138" t="s">
        <v>907</v>
      </c>
      <c r="E132" s="138" t="s">
        <v>908</v>
      </c>
      <c r="F132" s="138">
        <v>0.472209453582764</v>
      </c>
      <c r="P132" s="138">
        <v>0.92739999294280995</v>
      </c>
      <c r="AJ132" s="138">
        <v>2.5697999001</v>
      </c>
      <c r="AV132" s="138">
        <v>0.9</v>
      </c>
      <c r="AY132" s="138">
        <v>1.2</v>
      </c>
      <c r="BD132" s="138">
        <v>0.7</v>
      </c>
      <c r="BF132" s="138">
        <v>1.5</v>
      </c>
      <c r="BN132" s="160">
        <f t="shared" si="3"/>
        <v>1.5</v>
      </c>
      <c r="BO132" s="628">
        <f t="shared" si="4"/>
        <v>1.5</v>
      </c>
      <c r="BP132" s="627" t="str">
        <f>INDEX('HCW Summary Data'!$D$9:$D$272,MATCH($B132,'HCW Summary Data'!$B$9:$B$272,0))</f>
        <v>High income</v>
      </c>
      <c r="BQ132" s="630">
        <f t="shared" si="5"/>
        <v>3.5700000000000003</v>
      </c>
    </row>
    <row r="133" spans="2:69" x14ac:dyDescent="0.25">
      <c r="B133" s="138" t="s">
        <v>552</v>
      </c>
      <c r="C133" s="138" t="s">
        <v>77</v>
      </c>
      <c r="D133" s="138" t="s">
        <v>907</v>
      </c>
      <c r="E133" s="138" t="s">
        <v>908</v>
      </c>
      <c r="F133" s="138">
        <v>4.5813393592834499</v>
      </c>
      <c r="P133" s="138">
        <v>4.0987000465393102</v>
      </c>
      <c r="AJ133" s="138">
        <v>1.6505999565</v>
      </c>
      <c r="AL133" s="138">
        <v>3.0827000140999998</v>
      </c>
      <c r="AQ133" s="138">
        <v>2.7000000477000001</v>
      </c>
      <c r="AT133" s="138">
        <v>3.1</v>
      </c>
      <c r="AU133" s="138">
        <v>3</v>
      </c>
      <c r="AV133" s="138">
        <v>3</v>
      </c>
      <c r="AW133" s="138">
        <v>3</v>
      </c>
      <c r="AX133" s="138">
        <v>3</v>
      </c>
      <c r="AY133" s="138">
        <v>3.6</v>
      </c>
      <c r="AZ133" s="138">
        <v>3.6</v>
      </c>
      <c r="BA133" s="138">
        <v>3.4</v>
      </c>
      <c r="BB133" s="138">
        <v>3.4</v>
      </c>
      <c r="BC133" s="138">
        <v>3.5</v>
      </c>
      <c r="BD133" s="138">
        <v>3.5</v>
      </c>
      <c r="BE133" s="138">
        <v>3.5</v>
      </c>
      <c r="BF133" s="138">
        <v>3.5</v>
      </c>
      <c r="BG133" s="138">
        <v>2.9</v>
      </c>
      <c r="BH133" s="138">
        <v>2.9</v>
      </c>
      <c r="BN133" s="160">
        <f t="shared" si="3"/>
        <v>2.9</v>
      </c>
      <c r="BO133" s="628">
        <f t="shared" si="4"/>
        <v>2.9</v>
      </c>
      <c r="BP133" s="627" t="str">
        <f>INDEX('HCW Summary Data'!$D$9:$D$272,MATCH($B133,'HCW Summary Data'!$B$9:$B$272,0))</f>
        <v>Lower middle income</v>
      </c>
      <c r="BQ133" s="630">
        <f t="shared" si="5"/>
        <v>2.3800000000000003</v>
      </c>
    </row>
    <row r="134" spans="2:69" x14ac:dyDescent="0.25">
      <c r="B134" s="138" t="s">
        <v>201</v>
      </c>
      <c r="C134" s="138" t="s">
        <v>78</v>
      </c>
      <c r="D134" s="138" t="s">
        <v>907</v>
      </c>
      <c r="E134" s="138" t="s">
        <v>908</v>
      </c>
      <c r="F134" s="138">
        <v>1.322425365448</v>
      </c>
      <c r="P134" s="138">
        <v>1.5769000053405799</v>
      </c>
      <c r="U134" s="138">
        <v>1.64699995517731</v>
      </c>
      <c r="BC134" s="138">
        <v>0.7</v>
      </c>
      <c r="BD134" s="138">
        <v>0.8</v>
      </c>
      <c r="BN134" s="160">
        <f t="shared" ref="BN134:BN197" si="6">IFERROR(LOOKUP(2,1/(ISNUMBER(F134:BM134)),F134:BM134),"No reported value")</f>
        <v>0.8</v>
      </c>
      <c r="BO134" s="628">
        <f t="shared" ref="BO134:BO197" si="7">IF(BN134="No reported value",INDEX($BV$5:$BV$9,MATCH($BP134,$BT$5:$BT$9,0)),$BN134)</f>
        <v>0.8</v>
      </c>
      <c r="BP134" s="627" t="str">
        <f>INDEX('HCW Summary Data'!$D$9:$D$272,MATCH($B134,'HCW Summary Data'!$B$9:$B$272,0))</f>
        <v>Upper middle income</v>
      </c>
      <c r="BQ134" s="630">
        <f t="shared" ref="BQ134:BQ197" si="8">INDEX($BV$12:$BV$16,MATCH($BP134,$BT$12:$BT$16,0))*100</f>
        <v>3.32</v>
      </c>
    </row>
    <row r="135" spans="2:69" x14ac:dyDescent="0.25">
      <c r="B135" s="138" t="s">
        <v>553</v>
      </c>
      <c r="C135" s="138" t="s">
        <v>79</v>
      </c>
      <c r="D135" s="138" t="s">
        <v>907</v>
      </c>
      <c r="E135" s="138" t="s">
        <v>908</v>
      </c>
      <c r="F135" s="138">
        <v>2.7553744316101101</v>
      </c>
      <c r="P135" s="138">
        <v>3.8136999607086199</v>
      </c>
      <c r="AA135" s="138">
        <v>4.82550001144409</v>
      </c>
      <c r="AJ135" s="138">
        <v>4.1729998588999999</v>
      </c>
      <c r="AQ135" s="138">
        <v>4.3000001906999996</v>
      </c>
      <c r="AT135" s="138">
        <v>4.0999999999999996</v>
      </c>
      <c r="AU135" s="138">
        <v>3.9</v>
      </c>
      <c r="AV135" s="138">
        <v>3.9</v>
      </c>
      <c r="AW135" s="138">
        <v>3.9</v>
      </c>
      <c r="AX135" s="138">
        <v>3.9</v>
      </c>
      <c r="AY135" s="138">
        <v>3.4</v>
      </c>
      <c r="AZ135" s="138">
        <v>3.7</v>
      </c>
      <c r="BA135" s="138">
        <v>3.7</v>
      </c>
      <c r="BB135" s="138">
        <v>3.7</v>
      </c>
      <c r="BC135" s="138">
        <v>3.7</v>
      </c>
      <c r="BD135" s="138">
        <v>3.7</v>
      </c>
      <c r="BE135" s="138">
        <v>3.7</v>
      </c>
      <c r="BF135" s="138">
        <v>3.7</v>
      </c>
      <c r="BG135" s="138">
        <v>3.7</v>
      </c>
      <c r="BH135" s="138">
        <v>3.7</v>
      </c>
      <c r="BN135" s="160">
        <f t="shared" si="6"/>
        <v>3.7</v>
      </c>
      <c r="BO135" s="628">
        <f t="shared" si="7"/>
        <v>3.7</v>
      </c>
      <c r="BP135" s="627" t="str">
        <f>INDEX('HCW Summary Data'!$D$9:$D$272,MATCH($B135,'HCW Summary Data'!$B$9:$B$272,0))</f>
        <v>High income</v>
      </c>
      <c r="BQ135" s="630">
        <f t="shared" si="8"/>
        <v>3.5700000000000003</v>
      </c>
    </row>
    <row r="136" spans="2:69" x14ac:dyDescent="0.25">
      <c r="B136" s="138" t="s">
        <v>639</v>
      </c>
      <c r="C136" s="138" t="s">
        <v>80</v>
      </c>
      <c r="D136" s="138" t="s">
        <v>907</v>
      </c>
      <c r="E136" s="138" t="s">
        <v>908</v>
      </c>
      <c r="F136" s="138">
        <v>4.2804255485534703</v>
      </c>
      <c r="P136" s="138">
        <v>5.0493001937866202</v>
      </c>
      <c r="AJ136" s="138">
        <v>4</v>
      </c>
      <c r="AM136" s="138">
        <v>4.3517999648999997</v>
      </c>
      <c r="AO136" s="138">
        <v>3.3</v>
      </c>
      <c r="AP136" s="138">
        <v>3.3800001144</v>
      </c>
      <c r="AT136" s="138">
        <v>2.2999999999999998</v>
      </c>
      <c r="AV136" s="138">
        <v>3.2000000477000001</v>
      </c>
      <c r="AW136" s="138">
        <v>2.9</v>
      </c>
      <c r="AY136" s="138">
        <v>3</v>
      </c>
      <c r="AZ136" s="138">
        <v>2.9</v>
      </c>
      <c r="BA136" s="138">
        <v>2.8</v>
      </c>
      <c r="BC136" s="138">
        <v>1.5</v>
      </c>
      <c r="BE136" s="138">
        <v>1.6</v>
      </c>
      <c r="BG136" s="138">
        <v>1.3</v>
      </c>
      <c r="BN136" s="160">
        <f t="shared" si="6"/>
        <v>1.3</v>
      </c>
      <c r="BO136" s="628">
        <f t="shared" si="7"/>
        <v>1.3</v>
      </c>
      <c r="BP136" s="627" t="str">
        <f>INDEX('HCW Summary Data'!$D$9:$D$272,MATCH($B136,'HCW Summary Data'!$B$9:$B$272,0))</f>
        <v>High income</v>
      </c>
      <c r="BQ136" s="630">
        <f t="shared" si="8"/>
        <v>3.5700000000000003</v>
      </c>
    </row>
    <row r="137" spans="2:69" x14ac:dyDescent="0.25">
      <c r="B137" s="138" t="s">
        <v>543</v>
      </c>
      <c r="C137" s="138" t="s">
        <v>544</v>
      </c>
      <c r="D137" s="138" t="s">
        <v>907</v>
      </c>
      <c r="E137" s="138" t="s">
        <v>908</v>
      </c>
      <c r="F137" s="138">
        <v>3.4311206469669862</v>
      </c>
      <c r="P137" s="138">
        <v>3.4648023148814207</v>
      </c>
      <c r="AJ137" s="138">
        <v>2.4855337377944937</v>
      </c>
      <c r="AM137" s="138">
        <v>2.561483228387047</v>
      </c>
      <c r="AP137" s="138">
        <v>2.26576227111368</v>
      </c>
      <c r="BC137" s="138">
        <v>1.9551288005379266</v>
      </c>
      <c r="BD137" s="138">
        <v>2.2329149699344031</v>
      </c>
      <c r="BE137" s="138">
        <v>2.0035321218920146</v>
      </c>
      <c r="BF137" s="138">
        <v>2.102988932508647</v>
      </c>
      <c r="BG137" s="138">
        <v>2.139311631339488</v>
      </c>
      <c r="BH137" s="138">
        <v>2.1732772592924778</v>
      </c>
      <c r="BN137" s="160">
        <f t="shared" si="6"/>
        <v>2.1732772592924778</v>
      </c>
      <c r="BO137" s="628">
        <f t="shared" si="7"/>
        <v>2.1732772592924778</v>
      </c>
      <c r="BP137" s="627" t="str">
        <f>INDEX('HCW Summary Data'!$D$9:$D$272,MATCH($B137,'HCW Summary Data'!$B$9:$B$272,0))</f>
        <v>OUT</v>
      </c>
      <c r="BQ137" s="630">
        <f t="shared" si="8"/>
        <v>2.7250000000000001</v>
      </c>
    </row>
    <row r="138" spans="2:69" x14ac:dyDescent="0.25">
      <c r="B138" s="138" t="s">
        <v>550</v>
      </c>
      <c r="C138" s="138" t="s">
        <v>551</v>
      </c>
      <c r="D138" s="138" t="s">
        <v>907</v>
      </c>
      <c r="E138" s="138" t="s">
        <v>908</v>
      </c>
      <c r="F138" s="138">
        <v>1.2734462106972273</v>
      </c>
      <c r="P138" s="138">
        <v>0.99665513568732766</v>
      </c>
      <c r="AJ138" s="138">
        <v>0.73179654582033493</v>
      </c>
      <c r="BN138" s="160">
        <f t="shared" si="6"/>
        <v>0.73179654582033493</v>
      </c>
      <c r="BO138" s="628">
        <f t="shared" si="7"/>
        <v>0.73179654582033493</v>
      </c>
      <c r="BP138" s="627" t="str">
        <f>INDEX('HCW Summary Data'!$D$9:$D$272,MATCH($B138,'HCW Summary Data'!$B$9:$B$272,0))</f>
        <v>OUT</v>
      </c>
      <c r="BQ138" s="630">
        <f t="shared" si="8"/>
        <v>2.7250000000000001</v>
      </c>
    </row>
    <row r="139" spans="2:69" x14ac:dyDescent="0.25">
      <c r="B139" s="138" t="s">
        <v>559</v>
      </c>
      <c r="C139" s="138" t="s">
        <v>560</v>
      </c>
      <c r="D139" s="138" t="s">
        <v>907</v>
      </c>
      <c r="E139" s="138" t="s">
        <v>908</v>
      </c>
      <c r="F139" s="138">
        <v>1.322424675002543</v>
      </c>
      <c r="P139" s="138">
        <v>1.1863437178799601</v>
      </c>
      <c r="AJ139" s="138">
        <v>1.0057067888280706</v>
      </c>
      <c r="AZ139" s="138">
        <v>1.1504840579990769</v>
      </c>
      <c r="BN139" s="160">
        <f t="shared" si="6"/>
        <v>1.1504840579990769</v>
      </c>
      <c r="BO139" s="628">
        <f t="shared" si="7"/>
        <v>1.1504840579990769</v>
      </c>
      <c r="BP139" s="627" t="str">
        <f>INDEX('HCW Summary Data'!$D$9:$D$272,MATCH($B139,'HCW Summary Data'!$B$9:$B$272,0))</f>
        <v>OUT</v>
      </c>
      <c r="BQ139" s="630">
        <f t="shared" si="8"/>
        <v>2.7250000000000001</v>
      </c>
    </row>
    <row r="140" spans="2:69" x14ac:dyDescent="0.25">
      <c r="B140" s="138" t="s">
        <v>554</v>
      </c>
      <c r="C140" s="138" t="s">
        <v>555</v>
      </c>
      <c r="D140" s="138" t="s">
        <v>907</v>
      </c>
      <c r="E140" s="138" t="s">
        <v>908</v>
      </c>
      <c r="BN140" s="160" t="str">
        <f t="shared" si="6"/>
        <v>No reported value</v>
      </c>
      <c r="BO140" s="628">
        <f t="shared" si="7"/>
        <v>4.82</v>
      </c>
      <c r="BP140" s="627" t="str">
        <f>INDEX('HCW Summary Data'!$D$9:$D$272,MATCH($B140,'HCW Summary Data'!$B$9:$B$272,0))</f>
        <v>High income</v>
      </c>
      <c r="BQ140" s="630">
        <f t="shared" si="8"/>
        <v>3.5700000000000003</v>
      </c>
    </row>
    <row r="141" spans="2:69" x14ac:dyDescent="0.25">
      <c r="B141" s="138" t="s">
        <v>245</v>
      </c>
      <c r="C141" s="138" t="s">
        <v>81</v>
      </c>
      <c r="D141" s="138" t="s">
        <v>907</v>
      </c>
      <c r="E141" s="138" t="s">
        <v>908</v>
      </c>
      <c r="F141" s="138">
        <v>3.1388411521911599</v>
      </c>
      <c r="P141" s="138">
        <v>3.01690006256104</v>
      </c>
      <c r="U141" s="138">
        <v>3.3333001136779798</v>
      </c>
      <c r="Z141" s="138">
        <v>2.9440000057220499</v>
      </c>
      <c r="AA141" s="138">
        <v>2.93759989738464</v>
      </c>
      <c r="AI141" s="138">
        <v>2.4030001163482702</v>
      </c>
      <c r="AJ141" s="138">
        <v>2.7434999943</v>
      </c>
      <c r="AS141" s="138">
        <v>2.2000000477000001</v>
      </c>
      <c r="AT141" s="138">
        <v>2.9</v>
      </c>
      <c r="AU141" s="138">
        <v>3</v>
      </c>
      <c r="AV141" s="138">
        <v>3.1</v>
      </c>
      <c r="AX141" s="138">
        <v>3.1</v>
      </c>
      <c r="BD141" s="138">
        <v>3.5</v>
      </c>
      <c r="BF141" s="138">
        <v>3.6</v>
      </c>
      <c r="BN141" s="160">
        <f t="shared" si="6"/>
        <v>3.6</v>
      </c>
      <c r="BO141" s="628">
        <f t="shared" si="7"/>
        <v>3.6</v>
      </c>
      <c r="BP141" s="627" t="str">
        <f>INDEX('HCW Summary Data'!$D$9:$D$272,MATCH($B141,'HCW Summary Data'!$B$9:$B$272,0))</f>
        <v>High income</v>
      </c>
      <c r="BQ141" s="630">
        <f t="shared" si="8"/>
        <v>3.5700000000000003</v>
      </c>
    </row>
    <row r="142" spans="2:69" x14ac:dyDescent="0.25">
      <c r="B142" s="138" t="s">
        <v>561</v>
      </c>
      <c r="C142" s="138" t="s">
        <v>562</v>
      </c>
      <c r="D142" s="138" t="s">
        <v>907</v>
      </c>
      <c r="E142" s="138" t="s">
        <v>908</v>
      </c>
      <c r="F142" s="138">
        <v>0.71009658523985075</v>
      </c>
      <c r="P142" s="138">
        <v>0.80207928437426423</v>
      </c>
      <c r="U142" s="138">
        <v>0.82883988980628598</v>
      </c>
      <c r="Z142" s="138">
        <v>1.6251294374163854</v>
      </c>
      <c r="AA142" s="138">
        <v>1.5483147272079183</v>
      </c>
      <c r="AE142" s="138">
        <v>1.5212854158884335</v>
      </c>
      <c r="AK142" s="138">
        <v>1.4456309119477027</v>
      </c>
      <c r="AV142" s="138">
        <v>1.037127042461693</v>
      </c>
      <c r="AY142" s="138">
        <v>1.2586196330412807</v>
      </c>
      <c r="BE142" s="138">
        <v>0.98612363139289738</v>
      </c>
      <c r="BN142" s="160">
        <f t="shared" si="6"/>
        <v>0.98612363139289738</v>
      </c>
      <c r="BO142" s="628">
        <f t="shared" si="7"/>
        <v>0.98612363139289738</v>
      </c>
      <c r="BP142" s="627" t="str">
        <f>INDEX('HCW Summary Data'!$D$9:$D$272,MATCH($B142,'HCW Summary Data'!$B$9:$B$272,0))</f>
        <v>OUT</v>
      </c>
      <c r="BQ142" s="630">
        <f t="shared" si="8"/>
        <v>2.7250000000000001</v>
      </c>
    </row>
    <row r="143" spans="2:69" x14ac:dyDescent="0.25">
      <c r="B143" s="138" t="s">
        <v>557</v>
      </c>
      <c r="C143" s="138" t="s">
        <v>558</v>
      </c>
      <c r="D143" s="138" t="s">
        <v>907</v>
      </c>
      <c r="E143" s="138" t="s">
        <v>908</v>
      </c>
      <c r="P143" s="138">
        <v>1.3809891265196323</v>
      </c>
      <c r="U143" s="138">
        <v>1.5386779054421782</v>
      </c>
      <c r="Z143" s="138">
        <v>2.047324963833975</v>
      </c>
      <c r="AE143" s="138">
        <v>2.7742033139572886</v>
      </c>
      <c r="AJ143" s="138">
        <v>2.9768584535401952</v>
      </c>
      <c r="AK143" s="138">
        <v>2.6474835334785323</v>
      </c>
      <c r="AV143" s="138">
        <v>2.0985518108309504</v>
      </c>
      <c r="AW143" s="138">
        <v>2.1767059671354705</v>
      </c>
      <c r="AY143" s="138">
        <v>2.1745182789746549</v>
      </c>
      <c r="BE143" s="138">
        <v>2.4320061049447586</v>
      </c>
      <c r="BN143" s="160">
        <f t="shared" si="6"/>
        <v>2.4320061049447586</v>
      </c>
      <c r="BO143" s="628">
        <f t="shared" si="7"/>
        <v>2.4320061049447586</v>
      </c>
      <c r="BP143" s="627" t="str">
        <f>INDEX('HCW Summary Data'!$D$9:$D$272,MATCH($B143,'HCW Summary Data'!$B$9:$B$272,0))</f>
        <v>OUT</v>
      </c>
      <c r="BQ143" s="630">
        <f t="shared" si="8"/>
        <v>2.7250000000000001</v>
      </c>
    </row>
    <row r="144" spans="2:69" x14ac:dyDescent="0.25">
      <c r="B144" s="138" t="s">
        <v>200</v>
      </c>
      <c r="C144" s="138" t="s">
        <v>167</v>
      </c>
      <c r="D144" s="138" t="s">
        <v>907</v>
      </c>
      <c r="E144" s="138" t="s">
        <v>908</v>
      </c>
      <c r="F144" s="138">
        <v>1.10372042655945</v>
      </c>
      <c r="P144" s="138">
        <v>1.744500041008</v>
      </c>
      <c r="U144" s="138">
        <v>1.6283999681472801</v>
      </c>
      <c r="AZ144" s="138">
        <v>1.3</v>
      </c>
      <c r="BN144" s="160">
        <f t="shared" si="6"/>
        <v>1.3</v>
      </c>
      <c r="BO144" s="628">
        <f t="shared" si="7"/>
        <v>1.3</v>
      </c>
      <c r="BP144" s="627" t="str">
        <f>INDEX('HCW Summary Data'!$D$9:$D$272,MATCH($B144,'HCW Summary Data'!$B$9:$B$272,0))</f>
        <v>Low income</v>
      </c>
      <c r="BQ144" s="630">
        <f t="shared" si="8"/>
        <v>1.63</v>
      </c>
    </row>
    <row r="145" spans="2:69" x14ac:dyDescent="0.25">
      <c r="B145" s="138" t="s">
        <v>541</v>
      </c>
      <c r="C145" s="138" t="s">
        <v>542</v>
      </c>
      <c r="D145" s="138" t="s">
        <v>907</v>
      </c>
      <c r="E145" s="138" t="s">
        <v>908</v>
      </c>
      <c r="P145" s="138">
        <v>1.9564033100507561</v>
      </c>
      <c r="U145" s="138">
        <v>2.2361484699873388</v>
      </c>
      <c r="Z145" s="138">
        <v>2.8202457563040717</v>
      </c>
      <c r="AA145" s="138">
        <v>2.7006847130432221</v>
      </c>
      <c r="AE145" s="138">
        <v>4.0339522633416749</v>
      </c>
      <c r="AF145" s="138">
        <v>4.0771112966991474</v>
      </c>
      <c r="AG145" s="138">
        <v>4.0637433594949313</v>
      </c>
      <c r="AH145" s="138">
        <v>4.1789333140794147</v>
      </c>
      <c r="AI145" s="138">
        <v>4.0147962327511761</v>
      </c>
      <c r="AJ145" s="138">
        <v>3.8877871336899656</v>
      </c>
      <c r="AK145" s="138">
        <v>4.0509509294539949</v>
      </c>
      <c r="AL145" s="138">
        <v>3.9745962079437631</v>
      </c>
      <c r="AM145" s="138">
        <v>3.9313110523409085</v>
      </c>
      <c r="AN145" s="138">
        <v>3.9160384262014802</v>
      </c>
      <c r="AO145" s="138">
        <v>3.8319244278430715</v>
      </c>
      <c r="AP145" s="138">
        <v>3.6726235840300401</v>
      </c>
      <c r="AQ145" s="138">
        <v>3.6006557187023986</v>
      </c>
      <c r="AR145" s="138">
        <v>3.6985277096140305</v>
      </c>
      <c r="AS145" s="138">
        <v>3.5613206338722323</v>
      </c>
      <c r="AT145" s="138">
        <v>3.4977379427890014</v>
      </c>
      <c r="AU145" s="138">
        <v>3.4024032797377171</v>
      </c>
      <c r="AV145" s="138">
        <v>3.3630944420286233</v>
      </c>
      <c r="AW145" s="138">
        <v>3.1801862390840969</v>
      </c>
      <c r="AX145" s="138">
        <v>3.6897837375995954</v>
      </c>
      <c r="AY145" s="138">
        <v>3.1701934077918215</v>
      </c>
      <c r="AZ145" s="138">
        <v>3.0735014821081235</v>
      </c>
      <c r="BC145" s="138">
        <v>4.3106498908310984</v>
      </c>
      <c r="BD145" s="138">
        <v>3.8515000888970148</v>
      </c>
      <c r="BE145" s="138">
        <v>3.9375128781156596</v>
      </c>
      <c r="BF145" s="138">
        <v>4.2193819656913014</v>
      </c>
      <c r="BN145" s="160">
        <f t="shared" si="6"/>
        <v>4.2193819656913014</v>
      </c>
      <c r="BO145" s="628">
        <f t="shared" si="7"/>
        <v>4.2193819656913014</v>
      </c>
      <c r="BP145" s="627" t="str">
        <f>INDEX('HCW Summary Data'!$D$9:$D$272,MATCH($B145,'HCW Summary Data'!$B$9:$B$272,0))</f>
        <v>OUT</v>
      </c>
      <c r="BQ145" s="630">
        <f t="shared" si="8"/>
        <v>2.7250000000000001</v>
      </c>
    </row>
    <row r="146" spans="2:69" x14ac:dyDescent="0.25">
      <c r="B146" s="138" t="s">
        <v>556</v>
      </c>
      <c r="C146" s="138" t="s">
        <v>82</v>
      </c>
      <c r="D146" s="138" t="s">
        <v>907</v>
      </c>
      <c r="E146" s="138" t="s">
        <v>908</v>
      </c>
      <c r="Z146" s="138">
        <v>12.066399574279799</v>
      </c>
      <c r="AE146" s="138">
        <v>12.7760000228882</v>
      </c>
      <c r="AF146" s="138">
        <v>12.7692003250122</v>
      </c>
      <c r="AG146" s="138">
        <v>12.802900314331101</v>
      </c>
      <c r="AH146" s="138">
        <v>12.8053998947144</v>
      </c>
      <c r="AI146" s="138">
        <v>12.635800361633301</v>
      </c>
      <c r="AJ146" s="138">
        <v>12.487199783299999</v>
      </c>
      <c r="AK146" s="138">
        <v>12.465399742100001</v>
      </c>
      <c r="AL146" s="138">
        <v>12.0453996658</v>
      </c>
      <c r="AM146" s="138">
        <v>11.9105997086</v>
      </c>
      <c r="AN146" s="138">
        <v>11.283800125100001</v>
      </c>
      <c r="AO146" s="138">
        <v>11.0900001526</v>
      </c>
      <c r="AP146" s="138">
        <v>10.8800001144</v>
      </c>
      <c r="AQ146" s="138">
        <v>10.1899995804</v>
      </c>
      <c r="AR146" s="138">
        <v>10.029999733</v>
      </c>
      <c r="AS146" s="138">
        <v>9.8500003814999992</v>
      </c>
      <c r="AT146" s="138">
        <v>8.8000000000000007</v>
      </c>
      <c r="AU146" s="138">
        <v>8.3000000000000007</v>
      </c>
      <c r="AV146" s="138">
        <v>8.1</v>
      </c>
      <c r="AW146" s="138">
        <v>7.9</v>
      </c>
      <c r="AX146" s="138">
        <v>7.6</v>
      </c>
      <c r="AY146" s="138">
        <v>7.3</v>
      </c>
      <c r="AZ146" s="138">
        <v>7.1</v>
      </c>
      <c r="BA146" s="138">
        <v>7.2</v>
      </c>
      <c r="BB146" s="138">
        <v>6.8</v>
      </c>
      <c r="BC146" s="138">
        <v>6.8</v>
      </c>
      <c r="BD146" s="138">
        <v>7.2</v>
      </c>
      <c r="BE146" s="138">
        <v>7.4</v>
      </c>
      <c r="BF146" s="138">
        <v>7.4</v>
      </c>
      <c r="BG146" s="138">
        <v>7.3</v>
      </c>
      <c r="BN146" s="160">
        <f t="shared" si="6"/>
        <v>7.3</v>
      </c>
      <c r="BO146" s="628">
        <f t="shared" si="7"/>
        <v>7.3</v>
      </c>
      <c r="BP146" s="627" t="str">
        <f>INDEX('HCW Summary Data'!$D$9:$D$272,MATCH($B146,'HCW Summary Data'!$B$9:$B$272,0))</f>
        <v>High income</v>
      </c>
      <c r="BQ146" s="630">
        <f t="shared" si="8"/>
        <v>3.5700000000000003</v>
      </c>
    </row>
    <row r="147" spans="2:69" x14ac:dyDescent="0.25">
      <c r="B147" s="138" t="s">
        <v>563</v>
      </c>
      <c r="C147" s="138" t="s">
        <v>83</v>
      </c>
      <c r="D147" s="138" t="s">
        <v>907</v>
      </c>
      <c r="E147" s="138" t="s">
        <v>908</v>
      </c>
      <c r="AF147" s="138">
        <v>8.1000003814697301</v>
      </c>
      <c r="AG147" s="138">
        <v>8</v>
      </c>
      <c r="AH147" s="138">
        <v>7.9000000953674299</v>
      </c>
      <c r="AI147" s="138">
        <v>7.8000001907348597</v>
      </c>
      <c r="AJ147" s="138">
        <v>7.5999999045999997</v>
      </c>
      <c r="AK147" s="138">
        <v>7.5</v>
      </c>
      <c r="AL147" s="138">
        <v>7.3000001906999996</v>
      </c>
      <c r="AM147" s="138">
        <v>7.4000000954000003</v>
      </c>
      <c r="AN147" s="138">
        <v>7.1999998093000004</v>
      </c>
      <c r="AO147" s="138">
        <v>7.0999999045999997</v>
      </c>
      <c r="AP147" s="138">
        <v>7</v>
      </c>
      <c r="AQ147" s="138">
        <v>6.9000000954000003</v>
      </c>
      <c r="AR147" s="138">
        <v>6.8000001906999996</v>
      </c>
      <c r="AS147" s="138">
        <v>6.3000001906999996</v>
      </c>
      <c r="AT147" s="138">
        <v>6.1999998093000004</v>
      </c>
      <c r="AU147" s="138">
        <v>6.0999999045999997</v>
      </c>
      <c r="AV147" s="138">
        <v>6</v>
      </c>
      <c r="AW147" s="138">
        <v>6</v>
      </c>
      <c r="AX147" s="138">
        <v>6.4</v>
      </c>
      <c r="AY147" s="138">
        <v>5.8</v>
      </c>
      <c r="AZ147" s="138">
        <v>5.7</v>
      </c>
      <c r="BA147" s="138">
        <v>5.7</v>
      </c>
      <c r="BB147" s="138">
        <v>5.6</v>
      </c>
      <c r="BC147" s="138">
        <v>5.6</v>
      </c>
      <c r="BD147" s="138">
        <v>5.4</v>
      </c>
      <c r="BE147" s="138">
        <v>5.3</v>
      </c>
      <c r="BF147" s="138">
        <v>5.2</v>
      </c>
      <c r="BG147" s="138">
        <v>5.0999999999999996</v>
      </c>
      <c r="BH147" s="138">
        <v>4.9000000000000004</v>
      </c>
      <c r="BI147" s="138">
        <v>4.8</v>
      </c>
      <c r="BN147" s="160">
        <f t="shared" si="6"/>
        <v>4.8</v>
      </c>
      <c r="BO147" s="628">
        <f t="shared" si="7"/>
        <v>4.8</v>
      </c>
      <c r="BP147" s="627" t="str">
        <f>INDEX('HCW Summary Data'!$D$9:$D$272,MATCH($B147,'HCW Summary Data'!$B$9:$B$272,0))</f>
        <v>High income</v>
      </c>
      <c r="BQ147" s="630">
        <f t="shared" si="8"/>
        <v>3.5700000000000003</v>
      </c>
    </row>
    <row r="148" spans="2:69" x14ac:dyDescent="0.25">
      <c r="B148" s="138" t="s">
        <v>549</v>
      </c>
      <c r="C148" s="138" t="s">
        <v>84</v>
      </c>
      <c r="D148" s="138" t="s">
        <v>907</v>
      </c>
      <c r="E148" s="138" t="s">
        <v>908</v>
      </c>
      <c r="Z148" s="138">
        <v>13.8909997940063</v>
      </c>
      <c r="AE148" s="138">
        <v>14.308600425720201</v>
      </c>
      <c r="AF148" s="138">
        <v>14.192899703979499</v>
      </c>
      <c r="AG148" s="138">
        <v>14.239000320434601</v>
      </c>
      <c r="AH148" s="138">
        <v>14.0949001312256</v>
      </c>
      <c r="AI148" s="138">
        <v>14.023500442504901</v>
      </c>
      <c r="AJ148" s="138">
        <v>14.075400352500001</v>
      </c>
      <c r="AK148" s="138">
        <v>13.621899604799999</v>
      </c>
      <c r="AL148" s="138">
        <v>12.940600395200001</v>
      </c>
      <c r="AM148" s="138">
        <v>12.2314996719</v>
      </c>
      <c r="AN148" s="138">
        <v>12.0551996231</v>
      </c>
      <c r="AO148" s="138">
        <v>11.1899995804</v>
      </c>
      <c r="AP148" s="138">
        <v>10.4399995804</v>
      </c>
      <c r="AQ148" s="138">
        <v>9.8000001907000005</v>
      </c>
      <c r="AR148" s="138">
        <v>9.4099998474</v>
      </c>
      <c r="AS148" s="138">
        <v>9.0299997330000004</v>
      </c>
      <c r="AT148" s="138">
        <v>8.8000000000000007</v>
      </c>
      <c r="AU148" s="138">
        <v>8.3000000000000007</v>
      </c>
      <c r="AV148" s="138">
        <v>7.9</v>
      </c>
      <c r="AW148" s="138">
        <v>8</v>
      </c>
      <c r="AX148" s="138">
        <v>7.9</v>
      </c>
      <c r="AY148" s="138">
        <v>7.9</v>
      </c>
      <c r="AZ148" s="138">
        <v>7.8</v>
      </c>
      <c r="BA148" s="138">
        <v>7.8</v>
      </c>
      <c r="BB148" s="138">
        <v>7.8</v>
      </c>
      <c r="BC148" s="138">
        <v>6.7</v>
      </c>
      <c r="BD148" s="138">
        <v>5.7</v>
      </c>
      <c r="BE148" s="138">
        <v>5.9</v>
      </c>
      <c r="BF148" s="138">
        <v>5.9</v>
      </c>
      <c r="BG148" s="138">
        <v>5.8</v>
      </c>
      <c r="BN148" s="160">
        <f t="shared" si="6"/>
        <v>5.8</v>
      </c>
      <c r="BO148" s="628">
        <f t="shared" si="7"/>
        <v>5.8</v>
      </c>
      <c r="BP148" s="627" t="str">
        <f>INDEX('HCW Summary Data'!$D$9:$D$272,MATCH($B148,'HCW Summary Data'!$B$9:$B$272,0))</f>
        <v>Upper middle income</v>
      </c>
      <c r="BQ148" s="630">
        <f t="shared" si="8"/>
        <v>3.32</v>
      </c>
    </row>
    <row r="149" spans="2:69" x14ac:dyDescent="0.25">
      <c r="B149" s="138" t="s">
        <v>564</v>
      </c>
      <c r="C149" s="138" t="s">
        <v>565</v>
      </c>
      <c r="D149" s="138" t="s">
        <v>907</v>
      </c>
      <c r="E149" s="138" t="s">
        <v>908</v>
      </c>
      <c r="F149" s="138">
        <v>10.121386528015099</v>
      </c>
      <c r="P149" s="138">
        <v>5.2953000068664604</v>
      </c>
      <c r="BN149" s="160">
        <f t="shared" si="6"/>
        <v>5.2953000068664604</v>
      </c>
      <c r="BO149" s="628">
        <f t="shared" si="7"/>
        <v>5.2953000068664604</v>
      </c>
      <c r="BP149" s="627" t="str">
        <f>INDEX('HCW Summary Data'!$D$9:$D$272,MATCH($B149,'HCW Summary Data'!$B$9:$B$272,0))</f>
        <v>Low income</v>
      </c>
      <c r="BQ149" s="630">
        <f t="shared" si="8"/>
        <v>1.63</v>
      </c>
    </row>
    <row r="150" spans="2:69" x14ac:dyDescent="0.25">
      <c r="B150" s="138" t="s">
        <v>640</v>
      </c>
      <c r="C150" s="138" t="s">
        <v>641</v>
      </c>
      <c r="D150" s="138" t="s">
        <v>907</v>
      </c>
      <c r="E150" s="138" t="s">
        <v>908</v>
      </c>
      <c r="BN150" s="160" t="str">
        <f t="shared" si="6"/>
        <v>No reported value</v>
      </c>
      <c r="BO150" s="628">
        <f t="shared" si="7"/>
        <v>3.41</v>
      </c>
      <c r="BP150" s="627" t="str">
        <f>INDEX('HCW Summary Data'!$D$9:$D$272,MATCH($B150,'HCW Summary Data'!$B$9:$B$272,0))</f>
        <v>Upper middle income</v>
      </c>
      <c r="BQ150" s="630">
        <f t="shared" si="8"/>
        <v>3.32</v>
      </c>
    </row>
    <row r="151" spans="2:69" x14ac:dyDescent="0.25">
      <c r="B151" s="138" t="s">
        <v>583</v>
      </c>
      <c r="C151" s="138" t="s">
        <v>85</v>
      </c>
      <c r="D151" s="138" t="s">
        <v>907</v>
      </c>
      <c r="E151" s="138" t="s">
        <v>908</v>
      </c>
      <c r="F151" s="138">
        <v>1.5984001159668</v>
      </c>
      <c r="P151" s="138">
        <v>1.47420001029968</v>
      </c>
      <c r="U151" s="138">
        <v>1.42859995365143</v>
      </c>
      <c r="AA151" s="138">
        <v>1.22819995880127</v>
      </c>
      <c r="AE151" s="138">
        <v>1.26689994335175</v>
      </c>
      <c r="AJ151" s="138">
        <v>1.2899999619</v>
      </c>
      <c r="AN151" s="138">
        <v>1.1123000382999999</v>
      </c>
      <c r="AQ151" s="138">
        <v>0.98000001910000001</v>
      </c>
      <c r="AT151" s="138">
        <v>1.1000000000000001</v>
      </c>
      <c r="AU151" s="138">
        <v>0.9</v>
      </c>
      <c r="AV151" s="138">
        <v>1.1000000000000001</v>
      </c>
      <c r="AW151" s="138">
        <v>0.8</v>
      </c>
      <c r="AX151" s="138">
        <v>0.9</v>
      </c>
      <c r="AY151" s="138">
        <v>0.9</v>
      </c>
      <c r="AZ151" s="138">
        <v>0.9</v>
      </c>
      <c r="BA151" s="138">
        <v>0.9</v>
      </c>
      <c r="BB151" s="138">
        <v>1.1000000000000001</v>
      </c>
      <c r="BC151" s="138">
        <v>1.1000000000000001</v>
      </c>
      <c r="BD151" s="138">
        <v>1.1000000000000001</v>
      </c>
      <c r="BE151" s="138">
        <v>0.9</v>
      </c>
      <c r="BF151" s="138">
        <v>0.9</v>
      </c>
      <c r="BG151" s="138">
        <v>0.9</v>
      </c>
      <c r="BH151" s="138">
        <v>1.1000000000000001</v>
      </c>
      <c r="BN151" s="160">
        <f t="shared" si="6"/>
        <v>1.1000000000000001</v>
      </c>
      <c r="BO151" s="628">
        <f t="shared" si="7"/>
        <v>1.1000000000000001</v>
      </c>
      <c r="BP151" s="627" t="str">
        <f>INDEX('HCW Summary Data'!$D$9:$D$272,MATCH($B151,'HCW Summary Data'!$B$9:$B$272,0))</f>
        <v>Low income</v>
      </c>
      <c r="BQ151" s="630">
        <f t="shared" si="8"/>
        <v>1.63</v>
      </c>
    </row>
    <row r="152" spans="2:69" x14ac:dyDescent="0.25">
      <c r="B152" s="138" t="s">
        <v>581</v>
      </c>
      <c r="C152" s="138" t="s">
        <v>86</v>
      </c>
      <c r="D152" s="138" t="s">
        <v>907</v>
      </c>
      <c r="E152" s="138" t="s">
        <v>908</v>
      </c>
      <c r="AI152" s="138">
        <v>18.107099533081101</v>
      </c>
      <c r="AL152" s="138">
        <v>21.678600311299999</v>
      </c>
      <c r="AO152" s="138">
        <v>19.5699996948</v>
      </c>
      <c r="BE152" s="138">
        <v>16.46</v>
      </c>
      <c r="BF152" s="138">
        <v>13.8</v>
      </c>
      <c r="BN152" s="160">
        <f t="shared" si="6"/>
        <v>13.8</v>
      </c>
      <c r="BO152" s="628">
        <f t="shared" si="7"/>
        <v>13.8</v>
      </c>
      <c r="BP152" s="627" t="str">
        <f>INDEX('HCW Summary Data'!$D$9:$D$272,MATCH($B152,'HCW Summary Data'!$B$9:$B$272,0))</f>
        <v>Lower middle income</v>
      </c>
      <c r="BQ152" s="630">
        <f t="shared" si="8"/>
        <v>2.3800000000000003</v>
      </c>
    </row>
    <row r="153" spans="2:69" x14ac:dyDescent="0.25">
      <c r="B153" s="138" t="s">
        <v>580</v>
      </c>
      <c r="C153" s="138" t="s">
        <v>87</v>
      </c>
      <c r="D153" s="138" t="s">
        <v>907</v>
      </c>
      <c r="E153" s="138" t="s">
        <v>908</v>
      </c>
      <c r="Z153" s="138">
        <v>12.0548000335693</v>
      </c>
      <c r="AA153" s="138">
        <v>12.082099914550801</v>
      </c>
      <c r="AB153" s="138">
        <v>12.051099777221699</v>
      </c>
      <c r="AC153" s="138">
        <v>12.0797996520996</v>
      </c>
      <c r="AD153" s="138">
        <v>12.143500328064</v>
      </c>
      <c r="AE153" s="138">
        <v>12.2204999923706</v>
      </c>
      <c r="AF153" s="138">
        <v>12.4355001449585</v>
      </c>
      <c r="AG153" s="138">
        <v>12.667599678039601</v>
      </c>
      <c r="AH153" s="138">
        <v>12.763699531555201</v>
      </c>
      <c r="AI153" s="138">
        <v>12.727499961853001</v>
      </c>
      <c r="AJ153" s="138">
        <v>13.1478004456</v>
      </c>
      <c r="AK153" s="138">
        <v>13.116200447100001</v>
      </c>
      <c r="AL153" s="138">
        <v>12.790300369300001</v>
      </c>
      <c r="AM153" s="138">
        <v>12.4827003479</v>
      </c>
      <c r="AN153" s="138">
        <v>12.2215003967</v>
      </c>
      <c r="AO153" s="138">
        <v>12.2100000381</v>
      </c>
      <c r="AP153" s="138">
        <v>12.1300001144</v>
      </c>
      <c r="AQ153" s="138">
        <v>11.6199998856</v>
      </c>
      <c r="AR153" s="138">
        <v>11.2299995422</v>
      </c>
      <c r="AS153" s="138">
        <v>8.1899995804000003</v>
      </c>
      <c r="AT153" s="138">
        <v>6</v>
      </c>
      <c r="AU153" s="138">
        <v>5.9</v>
      </c>
      <c r="AV153" s="138">
        <v>5.8</v>
      </c>
      <c r="AW153" s="138">
        <v>6.7</v>
      </c>
      <c r="AX153" s="138">
        <v>6.4</v>
      </c>
      <c r="AY153" s="138">
        <v>6.4</v>
      </c>
      <c r="AZ153" s="138">
        <v>6.3</v>
      </c>
      <c r="BA153" s="138">
        <v>6.1</v>
      </c>
      <c r="BB153" s="138">
        <v>6.1</v>
      </c>
      <c r="BC153" s="138">
        <v>6.2</v>
      </c>
      <c r="BD153" s="138">
        <v>6.2</v>
      </c>
      <c r="BE153" s="138">
        <v>6.2</v>
      </c>
      <c r="BF153" s="138">
        <v>6.2</v>
      </c>
      <c r="BG153" s="138">
        <v>5.8</v>
      </c>
      <c r="BN153" s="160">
        <f t="shared" si="6"/>
        <v>5.8</v>
      </c>
      <c r="BO153" s="628">
        <f t="shared" si="7"/>
        <v>5.8</v>
      </c>
      <c r="BP153" s="627" t="str">
        <f>INDEX('HCW Summary Data'!$D$9:$D$272,MATCH($B153,'HCW Summary Data'!$B$9:$B$272,0))</f>
        <v>High income</v>
      </c>
      <c r="BQ153" s="630">
        <f t="shared" si="8"/>
        <v>3.5700000000000003</v>
      </c>
    </row>
    <row r="154" spans="2:69" x14ac:dyDescent="0.25">
      <c r="B154" s="138" t="s">
        <v>202</v>
      </c>
      <c r="C154" s="138" t="s">
        <v>88</v>
      </c>
      <c r="D154" s="138" t="s">
        <v>907</v>
      </c>
      <c r="E154" s="138" t="s">
        <v>908</v>
      </c>
      <c r="F154" s="138">
        <v>2.4061858654022199</v>
      </c>
      <c r="P154" s="138">
        <v>2.79080009460449</v>
      </c>
      <c r="U154" s="138">
        <v>2.4312999248504599</v>
      </c>
      <c r="AJ154" s="138">
        <v>0.93599998949999996</v>
      </c>
      <c r="AV154" s="138">
        <v>0.41999998690000001</v>
      </c>
      <c r="AY154" s="138">
        <v>0.3</v>
      </c>
      <c r="BD154" s="138">
        <v>0.2</v>
      </c>
      <c r="BN154" s="160">
        <f t="shared" si="6"/>
        <v>0.2</v>
      </c>
      <c r="BO154" s="628">
        <f t="shared" si="7"/>
        <v>0.2</v>
      </c>
      <c r="BP154" s="627" t="str">
        <f>INDEX('HCW Summary Data'!$D$9:$D$272,MATCH($B154,'HCW Summary Data'!$B$9:$B$272,0))</f>
        <v>Low income</v>
      </c>
      <c r="BQ154" s="630">
        <f t="shared" si="8"/>
        <v>1.63</v>
      </c>
    </row>
    <row r="155" spans="2:69" x14ac:dyDescent="0.25">
      <c r="B155" s="138" t="s">
        <v>243</v>
      </c>
      <c r="C155" s="138" t="s">
        <v>89</v>
      </c>
      <c r="D155" s="138" t="s">
        <v>907</v>
      </c>
      <c r="E155" s="138" t="s">
        <v>908</v>
      </c>
      <c r="AJ155" s="138">
        <v>0.76279997830000001</v>
      </c>
      <c r="AT155" s="138">
        <v>1.7000000476999999</v>
      </c>
      <c r="AV155" s="138">
        <v>2.2599999999999998</v>
      </c>
      <c r="AW155" s="138">
        <v>2.2999999999999998</v>
      </c>
      <c r="AY155" s="138">
        <v>2.6</v>
      </c>
      <c r="BC155" s="138">
        <v>4.3</v>
      </c>
      <c r="BN155" s="160">
        <f t="shared" si="6"/>
        <v>4.3</v>
      </c>
      <c r="BO155" s="628">
        <f t="shared" si="7"/>
        <v>4.3</v>
      </c>
      <c r="BP155" s="627" t="str">
        <f>INDEX('HCW Summary Data'!$D$9:$D$272,MATCH($B155,'HCW Summary Data'!$B$9:$B$272,0))</f>
        <v>Low income</v>
      </c>
      <c r="BQ155" s="630">
        <f t="shared" si="8"/>
        <v>1.63</v>
      </c>
    </row>
    <row r="156" spans="2:69" x14ac:dyDescent="0.25">
      <c r="B156" s="138" t="s">
        <v>572</v>
      </c>
      <c r="C156" s="138" t="s">
        <v>573</v>
      </c>
      <c r="D156" s="138" t="s">
        <v>907</v>
      </c>
      <c r="E156" s="138" t="s">
        <v>908</v>
      </c>
      <c r="F156" s="138">
        <v>1.9331006354810449</v>
      </c>
      <c r="P156" s="138">
        <v>1.8984589445131266</v>
      </c>
      <c r="AA156" s="138">
        <v>1.8709647439563779</v>
      </c>
      <c r="AJ156" s="138">
        <v>1.8919620267560249</v>
      </c>
      <c r="AT156" s="138">
        <v>1.7659167239228928</v>
      </c>
      <c r="AU156" s="138">
        <v>1.8182944247353938</v>
      </c>
      <c r="AV156" s="138">
        <v>1.7626533153357449</v>
      </c>
      <c r="AW156" s="138">
        <v>1.7627151693959011</v>
      </c>
      <c r="AX156" s="138">
        <v>1.7772822143972107</v>
      </c>
      <c r="AY156" s="138">
        <v>1.7923227634318644</v>
      </c>
      <c r="AZ156" s="138">
        <v>1.8157934979566144</v>
      </c>
      <c r="BA156" s="138">
        <v>1.8277705466910841</v>
      </c>
      <c r="BB156" s="138">
        <v>1.7198605008500722</v>
      </c>
      <c r="BC156" s="138">
        <v>1.62501364348276</v>
      </c>
      <c r="BD156" s="138">
        <v>1.6876448870614831</v>
      </c>
      <c r="BE156" s="138">
        <v>1.3566931117735375</v>
      </c>
      <c r="BF156" s="138">
        <v>1.019362489761594</v>
      </c>
      <c r="BG156" s="138">
        <v>1.3156322885474596</v>
      </c>
      <c r="BH156" s="138">
        <v>1.6284850711859378</v>
      </c>
      <c r="BN156" s="160">
        <f t="shared" si="6"/>
        <v>1.6284850711859378</v>
      </c>
      <c r="BO156" s="628">
        <f t="shared" si="7"/>
        <v>1.6284850711859378</v>
      </c>
      <c r="BP156" s="627" t="str">
        <f>INDEX('HCW Summary Data'!$D$9:$D$272,MATCH($B156,'HCW Summary Data'!$B$9:$B$272,0))</f>
        <v>OUT</v>
      </c>
      <c r="BQ156" s="630">
        <f t="shared" si="8"/>
        <v>2.7250000000000001</v>
      </c>
    </row>
    <row r="157" spans="2:69" x14ac:dyDescent="0.25">
      <c r="B157" s="138" t="s">
        <v>569</v>
      </c>
      <c r="C157" s="138" t="s">
        <v>90</v>
      </c>
      <c r="D157" s="138" t="s">
        <v>907</v>
      </c>
      <c r="E157" s="138" t="s">
        <v>908</v>
      </c>
      <c r="Z157" s="138">
        <v>0.69999998807907104</v>
      </c>
      <c r="AJ157" s="138">
        <v>1</v>
      </c>
      <c r="AK157" s="138">
        <v>1.1000000238000001</v>
      </c>
      <c r="AL157" s="138">
        <v>1.2000000476999999</v>
      </c>
      <c r="AM157" s="138">
        <v>1.2000000476999999</v>
      </c>
      <c r="AN157" s="138">
        <v>1.2000000476999999</v>
      </c>
      <c r="AO157" s="138">
        <v>1.2000000476999999</v>
      </c>
      <c r="AP157" s="138">
        <v>1.2000000476999999</v>
      </c>
      <c r="AQ157" s="138">
        <v>1.1000000238000001</v>
      </c>
      <c r="AR157" s="138">
        <v>1.1000000238000001</v>
      </c>
      <c r="AS157" s="138">
        <v>1.1000000238000001</v>
      </c>
      <c r="AT157" s="138">
        <v>1.1000000238000001</v>
      </c>
      <c r="AU157" s="138">
        <v>1.1000000238000001</v>
      </c>
      <c r="AV157" s="138">
        <v>1.1000000238000001</v>
      </c>
      <c r="AW157" s="138">
        <v>1</v>
      </c>
      <c r="AX157" s="138">
        <v>1</v>
      </c>
      <c r="AZ157" s="138">
        <v>1.6</v>
      </c>
      <c r="BA157" s="138">
        <v>1.7</v>
      </c>
      <c r="BB157" s="138">
        <v>1.6</v>
      </c>
      <c r="BC157" s="138">
        <v>1.6</v>
      </c>
      <c r="BD157" s="138">
        <v>1.7</v>
      </c>
      <c r="BE157" s="138">
        <v>1.5</v>
      </c>
      <c r="BF157" s="138">
        <v>1.5</v>
      </c>
      <c r="BG157" s="138">
        <v>1.6</v>
      </c>
      <c r="BI157" s="138">
        <v>1.5</v>
      </c>
      <c r="BN157" s="160">
        <f t="shared" si="6"/>
        <v>1.5</v>
      </c>
      <c r="BO157" s="628">
        <f t="shared" si="7"/>
        <v>1.5</v>
      </c>
      <c r="BP157" s="627" t="str">
        <f>INDEX('HCW Summary Data'!$D$9:$D$272,MATCH($B157,'HCW Summary Data'!$B$9:$B$272,0))</f>
        <v>Lower middle income</v>
      </c>
      <c r="BQ157" s="630">
        <f t="shared" si="8"/>
        <v>2.3800000000000003</v>
      </c>
    </row>
    <row r="158" spans="2:69" x14ac:dyDescent="0.25">
      <c r="B158" s="138" t="s">
        <v>568</v>
      </c>
      <c r="C158" s="138" t="s">
        <v>91</v>
      </c>
      <c r="D158" s="138" t="s">
        <v>907</v>
      </c>
      <c r="E158" s="138" t="s">
        <v>908</v>
      </c>
      <c r="AJ158" s="138">
        <v>2.2727000713000001</v>
      </c>
      <c r="AS158" s="138">
        <v>2.1</v>
      </c>
      <c r="BC158" s="138">
        <v>2.7</v>
      </c>
      <c r="BD158" s="138">
        <v>2.7</v>
      </c>
      <c r="BN158" s="160">
        <f t="shared" si="6"/>
        <v>2.7</v>
      </c>
      <c r="BO158" s="628">
        <f t="shared" si="7"/>
        <v>2.7</v>
      </c>
      <c r="BP158" s="627" t="str">
        <f>INDEX('HCW Summary Data'!$D$9:$D$272,MATCH($B158,'HCW Summary Data'!$B$9:$B$272,0))</f>
        <v>Lower middle income</v>
      </c>
      <c r="BQ158" s="630">
        <f t="shared" si="8"/>
        <v>2.3800000000000003</v>
      </c>
    </row>
    <row r="159" spans="2:69" x14ac:dyDescent="0.25">
      <c r="B159" s="138" t="s">
        <v>578</v>
      </c>
      <c r="C159" s="138" t="s">
        <v>579</v>
      </c>
      <c r="D159" s="138" t="s">
        <v>907</v>
      </c>
      <c r="E159" s="138" t="s">
        <v>908</v>
      </c>
      <c r="P159" s="138">
        <v>1.3954225799369193</v>
      </c>
      <c r="U159" s="138">
        <v>1.5571067342920397</v>
      </c>
      <c r="Z159" s="138">
        <v>2.1009055497099487</v>
      </c>
      <c r="AA159" s="138">
        <v>2.0784691142642147</v>
      </c>
      <c r="AE159" s="138">
        <v>2.7864132189498383</v>
      </c>
      <c r="AG159" s="138">
        <v>3.1341277872994153</v>
      </c>
      <c r="AJ159" s="138">
        <v>3.1426551164782346</v>
      </c>
      <c r="AK159" s="138">
        <v>2.6688204860042637</v>
      </c>
      <c r="AV159" s="138">
        <v>2.070712481418822</v>
      </c>
      <c r="AW159" s="138">
        <v>2.1986930998868912</v>
      </c>
      <c r="AY159" s="138">
        <v>2.2506053473453553</v>
      </c>
      <c r="BE159" s="138">
        <v>2.4006731205897842</v>
      </c>
      <c r="BN159" s="160">
        <f t="shared" si="6"/>
        <v>2.4006731205897842</v>
      </c>
      <c r="BO159" s="628">
        <f t="shared" si="7"/>
        <v>2.4006731205897842</v>
      </c>
      <c r="BP159" s="627" t="str">
        <f>INDEX('HCW Summary Data'!$D$9:$D$272,MATCH($B159,'HCW Summary Data'!$B$9:$B$272,0))</f>
        <v>OUT</v>
      </c>
      <c r="BQ159" s="630">
        <f t="shared" si="8"/>
        <v>2.7250000000000001</v>
      </c>
    </row>
    <row r="160" spans="2:69" x14ac:dyDescent="0.25">
      <c r="B160" s="138" t="s">
        <v>590</v>
      </c>
      <c r="C160" s="138" t="s">
        <v>591</v>
      </c>
      <c r="D160" s="138" t="s">
        <v>907</v>
      </c>
      <c r="E160" s="138" t="s">
        <v>908</v>
      </c>
      <c r="P160" s="138">
        <v>5.4503002166748002</v>
      </c>
      <c r="Q160" s="138">
        <v>5.4433999061584499</v>
      </c>
      <c r="R160" s="138">
        <v>5.4942998886108398</v>
      </c>
      <c r="S160" s="138">
        <v>5.4028000831604004</v>
      </c>
      <c r="T160" s="138">
        <v>5.4643998146057102</v>
      </c>
      <c r="U160" s="138">
        <v>5.4443998336792001</v>
      </c>
      <c r="V160" s="138">
        <v>5.3109002113342303</v>
      </c>
      <c r="W160" s="138">
        <v>5.2698001861572301</v>
      </c>
      <c r="X160" s="138">
        <v>5.1737999916076696</v>
      </c>
      <c r="Y160" s="138">
        <v>5.2437000274658203</v>
      </c>
      <c r="Z160" s="138">
        <v>5.1985001564025897</v>
      </c>
      <c r="AA160" s="138">
        <v>5.1816000938415501</v>
      </c>
      <c r="AB160" s="138">
        <v>5.3646001815795898</v>
      </c>
      <c r="AC160" s="138">
        <v>5.3383002281189</v>
      </c>
      <c r="AD160" s="138">
        <v>5.4029002189636204</v>
      </c>
      <c r="AE160" s="138">
        <v>5.5118999481201199</v>
      </c>
      <c r="AF160" s="138">
        <v>5.4994997978210396</v>
      </c>
      <c r="AG160" s="138">
        <v>5.4335999488830602</v>
      </c>
      <c r="AH160" s="138">
        <v>5.4742999076843297</v>
      </c>
      <c r="AI160" s="138">
        <v>5.4990000724792498</v>
      </c>
      <c r="AJ160" s="138">
        <v>5.9477000237000004</v>
      </c>
      <c r="AK160" s="138">
        <v>5.7873001099000003</v>
      </c>
      <c r="AL160" s="138">
        <v>5.6964001656000001</v>
      </c>
      <c r="AM160" s="138">
        <v>5.6005997658000002</v>
      </c>
      <c r="AN160" s="138">
        <v>5.5500001906999996</v>
      </c>
      <c r="AO160" s="138">
        <v>5.4099998474</v>
      </c>
      <c r="AP160" s="138">
        <v>5.1999998093000004</v>
      </c>
      <c r="AQ160" s="138">
        <v>5.1599998474</v>
      </c>
      <c r="AR160" s="138">
        <v>5.1500000954000003</v>
      </c>
      <c r="AS160" s="138">
        <v>5.0999999045999997</v>
      </c>
      <c r="AT160" s="138">
        <v>5.0999999999999996</v>
      </c>
      <c r="AU160" s="138">
        <v>4.9000000000000004</v>
      </c>
      <c r="AV160" s="138">
        <v>4.8</v>
      </c>
      <c r="AW160" s="138">
        <v>4.8</v>
      </c>
      <c r="AX160" s="138">
        <v>4.8</v>
      </c>
      <c r="AY160" s="138">
        <v>4.7</v>
      </c>
      <c r="AZ160" s="138">
        <v>4.5999999999999996</v>
      </c>
      <c r="BA160" s="138">
        <v>4.5999999999999996</v>
      </c>
      <c r="BB160" s="138">
        <v>4.5</v>
      </c>
      <c r="BC160" s="138">
        <v>4.5</v>
      </c>
      <c r="BD160" s="138">
        <v>4.5999999999999996</v>
      </c>
      <c r="BE160" s="138">
        <v>4.5</v>
      </c>
      <c r="BF160" s="138">
        <v>4.4000000000000004</v>
      </c>
      <c r="BG160" s="138">
        <v>4.4000000000000004</v>
      </c>
      <c r="BN160" s="160">
        <f t="shared" si="6"/>
        <v>4.4000000000000004</v>
      </c>
      <c r="BO160" s="628">
        <f t="shared" si="7"/>
        <v>4.4000000000000004</v>
      </c>
      <c r="BP160" s="627" t="str">
        <f>INDEX('HCW Summary Data'!$D$9:$D$272,MATCH($B160,'HCW Summary Data'!$B$9:$B$272,0))</f>
        <v>High income</v>
      </c>
      <c r="BQ160" s="630">
        <f t="shared" si="8"/>
        <v>3.5700000000000003</v>
      </c>
    </row>
    <row r="161" spans="2:69" x14ac:dyDescent="0.25">
      <c r="B161" s="138" t="s">
        <v>204</v>
      </c>
      <c r="C161" s="138" t="s">
        <v>92</v>
      </c>
      <c r="D161" s="138" t="s">
        <v>907</v>
      </c>
      <c r="E161" s="138" t="s">
        <v>908</v>
      </c>
      <c r="F161" s="138">
        <v>0.66850572824478105</v>
      </c>
      <c r="P161" s="138">
        <v>0.67909997701644897</v>
      </c>
      <c r="U161" s="138">
        <v>0.714299976825714</v>
      </c>
      <c r="AR161" s="138">
        <v>0.23999999459999999</v>
      </c>
      <c r="AY161" s="138">
        <v>0.3</v>
      </c>
      <c r="BB161" s="138">
        <v>0.6</v>
      </c>
      <c r="BD161" s="138">
        <v>0.1</v>
      </c>
      <c r="BN161" s="160">
        <f t="shared" si="6"/>
        <v>0.1</v>
      </c>
      <c r="BO161" s="628">
        <f t="shared" si="7"/>
        <v>0.1</v>
      </c>
      <c r="BP161" s="627" t="str">
        <f>INDEX('HCW Summary Data'!$D$9:$D$272,MATCH($B161,'HCW Summary Data'!$B$9:$B$272,0))</f>
        <v>High income</v>
      </c>
      <c r="BQ161" s="630">
        <f t="shared" si="8"/>
        <v>3.5700000000000003</v>
      </c>
    </row>
    <row r="162" spans="2:69" x14ac:dyDescent="0.25">
      <c r="B162" s="138" t="s">
        <v>567</v>
      </c>
      <c r="C162" s="138" t="s">
        <v>93</v>
      </c>
      <c r="D162" s="138" t="s">
        <v>907</v>
      </c>
      <c r="E162" s="138" t="s">
        <v>908</v>
      </c>
      <c r="F162" s="138">
        <v>9.2583589553833008</v>
      </c>
      <c r="AD162" s="138">
        <v>9.4638996124267596</v>
      </c>
      <c r="AG162" s="138">
        <v>9.3353004455566406</v>
      </c>
      <c r="AH162" s="138">
        <v>9.2573003768920898</v>
      </c>
      <c r="AI162" s="138">
        <v>9.44110012054443</v>
      </c>
      <c r="AM162" s="138">
        <v>5.8432002067999997</v>
      </c>
      <c r="AN162" s="138">
        <v>5.6210999489000004</v>
      </c>
      <c r="AO162" s="138">
        <v>5.4299998282999997</v>
      </c>
      <c r="AP162" s="138">
        <v>5.7800002097999998</v>
      </c>
      <c r="AQ162" s="138">
        <v>5.6399998665000002</v>
      </c>
      <c r="AR162" s="138">
        <v>5.6100001334999998</v>
      </c>
      <c r="AS162" s="138">
        <v>5.5700001717000003</v>
      </c>
      <c r="AT162" s="138">
        <v>5.5</v>
      </c>
      <c r="AU162" s="138">
        <v>7.6</v>
      </c>
      <c r="AV162" s="138">
        <v>7.5</v>
      </c>
      <c r="AW162" s="138">
        <v>7.4</v>
      </c>
      <c r="AX162" s="138">
        <v>7.5</v>
      </c>
      <c r="AY162" s="138">
        <v>7.4</v>
      </c>
      <c r="AZ162" s="138">
        <v>7.6</v>
      </c>
      <c r="BA162" s="138">
        <v>7.8</v>
      </c>
      <c r="BB162" s="138">
        <v>7.4</v>
      </c>
      <c r="BC162" s="138">
        <v>4.9000000000000004</v>
      </c>
      <c r="BD162" s="138">
        <v>4.5</v>
      </c>
      <c r="BE162" s="138">
        <v>4.4000000000000004</v>
      </c>
      <c r="BF162" s="138">
        <v>4.7</v>
      </c>
      <c r="BG162" s="138">
        <v>4.8</v>
      </c>
      <c r="BH162" s="138">
        <v>4.7</v>
      </c>
      <c r="BN162" s="160">
        <f t="shared" si="6"/>
        <v>4.7</v>
      </c>
      <c r="BO162" s="628">
        <f t="shared" si="7"/>
        <v>4.7</v>
      </c>
      <c r="BP162" s="627" t="str">
        <f>INDEX('HCW Summary Data'!$D$9:$D$272,MATCH($B162,'HCW Summary Data'!$B$9:$B$272,0))</f>
        <v>Upper middle income</v>
      </c>
      <c r="BQ162" s="630">
        <f t="shared" si="8"/>
        <v>3.32</v>
      </c>
    </row>
    <row r="163" spans="2:69" x14ac:dyDescent="0.25">
      <c r="B163" s="138" t="s">
        <v>244</v>
      </c>
      <c r="C163" s="138" t="s">
        <v>94</v>
      </c>
      <c r="D163" s="138" t="s">
        <v>907</v>
      </c>
      <c r="E163" s="138" t="s">
        <v>908</v>
      </c>
      <c r="F163" s="138">
        <v>0.66300928592681896</v>
      </c>
      <c r="P163" s="138">
        <v>0.85809999704360995</v>
      </c>
      <c r="Z163" s="138">
        <v>0.857100009918213</v>
      </c>
      <c r="AA163" s="138">
        <v>0.85759997367858898</v>
      </c>
      <c r="AJ163" s="138">
        <v>0.63580000400000003</v>
      </c>
      <c r="AT163" s="138">
        <v>0.7</v>
      </c>
      <c r="AV163" s="138">
        <v>0.63</v>
      </c>
      <c r="AZ163" s="138">
        <v>0.6</v>
      </c>
      <c r="BF163" s="138">
        <v>0.9</v>
      </c>
      <c r="BN163" s="160">
        <f t="shared" si="6"/>
        <v>0.9</v>
      </c>
      <c r="BO163" s="628">
        <f t="shared" si="7"/>
        <v>0.9</v>
      </c>
      <c r="BP163" s="627" t="str">
        <f>INDEX('HCW Summary Data'!$D$9:$D$272,MATCH($B163,'HCW Summary Data'!$B$9:$B$272,0))</f>
        <v>Upper middle income</v>
      </c>
      <c r="BQ163" s="630">
        <f t="shared" si="8"/>
        <v>3.32</v>
      </c>
    </row>
    <row r="164" spans="2:69" x14ac:dyDescent="0.25">
      <c r="B164" s="138" t="s">
        <v>574</v>
      </c>
      <c r="C164" s="138" t="s">
        <v>575</v>
      </c>
      <c r="D164" s="138" t="s">
        <v>907</v>
      </c>
      <c r="E164" s="138" t="s">
        <v>908</v>
      </c>
      <c r="F164" s="138">
        <v>1.8439760181732761</v>
      </c>
      <c r="P164" s="138">
        <v>1.906952921660142</v>
      </c>
      <c r="Z164" s="138">
        <v>1.7473105473612334</v>
      </c>
      <c r="AA164" s="138">
        <v>1.7520005838595079</v>
      </c>
      <c r="AJ164" s="138">
        <v>1.7499535727126976</v>
      </c>
      <c r="AT164" s="138">
        <v>1.6436750718705839</v>
      </c>
      <c r="AU164" s="138">
        <v>1.6236523843981892</v>
      </c>
      <c r="AV164" s="138">
        <v>1.6468667484683381</v>
      </c>
      <c r="AW164" s="138">
        <v>1.646571080013123</v>
      </c>
      <c r="AX164" s="138">
        <v>1.6761964363880009</v>
      </c>
      <c r="AY164" s="138">
        <v>1.6734739443482833</v>
      </c>
      <c r="AZ164" s="138">
        <v>1.7121248199255614</v>
      </c>
      <c r="BA164" s="138">
        <v>1.6721220267037615</v>
      </c>
      <c r="BB164" s="138">
        <v>1.621690711688704</v>
      </c>
      <c r="BC164" s="138">
        <v>1.5134445200018876</v>
      </c>
      <c r="BD164" s="138">
        <v>1.5884314964685944</v>
      </c>
      <c r="BE164" s="138">
        <v>1.2333075724781077</v>
      </c>
      <c r="BF164" s="138">
        <v>0.82708115018422279</v>
      </c>
      <c r="BG164" s="138">
        <v>1.1630078505323143</v>
      </c>
      <c r="BH164" s="138">
        <v>1.5166967169273771</v>
      </c>
      <c r="BN164" s="160">
        <f t="shared" si="6"/>
        <v>1.5166967169273771</v>
      </c>
      <c r="BO164" s="628">
        <f t="shared" si="7"/>
        <v>1.5166967169273771</v>
      </c>
      <c r="BP164" s="627" t="str">
        <f>INDEX('HCW Summary Data'!$D$9:$D$272,MATCH($B164,'HCW Summary Data'!$B$9:$B$272,0))</f>
        <v>OUT</v>
      </c>
      <c r="BQ164" s="630">
        <f t="shared" si="8"/>
        <v>2.7250000000000001</v>
      </c>
    </row>
    <row r="165" spans="2:69" x14ac:dyDescent="0.25">
      <c r="B165" s="138" t="s">
        <v>582</v>
      </c>
      <c r="C165" s="138" t="s">
        <v>95</v>
      </c>
      <c r="D165" s="138" t="s">
        <v>907</v>
      </c>
      <c r="E165" s="138" t="s">
        <v>908</v>
      </c>
      <c r="AT165" s="138">
        <v>4.2</v>
      </c>
      <c r="AU165" s="138">
        <v>4.3</v>
      </c>
      <c r="AV165" s="138">
        <v>4.2</v>
      </c>
      <c r="AW165" s="138">
        <v>4.2</v>
      </c>
      <c r="AX165" s="138">
        <v>4.2</v>
      </c>
      <c r="AY165" s="138">
        <v>4.2</v>
      </c>
      <c r="AZ165" s="138">
        <v>4.0999999999999996</v>
      </c>
      <c r="BA165" s="138">
        <v>4</v>
      </c>
      <c r="BB165" s="138">
        <v>3.9</v>
      </c>
      <c r="BC165" s="138">
        <v>3.9</v>
      </c>
      <c r="BD165" s="138">
        <v>4</v>
      </c>
      <c r="BE165" s="138">
        <v>4</v>
      </c>
      <c r="BF165" s="138">
        <v>4</v>
      </c>
      <c r="BN165" s="160">
        <f t="shared" si="6"/>
        <v>4</v>
      </c>
      <c r="BO165" s="628">
        <f t="shared" si="7"/>
        <v>4</v>
      </c>
      <c r="BP165" s="627" t="str">
        <f>INDEX('HCW Summary Data'!$D$9:$D$272,MATCH($B165,'HCW Summary Data'!$B$9:$B$272,0))</f>
        <v>Lower middle income</v>
      </c>
      <c r="BQ165" s="630">
        <f t="shared" si="8"/>
        <v>2.3800000000000003</v>
      </c>
    </row>
    <row r="166" spans="2:69" x14ac:dyDescent="0.25">
      <c r="B166" s="138" t="s">
        <v>250</v>
      </c>
      <c r="C166" s="138" t="s">
        <v>96</v>
      </c>
      <c r="D166" s="138" t="s">
        <v>907</v>
      </c>
      <c r="E166" s="138" t="s">
        <v>908</v>
      </c>
      <c r="F166" s="138">
        <v>8.6819601058959996</v>
      </c>
      <c r="P166" s="138">
        <v>9.4952001571655291</v>
      </c>
      <c r="Z166" s="138">
        <v>11.1971998214722</v>
      </c>
      <c r="AA166" s="138">
        <v>11.0289001464844</v>
      </c>
      <c r="AK166" s="138">
        <v>11.4864997864</v>
      </c>
      <c r="AV166" s="138">
        <v>7.5</v>
      </c>
      <c r="AX166" s="138">
        <v>6</v>
      </c>
      <c r="AZ166" s="138">
        <v>6.4</v>
      </c>
      <c r="BA166" s="138">
        <v>6.11</v>
      </c>
      <c r="BC166" s="138">
        <v>5.9</v>
      </c>
      <c r="BD166" s="138">
        <v>5.8</v>
      </c>
      <c r="BE166" s="138">
        <v>6.75</v>
      </c>
      <c r="BF166" s="138">
        <v>7</v>
      </c>
      <c r="BN166" s="160">
        <f t="shared" si="6"/>
        <v>7</v>
      </c>
      <c r="BO166" s="628">
        <f t="shared" si="7"/>
        <v>7</v>
      </c>
      <c r="BP166" s="627" t="str">
        <f>INDEX('HCW Summary Data'!$D$9:$D$272,MATCH($B166,'HCW Summary Data'!$B$9:$B$272,0))</f>
        <v>Upper middle income</v>
      </c>
      <c r="BQ166" s="630">
        <f t="shared" si="8"/>
        <v>3.32</v>
      </c>
    </row>
    <row r="167" spans="2:69" x14ac:dyDescent="0.25">
      <c r="B167" s="138" t="s">
        <v>592</v>
      </c>
      <c r="C167" s="138" t="s">
        <v>593</v>
      </c>
      <c r="D167" s="138" t="s">
        <v>907</v>
      </c>
      <c r="E167" s="138" t="s">
        <v>908</v>
      </c>
      <c r="BN167" s="160" t="str">
        <f t="shared" si="6"/>
        <v>No reported value</v>
      </c>
      <c r="BO167" s="628">
        <f t="shared" si="7"/>
        <v>4.82</v>
      </c>
      <c r="BP167" s="627" t="str">
        <f>INDEX('HCW Summary Data'!$D$9:$D$272,MATCH($B167,'HCW Summary Data'!$B$9:$B$272,0))</f>
        <v>High income</v>
      </c>
      <c r="BQ167" s="630">
        <f t="shared" si="8"/>
        <v>3.5700000000000003</v>
      </c>
    </row>
    <row r="168" spans="2:69" x14ac:dyDescent="0.25">
      <c r="B168" s="138" t="s">
        <v>207</v>
      </c>
      <c r="C168" s="138" t="s">
        <v>97</v>
      </c>
      <c r="D168" s="138" t="s">
        <v>907</v>
      </c>
      <c r="E168" s="138" t="s">
        <v>908</v>
      </c>
      <c r="F168" s="138">
        <v>0.80887281894683805</v>
      </c>
      <c r="P168" s="138">
        <v>1.1751999855041499</v>
      </c>
      <c r="Z168" s="138">
        <v>1.0896999835968</v>
      </c>
      <c r="AJ168" s="138">
        <v>0.86710000040000001</v>
      </c>
      <c r="AZ168" s="138">
        <v>0.8</v>
      </c>
      <c r="BA168" s="138">
        <v>0.8</v>
      </c>
      <c r="BE168" s="138">
        <v>0.7</v>
      </c>
      <c r="BN168" s="160">
        <f t="shared" si="6"/>
        <v>0.7</v>
      </c>
      <c r="BO168" s="628">
        <f t="shared" si="7"/>
        <v>0.7</v>
      </c>
      <c r="BP168" s="627" t="str">
        <f>INDEX('HCW Summary Data'!$D$9:$D$272,MATCH($B168,'HCW Summary Data'!$B$9:$B$272,0))</f>
        <v>Lower middle income</v>
      </c>
      <c r="BQ168" s="630">
        <f t="shared" si="8"/>
        <v>2.3800000000000003</v>
      </c>
    </row>
    <row r="169" spans="2:69" x14ac:dyDescent="0.25">
      <c r="B169" s="138" t="s">
        <v>205</v>
      </c>
      <c r="C169" s="138" t="s">
        <v>98</v>
      </c>
      <c r="D169" s="138" t="s">
        <v>907</v>
      </c>
      <c r="E169" s="138" t="s">
        <v>908</v>
      </c>
      <c r="F169" s="138">
        <v>0.20484359562397</v>
      </c>
      <c r="P169" s="138">
        <v>0.34400001168250999</v>
      </c>
      <c r="U169" s="138">
        <v>0.34430000185966497</v>
      </c>
      <c r="AD169" s="138">
        <v>0.76759999990463301</v>
      </c>
      <c r="AJ169" s="138">
        <v>0.66540002819999999</v>
      </c>
      <c r="AZ169" s="138">
        <v>0.4</v>
      </c>
      <c r="BN169" s="160">
        <f t="shared" si="6"/>
        <v>0.4</v>
      </c>
      <c r="BO169" s="628">
        <f t="shared" si="7"/>
        <v>0.4</v>
      </c>
      <c r="BP169" s="627" t="str">
        <f>INDEX('HCW Summary Data'!$D$9:$D$272,MATCH($B169,'HCW Summary Data'!$B$9:$B$272,0))</f>
        <v>Upper middle income</v>
      </c>
      <c r="BQ169" s="630">
        <f t="shared" si="8"/>
        <v>3.32</v>
      </c>
    </row>
    <row r="170" spans="2:69" x14ac:dyDescent="0.25">
      <c r="B170" s="138" t="s">
        <v>206</v>
      </c>
      <c r="C170" s="138" t="s">
        <v>99</v>
      </c>
      <c r="D170" s="138" t="s">
        <v>907</v>
      </c>
      <c r="E170" s="138" t="s">
        <v>908</v>
      </c>
      <c r="F170" s="138">
        <v>4.7166666984558097</v>
      </c>
      <c r="P170" s="138">
        <v>3.95160007476807</v>
      </c>
      <c r="U170" s="138">
        <v>3.29970002174377</v>
      </c>
      <c r="Z170" s="138">
        <v>3.1222000122070299</v>
      </c>
      <c r="AE170" s="138">
        <v>3.3464999198913601</v>
      </c>
      <c r="AK170" s="138">
        <v>2.8866000175000002</v>
      </c>
      <c r="AL170" s="138">
        <v>3.1350998878</v>
      </c>
      <c r="AM170" s="138">
        <v>3.0947999953999998</v>
      </c>
      <c r="AN170" s="138">
        <v>3.0745999813</v>
      </c>
      <c r="AY170" s="138">
        <v>3</v>
      </c>
      <c r="BB170" s="138">
        <v>3.3</v>
      </c>
      <c r="BE170" s="138">
        <v>3.4</v>
      </c>
      <c r="BN170" s="160">
        <f t="shared" si="6"/>
        <v>3.4</v>
      </c>
      <c r="BO170" s="628">
        <f t="shared" si="7"/>
        <v>3.4</v>
      </c>
      <c r="BP170" s="627" t="str">
        <f>INDEX('HCW Summary Data'!$D$9:$D$272,MATCH($B170,'HCW Summary Data'!$B$9:$B$272,0))</f>
        <v>Upper middle income</v>
      </c>
      <c r="BQ170" s="630">
        <f t="shared" si="8"/>
        <v>3.32</v>
      </c>
    </row>
    <row r="171" spans="2:69" x14ac:dyDescent="0.25">
      <c r="B171" s="138" t="s">
        <v>203</v>
      </c>
      <c r="C171" s="138" t="s">
        <v>100</v>
      </c>
      <c r="D171" s="138" t="s">
        <v>907</v>
      </c>
      <c r="E171" s="138" t="s">
        <v>908</v>
      </c>
      <c r="F171" s="138">
        <v>1.11873054504395</v>
      </c>
      <c r="P171" s="138">
        <v>1.5384999513626101</v>
      </c>
      <c r="AI171" s="138">
        <v>0.84189999103546098</v>
      </c>
      <c r="AJ171" s="138">
        <v>1.5506999493</v>
      </c>
      <c r="AR171" s="138">
        <v>1.3400000334</v>
      </c>
      <c r="BA171" s="138">
        <v>1.1000000000000001</v>
      </c>
      <c r="BE171" s="138">
        <v>1.3</v>
      </c>
      <c r="BN171" s="160">
        <f t="shared" si="6"/>
        <v>1.3</v>
      </c>
      <c r="BO171" s="628">
        <f t="shared" si="7"/>
        <v>1.3</v>
      </c>
      <c r="BP171" s="627" t="str">
        <f>INDEX('HCW Summary Data'!$D$9:$D$272,MATCH($B171,'HCW Summary Data'!$B$9:$B$272,0))</f>
        <v>Upper middle income</v>
      </c>
      <c r="BQ171" s="630">
        <f t="shared" si="8"/>
        <v>3.32</v>
      </c>
    </row>
    <row r="172" spans="2:69" x14ac:dyDescent="0.25">
      <c r="B172" s="138" t="s">
        <v>566</v>
      </c>
      <c r="C172" s="138" t="s">
        <v>101</v>
      </c>
      <c r="D172" s="138" t="s">
        <v>907</v>
      </c>
      <c r="E172" s="138" t="s">
        <v>908</v>
      </c>
      <c r="F172" s="138">
        <v>3.7281327247619598</v>
      </c>
      <c r="P172" s="138">
        <v>3.4697000980377202</v>
      </c>
      <c r="U172" s="138">
        <v>3.3466999530792201</v>
      </c>
      <c r="AA172" s="138">
        <v>2.2783000469207799</v>
      </c>
      <c r="AE172" s="138">
        <v>2.5576000213622998</v>
      </c>
      <c r="AG172" s="138">
        <v>2.4779000282287602</v>
      </c>
      <c r="AI172" s="138">
        <v>2.33949995040894</v>
      </c>
      <c r="AJ172" s="138">
        <v>2.1305999756</v>
      </c>
      <c r="AK172" s="138">
        <v>2.0938999652999999</v>
      </c>
      <c r="AL172" s="138">
        <v>2.0606999397000001</v>
      </c>
      <c r="AM172" s="138">
        <v>2.0295000075999998</v>
      </c>
      <c r="AN172" s="138">
        <v>2.0215001105999999</v>
      </c>
      <c r="AO172" s="138">
        <v>2.0299999714000001</v>
      </c>
      <c r="AP172" s="138">
        <v>2.0099999904999999</v>
      </c>
      <c r="AU172" s="138">
        <v>1.8</v>
      </c>
      <c r="AY172" s="138">
        <v>1.8</v>
      </c>
      <c r="AZ172" s="138">
        <v>1.9</v>
      </c>
      <c r="BA172" s="138">
        <v>1.76</v>
      </c>
      <c r="BC172" s="138">
        <v>1.8</v>
      </c>
      <c r="BD172" s="138">
        <v>1.8</v>
      </c>
      <c r="BE172" s="138">
        <v>1.79</v>
      </c>
      <c r="BF172" s="138">
        <v>1.9</v>
      </c>
      <c r="BI172" s="138">
        <v>1.9</v>
      </c>
      <c r="BN172" s="160">
        <f t="shared" si="6"/>
        <v>1.9</v>
      </c>
      <c r="BO172" s="628">
        <f t="shared" si="7"/>
        <v>1.9</v>
      </c>
      <c r="BP172" s="627" t="str">
        <f>INDEX('HCW Summary Data'!$D$9:$D$272,MATCH($B172,'HCW Summary Data'!$B$9:$B$272,0))</f>
        <v>Upper middle income</v>
      </c>
      <c r="BQ172" s="630">
        <f t="shared" si="8"/>
        <v>3.32</v>
      </c>
    </row>
    <row r="173" spans="2:69" x14ac:dyDescent="0.25">
      <c r="B173" s="138" t="s">
        <v>588</v>
      </c>
      <c r="C173" s="138" t="s">
        <v>589</v>
      </c>
      <c r="D173" s="138" t="s">
        <v>907</v>
      </c>
      <c r="E173" s="138" t="s">
        <v>908</v>
      </c>
      <c r="F173" s="138">
        <v>8.9294437383365715</v>
      </c>
      <c r="K173" s="138">
        <v>8.8000001907348597</v>
      </c>
      <c r="P173" s="138">
        <v>7.8152225481291397</v>
      </c>
      <c r="Q173" s="138">
        <v>7.5</v>
      </c>
      <c r="R173" s="138">
        <v>7.400000095367429</v>
      </c>
      <c r="S173" s="138">
        <v>7.1999998092651403</v>
      </c>
      <c r="T173" s="138">
        <v>7.099999904632571</v>
      </c>
      <c r="U173" s="138">
        <v>6.8000001907348597</v>
      </c>
      <c r="V173" s="138">
        <v>6.6291319520311625</v>
      </c>
      <c r="W173" s="138">
        <v>6.4486256323674471</v>
      </c>
      <c r="X173" s="138">
        <v>6.268036196275137</v>
      </c>
      <c r="Y173" s="138">
        <v>6.1679663758523482</v>
      </c>
      <c r="Z173" s="138">
        <v>6.0779077076013008</v>
      </c>
      <c r="AA173" s="138">
        <v>5.9976064256276018</v>
      </c>
      <c r="AB173" s="138">
        <v>5.9880333038262501</v>
      </c>
      <c r="AC173" s="138">
        <v>5.8978802749154839</v>
      </c>
      <c r="AD173" s="138">
        <v>5.8077439353012679</v>
      </c>
      <c r="AE173" s="138">
        <v>5.6273656989701912</v>
      </c>
      <c r="AF173" s="138">
        <v>5.5274460487341255</v>
      </c>
      <c r="AG173" s="138">
        <v>5.3377755404461551</v>
      </c>
      <c r="AH173" s="138">
        <v>5.2382591293567371</v>
      </c>
      <c r="AI173" s="138">
        <v>5.129370179917629</v>
      </c>
      <c r="AJ173" s="138">
        <v>5.0098403270518945</v>
      </c>
      <c r="AK173" s="138">
        <v>4.899770945940884</v>
      </c>
      <c r="AL173" s="138">
        <v>4.6896294626476873</v>
      </c>
      <c r="AM173" s="138">
        <v>4.5894523688073807</v>
      </c>
      <c r="AN173" s="138">
        <v>4.3000001906999996</v>
      </c>
      <c r="AO173" s="138">
        <v>4.1892212827297515</v>
      </c>
      <c r="AP173" s="138">
        <v>3.9697892787830016</v>
      </c>
      <c r="AQ173" s="138">
        <v>3.8593052082745056</v>
      </c>
      <c r="AR173" s="138">
        <v>3.7492717056806804</v>
      </c>
      <c r="AS173" s="138">
        <v>3.6294736432806411</v>
      </c>
      <c r="AT173" s="138">
        <v>3.4901914935783491</v>
      </c>
      <c r="AU173" s="138">
        <v>3.5196341171789483</v>
      </c>
      <c r="AV173" s="138">
        <v>3.4294936897127939</v>
      </c>
      <c r="AW173" s="138">
        <v>3.3295047413867973</v>
      </c>
      <c r="AY173" s="138">
        <v>3.2196752003732292</v>
      </c>
      <c r="AZ173" s="138">
        <v>3.1295250646193682</v>
      </c>
      <c r="BA173" s="138">
        <v>3.1</v>
      </c>
      <c r="BB173" s="138">
        <v>3.1295669157214188</v>
      </c>
      <c r="BC173" s="138">
        <v>3.1098792165429265</v>
      </c>
      <c r="BD173" s="138">
        <v>2.9702867860095838</v>
      </c>
      <c r="BE173" s="138">
        <v>2.8801460489038808</v>
      </c>
      <c r="BF173" s="138">
        <v>2.8800829757865749</v>
      </c>
      <c r="BG173" s="138">
        <v>2.9</v>
      </c>
      <c r="BN173" s="160">
        <f t="shared" si="6"/>
        <v>2.9</v>
      </c>
      <c r="BO173" s="628">
        <f t="shared" si="7"/>
        <v>2.9</v>
      </c>
      <c r="BP173" s="627" t="str">
        <f>INDEX('HCW Summary Data'!$D$9:$D$272,MATCH($B173,'HCW Summary Data'!$B$9:$B$272,0))</f>
        <v>OUT</v>
      </c>
      <c r="BQ173" s="630">
        <f t="shared" si="8"/>
        <v>2.7250000000000001</v>
      </c>
    </row>
    <row r="174" spans="2:69" x14ac:dyDescent="0.25">
      <c r="B174" s="138" t="s">
        <v>208</v>
      </c>
      <c r="C174" s="138" t="s">
        <v>102</v>
      </c>
      <c r="D174" s="138" t="s">
        <v>907</v>
      </c>
      <c r="E174" s="138" t="s">
        <v>908</v>
      </c>
      <c r="AZ174" s="138">
        <v>3.3</v>
      </c>
      <c r="BC174" s="138">
        <v>2.7</v>
      </c>
      <c r="BN174" s="160">
        <f t="shared" si="6"/>
        <v>2.7</v>
      </c>
      <c r="BO174" s="628">
        <f t="shared" si="7"/>
        <v>2.7</v>
      </c>
      <c r="BP174" s="627" t="str">
        <f>INDEX('HCW Summary Data'!$D$9:$D$272,MATCH($B174,'HCW Summary Data'!$B$9:$B$272,0))</f>
        <v>Upper middle income</v>
      </c>
      <c r="BQ174" s="630">
        <f t="shared" si="8"/>
        <v>3.32</v>
      </c>
    </row>
    <row r="175" spans="2:69" x14ac:dyDescent="0.25">
      <c r="B175" s="138" t="s">
        <v>585</v>
      </c>
      <c r="C175" s="138" t="s">
        <v>586</v>
      </c>
      <c r="D175" s="138" t="s">
        <v>907</v>
      </c>
      <c r="E175" s="138" t="s">
        <v>908</v>
      </c>
      <c r="BN175" s="160" t="str">
        <f t="shared" si="6"/>
        <v>No reported value</v>
      </c>
      <c r="BO175" s="628">
        <f t="shared" si="7"/>
        <v>4.82</v>
      </c>
      <c r="BP175" s="627" t="str">
        <f>INDEX('HCW Summary Data'!$D$9:$D$272,MATCH($B175,'HCW Summary Data'!$B$9:$B$272,0))</f>
        <v>High income</v>
      </c>
      <c r="BQ175" s="630">
        <f t="shared" si="8"/>
        <v>3.5700000000000003</v>
      </c>
    </row>
    <row r="176" spans="2:69" x14ac:dyDescent="0.25">
      <c r="B176" s="138" t="s">
        <v>209</v>
      </c>
      <c r="C176" s="138" t="s">
        <v>103</v>
      </c>
      <c r="D176" s="138" t="s">
        <v>907</v>
      </c>
      <c r="E176" s="138" t="s">
        <v>908</v>
      </c>
      <c r="F176" s="138">
        <v>0.40949088335037198</v>
      </c>
      <c r="P176" s="138">
        <v>0.49470001459121699</v>
      </c>
      <c r="U176" s="138">
        <v>0.49529999494552601</v>
      </c>
      <c r="AG176" s="138">
        <v>0.54390001296997104</v>
      </c>
      <c r="AN176" s="138">
        <v>0.19460000099999999</v>
      </c>
      <c r="AO176" s="138">
        <v>0.11999999729999999</v>
      </c>
      <c r="AP176" s="138">
        <v>0.11999999729999999</v>
      </c>
      <c r="AQ176" s="138">
        <v>0.18000000720000001</v>
      </c>
      <c r="AR176" s="138">
        <v>0.11999999729999999</v>
      </c>
      <c r="AY176" s="138">
        <v>0.3</v>
      </c>
      <c r="BI176" s="138">
        <v>0.3</v>
      </c>
      <c r="BN176" s="160">
        <f t="shared" si="6"/>
        <v>0.3</v>
      </c>
      <c r="BO176" s="628">
        <f t="shared" si="7"/>
        <v>0.3</v>
      </c>
      <c r="BP176" s="627" t="str">
        <f>INDEX('HCW Summary Data'!$D$9:$D$272,MATCH($B176,'HCW Summary Data'!$B$9:$B$272,0))</f>
        <v>Lower middle income</v>
      </c>
      <c r="BQ176" s="630">
        <f t="shared" si="8"/>
        <v>2.3800000000000003</v>
      </c>
    </row>
    <row r="177" spans="2:69" x14ac:dyDescent="0.25">
      <c r="B177" s="138" t="s">
        <v>177</v>
      </c>
      <c r="C177" s="138" t="s">
        <v>104</v>
      </c>
      <c r="D177" s="138" t="s">
        <v>907</v>
      </c>
      <c r="E177" s="138" t="s">
        <v>908</v>
      </c>
      <c r="F177" s="138">
        <v>0.418167114257813</v>
      </c>
      <c r="P177" s="138">
        <v>0.55980002880096402</v>
      </c>
      <c r="U177" s="138">
        <v>0.555800020694733</v>
      </c>
      <c r="Z177" s="138">
        <v>0.866199970245361</v>
      </c>
      <c r="AH177" s="138">
        <v>6.37029981613159</v>
      </c>
      <c r="AJ177" s="138">
        <v>1.6682000159999999</v>
      </c>
      <c r="AT177" s="138">
        <v>1.2</v>
      </c>
      <c r="AX177" s="138">
        <v>0.5</v>
      </c>
      <c r="BN177" s="160">
        <f t="shared" si="6"/>
        <v>0.5</v>
      </c>
      <c r="BO177" s="628">
        <f t="shared" si="7"/>
        <v>0.5</v>
      </c>
      <c r="BP177" s="627" t="str">
        <f>INDEX('HCW Summary Data'!$D$9:$D$272,MATCH($B177,'HCW Summary Data'!$B$9:$B$272,0))</f>
        <v>Upper middle income</v>
      </c>
      <c r="BQ177" s="630">
        <f t="shared" si="8"/>
        <v>3.32</v>
      </c>
    </row>
    <row r="178" spans="2:69" x14ac:dyDescent="0.25">
      <c r="B178" s="138" t="s">
        <v>227</v>
      </c>
      <c r="C178" s="138" t="s">
        <v>105</v>
      </c>
      <c r="D178" s="138" t="s">
        <v>907</v>
      </c>
      <c r="E178" s="138" t="s">
        <v>908</v>
      </c>
      <c r="F178" s="138">
        <v>2.15823602676392</v>
      </c>
      <c r="P178" s="138">
        <v>2.2802999019622798</v>
      </c>
      <c r="U178" s="138">
        <v>2.4119000434875502</v>
      </c>
      <c r="AE178" s="138">
        <v>2.4059998989105198</v>
      </c>
      <c r="AI178" s="138">
        <v>1.8269000053405799</v>
      </c>
      <c r="AJ178" s="138">
        <v>1.8213000297999999</v>
      </c>
      <c r="AM178" s="138">
        <v>1.7999999523000001</v>
      </c>
      <c r="AP178" s="138">
        <v>1.4800000191</v>
      </c>
      <c r="AW178" s="138">
        <v>0.89999997620000005</v>
      </c>
      <c r="AX178" s="138">
        <v>0.9</v>
      </c>
      <c r="AY178" s="138">
        <v>0.9</v>
      </c>
      <c r="AZ178" s="138">
        <v>1</v>
      </c>
      <c r="BA178" s="138">
        <v>0.9</v>
      </c>
      <c r="BB178" s="138">
        <v>0.9</v>
      </c>
      <c r="BD178" s="138">
        <v>0.8</v>
      </c>
      <c r="BE178" s="138">
        <v>1.1000000000000001</v>
      </c>
      <c r="BF178" s="138">
        <v>0.9</v>
      </c>
      <c r="BG178" s="138">
        <v>0.9</v>
      </c>
      <c r="BH178" s="138">
        <v>0.9</v>
      </c>
      <c r="BN178" s="160">
        <f t="shared" si="6"/>
        <v>0.9</v>
      </c>
      <c r="BO178" s="628">
        <f t="shared" si="7"/>
        <v>0.9</v>
      </c>
      <c r="BP178" s="627" t="str">
        <f>INDEX('HCW Summary Data'!$D$9:$D$272,MATCH($B178,'HCW Summary Data'!$B$9:$B$272,0))</f>
        <v>Low income</v>
      </c>
      <c r="BQ178" s="630">
        <f t="shared" si="8"/>
        <v>1.63</v>
      </c>
    </row>
    <row r="179" spans="2:69" x14ac:dyDescent="0.25">
      <c r="B179" s="138" t="s">
        <v>584</v>
      </c>
      <c r="C179" s="138" t="s">
        <v>106</v>
      </c>
      <c r="D179" s="138" t="s">
        <v>907</v>
      </c>
      <c r="E179" s="138" t="s">
        <v>908</v>
      </c>
      <c r="AJ179" s="138">
        <v>5.8000001906999996</v>
      </c>
      <c r="AK179" s="138">
        <v>5.6999998093000004</v>
      </c>
      <c r="AL179" s="138">
        <v>5.6999998093000004</v>
      </c>
      <c r="AM179" s="138">
        <v>5.5999999045999997</v>
      </c>
      <c r="AN179" s="138">
        <v>5.4000000954000003</v>
      </c>
      <c r="AO179" s="138">
        <v>5.3000001906999996</v>
      </c>
      <c r="AP179" s="138">
        <v>5.1999998093000004</v>
      </c>
      <c r="AQ179" s="138">
        <v>5.1999998093000004</v>
      </c>
      <c r="AR179" s="138">
        <v>5.0999999045999997</v>
      </c>
      <c r="AS179" s="138">
        <v>5</v>
      </c>
      <c r="AT179" s="138">
        <v>4.8</v>
      </c>
      <c r="AU179" s="138">
        <v>4.7</v>
      </c>
      <c r="AV179" s="138">
        <v>4.5999999999999996</v>
      </c>
      <c r="AW179" s="138">
        <v>4.5</v>
      </c>
      <c r="AX179" s="138">
        <v>4.5</v>
      </c>
      <c r="AY179" s="138">
        <v>4.5</v>
      </c>
      <c r="AZ179" s="138">
        <v>4.8</v>
      </c>
      <c r="BA179" s="138">
        <v>4.7</v>
      </c>
      <c r="BB179" s="138">
        <v>4.3</v>
      </c>
      <c r="BC179" s="138">
        <v>4.7</v>
      </c>
      <c r="BN179" s="160">
        <f t="shared" si="6"/>
        <v>4.7</v>
      </c>
      <c r="BO179" s="628">
        <f t="shared" si="7"/>
        <v>4.7</v>
      </c>
      <c r="BP179" s="627" t="str">
        <f>INDEX('HCW Summary Data'!$D$9:$D$272,MATCH($B179,'HCW Summary Data'!$B$9:$B$272,0))</f>
        <v>High income</v>
      </c>
      <c r="BQ179" s="630">
        <f t="shared" si="8"/>
        <v>3.5700000000000003</v>
      </c>
    </row>
    <row r="180" spans="2:69" x14ac:dyDescent="0.25">
      <c r="B180" s="138" t="s">
        <v>594</v>
      </c>
      <c r="C180" s="138" t="s">
        <v>107</v>
      </c>
      <c r="D180" s="138" t="s">
        <v>907</v>
      </c>
      <c r="E180" s="138" t="s">
        <v>908</v>
      </c>
      <c r="AF180" s="138">
        <v>5.9000000953674299</v>
      </c>
      <c r="AG180" s="138">
        <v>5.6999998092651403</v>
      </c>
      <c r="AH180" s="138">
        <v>5.3000001907348597</v>
      </c>
      <c r="AI180" s="138">
        <v>4.8000001907348597</v>
      </c>
      <c r="AJ180" s="138">
        <v>4.5999999045999997</v>
      </c>
      <c r="AK180" s="138">
        <v>4.4000000954000003</v>
      </c>
      <c r="AL180" s="138">
        <v>4.3000001906999996</v>
      </c>
      <c r="AM180" s="138">
        <v>4.1999998093000004</v>
      </c>
      <c r="AN180" s="138">
        <v>4.0999999045999997</v>
      </c>
      <c r="AO180" s="138">
        <v>4</v>
      </c>
      <c r="AP180" s="138">
        <v>4</v>
      </c>
      <c r="AQ180" s="138">
        <v>4</v>
      </c>
      <c r="AR180" s="138">
        <v>4</v>
      </c>
      <c r="AS180" s="138">
        <v>3.9000000953999998</v>
      </c>
      <c r="AT180" s="138">
        <v>3.8</v>
      </c>
      <c r="AU180" s="138">
        <v>3.8</v>
      </c>
      <c r="AV180" s="138">
        <v>5</v>
      </c>
      <c r="AW180" s="138">
        <v>5</v>
      </c>
      <c r="AX180" s="138">
        <v>5.2</v>
      </c>
      <c r="AY180" s="138">
        <v>5.2</v>
      </c>
      <c r="AZ180" s="138">
        <v>5</v>
      </c>
      <c r="BA180" s="138">
        <v>4.9000000000000004</v>
      </c>
      <c r="BB180" s="138">
        <v>3.5</v>
      </c>
      <c r="BC180" s="138">
        <v>3.3</v>
      </c>
      <c r="BD180" s="138">
        <v>4.3</v>
      </c>
      <c r="BE180" s="138">
        <v>4.2</v>
      </c>
      <c r="BF180" s="138">
        <v>4</v>
      </c>
      <c r="BG180" s="138">
        <v>3.9</v>
      </c>
      <c r="BN180" s="160">
        <f t="shared" si="6"/>
        <v>3.9</v>
      </c>
      <c r="BO180" s="628">
        <f t="shared" si="7"/>
        <v>3.9</v>
      </c>
      <c r="BP180" s="627" t="str">
        <f>INDEX('HCW Summary Data'!$D$9:$D$272,MATCH($B180,'HCW Summary Data'!$B$9:$B$272,0))</f>
        <v>High income</v>
      </c>
      <c r="BQ180" s="630">
        <f t="shared" si="8"/>
        <v>3.5700000000000003</v>
      </c>
    </row>
    <row r="181" spans="2:69" x14ac:dyDescent="0.25">
      <c r="B181" s="138" t="s">
        <v>179</v>
      </c>
      <c r="C181" s="138" t="s">
        <v>108</v>
      </c>
      <c r="D181" s="138" t="s">
        <v>907</v>
      </c>
      <c r="E181" s="138" t="s">
        <v>908</v>
      </c>
      <c r="F181" s="138">
        <v>0.11576379835605601</v>
      </c>
      <c r="P181" s="138">
        <v>0.13529999554157299</v>
      </c>
      <c r="U181" s="138">
        <v>0.13770000636577601</v>
      </c>
      <c r="Z181" s="138">
        <v>0.17560000717639901</v>
      </c>
      <c r="AE181" s="138">
        <v>0.18019999563694</v>
      </c>
      <c r="AG181" s="138">
        <v>0.22699999809265101</v>
      </c>
      <c r="AH181" s="138">
        <v>0.23980000615119901</v>
      </c>
      <c r="AI181" s="138">
        <v>0.24429999291896801</v>
      </c>
      <c r="AJ181" s="138">
        <v>0.24359999600000001</v>
      </c>
      <c r="AK181" s="138">
        <v>0.2372000068</v>
      </c>
      <c r="AL181" s="138">
        <v>0.2425999939</v>
      </c>
      <c r="AM181" s="138">
        <v>0.2387000024</v>
      </c>
      <c r="AN181" s="138">
        <v>0.23229999840000001</v>
      </c>
      <c r="AO181" s="138">
        <v>0.17000000179999999</v>
      </c>
      <c r="AP181" s="138">
        <v>0.15999999640000001</v>
      </c>
      <c r="AQ181" s="138">
        <v>0.17000000179999999</v>
      </c>
      <c r="AS181" s="138">
        <v>0.20000000300000001</v>
      </c>
      <c r="AU181" s="138">
        <v>0.2</v>
      </c>
      <c r="AV181" s="138">
        <v>0.15</v>
      </c>
      <c r="AZ181" s="138">
        <v>5</v>
      </c>
      <c r="BF181" s="138">
        <v>0.3</v>
      </c>
      <c r="BN181" s="160">
        <f t="shared" si="6"/>
        <v>0.3</v>
      </c>
      <c r="BO181" s="628">
        <f t="shared" si="7"/>
        <v>0.3</v>
      </c>
      <c r="BP181" s="627" t="str">
        <f>INDEX('HCW Summary Data'!$D$9:$D$272,MATCH($B181,'HCW Summary Data'!$B$9:$B$272,0))</f>
        <v>High income</v>
      </c>
      <c r="BQ181" s="630">
        <f t="shared" si="8"/>
        <v>3.5700000000000003</v>
      </c>
    </row>
    <row r="182" spans="2:69" x14ac:dyDescent="0.25">
      <c r="B182" s="138" t="s">
        <v>251</v>
      </c>
      <c r="C182" s="138" t="s">
        <v>109</v>
      </c>
      <c r="D182" s="138" t="s">
        <v>907</v>
      </c>
      <c r="E182" s="138" t="s">
        <v>908</v>
      </c>
      <c r="AX182" s="138">
        <v>3.5</v>
      </c>
      <c r="BA182" s="138">
        <v>3.5</v>
      </c>
      <c r="BD182" s="138">
        <v>5</v>
      </c>
      <c r="BN182" s="160">
        <f t="shared" si="6"/>
        <v>5</v>
      </c>
      <c r="BO182" s="628">
        <f t="shared" si="7"/>
        <v>5</v>
      </c>
      <c r="BP182" s="627" t="str">
        <f>INDEX('HCW Summary Data'!$D$9:$D$272,MATCH($B182,'HCW Summary Data'!$B$9:$B$272,0))</f>
        <v>Low income</v>
      </c>
      <c r="BQ182" s="630">
        <f t="shared" si="8"/>
        <v>1.63</v>
      </c>
    </row>
    <row r="183" spans="2:69" x14ac:dyDescent="0.25">
      <c r="B183" s="138" t="s">
        <v>587</v>
      </c>
      <c r="C183" s="138" t="s">
        <v>110</v>
      </c>
      <c r="D183" s="138" t="s">
        <v>907</v>
      </c>
      <c r="E183" s="138" t="s">
        <v>908</v>
      </c>
      <c r="F183" s="138">
        <v>11.699999809265099</v>
      </c>
      <c r="P183" s="138">
        <v>10.800000190734901</v>
      </c>
      <c r="Z183" s="138">
        <v>10.199999809265099</v>
      </c>
      <c r="AE183" s="138">
        <v>9.5</v>
      </c>
      <c r="AJ183" s="138">
        <v>8.5</v>
      </c>
      <c r="AK183" s="138">
        <v>7.4000000954000003</v>
      </c>
      <c r="AL183" s="138">
        <v>7.0999999045999997</v>
      </c>
      <c r="AM183" s="138">
        <v>6.5</v>
      </c>
      <c r="AN183" s="138">
        <v>6.6999998093000004</v>
      </c>
      <c r="AO183" s="138">
        <v>6.1999998093000004</v>
      </c>
      <c r="AP183" s="138">
        <v>6.0999999045999997</v>
      </c>
      <c r="AQ183" s="138">
        <v>6.0999999045999997</v>
      </c>
      <c r="AR183" s="138">
        <v>6.1999998093000004</v>
      </c>
      <c r="AV183" s="138">
        <v>6.2</v>
      </c>
      <c r="BE183" s="138">
        <v>2.2999999999999998</v>
      </c>
      <c r="BG183" s="138">
        <v>2.8</v>
      </c>
      <c r="BN183" s="160">
        <f t="shared" si="6"/>
        <v>2.8</v>
      </c>
      <c r="BO183" s="628">
        <f t="shared" si="7"/>
        <v>2.8</v>
      </c>
      <c r="BP183" s="627" t="str">
        <f>INDEX('HCW Summary Data'!$D$9:$D$272,MATCH($B183,'HCW Summary Data'!$B$9:$B$272,0))</f>
        <v>Lower middle income</v>
      </c>
      <c r="BQ183" s="630">
        <f t="shared" si="8"/>
        <v>2.3800000000000003</v>
      </c>
    </row>
    <row r="184" spans="2:69" x14ac:dyDescent="0.25">
      <c r="B184" s="138" t="s">
        <v>597</v>
      </c>
      <c r="C184" s="138" t="s">
        <v>598</v>
      </c>
      <c r="D184" s="138" t="s">
        <v>907</v>
      </c>
      <c r="E184" s="138" t="s">
        <v>908</v>
      </c>
      <c r="F184" s="138">
        <v>8.7442131624740256</v>
      </c>
      <c r="P184" s="138">
        <v>8.8947905623729824</v>
      </c>
      <c r="Z184" s="138">
        <v>7.7350653770040552</v>
      </c>
      <c r="AE184" s="138">
        <v>7.9872103073314511</v>
      </c>
      <c r="AJ184" s="138">
        <v>5.7166644226402363</v>
      </c>
      <c r="AK184" s="138">
        <v>5.7925378818996123</v>
      </c>
      <c r="AL184" s="138">
        <v>5.5225421826615619</v>
      </c>
      <c r="AM184" s="138">
        <v>6.556902384417417</v>
      </c>
      <c r="AN184" s="138">
        <v>6.546552462756873</v>
      </c>
      <c r="AO184" s="138">
        <v>6.3283313970569033</v>
      </c>
      <c r="AP184" s="138">
        <v>6.1716312547385392</v>
      </c>
      <c r="AQ184" s="138">
        <v>6.0888086891801585</v>
      </c>
      <c r="AR184" s="138">
        <v>5.973935927441711</v>
      </c>
      <c r="AS184" s="138">
        <v>5.8496523886823582</v>
      </c>
      <c r="AT184" s="138">
        <v>5.7310369191667574</v>
      </c>
      <c r="AU184" s="138">
        <v>5.5090008768331984</v>
      </c>
      <c r="AV184" s="138">
        <v>5.5395758908533184</v>
      </c>
      <c r="AW184" s="138">
        <v>5.5501006398735342</v>
      </c>
      <c r="AX184" s="138">
        <v>6.2370053337927533</v>
      </c>
      <c r="AY184" s="138">
        <v>5.6867671613433384</v>
      </c>
      <c r="AZ184" s="138">
        <v>5.344122267617907</v>
      </c>
      <c r="BA184" s="138">
        <v>4.1456206018053452</v>
      </c>
      <c r="BB184" s="138">
        <v>5.442055932780776</v>
      </c>
      <c r="BC184" s="138">
        <v>5.241282276193469</v>
      </c>
      <c r="BD184" s="138">
        <v>3.8763858107879394</v>
      </c>
      <c r="BE184" s="138">
        <v>3.7754126042748632</v>
      </c>
      <c r="BF184" s="138">
        <v>5.0528859579901777</v>
      </c>
      <c r="BG184" s="138">
        <v>3.8142804246295943</v>
      </c>
      <c r="BN184" s="160">
        <f t="shared" si="6"/>
        <v>3.8142804246295943</v>
      </c>
      <c r="BO184" s="628">
        <f t="shared" si="7"/>
        <v>3.8142804246295943</v>
      </c>
      <c r="BP184" s="627" t="str">
        <f>INDEX('HCW Summary Data'!$D$9:$D$272,MATCH($B184,'HCW Summary Data'!$B$9:$B$272,0))</f>
        <v>OUT</v>
      </c>
      <c r="BQ184" s="630">
        <f t="shared" si="8"/>
        <v>2.7250000000000001</v>
      </c>
    </row>
    <row r="185" spans="2:69" x14ac:dyDescent="0.25">
      <c r="B185" s="138" t="s">
        <v>599</v>
      </c>
      <c r="C185" s="138" t="s">
        <v>111</v>
      </c>
      <c r="D185" s="138" t="s">
        <v>907</v>
      </c>
      <c r="E185" s="138" t="s">
        <v>908</v>
      </c>
      <c r="F185" s="138">
        <v>0.33512544631958002</v>
      </c>
      <c r="Z185" s="138">
        <v>1.62030005455017</v>
      </c>
      <c r="AA185" s="138">
        <v>1.60759997367859</v>
      </c>
      <c r="AI185" s="138">
        <v>2.5072000026702899</v>
      </c>
      <c r="AJ185" s="138">
        <v>2.1087999343999999</v>
      </c>
      <c r="AR185" s="138">
        <v>2.2000000477000001</v>
      </c>
      <c r="AT185" s="138">
        <v>2.2000000000000002</v>
      </c>
      <c r="AU185" s="138">
        <v>2.1</v>
      </c>
      <c r="AV185" s="138">
        <v>2</v>
      </c>
      <c r="AW185" s="138">
        <v>2</v>
      </c>
      <c r="AX185" s="138">
        <v>2.2000000000000002</v>
      </c>
      <c r="AY185" s="138">
        <v>2.1</v>
      </c>
      <c r="AZ185" s="138">
        <v>2.1</v>
      </c>
      <c r="BA185" s="138">
        <v>2</v>
      </c>
      <c r="BB185" s="138">
        <v>2</v>
      </c>
      <c r="BC185" s="138">
        <v>1.8</v>
      </c>
      <c r="BD185" s="138">
        <v>1.8</v>
      </c>
      <c r="BE185" s="138">
        <v>1.8</v>
      </c>
      <c r="BF185" s="138">
        <v>1.7</v>
      </c>
      <c r="BG185" s="138">
        <v>1.7</v>
      </c>
      <c r="BH185" s="138">
        <v>1.6</v>
      </c>
      <c r="BN185" s="160">
        <f t="shared" si="6"/>
        <v>1.6</v>
      </c>
      <c r="BO185" s="628">
        <f t="shared" si="7"/>
        <v>1.6</v>
      </c>
      <c r="BP185" s="627" t="str">
        <f>INDEX('HCW Summary Data'!$D$9:$D$272,MATCH($B185,'HCW Summary Data'!$B$9:$B$272,0))</f>
        <v>Lower middle income</v>
      </c>
      <c r="BQ185" s="630">
        <f t="shared" si="8"/>
        <v>2.3800000000000003</v>
      </c>
    </row>
    <row r="186" spans="2:69" x14ac:dyDescent="0.25">
      <c r="B186" s="138" t="s">
        <v>600</v>
      </c>
      <c r="C186" s="138" t="s">
        <v>601</v>
      </c>
      <c r="D186" s="138" t="s">
        <v>907</v>
      </c>
      <c r="E186" s="138" t="s">
        <v>908</v>
      </c>
      <c r="BN186" s="160" t="str">
        <f t="shared" si="6"/>
        <v>No reported value</v>
      </c>
      <c r="BO186" s="628">
        <f t="shared" si="7"/>
        <v>2.6</v>
      </c>
      <c r="BP186" s="627" t="str">
        <f>INDEX('HCW Summary Data'!$D$9:$D$272,MATCH($B186,'HCW Summary Data'!$B$9:$B$272,0))</f>
        <v>OUT</v>
      </c>
      <c r="BQ186" s="630">
        <f t="shared" si="8"/>
        <v>2.7250000000000001</v>
      </c>
    </row>
    <row r="187" spans="2:69" x14ac:dyDescent="0.25">
      <c r="B187" s="138" t="s">
        <v>176</v>
      </c>
      <c r="C187" s="138" t="s">
        <v>112</v>
      </c>
      <c r="D187" s="138" t="s">
        <v>907</v>
      </c>
      <c r="E187" s="138" t="s">
        <v>908</v>
      </c>
      <c r="F187" s="138">
        <v>0.55726158618927002</v>
      </c>
      <c r="P187" s="138">
        <v>0.52079999446868896</v>
      </c>
      <c r="U187" s="138">
        <v>0.52630001306533802</v>
      </c>
      <c r="Z187" s="138">
        <v>0.57309997081756603</v>
      </c>
      <c r="AA187" s="138">
        <v>0.5692999958992</v>
      </c>
      <c r="AF187" s="138">
        <v>0.59950000047683705</v>
      </c>
      <c r="AI187" s="138">
        <v>0.60430002212524403</v>
      </c>
      <c r="AJ187" s="138">
        <v>0.63999998570000005</v>
      </c>
      <c r="AK187" s="138">
        <v>0.65219998359999998</v>
      </c>
      <c r="AL187" s="138">
        <v>0.64469999069999995</v>
      </c>
      <c r="AM187" s="138">
        <v>0.65149998659999997</v>
      </c>
      <c r="AT187" s="138">
        <v>0.7</v>
      </c>
      <c r="AU187" s="138">
        <v>0.7</v>
      </c>
      <c r="AV187" s="138">
        <v>0.7</v>
      </c>
      <c r="AW187" s="138">
        <v>0.7</v>
      </c>
      <c r="AX187" s="138">
        <v>0.7</v>
      </c>
      <c r="AY187" s="138">
        <v>0.7</v>
      </c>
      <c r="AZ187" s="138">
        <v>1.3</v>
      </c>
      <c r="BA187" s="138">
        <v>1</v>
      </c>
      <c r="BB187" s="138">
        <v>0.6</v>
      </c>
      <c r="BC187" s="138">
        <v>0.6</v>
      </c>
      <c r="BD187" s="138">
        <v>0.6</v>
      </c>
      <c r="BE187" s="138">
        <v>0.6</v>
      </c>
      <c r="BF187" s="138">
        <v>0.6</v>
      </c>
      <c r="BG187" s="138">
        <v>0.6</v>
      </c>
      <c r="BH187" s="138">
        <v>0.6</v>
      </c>
      <c r="BN187" s="160">
        <f t="shared" si="6"/>
        <v>0.6</v>
      </c>
      <c r="BO187" s="628">
        <f t="shared" si="7"/>
        <v>0.6</v>
      </c>
      <c r="BP187" s="627" t="str">
        <f>INDEX('HCW Summary Data'!$D$9:$D$272,MATCH($B187,'HCW Summary Data'!$B$9:$B$272,0))</f>
        <v>High income</v>
      </c>
      <c r="BQ187" s="630">
        <f t="shared" si="8"/>
        <v>3.5700000000000003</v>
      </c>
    </row>
    <row r="188" spans="2:69" x14ac:dyDescent="0.25">
      <c r="B188" s="138" t="s">
        <v>606</v>
      </c>
      <c r="C188" s="138" t="s">
        <v>113</v>
      </c>
      <c r="D188" s="138" t="s">
        <v>907</v>
      </c>
      <c r="E188" s="138" t="s">
        <v>908</v>
      </c>
      <c r="F188" s="138">
        <v>3.7753107547760001</v>
      </c>
      <c r="P188" s="138">
        <v>2.97410011291504</v>
      </c>
      <c r="U188" s="138">
        <v>3.3817000389099099</v>
      </c>
      <c r="AE188" s="138">
        <v>3.35330009460449</v>
      </c>
      <c r="AJ188" s="138">
        <v>2.5</v>
      </c>
      <c r="AM188" s="138">
        <v>2.7000000477000001</v>
      </c>
      <c r="AP188" s="138">
        <v>2.2100000381</v>
      </c>
      <c r="AV188" s="138">
        <v>2.5</v>
      </c>
      <c r="AX188" s="138">
        <v>2.4</v>
      </c>
      <c r="AY188" s="138">
        <v>2.2000000000000002</v>
      </c>
      <c r="AZ188" s="138">
        <v>2.2999999999999998</v>
      </c>
      <c r="BA188" s="138">
        <v>2.2999999999999998</v>
      </c>
      <c r="BB188" s="138">
        <v>2.2999999999999998</v>
      </c>
      <c r="BC188" s="138">
        <v>2.2999999999999998</v>
      </c>
      <c r="BD188" s="138">
        <v>2.4</v>
      </c>
      <c r="BE188" s="138">
        <v>2.2000000000000002</v>
      </c>
      <c r="BF188" s="138">
        <v>2.2999999999999998</v>
      </c>
      <c r="BG188" s="138">
        <v>2.2999999999999998</v>
      </c>
      <c r="BN188" s="160">
        <f t="shared" si="6"/>
        <v>2.2999999999999998</v>
      </c>
      <c r="BO188" s="628">
        <f t="shared" si="7"/>
        <v>2.2999999999999998</v>
      </c>
      <c r="BP188" s="627" t="str">
        <f>INDEX('HCW Summary Data'!$D$9:$D$272,MATCH($B188,'HCW Summary Data'!$B$9:$B$272,0))</f>
        <v>Lower middle income</v>
      </c>
      <c r="BQ188" s="630">
        <f t="shared" si="8"/>
        <v>2.3800000000000003</v>
      </c>
    </row>
    <row r="189" spans="2:69" x14ac:dyDescent="0.25">
      <c r="B189" s="138" t="s">
        <v>607</v>
      </c>
      <c r="C189" s="138" t="s">
        <v>114</v>
      </c>
      <c r="D189" s="138" t="s">
        <v>907</v>
      </c>
      <c r="E189" s="138" t="s">
        <v>908</v>
      </c>
      <c r="F189" s="138">
        <v>2.41143894195557</v>
      </c>
      <c r="P189" s="138">
        <v>2.1728000640869101</v>
      </c>
      <c r="U189" s="138">
        <v>2.5</v>
      </c>
      <c r="AE189" s="138">
        <v>1.6844999790191699</v>
      </c>
      <c r="AJ189" s="138">
        <v>1.4132000208</v>
      </c>
      <c r="AL189" s="138">
        <v>1.5</v>
      </c>
      <c r="AM189" s="138">
        <v>1.2999999523000001</v>
      </c>
      <c r="AN189" s="138">
        <v>1.3571000098999999</v>
      </c>
      <c r="AP189" s="138">
        <v>1.4700000285999999</v>
      </c>
      <c r="AW189" s="138">
        <v>1.3999999761999999</v>
      </c>
      <c r="AX189" s="138">
        <v>0.9</v>
      </c>
      <c r="BA189" s="138">
        <v>1.2</v>
      </c>
      <c r="BB189" s="138">
        <v>1.5</v>
      </c>
      <c r="BC189" s="138">
        <v>1.6</v>
      </c>
      <c r="BD189" s="138">
        <v>1.5</v>
      </c>
      <c r="BE189" s="138">
        <v>1.5</v>
      </c>
      <c r="BF189" s="138">
        <v>1.5</v>
      </c>
      <c r="BG189" s="138">
        <v>1.5</v>
      </c>
      <c r="BH189" s="138">
        <v>1.6</v>
      </c>
      <c r="BN189" s="160">
        <f t="shared" si="6"/>
        <v>1.6</v>
      </c>
      <c r="BO189" s="628">
        <f t="shared" si="7"/>
        <v>1.6</v>
      </c>
      <c r="BP189" s="627" t="str">
        <f>INDEX('HCW Summary Data'!$D$9:$D$272,MATCH($B189,'HCW Summary Data'!$B$9:$B$272,0))</f>
        <v>Lower middle income</v>
      </c>
      <c r="BQ189" s="630">
        <f t="shared" si="8"/>
        <v>2.3800000000000003</v>
      </c>
    </row>
    <row r="190" spans="2:69" x14ac:dyDescent="0.25">
      <c r="B190" s="138" t="s">
        <v>253</v>
      </c>
      <c r="C190" s="138" t="s">
        <v>115</v>
      </c>
      <c r="D190" s="138" t="s">
        <v>907</v>
      </c>
      <c r="E190" s="138" t="s">
        <v>908</v>
      </c>
      <c r="F190" s="138">
        <v>0.83895766735076904</v>
      </c>
      <c r="P190" s="138">
        <v>1.1898000240325901</v>
      </c>
      <c r="U190" s="138">
        <v>1.70949995517731</v>
      </c>
      <c r="V190" s="138">
        <v>1.70940005779266</v>
      </c>
      <c r="Z190" s="138">
        <v>1.708899974823</v>
      </c>
      <c r="AB190" s="138">
        <v>1.71350002288818</v>
      </c>
      <c r="AC190" s="138">
        <v>1.7146999835968</v>
      </c>
      <c r="AD190" s="138">
        <v>1.71529996395111</v>
      </c>
      <c r="AE190" s="138">
        <v>1.7556999921798699</v>
      </c>
      <c r="AF190" s="138">
        <v>1.71420001983643</v>
      </c>
      <c r="AJ190" s="138">
        <v>1.3918999433999999</v>
      </c>
      <c r="AK190" s="138">
        <v>1.2745000124000001</v>
      </c>
      <c r="AL190" s="138">
        <v>1.3701000214000001</v>
      </c>
      <c r="AM190" s="138">
        <v>1.0710999966000001</v>
      </c>
      <c r="AU190" s="138">
        <v>1</v>
      </c>
      <c r="AV190" s="138">
        <v>0.5</v>
      </c>
      <c r="AZ190" s="138">
        <v>0.5</v>
      </c>
      <c r="BA190" s="138">
        <v>0.5</v>
      </c>
      <c r="BB190" s="138">
        <v>0.5</v>
      </c>
      <c r="BC190" s="138">
        <v>0.5</v>
      </c>
      <c r="BD190" s="138">
        <v>0.5</v>
      </c>
      <c r="BE190" s="138">
        <v>1</v>
      </c>
      <c r="BN190" s="160">
        <f t="shared" si="6"/>
        <v>1</v>
      </c>
      <c r="BO190" s="628">
        <f t="shared" si="7"/>
        <v>1</v>
      </c>
      <c r="BP190" s="627" t="str">
        <f>INDEX('HCW Summary Data'!$D$9:$D$272,MATCH($B190,'HCW Summary Data'!$B$9:$B$272,0))</f>
        <v>High income</v>
      </c>
      <c r="BQ190" s="630">
        <f t="shared" si="8"/>
        <v>3.5700000000000003</v>
      </c>
    </row>
    <row r="191" spans="2:69" x14ac:dyDescent="0.25">
      <c r="B191" s="138" t="s">
        <v>604</v>
      </c>
      <c r="C191" s="138" t="s">
        <v>605</v>
      </c>
      <c r="D191" s="138" t="s">
        <v>907</v>
      </c>
      <c r="E191" s="138" t="s">
        <v>908</v>
      </c>
      <c r="AR191" s="138">
        <v>4.4000000000000004</v>
      </c>
      <c r="AZ191" s="138">
        <v>5.9</v>
      </c>
      <c r="BA191" s="138">
        <v>5</v>
      </c>
      <c r="BC191" s="138">
        <v>4.9000000000000004</v>
      </c>
      <c r="BD191" s="138">
        <v>4.8</v>
      </c>
      <c r="BN191" s="160">
        <f t="shared" si="6"/>
        <v>4.8</v>
      </c>
      <c r="BO191" s="628">
        <f t="shared" si="7"/>
        <v>4.8</v>
      </c>
      <c r="BP191" s="627" t="str">
        <f>INDEX('HCW Summary Data'!$D$9:$D$272,MATCH($B191,'HCW Summary Data'!$B$9:$B$272,0))</f>
        <v>High income</v>
      </c>
      <c r="BQ191" s="630">
        <f t="shared" si="8"/>
        <v>3.5700000000000003</v>
      </c>
    </row>
    <row r="192" spans="2:69" x14ac:dyDescent="0.25">
      <c r="B192" s="138" t="s">
        <v>252</v>
      </c>
      <c r="C192" s="138" t="s">
        <v>116</v>
      </c>
      <c r="D192" s="138" t="s">
        <v>907</v>
      </c>
      <c r="E192" s="138" t="s">
        <v>908</v>
      </c>
      <c r="P192" s="138">
        <v>6.6023998260498002</v>
      </c>
      <c r="U192" s="138">
        <v>4.9432001113891602</v>
      </c>
      <c r="Z192" s="138">
        <v>5.5444002151489302</v>
      </c>
      <c r="AD192" s="138">
        <v>4.9983000755310103</v>
      </c>
      <c r="AE192" s="138">
        <v>4.7354001998901403</v>
      </c>
      <c r="AI192" s="138">
        <v>3.3299000263214098</v>
      </c>
      <c r="AJ192" s="138">
        <v>4.0241999626</v>
      </c>
      <c r="BN192" s="160">
        <f t="shared" si="6"/>
        <v>4.0241999626</v>
      </c>
      <c r="BO192" s="628">
        <f t="shared" si="7"/>
        <v>4.0241999626</v>
      </c>
      <c r="BP192" s="627" t="str">
        <f>INDEX('HCW Summary Data'!$D$9:$D$272,MATCH($B192,'HCW Summary Data'!$B$9:$B$272,0))</f>
        <v>Upper middle income</v>
      </c>
      <c r="BQ192" s="630">
        <f t="shared" si="8"/>
        <v>3.32</v>
      </c>
    </row>
    <row r="193" spans="2:69" x14ac:dyDescent="0.25">
      <c r="B193" s="138" t="s">
        <v>608</v>
      </c>
      <c r="C193" s="138" t="s">
        <v>117</v>
      </c>
      <c r="D193" s="138" t="s">
        <v>907</v>
      </c>
      <c r="E193" s="138" t="s">
        <v>908</v>
      </c>
      <c r="F193" s="138">
        <v>4.5999999046325701</v>
      </c>
      <c r="P193" s="138">
        <v>5.1999998092651403</v>
      </c>
      <c r="Z193" s="138">
        <v>5.5999999046325701</v>
      </c>
      <c r="AE193" s="138">
        <v>5.6999998092651403</v>
      </c>
      <c r="AJ193" s="138">
        <v>5.6999998093000004</v>
      </c>
      <c r="AK193" s="138">
        <v>5.6999998093000004</v>
      </c>
      <c r="AL193" s="138">
        <v>5.5999999045999997</v>
      </c>
      <c r="AM193" s="138">
        <v>5.5999999045999997</v>
      </c>
      <c r="AN193" s="138">
        <v>5.5999999045999997</v>
      </c>
      <c r="AO193" s="138">
        <v>5.5</v>
      </c>
      <c r="AP193" s="138">
        <v>5.5</v>
      </c>
      <c r="AQ193" s="138">
        <v>5.4000000954000003</v>
      </c>
      <c r="AR193" s="138">
        <v>5.3000001906999996</v>
      </c>
      <c r="AS193" s="138">
        <v>5.0999999045999997</v>
      </c>
      <c r="AT193" s="138">
        <v>4.9000000954000003</v>
      </c>
      <c r="AV193" s="138">
        <v>5.5999999045999997</v>
      </c>
      <c r="AW193" s="138">
        <v>6.7</v>
      </c>
      <c r="AX193" s="138">
        <v>6.7</v>
      </c>
      <c r="AY193" s="138">
        <v>6.5</v>
      </c>
      <c r="AZ193" s="138">
        <v>6.5</v>
      </c>
      <c r="BA193" s="138">
        <v>6.4</v>
      </c>
      <c r="BB193" s="138">
        <v>6.6</v>
      </c>
      <c r="BC193" s="138">
        <v>6.7</v>
      </c>
      <c r="BD193" s="138">
        <v>6.5</v>
      </c>
      <c r="BE193" s="138">
        <v>6.5</v>
      </c>
      <c r="BF193" s="138">
        <v>6.5</v>
      </c>
      <c r="BG193" s="138">
        <v>6.5</v>
      </c>
      <c r="BN193" s="160">
        <f t="shared" si="6"/>
        <v>6.5</v>
      </c>
      <c r="BO193" s="628">
        <f t="shared" si="7"/>
        <v>6.5</v>
      </c>
      <c r="BP193" s="627" t="str">
        <f>INDEX('HCW Summary Data'!$D$9:$D$272,MATCH($B193,'HCW Summary Data'!$B$9:$B$272,0))</f>
        <v>High income</v>
      </c>
      <c r="BQ193" s="630">
        <f t="shared" si="8"/>
        <v>3.5700000000000003</v>
      </c>
    </row>
    <row r="194" spans="2:69" x14ac:dyDescent="0.25">
      <c r="B194" s="138" t="s">
        <v>612</v>
      </c>
      <c r="C194" s="138" t="s">
        <v>613</v>
      </c>
      <c r="D194" s="138" t="s">
        <v>907</v>
      </c>
      <c r="E194" s="138" t="s">
        <v>908</v>
      </c>
      <c r="F194" s="138">
        <v>1.4218630561806538</v>
      </c>
      <c r="P194" s="138">
        <v>1.3686279940777142</v>
      </c>
      <c r="AJ194" s="138">
        <v>1.3293418500641954</v>
      </c>
      <c r="BN194" s="160">
        <f t="shared" si="6"/>
        <v>1.3293418500641954</v>
      </c>
      <c r="BO194" s="628">
        <f t="shared" si="7"/>
        <v>1.3293418500641954</v>
      </c>
      <c r="BP194" s="627" t="str">
        <f>INDEX('HCW Summary Data'!$D$9:$D$272,MATCH($B194,'HCW Summary Data'!$B$9:$B$272,0))</f>
        <v>OUT</v>
      </c>
      <c r="BQ194" s="630">
        <f t="shared" si="8"/>
        <v>2.7250000000000001</v>
      </c>
    </row>
    <row r="195" spans="2:69" x14ac:dyDescent="0.25">
      <c r="B195" s="138" t="s">
        <v>614</v>
      </c>
      <c r="C195" s="138" t="s">
        <v>615</v>
      </c>
      <c r="D195" s="138" t="s">
        <v>907</v>
      </c>
      <c r="E195" s="138" t="s">
        <v>908</v>
      </c>
      <c r="AP195" s="138">
        <v>3.3199999332000001</v>
      </c>
      <c r="BN195" s="160">
        <f t="shared" si="6"/>
        <v>3.3199999332000001</v>
      </c>
      <c r="BO195" s="628">
        <f t="shared" si="7"/>
        <v>3.3199999332000001</v>
      </c>
      <c r="BP195" s="627" t="str">
        <f>INDEX('HCW Summary Data'!$D$9:$D$272,MATCH($B195,'HCW Summary Data'!$B$9:$B$272,0))</f>
        <v>High income</v>
      </c>
      <c r="BQ195" s="630">
        <f t="shared" si="8"/>
        <v>3.5700000000000003</v>
      </c>
    </row>
    <row r="196" spans="2:69" x14ac:dyDescent="0.25">
      <c r="B196" s="138" t="s">
        <v>535</v>
      </c>
      <c r="C196" s="138" t="s">
        <v>158</v>
      </c>
      <c r="D196" s="138" t="s">
        <v>907</v>
      </c>
      <c r="E196" s="138" t="s">
        <v>908</v>
      </c>
      <c r="AV196" s="138">
        <v>13.2</v>
      </c>
      <c r="BD196" s="138">
        <v>14.3</v>
      </c>
      <c r="BF196" s="138">
        <v>13.2</v>
      </c>
      <c r="BN196" s="160">
        <f t="shared" si="6"/>
        <v>13.2</v>
      </c>
      <c r="BO196" s="628">
        <f t="shared" si="7"/>
        <v>13.2</v>
      </c>
      <c r="BP196" s="627" t="str">
        <f>INDEX('HCW Summary Data'!$D$9:$D$272,MATCH($B196,'HCW Summary Data'!$B$9:$B$272,0))</f>
        <v>High income</v>
      </c>
      <c r="BQ196" s="630">
        <f t="shared" si="8"/>
        <v>3.5700000000000003</v>
      </c>
    </row>
    <row r="197" spans="2:69" x14ac:dyDescent="0.25">
      <c r="B197" s="138" t="s">
        <v>609</v>
      </c>
      <c r="C197" s="138" t="s">
        <v>118</v>
      </c>
      <c r="D197" s="138" t="s">
        <v>907</v>
      </c>
      <c r="E197" s="138" t="s">
        <v>908</v>
      </c>
      <c r="AE197" s="138">
        <v>4</v>
      </c>
      <c r="AF197" s="138">
        <v>4</v>
      </c>
      <c r="AG197" s="138">
        <v>4</v>
      </c>
      <c r="AH197" s="138">
        <v>4</v>
      </c>
      <c r="AI197" s="138">
        <v>4.0999999046325701</v>
      </c>
      <c r="AJ197" s="138">
        <v>4.0999999045999997</v>
      </c>
      <c r="AK197" s="138">
        <v>4.0999999045999997</v>
      </c>
      <c r="AL197" s="138">
        <v>4</v>
      </c>
      <c r="AM197" s="138">
        <v>3.9000000953999998</v>
      </c>
      <c r="AN197" s="138">
        <v>3.9000000953999998</v>
      </c>
      <c r="AO197" s="138">
        <v>3.9000000953999998</v>
      </c>
      <c r="AP197" s="138">
        <v>4</v>
      </c>
      <c r="AQ197" s="138">
        <v>3.9000000953999998</v>
      </c>
      <c r="AR197" s="138">
        <v>3.9000000953999998</v>
      </c>
      <c r="AS197" s="138">
        <v>3.7999999522999999</v>
      </c>
      <c r="AT197" s="138">
        <v>3.7</v>
      </c>
      <c r="AU197" s="138">
        <v>3.6</v>
      </c>
      <c r="AV197" s="138">
        <v>3.6</v>
      </c>
      <c r="AW197" s="138">
        <v>3.6</v>
      </c>
      <c r="AX197" s="138">
        <v>3.6</v>
      </c>
      <c r="AY197" s="138">
        <v>3.6</v>
      </c>
      <c r="AZ197" s="138">
        <v>3.5</v>
      </c>
      <c r="BA197" s="138">
        <v>3.4</v>
      </c>
      <c r="BB197" s="138">
        <v>3.4</v>
      </c>
      <c r="BC197" s="138">
        <v>3.3</v>
      </c>
      <c r="BD197" s="138">
        <v>3.4</v>
      </c>
      <c r="BE197" s="138">
        <v>3.4</v>
      </c>
      <c r="BF197" s="138">
        <v>3.4</v>
      </c>
      <c r="BG197" s="138">
        <v>3.4</v>
      </c>
      <c r="BN197" s="160">
        <f t="shared" si="6"/>
        <v>3.4</v>
      </c>
      <c r="BO197" s="628">
        <f t="shared" si="7"/>
        <v>3.4</v>
      </c>
      <c r="BP197" s="627" t="str">
        <f>INDEX('HCW Summary Data'!$D$9:$D$272,MATCH($B197,'HCW Summary Data'!$B$9:$B$272,0))</f>
        <v>High income</v>
      </c>
      <c r="BQ197" s="630">
        <f t="shared" si="8"/>
        <v>3.5700000000000003</v>
      </c>
    </row>
    <row r="198" spans="2:69" x14ac:dyDescent="0.25">
      <c r="B198" s="138" t="s">
        <v>228</v>
      </c>
      <c r="C198" s="138" t="s">
        <v>119</v>
      </c>
      <c r="D198" s="138" t="s">
        <v>907</v>
      </c>
      <c r="E198" s="138" t="s">
        <v>908</v>
      </c>
      <c r="F198" s="138">
        <v>2.3892507553100599</v>
      </c>
      <c r="P198" s="138">
        <v>1.62940001487732</v>
      </c>
      <c r="U198" s="138">
        <v>1.68299996852875</v>
      </c>
      <c r="AI198" s="138">
        <v>1.3200999498367301</v>
      </c>
      <c r="AJ198" s="138">
        <v>0.93220001460000002</v>
      </c>
      <c r="AM198" s="138">
        <v>1.2999999523000001</v>
      </c>
      <c r="AN198" s="138">
        <v>0.60089999439999997</v>
      </c>
      <c r="AP198" s="138">
        <v>1.3400000334</v>
      </c>
      <c r="AV198" s="138">
        <v>1.2000000476999999</v>
      </c>
      <c r="AY198" s="138">
        <v>1.2</v>
      </c>
      <c r="AZ198" s="138">
        <v>1.3</v>
      </c>
      <c r="BA198" s="138">
        <v>1.3</v>
      </c>
      <c r="BB198" s="138">
        <v>1.3</v>
      </c>
      <c r="BC198" s="138">
        <v>1.3</v>
      </c>
      <c r="BD198" s="138">
        <v>1.3</v>
      </c>
      <c r="BE198" s="138">
        <v>1.3</v>
      </c>
      <c r="BN198" s="160">
        <f t="shared" ref="BN198:BN261" si="9">IFERROR(LOOKUP(2,1/(ISNUMBER(F198:BM198)),F198:BM198),"No reported value")</f>
        <v>1.3</v>
      </c>
      <c r="BO198" s="628">
        <f t="shared" ref="BO198:BO261" si="10">IF(BN198="No reported value",INDEX($BV$5:$BV$9,MATCH($BP198,$BT$5:$BT$9,0)),$BN198)</f>
        <v>1.3</v>
      </c>
      <c r="BP198" s="627" t="str">
        <f>INDEX('HCW Summary Data'!$D$9:$D$272,MATCH($B198,'HCW Summary Data'!$B$9:$B$272,0))</f>
        <v>Upper middle income</v>
      </c>
      <c r="BQ198" s="630">
        <f t="shared" ref="BQ198:BQ261" si="11">INDEX($BV$12:$BV$16,MATCH($BP198,$BT$12:$BT$16,0))*100</f>
        <v>3.32</v>
      </c>
    </row>
    <row r="199" spans="2:69" x14ac:dyDescent="0.25">
      <c r="B199" s="138" t="s">
        <v>674</v>
      </c>
      <c r="C199" s="138" t="s">
        <v>675</v>
      </c>
      <c r="D199" s="138" t="s">
        <v>907</v>
      </c>
      <c r="E199" s="138" t="s">
        <v>908</v>
      </c>
      <c r="AP199" s="138">
        <v>1.2000000476999999</v>
      </c>
      <c r="BN199" s="160">
        <f t="shared" si="9"/>
        <v>1.2000000476999999</v>
      </c>
      <c r="BO199" s="628">
        <f t="shared" si="10"/>
        <v>1.2000000476999999</v>
      </c>
      <c r="BP199" s="627" t="str">
        <f>INDEX('HCW Summary Data'!$D$9:$D$272,MATCH($B199,'HCW Summary Data'!$B$9:$B$272,0))</f>
        <v>Low income</v>
      </c>
      <c r="BQ199" s="630">
        <f t="shared" si="11"/>
        <v>1.63</v>
      </c>
    </row>
    <row r="200" spans="2:69" x14ac:dyDescent="0.25">
      <c r="B200" s="138" t="s">
        <v>602</v>
      </c>
      <c r="C200" s="138" t="s">
        <v>603</v>
      </c>
      <c r="D200" s="138" t="s">
        <v>907</v>
      </c>
      <c r="E200" s="138" t="s">
        <v>908</v>
      </c>
      <c r="F200" s="138">
        <v>4.7797932398333085</v>
      </c>
      <c r="P200" s="138">
        <v>4.890331918167977</v>
      </c>
      <c r="Z200" s="138">
        <v>3.611924907578099</v>
      </c>
      <c r="AA200" s="138">
        <v>3.7040302338724169</v>
      </c>
      <c r="AY200" s="138">
        <v>2.0768964148197031</v>
      </c>
      <c r="BN200" s="160">
        <f t="shared" si="9"/>
        <v>2.0768964148197031</v>
      </c>
      <c r="BO200" s="628">
        <f t="shared" si="10"/>
        <v>2.0768964148197031</v>
      </c>
      <c r="BP200" s="627" t="str">
        <f>INDEX('HCW Summary Data'!$D$9:$D$272,MATCH($B200,'HCW Summary Data'!$B$9:$B$272,0))</f>
        <v>OUT</v>
      </c>
      <c r="BQ200" s="630">
        <f t="shared" si="11"/>
        <v>2.7250000000000001</v>
      </c>
    </row>
    <row r="201" spans="2:69" x14ac:dyDescent="0.25">
      <c r="B201" s="138" t="s">
        <v>610</v>
      </c>
      <c r="C201" s="138" t="s">
        <v>611</v>
      </c>
      <c r="D201" s="138" t="s">
        <v>907</v>
      </c>
      <c r="E201" s="138" t="s">
        <v>908</v>
      </c>
      <c r="F201" s="138">
        <v>9.2881536749337315</v>
      </c>
      <c r="P201" s="138">
        <v>9.4426106753800099</v>
      </c>
      <c r="Z201" s="138">
        <v>8.9710763408387759</v>
      </c>
      <c r="AE201" s="138">
        <v>8.6832564919322976</v>
      </c>
      <c r="AJ201" s="138">
        <v>7.0242665533663402</v>
      </c>
      <c r="AK201" s="138">
        <v>7.038877446229634</v>
      </c>
      <c r="AL201" s="138">
        <v>6.7390256279187799</v>
      </c>
      <c r="AM201" s="138">
        <v>7.7598542139568574</v>
      </c>
      <c r="AN201" s="138">
        <v>7.7403587756027648</v>
      </c>
      <c r="AO201" s="138">
        <v>7.488761948894135</v>
      </c>
      <c r="AP201" s="138">
        <v>7.2809781630920885</v>
      </c>
      <c r="AQ201" s="138">
        <v>7.0877307285659557</v>
      </c>
      <c r="AR201" s="138">
        <v>6.9219314271844601</v>
      </c>
      <c r="AS201" s="138">
        <v>6.7796001445275298</v>
      </c>
      <c r="AT201" s="138">
        <v>6.6732382066615434</v>
      </c>
      <c r="AU201" s="138">
        <v>6.3781369463294162</v>
      </c>
      <c r="AV201" s="138">
        <v>6.4561252972971124</v>
      </c>
      <c r="AW201" s="138">
        <v>6.3804992055192953</v>
      </c>
      <c r="AY201" s="138">
        <v>6.1202797509170681</v>
      </c>
      <c r="AZ201" s="138">
        <v>6.1301405066291785</v>
      </c>
      <c r="BA201" s="138">
        <v>4.8489463153640529</v>
      </c>
      <c r="BB201" s="138">
        <v>6.2289568972374916</v>
      </c>
      <c r="BC201" s="138">
        <v>6.0726693236500484</v>
      </c>
      <c r="BD201" s="138">
        <v>4.6226181830338398</v>
      </c>
      <c r="BE201" s="138">
        <v>4.4778179235562199</v>
      </c>
      <c r="BF201" s="138">
        <v>5.8895054719637381</v>
      </c>
      <c r="BG201" s="138">
        <v>4.6072129088428415</v>
      </c>
      <c r="BN201" s="160">
        <f t="shared" si="9"/>
        <v>4.6072129088428415</v>
      </c>
      <c r="BO201" s="628">
        <f t="shared" si="10"/>
        <v>4.6072129088428415</v>
      </c>
      <c r="BP201" s="627" t="str">
        <f>INDEX('HCW Summary Data'!$D$9:$D$272,MATCH($B201,'HCW Summary Data'!$B$9:$B$272,0))</f>
        <v>OUT</v>
      </c>
      <c r="BQ201" s="630">
        <f t="shared" si="11"/>
        <v>2.7250000000000001</v>
      </c>
    </row>
    <row r="202" spans="2:69" x14ac:dyDescent="0.25">
      <c r="B202" s="138" t="s">
        <v>503</v>
      </c>
      <c r="C202" s="138" t="s">
        <v>504</v>
      </c>
      <c r="D202" s="138" t="s">
        <v>907</v>
      </c>
      <c r="E202" s="138" t="s">
        <v>908</v>
      </c>
      <c r="BN202" s="160" t="str">
        <f t="shared" si="9"/>
        <v>No reported value</v>
      </c>
      <c r="BO202" s="628">
        <f t="shared" si="10"/>
        <v>3.41</v>
      </c>
      <c r="BP202" s="627" t="str">
        <f>INDEX('HCW Summary Data'!$D$9:$D$272,MATCH($B202,'HCW Summary Data'!$B$9:$B$272,0))</f>
        <v>Upper middle income</v>
      </c>
      <c r="BQ202" s="630">
        <f t="shared" si="11"/>
        <v>3.32</v>
      </c>
    </row>
    <row r="203" spans="2:69" x14ac:dyDescent="0.25">
      <c r="B203" s="138" t="s">
        <v>616</v>
      </c>
      <c r="C203" s="138" t="s">
        <v>120</v>
      </c>
      <c r="D203" s="138" t="s">
        <v>907</v>
      </c>
      <c r="E203" s="138" t="s">
        <v>908</v>
      </c>
      <c r="P203" s="138">
        <v>5.5314998626709002</v>
      </c>
      <c r="AA203" s="138">
        <v>2.9395999908447301</v>
      </c>
      <c r="AI203" s="138">
        <v>2.3002998828887899</v>
      </c>
      <c r="AQ203" s="138">
        <v>1.6499999761999999</v>
      </c>
      <c r="AT203" s="138">
        <v>2.4</v>
      </c>
      <c r="AU203" s="138">
        <v>2.4</v>
      </c>
      <c r="AV203" s="138">
        <v>2.4</v>
      </c>
      <c r="AW203" s="138">
        <v>2.4</v>
      </c>
      <c r="AX203" s="138">
        <v>2.4</v>
      </c>
      <c r="AY203" s="138">
        <v>2.4</v>
      </c>
      <c r="AZ203" s="138">
        <v>2.5</v>
      </c>
      <c r="BA203" s="138">
        <v>2.5</v>
      </c>
      <c r="BB203" s="138">
        <v>1.4</v>
      </c>
      <c r="BC203" s="138">
        <v>1.4</v>
      </c>
      <c r="BD203" s="138">
        <v>1.2</v>
      </c>
      <c r="BE203" s="138">
        <v>1.2</v>
      </c>
      <c r="BF203" s="138">
        <v>1.2</v>
      </c>
      <c r="BG203" s="138">
        <v>1.4</v>
      </c>
      <c r="BH203" s="138">
        <v>1.2</v>
      </c>
      <c r="BN203" s="160">
        <f t="shared" si="9"/>
        <v>1.2</v>
      </c>
      <c r="BO203" s="628">
        <f t="shared" si="10"/>
        <v>1.2</v>
      </c>
      <c r="BP203" s="627" t="str">
        <f>INDEX('HCW Summary Data'!$D$9:$D$272,MATCH($B203,'HCW Summary Data'!$B$9:$B$272,0))</f>
        <v>Upper middle income</v>
      </c>
      <c r="BQ203" s="630">
        <f t="shared" si="11"/>
        <v>3.32</v>
      </c>
    </row>
    <row r="204" spans="2:69" x14ac:dyDescent="0.25">
      <c r="B204" s="138" t="s">
        <v>617</v>
      </c>
      <c r="C204" s="138" t="s">
        <v>121</v>
      </c>
      <c r="D204" s="138" t="s">
        <v>907</v>
      </c>
      <c r="E204" s="138" t="s">
        <v>908</v>
      </c>
      <c r="F204" s="138">
        <v>7.2732706069946298</v>
      </c>
      <c r="Z204" s="138">
        <v>8.7762002944946307</v>
      </c>
      <c r="AA204" s="138">
        <v>8.7750997543334996</v>
      </c>
      <c r="AB204" s="138">
        <v>8.8107004165649396</v>
      </c>
      <c r="AD204" s="138">
        <v>8.8957996368408203</v>
      </c>
      <c r="AE204" s="138">
        <v>8.9404001235961896</v>
      </c>
      <c r="AF204" s="138">
        <v>8.9465999603271502</v>
      </c>
      <c r="AG204" s="138">
        <v>8.9502000808715803</v>
      </c>
      <c r="AH204" s="138">
        <v>8.94219970703125</v>
      </c>
      <c r="AI204" s="138">
        <v>8.9371004104614293</v>
      </c>
      <c r="AJ204" s="138">
        <v>8.9198999405000006</v>
      </c>
      <c r="AK204" s="138">
        <v>8.9221000671000006</v>
      </c>
      <c r="AL204" s="138">
        <v>7.8621001244000004</v>
      </c>
      <c r="AM204" s="138">
        <v>7.8699002266000004</v>
      </c>
      <c r="AN204" s="138">
        <v>7.6944999694999998</v>
      </c>
      <c r="AO204" s="138">
        <v>7.6399998665000002</v>
      </c>
      <c r="AP204" s="138">
        <v>7.5599999428000002</v>
      </c>
      <c r="AQ204" s="138">
        <v>7.3800001143999996</v>
      </c>
      <c r="AR204" s="138">
        <v>7.3099999428000002</v>
      </c>
      <c r="AS204" s="138">
        <v>7.3099999428000002</v>
      </c>
      <c r="AT204" s="138">
        <v>7.7</v>
      </c>
      <c r="AU204" s="138">
        <v>7.7</v>
      </c>
      <c r="AV204" s="138">
        <v>7.7</v>
      </c>
      <c r="AW204" s="138">
        <v>6.7</v>
      </c>
      <c r="AX204" s="138">
        <v>6.7</v>
      </c>
      <c r="AY204" s="138">
        <v>6.8</v>
      </c>
      <c r="AZ204" s="138">
        <v>6.7</v>
      </c>
      <c r="BA204" s="138">
        <v>6.5</v>
      </c>
      <c r="BB204" s="138">
        <v>6.6</v>
      </c>
      <c r="BC204" s="138">
        <v>6.6</v>
      </c>
      <c r="BD204" s="138">
        <v>6.3</v>
      </c>
      <c r="BE204" s="138">
        <v>6.1</v>
      </c>
      <c r="BF204" s="138">
        <v>6.2</v>
      </c>
      <c r="BG204" s="138">
        <v>6.3</v>
      </c>
      <c r="BN204" s="160">
        <f t="shared" si="9"/>
        <v>6.3</v>
      </c>
      <c r="BO204" s="628">
        <f t="shared" si="10"/>
        <v>6.3</v>
      </c>
      <c r="BP204" s="627" t="str">
        <f>INDEX('HCW Summary Data'!$D$9:$D$272,MATCH($B204,'HCW Summary Data'!$B$9:$B$272,0))</f>
        <v>Upper middle income</v>
      </c>
      <c r="BQ204" s="630">
        <f t="shared" si="11"/>
        <v>3.32</v>
      </c>
    </row>
    <row r="205" spans="2:69" x14ac:dyDescent="0.25">
      <c r="B205" s="138" t="s">
        <v>618</v>
      </c>
      <c r="C205" s="138" t="s">
        <v>122</v>
      </c>
      <c r="D205" s="138" t="s">
        <v>907</v>
      </c>
      <c r="E205" s="138" t="s">
        <v>908</v>
      </c>
      <c r="AE205" s="138">
        <v>12.9815998077393</v>
      </c>
      <c r="AF205" s="138">
        <v>13.0462999343872</v>
      </c>
      <c r="AG205" s="138">
        <v>13.117600440979</v>
      </c>
      <c r="AH205" s="138">
        <v>13.1752004623413</v>
      </c>
      <c r="AI205" s="138">
        <v>13.186200141906699</v>
      </c>
      <c r="AJ205" s="138">
        <v>13.0552997589</v>
      </c>
      <c r="AK205" s="138">
        <v>12.701999664300001</v>
      </c>
      <c r="AL205" s="138">
        <v>12.2342996597</v>
      </c>
      <c r="AM205" s="138">
        <v>12.1958999634</v>
      </c>
      <c r="AN205" s="138">
        <v>11.9611997604</v>
      </c>
      <c r="AO205" s="138">
        <v>11.8699998856</v>
      </c>
      <c r="AP205" s="138">
        <v>11.6300001144</v>
      </c>
      <c r="AQ205" s="138">
        <v>11.3400001526</v>
      </c>
      <c r="AR205" s="138">
        <v>11.109999656699999</v>
      </c>
      <c r="AS205" s="138">
        <v>10.850000381499999</v>
      </c>
      <c r="AT205" s="138">
        <v>10.9</v>
      </c>
      <c r="AU205" s="138">
        <v>10.8</v>
      </c>
      <c r="AV205" s="138">
        <v>10.7</v>
      </c>
      <c r="AW205" s="138">
        <v>10.5</v>
      </c>
      <c r="AX205" s="138">
        <v>9.9</v>
      </c>
      <c r="AY205" s="138">
        <v>9.6999999999999993</v>
      </c>
      <c r="AZ205" s="138">
        <v>9.6999999999999993</v>
      </c>
      <c r="BA205" s="138">
        <v>9.5</v>
      </c>
      <c r="BB205" s="138">
        <v>9.1999999999999993</v>
      </c>
      <c r="BC205" s="138">
        <v>9</v>
      </c>
      <c r="BD205" s="138">
        <v>8.8000000000000007</v>
      </c>
      <c r="BE205" s="138">
        <v>8.6</v>
      </c>
      <c r="BF205" s="138">
        <v>8.4</v>
      </c>
      <c r="BG205" s="138">
        <v>8.1999999999999993</v>
      </c>
      <c r="BN205" s="160">
        <f t="shared" si="9"/>
        <v>8.1999999999999993</v>
      </c>
      <c r="BO205" s="628">
        <f t="shared" si="10"/>
        <v>8.1999999999999993</v>
      </c>
      <c r="BP205" s="627" t="str">
        <f>INDEX('HCW Summary Data'!$D$9:$D$272,MATCH($B205,'HCW Summary Data'!$B$9:$B$272,0))</f>
        <v>Low income</v>
      </c>
      <c r="BQ205" s="630">
        <f t="shared" si="11"/>
        <v>1.63</v>
      </c>
    </row>
    <row r="206" spans="2:69" x14ac:dyDescent="0.25">
      <c r="B206" s="138" t="s">
        <v>210</v>
      </c>
      <c r="C206" s="138" t="s">
        <v>123</v>
      </c>
      <c r="D206" s="138" t="s">
        <v>907</v>
      </c>
      <c r="E206" s="138" t="s">
        <v>908</v>
      </c>
      <c r="P206" s="138">
        <v>1.25399994850159</v>
      </c>
      <c r="U206" s="138">
        <v>1.2425999641418499</v>
      </c>
      <c r="Z206" s="138">
        <v>1.5279999971389799</v>
      </c>
      <c r="AA206" s="138">
        <v>1.47809994220734</v>
      </c>
      <c r="AI206" s="138">
        <v>0.86790001392364502</v>
      </c>
      <c r="AJ206" s="138">
        <v>1.6519999504</v>
      </c>
      <c r="AX206" s="138">
        <v>1.7</v>
      </c>
      <c r="AZ206" s="138">
        <v>1.6</v>
      </c>
      <c r="BA206" s="138">
        <v>1.6</v>
      </c>
      <c r="BN206" s="160">
        <f t="shared" si="9"/>
        <v>1.6</v>
      </c>
      <c r="BO206" s="628">
        <f t="shared" si="10"/>
        <v>1.6</v>
      </c>
      <c r="BP206" s="627" t="str">
        <f>INDEX('HCW Summary Data'!$D$9:$D$272,MATCH($B206,'HCW Summary Data'!$B$9:$B$272,0))</f>
        <v>Upper middle income</v>
      </c>
      <c r="BQ206" s="630">
        <f t="shared" si="11"/>
        <v>3.32</v>
      </c>
    </row>
    <row r="207" spans="2:69" x14ac:dyDescent="0.25">
      <c r="B207" s="138" t="s">
        <v>630</v>
      </c>
      <c r="C207" s="138" t="s">
        <v>631</v>
      </c>
      <c r="D207" s="138" t="s">
        <v>907</v>
      </c>
      <c r="E207" s="138" t="s">
        <v>908</v>
      </c>
      <c r="F207" s="138">
        <v>0.50630844011821574</v>
      </c>
      <c r="P207" s="138">
        <v>0.58514162500468481</v>
      </c>
      <c r="U207" s="138">
        <v>0.62665708729566538</v>
      </c>
      <c r="Z207" s="138">
        <v>0.72945337708162117</v>
      </c>
      <c r="AA207" s="138">
        <v>0.73184895803921313</v>
      </c>
      <c r="AE207" s="138">
        <v>0.70908290144914998</v>
      </c>
      <c r="AG207" s="138">
        <v>0.70241016978022341</v>
      </c>
      <c r="AK207" s="138">
        <v>0.71941374022195159</v>
      </c>
      <c r="AV207" s="138">
        <v>0.67765124019247169</v>
      </c>
      <c r="AW207" s="138">
        <v>0.86737903302951869</v>
      </c>
      <c r="AY207" s="138">
        <v>0.81325691749772511</v>
      </c>
      <c r="BE207" s="138">
        <v>0.67426183450707411</v>
      </c>
      <c r="BN207" s="160">
        <f t="shared" si="9"/>
        <v>0.67426183450707411</v>
      </c>
      <c r="BO207" s="628">
        <f t="shared" si="10"/>
        <v>0.67426183450707411</v>
      </c>
      <c r="BP207" s="627" t="str">
        <f>INDEX('HCW Summary Data'!$D$9:$D$272,MATCH($B207,'HCW Summary Data'!$B$9:$B$272,0))</f>
        <v>OUT</v>
      </c>
      <c r="BQ207" s="630">
        <f t="shared" si="11"/>
        <v>2.7250000000000001</v>
      </c>
    </row>
    <row r="208" spans="2:69" x14ac:dyDescent="0.25">
      <c r="B208" s="138" t="s">
        <v>620</v>
      </c>
      <c r="C208" s="138" t="s">
        <v>124</v>
      </c>
      <c r="D208" s="138" t="s">
        <v>907</v>
      </c>
      <c r="E208" s="138" t="s">
        <v>908</v>
      </c>
      <c r="F208" s="138">
        <v>0.77472394704818703</v>
      </c>
      <c r="P208" s="138">
        <v>1.1813999414444001</v>
      </c>
      <c r="AA208" s="138">
        <v>1.4581999778747601</v>
      </c>
      <c r="AJ208" s="138">
        <v>2.4964001178999999</v>
      </c>
      <c r="AQ208" s="138">
        <v>2.2999999522999999</v>
      </c>
      <c r="AT208" s="138">
        <v>2.2999999999999998</v>
      </c>
      <c r="AU208" s="138">
        <v>3.2</v>
      </c>
      <c r="AV208" s="138">
        <v>2.2000000000000002</v>
      </c>
      <c r="AW208" s="138">
        <v>2.2000000000000002</v>
      </c>
      <c r="AX208" s="138">
        <v>2.2000000000000002</v>
      </c>
      <c r="AY208" s="138">
        <v>2.2999999999999998</v>
      </c>
      <c r="AZ208" s="138">
        <v>2.2999999999999998</v>
      </c>
      <c r="BA208" s="138">
        <v>2.2000000000000002</v>
      </c>
      <c r="BB208" s="138">
        <v>2.2000000000000002</v>
      </c>
      <c r="BC208" s="138">
        <v>2.2000000000000002</v>
      </c>
      <c r="BD208" s="138">
        <v>2.2000000000000002</v>
      </c>
      <c r="BE208" s="138">
        <v>2.1</v>
      </c>
      <c r="BF208" s="138">
        <v>2.1</v>
      </c>
      <c r="BG208" s="138">
        <v>2.2000000000000002</v>
      </c>
      <c r="BH208" s="138">
        <v>2.7</v>
      </c>
      <c r="BN208" s="160">
        <f t="shared" si="9"/>
        <v>2.7</v>
      </c>
      <c r="BO208" s="628">
        <f t="shared" si="10"/>
        <v>2.7</v>
      </c>
      <c r="BP208" s="627" t="str">
        <f>INDEX('HCW Summary Data'!$D$9:$D$272,MATCH($B208,'HCW Summary Data'!$B$9:$B$272,0))</f>
        <v>Lower middle income</v>
      </c>
      <c r="BQ208" s="630">
        <f t="shared" si="11"/>
        <v>2.3800000000000003</v>
      </c>
    </row>
    <row r="209" spans="2:69" x14ac:dyDescent="0.25">
      <c r="B209" s="138" t="s">
        <v>233</v>
      </c>
      <c r="C209" s="138" t="s">
        <v>125</v>
      </c>
      <c r="D209" s="138" t="s">
        <v>907</v>
      </c>
      <c r="E209" s="138" t="s">
        <v>908</v>
      </c>
      <c r="F209" s="138">
        <v>1.0065009593963601</v>
      </c>
      <c r="P209" s="138">
        <v>1.0426000356674201</v>
      </c>
      <c r="U209" s="138">
        <v>0.9932000041008</v>
      </c>
      <c r="Z209" s="138">
        <v>0.890699982643127</v>
      </c>
      <c r="AA209" s="138">
        <v>0.87019997835159302</v>
      </c>
      <c r="AJ209" s="138">
        <v>1.0880000591000001</v>
      </c>
      <c r="AT209" s="138">
        <v>0.8</v>
      </c>
      <c r="AU209" s="138">
        <v>0.7</v>
      </c>
      <c r="AV209" s="138">
        <v>0.7</v>
      </c>
      <c r="AW209" s="138">
        <v>0.7</v>
      </c>
      <c r="AX209" s="138">
        <v>0.7</v>
      </c>
      <c r="AY209" s="138">
        <v>0.7</v>
      </c>
      <c r="AZ209" s="138">
        <v>0.7</v>
      </c>
      <c r="BA209" s="138">
        <v>0.7</v>
      </c>
      <c r="BB209" s="138">
        <v>0.7</v>
      </c>
      <c r="BC209" s="138">
        <v>0.7</v>
      </c>
      <c r="BD209" s="138">
        <v>0.7</v>
      </c>
      <c r="BE209" s="138">
        <v>0.8</v>
      </c>
      <c r="BF209" s="138">
        <v>0.8</v>
      </c>
      <c r="BG209" s="138">
        <v>0.8</v>
      </c>
      <c r="BN209" s="160">
        <f t="shared" si="9"/>
        <v>0.8</v>
      </c>
      <c r="BO209" s="628">
        <f t="shared" si="10"/>
        <v>0.8</v>
      </c>
      <c r="BP209" s="627" t="str">
        <f>INDEX('HCW Summary Data'!$D$9:$D$272,MATCH($B209,'HCW Summary Data'!$B$9:$B$272,0))</f>
        <v>Upper middle income</v>
      </c>
      <c r="BQ209" s="630">
        <f t="shared" si="11"/>
        <v>3.32</v>
      </c>
    </row>
    <row r="210" spans="2:69" x14ac:dyDescent="0.25">
      <c r="B210" s="138" t="s">
        <v>212</v>
      </c>
      <c r="C210" s="138" t="s">
        <v>126</v>
      </c>
      <c r="D210" s="138" t="s">
        <v>907</v>
      </c>
      <c r="E210" s="138" t="s">
        <v>908</v>
      </c>
      <c r="F210" s="138">
        <v>1.3131471872329701</v>
      </c>
      <c r="P210" s="138">
        <v>1.29849994182587</v>
      </c>
      <c r="U210" s="138">
        <v>1.29009997844696</v>
      </c>
      <c r="AI210" s="138">
        <v>0.52399998903274503</v>
      </c>
      <c r="AJ210" s="138">
        <v>0.72960001230000004</v>
      </c>
      <c r="AN210" s="138">
        <v>0.2475000024</v>
      </c>
      <c r="AP210" s="138">
        <v>0.44999998810000003</v>
      </c>
      <c r="AR210" s="138">
        <v>0.40000000600000002</v>
      </c>
      <c r="BA210" s="138">
        <v>0.1</v>
      </c>
      <c r="BB210" s="138">
        <v>0.3</v>
      </c>
      <c r="BN210" s="160">
        <f t="shared" si="9"/>
        <v>0.3</v>
      </c>
      <c r="BO210" s="628">
        <f t="shared" si="10"/>
        <v>0.3</v>
      </c>
      <c r="BP210" s="627" t="str">
        <f>INDEX('HCW Summary Data'!$D$9:$D$272,MATCH($B210,'HCW Summary Data'!$B$9:$B$272,0))</f>
        <v>Upper middle income</v>
      </c>
      <c r="BQ210" s="630">
        <f t="shared" si="11"/>
        <v>3.32</v>
      </c>
    </row>
    <row r="211" spans="2:69" x14ac:dyDescent="0.25">
      <c r="B211" s="138" t="s">
        <v>622</v>
      </c>
      <c r="C211" s="138" t="s">
        <v>127</v>
      </c>
      <c r="D211" s="138" t="s">
        <v>907</v>
      </c>
      <c r="E211" s="138" t="s">
        <v>908</v>
      </c>
      <c r="F211" s="138">
        <v>4.3924665451049796</v>
      </c>
      <c r="P211" s="138">
        <v>3.6982998847961399</v>
      </c>
      <c r="U211" s="138">
        <v>3.3333001136779798</v>
      </c>
      <c r="Z211" s="138">
        <v>3.9565000534057599</v>
      </c>
      <c r="AA211" s="138">
        <v>3.9079999923706099</v>
      </c>
      <c r="AJ211" s="138">
        <v>3.6078000068999998</v>
      </c>
      <c r="AK211" s="138">
        <v>3.5471999644999999</v>
      </c>
      <c r="AL211" s="138">
        <v>3.4514000415999999</v>
      </c>
      <c r="AM211" s="138">
        <v>3.6426999569</v>
      </c>
      <c r="AN211" s="138">
        <v>3.5652000903999999</v>
      </c>
      <c r="AU211" s="138">
        <v>2.9000000953999998</v>
      </c>
      <c r="AW211" s="138">
        <v>2.8</v>
      </c>
      <c r="AY211" s="138">
        <v>3.2</v>
      </c>
      <c r="AZ211" s="138">
        <v>3.2</v>
      </c>
      <c r="BA211" s="138">
        <v>3.22</v>
      </c>
      <c r="BB211" s="138">
        <v>3.1</v>
      </c>
      <c r="BE211" s="138">
        <v>2</v>
      </c>
      <c r="BG211" s="138">
        <v>2.1</v>
      </c>
      <c r="BI211" s="138">
        <v>2.4</v>
      </c>
      <c r="BN211" s="160">
        <f t="shared" si="9"/>
        <v>2.4</v>
      </c>
      <c r="BO211" s="628">
        <f t="shared" si="10"/>
        <v>2.4</v>
      </c>
      <c r="BP211" s="627" t="str">
        <f>INDEX('HCW Summary Data'!$D$9:$D$272,MATCH($B211,'HCW Summary Data'!$B$9:$B$272,0))</f>
        <v>High income</v>
      </c>
      <c r="BQ211" s="630">
        <f t="shared" si="11"/>
        <v>3.5700000000000003</v>
      </c>
    </row>
    <row r="212" spans="2:69" x14ac:dyDescent="0.25">
      <c r="B212" s="138" t="s">
        <v>255</v>
      </c>
      <c r="C212" s="138" t="s">
        <v>128</v>
      </c>
      <c r="D212" s="138" t="s">
        <v>907</v>
      </c>
      <c r="E212" s="138" t="s">
        <v>908</v>
      </c>
      <c r="F212" s="138">
        <v>7.3305087089538601</v>
      </c>
      <c r="P212" s="138">
        <v>7.3415999412536603</v>
      </c>
      <c r="AA212" s="138">
        <v>5.68289995193481</v>
      </c>
      <c r="AJ212" s="138">
        <v>0.82810002569999996</v>
      </c>
      <c r="AL212" s="138">
        <v>2.7481000422999999</v>
      </c>
      <c r="AW212" s="138">
        <v>2.2000000000000002</v>
      </c>
      <c r="AY212" s="138">
        <v>1.4</v>
      </c>
      <c r="BF212" s="138">
        <v>1.4</v>
      </c>
      <c r="BN212" s="160">
        <f t="shared" si="9"/>
        <v>1.4</v>
      </c>
      <c r="BO212" s="628">
        <f t="shared" si="10"/>
        <v>1.4</v>
      </c>
      <c r="BP212" s="627" t="str">
        <f>INDEX('HCW Summary Data'!$D$9:$D$272,MATCH($B212,'HCW Summary Data'!$B$9:$B$272,0))</f>
        <v>Low income</v>
      </c>
      <c r="BQ212" s="630">
        <f t="shared" si="11"/>
        <v>1.63</v>
      </c>
    </row>
    <row r="213" spans="2:69" x14ac:dyDescent="0.25">
      <c r="B213" s="138" t="s">
        <v>214</v>
      </c>
      <c r="C213" s="138" t="s">
        <v>129</v>
      </c>
      <c r="D213" s="138" t="s">
        <v>907</v>
      </c>
      <c r="E213" s="138" t="s">
        <v>908</v>
      </c>
      <c r="F213" s="138">
        <v>0.77286922931671098</v>
      </c>
      <c r="P213" s="138">
        <v>0.92549997568130504</v>
      </c>
      <c r="U213" s="138">
        <v>0.90689998865127597</v>
      </c>
      <c r="Z213" s="138">
        <v>1.21449995040894</v>
      </c>
      <c r="AZ213" s="138">
        <v>0.4</v>
      </c>
      <c r="BN213" s="160">
        <f t="shared" si="9"/>
        <v>0.4</v>
      </c>
      <c r="BO213" s="628">
        <f t="shared" si="10"/>
        <v>0.4</v>
      </c>
      <c r="BP213" s="627" t="str">
        <f>INDEX('HCW Summary Data'!$D$9:$D$272,MATCH($B213,'HCW Summary Data'!$B$9:$B$272,0))</f>
        <v>High income</v>
      </c>
      <c r="BQ213" s="630">
        <f t="shared" si="11"/>
        <v>3.5700000000000003</v>
      </c>
    </row>
    <row r="214" spans="2:69" x14ac:dyDescent="0.25">
      <c r="B214" s="138" t="s">
        <v>222</v>
      </c>
      <c r="C214" s="138" t="s">
        <v>164</v>
      </c>
      <c r="D214" s="138" t="s">
        <v>907</v>
      </c>
      <c r="E214" s="138" t="s">
        <v>908</v>
      </c>
      <c r="F214" s="138">
        <v>2.1834754943847701</v>
      </c>
      <c r="P214" s="138">
        <v>1.90240001678467</v>
      </c>
      <c r="U214" s="138">
        <v>1.9850000143051101</v>
      </c>
      <c r="AJ214" s="138">
        <v>1.4710999727</v>
      </c>
      <c r="AM214" s="138">
        <v>1.5</v>
      </c>
      <c r="AP214" s="138">
        <v>1.6499999761999999</v>
      </c>
      <c r="AY214" s="138">
        <v>0.9</v>
      </c>
      <c r="AZ214" s="138">
        <v>0.9</v>
      </c>
      <c r="BA214" s="138">
        <v>0.7</v>
      </c>
      <c r="BB214" s="138">
        <v>0.8</v>
      </c>
      <c r="BC214" s="138">
        <v>1.1000000000000001</v>
      </c>
      <c r="BD214" s="138">
        <v>1</v>
      </c>
      <c r="BE214" s="138">
        <v>1</v>
      </c>
      <c r="BF214" s="138">
        <v>1.1000000000000001</v>
      </c>
      <c r="BG214" s="138">
        <v>1.1000000000000001</v>
      </c>
      <c r="BH214" s="138">
        <v>1.3</v>
      </c>
      <c r="BN214" s="160">
        <f t="shared" si="9"/>
        <v>1.3</v>
      </c>
      <c r="BO214" s="628">
        <f t="shared" si="10"/>
        <v>1.3</v>
      </c>
      <c r="BP214" s="627" t="str">
        <f>INDEX('HCW Summary Data'!$D$9:$D$272,MATCH($B214,'HCW Summary Data'!$B$9:$B$272,0))</f>
        <v>Upper middle income</v>
      </c>
      <c r="BQ214" s="630">
        <f t="shared" si="11"/>
        <v>3.32</v>
      </c>
    </row>
    <row r="215" spans="2:69" x14ac:dyDescent="0.25">
      <c r="B215" s="138" t="s">
        <v>619</v>
      </c>
      <c r="C215" s="138" t="s">
        <v>130</v>
      </c>
      <c r="D215" s="138" t="s">
        <v>907</v>
      </c>
      <c r="E215" s="138" t="s">
        <v>908</v>
      </c>
      <c r="Z215" s="138">
        <v>6.6719999313354501</v>
      </c>
      <c r="AD215" s="138">
        <v>6.8200001716613796</v>
      </c>
      <c r="AE215" s="138">
        <v>6.7680001258850098</v>
      </c>
      <c r="AF215" s="138">
        <v>6.6999998092651403</v>
      </c>
      <c r="AG215" s="138">
        <v>6.6589999198913601</v>
      </c>
      <c r="AH215" s="138">
        <v>7.65700006484985</v>
      </c>
      <c r="AI215" s="138">
        <v>7.4450001716613796</v>
      </c>
      <c r="AJ215" s="138">
        <v>7.1599998474</v>
      </c>
      <c r="BE215" s="138">
        <v>3.85</v>
      </c>
      <c r="BF215" s="138">
        <v>3.8</v>
      </c>
      <c r="BN215" s="160">
        <f t="shared" si="9"/>
        <v>3.8</v>
      </c>
      <c r="BO215" s="628">
        <f t="shared" si="10"/>
        <v>3.8</v>
      </c>
      <c r="BP215" s="627" t="str">
        <f>INDEX('HCW Summary Data'!$D$9:$D$272,MATCH($B215,'HCW Summary Data'!$B$9:$B$272,0))</f>
        <v>Lower middle income</v>
      </c>
      <c r="BQ215" s="630">
        <f t="shared" si="11"/>
        <v>2.3800000000000003</v>
      </c>
    </row>
    <row r="216" spans="2:69" x14ac:dyDescent="0.25">
      <c r="B216" s="138" t="s">
        <v>232</v>
      </c>
      <c r="C216" s="138" t="s">
        <v>171</v>
      </c>
      <c r="D216" s="138" t="s">
        <v>907</v>
      </c>
      <c r="E216" s="138" t="s">
        <v>908</v>
      </c>
      <c r="F216" s="138">
        <v>1.35531914234161</v>
      </c>
      <c r="P216" s="138">
        <v>1.3557000160217301</v>
      </c>
      <c r="U216" s="138">
        <v>1.4220000505447401</v>
      </c>
      <c r="AH216" s="138">
        <v>0.906300008296967</v>
      </c>
      <c r="AJ216" s="138">
        <v>0.75349998470000001</v>
      </c>
      <c r="AQ216" s="138">
        <v>0.40000000600000002</v>
      </c>
      <c r="AT216" s="138">
        <v>0.4</v>
      </c>
      <c r="AU216" s="138">
        <v>0.4</v>
      </c>
      <c r="AV216" s="138">
        <v>0.4</v>
      </c>
      <c r="AW216" s="138">
        <v>0.4</v>
      </c>
      <c r="AX216" s="138">
        <v>0.4</v>
      </c>
      <c r="BG216" s="138">
        <v>0.9</v>
      </c>
      <c r="BH216" s="138">
        <v>0.9</v>
      </c>
      <c r="BN216" s="160">
        <f t="shared" si="9"/>
        <v>0.9</v>
      </c>
      <c r="BO216" s="628">
        <f t="shared" si="10"/>
        <v>0.9</v>
      </c>
      <c r="BP216" s="627" t="str">
        <f>INDEX('HCW Summary Data'!$D$9:$D$272,MATCH($B216,'HCW Summary Data'!$B$9:$B$272,0))</f>
        <v>Upper middle income</v>
      </c>
      <c r="BQ216" s="630">
        <f t="shared" si="11"/>
        <v>3.32</v>
      </c>
    </row>
    <row r="217" spans="2:69" x14ac:dyDescent="0.25">
      <c r="B217" s="138" t="s">
        <v>621</v>
      </c>
      <c r="C217" s="138" t="s">
        <v>131</v>
      </c>
      <c r="D217" s="138" t="s">
        <v>907</v>
      </c>
      <c r="E217" s="138" t="s">
        <v>908</v>
      </c>
      <c r="AY217" s="138">
        <v>5.9</v>
      </c>
      <c r="AZ217" s="138">
        <v>5.7</v>
      </c>
      <c r="BA217" s="138">
        <v>5.5</v>
      </c>
      <c r="BB217" s="138">
        <v>5.5</v>
      </c>
      <c r="BC217" s="138">
        <v>5.4</v>
      </c>
      <c r="BD217" s="138">
        <v>5.6</v>
      </c>
      <c r="BE217" s="138">
        <v>5.6</v>
      </c>
      <c r="BF217" s="138">
        <v>5.7</v>
      </c>
      <c r="BN217" s="160">
        <f t="shared" si="9"/>
        <v>5.7</v>
      </c>
      <c r="BO217" s="628">
        <f t="shared" si="10"/>
        <v>5.7</v>
      </c>
      <c r="BP217" s="627" t="str">
        <f>INDEX('HCW Summary Data'!$D$9:$D$272,MATCH($B217,'HCW Summary Data'!$B$9:$B$272,0))</f>
        <v>High income</v>
      </c>
      <c r="BQ217" s="630">
        <f t="shared" si="11"/>
        <v>3.5700000000000003</v>
      </c>
    </row>
    <row r="218" spans="2:69" x14ac:dyDescent="0.25">
      <c r="B218" s="138" t="s">
        <v>646</v>
      </c>
      <c r="C218" s="138" t="s">
        <v>647</v>
      </c>
      <c r="D218" s="138" t="s">
        <v>907</v>
      </c>
      <c r="E218" s="138" t="s">
        <v>908</v>
      </c>
      <c r="F218" s="138">
        <v>1.3981141694174462</v>
      </c>
      <c r="P218" s="138">
        <v>1.3575028036866947</v>
      </c>
      <c r="U218" s="138">
        <v>1.2777320631294817</v>
      </c>
      <c r="AJ218" s="138">
        <v>1.2125754223136325</v>
      </c>
      <c r="BN218" s="160">
        <f t="shared" si="9"/>
        <v>1.2125754223136325</v>
      </c>
      <c r="BO218" s="628">
        <f t="shared" si="10"/>
        <v>1.2125754223136325</v>
      </c>
      <c r="BP218" s="627" t="str">
        <f>INDEX('HCW Summary Data'!$D$9:$D$272,MATCH($B218,'HCW Summary Data'!$B$9:$B$272,0))</f>
        <v>OUT</v>
      </c>
      <c r="BQ218" s="630">
        <f t="shared" si="11"/>
        <v>2.7250000000000001</v>
      </c>
    </row>
    <row r="219" spans="2:69" x14ac:dyDescent="0.25">
      <c r="B219" s="138" t="s">
        <v>634</v>
      </c>
      <c r="C219" s="138" t="s">
        <v>635</v>
      </c>
      <c r="D219" s="138" t="s">
        <v>907</v>
      </c>
      <c r="E219" s="138" t="s">
        <v>908</v>
      </c>
      <c r="BN219" s="160" t="str">
        <f t="shared" si="9"/>
        <v>No reported value</v>
      </c>
      <c r="BO219" s="628">
        <f t="shared" si="10"/>
        <v>4.82</v>
      </c>
      <c r="BP219" s="627" t="str">
        <f>INDEX('HCW Summary Data'!$D$9:$D$272,MATCH($B219,'HCW Summary Data'!$B$9:$B$272,0))</f>
        <v>High income</v>
      </c>
      <c r="BQ219" s="630">
        <f t="shared" si="11"/>
        <v>3.5700000000000003</v>
      </c>
    </row>
    <row r="220" spans="2:69" x14ac:dyDescent="0.25">
      <c r="B220" s="138" t="s">
        <v>644</v>
      </c>
      <c r="C220" s="138" t="s">
        <v>645</v>
      </c>
      <c r="D220" s="138" t="s">
        <v>907</v>
      </c>
      <c r="E220" s="138" t="s">
        <v>908</v>
      </c>
      <c r="F220" s="138">
        <v>1.3992890315360274</v>
      </c>
      <c r="P220" s="138">
        <v>1.3586140938132971</v>
      </c>
      <c r="U220" s="138">
        <v>1.2786763405983781</v>
      </c>
      <c r="AJ220" s="138">
        <v>1.2125754223136325</v>
      </c>
      <c r="BN220" s="160">
        <f t="shared" si="9"/>
        <v>1.2125754223136325</v>
      </c>
      <c r="BO220" s="628">
        <f t="shared" si="10"/>
        <v>1.2125754223136325</v>
      </c>
      <c r="BP220" s="627" t="str">
        <f>INDEX('HCW Summary Data'!$D$9:$D$272,MATCH($B220,'HCW Summary Data'!$B$9:$B$272,0))</f>
        <v>OUT</v>
      </c>
      <c r="BQ220" s="630">
        <f t="shared" si="11"/>
        <v>2.7250000000000001</v>
      </c>
    </row>
    <row r="221" spans="2:69" x14ac:dyDescent="0.25">
      <c r="B221" s="138" t="s">
        <v>628</v>
      </c>
      <c r="C221" s="138" t="s">
        <v>629</v>
      </c>
      <c r="D221" s="138" t="s">
        <v>907</v>
      </c>
      <c r="E221" s="138" t="s">
        <v>908</v>
      </c>
      <c r="F221" s="138">
        <v>4.5751541174817412</v>
      </c>
      <c r="BN221" s="160">
        <f t="shared" si="9"/>
        <v>4.5751541174817412</v>
      </c>
      <c r="BO221" s="628">
        <f t="shared" si="10"/>
        <v>4.5751541174817412</v>
      </c>
      <c r="BP221" s="627" t="str">
        <f>INDEX('HCW Summary Data'!$D$9:$D$272,MATCH($B221,'HCW Summary Data'!$B$9:$B$272,0))</f>
        <v>OUT</v>
      </c>
      <c r="BQ221" s="630">
        <f t="shared" si="11"/>
        <v>2.7250000000000001</v>
      </c>
    </row>
    <row r="222" spans="2:69" x14ac:dyDescent="0.25">
      <c r="B222" s="138" t="s">
        <v>211</v>
      </c>
      <c r="C222" s="138" t="s">
        <v>175</v>
      </c>
      <c r="D222" s="138" t="s">
        <v>907</v>
      </c>
      <c r="E222" s="138" t="s">
        <v>908</v>
      </c>
      <c r="F222" s="138">
        <v>40.315456390380902</v>
      </c>
      <c r="P222" s="138">
        <v>26.7122993469238</v>
      </c>
      <c r="AK222" s="138">
        <v>4.7372999190999998</v>
      </c>
      <c r="AW222" s="138">
        <v>3.2</v>
      </c>
      <c r="AZ222" s="138">
        <v>3.2</v>
      </c>
      <c r="BE222" s="138">
        <v>2.9</v>
      </c>
      <c r="BN222" s="160">
        <f t="shared" si="9"/>
        <v>2.9</v>
      </c>
      <c r="BO222" s="628">
        <f t="shared" si="10"/>
        <v>2.9</v>
      </c>
      <c r="BP222" s="627" t="str">
        <f>INDEX('HCW Summary Data'!$D$9:$D$272,MATCH($B222,'HCW Summary Data'!$B$9:$B$272,0))</f>
        <v>High income</v>
      </c>
      <c r="BQ222" s="630">
        <f t="shared" si="11"/>
        <v>3.5700000000000003</v>
      </c>
    </row>
    <row r="223" spans="2:69" x14ac:dyDescent="0.25">
      <c r="B223" s="138" t="s">
        <v>229</v>
      </c>
      <c r="C223" s="138" t="s">
        <v>170</v>
      </c>
      <c r="D223" s="138" t="s">
        <v>907</v>
      </c>
      <c r="E223" s="138" t="s">
        <v>908</v>
      </c>
      <c r="F223" s="138">
        <v>6.5103449821472203</v>
      </c>
      <c r="P223" s="138">
        <v>5.6774001121520996</v>
      </c>
      <c r="Z223" s="138">
        <v>8.9267997741699201</v>
      </c>
      <c r="AJ223" s="138">
        <v>5.6999998093000004</v>
      </c>
      <c r="AO223" s="138">
        <v>3.1</v>
      </c>
      <c r="AP223" s="138">
        <v>3.7400000095000001</v>
      </c>
      <c r="AT223" s="138">
        <v>3.9</v>
      </c>
      <c r="AU223" s="138">
        <v>3.5999999046000002</v>
      </c>
      <c r="AX223" s="138">
        <v>3.1</v>
      </c>
      <c r="AZ223" s="138">
        <v>3.3</v>
      </c>
      <c r="BA223" s="138">
        <v>3.1</v>
      </c>
      <c r="BC223" s="138">
        <v>2.6</v>
      </c>
      <c r="BD223" s="138">
        <v>3.1</v>
      </c>
      <c r="BN223" s="160">
        <f t="shared" si="9"/>
        <v>3.1</v>
      </c>
      <c r="BO223" s="628">
        <f t="shared" si="10"/>
        <v>3.1</v>
      </c>
      <c r="BP223" s="627" t="str">
        <f>INDEX('HCW Summary Data'!$D$9:$D$272,MATCH($B223,'HCW Summary Data'!$B$9:$B$272,0))</f>
        <v>High income</v>
      </c>
      <c r="BQ223" s="630">
        <f t="shared" si="11"/>
        <v>3.5700000000000003</v>
      </c>
    </row>
    <row r="224" spans="2:69" x14ac:dyDescent="0.25">
      <c r="B224" s="138" t="s">
        <v>625</v>
      </c>
      <c r="C224" s="138" t="s">
        <v>626</v>
      </c>
      <c r="D224" s="138" t="s">
        <v>907</v>
      </c>
      <c r="E224" s="138" t="s">
        <v>908</v>
      </c>
      <c r="AE224" s="138">
        <v>8.9547100000000004</v>
      </c>
      <c r="AF224" s="138">
        <v>8.9422200000000007</v>
      </c>
      <c r="AG224" s="138">
        <v>8.9505099999999995</v>
      </c>
      <c r="AH224" s="138">
        <v>8.8131599999999999</v>
      </c>
      <c r="AI224" s="138">
        <v>8.8163099999999996</v>
      </c>
      <c r="AJ224" s="138">
        <v>7.4482002258</v>
      </c>
      <c r="AK224" s="138">
        <v>7.5778999329000003</v>
      </c>
      <c r="AL224" s="138">
        <v>7.5609002112999999</v>
      </c>
      <c r="AM224" s="138">
        <v>7.8740000725000003</v>
      </c>
      <c r="AN224" s="138">
        <v>7.0992999076999999</v>
      </c>
      <c r="AP224" s="138">
        <v>8.3000001907000005</v>
      </c>
      <c r="AQ224" s="138">
        <v>8.1000003814999992</v>
      </c>
      <c r="AR224" s="138">
        <v>8</v>
      </c>
      <c r="AS224" s="138">
        <v>8</v>
      </c>
      <c r="AT224" s="138">
        <v>7.8</v>
      </c>
      <c r="AU224" s="138">
        <v>7.7</v>
      </c>
      <c r="AV224" s="138">
        <v>7.6</v>
      </c>
      <c r="AW224" s="138">
        <v>7.2</v>
      </c>
      <c r="AX224" s="138">
        <v>6.9</v>
      </c>
      <c r="AY224" s="138">
        <v>6.8</v>
      </c>
      <c r="AZ224" s="138">
        <v>6.7</v>
      </c>
      <c r="BA224" s="138">
        <v>6.8</v>
      </c>
      <c r="BB224" s="138">
        <v>6.6</v>
      </c>
      <c r="BC224" s="138">
        <v>6.5</v>
      </c>
      <c r="BD224" s="138">
        <v>6.4</v>
      </c>
      <c r="BE224" s="138">
        <v>6.1</v>
      </c>
      <c r="BF224" s="138">
        <v>5.9</v>
      </c>
      <c r="BG224" s="138">
        <v>5.8</v>
      </c>
      <c r="BI224" s="138">
        <v>5.8</v>
      </c>
      <c r="BN224" s="160">
        <f t="shared" si="9"/>
        <v>5.8</v>
      </c>
      <c r="BO224" s="628">
        <f t="shared" si="10"/>
        <v>5.8</v>
      </c>
      <c r="BP224" s="627" t="str">
        <f>INDEX('HCW Summary Data'!$D$9:$D$272,MATCH($B224,'HCW Summary Data'!$B$9:$B$272,0))</f>
        <v>High income</v>
      </c>
      <c r="BQ224" s="630">
        <f t="shared" si="11"/>
        <v>3.5700000000000003</v>
      </c>
    </row>
    <row r="225" spans="2:69" x14ac:dyDescent="0.25">
      <c r="B225" s="138" t="s">
        <v>627</v>
      </c>
      <c r="C225" s="138" t="s">
        <v>132</v>
      </c>
      <c r="D225" s="138" t="s">
        <v>907</v>
      </c>
      <c r="E225" s="138" t="s">
        <v>908</v>
      </c>
      <c r="Z225" s="138">
        <v>6.9526000022888201</v>
      </c>
      <c r="AB225" s="138">
        <v>6.6795001029968297</v>
      </c>
      <c r="AD225" s="138">
        <v>6.5009999275207502</v>
      </c>
      <c r="AE225" s="138">
        <v>6.3260998725891104</v>
      </c>
      <c r="AF225" s="138">
        <v>6.2678999900817898</v>
      </c>
      <c r="AG225" s="138">
        <v>6.2153000831604004</v>
      </c>
      <c r="AH225" s="138">
        <v>6.13800001144409</v>
      </c>
      <c r="AI225" s="138">
        <v>6.0633997917175302</v>
      </c>
      <c r="AJ225" s="138">
        <v>6.0408000945999998</v>
      </c>
      <c r="AK225" s="138">
        <v>6.0113000870000004</v>
      </c>
      <c r="AL225" s="138">
        <v>5.9369997978000004</v>
      </c>
      <c r="AM225" s="138">
        <v>5.8007001877000004</v>
      </c>
      <c r="AN225" s="138">
        <v>5.7768998146000001</v>
      </c>
      <c r="AO225" s="138">
        <v>5.75</v>
      </c>
      <c r="AP225" s="138">
        <v>5.6599998474</v>
      </c>
      <c r="AQ225" s="138">
        <v>5.6700000763</v>
      </c>
      <c r="AR225" s="138">
        <v>5.6199998856000004</v>
      </c>
      <c r="AS225" s="138">
        <v>5.5500001906999996</v>
      </c>
      <c r="AT225" s="138">
        <v>5.4</v>
      </c>
      <c r="AU225" s="138">
        <v>5.2</v>
      </c>
      <c r="AV225" s="138">
        <v>5.0999999999999996</v>
      </c>
      <c r="AW225" s="138">
        <v>5</v>
      </c>
      <c r="AX225" s="138">
        <v>4.8</v>
      </c>
      <c r="AY225" s="138">
        <v>4.8</v>
      </c>
      <c r="AZ225" s="138">
        <v>4.8</v>
      </c>
      <c r="BA225" s="138">
        <v>4.7</v>
      </c>
      <c r="BB225" s="138">
        <v>4.7</v>
      </c>
      <c r="BC225" s="138">
        <v>4.5999999999999996</v>
      </c>
      <c r="BD225" s="138">
        <v>4.5999999999999996</v>
      </c>
      <c r="BE225" s="138">
        <v>4.5999999999999996</v>
      </c>
      <c r="BF225" s="138">
        <v>4.5</v>
      </c>
      <c r="BG225" s="138">
        <v>4.5999999999999996</v>
      </c>
      <c r="BN225" s="160">
        <f t="shared" si="9"/>
        <v>4.5999999999999996</v>
      </c>
      <c r="BO225" s="628">
        <f t="shared" si="10"/>
        <v>4.5999999999999996</v>
      </c>
      <c r="BP225" s="627" t="str">
        <f>INDEX('HCW Summary Data'!$D$9:$D$272,MATCH($B225,'HCW Summary Data'!$B$9:$B$272,0))</f>
        <v>Lower middle income</v>
      </c>
      <c r="BQ225" s="630">
        <f t="shared" si="11"/>
        <v>2.3800000000000003</v>
      </c>
    </row>
    <row r="226" spans="2:69" x14ac:dyDescent="0.25">
      <c r="B226" s="138" t="s">
        <v>650</v>
      </c>
      <c r="C226" s="138" t="s">
        <v>133</v>
      </c>
      <c r="D226" s="138" t="s">
        <v>907</v>
      </c>
      <c r="E226" s="138" t="s">
        <v>908</v>
      </c>
      <c r="F226" s="138">
        <v>14.199999809265099</v>
      </c>
      <c r="P226" s="138">
        <v>15.300000190734901</v>
      </c>
      <c r="Z226" s="138">
        <v>15.1000003814697</v>
      </c>
      <c r="AE226" s="138">
        <v>14.6000003814697</v>
      </c>
      <c r="AJ226" s="138">
        <v>12.399999618500001</v>
      </c>
      <c r="AK226" s="138">
        <v>11.899999618500001</v>
      </c>
      <c r="AL226" s="138">
        <v>7.5999999045999997</v>
      </c>
      <c r="AM226" s="138">
        <v>7</v>
      </c>
      <c r="AN226" s="138">
        <v>6.5</v>
      </c>
      <c r="AO226" s="138">
        <v>4.9000000954000003</v>
      </c>
      <c r="AP226" s="138">
        <v>4.4000000954000003</v>
      </c>
      <c r="AQ226" s="138">
        <v>5.2</v>
      </c>
      <c r="AR226" s="138">
        <v>3.7999999522999999</v>
      </c>
      <c r="AS226" s="138">
        <v>3.7000000477000001</v>
      </c>
      <c r="AT226" s="138">
        <v>3.6</v>
      </c>
      <c r="AU226" s="138">
        <v>3.3</v>
      </c>
      <c r="AV226" s="138">
        <v>3.1</v>
      </c>
      <c r="AW226" s="138">
        <v>3.1</v>
      </c>
      <c r="AX226" s="138">
        <v>3</v>
      </c>
      <c r="AY226" s="138">
        <v>2.9</v>
      </c>
      <c r="AZ226" s="138">
        <v>2.9</v>
      </c>
      <c r="BA226" s="138">
        <v>2.9</v>
      </c>
      <c r="BB226" s="138">
        <v>2.8</v>
      </c>
      <c r="BC226" s="138">
        <v>2.8</v>
      </c>
      <c r="BD226" s="138">
        <v>2.7</v>
      </c>
      <c r="BE226" s="138">
        <v>2.7</v>
      </c>
      <c r="BF226" s="138">
        <v>2.6</v>
      </c>
      <c r="BG226" s="138">
        <v>2.6</v>
      </c>
      <c r="BN226" s="160">
        <f t="shared" si="9"/>
        <v>2.6</v>
      </c>
      <c r="BO226" s="628">
        <f t="shared" si="10"/>
        <v>2.6</v>
      </c>
      <c r="BP226" s="627" t="str">
        <f>INDEX('HCW Summary Data'!$D$9:$D$272,MATCH($B226,'HCW Summary Data'!$B$9:$B$272,0))</f>
        <v>High income</v>
      </c>
      <c r="BQ226" s="630">
        <f t="shared" si="11"/>
        <v>3.5700000000000003</v>
      </c>
    </row>
    <row r="227" spans="2:69" x14ac:dyDescent="0.25">
      <c r="B227" s="138" t="s">
        <v>486</v>
      </c>
      <c r="C227" s="138" t="s">
        <v>134</v>
      </c>
      <c r="D227" s="138" t="s">
        <v>907</v>
      </c>
      <c r="E227" s="138" t="s">
        <v>908</v>
      </c>
      <c r="F227" s="138">
        <v>1.94478523731232</v>
      </c>
      <c r="P227" s="138">
        <v>3.3747000694274898</v>
      </c>
      <c r="AZ227" s="138">
        <v>2.1</v>
      </c>
      <c r="BE227" s="138">
        <v>2.1</v>
      </c>
      <c r="BN227" s="160">
        <f t="shared" si="9"/>
        <v>2.1</v>
      </c>
      <c r="BO227" s="628">
        <f t="shared" si="10"/>
        <v>2.1</v>
      </c>
      <c r="BP227" s="627" t="str">
        <f>INDEX('HCW Summary Data'!$D$9:$D$272,MATCH($B227,'HCW Summary Data'!$B$9:$B$272,0))</f>
        <v>Low income</v>
      </c>
      <c r="BQ227" s="630">
        <f t="shared" si="11"/>
        <v>1.63</v>
      </c>
    </row>
    <row r="228" spans="2:69" x14ac:dyDescent="0.25">
      <c r="B228" s="138" t="s">
        <v>623</v>
      </c>
      <c r="C228" s="138" t="s">
        <v>624</v>
      </c>
      <c r="D228" s="138" t="s">
        <v>907</v>
      </c>
      <c r="E228" s="138" t="s">
        <v>908</v>
      </c>
      <c r="BN228" s="160" t="str">
        <f t="shared" si="9"/>
        <v>No reported value</v>
      </c>
      <c r="BO228" s="628">
        <f t="shared" si="10"/>
        <v>4.82</v>
      </c>
      <c r="BP228" s="627" t="str">
        <f>INDEX('HCW Summary Data'!$D$9:$D$272,MATCH($B228,'HCW Summary Data'!$B$9:$B$272,0))</f>
        <v>High income</v>
      </c>
      <c r="BQ228" s="630">
        <f t="shared" si="11"/>
        <v>3.5700000000000003</v>
      </c>
    </row>
    <row r="229" spans="2:69" x14ac:dyDescent="0.25">
      <c r="B229" s="138" t="s">
        <v>213</v>
      </c>
      <c r="C229" s="138" t="s">
        <v>135</v>
      </c>
      <c r="D229" s="138" t="s">
        <v>907</v>
      </c>
      <c r="E229" s="138" t="s">
        <v>908</v>
      </c>
      <c r="F229" s="138">
        <v>7.0983214378356898</v>
      </c>
      <c r="P229" s="138">
        <v>6.4924998283386204</v>
      </c>
      <c r="U229" s="138">
        <v>4.9496998786926296</v>
      </c>
      <c r="AE229" s="138">
        <v>4.82200002670288</v>
      </c>
      <c r="AI229" s="138">
        <v>6.2832999229431197</v>
      </c>
      <c r="AZ229" s="138">
        <v>5.7</v>
      </c>
      <c r="BC229" s="138">
        <v>3.9</v>
      </c>
      <c r="BE229" s="138">
        <v>3.6</v>
      </c>
      <c r="BN229" s="160">
        <f t="shared" si="9"/>
        <v>3.6</v>
      </c>
      <c r="BO229" s="628">
        <f t="shared" si="10"/>
        <v>3.6</v>
      </c>
      <c r="BP229" s="627" t="str">
        <f>INDEX('HCW Summary Data'!$D$9:$D$272,MATCH($B229,'HCW Summary Data'!$B$9:$B$272,0))</f>
        <v>Low income</v>
      </c>
      <c r="BQ229" s="630">
        <f t="shared" si="11"/>
        <v>1.63</v>
      </c>
    </row>
    <row r="230" spans="2:69" x14ac:dyDescent="0.25">
      <c r="B230" s="138" t="s">
        <v>652</v>
      </c>
      <c r="C230" s="138" t="s">
        <v>136</v>
      </c>
      <c r="D230" s="138" t="s">
        <v>907</v>
      </c>
      <c r="E230" s="138" t="s">
        <v>908</v>
      </c>
      <c r="F230" s="138">
        <v>1.07673752307892</v>
      </c>
      <c r="P230" s="138">
        <v>0.993399977684021</v>
      </c>
      <c r="U230" s="138">
        <v>1</v>
      </c>
      <c r="Z230" s="138">
        <v>1.1045000553131099</v>
      </c>
      <c r="AA230" s="138">
        <v>1.1457999944686901</v>
      </c>
      <c r="AJ230" s="138">
        <v>1.0865000486</v>
      </c>
      <c r="AP230" s="138">
        <v>1.5</v>
      </c>
      <c r="AR230" s="138">
        <v>1.5</v>
      </c>
      <c r="AS230" s="138">
        <v>1.3999999761999999</v>
      </c>
      <c r="AT230" s="138">
        <v>1.4</v>
      </c>
      <c r="AU230" s="138">
        <v>1.4</v>
      </c>
      <c r="AV230" s="138">
        <v>1.4</v>
      </c>
      <c r="AW230" s="138">
        <v>1.5</v>
      </c>
      <c r="AX230" s="138">
        <v>1.5</v>
      </c>
      <c r="AY230" s="138">
        <v>1.3</v>
      </c>
      <c r="AZ230" s="138">
        <v>1.5</v>
      </c>
      <c r="BA230" s="138">
        <v>1.5</v>
      </c>
      <c r="BB230" s="138">
        <v>1.5</v>
      </c>
      <c r="BC230" s="138">
        <v>1.5</v>
      </c>
      <c r="BD230" s="138">
        <v>1.5</v>
      </c>
      <c r="BE230" s="138">
        <v>1.6</v>
      </c>
      <c r="BF230" s="138">
        <v>1.5</v>
      </c>
      <c r="BG230" s="138">
        <v>1.5</v>
      </c>
      <c r="BH230" s="138">
        <v>1.5</v>
      </c>
      <c r="BN230" s="160">
        <f t="shared" si="9"/>
        <v>1.5</v>
      </c>
      <c r="BO230" s="628">
        <f t="shared" si="10"/>
        <v>1.5</v>
      </c>
      <c r="BP230" s="627" t="str">
        <f>INDEX('HCW Summary Data'!$D$9:$D$272,MATCH($B230,'HCW Summary Data'!$B$9:$B$272,0))</f>
        <v>High income</v>
      </c>
      <c r="BQ230" s="630">
        <f t="shared" si="11"/>
        <v>3.5700000000000003</v>
      </c>
    </row>
    <row r="231" spans="2:69" x14ac:dyDescent="0.25">
      <c r="B231" s="138" t="s">
        <v>659</v>
      </c>
      <c r="C231" s="138" t="s">
        <v>660</v>
      </c>
      <c r="D231" s="138" t="s">
        <v>907</v>
      </c>
      <c r="E231" s="138" t="s">
        <v>908</v>
      </c>
      <c r="BN231" s="160" t="str">
        <f t="shared" si="9"/>
        <v>No reported value</v>
      </c>
      <c r="BO231" s="628">
        <f t="shared" si="10"/>
        <v>3.41</v>
      </c>
      <c r="BP231" s="627" t="str">
        <f>INDEX('HCW Summary Data'!$D$9:$D$272,MATCH($B231,'HCW Summary Data'!$B$9:$B$272,0))</f>
        <v>Upper middle income</v>
      </c>
      <c r="BQ231" s="630">
        <f t="shared" si="11"/>
        <v>3.32</v>
      </c>
    </row>
    <row r="232" spans="2:69" x14ac:dyDescent="0.25">
      <c r="B232" s="138" t="s">
        <v>189</v>
      </c>
      <c r="C232" s="138" t="s">
        <v>169</v>
      </c>
      <c r="D232" s="138" t="s">
        <v>907</v>
      </c>
      <c r="E232" s="138" t="s">
        <v>908</v>
      </c>
      <c r="F232" s="138">
        <v>0.697454333305359</v>
      </c>
      <c r="P232" s="138">
        <v>1.3099999427795399</v>
      </c>
      <c r="AK232" s="138">
        <v>0.72009998559999999</v>
      </c>
      <c r="AY232" s="138">
        <v>0.4</v>
      </c>
      <c r="BN232" s="160">
        <f t="shared" si="9"/>
        <v>0.4</v>
      </c>
      <c r="BO232" s="628">
        <f t="shared" si="10"/>
        <v>0.4</v>
      </c>
      <c r="BP232" s="627" t="str">
        <f>INDEX('HCW Summary Data'!$D$9:$D$272,MATCH($B232,'HCW Summary Data'!$B$9:$B$272,0))</f>
        <v>High income</v>
      </c>
      <c r="BQ232" s="630">
        <f t="shared" si="11"/>
        <v>3.5700000000000003</v>
      </c>
    </row>
    <row r="233" spans="2:69" x14ac:dyDescent="0.25">
      <c r="B233" s="138" t="s">
        <v>481</v>
      </c>
      <c r="C233" s="138" t="s">
        <v>482</v>
      </c>
      <c r="D233" s="138" t="s">
        <v>907</v>
      </c>
      <c r="E233" s="138" t="s">
        <v>908</v>
      </c>
      <c r="K233" s="138">
        <v>1.4400000572204601</v>
      </c>
      <c r="L233" s="138">
        <v>1.5199999809265097</v>
      </c>
      <c r="M233" s="138">
        <v>1.5</v>
      </c>
      <c r="N233" s="138">
        <v>1.45000004768372</v>
      </c>
      <c r="O233" s="138">
        <v>1.45000004768372</v>
      </c>
      <c r="P233" s="138">
        <v>1.4418845852024127</v>
      </c>
      <c r="Q233" s="138">
        <v>1.58000004291534</v>
      </c>
      <c r="R233" s="138">
        <v>1.71000003814697</v>
      </c>
      <c r="S233" s="138">
        <v>1.7699999809265099</v>
      </c>
      <c r="T233" s="138">
        <v>1.8500000238418601</v>
      </c>
      <c r="U233" s="138">
        <v>1.781145328361206</v>
      </c>
      <c r="V233" s="138">
        <v>1.9873244335741538</v>
      </c>
      <c r="W233" s="138">
        <v>2.0699999332428001</v>
      </c>
      <c r="X233" s="138">
        <v>2.1400001049041699</v>
      </c>
      <c r="Y233" s="138">
        <v>2.2000000476837198</v>
      </c>
      <c r="Z233" s="138">
        <v>2.2237280297986231</v>
      </c>
      <c r="AA233" s="138">
        <v>2.2944433840718892</v>
      </c>
      <c r="AB233" s="138">
        <v>2.2341767405230057</v>
      </c>
      <c r="AC233" s="138">
        <v>2.2624806304022251</v>
      </c>
      <c r="AD233" s="138">
        <v>2.3100079927720474</v>
      </c>
      <c r="AE233" s="138">
        <v>2.1220048777816523</v>
      </c>
      <c r="AF233" s="138">
        <v>2.365937305387547</v>
      </c>
      <c r="AG233" s="138">
        <v>2.4799684931745709</v>
      </c>
      <c r="AH233" s="138">
        <v>2.5366463166226429</v>
      </c>
      <c r="AI233" s="138">
        <v>2.3565014272552713</v>
      </c>
      <c r="AJ233" s="138">
        <v>2.2787709059376415</v>
      </c>
      <c r="AK233" s="138">
        <v>2.2722516619535922</v>
      </c>
      <c r="AL233" s="138">
        <v>2.2777069907449761</v>
      </c>
      <c r="AM233" s="138">
        <v>2.2919769188919759</v>
      </c>
      <c r="AN233" s="138">
        <v>2.3496088918205911</v>
      </c>
      <c r="AO233" s="138">
        <v>2.5720545817157396</v>
      </c>
      <c r="AP233" s="138">
        <v>2.5408365363524146</v>
      </c>
      <c r="AQ233" s="138">
        <v>2.4980746146048984</v>
      </c>
      <c r="AR233" s="138">
        <v>2.255732353090615</v>
      </c>
      <c r="AS233" s="138">
        <v>2.5048830581538994</v>
      </c>
      <c r="AT233" s="138">
        <v>2.4434965467112728</v>
      </c>
      <c r="AU233" s="138">
        <v>2.4032453335950055</v>
      </c>
      <c r="AV233" s="138">
        <v>2.0312712030733975</v>
      </c>
      <c r="AW233" s="138">
        <v>2.2002094602436104</v>
      </c>
      <c r="AX233" s="138">
        <v>2.9656498563794167</v>
      </c>
      <c r="AY233" s="138">
        <v>2.4265117760837809</v>
      </c>
      <c r="AZ233" s="138">
        <v>2.1058969906450669</v>
      </c>
      <c r="BC233" s="138">
        <v>3.8759285371161605</v>
      </c>
      <c r="BD233" s="138">
        <v>2.8495019709634613</v>
      </c>
      <c r="BE233" s="138">
        <v>3.5553882591873687</v>
      </c>
      <c r="BF233" s="138">
        <v>3.514249049680596</v>
      </c>
      <c r="BN233" s="160">
        <f t="shared" si="9"/>
        <v>3.514249049680596</v>
      </c>
      <c r="BO233" s="628">
        <f t="shared" si="10"/>
        <v>3.514249049680596</v>
      </c>
      <c r="BP233" s="627" t="str">
        <f>INDEX('HCW Summary Data'!$D$9:$D$272,MATCH($B233,'HCW Summary Data'!$B$9:$B$272,0))</f>
        <v>OUT</v>
      </c>
      <c r="BQ233" s="630">
        <f t="shared" si="11"/>
        <v>2.7250000000000001</v>
      </c>
    </row>
    <row r="234" spans="2:69" x14ac:dyDescent="0.25">
      <c r="B234" s="138" t="s">
        <v>493</v>
      </c>
      <c r="C234" s="138" t="s">
        <v>494</v>
      </c>
      <c r="D234" s="138" t="s">
        <v>907</v>
      </c>
      <c r="E234" s="138" t="s">
        <v>908</v>
      </c>
      <c r="AE234" s="138">
        <v>10.150884801373316</v>
      </c>
      <c r="AF234" s="138">
        <v>10.65719584966083</v>
      </c>
      <c r="AG234" s="138">
        <v>10.689388263329512</v>
      </c>
      <c r="AH234" s="138">
        <v>10.722020595188505</v>
      </c>
      <c r="AI234" s="138">
        <v>10.742265760151703</v>
      </c>
      <c r="AJ234" s="138">
        <v>10.271193994680269</v>
      </c>
      <c r="AK234" s="138">
        <v>10.043844022603738</v>
      </c>
      <c r="AL234" s="138">
        <v>9.8087686575852207</v>
      </c>
      <c r="AM234" s="138">
        <v>9.6454105916619941</v>
      </c>
      <c r="AN234" s="138">
        <v>9.371190919910017</v>
      </c>
      <c r="AO234" s="138">
        <v>9.1616476037496426</v>
      </c>
      <c r="AP234" s="138">
        <v>8.7932680466718462</v>
      </c>
      <c r="AQ234" s="138">
        <v>8.3026435781496009</v>
      </c>
      <c r="AR234" s="138">
        <v>8.003660552029503</v>
      </c>
      <c r="AS234" s="138">
        <v>7.778831224349279</v>
      </c>
      <c r="AT234" s="138">
        <v>7.6516890044980714</v>
      </c>
      <c r="AU234" s="138">
        <v>7.824821668068342</v>
      </c>
      <c r="AV234" s="138">
        <v>7.551819787151957</v>
      </c>
      <c r="AW234" s="138">
        <v>7.4934794101222781</v>
      </c>
      <c r="AX234" s="138">
        <v>7.2207796871468801</v>
      </c>
      <c r="AY234" s="138">
        <v>7.1267943953128583</v>
      </c>
      <c r="AZ234" s="138">
        <v>7.0902926373096573</v>
      </c>
      <c r="BA234" s="138">
        <v>6.9077345685129563</v>
      </c>
      <c r="BB234" s="138">
        <v>6.8687421196424543</v>
      </c>
      <c r="BC234" s="138">
        <v>6.8579994028146176</v>
      </c>
      <c r="BD234" s="138">
        <v>6.6846972235727851</v>
      </c>
      <c r="BE234" s="138">
        <v>6.5165554073239047</v>
      </c>
      <c r="BF234" s="138">
        <v>6.4599896402677173</v>
      </c>
      <c r="BG234" s="138">
        <v>6.3619488752299436</v>
      </c>
      <c r="BN234" s="160">
        <f t="shared" si="9"/>
        <v>6.3619488752299436</v>
      </c>
      <c r="BO234" s="628">
        <f t="shared" si="10"/>
        <v>6.3619488752299436</v>
      </c>
      <c r="BP234" s="627" t="str">
        <f>INDEX('HCW Summary Data'!$D$9:$D$272,MATCH($B234,'HCW Summary Data'!$B$9:$B$272,0))</f>
        <v>OUT</v>
      </c>
      <c r="BQ234" s="630">
        <f t="shared" si="11"/>
        <v>2.7250000000000001</v>
      </c>
    </row>
    <row r="235" spans="2:69" x14ac:dyDescent="0.25">
      <c r="B235" s="138" t="s">
        <v>215</v>
      </c>
      <c r="C235" s="138" t="s">
        <v>137</v>
      </c>
      <c r="D235" s="138" t="s">
        <v>907</v>
      </c>
      <c r="E235" s="138" t="s">
        <v>908</v>
      </c>
      <c r="F235" s="138">
        <v>1.26509189605713</v>
      </c>
      <c r="P235" s="138">
        <v>1.5333000421523999</v>
      </c>
      <c r="U235" s="138">
        <v>1.4399000406265301</v>
      </c>
      <c r="AJ235" s="138">
        <v>1.5111000537999999</v>
      </c>
      <c r="AY235" s="138">
        <v>0.9</v>
      </c>
      <c r="BE235" s="138">
        <v>0.7</v>
      </c>
      <c r="BN235" s="160">
        <f t="shared" si="9"/>
        <v>0.7</v>
      </c>
      <c r="BO235" s="628">
        <f t="shared" si="10"/>
        <v>0.7</v>
      </c>
      <c r="BP235" s="627" t="str">
        <f>INDEX('HCW Summary Data'!$D$9:$D$272,MATCH($B235,'HCW Summary Data'!$B$9:$B$272,0))</f>
        <v>Upper middle income</v>
      </c>
      <c r="BQ235" s="630">
        <f t="shared" si="11"/>
        <v>3.32</v>
      </c>
    </row>
    <row r="236" spans="2:69" x14ac:dyDescent="0.25">
      <c r="B236" s="138" t="s">
        <v>654</v>
      </c>
      <c r="C236" s="138" t="s">
        <v>138</v>
      </c>
      <c r="D236" s="138" t="s">
        <v>907</v>
      </c>
      <c r="E236" s="138" t="s">
        <v>908</v>
      </c>
      <c r="F236" s="138">
        <v>0.74003487825393699</v>
      </c>
      <c r="P236" s="138">
        <v>1.1373000144958501</v>
      </c>
      <c r="U236" s="138">
        <v>1.11189997196198</v>
      </c>
      <c r="Z236" s="138">
        <v>1.53509998321533</v>
      </c>
      <c r="AJ236" s="138">
        <v>1.6325999497999999</v>
      </c>
      <c r="AK236" s="138">
        <v>1.6612999439</v>
      </c>
      <c r="AL236" s="138">
        <v>1.7066999674000001</v>
      </c>
      <c r="AO236" s="138">
        <v>1.9900000095000001</v>
      </c>
      <c r="AS236" s="138">
        <v>2.2000000477000001</v>
      </c>
      <c r="AT236" s="138">
        <v>2.2000000000000002</v>
      </c>
      <c r="AV236" s="138">
        <v>2.2000000000000002</v>
      </c>
      <c r="AY236" s="138">
        <v>2.1</v>
      </c>
      <c r="BD236" s="138">
        <v>2.1</v>
      </c>
      <c r="BN236" s="160">
        <f t="shared" si="9"/>
        <v>2.1</v>
      </c>
      <c r="BO236" s="628">
        <f t="shared" si="10"/>
        <v>2.1</v>
      </c>
      <c r="BP236" s="627" t="str">
        <f>INDEX('HCW Summary Data'!$D$9:$D$272,MATCH($B236,'HCW Summary Data'!$B$9:$B$272,0))</f>
        <v>Lower middle income</v>
      </c>
      <c r="BQ236" s="630">
        <f t="shared" si="11"/>
        <v>2.3800000000000003</v>
      </c>
    </row>
    <row r="237" spans="2:69" x14ac:dyDescent="0.25">
      <c r="B237" s="138" t="s">
        <v>238</v>
      </c>
      <c r="C237" s="138" t="s">
        <v>163</v>
      </c>
      <c r="D237" s="138" t="s">
        <v>907</v>
      </c>
      <c r="E237" s="138" t="s">
        <v>908</v>
      </c>
      <c r="AE237" s="138">
        <v>10.6448001861572</v>
      </c>
      <c r="AF237" s="138">
        <v>10.644900321960399</v>
      </c>
      <c r="AG237" s="138">
        <v>10.6555995941162</v>
      </c>
      <c r="AH237" s="138">
        <v>10.6742000579834</v>
      </c>
      <c r="AI237" s="138">
        <v>10.629799842834499</v>
      </c>
      <c r="AJ237" s="138">
        <v>10.661800384499999</v>
      </c>
      <c r="AK237" s="138">
        <v>10.9629001617</v>
      </c>
      <c r="AL237" s="138">
        <v>11.242300033599999</v>
      </c>
      <c r="AM237" s="138">
        <v>10.681200027499999</v>
      </c>
      <c r="AN237" s="138">
        <v>8.9413003922000005</v>
      </c>
      <c r="AO237" s="138">
        <v>8.1999998092999995</v>
      </c>
      <c r="AP237" s="138">
        <v>7.4699997902000002</v>
      </c>
      <c r="AQ237" s="138">
        <v>7.2199997902000002</v>
      </c>
      <c r="AR237" s="138">
        <v>6.9099998474</v>
      </c>
      <c r="AS237" s="138">
        <v>6.8000001906999996</v>
      </c>
      <c r="AT237" s="138">
        <v>6.5</v>
      </c>
      <c r="AU237" s="138">
        <v>6.4</v>
      </c>
      <c r="AV237" s="138">
        <v>6.3</v>
      </c>
      <c r="AW237" s="138">
        <v>6.1</v>
      </c>
      <c r="AX237" s="138">
        <v>6</v>
      </c>
      <c r="AY237" s="138">
        <v>5.9</v>
      </c>
      <c r="AZ237" s="138">
        <v>6.1</v>
      </c>
      <c r="BA237" s="138">
        <v>5.4</v>
      </c>
      <c r="BB237" s="138">
        <v>5.3</v>
      </c>
      <c r="BC237" s="138">
        <v>5.2</v>
      </c>
      <c r="BD237" s="138">
        <v>5</v>
      </c>
      <c r="BE237" s="138">
        <v>4.9000000000000004</v>
      </c>
      <c r="BF237" s="138">
        <v>4.8</v>
      </c>
      <c r="BG237" s="138">
        <v>4.8</v>
      </c>
      <c r="BN237" s="160">
        <f t="shared" si="9"/>
        <v>4.8</v>
      </c>
      <c r="BO237" s="628">
        <f t="shared" si="10"/>
        <v>4.8</v>
      </c>
      <c r="BP237" s="627" t="str">
        <f>INDEX('HCW Summary Data'!$D$9:$D$272,MATCH($B237,'HCW Summary Data'!$B$9:$B$272,0))</f>
        <v>Low income</v>
      </c>
      <c r="BQ237" s="630">
        <f t="shared" si="11"/>
        <v>1.63</v>
      </c>
    </row>
    <row r="238" spans="2:69" x14ac:dyDescent="0.25">
      <c r="B238" s="138" t="s">
        <v>658</v>
      </c>
      <c r="C238" s="138" t="s">
        <v>139</v>
      </c>
      <c r="D238" s="138" t="s">
        <v>907</v>
      </c>
      <c r="E238" s="138" t="s">
        <v>908</v>
      </c>
      <c r="Z238" s="138">
        <v>10.4604997634888</v>
      </c>
      <c r="AE238" s="138">
        <v>10.668000221252401</v>
      </c>
      <c r="AF238" s="138">
        <v>11.122200012206999</v>
      </c>
      <c r="AG238" s="138">
        <v>11.1049995422363</v>
      </c>
      <c r="AH238" s="138">
        <v>11.129300117492701</v>
      </c>
      <c r="AI238" s="138">
        <v>11.1934003829956</v>
      </c>
      <c r="AJ238" s="138">
        <v>11.484999656699999</v>
      </c>
      <c r="AK238" s="138">
        <v>11.5550003052</v>
      </c>
      <c r="AL238" s="138">
        <v>11.415300369300001</v>
      </c>
      <c r="AM238" s="138">
        <v>11.678899765000001</v>
      </c>
      <c r="AN238" s="138">
        <v>11.470700264</v>
      </c>
      <c r="AO238" s="138">
        <v>10.260000228899999</v>
      </c>
      <c r="AP238" s="138">
        <v>8.0100002288999992</v>
      </c>
      <c r="AQ238" s="138">
        <v>7.1100001334999998</v>
      </c>
      <c r="AT238" s="138">
        <v>9.1</v>
      </c>
      <c r="AU238" s="138">
        <v>8.4</v>
      </c>
      <c r="AV238" s="138">
        <v>8.1999999999999993</v>
      </c>
      <c r="AW238" s="138">
        <v>8.3000000000000007</v>
      </c>
      <c r="AX238" s="138">
        <v>8.1</v>
      </c>
      <c r="AY238" s="138">
        <v>8.4</v>
      </c>
      <c r="AZ238" s="138">
        <v>8.1999999999999993</v>
      </c>
      <c r="BA238" s="138">
        <v>4.0999999999999996</v>
      </c>
      <c r="BB238" s="138">
        <v>7.7</v>
      </c>
      <c r="BC238" s="138">
        <v>7.6</v>
      </c>
      <c r="BD238" s="138">
        <v>7.6</v>
      </c>
      <c r="BE238" s="138">
        <v>7.5</v>
      </c>
      <c r="BF238" s="138">
        <v>7.4</v>
      </c>
      <c r="BG238" s="138">
        <v>7.4</v>
      </c>
      <c r="BN238" s="160">
        <f t="shared" si="9"/>
        <v>7.4</v>
      </c>
      <c r="BO238" s="628">
        <f t="shared" si="10"/>
        <v>7.4</v>
      </c>
      <c r="BP238" s="627" t="str">
        <f>INDEX('HCW Summary Data'!$D$9:$D$272,MATCH($B238,'HCW Summary Data'!$B$9:$B$272,0))</f>
        <v>High income</v>
      </c>
      <c r="BQ238" s="630">
        <f t="shared" si="11"/>
        <v>3.5700000000000003</v>
      </c>
    </row>
    <row r="239" spans="2:69" x14ac:dyDescent="0.25">
      <c r="B239" s="138" t="s">
        <v>547</v>
      </c>
      <c r="C239" s="138" t="s">
        <v>548</v>
      </c>
      <c r="D239" s="138" t="s">
        <v>907</v>
      </c>
      <c r="E239" s="138" t="s">
        <v>908</v>
      </c>
      <c r="F239" s="138">
        <v>3.3853155352479547</v>
      </c>
      <c r="P239" s="138">
        <v>3.4076328274815908</v>
      </c>
      <c r="AJ239" s="138">
        <v>2.4074238790078479</v>
      </c>
      <c r="AM239" s="138">
        <v>2.4784495697037259</v>
      </c>
      <c r="AP239" s="138">
        <v>2.1837208517148854</v>
      </c>
      <c r="BC239" s="138">
        <v>1.8546929503005614</v>
      </c>
      <c r="BD239" s="138">
        <v>2.1438479794817344</v>
      </c>
      <c r="BE239" s="138">
        <v>1.9414130635837277</v>
      </c>
      <c r="BF239" s="138">
        <v>2.0323400906413838</v>
      </c>
      <c r="BG239" s="138">
        <v>2.0748850997330575</v>
      </c>
      <c r="BH239" s="138">
        <v>2.08967547696012</v>
      </c>
      <c r="BN239" s="160">
        <f t="shared" si="9"/>
        <v>2.08967547696012</v>
      </c>
      <c r="BO239" s="628">
        <f t="shared" si="10"/>
        <v>2.08967547696012</v>
      </c>
      <c r="BP239" s="627" t="str">
        <f>INDEX('HCW Summary Data'!$D$9:$D$272,MATCH($B239,'HCW Summary Data'!$B$9:$B$272,0))</f>
        <v>OUT</v>
      </c>
      <c r="BQ239" s="630">
        <f t="shared" si="11"/>
        <v>2.7250000000000001</v>
      </c>
    </row>
    <row r="240" spans="2:69" x14ac:dyDescent="0.25">
      <c r="B240" s="138" t="s">
        <v>246</v>
      </c>
      <c r="C240" s="138" t="s">
        <v>140</v>
      </c>
      <c r="D240" s="138" t="s">
        <v>907</v>
      </c>
      <c r="E240" s="138" t="s">
        <v>908</v>
      </c>
      <c r="BC240" s="138">
        <v>5.9</v>
      </c>
      <c r="BD240" s="138">
        <v>5.9</v>
      </c>
      <c r="BN240" s="160">
        <f t="shared" si="9"/>
        <v>5.9</v>
      </c>
      <c r="BO240" s="628">
        <f t="shared" si="10"/>
        <v>5.9</v>
      </c>
      <c r="BP240" s="627" t="str">
        <f>INDEX('HCW Summary Data'!$D$9:$D$272,MATCH($B240,'HCW Summary Data'!$B$9:$B$272,0))</f>
        <v>Low income</v>
      </c>
      <c r="BQ240" s="630">
        <f t="shared" si="11"/>
        <v>1.63</v>
      </c>
    </row>
    <row r="241" spans="2:69" x14ac:dyDescent="0.25">
      <c r="B241" s="138" t="s">
        <v>576</v>
      </c>
      <c r="C241" s="138" t="s">
        <v>577</v>
      </c>
      <c r="D241" s="138" t="s">
        <v>907</v>
      </c>
      <c r="E241" s="138" t="s">
        <v>908</v>
      </c>
      <c r="F241" s="138">
        <v>1.8439760181732765</v>
      </c>
      <c r="P241" s="138">
        <v>1.9069529216601422</v>
      </c>
      <c r="Z241" s="138">
        <v>1.7473105473612334</v>
      </c>
      <c r="AA241" s="138">
        <v>1.7520005838595081</v>
      </c>
      <c r="AJ241" s="138">
        <v>1.7499535727126978</v>
      </c>
      <c r="AT241" s="138">
        <v>1.6436750718705841</v>
      </c>
      <c r="AU241" s="138">
        <v>1.6236523843981892</v>
      </c>
      <c r="AV241" s="138">
        <v>1.6468667484683379</v>
      </c>
      <c r="AW241" s="138">
        <v>1.646571080013123</v>
      </c>
      <c r="AX241" s="138">
        <v>1.6761964363880009</v>
      </c>
      <c r="AY241" s="138">
        <v>1.6734739443482836</v>
      </c>
      <c r="AZ241" s="138">
        <v>1.7121248199255614</v>
      </c>
      <c r="BA241" s="138">
        <v>1.6721220267037615</v>
      </c>
      <c r="BB241" s="138">
        <v>1.6216907116887045</v>
      </c>
      <c r="BC241" s="138">
        <v>1.5134445200018878</v>
      </c>
      <c r="BD241" s="138">
        <v>1.5884314964685946</v>
      </c>
      <c r="BE241" s="138">
        <v>1.2333075724781077</v>
      </c>
      <c r="BF241" s="138">
        <v>0.82708115018422279</v>
      </c>
      <c r="BG241" s="138">
        <v>1.1630078505323143</v>
      </c>
      <c r="BH241" s="138">
        <v>1.5166967169273771</v>
      </c>
      <c r="BN241" s="160">
        <f t="shared" si="9"/>
        <v>1.5166967169273771</v>
      </c>
      <c r="BO241" s="628">
        <f t="shared" si="10"/>
        <v>1.5166967169273771</v>
      </c>
      <c r="BP241" s="627" t="str">
        <f>INDEX('HCW Summary Data'!$D$9:$D$272,MATCH($B241,'HCW Summary Data'!$B$9:$B$272,0))</f>
        <v>OUT</v>
      </c>
      <c r="BQ241" s="630">
        <f t="shared" si="11"/>
        <v>2.7250000000000001</v>
      </c>
    </row>
    <row r="242" spans="2:69" x14ac:dyDescent="0.25">
      <c r="B242" s="138" t="s">
        <v>256</v>
      </c>
      <c r="C242" s="138" t="s">
        <v>141</v>
      </c>
      <c r="D242" s="138" t="s">
        <v>907</v>
      </c>
      <c r="E242" s="138" t="s">
        <v>908</v>
      </c>
      <c r="F242" s="138">
        <v>2.5</v>
      </c>
      <c r="P242" s="138">
        <v>2.59299993515015</v>
      </c>
      <c r="Z242" s="138">
        <v>3.4467999935150102</v>
      </c>
      <c r="AA242" s="138">
        <v>3.53940010070801</v>
      </c>
      <c r="AU242" s="138">
        <v>3.2000000477000001</v>
      </c>
      <c r="AX242" s="138">
        <v>2.4</v>
      </c>
      <c r="BB242" s="138">
        <v>2.4</v>
      </c>
      <c r="BD242" s="138">
        <v>2.6</v>
      </c>
      <c r="BN242" s="160">
        <f t="shared" si="9"/>
        <v>2.6</v>
      </c>
      <c r="BO242" s="628">
        <f t="shared" si="10"/>
        <v>2.6</v>
      </c>
      <c r="BP242" s="627" t="str">
        <f>INDEX('HCW Summary Data'!$D$9:$D$272,MATCH($B242,'HCW Summary Data'!$B$9:$B$272,0))</f>
        <v>High income</v>
      </c>
      <c r="BQ242" s="630">
        <f t="shared" si="11"/>
        <v>3.5700000000000003</v>
      </c>
    </row>
    <row r="243" spans="2:69" x14ac:dyDescent="0.25">
      <c r="B243" s="138" t="s">
        <v>632</v>
      </c>
      <c r="C243" s="138" t="s">
        <v>633</v>
      </c>
      <c r="D243" s="138" t="s">
        <v>907</v>
      </c>
      <c r="E243" s="138" t="s">
        <v>908</v>
      </c>
      <c r="F243" s="138">
        <v>0.50630844011821574</v>
      </c>
      <c r="P243" s="138">
        <v>0.58514162500468481</v>
      </c>
      <c r="U243" s="138">
        <v>0.62665708729566538</v>
      </c>
      <c r="Z243" s="138">
        <v>0.72945337708162117</v>
      </c>
      <c r="AA243" s="138">
        <v>0.73184895803921313</v>
      </c>
      <c r="AE243" s="138">
        <v>0.70908290144914998</v>
      </c>
      <c r="AG243" s="138">
        <v>0.70241016978022341</v>
      </c>
      <c r="AK243" s="138">
        <v>0.71941374022195159</v>
      </c>
      <c r="AV243" s="138">
        <v>0.67765124019247158</v>
      </c>
      <c r="AW243" s="138">
        <v>0.86737903302951891</v>
      </c>
      <c r="AY243" s="138">
        <v>0.81325691749772511</v>
      </c>
      <c r="BE243" s="138">
        <v>0.67426183450707411</v>
      </c>
      <c r="BN243" s="160">
        <f t="shared" si="9"/>
        <v>0.67426183450707411</v>
      </c>
      <c r="BO243" s="628">
        <f t="shared" si="10"/>
        <v>0.67426183450707411</v>
      </c>
      <c r="BP243" s="627" t="str">
        <f>INDEX('HCW Summary Data'!$D$9:$D$272,MATCH($B243,'HCW Summary Data'!$B$9:$B$272,0))</f>
        <v>OUT</v>
      </c>
      <c r="BQ243" s="630">
        <f t="shared" si="11"/>
        <v>2.7250000000000001</v>
      </c>
    </row>
    <row r="244" spans="2:69" x14ac:dyDescent="0.25">
      <c r="B244" s="138" t="s">
        <v>648</v>
      </c>
      <c r="C244" s="138" t="s">
        <v>649</v>
      </c>
      <c r="D244" s="138" t="s">
        <v>907</v>
      </c>
      <c r="E244" s="138" t="s">
        <v>908</v>
      </c>
      <c r="F244" s="138">
        <v>1.3992890315360276</v>
      </c>
      <c r="P244" s="138">
        <v>1.3586140938132973</v>
      </c>
      <c r="U244" s="138">
        <v>1.2786763405983781</v>
      </c>
      <c r="AJ244" s="138">
        <v>1.2125754223136327</v>
      </c>
      <c r="BN244" s="160">
        <f t="shared" si="9"/>
        <v>1.2125754223136327</v>
      </c>
      <c r="BO244" s="628">
        <f t="shared" si="10"/>
        <v>1.2125754223136327</v>
      </c>
      <c r="BP244" s="627" t="str">
        <f>INDEX('HCW Summary Data'!$D$9:$D$272,MATCH($B244,'HCW Summary Data'!$B$9:$B$272,0))</f>
        <v>OUT</v>
      </c>
      <c r="BQ244" s="630">
        <f t="shared" si="11"/>
        <v>2.7250000000000001</v>
      </c>
    </row>
    <row r="245" spans="2:69" x14ac:dyDescent="0.25">
      <c r="B245" s="138" t="s">
        <v>655</v>
      </c>
      <c r="C245" s="138" t="s">
        <v>142</v>
      </c>
      <c r="D245" s="138" t="s">
        <v>907</v>
      </c>
      <c r="E245" s="138" t="s">
        <v>908</v>
      </c>
      <c r="F245" s="138">
        <v>5.58956098556519</v>
      </c>
      <c r="P245" s="138">
        <v>4.9433999061584499</v>
      </c>
      <c r="U245" s="138">
        <v>4.9851999282836896</v>
      </c>
      <c r="AF245" s="138">
        <v>5.0373001098632804</v>
      </c>
      <c r="AJ245" s="138">
        <v>4</v>
      </c>
      <c r="AM245" s="138">
        <v>3.2425999641000001</v>
      </c>
      <c r="AO245" s="138">
        <v>3.8</v>
      </c>
      <c r="AP245" s="138">
        <v>5.1100001334999998</v>
      </c>
      <c r="AT245" s="138">
        <v>3.3</v>
      </c>
      <c r="AU245" s="138">
        <v>3.4000000953999998</v>
      </c>
      <c r="AW245" s="138">
        <v>3.3</v>
      </c>
      <c r="AY245" s="138">
        <v>2.6</v>
      </c>
      <c r="AZ245" s="138">
        <v>2.7</v>
      </c>
      <c r="BA245" s="138">
        <v>2.7</v>
      </c>
      <c r="BB245" s="138">
        <v>2.5</v>
      </c>
      <c r="BC245" s="138">
        <v>2.6</v>
      </c>
      <c r="BD245" s="138">
        <v>2.1</v>
      </c>
      <c r="BF245" s="138">
        <v>2.7</v>
      </c>
      <c r="BG245" s="138">
        <v>2.7</v>
      </c>
      <c r="BH245" s="138">
        <v>3</v>
      </c>
      <c r="BN245" s="160">
        <f t="shared" si="9"/>
        <v>3</v>
      </c>
      <c r="BO245" s="628">
        <f t="shared" si="10"/>
        <v>3</v>
      </c>
      <c r="BP245" s="627" t="str">
        <f>INDEX('HCW Summary Data'!$D$9:$D$272,MATCH($B245,'HCW Summary Data'!$B$9:$B$272,0))</f>
        <v>Lower middle income</v>
      </c>
      <c r="BQ245" s="630">
        <f t="shared" si="11"/>
        <v>2.3800000000000003</v>
      </c>
    </row>
    <row r="246" spans="2:69" x14ac:dyDescent="0.25">
      <c r="B246" s="138" t="s">
        <v>656</v>
      </c>
      <c r="C246" s="138" t="s">
        <v>143</v>
      </c>
      <c r="D246" s="138" t="s">
        <v>907</v>
      </c>
      <c r="E246" s="138" t="s">
        <v>908</v>
      </c>
      <c r="F246" s="138">
        <v>2.4676616191864</v>
      </c>
      <c r="P246" s="138">
        <v>2.4442999362945601</v>
      </c>
      <c r="U246" s="138">
        <v>2.5</v>
      </c>
      <c r="Z246" s="138">
        <v>2.1257998943328902</v>
      </c>
      <c r="AI246" s="138">
        <v>1.9657000303268399</v>
      </c>
      <c r="AJ246" s="138">
        <v>1.9167000055000001</v>
      </c>
      <c r="AK246" s="138">
        <v>2.0123000145000001</v>
      </c>
      <c r="AL246" s="138">
        <v>2.8573000431</v>
      </c>
      <c r="AN246" s="138">
        <v>1.7615000009999999</v>
      </c>
      <c r="AP246" s="138">
        <v>2</v>
      </c>
      <c r="AQ246" s="138">
        <v>1.7000000476999999</v>
      </c>
      <c r="AT246" s="138">
        <v>1.7</v>
      </c>
      <c r="AU246" s="138">
        <v>1.7</v>
      </c>
      <c r="AV246" s="138">
        <v>1.7</v>
      </c>
      <c r="AW246" s="138">
        <v>1.7</v>
      </c>
      <c r="AX246" s="138">
        <v>2.1</v>
      </c>
      <c r="AY246" s="138">
        <v>1.8</v>
      </c>
      <c r="AZ246" s="138">
        <v>2</v>
      </c>
      <c r="BA246" s="138">
        <v>1.8</v>
      </c>
      <c r="BB246" s="138">
        <v>2</v>
      </c>
      <c r="BC246" s="138">
        <v>2.1</v>
      </c>
      <c r="BD246" s="138">
        <v>2.1</v>
      </c>
      <c r="BE246" s="138">
        <v>2.1</v>
      </c>
      <c r="BF246" s="138">
        <v>2.1</v>
      </c>
      <c r="BG246" s="138">
        <v>2.1</v>
      </c>
      <c r="BH246" s="138">
        <v>2.2000000000000002</v>
      </c>
      <c r="BI246" s="138">
        <v>2.2999999999999998</v>
      </c>
      <c r="BN246" s="160">
        <f t="shared" si="9"/>
        <v>2.2999999999999998</v>
      </c>
      <c r="BO246" s="628">
        <f t="shared" si="10"/>
        <v>2.2999999999999998</v>
      </c>
      <c r="BP246" s="627" t="str">
        <f>INDEX('HCW Summary Data'!$D$9:$D$272,MATCH($B246,'HCW Summary Data'!$B$9:$B$272,0))</f>
        <v>Upper middle income</v>
      </c>
      <c r="BQ246" s="630">
        <f t="shared" si="11"/>
        <v>3.32</v>
      </c>
    </row>
    <row r="247" spans="2:69" x14ac:dyDescent="0.25">
      <c r="B247" s="138" t="s">
        <v>657</v>
      </c>
      <c r="C247" s="138" t="s">
        <v>144</v>
      </c>
      <c r="D247" s="138" t="s">
        <v>907</v>
      </c>
      <c r="E247" s="138" t="s">
        <v>908</v>
      </c>
      <c r="F247" s="138">
        <v>1.70000004768372</v>
      </c>
      <c r="K247" s="138">
        <v>1.79999995231628</v>
      </c>
      <c r="P247" s="138">
        <v>2</v>
      </c>
      <c r="U247" s="138">
        <v>2</v>
      </c>
      <c r="Z247" s="138">
        <v>2.2000000476837198</v>
      </c>
      <c r="AE247" s="138">
        <v>2.0999999046325701</v>
      </c>
      <c r="AF247" s="138">
        <v>2.0999999046325701</v>
      </c>
      <c r="AG247" s="138">
        <v>2.0999999046325701</v>
      </c>
      <c r="AH247" s="138">
        <v>2.0999999046325701</v>
      </c>
      <c r="AI247" s="138">
        <v>2.0999999046325701</v>
      </c>
      <c r="AJ247" s="138">
        <v>2.4000000953999998</v>
      </c>
      <c r="AK247" s="138">
        <v>2.4000000953999998</v>
      </c>
      <c r="AL247" s="138">
        <v>2.4000000953999998</v>
      </c>
      <c r="AM247" s="138">
        <v>2.5</v>
      </c>
      <c r="AN247" s="138">
        <v>2.5</v>
      </c>
      <c r="AO247" s="138">
        <v>2.5</v>
      </c>
      <c r="AP247" s="138">
        <v>2.5</v>
      </c>
      <c r="AQ247" s="138">
        <v>2.5</v>
      </c>
      <c r="AR247" s="138">
        <v>2.5</v>
      </c>
      <c r="AS247" s="138">
        <v>2.5999999046000002</v>
      </c>
      <c r="AT247" s="138">
        <v>2.1</v>
      </c>
      <c r="AU247" s="138">
        <v>2.2000000000000002</v>
      </c>
      <c r="AV247" s="138">
        <v>2.2999999999999998</v>
      </c>
      <c r="AW247" s="138">
        <v>2.2000000000000002</v>
      </c>
      <c r="AX247" s="138">
        <v>2.2000000000000002</v>
      </c>
      <c r="AY247" s="138">
        <v>2.2999999999999998</v>
      </c>
      <c r="AZ247" s="138">
        <v>2.2999999999999998</v>
      </c>
      <c r="BA247" s="138">
        <v>2.2999999999999998</v>
      </c>
      <c r="BB247" s="138">
        <v>2.2999999999999998</v>
      </c>
      <c r="BC247" s="138">
        <v>2.5</v>
      </c>
      <c r="BD247" s="138">
        <v>2.5</v>
      </c>
      <c r="BE247" s="138">
        <v>2.5</v>
      </c>
      <c r="BF247" s="138">
        <v>2.7</v>
      </c>
      <c r="BG247" s="138">
        <v>2.7</v>
      </c>
      <c r="BN247" s="160">
        <f t="shared" si="9"/>
        <v>2.7</v>
      </c>
      <c r="BO247" s="628">
        <f t="shared" si="10"/>
        <v>2.7</v>
      </c>
      <c r="BP247" s="627" t="str">
        <f>INDEX('HCW Summary Data'!$D$9:$D$272,MATCH($B247,'HCW Summary Data'!$B$9:$B$272,0))</f>
        <v>Upper middle income</v>
      </c>
      <c r="BQ247" s="630">
        <f t="shared" si="11"/>
        <v>3.32</v>
      </c>
    </row>
    <row r="248" spans="2:69" x14ac:dyDescent="0.25">
      <c r="B248" s="138" t="s">
        <v>257</v>
      </c>
      <c r="C248" s="138" t="s">
        <v>145</v>
      </c>
      <c r="D248" s="138" t="s">
        <v>907</v>
      </c>
      <c r="E248" s="138" t="s">
        <v>908</v>
      </c>
      <c r="AU248" s="138">
        <v>5.6</v>
      </c>
      <c r="BN248" s="160">
        <f t="shared" si="9"/>
        <v>5.6</v>
      </c>
      <c r="BO248" s="628">
        <f t="shared" si="10"/>
        <v>5.6</v>
      </c>
      <c r="BP248" s="627" t="str">
        <f>INDEX('HCW Summary Data'!$D$9:$D$272,MATCH($B248,'HCW Summary Data'!$B$9:$B$272,0))</f>
        <v>Low income</v>
      </c>
      <c r="BQ248" s="630">
        <f t="shared" si="11"/>
        <v>1.63</v>
      </c>
    </row>
    <row r="249" spans="2:69" x14ac:dyDescent="0.25">
      <c r="B249" s="138" t="s">
        <v>653</v>
      </c>
      <c r="C249" s="138" t="s">
        <v>146</v>
      </c>
      <c r="D249" s="138" t="s">
        <v>907</v>
      </c>
      <c r="E249" s="138" t="s">
        <v>908</v>
      </c>
      <c r="F249" s="138">
        <v>1.49044585227966</v>
      </c>
      <c r="V249" s="138">
        <v>1.4313000440597501</v>
      </c>
      <c r="X249" s="138">
        <v>1.4371999502182</v>
      </c>
      <c r="Z249" s="138">
        <v>1.39750003814697</v>
      </c>
      <c r="AB249" s="138">
        <v>1.36580002307892</v>
      </c>
      <c r="AD249" s="138">
        <v>1.30309998989105</v>
      </c>
      <c r="AH249" s="138">
        <v>1.0903999805450399</v>
      </c>
      <c r="AJ249" s="138">
        <v>1.0246000289999999</v>
      </c>
      <c r="AL249" s="138">
        <v>0.89029997589999998</v>
      </c>
      <c r="AZ249" s="138">
        <v>1.1000000000000001</v>
      </c>
      <c r="BD249" s="138">
        <v>0.7</v>
      </c>
      <c r="BN249" s="160">
        <f t="shared" si="9"/>
        <v>0.7</v>
      </c>
      <c r="BO249" s="628">
        <f t="shared" si="10"/>
        <v>0.7</v>
      </c>
      <c r="BP249" s="627" t="str">
        <f>INDEX('HCW Summary Data'!$D$9:$D$272,MATCH($B249,'HCW Summary Data'!$B$9:$B$272,0))</f>
        <v>Upper middle income</v>
      </c>
      <c r="BQ249" s="630">
        <f t="shared" si="11"/>
        <v>3.32</v>
      </c>
    </row>
    <row r="250" spans="2:69" x14ac:dyDescent="0.25">
      <c r="B250" s="138" t="s">
        <v>216</v>
      </c>
      <c r="C250" s="138" t="s">
        <v>147</v>
      </c>
      <c r="D250" s="138" t="s">
        <v>907</v>
      </c>
      <c r="E250" s="138" t="s">
        <v>908</v>
      </c>
      <c r="F250" s="138">
        <v>1.4807984828948999</v>
      </c>
      <c r="P250" s="138">
        <v>1.55869996547699</v>
      </c>
      <c r="U250" s="138">
        <v>1.6484999656677199</v>
      </c>
      <c r="AA250" s="138">
        <v>1.51250004768372</v>
      </c>
      <c r="AH250" s="138">
        <v>1.3154000043869001</v>
      </c>
      <c r="AK250" s="138">
        <v>0.91619998219999998</v>
      </c>
      <c r="AX250" s="138">
        <v>0.7</v>
      </c>
      <c r="AY250" s="138">
        <v>1</v>
      </c>
      <c r="AZ250" s="138">
        <v>1.1000000000000001</v>
      </c>
      <c r="BC250" s="138">
        <v>0.4</v>
      </c>
      <c r="BD250" s="138">
        <v>0.5</v>
      </c>
      <c r="BN250" s="160">
        <f t="shared" si="9"/>
        <v>0.5</v>
      </c>
      <c r="BO250" s="628">
        <f t="shared" si="10"/>
        <v>0.5</v>
      </c>
      <c r="BP250" s="627" t="str">
        <f>INDEX('HCW Summary Data'!$D$9:$D$272,MATCH($B250,'HCW Summary Data'!$B$9:$B$272,0))</f>
        <v>Lower middle income</v>
      </c>
      <c r="BQ250" s="630">
        <f t="shared" si="11"/>
        <v>2.3800000000000003</v>
      </c>
    </row>
    <row r="251" spans="2:69" x14ac:dyDescent="0.25">
      <c r="B251" s="138" t="s">
        <v>239</v>
      </c>
      <c r="C251" s="138" t="s">
        <v>148</v>
      </c>
      <c r="D251" s="138" t="s">
        <v>907</v>
      </c>
      <c r="E251" s="138" t="s">
        <v>908</v>
      </c>
      <c r="Z251" s="138">
        <v>12.143500328064</v>
      </c>
      <c r="AA251" s="138">
        <v>12.253299713134799</v>
      </c>
      <c r="AB251" s="138">
        <v>12.3577995300293</v>
      </c>
      <c r="AC251" s="138">
        <v>12.444800376892101</v>
      </c>
      <c r="AD251" s="138">
        <v>12.5909996032715</v>
      </c>
      <c r="AE251" s="138">
        <v>12.694999694824199</v>
      </c>
      <c r="AF251" s="138">
        <v>12.787599563598601</v>
      </c>
      <c r="AG251" s="138">
        <v>12.8506002426147</v>
      </c>
      <c r="AH251" s="138">
        <v>12.9303998947144</v>
      </c>
      <c r="AI251" s="138">
        <v>13.006400108337401</v>
      </c>
      <c r="AJ251" s="138">
        <v>13.013099670400001</v>
      </c>
      <c r="AK251" s="138">
        <v>12.969099998500001</v>
      </c>
      <c r="AL251" s="138">
        <v>12.7290000916</v>
      </c>
      <c r="AM251" s="138">
        <v>12.470700264</v>
      </c>
      <c r="AN251" s="138">
        <v>12.302200317400001</v>
      </c>
      <c r="AO251" s="138">
        <v>11.890000343300001</v>
      </c>
      <c r="AP251" s="138">
        <v>10.8400001526</v>
      </c>
      <c r="AQ251" s="138">
        <v>9.3699998856000004</v>
      </c>
      <c r="AR251" s="138">
        <v>9.0399999618999995</v>
      </c>
      <c r="AS251" s="138">
        <v>8.9499998092999995</v>
      </c>
      <c r="AT251" s="138">
        <v>8.8000000000000007</v>
      </c>
      <c r="AU251" s="138">
        <v>8.8000000000000007</v>
      </c>
      <c r="AV251" s="138">
        <v>8.9</v>
      </c>
      <c r="AW251" s="138">
        <v>8.8000000000000007</v>
      </c>
      <c r="AX251" s="138">
        <v>8.6999999999999993</v>
      </c>
      <c r="AY251" s="138">
        <v>8.6999999999999993</v>
      </c>
      <c r="AZ251" s="138">
        <v>8.6999999999999993</v>
      </c>
      <c r="BA251" s="138">
        <v>8.6999999999999993</v>
      </c>
      <c r="BB251" s="138">
        <v>8.6999999999999993</v>
      </c>
      <c r="BC251" s="138">
        <v>9.4</v>
      </c>
      <c r="BD251" s="138">
        <v>9.4</v>
      </c>
      <c r="BE251" s="138">
        <v>9</v>
      </c>
      <c r="BF251" s="138">
        <v>8.9</v>
      </c>
      <c r="BG251" s="138">
        <v>8.8000000000000007</v>
      </c>
      <c r="BN251" s="160">
        <f t="shared" si="9"/>
        <v>8.8000000000000007</v>
      </c>
      <c r="BO251" s="628">
        <f t="shared" si="10"/>
        <v>8.8000000000000007</v>
      </c>
      <c r="BP251" s="627" t="str">
        <f>INDEX('HCW Summary Data'!$D$9:$D$272,MATCH($B251,'HCW Summary Data'!$B$9:$B$272,0))</f>
        <v>High income</v>
      </c>
      <c r="BQ251" s="630">
        <f t="shared" si="11"/>
        <v>3.5700000000000003</v>
      </c>
    </row>
    <row r="252" spans="2:69" x14ac:dyDescent="0.25">
      <c r="B252" s="138" t="s">
        <v>664</v>
      </c>
      <c r="C252" s="138" t="s">
        <v>665</v>
      </c>
      <c r="D252" s="138" t="s">
        <v>907</v>
      </c>
      <c r="E252" s="138" t="s">
        <v>908</v>
      </c>
      <c r="P252" s="138">
        <v>1.9364277939367331</v>
      </c>
      <c r="U252" s="138">
        <v>2.2107310534394715</v>
      </c>
      <c r="Z252" s="138">
        <v>2.5318724984461767</v>
      </c>
      <c r="AE252" s="138">
        <v>3.9221065389211844</v>
      </c>
      <c r="AF252" s="138">
        <v>3.9662434347042543</v>
      </c>
      <c r="AG252" s="138">
        <v>3.9210856010692501</v>
      </c>
      <c r="AH252" s="138">
        <v>3.9846046216753557</v>
      </c>
      <c r="AI252" s="138">
        <v>3.9496834018352396</v>
      </c>
      <c r="AJ252" s="138">
        <v>3.5937126485131241</v>
      </c>
      <c r="AK252" s="138">
        <v>3.8076788705213249</v>
      </c>
      <c r="AL252" s="138">
        <v>3.7199562937216362</v>
      </c>
      <c r="AM252" s="138">
        <v>3.694257947389163</v>
      </c>
      <c r="AN252" s="138">
        <v>3.6913371088419225</v>
      </c>
      <c r="AO252" s="138">
        <v>3.6526035606908578</v>
      </c>
      <c r="AP252" s="138">
        <v>3.3767608087201628</v>
      </c>
      <c r="AQ252" s="138">
        <v>3.5522736421680383</v>
      </c>
      <c r="AR252" s="138">
        <v>3.4321530606024222</v>
      </c>
      <c r="AS252" s="138">
        <v>3.3766814402515863</v>
      </c>
      <c r="AT252" s="138">
        <v>3.29765701562257</v>
      </c>
      <c r="AU252" s="138">
        <v>3.2401803632726942</v>
      </c>
      <c r="AV252" s="138">
        <v>3.1015117990210674</v>
      </c>
      <c r="AW252" s="138">
        <v>2.8968964961739583</v>
      </c>
      <c r="AX252" s="138">
        <v>3.3787423332201496</v>
      </c>
      <c r="AY252" s="138">
        <v>3.1002779606771997</v>
      </c>
      <c r="AZ252" s="138">
        <v>2.9227105982848962</v>
      </c>
      <c r="BC252" s="138">
        <v>3.9621423880520306</v>
      </c>
      <c r="BD252" s="138">
        <v>3.5643194401215084</v>
      </c>
      <c r="BE252" s="138">
        <v>3.6251885775559125</v>
      </c>
      <c r="BF252" s="138">
        <v>3.8496473351827474</v>
      </c>
      <c r="BN252" s="160">
        <f t="shared" si="9"/>
        <v>3.8496473351827474</v>
      </c>
      <c r="BO252" s="628">
        <f t="shared" si="10"/>
        <v>3.8496473351827474</v>
      </c>
      <c r="BP252" s="627" t="str">
        <f>INDEX('HCW Summary Data'!$D$9:$D$272,MATCH($B252,'HCW Summary Data'!$B$9:$B$272,0))</f>
        <v>OUT</v>
      </c>
      <c r="BQ252" s="630">
        <f t="shared" si="11"/>
        <v>2.7250000000000001</v>
      </c>
    </row>
    <row r="253" spans="2:69" x14ac:dyDescent="0.25">
      <c r="B253" s="138" t="s">
        <v>666</v>
      </c>
      <c r="C253" s="138" t="s">
        <v>667</v>
      </c>
      <c r="D253" s="138" t="s">
        <v>907</v>
      </c>
      <c r="E253" s="138" t="s">
        <v>908</v>
      </c>
      <c r="F253" s="138">
        <v>5.5118203163146999</v>
      </c>
      <c r="P253" s="138">
        <v>5.9127001762390101</v>
      </c>
      <c r="U253" s="138">
        <v>5.0018000602722203</v>
      </c>
      <c r="AE253" s="138">
        <v>3.24580001831055</v>
      </c>
      <c r="AJ253" s="138">
        <v>4.5226001739999999</v>
      </c>
      <c r="AM253" s="138">
        <v>4.5</v>
      </c>
      <c r="AP253" s="138">
        <v>4.3899998665000002</v>
      </c>
      <c r="AW253" s="138">
        <v>1.8999999761999999</v>
      </c>
      <c r="AY253" s="138">
        <v>2.4</v>
      </c>
      <c r="AZ253" s="138">
        <v>2.9</v>
      </c>
      <c r="BA253" s="138">
        <v>2.9</v>
      </c>
      <c r="BD253" s="138">
        <v>1.2</v>
      </c>
      <c r="BE253" s="138">
        <v>3</v>
      </c>
      <c r="BF253" s="138">
        <v>2.5</v>
      </c>
      <c r="BG253" s="138">
        <v>2.5</v>
      </c>
      <c r="BH253" s="138">
        <v>2.8</v>
      </c>
      <c r="BN253" s="160">
        <f t="shared" si="9"/>
        <v>2.8</v>
      </c>
      <c r="BO253" s="628">
        <f t="shared" si="10"/>
        <v>2.8</v>
      </c>
      <c r="BP253" s="627" t="str">
        <f>INDEX('HCW Summary Data'!$D$9:$D$272,MATCH($B253,'HCW Summary Data'!$B$9:$B$272,0))</f>
        <v>Lower middle income</v>
      </c>
      <c r="BQ253" s="630">
        <f t="shared" si="11"/>
        <v>2.3800000000000003</v>
      </c>
    </row>
    <row r="254" spans="2:69" x14ac:dyDescent="0.25">
      <c r="B254" s="138" t="s">
        <v>663</v>
      </c>
      <c r="C254" s="138" t="s">
        <v>149</v>
      </c>
      <c r="D254" s="138" t="s">
        <v>907</v>
      </c>
      <c r="E254" s="138" t="s">
        <v>908</v>
      </c>
      <c r="F254" s="138">
        <v>9.1999998092651403</v>
      </c>
      <c r="K254" s="138">
        <v>8.8000001907348597</v>
      </c>
      <c r="P254" s="138">
        <v>7.9000000953674299</v>
      </c>
      <c r="Q254" s="138">
        <v>7.5</v>
      </c>
      <c r="R254" s="138">
        <v>7.4000000953674299</v>
      </c>
      <c r="S254" s="138">
        <v>7.1999998092651403</v>
      </c>
      <c r="T254" s="138">
        <v>7.0999999046325701</v>
      </c>
      <c r="U254" s="138">
        <v>6.8000001907348597</v>
      </c>
      <c r="V254" s="138">
        <v>6.5999999046325701</v>
      </c>
      <c r="W254" s="138">
        <v>6.4000000953674299</v>
      </c>
      <c r="X254" s="138">
        <v>6.1999998092651403</v>
      </c>
      <c r="Y254" s="138">
        <v>6.0999999046325701</v>
      </c>
      <c r="Z254" s="138">
        <v>6</v>
      </c>
      <c r="AA254" s="138">
        <v>5.9000000953674299</v>
      </c>
      <c r="AB254" s="138">
        <v>5.9000000953674299</v>
      </c>
      <c r="AC254" s="138">
        <v>5.8000001907348597</v>
      </c>
      <c r="AD254" s="138">
        <v>5.6999998092651403</v>
      </c>
      <c r="AE254" s="138">
        <v>5.5</v>
      </c>
      <c r="AF254" s="138">
        <v>5.4000000953674299</v>
      </c>
      <c r="AG254" s="138">
        <v>5.1999998092651403</v>
      </c>
      <c r="AH254" s="138">
        <v>5.0999999046325701</v>
      </c>
      <c r="AI254" s="138">
        <v>5</v>
      </c>
      <c r="AJ254" s="138">
        <v>4.9000000954000003</v>
      </c>
      <c r="AK254" s="138">
        <v>4.8000001906999996</v>
      </c>
      <c r="AL254" s="138">
        <v>4.5999999045999997</v>
      </c>
      <c r="AM254" s="138">
        <v>4.5</v>
      </c>
      <c r="AN254" s="138">
        <v>4.3000001906999996</v>
      </c>
      <c r="AO254" s="138">
        <v>4.0999999045999997</v>
      </c>
      <c r="AP254" s="138">
        <v>3.9000000953999998</v>
      </c>
      <c r="AQ254" s="138">
        <v>3.7999999522999999</v>
      </c>
      <c r="AR254" s="138">
        <v>3.7000000477000001</v>
      </c>
      <c r="AS254" s="138">
        <v>3.5999999046000002</v>
      </c>
      <c r="AT254" s="138">
        <v>3.5</v>
      </c>
      <c r="AU254" s="138">
        <v>3.5</v>
      </c>
      <c r="AV254" s="138">
        <v>3.4000000953999998</v>
      </c>
      <c r="AW254" s="138">
        <v>3.3</v>
      </c>
      <c r="AY254" s="138">
        <v>3.2</v>
      </c>
      <c r="AZ254" s="138">
        <v>3.1</v>
      </c>
      <c r="BA254" s="138">
        <v>3.1</v>
      </c>
      <c r="BB254" s="138">
        <v>3.1</v>
      </c>
      <c r="BC254" s="138">
        <v>3.1</v>
      </c>
      <c r="BD254" s="138">
        <v>3</v>
      </c>
      <c r="BE254" s="138">
        <v>2.9</v>
      </c>
      <c r="BF254" s="138">
        <v>2.9</v>
      </c>
      <c r="BG254" s="138">
        <v>2.9</v>
      </c>
      <c r="BN254" s="160">
        <f t="shared" si="9"/>
        <v>2.9</v>
      </c>
      <c r="BO254" s="628">
        <f t="shared" si="10"/>
        <v>2.9</v>
      </c>
      <c r="BP254" s="627" t="str">
        <f>INDEX('HCW Summary Data'!$D$9:$D$272,MATCH($B254,'HCW Summary Data'!$B$9:$B$272,0))</f>
        <v>High income</v>
      </c>
      <c r="BQ254" s="630">
        <f t="shared" si="11"/>
        <v>3.5700000000000003</v>
      </c>
    </row>
    <row r="255" spans="2:69" x14ac:dyDescent="0.25">
      <c r="B255" s="138" t="s">
        <v>668</v>
      </c>
      <c r="C255" s="138" t="s">
        <v>150</v>
      </c>
      <c r="D255" s="138" t="s">
        <v>907</v>
      </c>
      <c r="E255" s="138" t="s">
        <v>908</v>
      </c>
      <c r="Z255" s="138">
        <v>9.1763000488281303</v>
      </c>
      <c r="AE255" s="138">
        <v>11.834199905395501</v>
      </c>
      <c r="AF255" s="138">
        <v>11.9556999206543</v>
      </c>
      <c r="AG255" s="138">
        <v>11.9456996917725</v>
      </c>
      <c r="AH255" s="138">
        <v>12.216199874877899</v>
      </c>
      <c r="AI255" s="138">
        <v>12.2850999832153</v>
      </c>
      <c r="AJ255" s="138">
        <v>12.482799529999999</v>
      </c>
      <c r="AK255" s="138">
        <v>10.9472999573</v>
      </c>
      <c r="AL255" s="138">
        <v>10.754099845900001</v>
      </c>
      <c r="AM255" s="138">
        <v>9.3942003249999999</v>
      </c>
      <c r="AN255" s="138">
        <v>8.6632995605000005</v>
      </c>
      <c r="AO255" s="138">
        <v>8.3000001907000005</v>
      </c>
      <c r="AP255" s="138">
        <v>7.9299998282999997</v>
      </c>
      <c r="AQ255" s="138">
        <v>6.4800000191000002</v>
      </c>
      <c r="AR255" s="138">
        <v>5.5500001906999996</v>
      </c>
      <c r="AS255" s="138">
        <v>5.3899998665000002</v>
      </c>
      <c r="AT255" s="138">
        <v>5.3</v>
      </c>
      <c r="AU255" s="138">
        <v>5.3</v>
      </c>
      <c r="AV255" s="138">
        <v>5.5</v>
      </c>
      <c r="AW255" s="138">
        <v>5.5</v>
      </c>
      <c r="AX255" s="138">
        <v>5.3</v>
      </c>
      <c r="AY255" s="138">
        <v>5.2</v>
      </c>
      <c r="AZ255" s="138">
        <v>5.0999999999999996</v>
      </c>
      <c r="BA255" s="138">
        <v>4.8</v>
      </c>
      <c r="BB255" s="138">
        <v>4.7</v>
      </c>
      <c r="BC255" s="138">
        <v>4.5999999999999996</v>
      </c>
      <c r="BD255" s="138">
        <v>4.4000000000000004</v>
      </c>
      <c r="BE255" s="138">
        <v>4.3</v>
      </c>
      <c r="BF255" s="138">
        <v>4.2</v>
      </c>
      <c r="BG255" s="138">
        <v>4</v>
      </c>
      <c r="BN255" s="160">
        <f t="shared" si="9"/>
        <v>4</v>
      </c>
      <c r="BO255" s="628">
        <f t="shared" si="10"/>
        <v>4</v>
      </c>
      <c r="BP255" s="627" t="str">
        <f>INDEX('HCW Summary Data'!$D$9:$D$272,MATCH($B255,'HCW Summary Data'!$B$9:$B$272,0))</f>
        <v>Lower middle income</v>
      </c>
      <c r="BQ255" s="630">
        <f t="shared" si="11"/>
        <v>2.3800000000000003</v>
      </c>
    </row>
    <row r="256" spans="2:69" x14ac:dyDescent="0.25">
      <c r="B256" s="138" t="s">
        <v>642</v>
      </c>
      <c r="C256" s="138" t="s">
        <v>643</v>
      </c>
      <c r="D256" s="138" t="s">
        <v>907</v>
      </c>
      <c r="E256" s="138" t="s">
        <v>908</v>
      </c>
      <c r="F256" s="138">
        <v>4.8249998092651403</v>
      </c>
      <c r="P256" s="138">
        <v>4.9885997772216797</v>
      </c>
      <c r="AJ256" s="138">
        <v>4.6999998093000004</v>
      </c>
      <c r="AM256" s="138">
        <v>5.0152997971</v>
      </c>
      <c r="AP256" s="138">
        <v>1.8500000238000001</v>
      </c>
      <c r="AU256" s="138">
        <v>4.7</v>
      </c>
      <c r="AV256" s="138">
        <v>4.5</v>
      </c>
      <c r="AW256" s="138">
        <v>4.5</v>
      </c>
      <c r="AX256" s="138">
        <v>4.5</v>
      </c>
      <c r="AY256" s="138">
        <v>4.5</v>
      </c>
      <c r="BA256" s="138">
        <v>3</v>
      </c>
      <c r="BD256" s="138">
        <v>2.6</v>
      </c>
      <c r="BE256" s="138">
        <v>2.7</v>
      </c>
      <c r="BF256" s="138">
        <v>5.2</v>
      </c>
      <c r="BG256" s="138">
        <v>2.5</v>
      </c>
      <c r="BH256" s="138">
        <v>2.6</v>
      </c>
      <c r="BN256" s="160">
        <f t="shared" si="9"/>
        <v>2.6</v>
      </c>
      <c r="BO256" s="628">
        <f t="shared" si="10"/>
        <v>2.6</v>
      </c>
      <c r="BP256" s="627" t="str">
        <f>INDEX('HCW Summary Data'!$D$9:$D$272,MATCH($B256,'HCW Summary Data'!$B$9:$B$272,0))</f>
        <v>Lower middle income</v>
      </c>
      <c r="BQ256" s="630">
        <f t="shared" si="11"/>
        <v>2.3800000000000003</v>
      </c>
    </row>
    <row r="257" spans="2:69" x14ac:dyDescent="0.25">
      <c r="B257" s="138" t="s">
        <v>669</v>
      </c>
      <c r="C257" s="138" t="s">
        <v>670</v>
      </c>
      <c r="D257" s="138" t="s">
        <v>907</v>
      </c>
      <c r="E257" s="138" t="s">
        <v>908</v>
      </c>
      <c r="T257" s="138">
        <v>0.34299999475479098</v>
      </c>
      <c r="U257" s="138">
        <v>0.331499993801117</v>
      </c>
      <c r="V257" s="138">
        <v>0.34290000796318099</v>
      </c>
      <c r="Z257" s="138">
        <v>0.33190000057220498</v>
      </c>
      <c r="AB257" s="138">
        <v>0.37040001153945901</v>
      </c>
      <c r="AC257" s="138">
        <v>0.358200013637543</v>
      </c>
      <c r="AD257" s="138">
        <v>0.37279999256134</v>
      </c>
      <c r="AE257" s="138">
        <v>2.6930999755859402</v>
      </c>
      <c r="AF257" s="138">
        <v>2.7000999450683598</v>
      </c>
      <c r="AG257" s="138">
        <v>2.5982999801635698</v>
      </c>
      <c r="AH257" s="138">
        <v>2.4995999336242698</v>
      </c>
      <c r="AJ257" s="138">
        <v>2.6779000758999998</v>
      </c>
      <c r="AK257" s="138">
        <v>2.6775999068999998</v>
      </c>
      <c r="AL257" s="138">
        <v>2.5729999542000002</v>
      </c>
      <c r="AM257" s="138">
        <v>2.5999999046000002</v>
      </c>
      <c r="AP257" s="138">
        <v>1.4700000285999999</v>
      </c>
      <c r="AU257" s="138">
        <v>0.80000001190000003</v>
      </c>
      <c r="AW257" s="138">
        <v>0.9</v>
      </c>
      <c r="BA257" s="138">
        <v>1.3</v>
      </c>
      <c r="BC257" s="138">
        <v>1.1000000000000001</v>
      </c>
      <c r="BE257" s="138">
        <v>0.9</v>
      </c>
      <c r="BH257" s="138">
        <v>0.8</v>
      </c>
      <c r="BN257" s="160">
        <f t="shared" si="9"/>
        <v>0.8</v>
      </c>
      <c r="BO257" s="628">
        <f t="shared" si="10"/>
        <v>0.8</v>
      </c>
      <c r="BP257" s="627" t="str">
        <f>INDEX('HCW Summary Data'!$D$9:$D$272,MATCH($B257,'HCW Summary Data'!$B$9:$B$272,0))</f>
        <v>Lower middle income</v>
      </c>
      <c r="BQ257" s="630">
        <f t="shared" si="11"/>
        <v>2.3800000000000003</v>
      </c>
    </row>
    <row r="258" spans="2:69" x14ac:dyDescent="0.25">
      <c r="B258" s="138" t="s">
        <v>444</v>
      </c>
      <c r="C258" s="138" t="s">
        <v>445</v>
      </c>
      <c r="D258" s="138" t="s">
        <v>907</v>
      </c>
      <c r="E258" s="138" t="s">
        <v>908</v>
      </c>
      <c r="BN258" s="160" t="str">
        <f t="shared" si="9"/>
        <v>No reported value</v>
      </c>
      <c r="BO258" s="628">
        <f t="shared" si="10"/>
        <v>4.82</v>
      </c>
      <c r="BP258" s="627" t="str">
        <f>INDEX('HCW Summary Data'!$D$9:$D$272,MATCH($B258,'HCW Summary Data'!$B$9:$B$272,0))</f>
        <v>High income</v>
      </c>
      <c r="BQ258" s="630">
        <f t="shared" si="11"/>
        <v>3.5700000000000003</v>
      </c>
    </row>
    <row r="259" spans="2:69" x14ac:dyDescent="0.25">
      <c r="B259" s="138" t="s">
        <v>672</v>
      </c>
      <c r="C259" s="138" t="s">
        <v>673</v>
      </c>
      <c r="D259" s="138" t="s">
        <v>907</v>
      </c>
      <c r="E259" s="138" t="s">
        <v>908</v>
      </c>
      <c r="AJ259" s="138">
        <v>4.8000001906999996</v>
      </c>
      <c r="AP259" s="138">
        <v>18.6800003052</v>
      </c>
      <c r="BN259" s="160">
        <f t="shared" si="9"/>
        <v>18.6800003052</v>
      </c>
      <c r="BO259" s="628">
        <f t="shared" si="10"/>
        <v>18.6800003052</v>
      </c>
      <c r="BP259" s="627" t="str">
        <f>INDEX('HCW Summary Data'!$D$9:$D$272,MATCH($B259,'HCW Summary Data'!$B$9:$B$272,0))</f>
        <v>Lower middle income</v>
      </c>
      <c r="BQ259" s="630">
        <f t="shared" si="11"/>
        <v>2.3800000000000003</v>
      </c>
    </row>
    <row r="260" spans="2:69" x14ac:dyDescent="0.25">
      <c r="B260" s="138" t="s">
        <v>671</v>
      </c>
      <c r="C260" s="138" t="s">
        <v>160</v>
      </c>
      <c r="D260" s="138" t="s">
        <v>907</v>
      </c>
      <c r="E260" s="138" t="s">
        <v>908</v>
      </c>
      <c r="Z260" s="138">
        <v>3.4972999095916699</v>
      </c>
      <c r="AA260" s="138">
        <v>3.6960999965667698</v>
      </c>
      <c r="AI260" s="138">
        <v>3.3017001152038601</v>
      </c>
      <c r="AJ260" s="138">
        <v>3.8329000472999999</v>
      </c>
      <c r="AQ260" s="138">
        <v>1.6699999570999999</v>
      </c>
      <c r="AU260" s="138">
        <v>2.4000000953999998</v>
      </c>
      <c r="AV260" s="138">
        <v>1.4</v>
      </c>
      <c r="AX260" s="138">
        <v>2.8</v>
      </c>
      <c r="AY260" s="138">
        <v>2.6</v>
      </c>
      <c r="AZ260" s="138">
        <v>2.66</v>
      </c>
      <c r="BB260" s="138">
        <v>2.9</v>
      </c>
      <c r="BC260" s="138">
        <v>3.1</v>
      </c>
      <c r="BD260" s="138">
        <v>2</v>
      </c>
      <c r="BF260" s="138">
        <v>2.5</v>
      </c>
      <c r="BH260" s="138">
        <v>2.6</v>
      </c>
      <c r="BN260" s="160">
        <f t="shared" si="9"/>
        <v>2.6</v>
      </c>
      <c r="BO260" s="628">
        <f t="shared" si="10"/>
        <v>2.6</v>
      </c>
      <c r="BP260" s="627" t="str">
        <f>INDEX('HCW Summary Data'!$D$9:$D$272,MATCH($B260,'HCW Summary Data'!$B$9:$B$272,0))</f>
        <v>High income</v>
      </c>
      <c r="BQ260" s="630">
        <f t="shared" si="11"/>
        <v>3.5700000000000003</v>
      </c>
    </row>
    <row r="261" spans="2:69" x14ac:dyDescent="0.25">
      <c r="B261" s="138" t="s">
        <v>258</v>
      </c>
      <c r="C261" s="138" t="s">
        <v>151</v>
      </c>
      <c r="D261" s="138" t="s">
        <v>907</v>
      </c>
      <c r="E261" s="138" t="s">
        <v>908</v>
      </c>
      <c r="F261" s="138">
        <v>5.4307694435119602</v>
      </c>
      <c r="P261" s="138">
        <v>10.734900474548301</v>
      </c>
      <c r="Z261" s="138">
        <v>6.1793999671936</v>
      </c>
      <c r="AU261" s="138">
        <v>3.0999999046000002</v>
      </c>
      <c r="AW261" s="138">
        <v>3.7</v>
      </c>
      <c r="AY261" s="138">
        <v>4.0999999999999996</v>
      </c>
      <c r="BB261" s="138">
        <v>1.7</v>
      </c>
      <c r="BN261" s="160">
        <f t="shared" si="9"/>
        <v>1.7</v>
      </c>
      <c r="BO261" s="628">
        <f t="shared" si="10"/>
        <v>1.7</v>
      </c>
      <c r="BP261" s="627" t="str">
        <f>INDEX('HCW Summary Data'!$D$9:$D$272,MATCH($B261,'HCW Summary Data'!$B$9:$B$272,0))</f>
        <v>Upper middle income</v>
      </c>
      <c r="BQ261" s="630">
        <f t="shared" si="11"/>
        <v>3.32</v>
      </c>
    </row>
    <row r="262" spans="2:69" x14ac:dyDescent="0.25">
      <c r="B262" s="138" t="s">
        <v>676</v>
      </c>
      <c r="C262" s="138" t="s">
        <v>677</v>
      </c>
      <c r="D262" s="138" t="s">
        <v>907</v>
      </c>
      <c r="E262" s="138" t="s">
        <v>908</v>
      </c>
      <c r="P262" s="138">
        <v>3.0786857618760655</v>
      </c>
      <c r="U262" s="138">
        <v>2.3976383088529563</v>
      </c>
      <c r="Z262" s="138">
        <v>3.5952668129645122</v>
      </c>
      <c r="AE262" s="138">
        <v>4.1255762508577174</v>
      </c>
      <c r="AJ262" s="138">
        <v>3.6492762407434487</v>
      </c>
      <c r="AK262" s="138">
        <v>3.4292390791487004</v>
      </c>
      <c r="AV262" s="138">
        <v>2.8759713672679572</v>
      </c>
      <c r="AW262" s="138">
        <v>3.0584604523016719</v>
      </c>
      <c r="AY262" s="138">
        <v>2.8793498866461182</v>
      </c>
      <c r="BE262" s="138">
        <v>2.7047692810942441</v>
      </c>
      <c r="BN262" s="160">
        <f t="shared" ref="BN262:BN268" si="12">IFERROR(LOOKUP(2,1/(ISNUMBER(F262:BM262)),F262:BM262),"No reported value")</f>
        <v>2.7047692810942441</v>
      </c>
      <c r="BO262" s="628">
        <f t="shared" ref="BO262:BO268" si="13">IF(BN262="No reported value",INDEX($BV$5:$BV$9,MATCH($BP262,$BT$5:$BT$9,0)),$BN262)</f>
        <v>2.7047692810942441</v>
      </c>
      <c r="BP262" s="627" t="str">
        <f>INDEX('HCW Summary Data'!$D$9:$D$272,MATCH($B262,'HCW Summary Data'!$B$9:$B$272,0))</f>
        <v>OUT</v>
      </c>
      <c r="BQ262" s="630">
        <f t="shared" ref="BQ262:BQ268" si="14">INDEX($BV$12:$BV$16,MATCH($BP262,$BT$12:$BT$16,0))*100</f>
        <v>2.7250000000000001</v>
      </c>
    </row>
    <row r="263" spans="2:69" x14ac:dyDescent="0.25">
      <c r="B263" s="138" t="s">
        <v>254</v>
      </c>
      <c r="C263" s="138" t="s">
        <v>152</v>
      </c>
      <c r="D263" s="138" t="s">
        <v>907</v>
      </c>
      <c r="E263" s="138" t="s">
        <v>908</v>
      </c>
      <c r="F263" s="138">
        <v>5</v>
      </c>
      <c r="P263" s="138">
        <v>4.5581998825073198</v>
      </c>
      <c r="Z263" s="138">
        <v>4.4967999458312997</v>
      </c>
      <c r="AA263" s="138">
        <v>4.3639998435974103</v>
      </c>
      <c r="AT263" s="138">
        <v>3.2999999522999999</v>
      </c>
      <c r="AV263" s="138">
        <v>1.5</v>
      </c>
      <c r="AW263" s="138">
        <v>2.04</v>
      </c>
      <c r="AY263" s="138">
        <v>1</v>
      </c>
      <c r="BN263" s="160">
        <f t="shared" si="12"/>
        <v>1</v>
      </c>
      <c r="BO263" s="628">
        <f t="shared" si="13"/>
        <v>1</v>
      </c>
      <c r="BP263" s="627" t="str">
        <f>INDEX('HCW Summary Data'!$D$9:$D$272,MATCH($B263,'HCW Summary Data'!$B$9:$B$272,0))</f>
        <v>High income</v>
      </c>
      <c r="BQ263" s="630">
        <f t="shared" si="14"/>
        <v>3.5700000000000003</v>
      </c>
    </row>
    <row r="264" spans="2:69" x14ac:dyDescent="0.25">
      <c r="B264" s="138" t="s">
        <v>237</v>
      </c>
      <c r="C264" s="138" t="s">
        <v>537</v>
      </c>
      <c r="D264" s="138" t="s">
        <v>907</v>
      </c>
      <c r="E264" s="138" t="s">
        <v>908</v>
      </c>
      <c r="BN264" s="160" t="str">
        <f t="shared" si="12"/>
        <v>No reported value</v>
      </c>
      <c r="BO264" s="628">
        <f t="shared" si="13"/>
        <v>2.6</v>
      </c>
      <c r="BP264" s="627" t="str">
        <f>INDEX('HCW Summary Data'!$D$9:$D$272,MATCH($B264,'HCW Summary Data'!$B$9:$B$272,0))</f>
        <v>OUT</v>
      </c>
      <c r="BQ264" s="630">
        <f t="shared" si="14"/>
        <v>2.7250000000000001</v>
      </c>
    </row>
    <row r="265" spans="2:69" x14ac:dyDescent="0.25">
      <c r="B265" s="138" t="s">
        <v>678</v>
      </c>
      <c r="C265" s="138" t="s">
        <v>153</v>
      </c>
      <c r="D265" s="138" t="s">
        <v>907</v>
      </c>
      <c r="E265" s="138" t="s">
        <v>908</v>
      </c>
      <c r="F265" s="138">
        <v>0.454545468091965</v>
      </c>
      <c r="P265" s="138">
        <v>0.80970001220703103</v>
      </c>
      <c r="U265" s="138">
        <v>0.86549997329711903</v>
      </c>
      <c r="AJ265" s="138">
        <v>0.83619999889999996</v>
      </c>
      <c r="AP265" s="138">
        <v>0.68999999759999997</v>
      </c>
      <c r="AR265" s="138">
        <v>0.60000002379999995</v>
      </c>
      <c r="AT265" s="138">
        <v>0.6</v>
      </c>
      <c r="AU265" s="138">
        <v>0.6</v>
      </c>
      <c r="AV265" s="138">
        <v>0.6</v>
      </c>
      <c r="AW265" s="138">
        <v>0.6</v>
      </c>
      <c r="AX265" s="138">
        <v>0.6</v>
      </c>
      <c r="AY265" s="138">
        <v>0.6</v>
      </c>
      <c r="AZ265" s="138">
        <v>0.7</v>
      </c>
      <c r="BA265" s="138">
        <v>0.7</v>
      </c>
      <c r="BB265" s="138">
        <v>0.7</v>
      </c>
      <c r="BC265" s="138">
        <v>0.7</v>
      </c>
      <c r="BD265" s="138">
        <v>0.7</v>
      </c>
      <c r="BE265" s="138">
        <v>0.7</v>
      </c>
      <c r="BF265" s="138">
        <v>0.7</v>
      </c>
      <c r="BG265" s="138">
        <v>0.7</v>
      </c>
      <c r="BH265" s="138">
        <v>0.7</v>
      </c>
      <c r="BN265" s="160">
        <f t="shared" si="12"/>
        <v>0.7</v>
      </c>
      <c r="BO265" s="628">
        <f t="shared" si="13"/>
        <v>0.7</v>
      </c>
      <c r="BP265" s="627" t="str">
        <f>INDEX('HCW Summary Data'!$D$9:$D$272,MATCH($B265,'HCW Summary Data'!$B$9:$B$272,0))</f>
        <v>Lower middle income</v>
      </c>
      <c r="BQ265" s="630">
        <f t="shared" si="14"/>
        <v>2.3800000000000003</v>
      </c>
    </row>
    <row r="266" spans="2:69" x14ac:dyDescent="0.25">
      <c r="B266" s="138" t="s">
        <v>178</v>
      </c>
      <c r="C266" s="138" t="s">
        <v>154</v>
      </c>
      <c r="D266" s="138" t="s">
        <v>907</v>
      </c>
      <c r="E266" s="138" t="s">
        <v>908</v>
      </c>
      <c r="AY266" s="138">
        <v>2.8</v>
      </c>
      <c r="BN266" s="160">
        <f t="shared" si="12"/>
        <v>2.8</v>
      </c>
      <c r="BO266" s="628">
        <f t="shared" si="13"/>
        <v>2.8</v>
      </c>
      <c r="BP266" s="627" t="str">
        <f>INDEX('HCW Summary Data'!$D$9:$D$272,MATCH($B266,'HCW Summary Data'!$B$9:$B$272,0))</f>
        <v>Low income</v>
      </c>
      <c r="BQ266" s="630">
        <f t="shared" si="14"/>
        <v>1.63</v>
      </c>
    </row>
    <row r="267" spans="2:69" x14ac:dyDescent="0.25">
      <c r="B267" s="138" t="s">
        <v>217</v>
      </c>
      <c r="C267" s="138" t="s">
        <v>155</v>
      </c>
      <c r="D267" s="138" t="s">
        <v>907</v>
      </c>
      <c r="E267" s="138" t="s">
        <v>908</v>
      </c>
      <c r="F267" s="138">
        <v>2.8016555309295699</v>
      </c>
      <c r="P267" s="138">
        <v>3.16109991073608</v>
      </c>
      <c r="U267" s="138">
        <v>3.3368000984191899</v>
      </c>
      <c r="AA267" s="138">
        <v>3.48219990730286</v>
      </c>
      <c r="AX267" s="138">
        <v>2</v>
      </c>
      <c r="BB267" s="138">
        <v>1.9</v>
      </c>
      <c r="BD267" s="138">
        <v>2</v>
      </c>
      <c r="BN267" s="160">
        <f t="shared" si="12"/>
        <v>2</v>
      </c>
      <c r="BO267" s="628">
        <f t="shared" si="13"/>
        <v>2</v>
      </c>
      <c r="BP267" s="627" t="str">
        <f>INDEX('HCW Summary Data'!$D$9:$D$272,MATCH($B267,'HCW Summary Data'!$B$9:$B$272,0))</f>
        <v>Lower middle income</v>
      </c>
      <c r="BQ267" s="630">
        <f t="shared" si="14"/>
        <v>2.3800000000000003</v>
      </c>
    </row>
    <row r="268" spans="2:69" x14ac:dyDescent="0.25">
      <c r="B268" s="138" t="s">
        <v>218</v>
      </c>
      <c r="C268" s="138" t="s">
        <v>156</v>
      </c>
      <c r="D268" s="138" t="s">
        <v>907</v>
      </c>
      <c r="E268" s="138" t="s">
        <v>908</v>
      </c>
      <c r="F268" s="138">
        <v>3.8766460418701199</v>
      </c>
      <c r="P268" s="138">
        <v>3.49539995193481</v>
      </c>
      <c r="U268" s="138">
        <v>3.3136999607086199</v>
      </c>
      <c r="Z268" s="138">
        <v>3.0027000904083301</v>
      </c>
      <c r="AE268" s="138">
        <v>1.39359998703003</v>
      </c>
      <c r="AG268" s="138">
        <v>1.9407999515533401</v>
      </c>
      <c r="AJ268" s="138">
        <v>0.51050001379999999</v>
      </c>
      <c r="AZ268" s="138">
        <v>3</v>
      </c>
      <c r="BE268" s="138">
        <v>1.7</v>
      </c>
      <c r="BN268" s="160">
        <f t="shared" si="12"/>
        <v>1.7</v>
      </c>
      <c r="BO268" s="628">
        <f t="shared" si="13"/>
        <v>1.7</v>
      </c>
      <c r="BP268" s="627" t="str">
        <f>INDEX('HCW Summary Data'!$D$9:$D$272,MATCH($B268,'HCW Summary Data'!$B$9:$B$272,0))</f>
        <v>OUT</v>
      </c>
      <c r="BQ268" s="630">
        <f t="shared" si="14"/>
        <v>2.7250000000000001</v>
      </c>
    </row>
    <row r="269" spans="2:69" x14ac:dyDescent="0.25">
      <c r="BN269" s="84"/>
    </row>
  </sheetData>
  <sheetProtection algorithmName="SHA-512" hashValue="aGcOB4kABsL9+p7i7B9y5UJmWlAiGx3w+cyXwe+bpN5lF7bxULoJErq16pSCi0tqkW86D1PCZX/FspIj4GArPQ==" saltValue="GEQcNn5bgr6WBBVWcQ9Trw==" spinCount="100000" sheet="1" objects="1" scenarios="1"/>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1E7FB8"/>
  </sheetPr>
  <dimension ref="A2:BN157"/>
  <sheetViews>
    <sheetView showGridLines="0" tabSelected="1" zoomScale="70" zoomScaleNormal="70" workbookViewId="0">
      <selection activeCell="I20" sqref="I20"/>
    </sheetView>
  </sheetViews>
  <sheetFormatPr defaultColWidth="8.5703125" defaultRowHeight="15" outlineLevelRow="1" x14ac:dyDescent="0.25"/>
  <cols>
    <col min="1" max="1" width="4" style="410" customWidth="1"/>
    <col min="2" max="2" width="28.5703125" style="410" customWidth="1"/>
    <col min="3" max="3" width="23.5703125" style="410" customWidth="1"/>
    <col min="4" max="4" width="29" style="410" customWidth="1"/>
    <col min="5" max="5" width="34.42578125" style="410" customWidth="1"/>
    <col min="6" max="6" width="23.5703125" style="410" customWidth="1"/>
    <col min="7" max="7" width="27.7109375" style="411" customWidth="1"/>
    <col min="8" max="8" width="45.5703125" style="410" customWidth="1"/>
    <col min="9" max="9" width="16.42578125" style="410" bestFit="1" customWidth="1"/>
    <col min="10" max="10" width="40.28515625" style="410" customWidth="1"/>
    <col min="11" max="11" width="9.7109375" style="410" customWidth="1"/>
    <col min="12" max="56" width="13.5703125" style="410" customWidth="1"/>
    <col min="57" max="16384" width="8.5703125" style="410"/>
  </cols>
  <sheetData>
    <row r="2" spans="1:32" s="408" customFormat="1" ht="39" customHeight="1" x14ac:dyDescent="0.3">
      <c r="C2" s="409" t="s">
        <v>1591</v>
      </c>
      <c r="D2" s="409"/>
      <c r="E2" s="409"/>
    </row>
    <row r="4" spans="1:32" ht="56.65" customHeight="1" x14ac:dyDescent="0.25">
      <c r="A4" s="701" t="s">
        <v>1377</v>
      </c>
      <c r="B4" s="701"/>
      <c r="C4" s="701"/>
      <c r="D4" s="701"/>
      <c r="E4" s="701"/>
      <c r="F4" s="701"/>
      <c r="G4" s="701"/>
      <c r="H4" s="701"/>
      <c r="I4" s="701"/>
    </row>
    <row r="5" spans="1:32" ht="11.1" customHeight="1" x14ac:dyDescent="0.25"/>
    <row r="6" spans="1:32" s="412" customFormat="1" ht="17.25" x14ac:dyDescent="0.3">
      <c r="B6" s="413" t="s">
        <v>286</v>
      </c>
      <c r="C6" s="414"/>
    </row>
    <row r="7" spans="1:32" ht="5.85" customHeight="1" x14ac:dyDescent="0.25">
      <c r="G7" s="410"/>
    </row>
    <row r="8" spans="1:32" ht="18" customHeight="1" x14ac:dyDescent="0.25">
      <c r="B8" s="415" t="s">
        <v>1009</v>
      </c>
      <c r="C8" s="416"/>
      <c r="D8" s="417" t="s">
        <v>1008</v>
      </c>
    </row>
    <row r="9" spans="1:32" ht="18" customHeight="1" x14ac:dyDescent="0.25">
      <c r="B9" s="415" t="s">
        <v>1010</v>
      </c>
      <c r="C9" s="418"/>
      <c r="K9" s="417"/>
    </row>
    <row r="10" spans="1:32" ht="10.5" customHeight="1" x14ac:dyDescent="0.25">
      <c r="K10" s="419"/>
      <c r="L10" s="419"/>
      <c r="U10" s="420"/>
    </row>
    <row r="11" spans="1:32" s="412" customFormat="1" ht="17.25" x14ac:dyDescent="0.3">
      <c r="B11" s="413" t="s">
        <v>893</v>
      </c>
      <c r="C11" s="414"/>
    </row>
    <row r="12" spans="1:32" x14ac:dyDescent="0.25">
      <c r="B12" s="411"/>
      <c r="C12" s="411"/>
      <c r="D12" s="411"/>
      <c r="E12" s="411"/>
      <c r="F12" s="411"/>
      <c r="I12" s="421"/>
    </row>
    <row r="13" spans="1:32" x14ac:dyDescent="0.25">
      <c r="K13" s="419"/>
      <c r="L13" s="419"/>
      <c r="Q13" s="422"/>
      <c r="T13" s="423"/>
      <c r="U13" s="423"/>
      <c r="V13" s="423"/>
      <c r="W13" s="423"/>
      <c r="X13" s="423"/>
      <c r="Y13" s="423"/>
      <c r="Z13" s="423"/>
      <c r="AA13" s="423"/>
      <c r="AB13" s="423"/>
      <c r="AC13" s="423"/>
      <c r="AD13" s="423"/>
      <c r="AE13" s="423"/>
      <c r="AF13" s="423"/>
    </row>
    <row r="14" spans="1:32" x14ac:dyDescent="0.25">
      <c r="G14" s="410"/>
      <c r="I14" s="423"/>
    </row>
    <row r="15" spans="1:32" ht="21" customHeight="1" x14ac:dyDescent="0.25">
      <c r="N15" s="424"/>
      <c r="O15" s="425"/>
    </row>
    <row r="16" spans="1:32" ht="21" customHeight="1" thickBot="1" x14ac:dyDescent="0.3">
      <c r="N16" s="425"/>
      <c r="O16" s="425"/>
    </row>
    <row r="17" spans="2:15" ht="45.6" customHeight="1" thickBot="1" x14ac:dyDescent="0.3">
      <c r="B17" s="426" t="str">
        <f>IF(DISCLAIMER!I11=5,"Country/Region","WARNING: This tool wil NOT run until all Disclaimers are signed: See Disclaimer tab")</f>
        <v>WARNING: This tool wil NOT run until all Disclaimers are signed: See Disclaimer tab</v>
      </c>
      <c r="C17" s="206" t="s">
        <v>420</v>
      </c>
      <c r="D17" s="427" t="s">
        <v>1349</v>
      </c>
      <c r="E17" s="520" t="s">
        <v>993</v>
      </c>
      <c r="F17" s="202">
        <v>1</v>
      </c>
      <c r="G17" s="428" t="s">
        <v>1565</v>
      </c>
      <c r="H17" s="433" t="s">
        <v>1412</v>
      </c>
      <c r="I17" s="204">
        <v>0</v>
      </c>
      <c r="J17" s="428" t="s">
        <v>1401</v>
      </c>
    </row>
    <row r="18" spans="2:15" ht="43.35" customHeight="1" x14ac:dyDescent="0.25">
      <c r="B18" s="429" t="s">
        <v>1015</v>
      </c>
      <c r="C18" s="430">
        <f>IF($C$17="Manual","Please enter below",'Patient Calc Assumptions'!C12)</f>
        <v>43851000</v>
      </c>
      <c r="E18" s="431" t="s">
        <v>1016</v>
      </c>
      <c r="F18" s="203" t="s">
        <v>998</v>
      </c>
      <c r="G18" s="432" t="str">
        <f>IF(F18="exponential growth","&lt;---Most users will select 'Exponential Growth'","Recommended to select 'Exponential Growth' here. 'Manual Patient Calcs' tab [orange tab] must be filled with this selection")</f>
        <v>&lt;---Most users will select 'Exponential Growth'</v>
      </c>
      <c r="H18" s="433" t="s">
        <v>1566</v>
      </c>
      <c r="I18" s="435">
        <f>ROUNDUP(IF(Doubling_rate_modelled="Combined",'Patient Calc Assumptions'!E41,'Patient Calc Assumptions'!C40),0)-'Patient Calc Assumptions'!C47</f>
        <v>14</v>
      </c>
      <c r="J18" s="428" t="s">
        <v>1568</v>
      </c>
      <c r="K18" s="482">
        <v>0</v>
      </c>
      <c r="L18" s="482">
        <v>1</v>
      </c>
    </row>
    <row r="19" spans="2:15" ht="65.25" customHeight="1" x14ac:dyDescent="0.25">
      <c r="B19" s="427" t="s">
        <v>1032</v>
      </c>
      <c r="C19" s="525">
        <v>100000</v>
      </c>
      <c r="E19" s="434" t="s">
        <v>1004</v>
      </c>
      <c r="F19" s="203" t="s">
        <v>758</v>
      </c>
      <c r="G19" s="428" t="str">
        <f>IF(Doubling_rate_modelled="COMBINED","Enter rates below",CONCATENATE(" Infections double every ",ROUND(INDEX('Patient Calc Assumptions'!$C$15:$C$25,MATCH(Doubling_rate_modelled,'Patient Calc Assumptions'!$B$15:$B$25,0)),1)," days"))</f>
        <v xml:space="preserve"> Infections double every 4 days</v>
      </c>
      <c r="H19" s="433" t="s">
        <v>1402</v>
      </c>
      <c r="I19" s="204">
        <v>6</v>
      </c>
      <c r="J19" s="428" t="s">
        <v>1567</v>
      </c>
      <c r="N19" s="425"/>
      <c r="O19" s="425"/>
    </row>
    <row r="20" spans="2:15" ht="33.75" customHeight="1" x14ac:dyDescent="0.25">
      <c r="E20" s="434" t="s">
        <v>762</v>
      </c>
      <c r="F20" s="204" t="s">
        <v>758</v>
      </c>
      <c r="G20" s="428" t="str">
        <f>CONCATENATE(" ",AttackRate*100,"%"," population infection rate")</f>
        <v xml:space="preserve"> 20% population infection rate</v>
      </c>
      <c r="H20" s="675" t="str">
        <f>IF($I$19&gt;6,"DISCLAIMER: this model is not an epi tool and is best used for forecasting supplies for shorter periods of time",IF(WeekSuppliedUntil&gt;12,"DISCLAIMER: this model is not an epi tool and is best used for forecasting supplies for shorter periods of time",""))</f>
        <v/>
      </c>
      <c r="J20" s="440"/>
      <c r="N20" s="425"/>
      <c r="O20" s="425"/>
    </row>
    <row r="21" spans="2:15" ht="38.1" customHeight="1" thickBot="1" x14ac:dyDescent="0.3">
      <c r="E21" s="436" t="s">
        <v>895</v>
      </c>
      <c r="F21" s="205" t="s">
        <v>1545</v>
      </c>
      <c r="G21" s="715" t="s">
        <v>1551</v>
      </c>
      <c r="H21" s="425"/>
      <c r="N21" s="425"/>
      <c r="O21" s="425"/>
    </row>
    <row r="22" spans="2:15" ht="50.25" customHeight="1" x14ac:dyDescent="0.25">
      <c r="G22" s="715"/>
      <c r="H22" s="425"/>
      <c r="N22" s="425"/>
      <c r="O22" s="425"/>
    </row>
    <row r="23" spans="2:15" ht="34.9" customHeight="1" x14ac:dyDescent="0.25">
      <c r="E23" s="437" t="s">
        <v>1005</v>
      </c>
      <c r="F23" s="199">
        <v>4</v>
      </c>
      <c r="G23" s="716" t="s">
        <v>1012</v>
      </c>
      <c r="N23" s="425"/>
      <c r="O23" s="425"/>
    </row>
    <row r="24" spans="2:15" ht="15.6" customHeight="1" x14ac:dyDescent="0.25">
      <c r="E24" s="437" t="s">
        <v>1006</v>
      </c>
      <c r="F24" s="199">
        <v>7</v>
      </c>
      <c r="G24" s="716"/>
      <c r="N24" s="425"/>
      <c r="O24" s="425"/>
    </row>
    <row r="25" spans="2:15" ht="15.6" customHeight="1" thickBot="1" x14ac:dyDescent="0.3">
      <c r="E25" s="441" t="s">
        <v>995</v>
      </c>
      <c r="F25" s="404">
        <v>6</v>
      </c>
      <c r="G25" s="716"/>
      <c r="N25" s="425"/>
      <c r="O25" s="425"/>
    </row>
    <row r="26" spans="2:15" ht="15.6" customHeight="1" x14ac:dyDescent="0.25">
      <c r="E26" s="442" t="s">
        <v>1013</v>
      </c>
      <c r="F26" s="200">
        <v>1.5</v>
      </c>
      <c r="G26" s="410"/>
      <c r="H26" s="443"/>
      <c r="I26" s="444"/>
      <c r="J26" s="445"/>
      <c r="N26" s="425"/>
      <c r="O26" s="425"/>
    </row>
    <row r="27" spans="2:15" ht="32.25" customHeight="1" thickBot="1" x14ac:dyDescent="0.3">
      <c r="E27" s="522" t="s">
        <v>1348</v>
      </c>
      <c r="F27" s="201">
        <v>1</v>
      </c>
      <c r="H27" s="443"/>
      <c r="I27" s="444"/>
      <c r="J27" s="445"/>
      <c r="N27" s="425"/>
      <c r="O27" s="425"/>
    </row>
    <row r="28" spans="2:15" ht="86.25" customHeight="1" x14ac:dyDescent="0.25">
      <c r="B28" s="623" t="str">
        <f>CONCATENATE("Enter # of health care workers in country. Estimate based on World Bank data = ",ROUND('Staff &amp; Infra Assumptions'!C49+'Staff &amp; Infra Assumptions'!C50,0),"")</f>
        <v>Enter # of health care workers in country. Estimate based on World Bank data = 196014</v>
      </c>
      <c r="C28" s="397"/>
      <c r="D28" s="447" t="str">
        <f>IF(ISBLANK($C$28),"No value entered - estimate from World Bank used in model",IF(ROUND($C$28,0)=ROUND('Staff &amp; Infra Assumptions'!$C$49+'Staff &amp; Infra Assumptions'!$C$50,0),"Entered value = WB estimated number of HCWs","Note: Entered value differs from World Bank estimated HCW total"))</f>
        <v>No value entered - estimate from World Bank used in model</v>
      </c>
      <c r="H28" s="446" t="str">
        <f>CONCATENATE("Enter # of hospital beds in country. Estimate based on  World Bank data = ",ROUND('Staff &amp; Infra Assumptions'!J21,0)," beds.")</f>
        <v>Enter # of hospital beds in country. Estimate based on  World Bank data = 83317 beds.</v>
      </c>
      <c r="I28" s="397"/>
      <c r="J28" s="717" t="str">
        <f>IF(ISBLANK($I$28),"No value entered - estimate from World Bank used in model",IF(ROUND('User Dashboard'!$I$28,0)=ROUND('Staff &amp; Infra Assumptions'!$J$21,0),"Entered value = WB estimated number of beds","Note: Entered value differs from World Bank estimated bed value"))</f>
        <v>No value entered - estimate from World Bank used in model</v>
      </c>
      <c r="K28" s="718"/>
      <c r="N28" s="425"/>
      <c r="O28" s="425"/>
    </row>
    <row r="29" spans="2:15" ht="66" customHeight="1" thickBot="1" x14ac:dyDescent="0.3">
      <c r="B29" s="449" t="s">
        <v>1347</v>
      </c>
      <c r="C29" s="207">
        <v>0.8</v>
      </c>
      <c r="D29" s="448" t="s">
        <v>1378</v>
      </c>
      <c r="H29" s="449" t="str">
        <f>CONCATENATE("Enter % of hospital beds, of the above, available for critical patients. Data estimates ",TEXT(IF($C$17="Manual",'Hospital Beds by Country'!$BV$16*100,INDEX('Hospital Beds by Country'!$BQ$5:$BQ$268,MATCH($C$17,'Hospital Beds by Country'!$B$5:$B$268,0))),"0.00"),"% are ICU beds")</f>
        <v>Enter % of hospital beds, of the above, available for critical patients. Data estimates 3.32% are ICU beds</v>
      </c>
      <c r="I29" s="650"/>
      <c r="J29" s="719" t="s">
        <v>1577</v>
      </c>
      <c r="K29" s="720"/>
    </row>
    <row r="30" spans="2:15" ht="59.25" customHeight="1" x14ac:dyDescent="0.25">
      <c r="B30" s="624" t="str">
        <f>CONCATENATE("Enter # of lab staff in country. Estimate based on WHO data = ",ROUND('Staff &amp; Infra Assumptions'!$C$44,0),"")</f>
        <v>Enter # of lab staff in country. Estimate based on WHO data = 5111</v>
      </c>
      <c r="C30" s="625"/>
      <c r="D30" s="447" t="str">
        <f>IF(ISBLANK($C$30),"No value entered - estimate from WHO used in model",IF(ROUND($C$30,0)=ROUND('Staff &amp; Infra Assumptions'!$C$44,0),"Entered value = WHO estimated lab staff total","Note: Entered value differs from WHO estimated number of lab staff"))</f>
        <v>No value entered - estimate from WHO used in model</v>
      </c>
      <c r="H30" s="450"/>
      <c r="I30" s="451"/>
      <c r="J30" s="452"/>
      <c r="K30" s="453"/>
    </row>
    <row r="31" spans="2:15" ht="76.5" customHeight="1" thickBot="1" x14ac:dyDescent="0.3">
      <c r="B31" s="449" t="s">
        <v>1346</v>
      </c>
      <c r="C31" s="207">
        <v>0.8</v>
      </c>
      <c r="D31" s="514" t="s">
        <v>1391</v>
      </c>
      <c r="E31" s="454"/>
      <c r="H31" s="450"/>
      <c r="I31" s="451"/>
      <c r="J31" s="452"/>
      <c r="K31" s="453"/>
    </row>
    <row r="32" spans="2:15" x14ac:dyDescent="0.25">
      <c r="G32" s="410"/>
    </row>
    <row r="33" spans="2:10" s="412" customFormat="1" ht="17.25" x14ac:dyDescent="0.3">
      <c r="B33" s="413" t="s">
        <v>1011</v>
      </c>
      <c r="C33" s="414"/>
    </row>
    <row r="34" spans="2:10" x14ac:dyDescent="0.25">
      <c r="B34" s="411"/>
      <c r="C34" s="411"/>
      <c r="D34" s="411"/>
      <c r="E34" s="411"/>
      <c r="F34" s="411"/>
      <c r="I34" s="421"/>
    </row>
    <row r="35" spans="2:10" ht="19.5" thickBot="1" x14ac:dyDescent="0.35">
      <c r="B35" s="411"/>
      <c r="C35" s="411"/>
      <c r="D35" s="721" t="str">
        <f>C17&amp;" - High-Level COVID-19 Needs Outputs"</f>
        <v>Algeria - High-Level COVID-19 Needs Outputs</v>
      </c>
      <c r="E35" s="721"/>
      <c r="F35" s="721"/>
      <c r="G35" s="721"/>
      <c r="I35" s="421"/>
    </row>
    <row r="36" spans="2:10" ht="15.75" thickTop="1" x14ac:dyDescent="0.25">
      <c r="B36" s="455"/>
      <c r="C36" s="455"/>
      <c r="D36" s="456"/>
      <c r="E36" s="456"/>
      <c r="F36" s="456"/>
      <c r="G36" s="456"/>
      <c r="H36" s="455"/>
      <c r="I36" s="457"/>
      <c r="J36" s="455"/>
    </row>
    <row r="37" spans="2:10" x14ac:dyDescent="0.25">
      <c r="B37" s="455"/>
      <c r="C37" s="455"/>
      <c r="D37" s="456"/>
      <c r="E37" s="456"/>
      <c r="F37" s="456"/>
      <c r="G37" s="456"/>
      <c r="H37" s="455"/>
      <c r="I37" s="457"/>
      <c r="J37" s="455"/>
    </row>
    <row r="38" spans="2:10" x14ac:dyDescent="0.25">
      <c r="B38" s="458" t="s">
        <v>843</v>
      </c>
      <c r="C38" s="459">
        <f>F56</f>
        <v>1448.1546878700494</v>
      </c>
      <c r="D38" s="456"/>
      <c r="E38" s="456"/>
      <c r="F38" s="456"/>
      <c r="G38" s="456"/>
      <c r="H38" s="455"/>
      <c r="I38" s="457"/>
      <c r="J38" s="455"/>
    </row>
    <row r="39" spans="2:10" x14ac:dyDescent="0.25">
      <c r="B39" s="458" t="s">
        <v>848</v>
      </c>
      <c r="C39" s="459">
        <f>F57</f>
        <v>1158.5237502960397</v>
      </c>
      <c r="D39" s="456"/>
      <c r="E39" s="456"/>
      <c r="F39" s="456"/>
      <c r="G39" s="456"/>
      <c r="H39" s="455"/>
      <c r="I39" s="457"/>
      <c r="J39" s="455"/>
    </row>
    <row r="40" spans="2:10" x14ac:dyDescent="0.25">
      <c r="B40" s="460" t="s">
        <v>849</v>
      </c>
      <c r="C40" s="459">
        <f>F58</f>
        <v>217.22320318050743</v>
      </c>
      <c r="D40" s="456"/>
      <c r="E40" s="456"/>
      <c r="F40" s="456"/>
      <c r="G40" s="456"/>
      <c r="H40" s="455"/>
      <c r="I40" s="457"/>
      <c r="J40" s="455"/>
    </row>
    <row r="41" spans="2:10" x14ac:dyDescent="0.25">
      <c r="B41" s="460" t="s">
        <v>850</v>
      </c>
      <c r="C41" s="459">
        <f>F59</f>
        <v>72.40773439350248</v>
      </c>
      <c r="D41" s="456"/>
      <c r="E41" s="456"/>
      <c r="F41" s="456"/>
      <c r="G41" s="456"/>
      <c r="H41" s="455" t="s">
        <v>1548</v>
      </c>
      <c r="I41" s="455"/>
      <c r="J41" s="455"/>
    </row>
    <row r="42" spans="2:10" x14ac:dyDescent="0.25">
      <c r="B42" s="456"/>
      <c r="C42" s="461"/>
      <c r="D42" s="456"/>
      <c r="E42" s="462" t="s">
        <v>934</v>
      </c>
      <c r="F42" s="463">
        <f ca="1">F60</f>
        <v>218.65009288252463</v>
      </c>
      <c r="G42" s="456"/>
      <c r="H42" s="464">
        <f>'Patient &amp; Case Type Summary'!BF61</f>
        <v>868.8928127220297</v>
      </c>
      <c r="I42" s="455"/>
      <c r="J42" s="455"/>
    </row>
    <row r="43" spans="2:10" x14ac:dyDescent="0.25">
      <c r="B43" s="456"/>
      <c r="C43" s="456"/>
      <c r="D43" s="456"/>
      <c r="E43" s="465" t="s">
        <v>845</v>
      </c>
      <c r="F43" s="463">
        <f ca="1">F61</f>
        <v>152.64235848902217</v>
      </c>
      <c r="G43" s="456"/>
      <c r="H43" s="455" t="s">
        <v>1549</v>
      </c>
      <c r="I43" s="457"/>
      <c r="J43" s="455"/>
    </row>
    <row r="44" spans="2:10" x14ac:dyDescent="0.25">
      <c r="B44" s="456"/>
      <c r="C44" s="456"/>
      <c r="D44" s="456"/>
      <c r="E44" s="465" t="s">
        <v>844</v>
      </c>
      <c r="F44" s="463">
        <f ca="1">F62</f>
        <v>66.007734393502474</v>
      </c>
      <c r="G44" s="456"/>
      <c r="H44" s="464">
        <f>'Patient &amp; Case Type Summary'!BF62</f>
        <v>2022.7420403564824</v>
      </c>
      <c r="I44" s="457"/>
      <c r="J44" s="455"/>
    </row>
    <row r="45" spans="2:10" x14ac:dyDescent="0.25">
      <c r="B45" s="456"/>
      <c r="C45" s="456"/>
      <c r="D45" s="456"/>
      <c r="E45" s="456"/>
      <c r="F45" s="456"/>
      <c r="G45" s="456"/>
      <c r="H45" s="466"/>
      <c r="I45" s="457"/>
      <c r="J45" s="455"/>
    </row>
    <row r="46" spans="2:10" x14ac:dyDescent="0.25">
      <c r="B46" s="456"/>
      <c r="C46" s="456"/>
      <c r="D46" s="456"/>
      <c r="E46" s="456"/>
      <c r="F46" s="456"/>
      <c r="G46" s="456"/>
      <c r="H46" s="459">
        <f>SUM(H42,H44)</f>
        <v>2891.6348530785122</v>
      </c>
      <c r="I46" s="457"/>
      <c r="J46" s="455"/>
    </row>
    <row r="47" spans="2:10" x14ac:dyDescent="0.25">
      <c r="B47" s="456"/>
      <c r="C47" s="456"/>
      <c r="D47" s="456"/>
      <c r="E47" s="456"/>
      <c r="F47" s="456"/>
      <c r="G47" s="456"/>
      <c r="H47" s="455"/>
      <c r="I47" s="457"/>
      <c r="J47" s="455"/>
    </row>
    <row r="48" spans="2:10" x14ac:dyDescent="0.25">
      <c r="B48" s="456"/>
      <c r="C48" s="456"/>
      <c r="D48" s="456"/>
      <c r="E48" s="456"/>
      <c r="F48" s="456"/>
      <c r="G48" s="456"/>
      <c r="H48" s="455"/>
      <c r="I48" s="457"/>
      <c r="J48" s="455"/>
    </row>
    <row r="49" spans="2:12" x14ac:dyDescent="0.25">
      <c r="B49" s="456"/>
      <c r="C49" s="456"/>
      <c r="D49" s="456"/>
      <c r="E49" s="456"/>
      <c r="F49" s="456"/>
      <c r="G49" s="456"/>
      <c r="H49" s="455"/>
      <c r="I49" s="457"/>
      <c r="J49" s="455"/>
    </row>
    <row r="50" spans="2:12" x14ac:dyDescent="0.25">
      <c r="B50" s="411"/>
      <c r="C50" s="411"/>
      <c r="D50" s="411"/>
      <c r="E50" s="411"/>
      <c r="F50" s="411"/>
      <c r="I50" s="421"/>
    </row>
    <row r="51" spans="2:12" ht="15.75" thickBot="1" x14ac:dyDescent="0.3">
      <c r="B51" s="411"/>
      <c r="C51" s="411"/>
      <c r="D51" s="411"/>
      <c r="E51" s="411"/>
      <c r="F51" s="411"/>
      <c r="I51" s="421"/>
    </row>
    <row r="52" spans="2:12" ht="28.5" customHeight="1" thickBot="1" x14ac:dyDescent="0.3">
      <c r="B52" s="646" t="s">
        <v>933</v>
      </c>
      <c r="C52" s="467">
        <f>F56</f>
        <v>1448.1546878700494</v>
      </c>
      <c r="D52" s="647"/>
      <c r="E52" s="648" t="s">
        <v>1575</v>
      </c>
      <c r="F52" s="468">
        <f ca="1">F60</f>
        <v>218.65009288252463</v>
      </c>
      <c r="G52" s="647"/>
      <c r="H52" s="649" t="s">
        <v>1552</v>
      </c>
      <c r="I52" s="467">
        <f>H46</f>
        <v>2891.6348530785122</v>
      </c>
    </row>
    <row r="53" spans="2:12" x14ac:dyDescent="0.25">
      <c r="B53" s="411"/>
      <c r="C53" s="411"/>
      <c r="D53" s="411"/>
      <c r="E53" s="411"/>
      <c r="F53" s="411"/>
      <c r="H53" s="509" t="s">
        <v>1553</v>
      </c>
      <c r="I53" s="626">
        <f>H44+((1/3)*H42)</f>
        <v>2312.3729779304922</v>
      </c>
    </row>
    <row r="54" spans="2:12" ht="30.75" thickBot="1" x14ac:dyDescent="0.3">
      <c r="B54" s="411"/>
      <c r="C54" s="411"/>
      <c r="D54" s="411"/>
      <c r="E54" s="411"/>
      <c r="F54" s="411"/>
      <c r="H54" s="631" t="s">
        <v>1554</v>
      </c>
      <c r="I54" s="626">
        <f>(2/3)*H42</f>
        <v>579.26187514801973</v>
      </c>
    </row>
    <row r="55" spans="2:12" x14ac:dyDescent="0.25">
      <c r="B55" s="469" t="s">
        <v>1169</v>
      </c>
      <c r="C55" s="470"/>
      <c r="D55" s="470"/>
      <c r="E55" s="470"/>
      <c r="F55" s="471" t="s">
        <v>259</v>
      </c>
      <c r="G55" s="472"/>
      <c r="K55" s="419"/>
      <c r="L55" s="419"/>
    </row>
    <row r="56" spans="2:12" x14ac:dyDescent="0.25">
      <c r="B56" s="473" t="s">
        <v>843</v>
      </c>
      <c r="C56" s="474"/>
      <c r="D56" s="474"/>
      <c r="E56" s="474"/>
      <c r="F56" s="475">
        <f>Total_new_cases_for_period</f>
        <v>1448.1546878700494</v>
      </c>
      <c r="G56" s="476"/>
      <c r="K56" s="419"/>
      <c r="L56" s="419"/>
    </row>
    <row r="57" spans="2:12" x14ac:dyDescent="0.25">
      <c r="B57" s="634" t="s">
        <v>848</v>
      </c>
      <c r="C57" s="474"/>
      <c r="D57" s="474"/>
      <c r="E57" s="474"/>
      <c r="F57" s="633">
        <f>Total_mild_cases_for_period</f>
        <v>1158.5237502960397</v>
      </c>
      <c r="G57" s="476"/>
      <c r="K57" s="419"/>
      <c r="L57" s="419"/>
    </row>
    <row r="58" spans="2:12" x14ac:dyDescent="0.25">
      <c r="B58" s="635" t="s">
        <v>935</v>
      </c>
      <c r="C58" s="474"/>
      <c r="D58" s="474"/>
      <c r="E58" s="474"/>
      <c r="F58" s="633">
        <f>Total_severe_cases_for_period</f>
        <v>217.22320318050743</v>
      </c>
      <c r="G58" s="476"/>
      <c r="J58" s="477"/>
      <c r="K58" s="419"/>
      <c r="L58" s="419"/>
    </row>
    <row r="59" spans="2:12" x14ac:dyDescent="0.25">
      <c r="B59" s="635" t="s">
        <v>936</v>
      </c>
      <c r="C59" s="474"/>
      <c r="D59" s="474"/>
      <c r="E59" s="474"/>
      <c r="F59" s="633">
        <f>Total_critical_cases_for_period</f>
        <v>72.40773439350248</v>
      </c>
      <c r="G59" s="476"/>
      <c r="J59" s="477"/>
      <c r="K59" s="419"/>
      <c r="L59" s="419"/>
    </row>
    <row r="60" spans="2:12" x14ac:dyDescent="0.25">
      <c r="B60" s="473" t="s">
        <v>1165</v>
      </c>
      <c r="C60" s="474"/>
      <c r="D60" s="474"/>
      <c r="E60" s="474"/>
      <c r="F60" s="475">
        <f ca="1">Max_total_capped_beds</f>
        <v>218.65009288252463</v>
      </c>
      <c r="G60" s="415"/>
      <c r="I60" s="477"/>
      <c r="K60" s="419"/>
      <c r="L60" s="419"/>
    </row>
    <row r="61" spans="2:12" x14ac:dyDescent="0.25">
      <c r="B61" s="636" t="s">
        <v>845</v>
      </c>
      <c r="C61" s="637"/>
      <c r="D61" s="637"/>
      <c r="E61" s="637"/>
      <c r="F61" s="638">
        <f ca="1">Max_severe_capped_beds</f>
        <v>152.64235848902217</v>
      </c>
      <c r="G61" s="410"/>
      <c r="I61" s="477"/>
      <c r="K61" s="419"/>
      <c r="L61" s="419"/>
    </row>
    <row r="62" spans="2:12" x14ac:dyDescent="0.25">
      <c r="B62" s="636" t="s">
        <v>844</v>
      </c>
      <c r="C62" s="637"/>
      <c r="D62" s="637"/>
      <c r="E62" s="637"/>
      <c r="F62" s="638">
        <f ca="1">Max_critical_capped_beds</f>
        <v>66.007734393502474</v>
      </c>
      <c r="G62" s="410"/>
      <c r="I62" s="477"/>
      <c r="K62" s="419"/>
      <c r="L62" s="419"/>
    </row>
    <row r="63" spans="2:12" x14ac:dyDescent="0.25">
      <c r="B63" s="480" t="s">
        <v>1555</v>
      </c>
      <c r="C63" s="478"/>
      <c r="D63" s="478"/>
      <c r="E63" s="478"/>
      <c r="F63" s="479">
        <f>H46</f>
        <v>2891.6348530785122</v>
      </c>
      <c r="G63" s="410"/>
      <c r="K63" s="419"/>
      <c r="L63" s="419"/>
    </row>
    <row r="64" spans="2:12" ht="15.75" thickBot="1" x14ac:dyDescent="0.3">
      <c r="B64" s="639" t="s">
        <v>1550</v>
      </c>
      <c r="C64" s="640"/>
      <c r="D64" s="640"/>
      <c r="E64" s="640"/>
      <c r="F64" s="641">
        <f>H42</f>
        <v>868.8928127220297</v>
      </c>
      <c r="G64" s="415"/>
      <c r="K64" s="419"/>
      <c r="L64" s="419"/>
    </row>
    <row r="65" spans="1:66" x14ac:dyDescent="0.25">
      <c r="A65" s="481"/>
    </row>
    <row r="67" spans="1:66" s="412" customFormat="1" ht="17.25" x14ac:dyDescent="0.3">
      <c r="B67" s="413" t="s">
        <v>1170</v>
      </c>
      <c r="C67" s="414"/>
    </row>
    <row r="68" spans="1:66" s="482" customFormat="1" x14ac:dyDescent="0.25">
      <c r="B68" s="483"/>
      <c r="F68" s="484">
        <f>'Patient Calc Assumptions'!$C$47</f>
        <v>0</v>
      </c>
      <c r="G68" s="485">
        <f t="shared" ref="G68:AL68" si="0">IFERROR(IF(F68+1&lt;=WeekSuppliedUntil,F68+1,""),"")</f>
        <v>1</v>
      </c>
      <c r="H68" s="485">
        <f t="shared" si="0"/>
        <v>2</v>
      </c>
      <c r="I68" s="485">
        <f t="shared" si="0"/>
        <v>3</v>
      </c>
      <c r="J68" s="485">
        <f t="shared" si="0"/>
        <v>4</v>
      </c>
      <c r="K68" s="485">
        <f t="shared" si="0"/>
        <v>5</v>
      </c>
      <c r="L68" s="485">
        <f t="shared" si="0"/>
        <v>6</v>
      </c>
      <c r="M68" s="485" t="str">
        <f t="shared" si="0"/>
        <v/>
      </c>
      <c r="N68" s="485" t="str">
        <f t="shared" si="0"/>
        <v/>
      </c>
      <c r="O68" s="485" t="str">
        <f t="shared" si="0"/>
        <v/>
      </c>
      <c r="P68" s="485" t="str">
        <f t="shared" si="0"/>
        <v/>
      </c>
      <c r="Q68" s="485" t="str">
        <f t="shared" si="0"/>
        <v/>
      </c>
      <c r="R68" s="485" t="str">
        <f t="shared" si="0"/>
        <v/>
      </c>
      <c r="S68" s="485" t="str">
        <f t="shared" si="0"/>
        <v/>
      </c>
      <c r="T68" s="485" t="str">
        <f t="shared" si="0"/>
        <v/>
      </c>
      <c r="U68" s="485" t="str">
        <f t="shared" si="0"/>
        <v/>
      </c>
      <c r="V68" s="485" t="str">
        <f t="shared" si="0"/>
        <v/>
      </c>
      <c r="W68" s="485" t="str">
        <f t="shared" si="0"/>
        <v/>
      </c>
      <c r="X68" s="485" t="str">
        <f t="shared" si="0"/>
        <v/>
      </c>
      <c r="Y68" s="485" t="str">
        <f t="shared" si="0"/>
        <v/>
      </c>
      <c r="Z68" s="485" t="str">
        <f t="shared" si="0"/>
        <v/>
      </c>
      <c r="AA68" s="485" t="str">
        <f t="shared" si="0"/>
        <v/>
      </c>
      <c r="AB68" s="485" t="str">
        <f t="shared" si="0"/>
        <v/>
      </c>
      <c r="AC68" s="485" t="str">
        <f t="shared" si="0"/>
        <v/>
      </c>
      <c r="AD68" s="485" t="str">
        <f t="shared" si="0"/>
        <v/>
      </c>
      <c r="AE68" s="485" t="str">
        <f t="shared" si="0"/>
        <v/>
      </c>
      <c r="AF68" s="485" t="str">
        <f t="shared" si="0"/>
        <v/>
      </c>
      <c r="AG68" s="485" t="str">
        <f t="shared" si="0"/>
        <v/>
      </c>
      <c r="AH68" s="485" t="str">
        <f t="shared" si="0"/>
        <v/>
      </c>
      <c r="AI68" s="485" t="str">
        <f t="shared" si="0"/>
        <v/>
      </c>
      <c r="AJ68" s="485" t="str">
        <f t="shared" si="0"/>
        <v/>
      </c>
      <c r="AK68" s="485" t="str">
        <f t="shared" si="0"/>
        <v/>
      </c>
      <c r="AL68" s="485" t="str">
        <f t="shared" si="0"/>
        <v/>
      </c>
      <c r="AM68" s="485" t="str">
        <f t="shared" ref="AM68:BD68" si="1">IFERROR(IF(AL68+1&lt;=WeekSuppliedUntil,AL68+1,""),"")</f>
        <v/>
      </c>
      <c r="AN68" s="485" t="str">
        <f t="shared" si="1"/>
        <v/>
      </c>
      <c r="AO68" s="485" t="str">
        <f t="shared" si="1"/>
        <v/>
      </c>
      <c r="AP68" s="485" t="str">
        <f t="shared" si="1"/>
        <v/>
      </c>
      <c r="AQ68" s="485" t="str">
        <f t="shared" si="1"/>
        <v/>
      </c>
      <c r="AR68" s="485" t="str">
        <f t="shared" si="1"/>
        <v/>
      </c>
      <c r="AS68" s="485" t="str">
        <f t="shared" si="1"/>
        <v/>
      </c>
      <c r="AT68" s="485" t="str">
        <f t="shared" si="1"/>
        <v/>
      </c>
      <c r="AU68" s="485" t="str">
        <f t="shared" si="1"/>
        <v/>
      </c>
      <c r="AV68" s="485" t="str">
        <f t="shared" si="1"/>
        <v/>
      </c>
      <c r="AW68" s="485" t="str">
        <f t="shared" si="1"/>
        <v/>
      </c>
      <c r="AX68" s="485" t="str">
        <f t="shared" si="1"/>
        <v/>
      </c>
      <c r="AY68" s="485" t="str">
        <f t="shared" si="1"/>
        <v/>
      </c>
      <c r="AZ68" s="485" t="str">
        <f t="shared" si="1"/>
        <v/>
      </c>
      <c r="BA68" s="485" t="str">
        <f t="shared" si="1"/>
        <v/>
      </c>
      <c r="BB68" s="485" t="str">
        <f t="shared" si="1"/>
        <v/>
      </c>
      <c r="BC68" s="485" t="str">
        <f t="shared" si="1"/>
        <v/>
      </c>
      <c r="BD68" s="485" t="str">
        <f t="shared" si="1"/>
        <v/>
      </c>
    </row>
    <row r="69" spans="1:66" s="482" customFormat="1" x14ac:dyDescent="0.25">
      <c r="B69" s="486" t="s">
        <v>1292</v>
      </c>
      <c r="F69" s="484"/>
      <c r="G69" s="485"/>
      <c r="H69" s="485"/>
      <c r="I69" s="485"/>
      <c r="J69" s="485"/>
      <c r="K69" s="485"/>
      <c r="L69" s="485"/>
      <c r="M69" s="485"/>
      <c r="N69" s="485"/>
      <c r="O69" s="485"/>
      <c r="P69" s="485"/>
      <c r="Q69" s="485"/>
      <c r="R69" s="485"/>
      <c r="S69" s="485"/>
      <c r="T69" s="485"/>
      <c r="U69" s="485"/>
      <c r="V69" s="485"/>
      <c r="W69" s="485"/>
      <c r="X69" s="485"/>
      <c r="Y69" s="485"/>
      <c r="Z69" s="485"/>
      <c r="AA69" s="485"/>
      <c r="AB69" s="485"/>
      <c r="AC69" s="485"/>
      <c r="AD69" s="485"/>
      <c r="AE69" s="485"/>
      <c r="AF69" s="485"/>
      <c r="AG69" s="485"/>
      <c r="AH69" s="485"/>
      <c r="AI69" s="485"/>
      <c r="AJ69" s="485"/>
      <c r="AK69" s="485"/>
      <c r="AL69" s="485"/>
      <c r="AM69" s="485"/>
      <c r="AN69" s="485"/>
      <c r="AO69" s="485"/>
      <c r="AP69" s="485"/>
      <c r="AQ69" s="485"/>
      <c r="AR69" s="485"/>
      <c r="AS69" s="485"/>
      <c r="AT69" s="485"/>
      <c r="AU69" s="485"/>
      <c r="AV69" s="485"/>
      <c r="AW69" s="485"/>
      <c r="AX69" s="485"/>
      <c r="AY69" s="485"/>
      <c r="AZ69" s="485"/>
      <c r="BA69" s="485"/>
      <c r="BB69" s="485"/>
      <c r="BC69" s="485"/>
      <c r="BD69" s="485"/>
    </row>
    <row r="70" spans="1:66" s="482" customFormat="1" x14ac:dyDescent="0.25">
      <c r="F70" s="484"/>
      <c r="G70" s="485"/>
      <c r="H70" s="485"/>
      <c r="I70" s="485"/>
      <c r="J70" s="485"/>
      <c r="K70" s="485"/>
      <c r="L70" s="485"/>
      <c r="M70" s="485"/>
      <c r="N70" s="485"/>
      <c r="O70" s="485"/>
      <c r="P70" s="485"/>
      <c r="Q70" s="485"/>
      <c r="R70" s="485"/>
      <c r="S70" s="485"/>
      <c r="T70" s="485"/>
      <c r="U70" s="485"/>
      <c r="V70" s="485"/>
      <c r="W70" s="485"/>
      <c r="X70" s="485"/>
      <c r="Y70" s="485"/>
      <c r="Z70" s="485"/>
      <c r="AA70" s="485"/>
      <c r="AB70" s="485"/>
      <c r="AC70" s="485"/>
      <c r="AD70" s="485"/>
      <c r="AE70" s="485"/>
      <c r="AF70" s="485"/>
      <c r="AG70" s="485"/>
      <c r="AH70" s="485"/>
      <c r="AI70" s="485"/>
      <c r="AJ70" s="485"/>
      <c r="AK70" s="485"/>
      <c r="AL70" s="485"/>
      <c r="AM70" s="485"/>
      <c r="AN70" s="485"/>
      <c r="AO70" s="485"/>
      <c r="AP70" s="485"/>
      <c r="AQ70" s="485"/>
      <c r="AR70" s="485"/>
      <c r="AS70" s="485"/>
      <c r="AT70" s="485"/>
      <c r="AU70" s="485"/>
      <c r="AV70" s="485"/>
      <c r="AW70" s="485"/>
      <c r="AX70" s="485"/>
      <c r="AY70" s="485"/>
      <c r="AZ70" s="485"/>
      <c r="BA70" s="485"/>
      <c r="BB70" s="485"/>
      <c r="BC70" s="485"/>
      <c r="BD70" s="485"/>
    </row>
    <row r="71" spans="1:66" s="482" customFormat="1" ht="32.25" customHeight="1" x14ac:dyDescent="0.25">
      <c r="B71" s="731" t="s">
        <v>1343</v>
      </c>
      <c r="C71" s="731"/>
      <c r="D71" s="731"/>
      <c r="E71" s="731"/>
      <c r="F71" s="731"/>
      <c r="G71" s="487">
        <f ca="1">SUM('HCW &amp; Staff Summary'!$BH$25+'HCW &amp; Staff Summary'!$BH$33)</f>
        <v>361.84014861203946</v>
      </c>
      <c r="H71" s="488" t="str">
        <f ca="1">CONCATENATE("   This is ",ROUNDUP(G71/SUM('HCW &amp; Staff Summary'!$D$6:$D$7),0)," times as many HCWs as operational in country")</f>
        <v xml:space="preserve">   This is 1 times as many HCWs as operational in country</v>
      </c>
      <c r="I71" s="485"/>
      <c r="J71" s="485"/>
      <c r="K71" s="485"/>
      <c r="L71" s="485"/>
      <c r="M71" s="485"/>
      <c r="N71" s="485"/>
      <c r="O71" s="485"/>
      <c r="P71" s="485"/>
      <c r="Q71" s="485"/>
      <c r="R71" s="485"/>
      <c r="S71" s="485"/>
      <c r="T71" s="485"/>
      <c r="U71" s="485"/>
      <c r="V71" s="485"/>
      <c r="W71" s="485"/>
      <c r="X71" s="485"/>
      <c r="Y71" s="485"/>
      <c r="Z71" s="485"/>
      <c r="AA71" s="485"/>
      <c r="AB71" s="485"/>
      <c r="AC71" s="485"/>
      <c r="AD71" s="485"/>
      <c r="AE71" s="485"/>
      <c r="AF71" s="485"/>
      <c r="AG71" s="485"/>
      <c r="AH71" s="485"/>
      <c r="AI71" s="485"/>
      <c r="AJ71" s="485"/>
      <c r="AK71" s="485"/>
      <c r="AL71" s="485"/>
      <c r="AM71" s="485"/>
      <c r="AN71" s="485"/>
      <c r="AO71" s="485"/>
      <c r="AP71" s="485"/>
      <c r="AQ71" s="485"/>
      <c r="AR71" s="485"/>
      <c r="AS71" s="485"/>
      <c r="AT71" s="485"/>
      <c r="AU71" s="485"/>
      <c r="AV71" s="485"/>
      <c r="AW71" s="485"/>
      <c r="AX71" s="485"/>
      <c r="AY71" s="485"/>
      <c r="AZ71" s="485"/>
      <c r="BA71" s="485"/>
      <c r="BB71" s="485"/>
      <c r="BC71" s="485"/>
      <c r="BD71" s="485"/>
    </row>
    <row r="72" spans="1:66" s="482" customFormat="1" ht="15.75" thickBot="1" x14ac:dyDescent="0.3">
      <c r="F72" s="484"/>
      <c r="G72" s="485">
        <v>1</v>
      </c>
      <c r="H72" s="485">
        <v>2</v>
      </c>
      <c r="I72" s="485">
        <v>3</v>
      </c>
      <c r="J72" s="485">
        <v>4</v>
      </c>
      <c r="K72" s="485">
        <v>5</v>
      </c>
      <c r="L72" s="485">
        <v>6</v>
      </c>
      <c r="M72" s="485">
        <v>7</v>
      </c>
      <c r="N72" s="485">
        <v>8</v>
      </c>
      <c r="O72" s="485">
        <v>9</v>
      </c>
      <c r="P72" s="485">
        <v>10</v>
      </c>
      <c r="Q72" s="485">
        <v>11</v>
      </c>
      <c r="R72" s="485">
        <v>12</v>
      </c>
      <c r="S72" s="485">
        <v>13</v>
      </c>
      <c r="T72" s="485">
        <v>14</v>
      </c>
      <c r="U72" s="485">
        <v>15</v>
      </c>
      <c r="V72" s="485">
        <v>16</v>
      </c>
      <c r="W72" s="485">
        <v>17</v>
      </c>
      <c r="X72" s="485">
        <v>18</v>
      </c>
      <c r="Y72" s="485">
        <v>19</v>
      </c>
      <c r="Z72" s="485">
        <v>20</v>
      </c>
      <c r="AA72" s="485">
        <v>21</v>
      </c>
      <c r="AB72" s="485">
        <v>22</v>
      </c>
      <c r="AC72" s="485">
        <v>23</v>
      </c>
      <c r="AD72" s="485">
        <v>24</v>
      </c>
      <c r="AE72" s="485">
        <v>25</v>
      </c>
      <c r="AF72" s="485">
        <v>26</v>
      </c>
      <c r="AG72" s="485">
        <v>27</v>
      </c>
      <c r="AH72" s="485">
        <v>28</v>
      </c>
      <c r="AI72" s="485">
        <v>29</v>
      </c>
      <c r="AJ72" s="485">
        <v>30</v>
      </c>
      <c r="AK72" s="485">
        <v>31</v>
      </c>
      <c r="AL72" s="485">
        <v>32</v>
      </c>
      <c r="AM72" s="485">
        <v>33</v>
      </c>
      <c r="AN72" s="485">
        <v>34</v>
      </c>
      <c r="AO72" s="485">
        <v>35</v>
      </c>
      <c r="AP72" s="485">
        <v>36</v>
      </c>
      <c r="AQ72" s="485">
        <v>37</v>
      </c>
      <c r="AR72" s="485">
        <v>38</v>
      </c>
      <c r="AS72" s="485">
        <v>39</v>
      </c>
      <c r="AT72" s="485">
        <v>40</v>
      </c>
      <c r="AU72" s="485">
        <v>41</v>
      </c>
      <c r="AV72" s="485">
        <v>42</v>
      </c>
      <c r="AW72" s="485">
        <v>43</v>
      </c>
      <c r="AX72" s="485">
        <v>44</v>
      </c>
      <c r="AY72" s="485">
        <v>45</v>
      </c>
      <c r="AZ72" s="485">
        <v>46</v>
      </c>
      <c r="BA72" s="485">
        <v>47</v>
      </c>
      <c r="BB72" s="485">
        <v>48</v>
      </c>
      <c r="BC72" s="485">
        <v>49</v>
      </c>
      <c r="BD72" s="485">
        <v>50</v>
      </c>
      <c r="BE72" s="485">
        <v>51</v>
      </c>
      <c r="BF72" s="485">
        <v>52</v>
      </c>
      <c r="BG72" s="485">
        <v>53</v>
      </c>
      <c r="BH72" s="485">
        <v>54</v>
      </c>
      <c r="BI72" s="485">
        <v>55</v>
      </c>
      <c r="BJ72" s="485">
        <v>56</v>
      </c>
      <c r="BK72" s="485">
        <v>57</v>
      </c>
      <c r="BL72" s="485">
        <v>58</v>
      </c>
      <c r="BM72" s="485">
        <v>59</v>
      </c>
      <c r="BN72" s="485">
        <v>60</v>
      </c>
    </row>
    <row r="73" spans="1:66" ht="31.5" customHeight="1" x14ac:dyDescent="0.25">
      <c r="B73" s="489" t="s">
        <v>1167</v>
      </c>
      <c r="C73" s="490" t="s">
        <v>1168</v>
      </c>
      <c r="D73" s="491"/>
      <c r="E73" s="492"/>
      <c r="F73" s="539" t="str">
        <f>CONCATENATE("First week of forecast")</f>
        <v>First week of forecast</v>
      </c>
      <c r="G73" s="539" t="str">
        <f>CONCATENATE("Week ",G$72+1," of forecast")</f>
        <v>Week 2 of forecast</v>
      </c>
      <c r="H73" s="539" t="str">
        <f t="shared" ref="H73:BN73" si="2">CONCATENATE("Week ",H$72+1," of forecast")</f>
        <v>Week 3 of forecast</v>
      </c>
      <c r="I73" s="539" t="str">
        <f t="shared" si="2"/>
        <v>Week 4 of forecast</v>
      </c>
      <c r="J73" s="539" t="str">
        <f t="shared" si="2"/>
        <v>Week 5 of forecast</v>
      </c>
      <c r="K73" s="539" t="str">
        <f t="shared" si="2"/>
        <v>Week 6 of forecast</v>
      </c>
      <c r="L73" s="539" t="str">
        <f t="shared" si="2"/>
        <v>Week 7 of forecast</v>
      </c>
      <c r="M73" s="539" t="str">
        <f t="shared" si="2"/>
        <v>Week 8 of forecast</v>
      </c>
      <c r="N73" s="539" t="str">
        <f t="shared" si="2"/>
        <v>Week 9 of forecast</v>
      </c>
      <c r="O73" s="539" t="str">
        <f t="shared" si="2"/>
        <v>Week 10 of forecast</v>
      </c>
      <c r="P73" s="539" t="str">
        <f t="shared" si="2"/>
        <v>Week 11 of forecast</v>
      </c>
      <c r="Q73" s="539" t="str">
        <f t="shared" si="2"/>
        <v>Week 12 of forecast</v>
      </c>
      <c r="R73" s="539" t="str">
        <f t="shared" si="2"/>
        <v>Week 13 of forecast</v>
      </c>
      <c r="S73" s="539" t="str">
        <f t="shared" si="2"/>
        <v>Week 14 of forecast</v>
      </c>
      <c r="T73" s="539" t="str">
        <f t="shared" si="2"/>
        <v>Week 15 of forecast</v>
      </c>
      <c r="U73" s="539" t="str">
        <f t="shared" si="2"/>
        <v>Week 16 of forecast</v>
      </c>
      <c r="V73" s="539" t="str">
        <f t="shared" si="2"/>
        <v>Week 17 of forecast</v>
      </c>
      <c r="W73" s="539" t="str">
        <f t="shared" si="2"/>
        <v>Week 18 of forecast</v>
      </c>
      <c r="X73" s="539" t="str">
        <f t="shared" si="2"/>
        <v>Week 19 of forecast</v>
      </c>
      <c r="Y73" s="539" t="str">
        <f t="shared" si="2"/>
        <v>Week 20 of forecast</v>
      </c>
      <c r="Z73" s="539" t="str">
        <f t="shared" si="2"/>
        <v>Week 21 of forecast</v>
      </c>
      <c r="AA73" s="539" t="str">
        <f t="shared" si="2"/>
        <v>Week 22 of forecast</v>
      </c>
      <c r="AB73" s="539" t="str">
        <f t="shared" si="2"/>
        <v>Week 23 of forecast</v>
      </c>
      <c r="AC73" s="539" t="str">
        <f t="shared" si="2"/>
        <v>Week 24 of forecast</v>
      </c>
      <c r="AD73" s="539" t="str">
        <f t="shared" si="2"/>
        <v>Week 25 of forecast</v>
      </c>
      <c r="AE73" s="539" t="str">
        <f t="shared" si="2"/>
        <v>Week 26 of forecast</v>
      </c>
      <c r="AF73" s="539" t="str">
        <f t="shared" si="2"/>
        <v>Week 27 of forecast</v>
      </c>
      <c r="AG73" s="539" t="str">
        <f t="shared" si="2"/>
        <v>Week 28 of forecast</v>
      </c>
      <c r="AH73" s="539" t="str">
        <f t="shared" si="2"/>
        <v>Week 29 of forecast</v>
      </c>
      <c r="AI73" s="539" t="str">
        <f t="shared" si="2"/>
        <v>Week 30 of forecast</v>
      </c>
      <c r="AJ73" s="539" t="str">
        <f t="shared" si="2"/>
        <v>Week 31 of forecast</v>
      </c>
      <c r="AK73" s="539" t="str">
        <f t="shared" si="2"/>
        <v>Week 32 of forecast</v>
      </c>
      <c r="AL73" s="539" t="str">
        <f t="shared" si="2"/>
        <v>Week 33 of forecast</v>
      </c>
      <c r="AM73" s="539" t="str">
        <f t="shared" si="2"/>
        <v>Week 34 of forecast</v>
      </c>
      <c r="AN73" s="539" t="str">
        <f t="shared" si="2"/>
        <v>Week 35 of forecast</v>
      </c>
      <c r="AO73" s="539" t="str">
        <f t="shared" si="2"/>
        <v>Week 36 of forecast</v>
      </c>
      <c r="AP73" s="539" t="str">
        <f t="shared" si="2"/>
        <v>Week 37 of forecast</v>
      </c>
      <c r="AQ73" s="539" t="str">
        <f t="shared" si="2"/>
        <v>Week 38 of forecast</v>
      </c>
      <c r="AR73" s="539" t="str">
        <f t="shared" si="2"/>
        <v>Week 39 of forecast</v>
      </c>
      <c r="AS73" s="539" t="str">
        <f t="shared" si="2"/>
        <v>Week 40 of forecast</v>
      </c>
      <c r="AT73" s="539" t="str">
        <f t="shared" si="2"/>
        <v>Week 41 of forecast</v>
      </c>
      <c r="AU73" s="539" t="str">
        <f t="shared" si="2"/>
        <v>Week 42 of forecast</v>
      </c>
      <c r="AV73" s="539" t="str">
        <f t="shared" si="2"/>
        <v>Week 43 of forecast</v>
      </c>
      <c r="AW73" s="539" t="str">
        <f t="shared" si="2"/>
        <v>Week 44 of forecast</v>
      </c>
      <c r="AX73" s="539" t="str">
        <f t="shared" si="2"/>
        <v>Week 45 of forecast</v>
      </c>
      <c r="AY73" s="539" t="str">
        <f t="shared" si="2"/>
        <v>Week 46 of forecast</v>
      </c>
      <c r="AZ73" s="539" t="str">
        <f t="shared" si="2"/>
        <v>Week 47 of forecast</v>
      </c>
      <c r="BA73" s="539" t="str">
        <f t="shared" si="2"/>
        <v>Week 48 of forecast</v>
      </c>
      <c r="BB73" s="539" t="str">
        <f t="shared" si="2"/>
        <v>Week 49 of forecast</v>
      </c>
      <c r="BC73" s="539" t="str">
        <f t="shared" si="2"/>
        <v>Week 50 of forecast</v>
      </c>
      <c r="BD73" s="539" t="str">
        <f t="shared" si="2"/>
        <v>Week 51 of forecast</v>
      </c>
      <c r="BE73" s="539" t="str">
        <f t="shared" si="2"/>
        <v>Week 52 of forecast</v>
      </c>
      <c r="BF73" s="539" t="str">
        <f t="shared" si="2"/>
        <v>Week 53 of forecast</v>
      </c>
      <c r="BG73" s="539" t="str">
        <f t="shared" si="2"/>
        <v>Week 54 of forecast</v>
      </c>
      <c r="BH73" s="539" t="str">
        <f t="shared" si="2"/>
        <v>Week 55 of forecast</v>
      </c>
      <c r="BI73" s="539" t="str">
        <f t="shared" si="2"/>
        <v>Week 56 of forecast</v>
      </c>
      <c r="BJ73" s="539" t="str">
        <f t="shared" si="2"/>
        <v>Week 57 of forecast</v>
      </c>
      <c r="BK73" s="539" t="str">
        <f t="shared" si="2"/>
        <v>Week 58 of forecast</v>
      </c>
      <c r="BL73" s="539" t="str">
        <f t="shared" si="2"/>
        <v>Week 59 of forecast</v>
      </c>
      <c r="BM73" s="539" t="str">
        <f t="shared" si="2"/>
        <v>Week 60 of forecast</v>
      </c>
      <c r="BN73" s="539" t="str">
        <f t="shared" si="2"/>
        <v>Week 61 of forecast</v>
      </c>
    </row>
    <row r="74" spans="1:66" s="668" customFormat="1" ht="45.6" customHeight="1" x14ac:dyDescent="0.25">
      <c r="B74" s="732" t="s">
        <v>1033</v>
      </c>
      <c r="C74" s="722" t="s">
        <v>1384</v>
      </c>
      <c r="D74" s="723"/>
      <c r="E74" s="724"/>
      <c r="F74" s="642">
        <f ca="1">IF(ISNUMBER(F$68),INDEX('Patient &amp; HCW Summary'!$D$18:$BD$21,1,MATCH(F$68,'Patient &amp; HCW Summary'!$D$10:$BD$10,0)),"")</f>
        <v>0.32000000000000006</v>
      </c>
      <c r="G74" s="642">
        <f ca="1">IF(ISNUMBER(G$68),INDEX('Patient &amp; HCW Summary'!$D$18:$BD$21,1,MATCH(G$68,'Patient &amp; HCW Summary'!$D$10:$BD$10,0)),"")</f>
        <v>0.83634741152475456</v>
      </c>
      <c r="H74" s="642">
        <f ca="1">IF(ISNUMBER(H$68),INDEX('Patient &amp; HCW Summary'!$D$18:$BD$21,1,MATCH(H$68,'Patient &amp; HCW Summary'!$D$10:$BD$10,0)),"")</f>
        <v>2.7331261610315574</v>
      </c>
      <c r="I74" s="642">
        <f ca="1">IF(ISNUMBER(I$68),INDEX('Patient &amp; HCW Summary'!$D$18:$BD$21,1,MATCH(I$68,'Patient &amp; HCW Summary'!$D$10:$BD$10,0)),"")</f>
        <v>9.1931039649903319</v>
      </c>
      <c r="J74" s="642">
        <f ca="1">IF(ISNUMBER(J$68),INDEX('Patient &amp; HCW Summary'!$D$18:$BD$21,1,MATCH(J$68,'Patient &amp; HCW Summary'!$D$10:$BD$10,0)),"")</f>
        <v>30.921792676860321</v>
      </c>
      <c r="K74" s="642">
        <f ca="1">IF(ISNUMBER(K$68),INDEX('Patient &amp; HCW Summary'!$D$18:$BD$21,1,MATCH(K$68,'Patient &amp; HCW Summary'!$D$10:$BD$10,0)),"")</f>
        <v>104.00809846076154</v>
      </c>
      <c r="L74" s="642">
        <f ca="1">IF(ISNUMBER(L$68),INDEX('Patient &amp; HCW Summary'!$D$18:$BD$21,1,MATCH(L$68,'Patient &amp; HCW Summary'!$D$10:$BD$10,0)),"")</f>
        <v>349.84014861203946</v>
      </c>
      <c r="M74" s="642" t="str">
        <f>IF(ISNUMBER(M$68),INDEX('Patient &amp; HCW Summary'!$D$18:$BD$21,1,MATCH(M$68,'Patient &amp; HCW Summary'!$D$10:$BD$10,0)),"")</f>
        <v/>
      </c>
      <c r="N74" s="642" t="str">
        <f>IF(ISNUMBER(N$68),INDEX('Patient &amp; HCW Summary'!$D$18:$BD$21,1,MATCH(N$68,'Patient &amp; HCW Summary'!$D$10:$BD$10,0)),"")</f>
        <v/>
      </c>
      <c r="O74" s="642" t="str">
        <f>IF(ISNUMBER(O$68),INDEX('Patient &amp; HCW Summary'!$D$18:$BD$21,1,MATCH(O$68,'Patient &amp; HCW Summary'!$D$10:$BD$10,0)),"")</f>
        <v/>
      </c>
      <c r="P74" s="642" t="str">
        <f>IF(ISNUMBER(P$68),INDEX('Patient &amp; HCW Summary'!$D$18:$BD$21,1,MATCH(P$68,'Patient &amp; HCW Summary'!$D$10:$BD$10,0)),"")</f>
        <v/>
      </c>
      <c r="Q74" s="642" t="str">
        <f>IF(ISNUMBER(Q$68),INDEX('Patient &amp; HCW Summary'!$D$18:$BD$21,1,MATCH(Q$68,'Patient &amp; HCW Summary'!$D$10:$BD$10,0)),"")</f>
        <v/>
      </c>
      <c r="R74" s="642" t="str">
        <f>IF(ISNUMBER(R$68),INDEX('Patient &amp; HCW Summary'!$D$18:$BD$21,1,MATCH(R$68,'Patient &amp; HCW Summary'!$D$10:$BD$10,0)),"")</f>
        <v/>
      </c>
      <c r="S74" s="642" t="str">
        <f>IF(ISNUMBER(S$68),INDEX('Patient &amp; HCW Summary'!$D$18:$BD$21,1,MATCH(S$68,'Patient &amp; HCW Summary'!$D$10:$BD$10,0)),"")</f>
        <v/>
      </c>
      <c r="T74" s="642" t="str">
        <f>IF(ISNUMBER(T$68),INDEX('Patient &amp; HCW Summary'!$D$18:$BD$21,1,MATCH(T$68,'Patient &amp; HCW Summary'!$D$10:$BD$10,0)),"")</f>
        <v/>
      </c>
      <c r="U74" s="642" t="str">
        <f>IF(ISNUMBER(U$68),INDEX('Patient &amp; HCW Summary'!$D$18:$BD$21,1,MATCH(U$68,'Patient &amp; HCW Summary'!$D$10:$BD$10,0)),"")</f>
        <v/>
      </c>
      <c r="V74" s="642" t="str">
        <f>IF(ISNUMBER(V$68),INDEX('Patient &amp; HCW Summary'!$D$18:$BD$21,1,MATCH(V$68,'Patient &amp; HCW Summary'!$D$10:$BD$10,0)),"")</f>
        <v/>
      </c>
      <c r="W74" s="642" t="str">
        <f>IF(ISNUMBER(W$68),INDEX('Patient &amp; HCW Summary'!$D$18:$BD$21,1,MATCH(W$68,'Patient &amp; HCW Summary'!$D$10:$BD$10,0)),"")</f>
        <v/>
      </c>
      <c r="X74" s="642" t="str">
        <f>IF(ISNUMBER(X$68),INDEX('Patient &amp; HCW Summary'!$D$18:$BD$21,1,MATCH(X$68,'Patient &amp; HCW Summary'!$D$10:$BD$10,0)),"")</f>
        <v/>
      </c>
      <c r="Y74" s="642" t="str">
        <f>IF(ISNUMBER(Y$68),INDEX('Patient &amp; HCW Summary'!$D$18:$BD$21,1,MATCH(Y$68,'Patient &amp; HCW Summary'!$D$10:$BD$10,0)),"")</f>
        <v/>
      </c>
      <c r="Z74" s="642" t="str">
        <f>IF(ISNUMBER(Z$68),INDEX('Patient &amp; HCW Summary'!$D$18:$BD$21,1,MATCH(Z$68,'Patient &amp; HCW Summary'!$D$10:$BD$10,0)),"")</f>
        <v/>
      </c>
      <c r="AA74" s="642" t="str">
        <f>IF(ISNUMBER(AA$68),INDEX('Patient &amp; HCW Summary'!$D$18:$BD$21,1,MATCH(AA$68,'Patient &amp; HCW Summary'!$D$10:$BD$10,0)),"")</f>
        <v/>
      </c>
      <c r="AB74" s="642" t="str">
        <f>IF(ISNUMBER(AB$68),INDEX('Patient &amp; HCW Summary'!$D$18:$BD$21,1,MATCH(AB$68,'Patient &amp; HCW Summary'!$D$10:$BD$10,0)),"")</f>
        <v/>
      </c>
      <c r="AC74" s="642" t="str">
        <f>IF(ISNUMBER(AC$68),INDEX('Patient &amp; HCW Summary'!$D$18:$BD$21,1,MATCH(AC$68,'Patient &amp; HCW Summary'!$D$10:$BD$10,0)),"")</f>
        <v/>
      </c>
      <c r="AD74" s="642" t="str">
        <f>IF(ISNUMBER(AD$68),INDEX('Patient &amp; HCW Summary'!$D$18:$BD$21,1,MATCH(AD$68,'Patient &amp; HCW Summary'!$D$10:$BD$10,0)),"")</f>
        <v/>
      </c>
      <c r="AE74" s="642" t="str">
        <f>IF(ISNUMBER(AE$68),INDEX('Patient &amp; HCW Summary'!$D$18:$BD$21,1,MATCH(AE$68,'Patient &amp; HCW Summary'!$D$10:$BD$10,0)),"")</f>
        <v/>
      </c>
      <c r="AF74" s="642" t="str">
        <f>IF(ISNUMBER(AF$68),INDEX('Patient &amp; HCW Summary'!$D$18:$BD$21,1,MATCH(AF$68,'Patient &amp; HCW Summary'!$D$10:$BD$10,0)),"")</f>
        <v/>
      </c>
      <c r="AG74" s="642" t="str">
        <f>IF(ISNUMBER(AG$68),INDEX('Patient &amp; HCW Summary'!$D$18:$BD$21,1,MATCH(AG$68,'Patient &amp; HCW Summary'!$D$10:$BD$10,0)),"")</f>
        <v/>
      </c>
      <c r="AH74" s="642" t="str">
        <f>IF(ISNUMBER(AH$68),INDEX('Patient &amp; HCW Summary'!$D$18:$BD$21,1,MATCH(AH$68,'Patient &amp; HCW Summary'!$D$10:$BD$10,0)),"")</f>
        <v/>
      </c>
      <c r="AI74" s="642" t="str">
        <f>IF(ISNUMBER(AI$68),INDEX('Patient &amp; HCW Summary'!$D$18:$BD$21,1,MATCH(AI$68,'Patient &amp; HCW Summary'!$D$10:$BD$10,0)),"")</f>
        <v/>
      </c>
      <c r="AJ74" s="642" t="str">
        <f>IF(ISNUMBER(AJ$68),INDEX('Patient &amp; HCW Summary'!$D$18:$BD$21,1,MATCH(AJ$68,'Patient &amp; HCW Summary'!$D$10:$BD$10,0)),"")</f>
        <v/>
      </c>
      <c r="AK74" s="642" t="str">
        <f>IF(ISNUMBER(AK$68),INDEX('Patient &amp; HCW Summary'!$D$18:$BD$21,1,MATCH(AK$68,'Patient &amp; HCW Summary'!$D$10:$BD$10,0)),"")</f>
        <v/>
      </c>
      <c r="AL74" s="642" t="str">
        <f>IF(ISNUMBER(AL$68),INDEX('Patient &amp; HCW Summary'!$D$18:$BD$21,1,MATCH(AL$68,'Patient &amp; HCW Summary'!$D$10:$BD$10,0)),"")</f>
        <v/>
      </c>
      <c r="AM74" s="642" t="str">
        <f>IF(ISNUMBER(AM$68),INDEX('Patient &amp; HCW Summary'!$D$18:$BD$21,1,MATCH(AM$68,'Patient &amp; HCW Summary'!$D$10:$BD$10,0)),"")</f>
        <v/>
      </c>
      <c r="AN74" s="642" t="str">
        <f>IF(ISNUMBER(AN$68),INDEX('Patient &amp; HCW Summary'!$D$18:$BD$21,1,MATCH(AN$68,'Patient &amp; HCW Summary'!$D$10:$BD$10,0)),"")</f>
        <v/>
      </c>
      <c r="AO74" s="642" t="str">
        <f>IF(ISNUMBER(AO$68),INDEX('Patient &amp; HCW Summary'!$D$18:$BD$21,1,MATCH(AO$68,'Patient &amp; HCW Summary'!$D$10:$BD$10,0)),"")</f>
        <v/>
      </c>
      <c r="AP74" s="642" t="str">
        <f>IF(ISNUMBER(AP$68),INDEX('Patient &amp; HCW Summary'!$D$18:$BD$21,1,MATCH(AP$68,'Patient &amp; HCW Summary'!$D$10:$BD$10,0)),"")</f>
        <v/>
      </c>
      <c r="AQ74" s="642" t="str">
        <f>IF(ISNUMBER(AQ$68),INDEX('Patient &amp; HCW Summary'!$D$18:$BD$21,1,MATCH(AQ$68,'Patient &amp; HCW Summary'!$D$10:$BD$10,0)),"")</f>
        <v/>
      </c>
      <c r="AR74" s="642" t="str">
        <f>IF(ISNUMBER(AR$68),INDEX('Patient &amp; HCW Summary'!$D$18:$BD$21,1,MATCH(AR$68,'Patient &amp; HCW Summary'!$D$10:$BD$10,0)),"")</f>
        <v/>
      </c>
      <c r="AS74" s="642" t="str">
        <f>IF(ISNUMBER(AS$68),INDEX('Patient &amp; HCW Summary'!$D$18:$BD$21,1,MATCH(AS$68,'Patient &amp; HCW Summary'!$D$10:$BD$10,0)),"")</f>
        <v/>
      </c>
      <c r="AT74" s="642" t="str">
        <f>IF(ISNUMBER(AT$68),INDEX('Patient &amp; HCW Summary'!$D$18:$BD$21,1,MATCH(AT$68,'Patient &amp; HCW Summary'!$D$10:$BD$10,0)),"")</f>
        <v/>
      </c>
      <c r="AU74" s="642" t="str">
        <f>IF(ISNUMBER(AU$68),INDEX('Patient &amp; HCW Summary'!$D$18:$BD$21,1,MATCH(AU$68,'Patient &amp; HCW Summary'!$D$10:$BD$10,0)),"")</f>
        <v/>
      </c>
      <c r="AV74" s="642" t="str">
        <f>IF(ISNUMBER(AV$68),INDEX('Patient &amp; HCW Summary'!$D$18:$BD$21,1,MATCH(AV$68,'Patient &amp; HCW Summary'!$D$10:$BD$10,0)),"")</f>
        <v/>
      </c>
      <c r="AW74" s="642" t="str">
        <f>IF(ISNUMBER(AW$68),INDEX('Patient &amp; HCW Summary'!$D$18:$BD$21,1,MATCH(AW$68,'Patient &amp; HCW Summary'!$D$10:$BD$10,0)),"")</f>
        <v/>
      </c>
      <c r="AX74" s="642" t="str">
        <f>IF(ISNUMBER(AX$68),INDEX('Patient &amp; HCW Summary'!$D$18:$BD$21,1,MATCH(AX$68,'Patient &amp; HCW Summary'!$D$10:$BD$10,0)),"")</f>
        <v/>
      </c>
      <c r="AY74" s="642" t="str">
        <f>IF(ISNUMBER(AY$68),INDEX('Patient &amp; HCW Summary'!$D$18:$BD$21,1,MATCH(AY$68,'Patient &amp; HCW Summary'!$D$10:$BD$10,0)),"")</f>
        <v/>
      </c>
      <c r="AZ74" s="642" t="str">
        <f>IF(ISNUMBER(AZ$68),INDEX('Patient &amp; HCW Summary'!$D$18:$BD$21,1,MATCH(AZ$68,'Patient &amp; HCW Summary'!$D$10:$BD$10,0)),"")</f>
        <v/>
      </c>
      <c r="BA74" s="642" t="str">
        <f>IF(ISNUMBER(BA$68),INDEX('Patient &amp; HCW Summary'!$D$18:$BD$21,1,MATCH(BA$68,'Patient &amp; HCW Summary'!$D$10:$BD$10,0)),"")</f>
        <v/>
      </c>
      <c r="BB74" s="642" t="str">
        <f>IF(ISNUMBER(BB$68),INDEX('Patient &amp; HCW Summary'!$D$18:$BD$21,1,MATCH(BB$68,'Patient &amp; HCW Summary'!$D$10:$BD$10,0)),"")</f>
        <v/>
      </c>
      <c r="BC74" s="642" t="str">
        <f>IF(ISNUMBER(BC$68),INDEX('Patient &amp; HCW Summary'!$D$18:$BD$21,1,MATCH(BC$68,'Patient &amp; HCW Summary'!$D$10:$BD$10,0)),"")</f>
        <v/>
      </c>
      <c r="BD74" s="669" t="str">
        <f>IF(ISNUMBER(BD$68),INDEX('Patient &amp; HCW Summary'!$D$18:$BD$21,1,MATCH(BD$68,'Patient &amp; HCW Summary'!$D$10:$BD$10,0)),"")</f>
        <v/>
      </c>
    </row>
    <row r="75" spans="1:66" x14ac:dyDescent="0.25">
      <c r="B75" s="733"/>
      <c r="C75" s="725" t="s">
        <v>1380</v>
      </c>
      <c r="D75" s="726"/>
      <c r="E75" s="727"/>
      <c r="F75" s="494">
        <f ca="1">IF(ISNUMBER(F$68),INDEX('Patient &amp; HCW Summary'!$D$18:$BD$21,2,MATCH(F$68,'Patient &amp; HCW Summary'!$D$10:$BD$10,0)),"")</f>
        <v>0.16000000000000003</v>
      </c>
      <c r="G75" s="494">
        <f ca="1">IF(ISNUMBER(G$68),INDEX('Patient &amp; HCW Summary'!$D$18:$BD$21,2,MATCH(G$68,'Patient &amp; HCW Summary'!$D$10:$BD$10,0)),"")</f>
        <v>0.41817370576237728</v>
      </c>
      <c r="H75" s="494">
        <f ca="1">IF(ISNUMBER(H$68),INDEX('Patient &amp; HCW Summary'!$D$18:$BD$21,2,MATCH(H$68,'Patient &amp; HCW Summary'!$D$10:$BD$10,0)),"")</f>
        <v>1.3665630805157787</v>
      </c>
      <c r="I75" s="494">
        <f ca="1">IF(ISNUMBER(I$68),INDEX('Patient &amp; HCW Summary'!$D$18:$BD$21,2,MATCH(I$68,'Patient &amp; HCW Summary'!$D$10:$BD$10,0)),"")</f>
        <v>4.5965519824951659</v>
      </c>
      <c r="J75" s="494">
        <f ca="1">IF(ISNUMBER(J$68),INDEX('Patient &amp; HCW Summary'!$D$18:$BD$21,2,MATCH(J$68,'Patient &amp; HCW Summary'!$D$10:$BD$10,0)),"")</f>
        <v>15.46089633843016</v>
      </c>
      <c r="K75" s="494">
        <f ca="1">IF(ISNUMBER(K$68),INDEX('Patient &amp; HCW Summary'!$D$18:$BD$21,2,MATCH(K$68,'Patient &amp; HCW Summary'!$D$10:$BD$10,0)),"")</f>
        <v>52.004049230380772</v>
      </c>
      <c r="L75" s="494">
        <f ca="1">IF(ISNUMBER(L$68),INDEX('Patient &amp; HCW Summary'!$D$18:$BD$21,2,MATCH(L$68,'Patient &amp; HCW Summary'!$D$10:$BD$10,0)),"")</f>
        <v>174.92007430601973</v>
      </c>
      <c r="M75" s="494" t="str">
        <f>IF(ISNUMBER(M$68),INDEX('Patient &amp; HCW Summary'!$D$18:$BD$21,2,MATCH(M$68,'Patient &amp; HCW Summary'!$D$10:$BD$10,0)),"")</f>
        <v/>
      </c>
      <c r="N75" s="494" t="str">
        <f>IF(ISNUMBER(N$68),INDEX('Patient &amp; HCW Summary'!$D$18:$BD$21,2,MATCH(N$68,'Patient &amp; HCW Summary'!$D$10:$BD$10,0)),"")</f>
        <v/>
      </c>
      <c r="O75" s="494" t="str">
        <f>IF(ISNUMBER(O$68),INDEX('Patient &amp; HCW Summary'!$D$18:$BD$21,2,MATCH(O$68,'Patient &amp; HCW Summary'!$D$10:$BD$10,0)),"")</f>
        <v/>
      </c>
      <c r="P75" s="494" t="str">
        <f>IF(ISNUMBER(P$68),INDEX('Patient &amp; HCW Summary'!$D$18:$BD$21,2,MATCH(P$68,'Patient &amp; HCW Summary'!$D$10:$BD$10,0)),"")</f>
        <v/>
      </c>
      <c r="Q75" s="494" t="str">
        <f>IF(ISNUMBER(Q$68),INDEX('Patient &amp; HCW Summary'!$D$18:$BD$21,2,MATCH(Q$68,'Patient &amp; HCW Summary'!$D$10:$BD$10,0)),"")</f>
        <v/>
      </c>
      <c r="R75" s="494" t="str">
        <f>IF(ISNUMBER(R$68),INDEX('Patient &amp; HCW Summary'!$D$18:$BD$21,2,MATCH(R$68,'Patient &amp; HCW Summary'!$D$10:$BD$10,0)),"")</f>
        <v/>
      </c>
      <c r="S75" s="494" t="str">
        <f>IF(ISNUMBER(S$68),INDEX('Patient &amp; HCW Summary'!$D$18:$BD$21,2,MATCH(S$68,'Patient &amp; HCW Summary'!$D$10:$BD$10,0)),"")</f>
        <v/>
      </c>
      <c r="T75" s="494" t="str">
        <f>IF(ISNUMBER(T$68),INDEX('Patient &amp; HCW Summary'!$D$18:$BD$21,2,MATCH(T$68,'Patient &amp; HCW Summary'!$D$10:$BD$10,0)),"")</f>
        <v/>
      </c>
      <c r="U75" s="494" t="str">
        <f>IF(ISNUMBER(U$68),INDEX('Patient &amp; HCW Summary'!$D$18:$BD$21,2,MATCH(U$68,'Patient &amp; HCW Summary'!$D$10:$BD$10,0)),"")</f>
        <v/>
      </c>
      <c r="V75" s="494" t="str">
        <f>IF(ISNUMBER(V$68),INDEX('Patient &amp; HCW Summary'!$D$18:$BD$21,2,MATCH(V$68,'Patient &amp; HCW Summary'!$D$10:$BD$10,0)),"")</f>
        <v/>
      </c>
      <c r="W75" s="494" t="str">
        <f>IF(ISNUMBER(W$68),INDEX('Patient &amp; HCW Summary'!$D$18:$BD$21,2,MATCH(W$68,'Patient &amp; HCW Summary'!$D$10:$BD$10,0)),"")</f>
        <v/>
      </c>
      <c r="X75" s="494" t="str">
        <f>IF(ISNUMBER(X$68),INDEX('Patient &amp; HCW Summary'!$D$18:$BD$21,2,MATCH(X$68,'Patient &amp; HCW Summary'!$D$10:$BD$10,0)),"")</f>
        <v/>
      </c>
      <c r="Y75" s="494" t="str">
        <f>IF(ISNUMBER(Y$68),INDEX('Patient &amp; HCW Summary'!$D$18:$BD$21,2,MATCH(Y$68,'Patient &amp; HCW Summary'!$D$10:$BD$10,0)),"")</f>
        <v/>
      </c>
      <c r="Z75" s="494" t="str">
        <f>IF(ISNUMBER(Z$68),INDEX('Patient &amp; HCW Summary'!$D$18:$BD$21,2,MATCH(Z$68,'Patient &amp; HCW Summary'!$D$10:$BD$10,0)),"")</f>
        <v/>
      </c>
      <c r="AA75" s="494" t="str">
        <f>IF(ISNUMBER(AA$68),INDEX('Patient &amp; HCW Summary'!$D$18:$BD$21,2,MATCH(AA$68,'Patient &amp; HCW Summary'!$D$10:$BD$10,0)),"")</f>
        <v/>
      </c>
      <c r="AB75" s="494" t="str">
        <f>IF(ISNUMBER(AB$68),INDEX('Patient &amp; HCW Summary'!$D$18:$BD$21,2,MATCH(AB$68,'Patient &amp; HCW Summary'!$D$10:$BD$10,0)),"")</f>
        <v/>
      </c>
      <c r="AC75" s="494" t="str">
        <f>IF(ISNUMBER(AC$68),INDEX('Patient &amp; HCW Summary'!$D$18:$BD$21,2,MATCH(AC$68,'Patient &amp; HCW Summary'!$D$10:$BD$10,0)),"")</f>
        <v/>
      </c>
      <c r="AD75" s="494" t="str">
        <f>IF(ISNUMBER(AD$68),INDEX('Patient &amp; HCW Summary'!$D$18:$BD$21,2,MATCH(AD$68,'Patient &amp; HCW Summary'!$D$10:$BD$10,0)),"")</f>
        <v/>
      </c>
      <c r="AE75" s="494" t="str">
        <f>IF(ISNUMBER(AE$68),INDEX('Patient &amp; HCW Summary'!$D$18:$BD$21,2,MATCH(AE$68,'Patient &amp; HCW Summary'!$D$10:$BD$10,0)),"")</f>
        <v/>
      </c>
      <c r="AF75" s="494" t="str">
        <f>IF(ISNUMBER(AF$68),INDEX('Patient &amp; HCW Summary'!$D$18:$BD$21,2,MATCH(AF$68,'Patient &amp; HCW Summary'!$D$10:$BD$10,0)),"")</f>
        <v/>
      </c>
      <c r="AG75" s="494" t="str">
        <f>IF(ISNUMBER(AG$68),INDEX('Patient &amp; HCW Summary'!$D$18:$BD$21,2,MATCH(AG$68,'Patient &amp; HCW Summary'!$D$10:$BD$10,0)),"")</f>
        <v/>
      </c>
      <c r="AH75" s="494" t="str">
        <f>IF(ISNUMBER(AH$68),INDEX('Patient &amp; HCW Summary'!$D$18:$BD$21,2,MATCH(AH$68,'Patient &amp; HCW Summary'!$D$10:$BD$10,0)),"")</f>
        <v/>
      </c>
      <c r="AI75" s="494" t="str">
        <f>IF(ISNUMBER(AI$68),INDEX('Patient &amp; HCW Summary'!$D$18:$BD$21,2,MATCH(AI$68,'Patient &amp; HCW Summary'!$D$10:$BD$10,0)),"")</f>
        <v/>
      </c>
      <c r="AJ75" s="494" t="str">
        <f>IF(ISNUMBER(AJ$68),INDEX('Patient &amp; HCW Summary'!$D$18:$BD$21,2,MATCH(AJ$68,'Patient &amp; HCW Summary'!$D$10:$BD$10,0)),"")</f>
        <v/>
      </c>
      <c r="AK75" s="494" t="str">
        <f>IF(ISNUMBER(AK$68),INDEX('Patient &amp; HCW Summary'!$D$18:$BD$21,2,MATCH(AK$68,'Patient &amp; HCW Summary'!$D$10:$BD$10,0)),"")</f>
        <v/>
      </c>
      <c r="AL75" s="494" t="str">
        <f>IF(ISNUMBER(AL$68),INDEX('Patient &amp; HCW Summary'!$D$18:$BD$21,2,MATCH(AL$68,'Patient &amp; HCW Summary'!$D$10:$BD$10,0)),"")</f>
        <v/>
      </c>
      <c r="AM75" s="494" t="str">
        <f>IF(ISNUMBER(AM$68),INDEX('Patient &amp; HCW Summary'!$D$18:$BD$21,2,MATCH(AM$68,'Patient &amp; HCW Summary'!$D$10:$BD$10,0)),"")</f>
        <v/>
      </c>
      <c r="AN75" s="494" t="str">
        <f>IF(ISNUMBER(AN$68),INDEX('Patient &amp; HCW Summary'!$D$18:$BD$21,2,MATCH(AN$68,'Patient &amp; HCW Summary'!$D$10:$BD$10,0)),"")</f>
        <v/>
      </c>
      <c r="AO75" s="494" t="str">
        <f>IF(ISNUMBER(AO$68),INDEX('Patient &amp; HCW Summary'!$D$18:$BD$21,2,MATCH(AO$68,'Patient &amp; HCW Summary'!$D$10:$BD$10,0)),"")</f>
        <v/>
      </c>
      <c r="AP75" s="494" t="str">
        <f>IF(ISNUMBER(AP$68),INDEX('Patient &amp; HCW Summary'!$D$18:$BD$21,2,MATCH(AP$68,'Patient &amp; HCW Summary'!$D$10:$BD$10,0)),"")</f>
        <v/>
      </c>
      <c r="AQ75" s="494" t="str">
        <f>IF(ISNUMBER(AQ$68),INDEX('Patient &amp; HCW Summary'!$D$18:$BD$21,2,MATCH(AQ$68,'Patient &amp; HCW Summary'!$D$10:$BD$10,0)),"")</f>
        <v/>
      </c>
      <c r="AR75" s="494" t="str">
        <f>IF(ISNUMBER(AR$68),INDEX('Patient &amp; HCW Summary'!$D$18:$BD$21,2,MATCH(AR$68,'Patient &amp; HCW Summary'!$D$10:$BD$10,0)),"")</f>
        <v/>
      </c>
      <c r="AS75" s="494" t="str">
        <f>IF(ISNUMBER(AS$68),INDEX('Patient &amp; HCW Summary'!$D$18:$BD$21,2,MATCH(AS$68,'Patient &amp; HCW Summary'!$D$10:$BD$10,0)),"")</f>
        <v/>
      </c>
      <c r="AT75" s="494" t="str">
        <f>IF(ISNUMBER(AT$68),INDEX('Patient &amp; HCW Summary'!$D$18:$BD$21,2,MATCH(AT$68,'Patient &amp; HCW Summary'!$D$10:$BD$10,0)),"")</f>
        <v/>
      </c>
      <c r="AU75" s="494" t="str">
        <f>IF(ISNUMBER(AU$68),INDEX('Patient &amp; HCW Summary'!$D$18:$BD$21,2,MATCH(AU$68,'Patient &amp; HCW Summary'!$D$10:$BD$10,0)),"")</f>
        <v/>
      </c>
      <c r="AV75" s="494" t="str">
        <f>IF(ISNUMBER(AV$68),INDEX('Patient &amp; HCW Summary'!$D$18:$BD$21,2,MATCH(AV$68,'Patient &amp; HCW Summary'!$D$10:$BD$10,0)),"")</f>
        <v/>
      </c>
      <c r="AW75" s="494" t="str">
        <f>IF(ISNUMBER(AW$68),INDEX('Patient &amp; HCW Summary'!$D$18:$BD$21,2,MATCH(AW$68,'Patient &amp; HCW Summary'!$D$10:$BD$10,0)),"")</f>
        <v/>
      </c>
      <c r="AX75" s="494" t="str">
        <f>IF(ISNUMBER(AX$68),INDEX('Patient &amp; HCW Summary'!$D$18:$BD$21,2,MATCH(AX$68,'Patient &amp; HCW Summary'!$D$10:$BD$10,0)),"")</f>
        <v/>
      </c>
      <c r="AY75" s="494" t="str">
        <f>IF(ISNUMBER(AY$68),INDEX('Patient &amp; HCW Summary'!$D$18:$BD$21,2,MATCH(AY$68,'Patient &amp; HCW Summary'!$D$10:$BD$10,0)),"")</f>
        <v/>
      </c>
      <c r="AZ75" s="494" t="str">
        <f>IF(ISNUMBER(AZ$68),INDEX('Patient &amp; HCW Summary'!$D$18:$BD$21,2,MATCH(AZ$68,'Patient &amp; HCW Summary'!$D$10:$BD$10,0)),"")</f>
        <v/>
      </c>
      <c r="BA75" s="494" t="str">
        <f>IF(ISNUMBER(BA$68),INDEX('Patient &amp; HCW Summary'!$D$18:$BD$21,2,MATCH(BA$68,'Patient &amp; HCW Summary'!$D$10:$BD$10,0)),"")</f>
        <v/>
      </c>
      <c r="BB75" s="494" t="str">
        <f>IF(ISNUMBER(BB$68),INDEX('Patient &amp; HCW Summary'!$D$18:$BD$21,2,MATCH(BB$68,'Patient &amp; HCW Summary'!$D$10:$BD$10,0)),"")</f>
        <v/>
      </c>
      <c r="BC75" s="494" t="str">
        <f>IF(ISNUMBER(BC$68),INDEX('Patient &amp; HCW Summary'!$D$18:$BD$21,2,MATCH(BC$68,'Patient &amp; HCW Summary'!$D$10:$BD$10,0)),"")</f>
        <v/>
      </c>
      <c r="BD75" s="495" t="str">
        <f>IF(ISNUMBER(BD$68),INDEX('Patient &amp; HCW Summary'!$D$18:$BD$21,2,MATCH(BD$68,'Patient &amp; HCW Summary'!$D$10:$BD$10,0)),"")</f>
        <v/>
      </c>
    </row>
    <row r="76" spans="1:66" x14ac:dyDescent="0.25">
      <c r="B76" s="733"/>
      <c r="C76" s="493" t="s">
        <v>1034</v>
      </c>
      <c r="D76" s="425"/>
      <c r="E76" s="425"/>
      <c r="F76" s="494">
        <f ca="1">IF(ISNUMBER(F$68),INDEX('Patient &amp; HCW Summary'!$D$18:$BD$21,3,MATCH(F$68,'Patient &amp; HCW Summary'!$D$10:$BD$10,0)),"")</f>
        <v>0.2</v>
      </c>
      <c r="G76" s="494">
        <f ca="1">IF(ISNUMBER(G$68),INDEX('Patient &amp; HCW Summary'!$D$18:$BD$21,3,MATCH(G$68,'Patient &amp; HCW Summary'!$D$10:$BD$10,0)),"")</f>
        <v>0.52271713220297156</v>
      </c>
      <c r="H76" s="494">
        <f ca="1">IF(ISNUMBER(H$68),INDEX('Patient &amp; HCW Summary'!$D$18:$BD$21,3,MATCH(H$68,'Patient &amp; HCW Summary'!$D$10:$BD$10,0)),"")</f>
        <v>1.7082038506447232</v>
      </c>
      <c r="I76" s="494">
        <f ca="1">IF(ISNUMBER(I$68),INDEX('Patient &amp; HCW Summary'!$D$18:$BD$21,3,MATCH(I$68,'Patient &amp; HCW Summary'!$D$10:$BD$10,0)),"")</f>
        <v>5.745689978118957</v>
      </c>
      <c r="J76" s="494">
        <f ca="1">IF(ISNUMBER(J$68),INDEX('Patient &amp; HCW Summary'!$D$18:$BD$21,3,MATCH(J$68,'Patient &amp; HCW Summary'!$D$10:$BD$10,0)),"")</f>
        <v>19.3261204230377</v>
      </c>
      <c r="K76" s="494">
        <f ca="1">IF(ISNUMBER(K$68),INDEX('Patient &amp; HCW Summary'!$D$18:$BD$21,3,MATCH(K$68,'Patient &amp; HCW Summary'!$D$10:$BD$10,0)),"")</f>
        <v>65.005061537975962</v>
      </c>
      <c r="L76" s="494">
        <f ca="1">IF(ISNUMBER(L$68),INDEX('Patient &amp; HCW Summary'!$D$18:$BD$21,3,MATCH(L$68,'Patient &amp; HCW Summary'!$D$10:$BD$10,0)),"")</f>
        <v>218.65009288252463</v>
      </c>
      <c r="M76" s="494" t="str">
        <f>IF(ISNUMBER(M$68),INDEX('Patient &amp; HCW Summary'!$D$18:$BD$21,3,MATCH(M$68,'Patient &amp; HCW Summary'!$D$10:$BD$10,0)),"")</f>
        <v/>
      </c>
      <c r="N76" s="494" t="str">
        <f>IF(ISNUMBER(N$68),INDEX('Patient &amp; HCW Summary'!$D$18:$BD$21,3,MATCH(N$68,'Patient &amp; HCW Summary'!$D$10:$BD$10,0)),"")</f>
        <v/>
      </c>
      <c r="O76" s="494" t="str">
        <f>IF(ISNUMBER(O$68),INDEX('Patient &amp; HCW Summary'!$D$18:$BD$21,3,MATCH(O$68,'Patient &amp; HCW Summary'!$D$10:$BD$10,0)),"")</f>
        <v/>
      </c>
      <c r="P76" s="494" t="str">
        <f>IF(ISNUMBER(P$68),INDEX('Patient &amp; HCW Summary'!$D$18:$BD$21,3,MATCH(P$68,'Patient &amp; HCW Summary'!$D$10:$BD$10,0)),"")</f>
        <v/>
      </c>
      <c r="Q76" s="494" t="str">
        <f>IF(ISNUMBER(Q$68),INDEX('Patient &amp; HCW Summary'!$D$18:$BD$21,3,MATCH(Q$68,'Patient &amp; HCW Summary'!$D$10:$BD$10,0)),"")</f>
        <v/>
      </c>
      <c r="R76" s="494" t="str">
        <f>IF(ISNUMBER(R$68),INDEX('Patient &amp; HCW Summary'!$D$18:$BD$21,3,MATCH(R$68,'Patient &amp; HCW Summary'!$D$10:$BD$10,0)),"")</f>
        <v/>
      </c>
      <c r="S76" s="494" t="str">
        <f>IF(ISNUMBER(S$68),INDEX('Patient &amp; HCW Summary'!$D$18:$BD$21,3,MATCH(S$68,'Patient &amp; HCW Summary'!$D$10:$BD$10,0)),"")</f>
        <v/>
      </c>
      <c r="T76" s="494" t="str">
        <f>IF(ISNUMBER(T$68),INDEX('Patient &amp; HCW Summary'!$D$18:$BD$21,3,MATCH(T$68,'Patient &amp; HCW Summary'!$D$10:$BD$10,0)),"")</f>
        <v/>
      </c>
      <c r="U76" s="494" t="str">
        <f>IF(ISNUMBER(U$68),INDEX('Patient &amp; HCW Summary'!$D$18:$BD$21,3,MATCH(U$68,'Patient &amp; HCW Summary'!$D$10:$BD$10,0)),"")</f>
        <v/>
      </c>
      <c r="V76" s="494" t="str">
        <f>IF(ISNUMBER(V$68),INDEX('Patient &amp; HCW Summary'!$D$18:$BD$21,3,MATCH(V$68,'Patient &amp; HCW Summary'!$D$10:$BD$10,0)),"")</f>
        <v/>
      </c>
      <c r="W76" s="494" t="str">
        <f>IF(ISNUMBER(W$68),INDEX('Patient &amp; HCW Summary'!$D$18:$BD$21,3,MATCH(W$68,'Patient &amp; HCW Summary'!$D$10:$BD$10,0)),"")</f>
        <v/>
      </c>
      <c r="X76" s="494" t="str">
        <f>IF(ISNUMBER(X$68),INDEX('Patient &amp; HCW Summary'!$D$18:$BD$21,3,MATCH(X$68,'Patient &amp; HCW Summary'!$D$10:$BD$10,0)),"")</f>
        <v/>
      </c>
      <c r="Y76" s="494" t="str">
        <f>IF(ISNUMBER(Y$68),INDEX('Patient &amp; HCW Summary'!$D$18:$BD$21,3,MATCH(Y$68,'Patient &amp; HCW Summary'!$D$10:$BD$10,0)),"")</f>
        <v/>
      </c>
      <c r="Z76" s="494" t="str">
        <f>IF(ISNUMBER(Z$68),INDEX('Patient &amp; HCW Summary'!$D$18:$BD$21,3,MATCH(Z$68,'Patient &amp; HCW Summary'!$D$10:$BD$10,0)),"")</f>
        <v/>
      </c>
      <c r="AA76" s="494" t="str">
        <f>IF(ISNUMBER(AA$68),INDEX('Patient &amp; HCW Summary'!$D$18:$BD$21,3,MATCH(AA$68,'Patient &amp; HCW Summary'!$D$10:$BD$10,0)),"")</f>
        <v/>
      </c>
      <c r="AB76" s="494" t="str">
        <f>IF(ISNUMBER(AB$68),INDEX('Patient &amp; HCW Summary'!$D$18:$BD$21,3,MATCH(AB$68,'Patient &amp; HCW Summary'!$D$10:$BD$10,0)),"")</f>
        <v/>
      </c>
      <c r="AC76" s="494" t="str">
        <f>IF(ISNUMBER(AC$68),INDEX('Patient &amp; HCW Summary'!$D$18:$BD$21,3,MATCH(AC$68,'Patient &amp; HCW Summary'!$D$10:$BD$10,0)),"")</f>
        <v/>
      </c>
      <c r="AD76" s="494" t="str">
        <f>IF(ISNUMBER(AD$68),INDEX('Patient &amp; HCW Summary'!$D$18:$BD$21,3,MATCH(AD$68,'Patient &amp; HCW Summary'!$D$10:$BD$10,0)),"")</f>
        <v/>
      </c>
      <c r="AE76" s="494" t="str">
        <f>IF(ISNUMBER(AE$68),INDEX('Patient &amp; HCW Summary'!$D$18:$BD$21,3,MATCH(AE$68,'Patient &amp; HCW Summary'!$D$10:$BD$10,0)),"")</f>
        <v/>
      </c>
      <c r="AF76" s="494" t="str">
        <f>IF(ISNUMBER(AF$68),INDEX('Patient &amp; HCW Summary'!$D$18:$BD$21,3,MATCH(AF$68,'Patient &amp; HCW Summary'!$D$10:$BD$10,0)),"")</f>
        <v/>
      </c>
      <c r="AG76" s="494" t="str">
        <f>IF(ISNUMBER(AG$68),INDEX('Patient &amp; HCW Summary'!$D$18:$BD$21,3,MATCH(AG$68,'Patient &amp; HCW Summary'!$D$10:$BD$10,0)),"")</f>
        <v/>
      </c>
      <c r="AH76" s="494" t="str">
        <f>IF(ISNUMBER(AH$68),INDEX('Patient &amp; HCW Summary'!$D$18:$BD$21,3,MATCH(AH$68,'Patient &amp; HCW Summary'!$D$10:$BD$10,0)),"")</f>
        <v/>
      </c>
      <c r="AI76" s="494" t="str">
        <f>IF(ISNUMBER(AI$68),INDEX('Patient &amp; HCW Summary'!$D$18:$BD$21,3,MATCH(AI$68,'Patient &amp; HCW Summary'!$D$10:$BD$10,0)),"")</f>
        <v/>
      </c>
      <c r="AJ76" s="494" t="str">
        <f>IF(ISNUMBER(AJ$68),INDEX('Patient &amp; HCW Summary'!$D$18:$BD$21,3,MATCH(AJ$68,'Patient &amp; HCW Summary'!$D$10:$BD$10,0)),"")</f>
        <v/>
      </c>
      <c r="AK76" s="494" t="str">
        <f>IF(ISNUMBER(AK$68),INDEX('Patient &amp; HCW Summary'!$D$18:$BD$21,3,MATCH(AK$68,'Patient &amp; HCW Summary'!$D$10:$BD$10,0)),"")</f>
        <v/>
      </c>
      <c r="AL76" s="494" t="str">
        <f>IF(ISNUMBER(AL$68),INDEX('Patient &amp; HCW Summary'!$D$18:$BD$21,3,MATCH(AL$68,'Patient &amp; HCW Summary'!$D$10:$BD$10,0)),"")</f>
        <v/>
      </c>
      <c r="AM76" s="494" t="str">
        <f>IF(ISNUMBER(AM$68),INDEX('Patient &amp; HCW Summary'!$D$18:$BD$21,3,MATCH(AM$68,'Patient &amp; HCW Summary'!$D$10:$BD$10,0)),"")</f>
        <v/>
      </c>
      <c r="AN76" s="494" t="str">
        <f>IF(ISNUMBER(AN$68),INDEX('Patient &amp; HCW Summary'!$D$18:$BD$21,3,MATCH(AN$68,'Patient &amp; HCW Summary'!$D$10:$BD$10,0)),"")</f>
        <v/>
      </c>
      <c r="AO76" s="494" t="str">
        <f>IF(ISNUMBER(AO$68),INDEX('Patient &amp; HCW Summary'!$D$18:$BD$21,3,MATCH(AO$68,'Patient &amp; HCW Summary'!$D$10:$BD$10,0)),"")</f>
        <v/>
      </c>
      <c r="AP76" s="494" t="str">
        <f>IF(ISNUMBER(AP$68),INDEX('Patient &amp; HCW Summary'!$D$18:$BD$21,3,MATCH(AP$68,'Patient &amp; HCW Summary'!$D$10:$BD$10,0)),"")</f>
        <v/>
      </c>
      <c r="AQ76" s="494" t="str">
        <f>IF(ISNUMBER(AQ$68),INDEX('Patient &amp; HCW Summary'!$D$18:$BD$21,3,MATCH(AQ$68,'Patient &amp; HCW Summary'!$D$10:$BD$10,0)),"")</f>
        <v/>
      </c>
      <c r="AR76" s="494" t="str">
        <f>IF(ISNUMBER(AR$68),INDEX('Patient &amp; HCW Summary'!$D$18:$BD$21,3,MATCH(AR$68,'Patient &amp; HCW Summary'!$D$10:$BD$10,0)),"")</f>
        <v/>
      </c>
      <c r="AS76" s="494" t="str">
        <f>IF(ISNUMBER(AS$68),INDEX('Patient &amp; HCW Summary'!$D$18:$BD$21,3,MATCH(AS$68,'Patient &amp; HCW Summary'!$D$10:$BD$10,0)),"")</f>
        <v/>
      </c>
      <c r="AT76" s="494" t="str">
        <f>IF(ISNUMBER(AT$68),INDEX('Patient &amp; HCW Summary'!$D$18:$BD$21,3,MATCH(AT$68,'Patient &amp; HCW Summary'!$D$10:$BD$10,0)),"")</f>
        <v/>
      </c>
      <c r="AU76" s="494" t="str">
        <f>IF(ISNUMBER(AU$68),INDEX('Patient &amp; HCW Summary'!$D$18:$BD$21,3,MATCH(AU$68,'Patient &amp; HCW Summary'!$D$10:$BD$10,0)),"")</f>
        <v/>
      </c>
      <c r="AV76" s="494" t="str">
        <f>IF(ISNUMBER(AV$68),INDEX('Patient &amp; HCW Summary'!$D$18:$BD$21,3,MATCH(AV$68,'Patient &amp; HCW Summary'!$D$10:$BD$10,0)),"")</f>
        <v/>
      </c>
      <c r="AW76" s="494" t="str">
        <f>IF(ISNUMBER(AW$68),INDEX('Patient &amp; HCW Summary'!$D$18:$BD$21,3,MATCH(AW$68,'Patient &amp; HCW Summary'!$D$10:$BD$10,0)),"")</f>
        <v/>
      </c>
      <c r="AX76" s="494" t="str">
        <f>IF(ISNUMBER(AX$68),INDEX('Patient &amp; HCW Summary'!$D$18:$BD$21,3,MATCH(AX$68,'Patient &amp; HCW Summary'!$D$10:$BD$10,0)),"")</f>
        <v/>
      </c>
      <c r="AY76" s="494" t="str">
        <f>IF(ISNUMBER(AY$68),INDEX('Patient &amp; HCW Summary'!$D$18:$BD$21,3,MATCH(AY$68,'Patient &amp; HCW Summary'!$D$10:$BD$10,0)),"")</f>
        <v/>
      </c>
      <c r="AZ76" s="494" t="str">
        <f>IF(ISNUMBER(AZ$68),INDEX('Patient &amp; HCW Summary'!$D$18:$BD$21,3,MATCH(AZ$68,'Patient &amp; HCW Summary'!$D$10:$BD$10,0)),"")</f>
        <v/>
      </c>
      <c r="BA76" s="494" t="str">
        <f>IF(ISNUMBER(BA$68),INDEX('Patient &amp; HCW Summary'!$D$18:$BD$21,3,MATCH(BA$68,'Patient &amp; HCW Summary'!$D$10:$BD$10,0)),"")</f>
        <v/>
      </c>
      <c r="BB76" s="494" t="str">
        <f>IF(ISNUMBER(BB$68),INDEX('Patient &amp; HCW Summary'!$D$18:$BD$21,3,MATCH(BB$68,'Patient &amp; HCW Summary'!$D$10:$BD$10,0)),"")</f>
        <v/>
      </c>
      <c r="BC76" s="494" t="str">
        <f>IF(ISNUMBER(BC$68),INDEX('Patient &amp; HCW Summary'!$D$18:$BD$21,3,MATCH(BC$68,'Patient &amp; HCW Summary'!$D$10:$BD$10,0)),"")</f>
        <v/>
      </c>
      <c r="BD76" s="495" t="str">
        <f>IF(ISNUMBER(BD$68),INDEX('Patient &amp; HCW Summary'!$D$18:$BD$21,3,MATCH(BD$68,'Patient &amp; HCW Summary'!$D$10:$BD$10,0)),"")</f>
        <v/>
      </c>
    </row>
    <row r="77" spans="1:66" x14ac:dyDescent="0.25">
      <c r="B77" s="734"/>
      <c r="C77" s="496" t="s">
        <v>1381</v>
      </c>
      <c r="D77" s="497"/>
      <c r="E77" s="497"/>
      <c r="F77" s="498">
        <f ca="1">IF(ISNUMBER(F$68),INDEX('Patient &amp; HCW Summary'!$D$18:$BD$21,4,MATCH(F$68,'Patient &amp; HCW Summary'!$D$10:$BD$10,0)),"")</f>
        <v>4.0000000000000001E-3</v>
      </c>
      <c r="G77" s="498">
        <f ca="1">IF(ISNUMBER(G$68),INDEX('Patient &amp; HCW Summary'!$D$18:$BD$21,4,MATCH(G$68,'Patient &amp; HCW Summary'!$D$10:$BD$10,0)),"")</f>
        <v>1.0454342644059431E-2</v>
      </c>
      <c r="H77" s="498">
        <f ca="1">IF(ISNUMBER(H$68),INDEX('Patient &amp; HCW Summary'!$D$18:$BD$21,4,MATCH(H$68,'Patient &amp; HCW Summary'!$D$10:$BD$10,0)),"")</f>
        <v>3.4164077012894464E-2</v>
      </c>
      <c r="I77" s="498">
        <f ca="1">IF(ISNUMBER(I$68),INDEX('Patient &amp; HCW Summary'!$D$18:$BD$21,4,MATCH(I$68,'Patient &amp; HCW Summary'!$D$10:$BD$10,0)),"")</f>
        <v>0.11491379956237914</v>
      </c>
      <c r="J77" s="498">
        <f ca="1">IF(ISNUMBER(J$68),INDEX('Patient &amp; HCW Summary'!$D$18:$BD$21,4,MATCH(J$68,'Patient &amp; HCW Summary'!$D$10:$BD$10,0)),"")</f>
        <v>0.38652240846075403</v>
      </c>
      <c r="K77" s="498">
        <f ca="1">IF(ISNUMBER(K$68),INDEX('Patient &amp; HCW Summary'!$D$18:$BD$21,4,MATCH(K$68,'Patient &amp; HCW Summary'!$D$10:$BD$10,0)),"")</f>
        <v>1.3001012307595192</v>
      </c>
      <c r="L77" s="498">
        <f ca="1">IF(ISNUMBER(L$68),INDEX('Patient &amp; HCW Summary'!$D$18:$BD$21,4,MATCH(L$68,'Patient &amp; HCW Summary'!$D$10:$BD$10,0)),"")</f>
        <v>4.3730018576504923</v>
      </c>
      <c r="M77" s="498" t="str">
        <f>IF(ISNUMBER(M$68),INDEX('Patient &amp; HCW Summary'!$D$18:$BD$21,4,MATCH(M$68,'Patient &amp; HCW Summary'!$D$10:$BD$10,0)),"")</f>
        <v/>
      </c>
      <c r="N77" s="498" t="str">
        <f>IF(ISNUMBER(N$68),INDEX('Patient &amp; HCW Summary'!$D$18:$BD$21,4,MATCH(N$68,'Patient &amp; HCW Summary'!$D$10:$BD$10,0)),"")</f>
        <v/>
      </c>
      <c r="O77" s="498" t="str">
        <f>IF(ISNUMBER(O$68),INDEX('Patient &amp; HCW Summary'!$D$18:$BD$21,4,MATCH(O$68,'Patient &amp; HCW Summary'!$D$10:$BD$10,0)),"")</f>
        <v/>
      </c>
      <c r="P77" s="498" t="str">
        <f>IF(ISNUMBER(P$68),INDEX('Patient &amp; HCW Summary'!$D$18:$BD$21,4,MATCH(P$68,'Patient &amp; HCW Summary'!$D$10:$BD$10,0)),"")</f>
        <v/>
      </c>
      <c r="Q77" s="498" t="str">
        <f>IF(ISNUMBER(Q$68),INDEX('Patient &amp; HCW Summary'!$D$18:$BD$21,4,MATCH(Q$68,'Patient &amp; HCW Summary'!$D$10:$BD$10,0)),"")</f>
        <v/>
      </c>
      <c r="R77" s="498" t="str">
        <f>IF(ISNUMBER(R$68),INDEX('Patient &amp; HCW Summary'!$D$18:$BD$21,4,MATCH(R$68,'Patient &amp; HCW Summary'!$D$10:$BD$10,0)),"")</f>
        <v/>
      </c>
      <c r="S77" s="498" t="str">
        <f>IF(ISNUMBER(S$68),INDEX('Patient &amp; HCW Summary'!$D$18:$BD$21,4,MATCH(S$68,'Patient &amp; HCW Summary'!$D$10:$BD$10,0)),"")</f>
        <v/>
      </c>
      <c r="T77" s="498" t="str">
        <f>IF(ISNUMBER(T$68),INDEX('Patient &amp; HCW Summary'!$D$18:$BD$21,4,MATCH(T$68,'Patient &amp; HCW Summary'!$D$10:$BD$10,0)),"")</f>
        <v/>
      </c>
      <c r="U77" s="498" t="str">
        <f>IF(ISNUMBER(U$68),INDEX('Patient &amp; HCW Summary'!$D$18:$BD$21,4,MATCH(U$68,'Patient &amp; HCW Summary'!$D$10:$BD$10,0)),"")</f>
        <v/>
      </c>
      <c r="V77" s="498" t="str">
        <f>IF(ISNUMBER(V$68),INDEX('Patient &amp; HCW Summary'!$D$18:$BD$21,4,MATCH(V$68,'Patient &amp; HCW Summary'!$D$10:$BD$10,0)),"")</f>
        <v/>
      </c>
      <c r="W77" s="498" t="str">
        <f>IF(ISNUMBER(W$68),INDEX('Patient &amp; HCW Summary'!$D$18:$BD$21,4,MATCH(W$68,'Patient &amp; HCW Summary'!$D$10:$BD$10,0)),"")</f>
        <v/>
      </c>
      <c r="X77" s="498" t="str">
        <f>IF(ISNUMBER(X$68),INDEX('Patient &amp; HCW Summary'!$D$18:$BD$21,4,MATCH(X$68,'Patient &amp; HCW Summary'!$D$10:$BD$10,0)),"")</f>
        <v/>
      </c>
      <c r="Y77" s="498" t="str">
        <f>IF(ISNUMBER(Y$68),INDEX('Patient &amp; HCW Summary'!$D$18:$BD$21,4,MATCH(Y$68,'Patient &amp; HCW Summary'!$D$10:$BD$10,0)),"")</f>
        <v/>
      </c>
      <c r="Z77" s="498" t="str">
        <f>IF(ISNUMBER(Z$68),INDEX('Patient &amp; HCW Summary'!$D$18:$BD$21,4,MATCH(Z$68,'Patient &amp; HCW Summary'!$D$10:$BD$10,0)),"")</f>
        <v/>
      </c>
      <c r="AA77" s="498" t="str">
        <f>IF(ISNUMBER(AA$68),INDEX('Patient &amp; HCW Summary'!$D$18:$BD$21,4,MATCH(AA$68,'Patient &amp; HCW Summary'!$D$10:$BD$10,0)),"")</f>
        <v/>
      </c>
      <c r="AB77" s="498" t="str">
        <f>IF(ISNUMBER(AB$68),INDEX('Patient &amp; HCW Summary'!$D$18:$BD$21,4,MATCH(AB$68,'Patient &amp; HCW Summary'!$D$10:$BD$10,0)),"")</f>
        <v/>
      </c>
      <c r="AC77" s="498" t="str">
        <f>IF(ISNUMBER(AC$68),INDEX('Patient &amp; HCW Summary'!$D$18:$BD$21,4,MATCH(AC$68,'Patient &amp; HCW Summary'!$D$10:$BD$10,0)),"")</f>
        <v/>
      </c>
      <c r="AD77" s="498" t="str">
        <f>IF(ISNUMBER(AD$68),INDEX('Patient &amp; HCW Summary'!$D$18:$BD$21,4,MATCH(AD$68,'Patient &amp; HCW Summary'!$D$10:$BD$10,0)),"")</f>
        <v/>
      </c>
      <c r="AE77" s="498" t="str">
        <f>IF(ISNUMBER(AE$68),INDEX('Patient &amp; HCW Summary'!$D$18:$BD$21,4,MATCH(AE$68,'Patient &amp; HCW Summary'!$D$10:$BD$10,0)),"")</f>
        <v/>
      </c>
      <c r="AF77" s="498" t="str">
        <f>IF(ISNUMBER(AF$68),INDEX('Patient &amp; HCW Summary'!$D$18:$BD$21,4,MATCH(AF$68,'Patient &amp; HCW Summary'!$D$10:$BD$10,0)),"")</f>
        <v/>
      </c>
      <c r="AG77" s="498" t="str">
        <f>IF(ISNUMBER(AG$68),INDEX('Patient &amp; HCW Summary'!$D$18:$BD$21,4,MATCH(AG$68,'Patient &amp; HCW Summary'!$D$10:$BD$10,0)),"")</f>
        <v/>
      </c>
      <c r="AH77" s="498" t="str">
        <f>IF(ISNUMBER(AH$68),INDEX('Patient &amp; HCW Summary'!$D$18:$BD$21,4,MATCH(AH$68,'Patient &amp; HCW Summary'!$D$10:$BD$10,0)),"")</f>
        <v/>
      </c>
      <c r="AI77" s="498" t="str">
        <f>IF(ISNUMBER(AI$68),INDEX('Patient &amp; HCW Summary'!$D$18:$BD$21,4,MATCH(AI$68,'Patient &amp; HCW Summary'!$D$10:$BD$10,0)),"")</f>
        <v/>
      </c>
      <c r="AJ77" s="498" t="str">
        <f>IF(ISNUMBER(AJ$68),INDEX('Patient &amp; HCW Summary'!$D$18:$BD$21,4,MATCH(AJ$68,'Patient &amp; HCW Summary'!$D$10:$BD$10,0)),"")</f>
        <v/>
      </c>
      <c r="AK77" s="498" t="str">
        <f>IF(ISNUMBER(AK$68),INDEX('Patient &amp; HCW Summary'!$D$18:$BD$21,4,MATCH(AK$68,'Patient &amp; HCW Summary'!$D$10:$BD$10,0)),"")</f>
        <v/>
      </c>
      <c r="AL77" s="498" t="str">
        <f>IF(ISNUMBER(AL$68),INDEX('Patient &amp; HCW Summary'!$D$18:$BD$21,4,MATCH(AL$68,'Patient &amp; HCW Summary'!$D$10:$BD$10,0)),"")</f>
        <v/>
      </c>
      <c r="AM77" s="498" t="str">
        <f>IF(ISNUMBER(AM$68),INDEX('Patient &amp; HCW Summary'!$D$18:$BD$21,4,MATCH(AM$68,'Patient &amp; HCW Summary'!$D$10:$BD$10,0)),"")</f>
        <v/>
      </c>
      <c r="AN77" s="498" t="str">
        <f>IF(ISNUMBER(AN$68),INDEX('Patient &amp; HCW Summary'!$D$18:$BD$21,4,MATCH(AN$68,'Patient &amp; HCW Summary'!$D$10:$BD$10,0)),"")</f>
        <v/>
      </c>
      <c r="AO77" s="498" t="str">
        <f>IF(ISNUMBER(AO$68),INDEX('Patient &amp; HCW Summary'!$D$18:$BD$21,4,MATCH(AO$68,'Patient &amp; HCW Summary'!$D$10:$BD$10,0)),"")</f>
        <v/>
      </c>
      <c r="AP77" s="498" t="str">
        <f>IF(ISNUMBER(AP$68),INDEX('Patient &amp; HCW Summary'!$D$18:$BD$21,4,MATCH(AP$68,'Patient &amp; HCW Summary'!$D$10:$BD$10,0)),"")</f>
        <v/>
      </c>
      <c r="AQ77" s="498" t="str">
        <f>IF(ISNUMBER(AQ$68),INDEX('Patient &amp; HCW Summary'!$D$18:$BD$21,4,MATCH(AQ$68,'Patient &amp; HCW Summary'!$D$10:$BD$10,0)),"")</f>
        <v/>
      </c>
      <c r="AR77" s="498" t="str">
        <f>IF(ISNUMBER(AR$68),INDEX('Patient &amp; HCW Summary'!$D$18:$BD$21,4,MATCH(AR$68,'Patient &amp; HCW Summary'!$D$10:$BD$10,0)),"")</f>
        <v/>
      </c>
      <c r="AS77" s="498" t="str">
        <f>IF(ISNUMBER(AS$68),INDEX('Patient &amp; HCW Summary'!$D$18:$BD$21,4,MATCH(AS$68,'Patient &amp; HCW Summary'!$D$10:$BD$10,0)),"")</f>
        <v/>
      </c>
      <c r="AT77" s="498" t="str">
        <f>IF(ISNUMBER(AT$68),INDEX('Patient &amp; HCW Summary'!$D$18:$BD$21,4,MATCH(AT$68,'Patient &amp; HCW Summary'!$D$10:$BD$10,0)),"")</f>
        <v/>
      </c>
      <c r="AU77" s="498" t="str">
        <f>IF(ISNUMBER(AU$68),INDEX('Patient &amp; HCW Summary'!$D$18:$BD$21,4,MATCH(AU$68,'Patient &amp; HCW Summary'!$D$10:$BD$10,0)),"")</f>
        <v/>
      </c>
      <c r="AV77" s="498" t="str">
        <f>IF(ISNUMBER(AV$68),INDEX('Patient &amp; HCW Summary'!$D$18:$BD$21,4,MATCH(AV$68,'Patient &amp; HCW Summary'!$D$10:$BD$10,0)),"")</f>
        <v/>
      </c>
      <c r="AW77" s="498" t="str">
        <f>IF(ISNUMBER(AW$68),INDEX('Patient &amp; HCW Summary'!$D$18:$BD$21,4,MATCH(AW$68,'Patient &amp; HCW Summary'!$D$10:$BD$10,0)),"")</f>
        <v/>
      </c>
      <c r="AX77" s="498" t="str">
        <f>IF(ISNUMBER(AX$68),INDEX('Patient &amp; HCW Summary'!$D$18:$BD$21,4,MATCH(AX$68,'Patient &amp; HCW Summary'!$D$10:$BD$10,0)),"")</f>
        <v/>
      </c>
      <c r="AY77" s="498" t="str">
        <f>IF(ISNUMBER(AY$68),INDEX('Patient &amp; HCW Summary'!$D$18:$BD$21,4,MATCH(AY$68,'Patient &amp; HCW Summary'!$D$10:$BD$10,0)),"")</f>
        <v/>
      </c>
      <c r="AZ77" s="498" t="str">
        <f>IF(ISNUMBER(AZ$68),INDEX('Patient &amp; HCW Summary'!$D$18:$BD$21,4,MATCH(AZ$68,'Patient &amp; HCW Summary'!$D$10:$BD$10,0)),"")</f>
        <v/>
      </c>
      <c r="BA77" s="498" t="str">
        <f>IF(ISNUMBER(BA$68),INDEX('Patient &amp; HCW Summary'!$D$18:$BD$21,4,MATCH(BA$68,'Patient &amp; HCW Summary'!$D$10:$BD$10,0)),"")</f>
        <v/>
      </c>
      <c r="BB77" s="498" t="str">
        <f>IF(ISNUMBER(BB$68),INDEX('Patient &amp; HCW Summary'!$D$18:$BD$21,4,MATCH(BB$68,'Patient &amp; HCW Summary'!$D$10:$BD$10,0)),"")</f>
        <v/>
      </c>
      <c r="BC77" s="498" t="str">
        <f>IF(ISNUMBER(BC$68),INDEX('Patient &amp; HCW Summary'!$D$18:$BD$21,4,MATCH(BC$68,'Patient &amp; HCW Summary'!$D$10:$BD$10,0)),"")</f>
        <v/>
      </c>
      <c r="BD77" s="499" t="str">
        <f>IF(ISNUMBER(BD$68),INDEX('Patient &amp; HCW Summary'!$D$18:$BD$21,4,MATCH(BD$68,'Patient &amp; HCW Summary'!$D$10:$BD$10,0)),"")</f>
        <v/>
      </c>
    </row>
    <row r="78" spans="1:66" s="668" customFormat="1" ht="48" customHeight="1" x14ac:dyDescent="0.25">
      <c r="B78" s="676" t="s">
        <v>1403</v>
      </c>
      <c r="C78" s="728" t="s">
        <v>1384</v>
      </c>
      <c r="D78" s="729"/>
      <c r="E78" s="730"/>
      <c r="F78" s="643">
        <f>IF(ISNUMBER(F$68),INDEX('Patient &amp; HCW Summary'!$D$27:$BD$27,1,MATCH(F$68,'Patient &amp; HCW Summary'!$D$10:$BD$10,0)),"")</f>
        <v>1</v>
      </c>
      <c r="G78" s="643">
        <f>IF(ISNUMBER(G$68),INDEX('Patient &amp; HCW Summary'!$D$27:$BD$27,1,MATCH(G$68,'Patient &amp; HCW Summary'!$D$10:$BD$10,0)),"")</f>
        <v>1</v>
      </c>
      <c r="H78" s="643">
        <f>IF(ISNUMBER(H$68),INDEX('Patient &amp; HCW Summary'!$D$27:$BD$27,1,MATCH(H$68,'Patient &amp; HCW Summary'!$D$10:$BD$10,0)),"")</f>
        <v>1</v>
      </c>
      <c r="I78" s="643">
        <f>IF(ISNUMBER(I$68),INDEX('Patient &amp; HCW Summary'!$D$27:$BD$27,1,MATCH(I$68,'Patient &amp; HCW Summary'!$D$10:$BD$10,0)),"")</f>
        <v>3</v>
      </c>
      <c r="J78" s="643">
        <f>IF(ISNUMBER(J$68),INDEX('Patient &amp; HCW Summary'!$D$27:$BD$27,1,MATCH(J$68,'Patient &amp; HCW Summary'!$D$10:$BD$10,0)),"")</f>
        <v>10</v>
      </c>
      <c r="K78" s="643">
        <f>IF(ISNUMBER(K$68),INDEX('Patient &amp; HCW Summary'!$D$27:$BD$27,1,MATCH(K$68,'Patient &amp; HCW Summary'!$D$10:$BD$10,0)),"")</f>
        <v>33</v>
      </c>
      <c r="L78" s="643">
        <f>IF(ISNUMBER(L$68),INDEX('Patient &amp; HCW Summary'!$D$27:$BD$27,1,MATCH(L$68,'Patient &amp; HCW Summary'!$D$10:$BD$10,0)),"")</f>
        <v>12</v>
      </c>
      <c r="M78" s="643" t="str">
        <f>IF(ISNUMBER(M$68),INDEX('Patient &amp; HCW Summary'!$D$27:$BD$27,1,MATCH(M$68,'Patient &amp; HCW Summary'!$D$10:$BD$10,0)),"")</f>
        <v/>
      </c>
      <c r="N78" s="643" t="str">
        <f>IF(ISNUMBER(N$68),INDEX('Patient &amp; HCW Summary'!$D$27:$BD$27,1,MATCH(N$68,'Patient &amp; HCW Summary'!$D$10:$BD$10,0)),"")</f>
        <v/>
      </c>
      <c r="O78" s="643" t="str">
        <f>IF(ISNUMBER(O$68),INDEX('Patient &amp; HCW Summary'!$D$27:$BD$27,1,MATCH(O$68,'Patient &amp; HCW Summary'!$D$10:$BD$10,0)),"")</f>
        <v/>
      </c>
      <c r="P78" s="643" t="str">
        <f>IF(ISNUMBER(P$68),INDEX('Patient &amp; HCW Summary'!$D$27:$BD$27,1,MATCH(P$68,'Patient &amp; HCW Summary'!$D$10:$BD$10,0)),"")</f>
        <v/>
      </c>
      <c r="Q78" s="643" t="str">
        <f>IF(ISNUMBER(Q$68),INDEX('Patient &amp; HCW Summary'!$D$27:$BD$27,1,MATCH(Q$68,'Patient &amp; HCW Summary'!$D$10:$BD$10,0)),"")</f>
        <v/>
      </c>
      <c r="R78" s="643" t="str">
        <f>IF(ISNUMBER(R$68),INDEX('Patient &amp; HCW Summary'!$D$27:$BD$27,1,MATCH(R$68,'Patient &amp; HCW Summary'!$D$10:$BD$10,0)),"")</f>
        <v/>
      </c>
      <c r="S78" s="643" t="str">
        <f>IF(ISNUMBER(S$68),INDEX('Patient &amp; HCW Summary'!$D$27:$BD$27,1,MATCH(S$68,'Patient &amp; HCW Summary'!$D$10:$BD$10,0)),"")</f>
        <v/>
      </c>
      <c r="T78" s="643" t="str">
        <f>IF(ISNUMBER(T$68),INDEX('Patient &amp; HCW Summary'!$D$27:$BD$27,1,MATCH(T$68,'Patient &amp; HCW Summary'!$D$10:$BD$10,0)),"")</f>
        <v/>
      </c>
      <c r="U78" s="643" t="str">
        <f>IF(ISNUMBER(U$68),INDEX('Patient &amp; HCW Summary'!$D$27:$BD$27,1,MATCH(U$68,'Patient &amp; HCW Summary'!$D$10:$BD$10,0)),"")</f>
        <v/>
      </c>
      <c r="V78" s="643" t="str">
        <f>IF(ISNUMBER(V$68),INDEX('Patient &amp; HCW Summary'!$D$27:$BD$27,1,MATCH(V$68,'Patient &amp; HCW Summary'!$D$10:$BD$10,0)),"")</f>
        <v/>
      </c>
      <c r="W78" s="643" t="str">
        <f>IF(ISNUMBER(W$68),INDEX('Patient &amp; HCW Summary'!$D$27:$BD$27,1,MATCH(W$68,'Patient &amp; HCW Summary'!$D$10:$BD$10,0)),"")</f>
        <v/>
      </c>
      <c r="X78" s="643" t="str">
        <f>IF(ISNUMBER(X$68),INDEX('Patient &amp; HCW Summary'!$D$27:$BD$27,1,MATCH(X$68,'Patient &amp; HCW Summary'!$D$10:$BD$10,0)),"")</f>
        <v/>
      </c>
      <c r="Y78" s="643" t="str">
        <f>IF(ISNUMBER(Y$68),INDEX('Patient &amp; HCW Summary'!$D$27:$BD$27,1,MATCH(Y$68,'Patient &amp; HCW Summary'!$D$10:$BD$10,0)),"")</f>
        <v/>
      </c>
      <c r="Z78" s="643" t="str">
        <f>IF(ISNUMBER(Z$68),INDEX('Patient &amp; HCW Summary'!$D$27:$BD$27,1,MATCH(Z$68,'Patient &amp; HCW Summary'!$D$10:$BD$10,0)),"")</f>
        <v/>
      </c>
      <c r="AA78" s="643" t="str">
        <f>IF(ISNUMBER(AA$68),INDEX('Patient &amp; HCW Summary'!$D$27:$BD$27,1,MATCH(AA$68,'Patient &amp; HCW Summary'!$D$10:$BD$10,0)),"")</f>
        <v/>
      </c>
      <c r="AB78" s="643" t="str">
        <f>IF(ISNUMBER(AB$68),INDEX('Patient &amp; HCW Summary'!$D$27:$BD$27,1,MATCH(AB$68,'Patient &amp; HCW Summary'!$D$10:$BD$10,0)),"")</f>
        <v/>
      </c>
      <c r="AC78" s="643" t="str">
        <f>IF(ISNUMBER(AC$68),INDEX('Patient &amp; HCW Summary'!$D$27:$BD$27,1,MATCH(AC$68,'Patient &amp; HCW Summary'!$D$10:$BD$10,0)),"")</f>
        <v/>
      </c>
      <c r="AD78" s="643" t="str">
        <f>IF(ISNUMBER(AD$68),INDEX('Patient &amp; HCW Summary'!$D$27:$BD$27,1,MATCH(AD$68,'Patient &amp; HCW Summary'!$D$10:$BD$10,0)),"")</f>
        <v/>
      </c>
      <c r="AE78" s="643" t="str">
        <f>IF(ISNUMBER(AE$68),INDEX('Patient &amp; HCW Summary'!$D$27:$BD$27,1,MATCH(AE$68,'Patient &amp; HCW Summary'!$D$10:$BD$10,0)),"")</f>
        <v/>
      </c>
      <c r="AF78" s="643" t="str">
        <f>IF(ISNUMBER(AF$68),INDEX('Patient &amp; HCW Summary'!$D$27:$BD$27,1,MATCH(AF$68,'Patient &amp; HCW Summary'!$D$10:$BD$10,0)),"")</f>
        <v/>
      </c>
      <c r="AG78" s="643" t="str">
        <f>IF(ISNUMBER(AG$68),INDEX('Patient &amp; HCW Summary'!$D$27:$BD$27,1,MATCH(AG$68,'Patient &amp; HCW Summary'!$D$10:$BD$10,0)),"")</f>
        <v/>
      </c>
      <c r="AH78" s="643" t="str">
        <f>IF(ISNUMBER(AH$68),INDEX('Patient &amp; HCW Summary'!$D$27:$BD$27,1,MATCH(AH$68,'Patient &amp; HCW Summary'!$D$10:$BD$10,0)),"")</f>
        <v/>
      </c>
      <c r="AI78" s="643" t="str">
        <f>IF(ISNUMBER(AI$68),INDEX('Patient &amp; HCW Summary'!$D$27:$BD$27,1,MATCH(AI$68,'Patient &amp; HCW Summary'!$D$10:$BD$10,0)),"")</f>
        <v/>
      </c>
      <c r="AJ78" s="643" t="str">
        <f>IF(ISNUMBER(AJ$68),INDEX('Patient &amp; HCW Summary'!$D$27:$BD$27,1,MATCH(AJ$68,'Patient &amp; HCW Summary'!$D$10:$BD$10,0)),"")</f>
        <v/>
      </c>
      <c r="AK78" s="643" t="str">
        <f>IF(ISNUMBER(AK$68),INDEX('Patient &amp; HCW Summary'!$D$27:$BD$27,1,MATCH(AK$68,'Patient &amp; HCW Summary'!$D$10:$BD$10,0)),"")</f>
        <v/>
      </c>
      <c r="AL78" s="643" t="str">
        <f>IF(ISNUMBER(AL$68),INDEX('Patient &amp; HCW Summary'!$D$27:$BD$27,1,MATCH(AL$68,'Patient &amp; HCW Summary'!$D$10:$BD$10,0)),"")</f>
        <v/>
      </c>
      <c r="AM78" s="643" t="str">
        <f>IF(ISNUMBER(AM$68),INDEX('Patient &amp; HCW Summary'!$D$27:$BD$27,1,MATCH(AM$68,'Patient &amp; HCW Summary'!$D$10:$BD$10,0)),"")</f>
        <v/>
      </c>
      <c r="AN78" s="643" t="str">
        <f>IF(ISNUMBER(AN$68),INDEX('Patient &amp; HCW Summary'!$D$27:$BD$27,1,MATCH(AN$68,'Patient &amp; HCW Summary'!$D$10:$BD$10,0)),"")</f>
        <v/>
      </c>
      <c r="AO78" s="643" t="str">
        <f>IF(ISNUMBER(AO$68),INDEX('Patient &amp; HCW Summary'!$D$27:$BD$27,1,MATCH(AO$68,'Patient &amp; HCW Summary'!$D$10:$BD$10,0)),"")</f>
        <v/>
      </c>
      <c r="AP78" s="643" t="str">
        <f>IF(ISNUMBER(AP$68),INDEX('Patient &amp; HCW Summary'!$D$27:$BD$27,1,MATCH(AP$68,'Patient &amp; HCW Summary'!$D$10:$BD$10,0)),"")</f>
        <v/>
      </c>
      <c r="AQ78" s="643" t="str">
        <f>IF(ISNUMBER(AQ$68),INDEX('Patient &amp; HCW Summary'!$D$27:$BD$27,1,MATCH(AQ$68,'Patient &amp; HCW Summary'!$D$10:$BD$10,0)),"")</f>
        <v/>
      </c>
      <c r="AR78" s="643" t="str">
        <f>IF(ISNUMBER(AR$68),INDEX('Patient &amp; HCW Summary'!$D$27:$BD$27,1,MATCH(AR$68,'Patient &amp; HCW Summary'!$D$10:$BD$10,0)),"")</f>
        <v/>
      </c>
      <c r="AS78" s="643" t="str">
        <f>IF(ISNUMBER(AS$68),INDEX('Patient &amp; HCW Summary'!$D$27:$BD$27,1,MATCH(AS$68,'Patient &amp; HCW Summary'!$D$10:$BD$10,0)),"")</f>
        <v/>
      </c>
      <c r="AT78" s="643" t="str">
        <f>IF(ISNUMBER(AT$68),INDEX('Patient &amp; HCW Summary'!$D$27:$BD$27,1,MATCH(AT$68,'Patient &amp; HCW Summary'!$D$10:$BD$10,0)),"")</f>
        <v/>
      </c>
      <c r="AU78" s="643" t="str">
        <f>IF(ISNUMBER(AU$68),INDEX('Patient &amp; HCW Summary'!$D$27:$BD$27,1,MATCH(AU$68,'Patient &amp; HCW Summary'!$D$10:$BD$10,0)),"")</f>
        <v/>
      </c>
      <c r="AV78" s="643" t="str">
        <f>IF(ISNUMBER(AV$68),INDEX('Patient &amp; HCW Summary'!$D$27:$BD$27,1,MATCH(AV$68,'Patient &amp; HCW Summary'!$D$10:$BD$10,0)),"")</f>
        <v/>
      </c>
      <c r="AW78" s="643" t="str">
        <f>IF(ISNUMBER(AW$68),INDEX('Patient &amp; HCW Summary'!$D$27:$BD$27,1,MATCH(AW$68,'Patient &amp; HCW Summary'!$D$10:$BD$10,0)),"")</f>
        <v/>
      </c>
      <c r="AX78" s="643" t="str">
        <f>IF(ISNUMBER(AX$68),INDEX('Patient &amp; HCW Summary'!$D$27:$BD$27,1,MATCH(AX$68,'Patient &amp; HCW Summary'!$D$10:$BD$10,0)),"")</f>
        <v/>
      </c>
      <c r="AY78" s="643" t="str">
        <f>IF(ISNUMBER(AY$68),INDEX('Patient &amp; HCW Summary'!$D$27:$BD$27,1,MATCH(AY$68,'Patient &amp; HCW Summary'!$D$10:$BD$10,0)),"")</f>
        <v/>
      </c>
      <c r="AZ78" s="643" t="str">
        <f>IF(ISNUMBER(AZ$68),INDEX('Patient &amp; HCW Summary'!$D$27:$BD$27,1,MATCH(AZ$68,'Patient &amp; HCW Summary'!$D$10:$BD$10,0)),"")</f>
        <v/>
      </c>
      <c r="BA78" s="643" t="str">
        <f>IF(ISNUMBER(BA$68),INDEX('Patient &amp; HCW Summary'!$D$27:$BD$27,1,MATCH(BA$68,'Patient &amp; HCW Summary'!$D$10:$BD$10,0)),"")</f>
        <v/>
      </c>
      <c r="BB78" s="643" t="str">
        <f>IF(ISNUMBER(BB$68),INDEX('Patient &amp; HCW Summary'!$D$27:$BD$27,1,MATCH(BB$68,'Patient &amp; HCW Summary'!$D$10:$BD$10,0)),"")</f>
        <v/>
      </c>
      <c r="BC78" s="643" t="str">
        <f>IF(ISNUMBER(BC$68),INDEX('Patient &amp; HCW Summary'!$D$27:$BD$27,1,MATCH(BC$68,'Patient &amp; HCW Summary'!$D$10:$BD$10,0)),"")</f>
        <v/>
      </c>
      <c r="BD78" s="670" t="str">
        <f>IF(ISNUMBER(BD$68),INDEX('Patient &amp; HCW Summary'!$D$27:$BD$27,1,MATCH(BD$68,'Patient &amp; HCW Summary'!$D$10:$BD$10,0)),"")</f>
        <v/>
      </c>
    </row>
    <row r="79" spans="1:66" x14ac:dyDescent="0.25">
      <c r="B79" s="732" t="s">
        <v>317</v>
      </c>
      <c r="C79" s="493" t="s">
        <v>1382</v>
      </c>
      <c r="D79" s="425"/>
      <c r="E79" s="425"/>
      <c r="F79" s="494">
        <f>IF(ISNUMBER(F$68),INDEX('Patient &amp; HCW Summary'!$D$32:$BD$33,1,MATCH(F$68,'Patient &amp; HCW Summary'!$D$10:$BD$10,0)),"")</f>
        <v>1</v>
      </c>
      <c r="G79" s="494">
        <f>IF(ISNUMBER(G$68),INDEX('Patient &amp; HCW Summary'!$D$32:$BD$33,1,MATCH(G$68,'Patient &amp; HCW Summary'!$D$10:$BD$10,0)),"")</f>
        <v>1</v>
      </c>
      <c r="H79" s="494">
        <f>IF(ISNUMBER(H$68),INDEX('Patient &amp; HCW Summary'!$D$32:$BD$33,1,MATCH(H$68,'Patient &amp; HCW Summary'!$D$10:$BD$10,0)),"")</f>
        <v>1</v>
      </c>
      <c r="I79" s="494">
        <f>IF(ISNUMBER(I$68),INDEX('Patient &amp; HCW Summary'!$D$32:$BD$33,1,MATCH(I$68,'Patient &amp; HCW Summary'!$D$10:$BD$10,0)),"")</f>
        <v>1</v>
      </c>
      <c r="J79" s="494">
        <f>IF(ISNUMBER(J$68),INDEX('Patient &amp; HCW Summary'!$D$32:$BD$33,1,MATCH(J$68,'Patient &amp; HCW Summary'!$D$10:$BD$10,0)),"")</f>
        <v>1</v>
      </c>
      <c r="K79" s="494">
        <f>IF(ISNUMBER(K$68),INDEX('Patient &amp; HCW Summary'!$D$32:$BD$33,1,MATCH(K$68,'Patient &amp; HCW Summary'!$D$10:$BD$10,0)),"")</f>
        <v>2</v>
      </c>
      <c r="L79" s="494">
        <f>IF(ISNUMBER(L$68),INDEX('Patient &amp; HCW Summary'!$D$32:$BD$33,1,MATCH(L$68,'Patient &amp; HCW Summary'!$D$10:$BD$10,0)),"")</f>
        <v>2</v>
      </c>
      <c r="M79" s="494" t="str">
        <f>IF(ISNUMBER(M$68),INDEX('Patient &amp; HCW Summary'!$D$32:$BD$33,1,MATCH(M$68,'Patient &amp; HCW Summary'!$D$10:$BD$10,0)),"")</f>
        <v/>
      </c>
      <c r="N79" s="494" t="str">
        <f>IF(ISNUMBER(N$68),INDEX('Patient &amp; HCW Summary'!$D$32:$BD$33,1,MATCH(N$68,'Patient &amp; HCW Summary'!$D$10:$BD$10,0)),"")</f>
        <v/>
      </c>
      <c r="O79" s="494" t="str">
        <f>IF(ISNUMBER(O$68),INDEX('Patient &amp; HCW Summary'!$D$32:$BD$33,1,MATCH(O$68,'Patient &amp; HCW Summary'!$D$10:$BD$10,0)),"")</f>
        <v/>
      </c>
      <c r="P79" s="494" t="str">
        <f>IF(ISNUMBER(P$68),INDEX('Patient &amp; HCW Summary'!$D$32:$BD$33,1,MATCH(P$68,'Patient &amp; HCW Summary'!$D$10:$BD$10,0)),"")</f>
        <v/>
      </c>
      <c r="Q79" s="494" t="str">
        <f>IF(ISNUMBER(Q$68),INDEX('Patient &amp; HCW Summary'!$D$32:$BD$33,1,MATCH(Q$68,'Patient &amp; HCW Summary'!$D$10:$BD$10,0)),"")</f>
        <v/>
      </c>
      <c r="R79" s="494" t="str">
        <f>IF(ISNUMBER(R$68),INDEX('Patient &amp; HCW Summary'!$D$32:$BD$33,1,MATCH(R$68,'Patient &amp; HCW Summary'!$D$10:$BD$10,0)),"")</f>
        <v/>
      </c>
      <c r="S79" s="494" t="str">
        <f>IF(ISNUMBER(S$68),INDEX('Patient &amp; HCW Summary'!$D$32:$BD$33,1,MATCH(S$68,'Patient &amp; HCW Summary'!$D$10:$BD$10,0)),"")</f>
        <v/>
      </c>
      <c r="T79" s="494" t="str">
        <f>IF(ISNUMBER(T$68),INDEX('Patient &amp; HCW Summary'!$D$32:$BD$33,1,MATCH(T$68,'Patient &amp; HCW Summary'!$D$10:$BD$10,0)),"")</f>
        <v/>
      </c>
      <c r="U79" s="494" t="str">
        <f>IF(ISNUMBER(U$68),INDEX('Patient &amp; HCW Summary'!$D$32:$BD$33,1,MATCH(U$68,'Patient &amp; HCW Summary'!$D$10:$BD$10,0)),"")</f>
        <v/>
      </c>
      <c r="V79" s="494" t="str">
        <f>IF(ISNUMBER(V$68),INDEX('Patient &amp; HCW Summary'!$D$32:$BD$33,1,MATCH(V$68,'Patient &amp; HCW Summary'!$D$10:$BD$10,0)),"")</f>
        <v/>
      </c>
      <c r="W79" s="494" t="str">
        <f>IF(ISNUMBER(W$68),INDEX('Patient &amp; HCW Summary'!$D$32:$BD$33,1,MATCH(W$68,'Patient &amp; HCW Summary'!$D$10:$BD$10,0)),"")</f>
        <v/>
      </c>
      <c r="X79" s="494" t="str">
        <f>IF(ISNUMBER(X$68),INDEX('Patient &amp; HCW Summary'!$D$32:$BD$33,1,MATCH(X$68,'Patient &amp; HCW Summary'!$D$10:$BD$10,0)),"")</f>
        <v/>
      </c>
      <c r="Y79" s="494" t="str">
        <f>IF(ISNUMBER(Y$68),INDEX('Patient &amp; HCW Summary'!$D$32:$BD$33,1,MATCH(Y$68,'Patient &amp; HCW Summary'!$D$10:$BD$10,0)),"")</f>
        <v/>
      </c>
      <c r="Z79" s="494" t="str">
        <f>IF(ISNUMBER(Z$68),INDEX('Patient &amp; HCW Summary'!$D$32:$BD$33,1,MATCH(Z$68,'Patient &amp; HCW Summary'!$D$10:$BD$10,0)),"")</f>
        <v/>
      </c>
      <c r="AA79" s="494" t="str">
        <f>IF(ISNUMBER(AA$68),INDEX('Patient &amp; HCW Summary'!$D$32:$BD$33,1,MATCH(AA$68,'Patient &amp; HCW Summary'!$D$10:$BD$10,0)),"")</f>
        <v/>
      </c>
      <c r="AB79" s="494" t="str">
        <f>IF(ISNUMBER(AB$68),INDEX('Patient &amp; HCW Summary'!$D$32:$BD$33,1,MATCH(AB$68,'Patient &amp; HCW Summary'!$D$10:$BD$10,0)),"")</f>
        <v/>
      </c>
      <c r="AC79" s="494" t="str">
        <f>IF(ISNUMBER(AC$68),INDEX('Patient &amp; HCW Summary'!$D$32:$BD$33,1,MATCH(AC$68,'Patient &amp; HCW Summary'!$D$10:$BD$10,0)),"")</f>
        <v/>
      </c>
      <c r="AD79" s="494" t="str">
        <f>IF(ISNUMBER(AD$68),INDEX('Patient &amp; HCW Summary'!$D$32:$BD$33,1,MATCH(AD$68,'Patient &amp; HCW Summary'!$D$10:$BD$10,0)),"")</f>
        <v/>
      </c>
      <c r="AE79" s="494" t="str">
        <f>IF(ISNUMBER(AE$68),INDEX('Patient &amp; HCW Summary'!$D$32:$BD$33,1,MATCH(AE$68,'Patient &amp; HCW Summary'!$D$10:$BD$10,0)),"")</f>
        <v/>
      </c>
      <c r="AF79" s="494" t="str">
        <f>IF(ISNUMBER(AF$68),INDEX('Patient &amp; HCW Summary'!$D$32:$BD$33,1,MATCH(AF$68,'Patient &amp; HCW Summary'!$D$10:$BD$10,0)),"")</f>
        <v/>
      </c>
      <c r="AG79" s="494" t="str">
        <f>IF(ISNUMBER(AG$68),INDEX('Patient &amp; HCW Summary'!$D$32:$BD$33,1,MATCH(AG$68,'Patient &amp; HCW Summary'!$D$10:$BD$10,0)),"")</f>
        <v/>
      </c>
      <c r="AH79" s="494" t="str">
        <f>IF(ISNUMBER(AH$68),INDEX('Patient &amp; HCW Summary'!$D$32:$BD$33,1,MATCH(AH$68,'Patient &amp; HCW Summary'!$D$10:$BD$10,0)),"")</f>
        <v/>
      </c>
      <c r="AI79" s="494" t="str">
        <f>IF(ISNUMBER(AI$68),INDEX('Patient &amp; HCW Summary'!$D$32:$BD$33,1,MATCH(AI$68,'Patient &amp; HCW Summary'!$D$10:$BD$10,0)),"")</f>
        <v/>
      </c>
      <c r="AJ79" s="494" t="str">
        <f>IF(ISNUMBER(AJ$68),INDEX('Patient &amp; HCW Summary'!$D$32:$BD$33,1,MATCH(AJ$68,'Patient &amp; HCW Summary'!$D$10:$BD$10,0)),"")</f>
        <v/>
      </c>
      <c r="AK79" s="494" t="str">
        <f>IF(ISNUMBER(AK$68),INDEX('Patient &amp; HCW Summary'!$D$32:$BD$33,1,MATCH(AK$68,'Patient &amp; HCW Summary'!$D$10:$BD$10,0)),"")</f>
        <v/>
      </c>
      <c r="AL79" s="494" t="str">
        <f>IF(ISNUMBER(AL$68),INDEX('Patient &amp; HCW Summary'!$D$32:$BD$33,1,MATCH(AL$68,'Patient &amp; HCW Summary'!$D$10:$BD$10,0)),"")</f>
        <v/>
      </c>
      <c r="AM79" s="494" t="str">
        <f>IF(ISNUMBER(AM$68),INDEX('Patient &amp; HCW Summary'!$D$32:$BD$33,1,MATCH(AM$68,'Patient &amp; HCW Summary'!$D$10:$BD$10,0)),"")</f>
        <v/>
      </c>
      <c r="AN79" s="494" t="str">
        <f>IF(ISNUMBER(AN$68),INDEX('Patient &amp; HCW Summary'!$D$32:$BD$33,1,MATCH(AN$68,'Patient &amp; HCW Summary'!$D$10:$BD$10,0)),"")</f>
        <v/>
      </c>
      <c r="AO79" s="494" t="str">
        <f>IF(ISNUMBER(AO$68),INDEX('Patient &amp; HCW Summary'!$D$32:$BD$33,1,MATCH(AO$68,'Patient &amp; HCW Summary'!$D$10:$BD$10,0)),"")</f>
        <v/>
      </c>
      <c r="AP79" s="494" t="str">
        <f>IF(ISNUMBER(AP$68),INDEX('Patient &amp; HCW Summary'!$D$32:$BD$33,1,MATCH(AP$68,'Patient &amp; HCW Summary'!$D$10:$BD$10,0)),"")</f>
        <v/>
      </c>
      <c r="AQ79" s="494" t="str">
        <f>IF(ISNUMBER(AQ$68),INDEX('Patient &amp; HCW Summary'!$D$32:$BD$33,1,MATCH(AQ$68,'Patient &amp; HCW Summary'!$D$10:$BD$10,0)),"")</f>
        <v/>
      </c>
      <c r="AR79" s="494" t="str">
        <f>IF(ISNUMBER(AR$68),INDEX('Patient &amp; HCW Summary'!$D$32:$BD$33,1,MATCH(AR$68,'Patient &amp; HCW Summary'!$D$10:$BD$10,0)),"")</f>
        <v/>
      </c>
      <c r="AS79" s="494" t="str">
        <f>IF(ISNUMBER(AS$68),INDEX('Patient &amp; HCW Summary'!$D$32:$BD$33,1,MATCH(AS$68,'Patient &amp; HCW Summary'!$D$10:$BD$10,0)),"")</f>
        <v/>
      </c>
      <c r="AT79" s="494" t="str">
        <f>IF(ISNUMBER(AT$68),INDEX('Patient &amp; HCW Summary'!$D$32:$BD$33,1,MATCH(AT$68,'Patient &amp; HCW Summary'!$D$10:$BD$10,0)),"")</f>
        <v/>
      </c>
      <c r="AU79" s="494" t="str">
        <f>IF(ISNUMBER(AU$68),INDEX('Patient &amp; HCW Summary'!$D$32:$BD$33,1,MATCH(AU$68,'Patient &amp; HCW Summary'!$D$10:$BD$10,0)),"")</f>
        <v/>
      </c>
      <c r="AV79" s="494" t="str">
        <f>IF(ISNUMBER(AV$68),INDEX('Patient &amp; HCW Summary'!$D$32:$BD$33,1,MATCH(AV$68,'Patient &amp; HCW Summary'!$D$10:$BD$10,0)),"")</f>
        <v/>
      </c>
      <c r="AW79" s="494" t="str">
        <f>IF(ISNUMBER(AW$68),INDEX('Patient &amp; HCW Summary'!$D$32:$BD$33,1,MATCH(AW$68,'Patient &amp; HCW Summary'!$D$10:$BD$10,0)),"")</f>
        <v/>
      </c>
      <c r="AX79" s="494" t="str">
        <f>IF(ISNUMBER(AX$68),INDEX('Patient &amp; HCW Summary'!$D$32:$BD$33,1,MATCH(AX$68,'Patient &amp; HCW Summary'!$D$10:$BD$10,0)),"")</f>
        <v/>
      </c>
      <c r="AY79" s="494" t="str">
        <f>IF(ISNUMBER(AY$68),INDEX('Patient &amp; HCW Summary'!$D$32:$BD$33,1,MATCH(AY$68,'Patient &amp; HCW Summary'!$D$10:$BD$10,0)),"")</f>
        <v/>
      </c>
      <c r="AZ79" s="494" t="str">
        <f>IF(ISNUMBER(AZ$68),INDEX('Patient &amp; HCW Summary'!$D$32:$BD$33,1,MATCH(AZ$68,'Patient &amp; HCW Summary'!$D$10:$BD$10,0)),"")</f>
        <v/>
      </c>
      <c r="BA79" s="494" t="str">
        <f>IF(ISNUMBER(BA$68),INDEX('Patient &amp; HCW Summary'!$D$32:$BD$33,1,MATCH(BA$68,'Patient &amp; HCW Summary'!$D$10:$BD$10,0)),"")</f>
        <v/>
      </c>
      <c r="BB79" s="494" t="str">
        <f>IF(ISNUMBER(BB$68),INDEX('Patient &amp; HCW Summary'!$D$32:$BD$33,1,MATCH(BB$68,'Patient &amp; HCW Summary'!$D$10:$BD$10,0)),"")</f>
        <v/>
      </c>
      <c r="BC79" s="494" t="str">
        <f>IF(ISNUMBER(BC$68),INDEX('Patient &amp; HCW Summary'!$D$32:$BD$33,1,MATCH(BC$68,'Patient &amp; HCW Summary'!$D$10:$BD$10,0)),"")</f>
        <v/>
      </c>
      <c r="BD79" s="495" t="str">
        <f>IF(ISNUMBER(BD$68),INDEX('Patient &amp; HCW Summary'!$D$32:$BD$33,1,MATCH(BD$68,'Patient &amp; HCW Summary'!$D$10:$BD$10,0)),"")</f>
        <v/>
      </c>
    </row>
    <row r="80" spans="1:66" ht="15.75" thickBot="1" x14ac:dyDescent="0.3">
      <c r="B80" s="735"/>
      <c r="C80" s="501" t="s">
        <v>1380</v>
      </c>
      <c r="D80" s="502"/>
      <c r="E80" s="502"/>
      <c r="F80" s="503">
        <f>IF(ISNUMBER(F$68),INDEX('Patient &amp; HCW Summary'!$D$32:$BD$33,2,MATCH(F$68,'Patient &amp; HCW Summary'!$D$10:$BD$10,0)),"")</f>
        <v>1</v>
      </c>
      <c r="G80" s="503">
        <f>IF(ISNUMBER(G$68),INDEX('Patient &amp; HCW Summary'!$D$32:$BD$33,2,MATCH(G$68,'Patient &amp; HCW Summary'!$D$10:$BD$10,0)),"")</f>
        <v>1</v>
      </c>
      <c r="H80" s="503">
        <f>IF(ISNUMBER(H$68),INDEX('Patient &amp; HCW Summary'!$D$32:$BD$33,2,MATCH(H$68,'Patient &amp; HCW Summary'!$D$10:$BD$10,0)),"")</f>
        <v>1</v>
      </c>
      <c r="I80" s="504">
        <f>IF(ISNUMBER(I$68),INDEX('Patient &amp; HCW Summary'!$D$32:$BD$33,2,MATCH(I$68,'Patient &amp; HCW Summary'!$D$10:$BD$10,0)),"")</f>
        <v>1</v>
      </c>
      <c r="J80" s="503">
        <f>IF(ISNUMBER(J$68),INDEX('Patient &amp; HCW Summary'!$D$32:$BD$33,2,MATCH(J$68,'Patient &amp; HCW Summary'!$D$10:$BD$10,0)),"")</f>
        <v>1</v>
      </c>
      <c r="K80" s="503">
        <f>IF(ISNUMBER(K$68),INDEX('Patient &amp; HCW Summary'!$D$32:$BD$33,2,MATCH(K$68,'Patient &amp; HCW Summary'!$D$10:$BD$10,0)),"")</f>
        <v>1</v>
      </c>
      <c r="L80" s="503">
        <f>IF(ISNUMBER(L$68),INDEX('Patient &amp; HCW Summary'!$D$32:$BD$33,2,MATCH(L$68,'Patient &amp; HCW Summary'!$D$10:$BD$10,0)),"")</f>
        <v>1</v>
      </c>
      <c r="M80" s="503" t="str">
        <f>IF(ISNUMBER(M$68),INDEX('Patient &amp; HCW Summary'!$D$32:$BD$33,2,MATCH(M$68,'Patient &amp; HCW Summary'!$D$10:$BD$10,0)),"")</f>
        <v/>
      </c>
      <c r="N80" s="503" t="str">
        <f>IF(ISNUMBER(N$68),INDEX('Patient &amp; HCW Summary'!$D$32:$BD$33,2,MATCH(N$68,'Patient &amp; HCW Summary'!$D$10:$BD$10,0)),"")</f>
        <v/>
      </c>
      <c r="O80" s="503" t="str">
        <f>IF(ISNUMBER(O$68),INDEX('Patient &amp; HCW Summary'!$D$32:$BD$33,2,MATCH(O$68,'Patient &amp; HCW Summary'!$D$10:$BD$10,0)),"")</f>
        <v/>
      </c>
      <c r="P80" s="503" t="str">
        <f>IF(ISNUMBER(P$68),INDEX('Patient &amp; HCW Summary'!$D$32:$BD$33,2,MATCH(P$68,'Patient &amp; HCW Summary'!$D$10:$BD$10,0)),"")</f>
        <v/>
      </c>
      <c r="Q80" s="503" t="str">
        <f>IF(ISNUMBER(Q$68),INDEX('Patient &amp; HCW Summary'!$D$32:$BD$33,2,MATCH(Q$68,'Patient &amp; HCW Summary'!$D$10:$BD$10,0)),"")</f>
        <v/>
      </c>
      <c r="R80" s="503" t="str">
        <f>IF(ISNUMBER(R$68),INDEX('Patient &amp; HCW Summary'!$D$32:$BD$33,2,MATCH(R$68,'Patient &amp; HCW Summary'!$D$10:$BD$10,0)),"")</f>
        <v/>
      </c>
      <c r="S80" s="503" t="str">
        <f>IF(ISNUMBER(S$68),INDEX('Patient &amp; HCW Summary'!$D$32:$BD$33,2,MATCH(S$68,'Patient &amp; HCW Summary'!$D$10:$BD$10,0)),"")</f>
        <v/>
      </c>
      <c r="T80" s="503" t="str">
        <f>IF(ISNUMBER(T$68),INDEX('Patient &amp; HCW Summary'!$D$32:$BD$33,2,MATCH(T$68,'Patient &amp; HCW Summary'!$D$10:$BD$10,0)),"")</f>
        <v/>
      </c>
      <c r="U80" s="503" t="str">
        <f>IF(ISNUMBER(U$68),INDEX('Patient &amp; HCW Summary'!$D$32:$BD$33,2,MATCH(U$68,'Patient &amp; HCW Summary'!$D$10:$BD$10,0)),"")</f>
        <v/>
      </c>
      <c r="V80" s="503" t="str">
        <f>IF(ISNUMBER(V$68),INDEX('Patient &amp; HCW Summary'!$D$32:$BD$33,2,MATCH(V$68,'Patient &amp; HCW Summary'!$D$10:$BD$10,0)),"")</f>
        <v/>
      </c>
      <c r="W80" s="503" t="str">
        <f>IF(ISNUMBER(W$68),INDEX('Patient &amp; HCW Summary'!$D$32:$BD$33,2,MATCH(W$68,'Patient &amp; HCW Summary'!$D$10:$BD$10,0)),"")</f>
        <v/>
      </c>
      <c r="X80" s="503" t="str">
        <f>IF(ISNUMBER(X$68),INDEX('Patient &amp; HCW Summary'!$D$32:$BD$33,2,MATCH(X$68,'Patient &amp; HCW Summary'!$D$10:$BD$10,0)),"")</f>
        <v/>
      </c>
      <c r="Y80" s="503" t="str">
        <f>IF(ISNUMBER(Y$68),INDEX('Patient &amp; HCW Summary'!$D$32:$BD$33,2,MATCH(Y$68,'Patient &amp; HCW Summary'!$D$10:$BD$10,0)),"")</f>
        <v/>
      </c>
      <c r="Z80" s="503" t="str">
        <f>IF(ISNUMBER(Z$68),INDEX('Patient &amp; HCW Summary'!$D$32:$BD$33,2,MATCH(Z$68,'Patient &amp; HCW Summary'!$D$10:$BD$10,0)),"")</f>
        <v/>
      </c>
      <c r="AA80" s="503" t="str">
        <f>IF(ISNUMBER(AA$68),INDEX('Patient &amp; HCW Summary'!$D$32:$BD$33,2,MATCH(AA$68,'Patient &amp; HCW Summary'!$D$10:$BD$10,0)),"")</f>
        <v/>
      </c>
      <c r="AB80" s="503" t="str">
        <f>IF(ISNUMBER(AB$68),INDEX('Patient &amp; HCW Summary'!$D$32:$BD$33,2,MATCH(AB$68,'Patient &amp; HCW Summary'!$D$10:$BD$10,0)),"")</f>
        <v/>
      </c>
      <c r="AC80" s="503" t="str">
        <f>IF(ISNUMBER(AC$68),INDEX('Patient &amp; HCW Summary'!$D$32:$BD$33,2,MATCH(AC$68,'Patient &amp; HCW Summary'!$D$10:$BD$10,0)),"")</f>
        <v/>
      </c>
      <c r="AD80" s="503" t="str">
        <f>IF(ISNUMBER(AD$68),INDEX('Patient &amp; HCW Summary'!$D$32:$BD$33,2,MATCH(AD$68,'Patient &amp; HCW Summary'!$D$10:$BD$10,0)),"")</f>
        <v/>
      </c>
      <c r="AE80" s="503" t="str">
        <f>IF(ISNUMBER(AE$68),INDEX('Patient &amp; HCW Summary'!$D$32:$BD$33,2,MATCH(AE$68,'Patient &amp; HCW Summary'!$D$10:$BD$10,0)),"")</f>
        <v/>
      </c>
      <c r="AF80" s="503" t="str">
        <f>IF(ISNUMBER(AF$68),INDEX('Patient &amp; HCW Summary'!$D$32:$BD$33,2,MATCH(AF$68,'Patient &amp; HCW Summary'!$D$10:$BD$10,0)),"")</f>
        <v/>
      </c>
      <c r="AG80" s="503" t="str">
        <f>IF(ISNUMBER(AG$68),INDEX('Patient &amp; HCW Summary'!$D$32:$BD$33,2,MATCH(AG$68,'Patient &amp; HCW Summary'!$D$10:$BD$10,0)),"")</f>
        <v/>
      </c>
      <c r="AH80" s="503" t="str">
        <f>IF(ISNUMBER(AH$68),INDEX('Patient &amp; HCW Summary'!$D$32:$BD$33,2,MATCH(AH$68,'Patient &amp; HCW Summary'!$D$10:$BD$10,0)),"")</f>
        <v/>
      </c>
      <c r="AI80" s="503" t="str">
        <f>IF(ISNUMBER(AI$68),INDEX('Patient &amp; HCW Summary'!$D$32:$BD$33,2,MATCH(AI$68,'Patient &amp; HCW Summary'!$D$10:$BD$10,0)),"")</f>
        <v/>
      </c>
      <c r="AJ80" s="503" t="str">
        <f>IF(ISNUMBER(AJ$68),INDEX('Patient &amp; HCW Summary'!$D$32:$BD$33,2,MATCH(AJ$68,'Patient &amp; HCW Summary'!$D$10:$BD$10,0)),"")</f>
        <v/>
      </c>
      <c r="AK80" s="503" t="str">
        <f>IF(ISNUMBER(AK$68),INDEX('Patient &amp; HCW Summary'!$D$32:$BD$33,2,MATCH(AK$68,'Patient &amp; HCW Summary'!$D$10:$BD$10,0)),"")</f>
        <v/>
      </c>
      <c r="AL80" s="503" t="str">
        <f>IF(ISNUMBER(AL$68),INDEX('Patient &amp; HCW Summary'!$D$32:$BD$33,2,MATCH(AL$68,'Patient &amp; HCW Summary'!$D$10:$BD$10,0)),"")</f>
        <v/>
      </c>
      <c r="AM80" s="503" t="str">
        <f>IF(ISNUMBER(AM$68),INDEX('Patient &amp; HCW Summary'!$D$32:$BD$33,2,MATCH(AM$68,'Patient &amp; HCW Summary'!$D$10:$BD$10,0)),"")</f>
        <v/>
      </c>
      <c r="AN80" s="503" t="str">
        <f>IF(ISNUMBER(AN$68),INDEX('Patient &amp; HCW Summary'!$D$32:$BD$33,2,MATCH(AN$68,'Patient &amp; HCW Summary'!$D$10:$BD$10,0)),"")</f>
        <v/>
      </c>
      <c r="AO80" s="503" t="str">
        <f>IF(ISNUMBER(AO$68),INDEX('Patient &amp; HCW Summary'!$D$32:$BD$33,2,MATCH(AO$68,'Patient &amp; HCW Summary'!$D$10:$BD$10,0)),"")</f>
        <v/>
      </c>
      <c r="AP80" s="503" t="str">
        <f>IF(ISNUMBER(AP$68),INDEX('Patient &amp; HCW Summary'!$D$32:$BD$33,2,MATCH(AP$68,'Patient &amp; HCW Summary'!$D$10:$BD$10,0)),"")</f>
        <v/>
      </c>
      <c r="AQ80" s="503" t="str">
        <f>IF(ISNUMBER(AQ$68),INDEX('Patient &amp; HCW Summary'!$D$32:$BD$33,2,MATCH(AQ$68,'Patient &amp; HCW Summary'!$D$10:$BD$10,0)),"")</f>
        <v/>
      </c>
      <c r="AR80" s="503" t="str">
        <f>IF(ISNUMBER(AR$68),INDEX('Patient &amp; HCW Summary'!$D$32:$BD$33,2,MATCH(AR$68,'Patient &amp; HCW Summary'!$D$10:$BD$10,0)),"")</f>
        <v/>
      </c>
      <c r="AS80" s="503" t="str">
        <f>IF(ISNUMBER(AS$68),INDEX('Patient &amp; HCW Summary'!$D$32:$BD$33,2,MATCH(AS$68,'Patient &amp; HCW Summary'!$D$10:$BD$10,0)),"")</f>
        <v/>
      </c>
      <c r="AT80" s="503" t="str">
        <f>IF(ISNUMBER(AT$68),INDEX('Patient &amp; HCW Summary'!$D$32:$BD$33,2,MATCH(AT$68,'Patient &amp; HCW Summary'!$D$10:$BD$10,0)),"")</f>
        <v/>
      </c>
      <c r="AU80" s="503" t="str">
        <f>IF(ISNUMBER(AU$68),INDEX('Patient &amp; HCW Summary'!$D$32:$BD$33,2,MATCH(AU$68,'Patient &amp; HCW Summary'!$D$10:$BD$10,0)),"")</f>
        <v/>
      </c>
      <c r="AV80" s="503" t="str">
        <f>IF(ISNUMBER(AV$68),INDEX('Patient &amp; HCW Summary'!$D$32:$BD$33,2,MATCH(AV$68,'Patient &amp; HCW Summary'!$D$10:$BD$10,0)),"")</f>
        <v/>
      </c>
      <c r="AW80" s="503" t="str">
        <f>IF(ISNUMBER(AW$68),INDEX('Patient &amp; HCW Summary'!$D$32:$BD$33,2,MATCH(AW$68,'Patient &amp; HCW Summary'!$D$10:$BD$10,0)),"")</f>
        <v/>
      </c>
      <c r="AX80" s="503" t="str">
        <f>IF(ISNUMBER(AX$68),INDEX('Patient &amp; HCW Summary'!$D$32:$BD$33,2,MATCH(AX$68,'Patient &amp; HCW Summary'!$D$10:$BD$10,0)),"")</f>
        <v/>
      </c>
      <c r="AY80" s="503" t="str">
        <f>IF(ISNUMBER(AY$68),INDEX('Patient &amp; HCW Summary'!$D$32:$BD$33,2,MATCH(AY$68,'Patient &amp; HCW Summary'!$D$10:$BD$10,0)),"")</f>
        <v/>
      </c>
      <c r="AZ80" s="503" t="str">
        <f>IF(ISNUMBER(AZ$68),INDEX('Patient &amp; HCW Summary'!$D$32:$BD$33,2,MATCH(AZ$68,'Patient &amp; HCW Summary'!$D$10:$BD$10,0)),"")</f>
        <v/>
      </c>
      <c r="BA80" s="503" t="str">
        <f>IF(ISNUMBER(BA$68),INDEX('Patient &amp; HCW Summary'!$D$32:$BD$33,2,MATCH(BA$68,'Patient &amp; HCW Summary'!$D$10:$BD$10,0)),"")</f>
        <v/>
      </c>
      <c r="BB80" s="503" t="str">
        <f>IF(ISNUMBER(BB$68),INDEX('Patient &amp; HCW Summary'!$D$32:$BD$33,2,MATCH(BB$68,'Patient &amp; HCW Summary'!$D$10:$BD$10,0)),"")</f>
        <v/>
      </c>
      <c r="BC80" s="503" t="str">
        <f>IF(ISNUMBER(BC$68),INDEX('Patient &amp; HCW Summary'!$D$32:$BD$33,2,MATCH(BC$68,'Patient &amp; HCW Summary'!$D$10:$BD$10,0)),"")</f>
        <v/>
      </c>
      <c r="BD80" s="504" t="str">
        <f>IF(ISNUMBER(BD$68),INDEX('Patient &amp; HCW Summary'!$D$32:$BD$33,2,MATCH(BD$68,'Patient &amp; HCW Summary'!$D$10:$BD$10,0)),"")</f>
        <v/>
      </c>
    </row>
    <row r="82" spans="2:66" s="412" customFormat="1" ht="17.25" x14ac:dyDescent="0.3">
      <c r="B82" s="413" t="s">
        <v>1404</v>
      </c>
      <c r="C82" s="414"/>
    </row>
    <row r="83" spans="2:66" ht="15.75" thickBot="1" x14ac:dyDescent="0.3"/>
    <row r="84" spans="2:66" s="543" customFormat="1" ht="45" x14ac:dyDescent="0.25">
      <c r="B84" s="540" t="s">
        <v>1167</v>
      </c>
      <c r="C84" s="541" t="s">
        <v>1407</v>
      </c>
      <c r="D84" s="632"/>
      <c r="E84" s="542"/>
      <c r="F84" s="539" t="str">
        <f>F73</f>
        <v>First week of forecast</v>
      </c>
      <c r="G84" s="539" t="str">
        <f t="shared" ref="G84:BN84" si="3">G73</f>
        <v>Week 2 of forecast</v>
      </c>
      <c r="H84" s="539" t="str">
        <f t="shared" si="3"/>
        <v>Week 3 of forecast</v>
      </c>
      <c r="I84" s="539" t="str">
        <f t="shared" si="3"/>
        <v>Week 4 of forecast</v>
      </c>
      <c r="J84" s="539" t="str">
        <f t="shared" si="3"/>
        <v>Week 5 of forecast</v>
      </c>
      <c r="K84" s="539" t="str">
        <f t="shared" si="3"/>
        <v>Week 6 of forecast</v>
      </c>
      <c r="L84" s="539" t="str">
        <f t="shared" si="3"/>
        <v>Week 7 of forecast</v>
      </c>
      <c r="M84" s="539" t="str">
        <f t="shared" si="3"/>
        <v>Week 8 of forecast</v>
      </c>
      <c r="N84" s="539" t="str">
        <f t="shared" si="3"/>
        <v>Week 9 of forecast</v>
      </c>
      <c r="O84" s="539" t="str">
        <f t="shared" si="3"/>
        <v>Week 10 of forecast</v>
      </c>
      <c r="P84" s="539" t="str">
        <f t="shared" si="3"/>
        <v>Week 11 of forecast</v>
      </c>
      <c r="Q84" s="539" t="str">
        <f t="shared" si="3"/>
        <v>Week 12 of forecast</v>
      </c>
      <c r="R84" s="539" t="str">
        <f t="shared" si="3"/>
        <v>Week 13 of forecast</v>
      </c>
      <c r="S84" s="539" t="str">
        <f t="shared" si="3"/>
        <v>Week 14 of forecast</v>
      </c>
      <c r="T84" s="539" t="str">
        <f t="shared" si="3"/>
        <v>Week 15 of forecast</v>
      </c>
      <c r="U84" s="539" t="str">
        <f t="shared" si="3"/>
        <v>Week 16 of forecast</v>
      </c>
      <c r="V84" s="539" t="str">
        <f t="shared" si="3"/>
        <v>Week 17 of forecast</v>
      </c>
      <c r="W84" s="539" t="str">
        <f t="shared" si="3"/>
        <v>Week 18 of forecast</v>
      </c>
      <c r="X84" s="539" t="str">
        <f t="shared" si="3"/>
        <v>Week 19 of forecast</v>
      </c>
      <c r="Y84" s="539" t="str">
        <f t="shared" si="3"/>
        <v>Week 20 of forecast</v>
      </c>
      <c r="Z84" s="539" t="str">
        <f t="shared" si="3"/>
        <v>Week 21 of forecast</v>
      </c>
      <c r="AA84" s="539" t="str">
        <f t="shared" si="3"/>
        <v>Week 22 of forecast</v>
      </c>
      <c r="AB84" s="539" t="str">
        <f t="shared" si="3"/>
        <v>Week 23 of forecast</v>
      </c>
      <c r="AC84" s="539" t="str">
        <f t="shared" si="3"/>
        <v>Week 24 of forecast</v>
      </c>
      <c r="AD84" s="539" t="str">
        <f t="shared" si="3"/>
        <v>Week 25 of forecast</v>
      </c>
      <c r="AE84" s="539" t="str">
        <f t="shared" si="3"/>
        <v>Week 26 of forecast</v>
      </c>
      <c r="AF84" s="539" t="str">
        <f t="shared" si="3"/>
        <v>Week 27 of forecast</v>
      </c>
      <c r="AG84" s="539" t="str">
        <f t="shared" si="3"/>
        <v>Week 28 of forecast</v>
      </c>
      <c r="AH84" s="539" t="str">
        <f t="shared" si="3"/>
        <v>Week 29 of forecast</v>
      </c>
      <c r="AI84" s="539" t="str">
        <f t="shared" si="3"/>
        <v>Week 30 of forecast</v>
      </c>
      <c r="AJ84" s="539" t="str">
        <f t="shared" si="3"/>
        <v>Week 31 of forecast</v>
      </c>
      <c r="AK84" s="539" t="str">
        <f t="shared" si="3"/>
        <v>Week 32 of forecast</v>
      </c>
      <c r="AL84" s="539" t="str">
        <f t="shared" si="3"/>
        <v>Week 33 of forecast</v>
      </c>
      <c r="AM84" s="539" t="str">
        <f t="shared" si="3"/>
        <v>Week 34 of forecast</v>
      </c>
      <c r="AN84" s="539" t="str">
        <f t="shared" si="3"/>
        <v>Week 35 of forecast</v>
      </c>
      <c r="AO84" s="539" t="str">
        <f t="shared" si="3"/>
        <v>Week 36 of forecast</v>
      </c>
      <c r="AP84" s="539" t="str">
        <f t="shared" si="3"/>
        <v>Week 37 of forecast</v>
      </c>
      <c r="AQ84" s="539" t="str">
        <f t="shared" si="3"/>
        <v>Week 38 of forecast</v>
      </c>
      <c r="AR84" s="539" t="str">
        <f t="shared" si="3"/>
        <v>Week 39 of forecast</v>
      </c>
      <c r="AS84" s="539" t="str">
        <f t="shared" si="3"/>
        <v>Week 40 of forecast</v>
      </c>
      <c r="AT84" s="539" t="str">
        <f t="shared" si="3"/>
        <v>Week 41 of forecast</v>
      </c>
      <c r="AU84" s="539" t="str">
        <f t="shared" si="3"/>
        <v>Week 42 of forecast</v>
      </c>
      <c r="AV84" s="539" t="str">
        <f t="shared" si="3"/>
        <v>Week 43 of forecast</v>
      </c>
      <c r="AW84" s="539" t="str">
        <f t="shared" si="3"/>
        <v>Week 44 of forecast</v>
      </c>
      <c r="AX84" s="539" t="str">
        <f t="shared" si="3"/>
        <v>Week 45 of forecast</v>
      </c>
      <c r="AY84" s="539" t="str">
        <f t="shared" si="3"/>
        <v>Week 46 of forecast</v>
      </c>
      <c r="AZ84" s="539" t="str">
        <f t="shared" si="3"/>
        <v>Week 47 of forecast</v>
      </c>
      <c r="BA84" s="539" t="str">
        <f t="shared" si="3"/>
        <v>Week 48 of forecast</v>
      </c>
      <c r="BB84" s="539" t="str">
        <f t="shared" si="3"/>
        <v>Week 49 of forecast</v>
      </c>
      <c r="BC84" s="539" t="str">
        <f t="shared" si="3"/>
        <v>Week 50 of forecast</v>
      </c>
      <c r="BD84" s="539" t="str">
        <f t="shared" si="3"/>
        <v>Week 51 of forecast</v>
      </c>
      <c r="BE84" s="539" t="str">
        <f t="shared" si="3"/>
        <v>Week 52 of forecast</v>
      </c>
      <c r="BF84" s="539" t="str">
        <f t="shared" si="3"/>
        <v>Week 53 of forecast</v>
      </c>
      <c r="BG84" s="539" t="str">
        <f t="shared" si="3"/>
        <v>Week 54 of forecast</v>
      </c>
      <c r="BH84" s="539" t="str">
        <f t="shared" si="3"/>
        <v>Week 55 of forecast</v>
      </c>
      <c r="BI84" s="539" t="str">
        <f t="shared" si="3"/>
        <v>Week 56 of forecast</v>
      </c>
      <c r="BJ84" s="539" t="str">
        <f t="shared" si="3"/>
        <v>Week 57 of forecast</v>
      </c>
      <c r="BK84" s="539" t="str">
        <f t="shared" si="3"/>
        <v>Week 58 of forecast</v>
      </c>
      <c r="BL84" s="539" t="str">
        <f t="shared" si="3"/>
        <v>Week 59 of forecast</v>
      </c>
      <c r="BM84" s="539" t="str">
        <f t="shared" si="3"/>
        <v>Week 60 of forecast</v>
      </c>
      <c r="BN84" s="539" t="str">
        <f t="shared" si="3"/>
        <v>Week 61 of forecast</v>
      </c>
    </row>
    <row r="85" spans="2:66" x14ac:dyDescent="0.25">
      <c r="B85" s="732" t="s">
        <v>1033</v>
      </c>
      <c r="C85" s="736" t="s">
        <v>1570</v>
      </c>
      <c r="D85" s="737"/>
      <c r="E85" s="738"/>
      <c r="F85" s="500">
        <f ca="1">IF(ISNUMBER(F$68),INDEX('Patient &amp; HCW Summary'!$D$13:$BD$14,1,MATCH(F$68,'Patient &amp; HCW Summary'!$D$10:$BD$10,0)),"")</f>
        <v>0.15</v>
      </c>
      <c r="G85" s="500">
        <f ca="1">IF(ISNUMBER(G$68),INDEX('Patient &amp; HCW Summary'!$D$13:$BD$14,1,MATCH(G$68,'Patient &amp; HCW Summary'!$D$10:$BD$10,0)),"")</f>
        <v>0.35453784915222863</v>
      </c>
      <c r="H85" s="500">
        <f ca="1">IF(ISNUMBER(H$68),INDEX('Patient &amp; HCW Summary'!$D$13:$BD$14,1,MATCH(H$68,'Patient &amp; HCW Summary'!$D$10:$BD$10,0)),"")</f>
        <v>1.1925184256954853</v>
      </c>
      <c r="I85" s="500">
        <f ca="1">IF(ISNUMBER(I$68),INDEX('Patient &amp; HCW Summary'!$D$13:$BD$14,1,MATCH(I$68,'Patient &amp; HCW Summary'!$D$10:$BD$10,0)),"")</f>
        <v>4.0111378771653463</v>
      </c>
      <c r="J85" s="500">
        <f ca="1">IF(ISNUMBER(J$68),INDEX('Patient &amp; HCW Summary'!$D$13:$BD$14,1,MATCH(J$68,'Patient &amp; HCW Summary'!$D$10:$BD$10,0)),"")</f>
        <v>13.491805847986939</v>
      </c>
      <c r="K85" s="500">
        <f ca="1">IF(ISNUMBER(K$68),INDEX('Patient &amp; HCW Summary'!$D$13:$BD$14,1,MATCH(K$68,'Patient &amp; HCW Summary'!$D$10:$BD$10,0)),"")</f>
        <v>45.380844691485237</v>
      </c>
      <c r="L85" s="500">
        <f ca="1">IF(ISNUMBER(L$68),INDEX('Patient &amp; HCW Summary'!$D$13:$BD$14,1,MATCH(L$68,'Patient &amp; HCW Summary'!$D$10:$BD$10,0)),"")</f>
        <v>152.64235848902217</v>
      </c>
      <c r="M85" s="500" t="str">
        <f>IF(ISNUMBER(M$68),INDEX('Patient &amp; HCW Summary'!$D$13:$BD$14,1,MATCH(M$68,'Patient &amp; HCW Summary'!$D$10:$BD$10,0)),"")</f>
        <v/>
      </c>
      <c r="N85" s="500" t="str">
        <f>IF(ISNUMBER(N$68),INDEX('Patient &amp; HCW Summary'!$D$13:$BD$14,1,MATCH(N$68,'Patient &amp; HCW Summary'!$D$10:$BD$10,0)),"")</f>
        <v/>
      </c>
      <c r="O85" s="500" t="str">
        <f>IF(ISNUMBER(O$68),INDEX('Patient &amp; HCW Summary'!$D$13:$BD$14,1,MATCH(O$68,'Patient &amp; HCW Summary'!$D$10:$BD$10,0)),"")</f>
        <v/>
      </c>
      <c r="P85" s="500" t="str">
        <f>IF(ISNUMBER(P$68),INDEX('Patient &amp; HCW Summary'!$D$13:$BD$14,1,MATCH(P$68,'Patient &amp; HCW Summary'!$D$10:$BD$10,0)),"")</f>
        <v/>
      </c>
      <c r="Q85" s="500" t="str">
        <f>IF(ISNUMBER(Q$68),INDEX('Patient &amp; HCW Summary'!$D$13:$BD$14,1,MATCH(Q$68,'Patient &amp; HCW Summary'!$D$10:$BD$10,0)),"")</f>
        <v/>
      </c>
      <c r="R85" s="500" t="str">
        <f>IF(ISNUMBER(R$68),INDEX('Patient &amp; HCW Summary'!$D$13:$BD$14,1,MATCH(R$68,'Patient &amp; HCW Summary'!$D$10:$BD$10,0)),"")</f>
        <v/>
      </c>
      <c r="S85" s="500" t="str">
        <f>IF(ISNUMBER(S$68),INDEX('Patient &amp; HCW Summary'!$D$13:$BD$14,1,MATCH(S$68,'Patient &amp; HCW Summary'!$D$10:$BD$10,0)),"")</f>
        <v/>
      </c>
      <c r="T85" s="500" t="str">
        <f>IF(ISNUMBER(T$68),INDEX('Patient &amp; HCW Summary'!$D$13:$BD$14,1,MATCH(T$68,'Patient &amp; HCW Summary'!$D$10:$BD$10,0)),"")</f>
        <v/>
      </c>
      <c r="U85" s="500" t="str">
        <f>IF(ISNUMBER(U$68),INDEX('Patient &amp; HCW Summary'!$D$13:$BD$14,1,MATCH(U$68,'Patient &amp; HCW Summary'!$D$10:$BD$10,0)),"")</f>
        <v/>
      </c>
      <c r="V85" s="500" t="str">
        <f>IF(ISNUMBER(V$68),INDEX('Patient &amp; HCW Summary'!$D$13:$BD$14,1,MATCH(V$68,'Patient &amp; HCW Summary'!$D$10:$BD$10,0)),"")</f>
        <v/>
      </c>
      <c r="W85" s="500" t="str">
        <f>IF(ISNUMBER(W$68),INDEX('Patient &amp; HCW Summary'!$D$13:$BD$14,1,MATCH(W$68,'Patient &amp; HCW Summary'!$D$10:$BD$10,0)),"")</f>
        <v/>
      </c>
      <c r="X85" s="500" t="str">
        <f>IF(ISNUMBER(X$68),INDEX('Patient &amp; HCW Summary'!$D$13:$BD$14,1,MATCH(X$68,'Patient &amp; HCW Summary'!$D$10:$BD$10,0)),"")</f>
        <v/>
      </c>
      <c r="Y85" s="500" t="str">
        <f>IF(ISNUMBER(Y$68),INDEX('Patient &amp; HCW Summary'!$D$13:$BD$14,1,MATCH(Y$68,'Patient &amp; HCW Summary'!$D$10:$BD$10,0)),"")</f>
        <v/>
      </c>
      <c r="Z85" s="500" t="str">
        <f>IF(ISNUMBER(Z$68),INDEX('Patient &amp; HCW Summary'!$D$13:$BD$14,1,MATCH(Z$68,'Patient &amp; HCW Summary'!$D$10:$BD$10,0)),"")</f>
        <v/>
      </c>
      <c r="AA85" s="500" t="str">
        <f>IF(ISNUMBER(AA$68),INDEX('Patient &amp; HCW Summary'!$D$13:$BD$14,1,MATCH(AA$68,'Patient &amp; HCW Summary'!$D$10:$BD$10,0)),"")</f>
        <v/>
      </c>
      <c r="AB85" s="500" t="str">
        <f>IF(ISNUMBER(AB$68),INDEX('Patient &amp; HCW Summary'!$D$13:$BD$14,1,MATCH(AB$68,'Patient &amp; HCW Summary'!$D$10:$BD$10,0)),"")</f>
        <v/>
      </c>
      <c r="AC85" s="500" t="str">
        <f>IF(ISNUMBER(AC$68),INDEX('Patient &amp; HCW Summary'!$D$13:$BD$14,1,MATCH(AC$68,'Patient &amp; HCW Summary'!$D$10:$BD$10,0)),"")</f>
        <v/>
      </c>
      <c r="AD85" s="500" t="str">
        <f>IF(ISNUMBER(AD$68),INDEX('Patient &amp; HCW Summary'!$D$13:$BD$14,1,MATCH(AD$68,'Patient &amp; HCW Summary'!$D$10:$BD$10,0)),"")</f>
        <v/>
      </c>
      <c r="AE85" s="500" t="str">
        <f>IF(ISNUMBER(AE$68),INDEX('Patient &amp; HCW Summary'!$D$13:$BD$14,1,MATCH(AE$68,'Patient &amp; HCW Summary'!$D$10:$BD$10,0)),"")</f>
        <v/>
      </c>
      <c r="AF85" s="500" t="str">
        <f>IF(ISNUMBER(AF$68),INDEX('Patient &amp; HCW Summary'!$D$13:$BD$14,1,MATCH(AF$68,'Patient &amp; HCW Summary'!$D$10:$BD$10,0)),"")</f>
        <v/>
      </c>
      <c r="AG85" s="500" t="str">
        <f>IF(ISNUMBER(AG$68),INDEX('Patient &amp; HCW Summary'!$D$13:$BD$14,1,MATCH(AG$68,'Patient &amp; HCW Summary'!$D$10:$BD$10,0)),"")</f>
        <v/>
      </c>
      <c r="AH85" s="500" t="str">
        <f>IF(ISNUMBER(AH$68),INDEX('Patient &amp; HCW Summary'!$D$13:$BD$14,1,MATCH(AH$68,'Patient &amp; HCW Summary'!$D$10:$BD$10,0)),"")</f>
        <v/>
      </c>
      <c r="AI85" s="500" t="str">
        <f>IF(ISNUMBER(AI$68),INDEX('Patient &amp; HCW Summary'!$D$13:$BD$14,1,MATCH(AI$68,'Patient &amp; HCW Summary'!$D$10:$BD$10,0)),"")</f>
        <v/>
      </c>
      <c r="AJ85" s="500" t="str">
        <f>IF(ISNUMBER(AJ$68),INDEX('Patient &amp; HCW Summary'!$D$13:$BD$14,1,MATCH(AJ$68,'Patient &amp; HCW Summary'!$D$10:$BD$10,0)),"")</f>
        <v/>
      </c>
      <c r="AK85" s="500" t="str">
        <f>IF(ISNUMBER(AK$68),INDEX('Patient &amp; HCW Summary'!$D$13:$BD$14,1,MATCH(AK$68,'Patient &amp; HCW Summary'!$D$10:$BD$10,0)),"")</f>
        <v/>
      </c>
      <c r="AL85" s="500" t="str">
        <f>IF(ISNUMBER(AL$68),INDEX('Patient &amp; HCW Summary'!$D$13:$BD$14,1,MATCH(AL$68,'Patient &amp; HCW Summary'!$D$10:$BD$10,0)),"")</f>
        <v/>
      </c>
      <c r="AM85" s="500" t="str">
        <f>IF(ISNUMBER(AM$68),INDEX('Patient &amp; HCW Summary'!$D$13:$BD$14,1,MATCH(AM$68,'Patient &amp; HCW Summary'!$D$10:$BD$10,0)),"")</f>
        <v/>
      </c>
      <c r="AN85" s="500" t="str">
        <f>IF(ISNUMBER(AN$68),INDEX('Patient &amp; HCW Summary'!$D$13:$BD$14,1,MATCH(AN$68,'Patient &amp; HCW Summary'!$D$10:$BD$10,0)),"")</f>
        <v/>
      </c>
      <c r="AO85" s="500" t="str">
        <f>IF(ISNUMBER(AO$68),INDEX('Patient &amp; HCW Summary'!$D$13:$BD$14,1,MATCH(AO$68,'Patient &amp; HCW Summary'!$D$10:$BD$10,0)),"")</f>
        <v/>
      </c>
      <c r="AP85" s="500" t="str">
        <f>IF(ISNUMBER(AP$68),INDEX('Patient &amp; HCW Summary'!$D$13:$BD$14,1,MATCH(AP$68,'Patient &amp; HCW Summary'!$D$10:$BD$10,0)),"")</f>
        <v/>
      </c>
      <c r="AQ85" s="500" t="str">
        <f>IF(ISNUMBER(AQ$68),INDEX('Patient &amp; HCW Summary'!$D$13:$BD$14,1,MATCH(AQ$68,'Patient &amp; HCW Summary'!$D$10:$BD$10,0)),"")</f>
        <v/>
      </c>
      <c r="AR85" s="500" t="str">
        <f>IF(ISNUMBER(AR$68),INDEX('Patient &amp; HCW Summary'!$D$13:$BD$14,1,MATCH(AR$68,'Patient &amp; HCW Summary'!$D$10:$BD$10,0)),"")</f>
        <v/>
      </c>
      <c r="AS85" s="500" t="str">
        <f>IF(ISNUMBER(AS$68),INDEX('Patient &amp; HCW Summary'!$D$13:$BD$14,1,MATCH(AS$68,'Patient &amp; HCW Summary'!$D$10:$BD$10,0)),"")</f>
        <v/>
      </c>
      <c r="AT85" s="500" t="str">
        <f>IF(ISNUMBER(AT$68),INDEX('Patient &amp; HCW Summary'!$D$13:$BD$14,1,MATCH(AT$68,'Patient &amp; HCW Summary'!$D$10:$BD$10,0)),"")</f>
        <v/>
      </c>
      <c r="AU85" s="500" t="str">
        <f>IF(ISNUMBER(AU$68),INDEX('Patient &amp; HCW Summary'!$D$13:$BD$14,1,MATCH(AU$68,'Patient &amp; HCW Summary'!$D$10:$BD$10,0)),"")</f>
        <v/>
      </c>
      <c r="AV85" s="500" t="str">
        <f>IF(ISNUMBER(AV$68),INDEX('Patient &amp; HCW Summary'!$D$13:$BD$14,1,MATCH(AV$68,'Patient &amp; HCW Summary'!$D$10:$BD$10,0)),"")</f>
        <v/>
      </c>
      <c r="AW85" s="500" t="str">
        <f>IF(ISNUMBER(AW$68),INDEX('Patient &amp; HCW Summary'!$D$13:$BD$14,1,MATCH(AW$68,'Patient &amp; HCW Summary'!$D$10:$BD$10,0)),"")</f>
        <v/>
      </c>
      <c r="AX85" s="500" t="str">
        <f>IF(ISNUMBER(AX$68),INDEX('Patient &amp; HCW Summary'!$D$13:$BD$14,1,MATCH(AX$68,'Patient &amp; HCW Summary'!$D$10:$BD$10,0)),"")</f>
        <v/>
      </c>
      <c r="AY85" s="500" t="str">
        <f>IF(ISNUMBER(AY$68),INDEX('Patient &amp; HCW Summary'!$D$13:$BD$14,1,MATCH(AY$68,'Patient &amp; HCW Summary'!$D$10:$BD$10,0)),"")</f>
        <v/>
      </c>
      <c r="AZ85" s="500" t="str">
        <f>IF(ISNUMBER(AZ$68),INDEX('Patient &amp; HCW Summary'!$D$13:$BD$14,1,MATCH(AZ$68,'Patient &amp; HCW Summary'!$D$10:$BD$10,0)),"")</f>
        <v/>
      </c>
      <c r="BA85" s="500" t="str">
        <f>IF(ISNUMBER(BA$68),INDEX('Patient &amp; HCW Summary'!$D$13:$BD$14,1,MATCH(BA$68,'Patient &amp; HCW Summary'!$D$10:$BD$10,0)),"")</f>
        <v/>
      </c>
      <c r="BB85" s="500" t="str">
        <f>IF(ISNUMBER(BB$68),INDEX('Patient &amp; HCW Summary'!$D$13:$BD$14,1,MATCH(BB$68,'Patient &amp; HCW Summary'!$D$10:$BD$10,0)),"")</f>
        <v/>
      </c>
      <c r="BC85" s="500" t="str">
        <f>IF(ISNUMBER(BC$68),INDEX('Patient &amp; HCW Summary'!$D$13:$BD$14,1,MATCH(BC$68,'Patient &amp; HCW Summary'!$D$10:$BD$10,0)),"")</f>
        <v/>
      </c>
      <c r="BD85" s="475" t="str">
        <f>IF(ISNUMBER(BD$68),INDEX('Patient &amp; HCW Summary'!$D$13:$BD$14,1,MATCH(BD$68,'Patient &amp; HCW Summary'!$D$10:$BD$10,0)),"")</f>
        <v/>
      </c>
    </row>
    <row r="86" spans="2:66" x14ac:dyDescent="0.25">
      <c r="B86" s="733"/>
      <c r="C86" s="736" t="s">
        <v>1571</v>
      </c>
      <c r="D86" s="737"/>
      <c r="E86" s="738"/>
      <c r="F86" s="500">
        <f ca="1">IF(ISNUMBER(F$68),INDEX('Patient &amp; HCW Summary'!$D$13:$BD$14,2,MATCH(F$68,'Patient &amp; HCW Summary'!$D$10:$BD$10,0)),"")</f>
        <v>0.05</v>
      </c>
      <c r="G86" s="500">
        <f ca="1">IF(ISNUMBER(G$68),INDEX('Patient &amp; HCW Summary'!$D$13:$BD$14,2,MATCH(G$68,'Patient &amp; HCW Summary'!$D$10:$BD$10,0)),"")</f>
        <v>0.16817928305074292</v>
      </c>
      <c r="H86" s="500">
        <f ca="1">IF(ISNUMBER(H$68),INDEX('Patient &amp; HCW Summary'!$D$13:$BD$14,2,MATCH(H$68,'Patient &amp; HCW Summary'!$D$10:$BD$10,0)),"")</f>
        <v>0.51568542494923797</v>
      </c>
      <c r="I86" s="500">
        <f ca="1">IF(ISNUMBER(I$68),INDEX('Patient &amp; HCW Summary'!$D$13:$BD$14,2,MATCH(I$68,'Patient &amp; HCW Summary'!$D$10:$BD$10,0)),"")</f>
        <v>1.7345521009536109</v>
      </c>
      <c r="J86" s="500">
        <f ca="1">IF(ISNUMBER(J$68),INDEX('Patient &amp; HCW Summary'!$D$13:$BD$14,2,MATCH(J$68,'Patient &amp; HCW Summary'!$D$10:$BD$10,0)),"")</f>
        <v>5.8343145750507626</v>
      </c>
      <c r="K86" s="500">
        <f ca="1">IF(ISNUMBER(K$68),INDEX('Patient &amp; HCW Summary'!$D$13:$BD$14,2,MATCH(K$68,'Patient &amp; HCW Summary'!$D$10:$BD$10,0)),"")</f>
        <v>19.624216846490725</v>
      </c>
      <c r="L86" s="500">
        <f ca="1">IF(ISNUMBER(L$68),INDEX('Patient &amp; HCW Summary'!$D$13:$BD$14,2,MATCH(L$68,'Patient &amp; HCW Summary'!$D$10:$BD$10,0)),"")</f>
        <v>66.007734393502474</v>
      </c>
      <c r="M86" s="500" t="str">
        <f>IF(ISNUMBER(M$68),INDEX('Patient &amp; HCW Summary'!$D$13:$BD$14,2,MATCH(M$68,'Patient &amp; HCW Summary'!$D$10:$BD$10,0)),"")</f>
        <v/>
      </c>
      <c r="N86" s="500" t="str">
        <f>IF(ISNUMBER(N$68),INDEX('Patient &amp; HCW Summary'!$D$13:$BD$14,2,MATCH(N$68,'Patient &amp; HCW Summary'!$D$10:$BD$10,0)),"")</f>
        <v/>
      </c>
      <c r="O86" s="500" t="str">
        <f>IF(ISNUMBER(O$68),INDEX('Patient &amp; HCW Summary'!$D$13:$BD$14,2,MATCH(O$68,'Patient &amp; HCW Summary'!$D$10:$BD$10,0)),"")</f>
        <v/>
      </c>
      <c r="P86" s="500" t="str">
        <f>IF(ISNUMBER(P$68),INDEX('Patient &amp; HCW Summary'!$D$13:$BD$14,2,MATCH(P$68,'Patient &amp; HCW Summary'!$D$10:$BD$10,0)),"")</f>
        <v/>
      </c>
      <c r="Q86" s="500" t="str">
        <f>IF(ISNUMBER(Q$68),INDEX('Patient &amp; HCW Summary'!$D$13:$BD$14,2,MATCH(Q$68,'Patient &amp; HCW Summary'!$D$10:$BD$10,0)),"")</f>
        <v/>
      </c>
      <c r="R86" s="500" t="str">
        <f>IF(ISNUMBER(R$68),INDEX('Patient &amp; HCW Summary'!$D$13:$BD$14,2,MATCH(R$68,'Patient &amp; HCW Summary'!$D$10:$BD$10,0)),"")</f>
        <v/>
      </c>
      <c r="S86" s="500" t="str">
        <f>IF(ISNUMBER(S$68),INDEX('Patient &amp; HCW Summary'!$D$13:$BD$14,2,MATCH(S$68,'Patient &amp; HCW Summary'!$D$10:$BD$10,0)),"")</f>
        <v/>
      </c>
      <c r="T86" s="500" t="str">
        <f>IF(ISNUMBER(T$68),INDEX('Patient &amp; HCW Summary'!$D$13:$BD$14,2,MATCH(T$68,'Patient &amp; HCW Summary'!$D$10:$BD$10,0)),"")</f>
        <v/>
      </c>
      <c r="U86" s="500" t="str">
        <f>IF(ISNUMBER(U$68),INDEX('Patient &amp; HCW Summary'!$D$13:$BD$14,2,MATCH(U$68,'Patient &amp; HCW Summary'!$D$10:$BD$10,0)),"")</f>
        <v/>
      </c>
      <c r="V86" s="500" t="str">
        <f>IF(ISNUMBER(V$68),INDEX('Patient &amp; HCW Summary'!$D$13:$BD$14,2,MATCH(V$68,'Patient &amp; HCW Summary'!$D$10:$BD$10,0)),"")</f>
        <v/>
      </c>
      <c r="W86" s="500" t="str">
        <f>IF(ISNUMBER(W$68),INDEX('Patient &amp; HCW Summary'!$D$13:$BD$14,2,MATCH(W$68,'Patient &amp; HCW Summary'!$D$10:$BD$10,0)),"")</f>
        <v/>
      </c>
      <c r="X86" s="500" t="str">
        <f>IF(ISNUMBER(X$68),INDEX('Patient &amp; HCW Summary'!$D$13:$BD$14,2,MATCH(X$68,'Patient &amp; HCW Summary'!$D$10:$BD$10,0)),"")</f>
        <v/>
      </c>
      <c r="Y86" s="500" t="str">
        <f>IF(ISNUMBER(Y$68),INDEX('Patient &amp; HCW Summary'!$D$13:$BD$14,2,MATCH(Y$68,'Patient &amp; HCW Summary'!$D$10:$BD$10,0)),"")</f>
        <v/>
      </c>
      <c r="Z86" s="500" t="str">
        <f>IF(ISNUMBER(Z$68),INDEX('Patient &amp; HCW Summary'!$D$13:$BD$14,2,MATCH(Z$68,'Patient &amp; HCW Summary'!$D$10:$BD$10,0)),"")</f>
        <v/>
      </c>
      <c r="AA86" s="500" t="str">
        <f>IF(ISNUMBER(AA$68),INDEX('Patient &amp; HCW Summary'!$D$13:$BD$14,2,MATCH(AA$68,'Patient &amp; HCW Summary'!$D$10:$BD$10,0)),"")</f>
        <v/>
      </c>
      <c r="AB86" s="500" t="str">
        <f>IF(ISNUMBER(AB$68),INDEX('Patient &amp; HCW Summary'!$D$13:$BD$14,2,MATCH(AB$68,'Patient &amp; HCW Summary'!$D$10:$BD$10,0)),"")</f>
        <v/>
      </c>
      <c r="AC86" s="500" t="str">
        <f>IF(ISNUMBER(AC$68),INDEX('Patient &amp; HCW Summary'!$D$13:$BD$14,2,MATCH(AC$68,'Patient &amp; HCW Summary'!$D$10:$BD$10,0)),"")</f>
        <v/>
      </c>
      <c r="AD86" s="500" t="str">
        <f>IF(ISNUMBER(AD$68),INDEX('Patient &amp; HCW Summary'!$D$13:$BD$14,2,MATCH(AD$68,'Patient &amp; HCW Summary'!$D$10:$BD$10,0)),"")</f>
        <v/>
      </c>
      <c r="AE86" s="500" t="str">
        <f>IF(ISNUMBER(AE$68),INDEX('Patient &amp; HCW Summary'!$D$13:$BD$14,2,MATCH(AE$68,'Patient &amp; HCW Summary'!$D$10:$BD$10,0)),"")</f>
        <v/>
      </c>
      <c r="AF86" s="500" t="str">
        <f>IF(ISNUMBER(AF$68),INDEX('Patient &amp; HCW Summary'!$D$13:$BD$14,2,MATCH(AF$68,'Patient &amp; HCW Summary'!$D$10:$BD$10,0)),"")</f>
        <v/>
      </c>
      <c r="AG86" s="500" t="str">
        <f>IF(ISNUMBER(AG$68),INDEX('Patient &amp; HCW Summary'!$D$13:$BD$14,2,MATCH(AG$68,'Patient &amp; HCW Summary'!$D$10:$BD$10,0)),"")</f>
        <v/>
      </c>
      <c r="AH86" s="500" t="str">
        <f>IF(ISNUMBER(AH$68),INDEX('Patient &amp; HCW Summary'!$D$13:$BD$14,2,MATCH(AH$68,'Patient &amp; HCW Summary'!$D$10:$BD$10,0)),"")</f>
        <v/>
      </c>
      <c r="AI86" s="500" t="str">
        <f>IF(ISNUMBER(AI$68),INDEX('Patient &amp; HCW Summary'!$D$13:$BD$14,2,MATCH(AI$68,'Patient &amp; HCW Summary'!$D$10:$BD$10,0)),"")</f>
        <v/>
      </c>
      <c r="AJ86" s="500" t="str">
        <f>IF(ISNUMBER(AJ$68),INDEX('Patient &amp; HCW Summary'!$D$13:$BD$14,2,MATCH(AJ$68,'Patient &amp; HCW Summary'!$D$10:$BD$10,0)),"")</f>
        <v/>
      </c>
      <c r="AK86" s="500" t="str">
        <f>IF(ISNUMBER(AK$68),INDEX('Patient &amp; HCW Summary'!$D$13:$BD$14,2,MATCH(AK$68,'Patient &amp; HCW Summary'!$D$10:$BD$10,0)),"")</f>
        <v/>
      </c>
      <c r="AL86" s="500" t="str">
        <f>IF(ISNUMBER(AL$68),INDEX('Patient &amp; HCW Summary'!$D$13:$BD$14,2,MATCH(AL$68,'Patient &amp; HCW Summary'!$D$10:$BD$10,0)),"")</f>
        <v/>
      </c>
      <c r="AM86" s="500" t="str">
        <f>IF(ISNUMBER(AM$68),INDEX('Patient &amp; HCW Summary'!$D$13:$BD$14,2,MATCH(AM$68,'Patient &amp; HCW Summary'!$D$10:$BD$10,0)),"")</f>
        <v/>
      </c>
      <c r="AN86" s="500" t="str">
        <f>IF(ISNUMBER(AN$68),INDEX('Patient &amp; HCW Summary'!$D$13:$BD$14,2,MATCH(AN$68,'Patient &amp; HCW Summary'!$D$10:$BD$10,0)),"")</f>
        <v/>
      </c>
      <c r="AO86" s="500" t="str">
        <f>IF(ISNUMBER(AO$68),INDEX('Patient &amp; HCW Summary'!$D$13:$BD$14,2,MATCH(AO$68,'Patient &amp; HCW Summary'!$D$10:$BD$10,0)),"")</f>
        <v/>
      </c>
      <c r="AP86" s="500" t="str">
        <f>IF(ISNUMBER(AP$68),INDEX('Patient &amp; HCW Summary'!$D$13:$BD$14,2,MATCH(AP$68,'Patient &amp; HCW Summary'!$D$10:$BD$10,0)),"")</f>
        <v/>
      </c>
      <c r="AQ86" s="500" t="str">
        <f>IF(ISNUMBER(AQ$68),INDEX('Patient &amp; HCW Summary'!$D$13:$BD$14,2,MATCH(AQ$68,'Patient &amp; HCW Summary'!$D$10:$BD$10,0)),"")</f>
        <v/>
      </c>
      <c r="AR86" s="500" t="str">
        <f>IF(ISNUMBER(AR$68),INDEX('Patient &amp; HCW Summary'!$D$13:$BD$14,2,MATCH(AR$68,'Patient &amp; HCW Summary'!$D$10:$BD$10,0)),"")</f>
        <v/>
      </c>
      <c r="AS86" s="500" t="str">
        <f>IF(ISNUMBER(AS$68),INDEX('Patient &amp; HCW Summary'!$D$13:$BD$14,2,MATCH(AS$68,'Patient &amp; HCW Summary'!$D$10:$BD$10,0)),"")</f>
        <v/>
      </c>
      <c r="AT86" s="500" t="str">
        <f>IF(ISNUMBER(AT$68),INDEX('Patient &amp; HCW Summary'!$D$13:$BD$14,2,MATCH(AT$68,'Patient &amp; HCW Summary'!$D$10:$BD$10,0)),"")</f>
        <v/>
      </c>
      <c r="AU86" s="500" t="str">
        <f>IF(ISNUMBER(AU$68),INDEX('Patient &amp; HCW Summary'!$D$13:$BD$14,2,MATCH(AU$68,'Patient &amp; HCW Summary'!$D$10:$BD$10,0)),"")</f>
        <v/>
      </c>
      <c r="AV86" s="500" t="str">
        <f>IF(ISNUMBER(AV$68),INDEX('Patient &amp; HCW Summary'!$D$13:$BD$14,2,MATCH(AV$68,'Patient &amp; HCW Summary'!$D$10:$BD$10,0)),"")</f>
        <v/>
      </c>
      <c r="AW86" s="500" t="str">
        <f>IF(ISNUMBER(AW$68),INDEX('Patient &amp; HCW Summary'!$D$13:$BD$14,2,MATCH(AW$68,'Patient &amp; HCW Summary'!$D$10:$BD$10,0)),"")</f>
        <v/>
      </c>
      <c r="AX86" s="500" t="str">
        <f>IF(ISNUMBER(AX$68),INDEX('Patient &amp; HCW Summary'!$D$13:$BD$14,2,MATCH(AX$68,'Patient &amp; HCW Summary'!$D$10:$BD$10,0)),"")</f>
        <v/>
      </c>
      <c r="AY86" s="500" t="str">
        <f>IF(ISNUMBER(AY$68),INDEX('Patient &amp; HCW Summary'!$D$13:$BD$14,2,MATCH(AY$68,'Patient &amp; HCW Summary'!$D$10:$BD$10,0)),"")</f>
        <v/>
      </c>
      <c r="AZ86" s="500" t="str">
        <f>IF(ISNUMBER(AZ$68),INDEX('Patient &amp; HCW Summary'!$D$13:$BD$14,2,MATCH(AZ$68,'Patient &amp; HCW Summary'!$D$10:$BD$10,0)),"")</f>
        <v/>
      </c>
      <c r="BA86" s="500" t="str">
        <f>IF(ISNUMBER(BA$68),INDEX('Patient &amp; HCW Summary'!$D$13:$BD$14,2,MATCH(BA$68,'Patient &amp; HCW Summary'!$D$10:$BD$10,0)),"")</f>
        <v/>
      </c>
      <c r="BB86" s="500" t="str">
        <f>IF(ISNUMBER(BB$68),INDEX('Patient &amp; HCW Summary'!$D$13:$BD$14,2,MATCH(BB$68,'Patient &amp; HCW Summary'!$D$10:$BD$10,0)),"")</f>
        <v/>
      </c>
      <c r="BC86" s="500" t="str">
        <f>IF(ISNUMBER(BC$68),INDEX('Patient &amp; HCW Summary'!$D$13:$BD$14,2,MATCH(BC$68,'Patient &amp; HCW Summary'!$D$10:$BD$10,0)),"")</f>
        <v/>
      </c>
      <c r="BD86" s="475" t="str">
        <f>IF(ISNUMBER(BD$68),INDEX('Patient &amp; HCW Summary'!$D$13:$BD$14,2,MATCH(BD$68,'Patient &amp; HCW Summary'!$D$10:$BD$10,0)),"")</f>
        <v/>
      </c>
    </row>
    <row r="87" spans="2:66" s="509" customFormat="1" x14ac:dyDescent="0.25">
      <c r="B87" s="733"/>
      <c r="C87" s="530" t="s">
        <v>1572</v>
      </c>
      <c r="D87" s="531"/>
      <c r="E87" s="532"/>
      <c r="F87" s="533">
        <f t="shared" ref="F87:K87" ca="1" si="4">ROUNDUP(SUM(F85:F86)/40,0)</f>
        <v>1</v>
      </c>
      <c r="G87" s="533">
        <f t="shared" ca="1" si="4"/>
        <v>1</v>
      </c>
      <c r="H87" s="533">
        <f t="shared" ca="1" si="4"/>
        <v>1</v>
      </c>
      <c r="I87" s="533">
        <f t="shared" ca="1" si="4"/>
        <v>1</v>
      </c>
      <c r="J87" s="533">
        <f t="shared" ca="1" si="4"/>
        <v>1</v>
      </c>
      <c r="K87" s="533">
        <f t="shared" ca="1" si="4"/>
        <v>2</v>
      </c>
      <c r="L87" s="533">
        <f t="shared" ref="L87:BD87" ca="1" si="5">ROUNDUP(SUM(L85:L86)/40,0)</f>
        <v>6</v>
      </c>
      <c r="M87" s="533">
        <f t="shared" si="5"/>
        <v>0</v>
      </c>
      <c r="N87" s="533">
        <f t="shared" si="5"/>
        <v>0</v>
      </c>
      <c r="O87" s="533">
        <f t="shared" si="5"/>
        <v>0</v>
      </c>
      <c r="P87" s="533">
        <f t="shared" si="5"/>
        <v>0</v>
      </c>
      <c r="Q87" s="533">
        <f t="shared" si="5"/>
        <v>0</v>
      </c>
      <c r="R87" s="533">
        <f t="shared" si="5"/>
        <v>0</v>
      </c>
      <c r="S87" s="533">
        <f t="shared" si="5"/>
        <v>0</v>
      </c>
      <c r="T87" s="533">
        <f t="shared" si="5"/>
        <v>0</v>
      </c>
      <c r="U87" s="533">
        <f t="shared" si="5"/>
        <v>0</v>
      </c>
      <c r="V87" s="533">
        <f t="shared" si="5"/>
        <v>0</v>
      </c>
      <c r="W87" s="533">
        <f t="shared" si="5"/>
        <v>0</v>
      </c>
      <c r="X87" s="533">
        <f t="shared" si="5"/>
        <v>0</v>
      </c>
      <c r="Y87" s="533">
        <f t="shared" si="5"/>
        <v>0</v>
      </c>
      <c r="Z87" s="533">
        <f t="shared" si="5"/>
        <v>0</v>
      </c>
      <c r="AA87" s="533">
        <f t="shared" si="5"/>
        <v>0</v>
      </c>
      <c r="AB87" s="533">
        <f t="shared" si="5"/>
        <v>0</v>
      </c>
      <c r="AC87" s="533">
        <f t="shared" si="5"/>
        <v>0</v>
      </c>
      <c r="AD87" s="533">
        <f t="shared" si="5"/>
        <v>0</v>
      </c>
      <c r="AE87" s="533">
        <f t="shared" si="5"/>
        <v>0</v>
      </c>
      <c r="AF87" s="533">
        <f t="shared" si="5"/>
        <v>0</v>
      </c>
      <c r="AG87" s="533">
        <f t="shared" si="5"/>
        <v>0</v>
      </c>
      <c r="AH87" s="533">
        <f t="shared" si="5"/>
        <v>0</v>
      </c>
      <c r="AI87" s="533">
        <f t="shared" si="5"/>
        <v>0</v>
      </c>
      <c r="AJ87" s="533">
        <f t="shared" si="5"/>
        <v>0</v>
      </c>
      <c r="AK87" s="533">
        <f t="shared" si="5"/>
        <v>0</v>
      </c>
      <c r="AL87" s="533">
        <f t="shared" si="5"/>
        <v>0</v>
      </c>
      <c r="AM87" s="533">
        <f t="shared" si="5"/>
        <v>0</v>
      </c>
      <c r="AN87" s="533">
        <f t="shared" si="5"/>
        <v>0</v>
      </c>
      <c r="AO87" s="533">
        <f t="shared" si="5"/>
        <v>0</v>
      </c>
      <c r="AP87" s="533">
        <f t="shared" si="5"/>
        <v>0</v>
      </c>
      <c r="AQ87" s="533">
        <f t="shared" si="5"/>
        <v>0</v>
      </c>
      <c r="AR87" s="533">
        <f t="shared" si="5"/>
        <v>0</v>
      </c>
      <c r="AS87" s="533">
        <f t="shared" si="5"/>
        <v>0</v>
      </c>
      <c r="AT87" s="533">
        <f t="shared" si="5"/>
        <v>0</v>
      </c>
      <c r="AU87" s="533">
        <f t="shared" si="5"/>
        <v>0</v>
      </c>
      <c r="AV87" s="533">
        <f t="shared" si="5"/>
        <v>0</v>
      </c>
      <c r="AW87" s="533">
        <f t="shared" si="5"/>
        <v>0</v>
      </c>
      <c r="AX87" s="533">
        <f t="shared" si="5"/>
        <v>0</v>
      </c>
      <c r="AY87" s="533">
        <f t="shared" si="5"/>
        <v>0</v>
      </c>
      <c r="AZ87" s="533">
        <f t="shared" si="5"/>
        <v>0</v>
      </c>
      <c r="BA87" s="533">
        <f t="shared" si="5"/>
        <v>0</v>
      </c>
      <c r="BB87" s="533">
        <f t="shared" si="5"/>
        <v>0</v>
      </c>
      <c r="BC87" s="533">
        <f t="shared" si="5"/>
        <v>0</v>
      </c>
      <c r="BD87" s="533">
        <f t="shared" si="5"/>
        <v>0</v>
      </c>
    </row>
    <row r="88" spans="2:66" x14ac:dyDescent="0.25">
      <c r="B88" s="733"/>
      <c r="C88" s="736" t="s">
        <v>1573</v>
      </c>
      <c r="D88" s="737"/>
      <c r="E88" s="738"/>
      <c r="F88" s="500">
        <f ca="1">IF(ISNUMBER(F$68),INDEX('Patient &amp; HCW Summary'!$D$16:$BD$17,1,MATCH(F$68,'Patient &amp; HCW Summary'!$D$10:$BD$10,0)),"")</f>
        <v>0.15</v>
      </c>
      <c r="G88" s="500">
        <f ca="1">IF(ISNUMBER(G$68),INDEX('Patient &amp; HCW Summary'!$D$16:$BD$17,1,MATCH(G$68,'Patient &amp; HCW Summary'!$D$10:$BD$10,0)),"")</f>
        <v>0.35453784915222863</v>
      </c>
      <c r="H88" s="500">
        <f ca="1">IF(ISNUMBER(H$68),INDEX('Patient &amp; HCW Summary'!$D$16:$BD$17,1,MATCH(H$68,'Patient &amp; HCW Summary'!$D$10:$BD$10,0)),"")</f>
        <v>1.1925184256954853</v>
      </c>
      <c r="I88" s="500">
        <f ca="1">IF(ISNUMBER(I$68),INDEX('Patient &amp; HCW Summary'!$D$16:$BD$17,1,MATCH(I$68,'Patient &amp; HCW Summary'!$D$10:$BD$10,0)),"")</f>
        <v>4.0111378771653463</v>
      </c>
      <c r="J88" s="500">
        <f ca="1">IF(ISNUMBER(J$68),INDEX('Patient &amp; HCW Summary'!$D$16:$BD$17,1,MATCH(J$68,'Patient &amp; HCW Summary'!$D$10:$BD$10,0)),"")</f>
        <v>13.491805847986939</v>
      </c>
      <c r="K88" s="500">
        <f ca="1">IF(ISNUMBER(K$68),INDEX('Patient &amp; HCW Summary'!$D$16:$BD$17,1,MATCH(K$68,'Patient &amp; HCW Summary'!$D$10:$BD$10,0)),"")</f>
        <v>45.380844691485237</v>
      </c>
      <c r="L88" s="500">
        <f ca="1">IF(ISNUMBER(L$68),INDEX('Patient &amp; HCW Summary'!$D$16:$BD$17,1,MATCH(L$68,'Patient &amp; HCW Summary'!$D$10:$BD$10,0)),"")</f>
        <v>152.64235848902217</v>
      </c>
      <c r="M88" s="500" t="str">
        <f>IF(ISNUMBER(M$68),INDEX('Patient &amp; HCW Summary'!$D$16:$BD$17,1,MATCH(M$68,'Patient &amp; HCW Summary'!$D$10:$BD$10,0)),"")</f>
        <v/>
      </c>
      <c r="N88" s="500" t="str">
        <f>IF(ISNUMBER(N$68),INDEX('Patient &amp; HCW Summary'!$D$16:$BD$17,1,MATCH(N$68,'Patient &amp; HCW Summary'!$D$10:$BD$10,0)),"")</f>
        <v/>
      </c>
      <c r="O88" s="500" t="str">
        <f>IF(ISNUMBER(O$68),INDEX('Patient &amp; HCW Summary'!$D$16:$BD$17,1,MATCH(O$68,'Patient &amp; HCW Summary'!$D$10:$BD$10,0)),"")</f>
        <v/>
      </c>
      <c r="P88" s="500" t="str">
        <f>IF(ISNUMBER(P$68),INDEX('Patient &amp; HCW Summary'!$D$16:$BD$17,1,MATCH(P$68,'Patient &amp; HCW Summary'!$D$10:$BD$10,0)),"")</f>
        <v/>
      </c>
      <c r="Q88" s="500" t="str">
        <f>IF(ISNUMBER(Q$68),INDEX('Patient &amp; HCW Summary'!$D$16:$BD$17,1,MATCH(Q$68,'Patient &amp; HCW Summary'!$D$10:$BD$10,0)),"")</f>
        <v/>
      </c>
      <c r="R88" s="500" t="str">
        <f>IF(ISNUMBER(R$68),INDEX('Patient &amp; HCW Summary'!$D$16:$BD$17,1,MATCH(R$68,'Patient &amp; HCW Summary'!$D$10:$BD$10,0)),"")</f>
        <v/>
      </c>
      <c r="S88" s="500" t="str">
        <f>IF(ISNUMBER(S$68),INDEX('Patient &amp; HCW Summary'!$D$16:$BD$17,1,MATCH(S$68,'Patient &amp; HCW Summary'!$D$10:$BD$10,0)),"")</f>
        <v/>
      </c>
      <c r="T88" s="500" t="str">
        <f>IF(ISNUMBER(T$68),INDEX('Patient &amp; HCW Summary'!$D$16:$BD$17,1,MATCH(T$68,'Patient &amp; HCW Summary'!$D$10:$BD$10,0)),"")</f>
        <v/>
      </c>
      <c r="U88" s="500" t="str">
        <f>IF(ISNUMBER(U$68),INDEX('Patient &amp; HCW Summary'!$D$16:$BD$17,1,MATCH(U$68,'Patient &amp; HCW Summary'!$D$10:$BD$10,0)),"")</f>
        <v/>
      </c>
      <c r="V88" s="500" t="str">
        <f>IF(ISNUMBER(V$68),INDEX('Patient &amp; HCW Summary'!$D$16:$BD$17,1,MATCH(V$68,'Patient &amp; HCW Summary'!$D$10:$BD$10,0)),"")</f>
        <v/>
      </c>
      <c r="W88" s="500" t="str">
        <f>IF(ISNUMBER(W$68),INDEX('Patient &amp; HCW Summary'!$D$16:$BD$17,1,MATCH(W$68,'Patient &amp; HCW Summary'!$D$10:$BD$10,0)),"")</f>
        <v/>
      </c>
      <c r="X88" s="500" t="str">
        <f>IF(ISNUMBER(X$68),INDEX('Patient &amp; HCW Summary'!$D$16:$BD$17,1,MATCH(X$68,'Patient &amp; HCW Summary'!$D$10:$BD$10,0)),"")</f>
        <v/>
      </c>
      <c r="Y88" s="500" t="str">
        <f>IF(ISNUMBER(Y$68),INDEX('Patient &amp; HCW Summary'!$D$16:$BD$17,1,MATCH(Y$68,'Patient &amp; HCW Summary'!$D$10:$BD$10,0)),"")</f>
        <v/>
      </c>
      <c r="Z88" s="500" t="str">
        <f>IF(ISNUMBER(Z$68),INDEX('Patient &amp; HCW Summary'!$D$16:$BD$17,1,MATCH(Z$68,'Patient &amp; HCW Summary'!$D$10:$BD$10,0)),"")</f>
        <v/>
      </c>
      <c r="AA88" s="500" t="str">
        <f>IF(ISNUMBER(AA$68),INDEX('Patient &amp; HCW Summary'!$D$16:$BD$17,1,MATCH(AA$68,'Patient &amp; HCW Summary'!$D$10:$BD$10,0)),"")</f>
        <v/>
      </c>
      <c r="AB88" s="500" t="str">
        <f>IF(ISNUMBER(AB$68),INDEX('Patient &amp; HCW Summary'!$D$16:$BD$17,1,MATCH(AB$68,'Patient &amp; HCW Summary'!$D$10:$BD$10,0)),"")</f>
        <v/>
      </c>
      <c r="AC88" s="500" t="str">
        <f>IF(ISNUMBER(AC$68),INDEX('Patient &amp; HCW Summary'!$D$16:$BD$17,1,MATCH(AC$68,'Patient &amp; HCW Summary'!$D$10:$BD$10,0)),"")</f>
        <v/>
      </c>
      <c r="AD88" s="500" t="str">
        <f>IF(ISNUMBER(AD$68),INDEX('Patient &amp; HCW Summary'!$D$16:$BD$17,1,MATCH(AD$68,'Patient &amp; HCW Summary'!$D$10:$BD$10,0)),"")</f>
        <v/>
      </c>
      <c r="AE88" s="500" t="str">
        <f>IF(ISNUMBER(AE$68),INDEX('Patient &amp; HCW Summary'!$D$16:$BD$17,1,MATCH(AE$68,'Patient &amp; HCW Summary'!$D$10:$BD$10,0)),"")</f>
        <v/>
      </c>
      <c r="AF88" s="500" t="str">
        <f>IF(ISNUMBER(AF$68),INDEX('Patient &amp; HCW Summary'!$D$16:$BD$17,1,MATCH(AF$68,'Patient &amp; HCW Summary'!$D$10:$BD$10,0)),"")</f>
        <v/>
      </c>
      <c r="AG88" s="500" t="str">
        <f>IF(ISNUMBER(AG$68),INDEX('Patient &amp; HCW Summary'!$D$16:$BD$17,1,MATCH(AG$68,'Patient &amp; HCW Summary'!$D$10:$BD$10,0)),"")</f>
        <v/>
      </c>
      <c r="AH88" s="500" t="str">
        <f>IF(ISNUMBER(AH$68),INDEX('Patient &amp; HCW Summary'!$D$16:$BD$17,1,MATCH(AH$68,'Patient &amp; HCW Summary'!$D$10:$BD$10,0)),"")</f>
        <v/>
      </c>
      <c r="AI88" s="500" t="str">
        <f>IF(ISNUMBER(AI$68),INDEX('Patient &amp; HCW Summary'!$D$16:$BD$17,1,MATCH(AI$68,'Patient &amp; HCW Summary'!$D$10:$BD$10,0)),"")</f>
        <v/>
      </c>
      <c r="AJ88" s="500" t="str">
        <f>IF(ISNUMBER(AJ$68),INDEX('Patient &amp; HCW Summary'!$D$16:$BD$17,1,MATCH(AJ$68,'Patient &amp; HCW Summary'!$D$10:$BD$10,0)),"")</f>
        <v/>
      </c>
      <c r="AK88" s="500" t="str">
        <f>IF(ISNUMBER(AK$68),INDEX('Patient &amp; HCW Summary'!$D$16:$BD$17,1,MATCH(AK$68,'Patient &amp; HCW Summary'!$D$10:$BD$10,0)),"")</f>
        <v/>
      </c>
      <c r="AL88" s="500" t="str">
        <f>IF(ISNUMBER(AL$68),INDEX('Patient &amp; HCW Summary'!$D$16:$BD$17,1,MATCH(AL$68,'Patient &amp; HCW Summary'!$D$10:$BD$10,0)),"")</f>
        <v/>
      </c>
      <c r="AM88" s="500" t="str">
        <f>IF(ISNUMBER(AM$68),INDEX('Patient &amp; HCW Summary'!$D$16:$BD$17,1,MATCH(AM$68,'Patient &amp; HCW Summary'!$D$10:$BD$10,0)),"")</f>
        <v/>
      </c>
      <c r="AN88" s="500" t="str">
        <f>IF(ISNUMBER(AN$68),INDEX('Patient &amp; HCW Summary'!$D$16:$BD$17,1,MATCH(AN$68,'Patient &amp; HCW Summary'!$D$10:$BD$10,0)),"")</f>
        <v/>
      </c>
      <c r="AO88" s="500" t="str">
        <f>IF(ISNUMBER(AO$68),INDEX('Patient &amp; HCW Summary'!$D$16:$BD$17,1,MATCH(AO$68,'Patient &amp; HCW Summary'!$D$10:$BD$10,0)),"")</f>
        <v/>
      </c>
      <c r="AP88" s="500" t="str">
        <f>IF(ISNUMBER(AP$68),INDEX('Patient &amp; HCW Summary'!$D$16:$BD$17,1,MATCH(AP$68,'Patient &amp; HCW Summary'!$D$10:$BD$10,0)),"")</f>
        <v/>
      </c>
      <c r="AQ88" s="500" t="str">
        <f>IF(ISNUMBER(AQ$68),INDEX('Patient &amp; HCW Summary'!$D$16:$BD$17,1,MATCH(AQ$68,'Patient &amp; HCW Summary'!$D$10:$BD$10,0)),"")</f>
        <v/>
      </c>
      <c r="AR88" s="500" t="str">
        <f>IF(ISNUMBER(AR$68),INDEX('Patient &amp; HCW Summary'!$D$16:$BD$17,1,MATCH(AR$68,'Patient &amp; HCW Summary'!$D$10:$BD$10,0)),"")</f>
        <v/>
      </c>
      <c r="AS88" s="500" t="str">
        <f>IF(ISNUMBER(AS$68),INDEX('Patient &amp; HCW Summary'!$D$16:$BD$17,1,MATCH(AS$68,'Patient &amp; HCW Summary'!$D$10:$BD$10,0)),"")</f>
        <v/>
      </c>
      <c r="AT88" s="500" t="str">
        <f>IF(ISNUMBER(AT$68),INDEX('Patient &amp; HCW Summary'!$D$16:$BD$17,1,MATCH(AT$68,'Patient &amp; HCW Summary'!$D$10:$BD$10,0)),"")</f>
        <v/>
      </c>
      <c r="AU88" s="500" t="str">
        <f>IF(ISNUMBER(AU$68),INDEX('Patient &amp; HCW Summary'!$D$16:$BD$17,1,MATCH(AU$68,'Patient &amp; HCW Summary'!$D$10:$BD$10,0)),"")</f>
        <v/>
      </c>
      <c r="AV88" s="500" t="str">
        <f>IF(ISNUMBER(AV$68),INDEX('Patient &amp; HCW Summary'!$D$16:$BD$17,1,MATCH(AV$68,'Patient &amp; HCW Summary'!$D$10:$BD$10,0)),"")</f>
        <v/>
      </c>
      <c r="AW88" s="500" t="str">
        <f>IF(ISNUMBER(AW$68),INDEX('Patient &amp; HCW Summary'!$D$16:$BD$17,1,MATCH(AW$68,'Patient &amp; HCW Summary'!$D$10:$BD$10,0)),"")</f>
        <v/>
      </c>
      <c r="AX88" s="500" t="str">
        <f>IF(ISNUMBER(AX$68),INDEX('Patient &amp; HCW Summary'!$D$16:$BD$17,1,MATCH(AX$68,'Patient &amp; HCW Summary'!$D$10:$BD$10,0)),"")</f>
        <v/>
      </c>
      <c r="AY88" s="500" t="str">
        <f>IF(ISNUMBER(AY$68),INDEX('Patient &amp; HCW Summary'!$D$16:$BD$17,1,MATCH(AY$68,'Patient &amp; HCW Summary'!$D$10:$BD$10,0)),"")</f>
        <v/>
      </c>
      <c r="AZ88" s="500" t="str">
        <f>IF(ISNUMBER(AZ$68),INDEX('Patient &amp; HCW Summary'!$D$16:$BD$17,1,MATCH(AZ$68,'Patient &amp; HCW Summary'!$D$10:$BD$10,0)),"")</f>
        <v/>
      </c>
      <c r="BA88" s="500" t="str">
        <f>IF(ISNUMBER(BA$68),INDEX('Patient &amp; HCW Summary'!$D$16:$BD$17,1,MATCH(BA$68,'Patient &amp; HCW Summary'!$D$10:$BD$10,0)),"")</f>
        <v/>
      </c>
      <c r="BB88" s="500" t="str">
        <f>IF(ISNUMBER(BB$68),INDEX('Patient &amp; HCW Summary'!$D$16:$BD$17,1,MATCH(BB$68,'Patient &amp; HCW Summary'!$D$10:$BD$10,0)),"")</f>
        <v/>
      </c>
      <c r="BC88" s="500" t="str">
        <f>IF(ISNUMBER(BC$68),INDEX('Patient &amp; HCW Summary'!$D$16:$BD$17,1,MATCH(BC$68,'Patient &amp; HCW Summary'!$D$10:$BD$10,0)),"")</f>
        <v/>
      </c>
      <c r="BD88" s="475" t="str">
        <f>IF(ISNUMBER(BD$68),INDEX('Patient &amp; HCW Summary'!$D$16:$BD$17,1,MATCH(BD$68,'Patient &amp; HCW Summary'!$D$10:$BD$10,0)),"")</f>
        <v/>
      </c>
    </row>
    <row r="89" spans="2:66" x14ac:dyDescent="0.25">
      <c r="B89" s="733"/>
      <c r="C89" s="736" t="s">
        <v>1574</v>
      </c>
      <c r="D89" s="737"/>
      <c r="E89" s="738"/>
      <c r="F89" s="500">
        <f ca="1">IF(ISNUMBER(F$68),INDEX('Patient &amp; HCW Summary'!$D$16:$BD$17,2,MATCH(F$68,'Patient &amp; HCW Summary'!$D$10:$BD$10,0)),"")</f>
        <v>0.05</v>
      </c>
      <c r="G89" s="500">
        <f ca="1">IF(ISNUMBER(G$68),INDEX('Patient &amp; HCW Summary'!$D$16:$BD$17,2,MATCH(G$68,'Patient &amp; HCW Summary'!$D$10:$BD$10,0)),"")</f>
        <v>0.16817928305074292</v>
      </c>
      <c r="H89" s="500">
        <f ca="1">IF(ISNUMBER(H$68),INDEX('Patient &amp; HCW Summary'!$D$16:$BD$17,2,MATCH(H$68,'Patient &amp; HCW Summary'!$D$10:$BD$10,0)),"")</f>
        <v>0.51568542494923797</v>
      </c>
      <c r="I89" s="500">
        <f ca="1">IF(ISNUMBER(I$68),INDEX('Patient &amp; HCW Summary'!$D$16:$BD$17,2,MATCH(I$68,'Patient &amp; HCW Summary'!$D$10:$BD$10,0)),"")</f>
        <v>1.7345521009536109</v>
      </c>
      <c r="J89" s="500">
        <f ca="1">IF(ISNUMBER(J$68),INDEX('Patient &amp; HCW Summary'!$D$16:$BD$17,2,MATCH(J$68,'Patient &amp; HCW Summary'!$D$10:$BD$10,0)),"")</f>
        <v>5.8343145750507626</v>
      </c>
      <c r="K89" s="500">
        <f ca="1">IF(ISNUMBER(K$68),INDEX('Patient &amp; HCW Summary'!$D$16:$BD$17,2,MATCH(K$68,'Patient &amp; HCW Summary'!$D$10:$BD$10,0)),"")</f>
        <v>19.624216846490725</v>
      </c>
      <c r="L89" s="500">
        <f ca="1">IF(ISNUMBER(L$68),INDEX('Patient &amp; HCW Summary'!$D$16:$BD$17,2,MATCH(L$68,'Patient &amp; HCW Summary'!$D$10:$BD$10,0)),"")</f>
        <v>66.007734393502474</v>
      </c>
      <c r="M89" s="500" t="str">
        <f>IF(ISNUMBER(M$68),INDEX('Patient &amp; HCW Summary'!$D$16:$BD$17,2,MATCH(M$68,'Patient &amp; HCW Summary'!$D$10:$BD$10,0)),"")</f>
        <v/>
      </c>
      <c r="N89" s="500" t="str">
        <f>IF(ISNUMBER(N$68),INDEX('Patient &amp; HCW Summary'!$D$16:$BD$17,2,MATCH(N$68,'Patient &amp; HCW Summary'!$D$10:$BD$10,0)),"")</f>
        <v/>
      </c>
      <c r="O89" s="500" t="str">
        <f>IF(ISNUMBER(O$68),INDEX('Patient &amp; HCW Summary'!$D$16:$BD$17,2,MATCH(O$68,'Patient &amp; HCW Summary'!$D$10:$BD$10,0)),"")</f>
        <v/>
      </c>
      <c r="P89" s="500" t="str">
        <f>IF(ISNUMBER(P$68),INDEX('Patient &amp; HCW Summary'!$D$16:$BD$17,2,MATCH(P$68,'Patient &amp; HCW Summary'!$D$10:$BD$10,0)),"")</f>
        <v/>
      </c>
      <c r="Q89" s="500" t="str">
        <f>IF(ISNUMBER(Q$68),INDEX('Patient &amp; HCW Summary'!$D$16:$BD$17,2,MATCH(Q$68,'Patient &amp; HCW Summary'!$D$10:$BD$10,0)),"")</f>
        <v/>
      </c>
      <c r="R89" s="500" t="str">
        <f>IF(ISNUMBER(R$68),INDEX('Patient &amp; HCW Summary'!$D$16:$BD$17,2,MATCH(R$68,'Patient &amp; HCW Summary'!$D$10:$BD$10,0)),"")</f>
        <v/>
      </c>
      <c r="S89" s="500" t="str">
        <f>IF(ISNUMBER(S$68),INDEX('Patient &amp; HCW Summary'!$D$16:$BD$17,2,MATCH(S$68,'Patient &amp; HCW Summary'!$D$10:$BD$10,0)),"")</f>
        <v/>
      </c>
      <c r="T89" s="500" t="str">
        <f>IF(ISNUMBER(T$68),INDEX('Patient &amp; HCW Summary'!$D$16:$BD$17,2,MATCH(T$68,'Patient &amp; HCW Summary'!$D$10:$BD$10,0)),"")</f>
        <v/>
      </c>
      <c r="U89" s="500" t="str">
        <f>IF(ISNUMBER(U$68),INDEX('Patient &amp; HCW Summary'!$D$16:$BD$17,2,MATCH(U$68,'Patient &amp; HCW Summary'!$D$10:$BD$10,0)),"")</f>
        <v/>
      </c>
      <c r="V89" s="500" t="str">
        <f>IF(ISNUMBER(V$68),INDEX('Patient &amp; HCW Summary'!$D$16:$BD$17,2,MATCH(V$68,'Patient &amp; HCW Summary'!$D$10:$BD$10,0)),"")</f>
        <v/>
      </c>
      <c r="W89" s="500" t="str">
        <f>IF(ISNUMBER(W$68),INDEX('Patient &amp; HCW Summary'!$D$16:$BD$17,2,MATCH(W$68,'Patient &amp; HCW Summary'!$D$10:$BD$10,0)),"")</f>
        <v/>
      </c>
      <c r="X89" s="500" t="str">
        <f>IF(ISNUMBER(X$68),INDEX('Patient &amp; HCW Summary'!$D$16:$BD$17,2,MATCH(X$68,'Patient &amp; HCW Summary'!$D$10:$BD$10,0)),"")</f>
        <v/>
      </c>
      <c r="Y89" s="500" t="str">
        <f>IF(ISNUMBER(Y$68),INDEX('Patient &amp; HCW Summary'!$D$16:$BD$17,2,MATCH(Y$68,'Patient &amp; HCW Summary'!$D$10:$BD$10,0)),"")</f>
        <v/>
      </c>
      <c r="Z89" s="500" t="str">
        <f>IF(ISNUMBER(Z$68),INDEX('Patient &amp; HCW Summary'!$D$16:$BD$17,2,MATCH(Z$68,'Patient &amp; HCW Summary'!$D$10:$BD$10,0)),"")</f>
        <v/>
      </c>
      <c r="AA89" s="500" t="str">
        <f>IF(ISNUMBER(AA$68),INDEX('Patient &amp; HCW Summary'!$D$16:$BD$17,2,MATCH(AA$68,'Patient &amp; HCW Summary'!$D$10:$BD$10,0)),"")</f>
        <v/>
      </c>
      <c r="AB89" s="500" t="str">
        <f>IF(ISNUMBER(AB$68),INDEX('Patient &amp; HCW Summary'!$D$16:$BD$17,2,MATCH(AB$68,'Patient &amp; HCW Summary'!$D$10:$BD$10,0)),"")</f>
        <v/>
      </c>
      <c r="AC89" s="500" t="str">
        <f>IF(ISNUMBER(AC$68),INDEX('Patient &amp; HCW Summary'!$D$16:$BD$17,2,MATCH(AC$68,'Patient &amp; HCW Summary'!$D$10:$BD$10,0)),"")</f>
        <v/>
      </c>
      <c r="AD89" s="500" t="str">
        <f>IF(ISNUMBER(AD$68),INDEX('Patient &amp; HCW Summary'!$D$16:$BD$17,2,MATCH(AD$68,'Patient &amp; HCW Summary'!$D$10:$BD$10,0)),"")</f>
        <v/>
      </c>
      <c r="AE89" s="500" t="str">
        <f>IF(ISNUMBER(AE$68),INDEX('Patient &amp; HCW Summary'!$D$16:$BD$17,2,MATCH(AE$68,'Patient &amp; HCW Summary'!$D$10:$BD$10,0)),"")</f>
        <v/>
      </c>
      <c r="AF89" s="500" t="str">
        <f>IF(ISNUMBER(AF$68),INDEX('Patient &amp; HCW Summary'!$D$16:$BD$17,2,MATCH(AF$68,'Patient &amp; HCW Summary'!$D$10:$BD$10,0)),"")</f>
        <v/>
      </c>
      <c r="AG89" s="500" t="str">
        <f>IF(ISNUMBER(AG$68),INDEX('Patient &amp; HCW Summary'!$D$16:$BD$17,2,MATCH(AG$68,'Patient &amp; HCW Summary'!$D$10:$BD$10,0)),"")</f>
        <v/>
      </c>
      <c r="AH89" s="500" t="str">
        <f>IF(ISNUMBER(AH$68),INDEX('Patient &amp; HCW Summary'!$D$16:$BD$17,2,MATCH(AH$68,'Patient &amp; HCW Summary'!$D$10:$BD$10,0)),"")</f>
        <v/>
      </c>
      <c r="AI89" s="500" t="str">
        <f>IF(ISNUMBER(AI$68),INDEX('Patient &amp; HCW Summary'!$D$16:$BD$17,2,MATCH(AI$68,'Patient &amp; HCW Summary'!$D$10:$BD$10,0)),"")</f>
        <v/>
      </c>
      <c r="AJ89" s="500" t="str">
        <f>IF(ISNUMBER(AJ$68),INDEX('Patient &amp; HCW Summary'!$D$16:$BD$17,2,MATCH(AJ$68,'Patient &amp; HCW Summary'!$D$10:$BD$10,0)),"")</f>
        <v/>
      </c>
      <c r="AK89" s="500" t="str">
        <f>IF(ISNUMBER(AK$68),INDEX('Patient &amp; HCW Summary'!$D$16:$BD$17,2,MATCH(AK$68,'Patient &amp; HCW Summary'!$D$10:$BD$10,0)),"")</f>
        <v/>
      </c>
      <c r="AL89" s="500" t="str">
        <f>IF(ISNUMBER(AL$68),INDEX('Patient &amp; HCW Summary'!$D$16:$BD$17,2,MATCH(AL$68,'Patient &amp; HCW Summary'!$D$10:$BD$10,0)),"")</f>
        <v/>
      </c>
      <c r="AM89" s="500" t="str">
        <f>IF(ISNUMBER(AM$68),INDEX('Patient &amp; HCW Summary'!$D$16:$BD$17,2,MATCH(AM$68,'Patient &amp; HCW Summary'!$D$10:$BD$10,0)),"")</f>
        <v/>
      </c>
      <c r="AN89" s="500" t="str">
        <f>IF(ISNUMBER(AN$68),INDEX('Patient &amp; HCW Summary'!$D$16:$BD$17,2,MATCH(AN$68,'Patient &amp; HCW Summary'!$D$10:$BD$10,0)),"")</f>
        <v/>
      </c>
      <c r="AO89" s="500" t="str">
        <f>IF(ISNUMBER(AO$68),INDEX('Patient &amp; HCW Summary'!$D$16:$BD$17,2,MATCH(AO$68,'Patient &amp; HCW Summary'!$D$10:$BD$10,0)),"")</f>
        <v/>
      </c>
      <c r="AP89" s="500" t="str">
        <f>IF(ISNUMBER(AP$68),INDEX('Patient &amp; HCW Summary'!$D$16:$BD$17,2,MATCH(AP$68,'Patient &amp; HCW Summary'!$D$10:$BD$10,0)),"")</f>
        <v/>
      </c>
      <c r="AQ89" s="500" t="str">
        <f>IF(ISNUMBER(AQ$68),INDEX('Patient &amp; HCW Summary'!$D$16:$BD$17,2,MATCH(AQ$68,'Patient &amp; HCW Summary'!$D$10:$BD$10,0)),"")</f>
        <v/>
      </c>
      <c r="AR89" s="500" t="str">
        <f>IF(ISNUMBER(AR$68),INDEX('Patient &amp; HCW Summary'!$D$16:$BD$17,2,MATCH(AR$68,'Patient &amp; HCW Summary'!$D$10:$BD$10,0)),"")</f>
        <v/>
      </c>
      <c r="AS89" s="500" t="str">
        <f>IF(ISNUMBER(AS$68),INDEX('Patient &amp; HCW Summary'!$D$16:$BD$17,2,MATCH(AS$68,'Patient &amp; HCW Summary'!$D$10:$BD$10,0)),"")</f>
        <v/>
      </c>
      <c r="AT89" s="500" t="str">
        <f>IF(ISNUMBER(AT$68),INDEX('Patient &amp; HCW Summary'!$D$16:$BD$17,2,MATCH(AT$68,'Patient &amp; HCW Summary'!$D$10:$BD$10,0)),"")</f>
        <v/>
      </c>
      <c r="AU89" s="500" t="str">
        <f>IF(ISNUMBER(AU$68),INDEX('Patient &amp; HCW Summary'!$D$16:$BD$17,2,MATCH(AU$68,'Patient &amp; HCW Summary'!$D$10:$BD$10,0)),"")</f>
        <v/>
      </c>
      <c r="AV89" s="500" t="str">
        <f>IF(ISNUMBER(AV$68),INDEX('Patient &amp; HCW Summary'!$D$16:$BD$17,2,MATCH(AV$68,'Patient &amp; HCW Summary'!$D$10:$BD$10,0)),"")</f>
        <v/>
      </c>
      <c r="AW89" s="500" t="str">
        <f>IF(ISNUMBER(AW$68),INDEX('Patient &amp; HCW Summary'!$D$16:$BD$17,2,MATCH(AW$68,'Patient &amp; HCW Summary'!$D$10:$BD$10,0)),"")</f>
        <v/>
      </c>
      <c r="AX89" s="500" t="str">
        <f>IF(ISNUMBER(AX$68),INDEX('Patient &amp; HCW Summary'!$D$16:$BD$17,2,MATCH(AX$68,'Patient &amp; HCW Summary'!$D$10:$BD$10,0)),"")</f>
        <v/>
      </c>
      <c r="AY89" s="500" t="str">
        <f>IF(ISNUMBER(AY$68),INDEX('Patient &amp; HCW Summary'!$D$16:$BD$17,2,MATCH(AY$68,'Patient &amp; HCW Summary'!$D$10:$BD$10,0)),"")</f>
        <v/>
      </c>
      <c r="AZ89" s="500" t="str">
        <f>IF(ISNUMBER(AZ$68),INDEX('Patient &amp; HCW Summary'!$D$16:$BD$17,2,MATCH(AZ$68,'Patient &amp; HCW Summary'!$D$10:$BD$10,0)),"")</f>
        <v/>
      </c>
      <c r="BA89" s="500" t="str">
        <f>IF(ISNUMBER(BA$68),INDEX('Patient &amp; HCW Summary'!$D$16:$BD$17,2,MATCH(BA$68,'Patient &amp; HCW Summary'!$D$10:$BD$10,0)),"")</f>
        <v/>
      </c>
      <c r="BB89" s="500" t="str">
        <f>IF(ISNUMBER(BB$68),INDEX('Patient &amp; HCW Summary'!$D$16:$BD$17,2,MATCH(BB$68,'Patient &amp; HCW Summary'!$D$10:$BD$10,0)),"")</f>
        <v/>
      </c>
      <c r="BC89" s="500" t="str">
        <f>IF(ISNUMBER(BC$68),INDEX('Patient &amp; HCW Summary'!$D$16:$BD$17,2,MATCH(BC$68,'Patient &amp; HCW Summary'!$D$10:$BD$10,0)),"")</f>
        <v/>
      </c>
      <c r="BD89" s="475" t="str">
        <f>IF(ISNUMBER(BD$68),INDEX('Patient &amp; HCW Summary'!$D$16:$BD$17,2,MATCH(BD$68,'Patient &amp; HCW Summary'!$D$10:$BD$10,0)),"")</f>
        <v/>
      </c>
    </row>
    <row r="90" spans="2:66" s="509" customFormat="1" x14ac:dyDescent="0.25">
      <c r="B90" s="734"/>
      <c r="C90" s="534" t="s">
        <v>1408</v>
      </c>
      <c r="D90" s="535"/>
      <c r="E90" s="536"/>
      <c r="F90" s="533">
        <f t="shared" ref="F90:K90" ca="1" si="6">ROUNDUP(SUM(F88:F89)/40,0)</f>
        <v>1</v>
      </c>
      <c r="G90" s="533">
        <f t="shared" ca="1" si="6"/>
        <v>1</v>
      </c>
      <c r="H90" s="533">
        <f t="shared" ca="1" si="6"/>
        <v>1</v>
      </c>
      <c r="I90" s="533">
        <f t="shared" ca="1" si="6"/>
        <v>1</v>
      </c>
      <c r="J90" s="533">
        <f t="shared" ca="1" si="6"/>
        <v>1</v>
      </c>
      <c r="K90" s="533">
        <f t="shared" ca="1" si="6"/>
        <v>2</v>
      </c>
      <c r="L90" s="533">
        <f t="shared" ref="L90:BD90" ca="1" si="7">ROUNDUP(SUM(L88:L89)/40,0)</f>
        <v>6</v>
      </c>
      <c r="M90" s="533">
        <f t="shared" si="7"/>
        <v>0</v>
      </c>
      <c r="N90" s="533">
        <f t="shared" si="7"/>
        <v>0</v>
      </c>
      <c r="O90" s="533">
        <f t="shared" si="7"/>
        <v>0</v>
      </c>
      <c r="P90" s="533">
        <f t="shared" si="7"/>
        <v>0</v>
      </c>
      <c r="Q90" s="533">
        <f t="shared" si="7"/>
        <v>0</v>
      </c>
      <c r="R90" s="533">
        <f t="shared" si="7"/>
        <v>0</v>
      </c>
      <c r="S90" s="533">
        <f t="shared" si="7"/>
        <v>0</v>
      </c>
      <c r="T90" s="533">
        <f t="shared" si="7"/>
        <v>0</v>
      </c>
      <c r="U90" s="533">
        <f t="shared" si="7"/>
        <v>0</v>
      </c>
      <c r="V90" s="533">
        <f t="shared" si="7"/>
        <v>0</v>
      </c>
      <c r="W90" s="533">
        <f t="shared" si="7"/>
        <v>0</v>
      </c>
      <c r="X90" s="533">
        <f t="shared" si="7"/>
        <v>0</v>
      </c>
      <c r="Y90" s="533">
        <f t="shared" si="7"/>
        <v>0</v>
      </c>
      <c r="Z90" s="533">
        <f t="shared" si="7"/>
        <v>0</v>
      </c>
      <c r="AA90" s="533">
        <f t="shared" si="7"/>
        <v>0</v>
      </c>
      <c r="AB90" s="533">
        <f t="shared" si="7"/>
        <v>0</v>
      </c>
      <c r="AC90" s="533">
        <f t="shared" si="7"/>
        <v>0</v>
      </c>
      <c r="AD90" s="533">
        <f t="shared" si="7"/>
        <v>0</v>
      </c>
      <c r="AE90" s="533">
        <f t="shared" si="7"/>
        <v>0</v>
      </c>
      <c r="AF90" s="533">
        <f t="shared" si="7"/>
        <v>0</v>
      </c>
      <c r="AG90" s="533">
        <f t="shared" si="7"/>
        <v>0</v>
      </c>
      <c r="AH90" s="533">
        <f t="shared" si="7"/>
        <v>0</v>
      </c>
      <c r="AI90" s="533">
        <f t="shared" si="7"/>
        <v>0</v>
      </c>
      <c r="AJ90" s="533">
        <f t="shared" si="7"/>
        <v>0</v>
      </c>
      <c r="AK90" s="533">
        <f t="shared" si="7"/>
        <v>0</v>
      </c>
      <c r="AL90" s="533">
        <f t="shared" si="7"/>
        <v>0</v>
      </c>
      <c r="AM90" s="533">
        <f t="shared" si="7"/>
        <v>0</v>
      </c>
      <c r="AN90" s="533">
        <f t="shared" si="7"/>
        <v>0</v>
      </c>
      <c r="AO90" s="533">
        <f t="shared" si="7"/>
        <v>0</v>
      </c>
      <c r="AP90" s="533">
        <f t="shared" si="7"/>
        <v>0</v>
      </c>
      <c r="AQ90" s="533">
        <f t="shared" si="7"/>
        <v>0</v>
      </c>
      <c r="AR90" s="533">
        <f t="shared" si="7"/>
        <v>0</v>
      </c>
      <c r="AS90" s="533">
        <f t="shared" si="7"/>
        <v>0</v>
      </c>
      <c r="AT90" s="533">
        <f t="shared" si="7"/>
        <v>0</v>
      </c>
      <c r="AU90" s="533">
        <f t="shared" si="7"/>
        <v>0</v>
      </c>
      <c r="AV90" s="533">
        <f t="shared" si="7"/>
        <v>0</v>
      </c>
      <c r="AW90" s="533">
        <f t="shared" si="7"/>
        <v>0</v>
      </c>
      <c r="AX90" s="533">
        <f t="shared" si="7"/>
        <v>0</v>
      </c>
      <c r="AY90" s="533">
        <f t="shared" si="7"/>
        <v>0</v>
      </c>
      <c r="AZ90" s="533">
        <f t="shared" si="7"/>
        <v>0</v>
      </c>
      <c r="BA90" s="533">
        <f t="shared" si="7"/>
        <v>0</v>
      </c>
      <c r="BB90" s="533">
        <f t="shared" si="7"/>
        <v>0</v>
      </c>
      <c r="BC90" s="533">
        <f t="shared" si="7"/>
        <v>0</v>
      </c>
      <c r="BD90" s="533">
        <f t="shared" si="7"/>
        <v>0</v>
      </c>
    </row>
    <row r="91" spans="2:66" ht="15.75" thickBot="1" x14ac:dyDescent="0.3">
      <c r="B91" s="677" t="s">
        <v>1405</v>
      </c>
      <c r="C91" s="712" t="s">
        <v>1406</v>
      </c>
      <c r="D91" s="713"/>
      <c r="E91" s="714"/>
      <c r="F91" s="528">
        <f>IF(ISNUMBER(F$68),INDEX('Patient &amp; HCW Summary'!$D$25:$BD$25,1,MATCH(F$68,'Patient &amp; HCW Summary'!$D$10:$BD$10,0)),"")</f>
        <v>1.0133333333333332</v>
      </c>
      <c r="G91" s="528">
        <f>IF(ISNUMBER(G$68),INDEX('Patient &amp; HCW Summary'!$D$25:$BD$25,1,MATCH(G$68,'Patient &amp; HCW Summary'!$D$10:$BD$10,0)),"")</f>
        <v>2.3951001364950559</v>
      </c>
      <c r="H91" s="528">
        <f>IF(ISNUMBER(H$68),INDEX('Patient &amp; HCW Summary'!$D$25:$BD$25,1,MATCH(H$68,'Patient &amp; HCW Summary'!$D$10:$BD$10,0)),"")</f>
        <v>8.0561244758095008</v>
      </c>
      <c r="I91" s="528">
        <f>IF(ISNUMBER(I$68),INDEX('Patient &amp; HCW Summary'!$D$25:$BD$25,1,MATCH(I$68,'Patient &amp; HCW Summary'!$D$10:$BD$10,0)),"")</f>
        <v>27.097464770183677</v>
      </c>
      <c r="J91" s="528">
        <f>IF(ISNUMBER(J$68),INDEX('Patient &amp; HCW Summary'!$D$25:$BD$25,1,MATCH(J$68,'Patient &amp; HCW Summary'!$D$10:$BD$10,0)),"")</f>
        <v>91.144643950845108</v>
      </c>
      <c r="K91" s="528">
        <f>IF(ISNUMBER(K$68),INDEX('Patient &amp; HCW Summary'!$D$25:$BD$25,1,MATCH(K$68,'Patient &amp; HCW Summary'!$D$10:$BD$10,0)),"")</f>
        <v>306.57281747136693</v>
      </c>
      <c r="L91" s="528">
        <f>IF(ISNUMBER(L$68),INDEX('Patient &amp; HCW Summary'!$D$25:$BD$25,1,MATCH(L$68,'Patient &amp; HCW Summary'!$D$10:$BD$10,0)),"")</f>
        <v>103.11839329036165</v>
      </c>
      <c r="M91" s="528" t="str">
        <f>IF(ISNUMBER(M$68),INDEX('Patient &amp; HCW Summary'!$D$25:$BD$25,1,MATCH(M$68,'Patient &amp; HCW Summary'!$D$10:$BD$10,0)),"")</f>
        <v/>
      </c>
      <c r="N91" s="528" t="str">
        <f>IF(ISNUMBER(N$68),INDEX('Patient &amp; HCW Summary'!$D$25:$BD$25,1,MATCH(N$68,'Patient &amp; HCW Summary'!$D$10:$BD$10,0)),"")</f>
        <v/>
      </c>
      <c r="O91" s="528" t="str">
        <f>IF(ISNUMBER(O$68),INDEX('Patient &amp; HCW Summary'!$D$25:$BD$25,1,MATCH(O$68,'Patient &amp; HCW Summary'!$D$10:$BD$10,0)),"")</f>
        <v/>
      </c>
      <c r="P91" s="528" t="str">
        <f>IF(ISNUMBER(P$68),INDEX('Patient &amp; HCW Summary'!$D$25:$BD$25,1,MATCH(P$68,'Patient &amp; HCW Summary'!$D$10:$BD$10,0)),"")</f>
        <v/>
      </c>
      <c r="Q91" s="528" t="str">
        <f>IF(ISNUMBER(Q$68),INDEX('Patient &amp; HCW Summary'!$D$25:$BD$25,1,MATCH(Q$68,'Patient &amp; HCW Summary'!$D$10:$BD$10,0)),"")</f>
        <v/>
      </c>
      <c r="R91" s="528" t="str">
        <f>IF(ISNUMBER(R$68),INDEX('Patient &amp; HCW Summary'!$D$25:$BD$25,1,MATCH(R$68,'Patient &amp; HCW Summary'!$D$10:$BD$10,0)),"")</f>
        <v/>
      </c>
      <c r="S91" s="528" t="str">
        <f>IF(ISNUMBER(S$68),INDEX('Patient &amp; HCW Summary'!$D$25:$BD$25,1,MATCH(S$68,'Patient &amp; HCW Summary'!$D$10:$BD$10,0)),"")</f>
        <v/>
      </c>
      <c r="T91" s="528" t="str">
        <f>IF(ISNUMBER(T$68),INDEX('Patient &amp; HCW Summary'!$D$25:$BD$25,1,MATCH(T$68,'Patient &amp; HCW Summary'!$D$10:$BD$10,0)),"")</f>
        <v/>
      </c>
      <c r="U91" s="528" t="str">
        <f>IF(ISNUMBER(U$68),INDEX('Patient &amp; HCW Summary'!$D$25:$BD$25,1,MATCH(U$68,'Patient &amp; HCW Summary'!$D$10:$BD$10,0)),"")</f>
        <v/>
      </c>
      <c r="V91" s="528" t="str">
        <f>IF(ISNUMBER(V$68),INDEX('Patient &amp; HCW Summary'!$D$25:$BD$25,1,MATCH(V$68,'Patient &amp; HCW Summary'!$D$10:$BD$10,0)),"")</f>
        <v/>
      </c>
      <c r="W91" s="528" t="str">
        <f>IF(ISNUMBER(W$68),INDEX('Patient &amp; HCW Summary'!$D$25:$BD$25,1,MATCH(W$68,'Patient &amp; HCW Summary'!$D$10:$BD$10,0)),"")</f>
        <v/>
      </c>
      <c r="X91" s="528" t="str">
        <f>IF(ISNUMBER(X$68),INDEX('Patient &amp; HCW Summary'!$D$25:$BD$25,1,MATCH(X$68,'Patient &amp; HCW Summary'!$D$10:$BD$10,0)),"")</f>
        <v/>
      </c>
      <c r="Y91" s="528" t="str">
        <f>IF(ISNUMBER(Y$68),INDEX('Patient &amp; HCW Summary'!$D$25:$BD$25,1,MATCH(Y$68,'Patient &amp; HCW Summary'!$D$10:$BD$10,0)),"")</f>
        <v/>
      </c>
      <c r="Z91" s="528" t="str">
        <f>IF(ISNUMBER(Z$68),INDEX('Patient &amp; HCW Summary'!$D$25:$BD$25,1,MATCH(Z$68,'Patient &amp; HCW Summary'!$D$10:$BD$10,0)),"")</f>
        <v/>
      </c>
      <c r="AA91" s="528" t="str">
        <f>IF(ISNUMBER(AA$68),INDEX('Patient &amp; HCW Summary'!$D$25:$BD$25,1,MATCH(AA$68,'Patient &amp; HCW Summary'!$D$10:$BD$10,0)),"")</f>
        <v/>
      </c>
      <c r="AB91" s="528" t="str">
        <f>IF(ISNUMBER(AB$68),INDEX('Patient &amp; HCW Summary'!$D$25:$BD$25,1,MATCH(AB$68,'Patient &amp; HCW Summary'!$D$10:$BD$10,0)),"")</f>
        <v/>
      </c>
      <c r="AC91" s="528" t="str">
        <f>IF(ISNUMBER(AC$68),INDEX('Patient &amp; HCW Summary'!$D$25:$BD$25,1,MATCH(AC$68,'Patient &amp; HCW Summary'!$D$10:$BD$10,0)),"")</f>
        <v/>
      </c>
      <c r="AD91" s="528" t="str">
        <f>IF(ISNUMBER(AD$68),INDEX('Patient &amp; HCW Summary'!$D$25:$BD$25,1,MATCH(AD$68,'Patient &amp; HCW Summary'!$D$10:$BD$10,0)),"")</f>
        <v/>
      </c>
      <c r="AE91" s="528" t="str">
        <f>IF(ISNUMBER(AE$68),INDEX('Patient &amp; HCW Summary'!$D$25:$BD$25,1,MATCH(AE$68,'Patient &amp; HCW Summary'!$D$10:$BD$10,0)),"")</f>
        <v/>
      </c>
      <c r="AF91" s="528" t="str">
        <f>IF(ISNUMBER(AF$68),INDEX('Patient &amp; HCW Summary'!$D$25:$BD$25,1,MATCH(AF$68,'Patient &amp; HCW Summary'!$D$10:$BD$10,0)),"")</f>
        <v/>
      </c>
      <c r="AG91" s="528" t="str">
        <f>IF(ISNUMBER(AG$68),INDEX('Patient &amp; HCW Summary'!$D$25:$BD$25,1,MATCH(AG$68,'Patient &amp; HCW Summary'!$D$10:$BD$10,0)),"")</f>
        <v/>
      </c>
      <c r="AH91" s="528" t="str">
        <f>IF(ISNUMBER(AH$68),INDEX('Patient &amp; HCW Summary'!$D$25:$BD$25,1,MATCH(AH$68,'Patient &amp; HCW Summary'!$D$10:$BD$10,0)),"")</f>
        <v/>
      </c>
      <c r="AI91" s="528" t="str">
        <f>IF(ISNUMBER(AI$68),INDEX('Patient &amp; HCW Summary'!$D$25:$BD$25,1,MATCH(AI$68,'Patient &amp; HCW Summary'!$D$10:$BD$10,0)),"")</f>
        <v/>
      </c>
      <c r="AJ91" s="528" t="str">
        <f>IF(ISNUMBER(AJ$68),INDEX('Patient &amp; HCW Summary'!$D$25:$BD$25,1,MATCH(AJ$68,'Patient &amp; HCW Summary'!$D$10:$BD$10,0)),"")</f>
        <v/>
      </c>
      <c r="AK91" s="528" t="str">
        <f>IF(ISNUMBER(AK$68),INDEX('Patient &amp; HCW Summary'!$D$25:$BD$25,1,MATCH(AK$68,'Patient &amp; HCW Summary'!$D$10:$BD$10,0)),"")</f>
        <v/>
      </c>
      <c r="AL91" s="528" t="str">
        <f>IF(ISNUMBER(AL$68),INDEX('Patient &amp; HCW Summary'!$D$25:$BD$25,1,MATCH(AL$68,'Patient &amp; HCW Summary'!$D$10:$BD$10,0)),"")</f>
        <v/>
      </c>
      <c r="AM91" s="528" t="str">
        <f>IF(ISNUMBER(AM$68),INDEX('Patient &amp; HCW Summary'!$D$25:$BD$25,1,MATCH(AM$68,'Patient &amp; HCW Summary'!$D$10:$BD$10,0)),"")</f>
        <v/>
      </c>
      <c r="AN91" s="528" t="str">
        <f>IF(ISNUMBER(AN$68),INDEX('Patient &amp; HCW Summary'!$D$25:$BD$25,1,MATCH(AN$68,'Patient &amp; HCW Summary'!$D$10:$BD$10,0)),"")</f>
        <v/>
      </c>
      <c r="AO91" s="528" t="str">
        <f>IF(ISNUMBER(AO$68),INDEX('Patient &amp; HCW Summary'!$D$25:$BD$25,1,MATCH(AO$68,'Patient &amp; HCW Summary'!$D$10:$BD$10,0)),"")</f>
        <v/>
      </c>
      <c r="AP91" s="528" t="str">
        <f>IF(ISNUMBER(AP$68),INDEX('Patient &amp; HCW Summary'!$D$25:$BD$25,1,MATCH(AP$68,'Patient &amp; HCW Summary'!$D$10:$BD$10,0)),"")</f>
        <v/>
      </c>
      <c r="AQ91" s="528" t="str">
        <f>IF(ISNUMBER(AQ$68),INDEX('Patient &amp; HCW Summary'!$D$25:$BD$25,1,MATCH(AQ$68,'Patient &amp; HCW Summary'!$D$10:$BD$10,0)),"")</f>
        <v/>
      </c>
      <c r="AR91" s="528" t="str">
        <f>IF(ISNUMBER(AR$68),INDEX('Patient &amp; HCW Summary'!$D$25:$BD$25,1,MATCH(AR$68,'Patient &amp; HCW Summary'!$D$10:$BD$10,0)),"")</f>
        <v/>
      </c>
      <c r="AS91" s="528" t="str">
        <f>IF(ISNUMBER(AS$68),INDEX('Patient &amp; HCW Summary'!$D$25:$BD$25,1,MATCH(AS$68,'Patient &amp; HCW Summary'!$D$10:$BD$10,0)),"")</f>
        <v/>
      </c>
      <c r="AT91" s="528" t="str">
        <f>IF(ISNUMBER(AT$68),INDEX('Patient &amp; HCW Summary'!$D$25:$BD$25,1,MATCH(AT$68,'Patient &amp; HCW Summary'!$D$10:$BD$10,0)),"")</f>
        <v/>
      </c>
      <c r="AU91" s="528" t="str">
        <f>IF(ISNUMBER(AU$68),INDEX('Patient &amp; HCW Summary'!$D$25:$BD$25,1,MATCH(AU$68,'Patient &amp; HCW Summary'!$D$10:$BD$10,0)),"")</f>
        <v/>
      </c>
      <c r="AV91" s="528" t="str">
        <f>IF(ISNUMBER(AV$68),INDEX('Patient &amp; HCW Summary'!$D$25:$BD$25,1,MATCH(AV$68,'Patient &amp; HCW Summary'!$D$10:$BD$10,0)),"")</f>
        <v/>
      </c>
      <c r="AW91" s="528" t="str">
        <f>IF(ISNUMBER(AW$68),INDEX('Patient &amp; HCW Summary'!$D$25:$BD$25,1,MATCH(AW$68,'Patient &amp; HCW Summary'!$D$10:$BD$10,0)),"")</f>
        <v/>
      </c>
      <c r="AX91" s="528" t="str">
        <f>IF(ISNUMBER(AX$68),INDEX('Patient &amp; HCW Summary'!$D$25:$BD$25,1,MATCH(AX$68,'Patient &amp; HCW Summary'!$D$10:$BD$10,0)),"")</f>
        <v/>
      </c>
      <c r="AY91" s="528" t="str">
        <f>IF(ISNUMBER(AY$68),INDEX('Patient &amp; HCW Summary'!$D$25:$BD$25,1,MATCH(AY$68,'Patient &amp; HCW Summary'!$D$10:$BD$10,0)),"")</f>
        <v/>
      </c>
      <c r="AZ91" s="528" t="str">
        <f>IF(ISNUMBER(AZ$68),INDEX('Patient &amp; HCW Summary'!$D$25:$BD$25,1,MATCH(AZ$68,'Patient &amp; HCW Summary'!$D$10:$BD$10,0)),"")</f>
        <v/>
      </c>
      <c r="BA91" s="528" t="str">
        <f>IF(ISNUMBER(BA$68),INDEX('Patient &amp; HCW Summary'!$D$25:$BD$25,1,MATCH(BA$68,'Patient &amp; HCW Summary'!$D$10:$BD$10,0)),"")</f>
        <v/>
      </c>
      <c r="BB91" s="528" t="str">
        <f>IF(ISNUMBER(BB$68),INDEX('Patient &amp; HCW Summary'!$D$25:$BD$25,1,MATCH(BB$68,'Patient &amp; HCW Summary'!$D$10:$BD$10,0)),"")</f>
        <v/>
      </c>
      <c r="BC91" s="528" t="str">
        <f>IF(ISNUMBER(BC$68),INDEX('Patient &amp; HCW Summary'!$D$25:$BD$25,1,MATCH(BC$68,'Patient &amp; HCW Summary'!$D$10:$BD$10,0)),"")</f>
        <v/>
      </c>
      <c r="BD91" s="529" t="str">
        <f>IF(ISNUMBER(BD$68),INDEX('Patient &amp; HCW Summary'!$D$25:$BD$25,1,MATCH(BD$68,'Patient &amp; HCW Summary'!$D$10:$BD$10,0)),"")</f>
        <v/>
      </c>
    </row>
    <row r="94" spans="2:66" s="412" customFormat="1" ht="17.25" x14ac:dyDescent="0.3">
      <c r="B94" s="413" t="s">
        <v>896</v>
      </c>
      <c r="C94" s="414"/>
    </row>
    <row r="95" spans="2:66" ht="15.75" thickBot="1" x14ac:dyDescent="0.3">
      <c r="G95" t="s">
        <v>1586</v>
      </c>
    </row>
    <row r="96" spans="2:66" x14ac:dyDescent="0.25">
      <c r="B96" s="505" t="s">
        <v>327</v>
      </c>
      <c r="C96" s="490" t="s">
        <v>329</v>
      </c>
      <c r="D96" s="709" t="s">
        <v>328</v>
      </c>
      <c r="E96" s="710"/>
      <c r="F96" s="490" t="s">
        <v>1398</v>
      </c>
      <c r="G96" s="490" t="s">
        <v>1587</v>
      </c>
      <c r="H96" s="659" t="s">
        <v>1584</v>
      </c>
    </row>
    <row r="97" spans="2:9" x14ac:dyDescent="0.25">
      <c r="B97" s="506" t="str">
        <f>'Patient Care Equip'!B17</f>
        <v>IPC</v>
      </c>
      <c r="C97" s="507" t="str">
        <f>'Patient Care Equip'!C17</f>
        <v>Hygiene</v>
      </c>
      <c r="D97" s="702" t="str">
        <f>'Patient Care Equip'!D17</f>
        <v>Chlorine, HTH 70%</v>
      </c>
      <c r="E97" s="703"/>
      <c r="F97" s="656">
        <f ca="1">ROUNDUP(SUMIFS('Equipment Needed by Setting'!$K$16:$K$111,'Equipment Needed by Setting'!$B$16:$B$111,'User Dashboard'!$D97),0)</f>
        <v>44</v>
      </c>
      <c r="G97" s="666">
        <f>INDEX('Patient Care Equip'!$G$17:$G$74,MATCH($D97,'Patient Care Equip'!$D$17:$D$74,0))</f>
        <v>3.5</v>
      </c>
      <c r="H97" s="660">
        <f ca="1">F97*G97</f>
        <v>154</v>
      </c>
    </row>
    <row r="98" spans="2:9" x14ac:dyDescent="0.25">
      <c r="B98" s="506" t="str">
        <f>'Patient Care Equip'!B18</f>
        <v>IPC</v>
      </c>
      <c r="C98" s="507" t="str">
        <f>'Patient Care Equip'!C18</f>
        <v>Hygiene</v>
      </c>
      <c r="D98" s="702" t="str">
        <f>'Patient Care Equip'!D18</f>
        <v>Alcohol-based hand rub</v>
      </c>
      <c r="E98" s="703"/>
      <c r="F98" s="656">
        <f ca="1">ROUNDUP(SUMIFS('Equipment Needed by Setting'!$K$16:$K$111,'Equipment Needed by Setting'!$B$16:$B$111,'User Dashboard'!$D98),0)</f>
        <v>389</v>
      </c>
      <c r="G98" s="666">
        <f>INDEX('Patient Care Equip'!$G$17:$G$74,MATCH($D98,'Patient Care Equip'!$D$17:$D$74,0))</f>
        <v>8.3000000000000007</v>
      </c>
      <c r="H98" s="660">
        <f t="shared" ref="H98:H155" ca="1" si="8">F98*G98</f>
        <v>3228.7000000000003</v>
      </c>
    </row>
    <row r="99" spans="2:9" x14ac:dyDescent="0.25">
      <c r="B99" s="506" t="str">
        <f>'Patient Care Equip'!B19</f>
        <v>IPC</v>
      </c>
      <c r="C99" s="507" t="str">
        <f>'Patient Care Equip'!C19</f>
        <v>Hygiene</v>
      </c>
      <c r="D99" s="702" t="str">
        <f>'Patient Care Equip'!D19</f>
        <v>Liquid soap</v>
      </c>
      <c r="E99" s="703"/>
      <c r="F99" s="656">
        <f ca="1">ROUNDUP(SUMIFS('Equipment Needed by Setting'!$K$16:$K$111,'Equipment Needed by Setting'!$B$16:$B$111,'User Dashboard'!$D99),0)</f>
        <v>71</v>
      </c>
      <c r="G99" s="666">
        <f>INDEX('Patient Care Equip'!$G$17:$G$74,MATCH($D99,'Patient Care Equip'!$D$17:$D$74,0))</f>
        <v>0.9</v>
      </c>
      <c r="H99" s="660">
        <f t="shared" ca="1" si="8"/>
        <v>63.9</v>
      </c>
    </row>
    <row r="100" spans="2:9" x14ac:dyDescent="0.25">
      <c r="B100" s="506" t="str">
        <f>'Patient Care Equip'!B20</f>
        <v>IPC</v>
      </c>
      <c r="C100" s="507" t="str">
        <f>'Patient Care Equip'!C20</f>
        <v>PPE</v>
      </c>
      <c r="D100" s="702" t="str">
        <f>'Patient Care Equip'!D20</f>
        <v>Gown, protective</v>
      </c>
      <c r="E100" s="703"/>
      <c r="F100" s="656">
        <f ca="1">ROUNDUP(SUMIFS('Equipment Needed by Setting'!$K$16:$K$111,'Equipment Needed by Setting'!$B$16:$B$111,'User Dashboard'!$D100),0)</f>
        <v>4532</v>
      </c>
      <c r="G100" s="666">
        <f>INDEX('Patient Care Equip'!$G$17:$G$74,MATCH($D100,'Patient Care Equip'!$D$17:$D$74,0))</f>
        <v>0.8</v>
      </c>
      <c r="H100" s="660">
        <f t="shared" ca="1" si="8"/>
        <v>3625.6000000000004</v>
      </c>
    </row>
    <row r="101" spans="2:9" x14ac:dyDescent="0.25">
      <c r="B101" s="506" t="str">
        <f>'Patient Care Equip'!B21</f>
        <v>IPC</v>
      </c>
      <c r="C101" s="507" t="str">
        <f>'Patient Care Equip'!C21</f>
        <v>PPE</v>
      </c>
      <c r="D101" s="702" t="str">
        <f>'Patient Care Equip'!D21</f>
        <v>Scrubs, tops</v>
      </c>
      <c r="E101" s="703"/>
      <c r="F101" s="656">
        <f ca="1">ROUNDUP(SUMIFS('Equipment Needed by Setting'!$K$16:$K$111,'Equipment Needed by Setting'!$B$16:$B$111,'User Dashboard'!$D101),0)</f>
        <v>269</v>
      </c>
      <c r="G101" s="666">
        <f>INDEX('Patient Care Equip'!$G$17:$G$74,MATCH($D101,'Patient Care Equip'!$D$17:$D$74,0))</f>
        <v>2.6</v>
      </c>
      <c r="H101" s="660">
        <f t="shared" ca="1" si="8"/>
        <v>699.4</v>
      </c>
    </row>
    <row r="102" spans="2:9" x14ac:dyDescent="0.25">
      <c r="B102" s="506" t="str">
        <f>'Patient Care Equip'!B22</f>
        <v>IPC</v>
      </c>
      <c r="C102" s="507" t="str">
        <f>'Patient Care Equip'!C22</f>
        <v>PPE</v>
      </c>
      <c r="D102" s="702" t="str">
        <f>'Patient Care Equip'!D22</f>
        <v>Scrubs, pants</v>
      </c>
      <c r="E102" s="703"/>
      <c r="F102" s="656">
        <f ca="1">ROUNDUP(SUMIFS('Equipment Needed by Setting'!$K$16:$K$111,'Equipment Needed by Setting'!$B$16:$B$111,'User Dashboard'!$D102),0)</f>
        <v>269</v>
      </c>
      <c r="G102" s="666">
        <f>INDEX('Patient Care Equip'!$G$17:$G$74,MATCH($D102,'Patient Care Equip'!$D$17:$D$74,0))</f>
        <v>2.6</v>
      </c>
      <c r="H102" s="660">
        <f t="shared" ca="1" si="8"/>
        <v>699.4</v>
      </c>
    </row>
    <row r="103" spans="2:9" x14ac:dyDescent="0.25">
      <c r="B103" s="506" t="str">
        <f>'Patient Care Equip'!B23</f>
        <v>IPC</v>
      </c>
      <c r="C103" s="507" t="str">
        <f>'Patient Care Equip'!C23</f>
        <v>PPE</v>
      </c>
      <c r="D103" s="702" t="str">
        <f>'Patient Care Equip'!D23</f>
        <v>Apron, disposable</v>
      </c>
      <c r="E103" s="703"/>
      <c r="F103" s="656">
        <f ca="1">ROUNDUP(SUMIFS('Equipment Needed by Setting'!$K$16:$K$111,'Equipment Needed by Setting'!$B$16:$B$111,'User Dashboard'!$D103),0)</f>
        <v>2552</v>
      </c>
      <c r="G103" s="666">
        <f>INDEX('Patient Care Equip'!$G$17:$G$74,MATCH($D103,'Patient Care Equip'!$D$17:$D$74,0))</f>
        <v>0.2</v>
      </c>
      <c r="H103" s="660">
        <f t="shared" ca="1" si="8"/>
        <v>510.40000000000003</v>
      </c>
    </row>
    <row r="104" spans="2:9" x14ac:dyDescent="0.25">
      <c r="B104" s="506" t="str">
        <f>'Patient Care Equip'!B24</f>
        <v>IPC</v>
      </c>
      <c r="C104" s="507" t="str">
        <f>'Patient Care Equip'!C24</f>
        <v>PPE</v>
      </c>
      <c r="D104" s="702" t="str">
        <f>'Patient Care Equip'!D24</f>
        <v>Apron, heavy duty, reusable</v>
      </c>
      <c r="E104" s="703"/>
      <c r="F104" s="656">
        <f ca="1">ROUNDUP(SUMIFS('Equipment Needed by Setting'!$K$16:$K$111,'Equipment Needed by Setting'!$B$16:$B$111,'User Dashboard'!$D104),0)</f>
        <v>88</v>
      </c>
      <c r="G104" s="666">
        <f>INDEX('Patient Care Equip'!$G$17:$G$74,MATCH($D104,'Patient Care Equip'!$D$17:$D$74,0))</f>
        <v>4</v>
      </c>
      <c r="H104" s="660">
        <f t="shared" ca="1" si="8"/>
        <v>352</v>
      </c>
    </row>
    <row r="105" spans="2:9" x14ac:dyDescent="0.25">
      <c r="B105" s="506" t="str">
        <f>'Patient Care Equip'!B25</f>
        <v>IPC</v>
      </c>
      <c r="C105" s="507" t="str">
        <f>'Patient Care Equip'!C25</f>
        <v>PPE</v>
      </c>
      <c r="D105" s="702" t="str">
        <f>'Patient Care Equip'!D25</f>
        <v>Gum boots</v>
      </c>
      <c r="E105" s="703"/>
      <c r="F105" s="656">
        <f ca="1">ROUNDUP(SUMIFS('Equipment Needed by Setting'!$K$16:$K$111,'Equipment Needed by Setting'!$B$16:$B$111,'User Dashboard'!$D105),0)</f>
        <v>88</v>
      </c>
      <c r="G105" s="666">
        <f>INDEX('Patient Care Equip'!$G$17:$G$74,MATCH($D105,'Patient Care Equip'!$D$17:$D$74,0))</f>
        <v>4.5999999999999996</v>
      </c>
      <c r="H105" s="660">
        <f t="shared" ca="1" si="8"/>
        <v>404.79999999999995</v>
      </c>
    </row>
    <row r="106" spans="2:9" x14ac:dyDescent="0.25">
      <c r="B106" s="506" t="str">
        <f>'Patient Care Equip'!B26</f>
        <v>IPC</v>
      </c>
      <c r="C106" s="507" t="str">
        <f>'Patient Care Equip'!C26</f>
        <v>Diagnostics</v>
      </c>
      <c r="D106" s="702" t="str">
        <f>'Patient Care Equip'!D26</f>
        <v>Triple packaging boxes</v>
      </c>
      <c r="E106" s="703"/>
      <c r="F106" s="656">
        <f ca="1">ROUNDUP(INDEX('Staff &amp; Infra Assumptions'!$G$68:$G$74,MATCH($D106,'Staff &amp; Infra Assumptions'!$B$68:$B$74,0)),0)</f>
        <v>24</v>
      </c>
      <c r="G106" s="666">
        <f>INDEX('Patient Care Equip'!$G$17:$G$74,MATCH($D106,'Patient Care Equip'!$D$17:$D$74,0))</f>
        <v>30</v>
      </c>
      <c r="H106" s="660">
        <f t="shared" ca="1" si="8"/>
        <v>720</v>
      </c>
    </row>
    <row r="107" spans="2:9" ht="15" customHeight="1" x14ac:dyDescent="0.25">
      <c r="B107" s="506" t="str">
        <f>'Patient Care Equip'!B27</f>
        <v>IPC</v>
      </c>
      <c r="C107" s="507" t="str">
        <f>'Patient Care Equip'!C27</f>
        <v>Diagnostics</v>
      </c>
      <c r="D107" s="702" t="str">
        <f>'Patient Care Equip'!D27</f>
        <v>Viral Transport Medium</v>
      </c>
      <c r="E107" s="703"/>
      <c r="F107" s="656">
        <f>ROUNDUP(INDEX('Staff &amp; Infra Assumptions'!$G$68:$G$74,MATCH($D107,'Staff &amp; Infra Assumptions'!$B$68:$B$74,0)),0)</f>
        <v>2892</v>
      </c>
      <c r="G107" s="666">
        <f>INDEX('Patient Care Equip'!$G$17:$G$74,MATCH($D107,'Patient Care Equip'!$D$17:$D$74,0))</f>
        <v>0.7</v>
      </c>
      <c r="H107" s="660">
        <f t="shared" si="8"/>
        <v>2024.3999999999999</v>
      </c>
    </row>
    <row r="108" spans="2:9" x14ac:dyDescent="0.25">
      <c r="B108" s="506" t="str">
        <f>'Patient Care Equip'!B28</f>
        <v>IPC</v>
      </c>
      <c r="C108" s="507" t="str">
        <f>'Patient Care Equip'!C28</f>
        <v>Diagnostics</v>
      </c>
      <c r="D108" s="702" t="str">
        <f>'Patient Care Equip'!D28</f>
        <v>Safety box</v>
      </c>
      <c r="E108" s="703"/>
      <c r="F108" s="656">
        <f ca="1">ROUNDUP(INDEX('Staff &amp; Infra Assumptions'!$G$68:$G$74,MATCH($D108,'Staff &amp; Infra Assumptions'!$B$68:$B$74,0)),0)</f>
        <v>104</v>
      </c>
      <c r="G108" s="666">
        <f>INDEX('Patient Care Equip'!$G$17:$G$74,MATCH($D108,'Patient Care Equip'!$D$17:$D$74,0))</f>
        <v>0.8</v>
      </c>
      <c r="H108" s="660">
        <f t="shared" ca="1" si="8"/>
        <v>83.2</v>
      </c>
    </row>
    <row r="109" spans="2:9" x14ac:dyDescent="0.25">
      <c r="B109" s="506" t="str">
        <f>'Patient Care Equip'!B29</f>
        <v>IPC</v>
      </c>
      <c r="C109" s="507" t="str">
        <f>'Patient Care Equip'!C29</f>
        <v>Diagnostics</v>
      </c>
      <c r="D109" s="702" t="str">
        <f>'Patient Care Equip'!D29</f>
        <v>Lab extraction kit (250 extractions)</v>
      </c>
      <c r="E109" s="703"/>
      <c r="F109" s="656">
        <f>ROUNDUP(INDEX('Staff &amp; Infra Assumptions'!$G$68:$G$74,MATCH($D109,'Staff &amp; Infra Assumptions'!$B$68:$B$74,0)),0)</f>
        <v>13</v>
      </c>
      <c r="G109" s="666">
        <f>INDEX('Patient Care Equip'!$G$17:$G$74,MATCH($D109,'Patient Care Equip'!$D$17:$D$74,0))</f>
        <v>960</v>
      </c>
      <c r="H109" s="660">
        <f t="shared" si="8"/>
        <v>12480</v>
      </c>
      <c r="I109" s="509" t="str">
        <f>CONCATENATE("Note that this includes ",'Patient &amp; Testing Assumptions'!$C$39*100,"% wastage within forecast quantities")</f>
        <v>Note that this includes 10% wastage within forecast quantities</v>
      </c>
    </row>
    <row r="110" spans="2:9" x14ac:dyDescent="0.25">
      <c r="B110" s="506" t="str">
        <f>'Patient Care Equip'!B30</f>
        <v>IPC</v>
      </c>
      <c r="C110" s="507" t="str">
        <f>'Patient Care Equip'!C30</f>
        <v>Diagnostics</v>
      </c>
      <c r="D110" s="702" t="str">
        <f>'Patient Care Equip'!D30</f>
        <v>Lab screening test kit (94 tests)</v>
      </c>
      <c r="E110" s="703"/>
      <c r="F110" s="656">
        <f>ROUNDUP(INDEX('Staff &amp; Infra Assumptions'!$G$68:$G$74,MATCH($D110,'Staff &amp; Infra Assumptions'!$B$68:$B$74,0)),0)</f>
        <v>34</v>
      </c>
      <c r="G110" s="666">
        <f>INDEX('Patient Care Equip'!$G$17:$G$74,MATCH($D110,'Patient Care Equip'!$D$17:$D$74,0))</f>
        <v>140</v>
      </c>
      <c r="H110" s="660">
        <f t="shared" si="8"/>
        <v>4760</v>
      </c>
      <c r="I110" s="509" t="str">
        <f>CONCATENATE("Note that this includes ",'Patient &amp; Testing Assumptions'!$C$39*100,"% wastage within forecast quantities")</f>
        <v>Note that this includes 10% wastage within forecast quantities</v>
      </c>
    </row>
    <row r="111" spans="2:9" x14ac:dyDescent="0.25">
      <c r="B111" s="506" t="str">
        <f>'Patient Care Equip'!B31</f>
        <v>IPC</v>
      </c>
      <c r="C111" s="507" t="str">
        <f>'Patient Care Equip'!C31</f>
        <v>Diagnostics</v>
      </c>
      <c r="D111" s="702" t="str">
        <f>'Patient Care Equip'!D31</f>
        <v>Lab confirmation test kit (94 tests)</v>
      </c>
      <c r="E111" s="703"/>
      <c r="F111" s="656">
        <f>ROUNDUP(INDEX('Staff &amp; Infra Assumptions'!$G$68:$G$74,MATCH($D111,'Staff &amp; Infra Assumptions'!$B$68:$B$74,0)),0)</f>
        <v>34</v>
      </c>
      <c r="G111" s="666">
        <f>INDEX('Patient Care Equip'!$G$17:$G$74,MATCH($D111,'Patient Care Equip'!$D$17:$D$74,0))</f>
        <v>80</v>
      </c>
      <c r="H111" s="660">
        <f t="shared" si="8"/>
        <v>2720</v>
      </c>
      <c r="I111" s="509" t="str">
        <f>CONCATENATE("Note that this includes ",'Patient &amp; Testing Assumptions'!$C$39*100,"% wastage within forecast quantities")</f>
        <v>Note that this includes 10% wastage within forecast quantities</v>
      </c>
    </row>
    <row r="112" spans="2:9" x14ac:dyDescent="0.25">
      <c r="B112" s="506" t="str">
        <f>'Patient Care Equip'!B32</f>
        <v>IPC</v>
      </c>
      <c r="C112" s="507" t="str">
        <f>'Patient Care Equip'!C32</f>
        <v>Diagnostics</v>
      </c>
      <c r="D112" s="702" t="str">
        <f>'Patient Care Equip'!D32</f>
        <v>RT-PCR kit (100 tests)</v>
      </c>
      <c r="E112" s="703"/>
      <c r="F112" s="656">
        <f>ROUNDUP(INDEX('Staff &amp; Infra Assumptions'!$G$68:$G$74,MATCH($D112,'Staff &amp; Infra Assumptions'!$B$68:$B$74,0)),0)</f>
        <v>32</v>
      </c>
      <c r="G112" s="666">
        <f>INDEX('Patient Care Equip'!$G$17:$G$74,MATCH($D112,'Patient Care Equip'!$D$17:$D$74,0))</f>
        <v>260</v>
      </c>
      <c r="H112" s="660">
        <f t="shared" si="8"/>
        <v>8320</v>
      </c>
      <c r="I112" s="509" t="str">
        <f>CONCATENATE("Note that this includes ",'Patient &amp; Testing Assumptions'!$C$39*100,"% wastage within forecast quantities")</f>
        <v>Note that this includes 10% wastage within forecast quantities</v>
      </c>
    </row>
    <row r="113" spans="2:9" x14ac:dyDescent="0.25">
      <c r="B113" s="506" t="str">
        <f>'Patient Care Equip'!B33</f>
        <v>IPC</v>
      </c>
      <c r="C113" s="507" t="str">
        <f>'Patient Care Equip'!C33</f>
        <v>Hygiene</v>
      </c>
      <c r="D113" s="702" t="str">
        <f>'Patient Care Equip'!D33</f>
        <v>Bio-hazardous bag</v>
      </c>
      <c r="E113" s="703"/>
      <c r="F113" s="656">
        <f ca="1">ROUNDUP(SUMIFS('Equipment Needed by Setting'!$K$16:$K$111,'Equipment Needed by Setting'!$B$16:$B$111,'User Dashboard'!$D113),0)</f>
        <v>2071</v>
      </c>
      <c r="G113" s="666">
        <f>INDEX('Patient Care Equip'!$G$17:$G$74,MATCH($D113,'Patient Care Equip'!$D$17:$D$74,0))</f>
        <v>0.15</v>
      </c>
      <c r="H113" s="660">
        <f t="shared" ca="1" si="8"/>
        <v>310.64999999999998</v>
      </c>
    </row>
    <row r="114" spans="2:9" x14ac:dyDescent="0.25">
      <c r="B114" s="506" t="str">
        <f>'Patient Care Equip'!B34</f>
        <v>IPC</v>
      </c>
      <c r="C114" s="507" t="str">
        <f>'Patient Care Equip'!C34</f>
        <v>PPE</v>
      </c>
      <c r="D114" s="702" t="str">
        <f>'Patient Care Equip'!D34</f>
        <v>Gloves, heavy duty</v>
      </c>
      <c r="E114" s="703"/>
      <c r="F114" s="656">
        <f ca="1">ROUNDUP(SUMIFS('Equipment Needed by Setting'!$K$16:$K$111,'Equipment Needed by Setting'!$B$16:$B$111,'User Dashboard'!$D114),0)</f>
        <v>88</v>
      </c>
      <c r="G114" s="666">
        <f>INDEX('Patient Care Equip'!$G$17:$G$74,MATCH($D114,'Patient Care Equip'!$D$17:$D$74,0))</f>
        <v>1.8</v>
      </c>
      <c r="H114" s="660">
        <f t="shared" ca="1" si="8"/>
        <v>158.4</v>
      </c>
    </row>
    <row r="115" spans="2:9" x14ac:dyDescent="0.25">
      <c r="B115" s="506" t="str">
        <f>'Patient Care Equip'!B35</f>
        <v>IPC</v>
      </c>
      <c r="C115" s="507" t="str">
        <f>'Patient Care Equip'!C35</f>
        <v>PPE</v>
      </c>
      <c r="D115" s="702" t="str">
        <f>'Patient Care Equip'!D35</f>
        <v>Gloves, examination</v>
      </c>
      <c r="E115" s="703"/>
      <c r="F115" s="656">
        <f ca="1">ROUNDUP(SUMIFS('Equipment Needed by Setting'!$K$16:$K$111,'Equipment Needed by Setting'!$B$16:$B$111,'User Dashboard'!$D115),0)</f>
        <v>69393</v>
      </c>
      <c r="G115" s="666">
        <f>INDEX('Patient Care Equip'!$G$17:$G$74,MATCH($D115,'Patient Care Equip'!$D$17:$D$74,0))</f>
        <v>0.06</v>
      </c>
      <c r="H115" s="660">
        <f t="shared" ca="1" si="8"/>
        <v>4163.58</v>
      </c>
    </row>
    <row r="116" spans="2:9" x14ac:dyDescent="0.25">
      <c r="B116" s="506" t="str">
        <f>'Patient Care Equip'!B36</f>
        <v>IPC</v>
      </c>
      <c r="C116" s="507" t="str">
        <f>'Patient Care Equip'!C36</f>
        <v>PPE</v>
      </c>
      <c r="D116" s="702" t="str">
        <f>'Patient Care Equip'!D36</f>
        <v>Gloves, surgical</v>
      </c>
      <c r="E116" s="703"/>
      <c r="F116" s="656">
        <f ca="1">ROUNDUP(SUMIFS('Equipment Needed by Setting'!$K$16:$K$111,'Equipment Needed by Setting'!$B$16:$B$111,'User Dashboard'!$D116),0)</f>
        <v>2490</v>
      </c>
      <c r="G116" s="666">
        <f>INDEX('Patient Care Equip'!$G$17:$G$74,MATCH($D116,'Patient Care Equip'!$D$17:$D$74,0))</f>
        <v>0.4</v>
      </c>
      <c r="H116" s="660">
        <f t="shared" ca="1" si="8"/>
        <v>996</v>
      </c>
    </row>
    <row r="117" spans="2:9" x14ac:dyDescent="0.25">
      <c r="B117" s="506" t="str">
        <f>'Patient Care Equip'!B37</f>
        <v>IPC</v>
      </c>
      <c r="C117" s="507" t="str">
        <f>'Patient Care Equip'!C37</f>
        <v>PPE</v>
      </c>
      <c r="D117" s="702" t="str">
        <f>'Patient Care Equip'!D37</f>
        <v>Goggles, protective</v>
      </c>
      <c r="E117" s="703"/>
      <c r="F117" s="656">
        <f ca="1">ROUNDUP(SUMIFS('Equipment Needed by Setting'!$K$16:$K$111,'Equipment Needed by Setting'!$B$16:$B$111,'User Dashboard'!$D117),0)</f>
        <v>185</v>
      </c>
      <c r="G117" s="666">
        <f>INDEX('Patient Care Equip'!$G$17:$G$74,MATCH($D117,'Patient Care Equip'!$D$17:$D$74,0))</f>
        <v>2.8</v>
      </c>
      <c r="H117" s="660">
        <f t="shared" ca="1" si="8"/>
        <v>518</v>
      </c>
    </row>
    <row r="118" spans="2:9" x14ac:dyDescent="0.25">
      <c r="B118" s="506" t="str">
        <f>'Patient Care Equip'!B38</f>
        <v>IPC</v>
      </c>
      <c r="C118" s="507" t="str">
        <f>'Patient Care Equip'!C38</f>
        <v>PPE</v>
      </c>
      <c r="D118" s="702" t="str">
        <f>'Patient Care Equip'!D38</f>
        <v>Face shield</v>
      </c>
      <c r="E118" s="703"/>
      <c r="F118" s="656">
        <f ca="1">ROUNDUP(SUMIFS('Equipment Needed by Setting'!$K$16:$K$111,'Equipment Needed by Setting'!$B$16:$B$111,'User Dashboard'!$D118),0)</f>
        <v>2580</v>
      </c>
      <c r="G118" s="666">
        <f>INDEX('Patient Care Equip'!$G$17:$G$74,MATCH($D118,'Patient Care Equip'!$D$17:$D$74,0))</f>
        <v>0.6</v>
      </c>
      <c r="H118" s="660">
        <f t="shared" ca="1" si="8"/>
        <v>1548</v>
      </c>
    </row>
    <row r="119" spans="2:9" x14ac:dyDescent="0.25">
      <c r="B119" s="506" t="str">
        <f>'Patient Care Equip'!B39</f>
        <v>IPC</v>
      </c>
      <c r="C119" s="507" t="str">
        <f>'Patient Care Equip'!C39</f>
        <v>PPE</v>
      </c>
      <c r="D119" s="702" t="str">
        <f>'Patient Care Equip'!D39</f>
        <v>Mask, particulate respirator</v>
      </c>
      <c r="E119" s="703"/>
      <c r="F119" s="656">
        <f ca="1">ROUNDUP(SUMIFS('Equipment Needed by Setting'!$K$16:$K$111,'Equipment Needed by Setting'!$B$16:$B$111,'User Dashboard'!$D119),0)</f>
        <v>4979</v>
      </c>
      <c r="G119" s="666">
        <f>INDEX('Patient Care Equip'!$G$17:$G$74,MATCH($D119,'Patient Care Equip'!$D$17:$D$74,0))</f>
        <v>1.5</v>
      </c>
      <c r="H119" s="660">
        <f t="shared" ca="1" si="8"/>
        <v>7468.5</v>
      </c>
    </row>
    <row r="120" spans="2:9" x14ac:dyDescent="0.25">
      <c r="B120" s="506" t="str">
        <f>B121</f>
        <v>IPC</v>
      </c>
      <c r="C120" s="507" t="str">
        <f>C121</f>
        <v>PPE</v>
      </c>
      <c r="D120" s="702" t="s">
        <v>323</v>
      </c>
      <c r="E120" s="703"/>
      <c r="F120" s="656">
        <f ca="1">SUM(F121:F122)</f>
        <v>47850</v>
      </c>
      <c r="G120" s="666">
        <f>INDEX('Patient Care Equip'!$G$17:$G$74,MATCH($D120,'Patient Care Equip'!$D$17:$D$74,0))</f>
        <v>0.7</v>
      </c>
      <c r="H120" s="660">
        <f t="shared" ca="1" si="8"/>
        <v>33495</v>
      </c>
      <c r="I120" s="510" t="s">
        <v>1569</v>
      </c>
    </row>
    <row r="121" spans="2:9" hidden="1" outlineLevel="1" x14ac:dyDescent="0.25">
      <c r="B121" s="644" t="str">
        <f>'Patient Care Equip'!B40</f>
        <v>IPC</v>
      </c>
      <c r="C121" s="645" t="str">
        <f>'Patient Care Equip'!C40</f>
        <v>PPE</v>
      </c>
      <c r="D121" s="704" t="str">
        <f>'Patient Care Equip'!D40</f>
        <v>Mask, medical</v>
      </c>
      <c r="E121" s="705"/>
      <c r="F121" s="657">
        <f ca="1">ROUNDUP(SUMIFS('Equipment Needed by Setting'!$K$16:$K$111,'Equipment Needed by Setting'!$B$16:$B$111,'User Dashboard'!$D121),0)</f>
        <v>29635</v>
      </c>
      <c r="G121" s="666">
        <f>INDEX('Patient Care Equip'!$G$17:$G$74,MATCH($D121,'Patient Care Equip'!$D$17:$D$74,0))</f>
        <v>0.7</v>
      </c>
      <c r="H121" s="660">
        <f t="shared" ca="1" si="8"/>
        <v>20744.5</v>
      </c>
      <c r="I121" s="508"/>
    </row>
    <row r="122" spans="2:9" hidden="1" outlineLevel="1" x14ac:dyDescent="0.25">
      <c r="B122" s="644" t="str">
        <f>'Patient Care Equip'!B41</f>
        <v>IPC</v>
      </c>
      <c r="C122" s="645" t="str">
        <f>'Patient Care Equip'!C41</f>
        <v>PPE</v>
      </c>
      <c r="D122" s="704" t="str">
        <f>'Patient Care Equip'!D41</f>
        <v>Mask, medical patient</v>
      </c>
      <c r="E122" s="705"/>
      <c r="F122" s="657">
        <f ca="1">ROUNDUP(SUMIFS('Equipment Needed by Setting'!$K$16:$K$111,'Equipment Needed by Setting'!$B$16:$B$111,'User Dashboard'!$D122),0)</f>
        <v>18215</v>
      </c>
      <c r="G122" s="666">
        <f>INDEX('Patient Care Equip'!$G$17:$G$74,MATCH($D122,'Patient Care Equip'!$D$17:$D$74,0))</f>
        <v>0.7</v>
      </c>
      <c r="H122" s="660">
        <f t="shared" ca="1" si="8"/>
        <v>12750.5</v>
      </c>
    </row>
    <row r="123" spans="2:9" ht="29.25" customHeight="1" collapsed="1" x14ac:dyDescent="0.25">
      <c r="B123" s="506" t="str">
        <f>'Patient Care Equip'!B42</f>
        <v>Case management</v>
      </c>
      <c r="C123" s="507" t="str">
        <f>'Patient Care Equip'!C42</f>
        <v>Drugs and consumables</v>
      </c>
      <c r="D123" s="700" t="str">
        <f>'Patient Care Equip'!D42</f>
        <v>Drugs modules 40 patients (severe + critical)</v>
      </c>
      <c r="E123" s="700"/>
      <c r="F123" s="656">
        <f>(Total_severe_cases_for_period+Total_critical_cases_for_period)/NumberOfBeds_per_centre</f>
        <v>7.2407734393502476</v>
      </c>
      <c r="G123" s="666">
        <f>INDEX('Patient Care Equip'!$G$17:$G$74,MATCH($D123,'Patient Care Equip'!$D$17:$D$74,0))</f>
        <v>8000</v>
      </c>
      <c r="H123" s="660">
        <f t="shared" si="8"/>
        <v>57926.187514801983</v>
      </c>
      <c r="I123" s="510" t="s">
        <v>1162</v>
      </c>
    </row>
    <row r="124" spans="2:9" ht="31.5" customHeight="1" x14ac:dyDescent="0.25">
      <c r="B124" s="506" t="str">
        <f>'Patient Care Equip'!B43</f>
        <v>Case management</v>
      </c>
      <c r="C124" s="507" t="str">
        <f>'Patient Care Equip'!C43</f>
        <v>Drugs and consumables</v>
      </c>
      <c r="D124" s="700" t="str">
        <f>'Patient Care Equip'!D43</f>
        <v>Medical supply, consumables, 40 patients (severe + critical)</v>
      </c>
      <c r="E124" s="700"/>
      <c r="F124" s="656">
        <f>(Total_admitted_capped_critical_patients+Total_admitted_capped_severe_patients)/NumberOfBeds_per_centre</f>
        <v>7.2407734393502476</v>
      </c>
      <c r="G124" s="666">
        <f>INDEX('Patient Care Equip'!$G$17:$G$74,MATCH($D124,'Patient Care Equip'!$D$17:$D$74,0))</f>
        <v>1800</v>
      </c>
      <c r="H124" s="660">
        <f t="shared" si="8"/>
        <v>13033.392190830446</v>
      </c>
      <c r="I124" s="510" t="s">
        <v>1163</v>
      </c>
    </row>
    <row r="125" spans="2:9" ht="31.9" customHeight="1" x14ac:dyDescent="0.25">
      <c r="B125" s="506" t="str">
        <f>'Patient Care Equip'!B44</f>
        <v>Case management</v>
      </c>
      <c r="C125" s="507" t="str">
        <f>'Patient Care Equip'!C44</f>
        <v>Biomedical Equipment</v>
      </c>
      <c r="D125" s="706" t="str">
        <f>'Patient Care Equip'!D44</f>
        <v>Patient monitor, multiparametric w/o ECG, with accessories</v>
      </c>
      <c r="E125" s="706"/>
      <c r="F125" s="656">
        <f ca="1">ROUNDUP(SUMIFS('Equipment Needed by Setting'!$K$16:$K$111,'Equipment Needed by Setting'!$B$16:$B$111,'User Dashboard'!$D125),0)</f>
        <v>153</v>
      </c>
      <c r="G125" s="666">
        <f>INDEX('Patient Care Equip'!$G$17:$G$74,MATCH($D125,'Patient Care Equip'!$D$17:$D$74,0))</f>
        <v>2990</v>
      </c>
      <c r="H125" s="660">
        <f t="shared" ca="1" si="8"/>
        <v>457470</v>
      </c>
    </row>
    <row r="126" spans="2:9" x14ac:dyDescent="0.25">
      <c r="B126" s="506" t="str">
        <f>'Patient Care Equip'!B45</f>
        <v>Case management</v>
      </c>
      <c r="C126" s="507" t="str">
        <f>'Patient Care Equip'!C45</f>
        <v>Biomedical Equipment</v>
      </c>
      <c r="D126" s="702" t="str">
        <f>'Patient Care Equip'!D45</f>
        <v>Pulse oximeter - fingertip</v>
      </c>
      <c r="E126" s="703"/>
      <c r="F126" s="656">
        <f ca="1">ROUNDUP(SUMIFS('Equipment Needed by Setting'!$K$16:$K$111,'Equipment Needed by Setting'!$B$16:$B$111,'User Dashboard'!$D126),0)</f>
        <v>175</v>
      </c>
      <c r="G126" s="666">
        <f>INDEX('Patient Care Equip'!$G$17:$G$74,MATCH($D126,'Patient Care Equip'!$D$17:$D$74,0))</f>
        <v>25</v>
      </c>
      <c r="H126" s="660">
        <f t="shared" ca="1" si="8"/>
        <v>4375</v>
      </c>
    </row>
    <row r="127" spans="2:9" ht="19.899999999999999" customHeight="1" x14ac:dyDescent="0.25">
      <c r="B127" s="506" t="str">
        <f>'Patient Care Equip'!B46</f>
        <v>Case management</v>
      </c>
      <c r="C127" s="507" t="str">
        <f>'Patient Care Equip'!C46</f>
        <v>Biomedical Equipment</v>
      </c>
      <c r="D127" s="706" t="str">
        <f>'Patient Care Equip'!D46</f>
        <v>Concentrator O2, 10 L, with accessories</v>
      </c>
      <c r="E127" s="706"/>
      <c r="F127" s="656">
        <f ca="1">ROUNDUP(SUMIFS('Equipment Needed by Setting'!$K$16:$K$111,'Equipment Needed by Setting'!$B$16:$B$111,'User Dashboard'!$D127),0)</f>
        <v>219</v>
      </c>
      <c r="G127" s="666">
        <f>INDEX('Patient Care Equip'!$G$17:$G$74,MATCH($D127,'Patient Care Equip'!$D$17:$D$74,0))</f>
        <v>1600</v>
      </c>
      <c r="H127" s="660">
        <f t="shared" ca="1" si="8"/>
        <v>350400</v>
      </c>
    </row>
    <row r="128" spans="2:9" x14ac:dyDescent="0.25">
      <c r="B128" s="506" t="str">
        <f>'Patient Care Equip'!B47</f>
        <v>Case management</v>
      </c>
      <c r="C128" s="507" t="str">
        <f>'Patient Care Equip'!C47</f>
        <v>Biomedical Equipment</v>
      </c>
      <c r="D128" s="702" t="str">
        <f>'Patient Care Equip'!D47</f>
        <v>O2 need (m3)</v>
      </c>
      <c r="E128" s="703"/>
      <c r="F128" s="656">
        <f ca="1">'Oxygen Use Assumptions'!$D$29</f>
        <v>4093.1358132102323</v>
      </c>
      <c r="G128" s="666">
        <f>INDEX('Patient Care Equip'!$G$17:$G$74,MATCH($D128,'Patient Care Equip'!$D$17:$D$74,0))</f>
        <v>0</v>
      </c>
      <c r="H128" s="660">
        <f t="shared" ca="1" si="8"/>
        <v>0</v>
      </c>
    </row>
    <row r="129" spans="2:9" x14ac:dyDescent="0.25">
      <c r="B129" s="506" t="str">
        <f>'Patient Care Equip'!B48</f>
        <v>Case management</v>
      </c>
      <c r="C129" s="507" t="str">
        <f>'Patient Care Equip'!C48</f>
        <v>Biomedical Equipment</v>
      </c>
      <c r="D129" s="700" t="str">
        <f>'Patient Care Equip'!D48</f>
        <v>Flowmeter, Thorpe tube, for pipe oxygen 0-15L/min</v>
      </c>
      <c r="E129" s="700"/>
      <c r="F129" s="656">
        <f ca="1">ROUNDUP(SUMIFS('Equipment Needed by Setting'!$K$16:$K$111,'Equipment Needed by Setting'!$B$16:$B$111,'User Dashboard'!$D129),0)</f>
        <v>67</v>
      </c>
      <c r="G129" s="666">
        <f>INDEX('Patient Care Equip'!$G$17:$G$74,MATCH($D129,'Patient Care Equip'!$D$17:$D$74,0))</f>
        <v>250</v>
      </c>
      <c r="H129" s="660">
        <f t="shared" ca="1" si="8"/>
        <v>16750</v>
      </c>
    </row>
    <row r="130" spans="2:9" x14ac:dyDescent="0.25">
      <c r="B130" s="506" t="str">
        <f>'Patient Care Equip'!B49</f>
        <v>Case management</v>
      </c>
      <c r="C130" s="507" t="str">
        <f>'Patient Care Equip'!C49</f>
        <v>Biomedical Equipment</v>
      </c>
      <c r="D130" s="706" t="str">
        <f>'Patient Care Equip'!D49</f>
        <v>CPAP, for neonate, with accessories</v>
      </c>
      <c r="E130" s="706"/>
      <c r="F130" s="656">
        <f ca="1">ROUNDUP(SUMIFS('Equipment Needed by Setting'!$K$16:$K$111,'Equipment Needed by Setting'!$B$16:$B$111,'User Dashboard'!$D130),0)</f>
        <v>3</v>
      </c>
      <c r="G130" s="666">
        <f>INDEX('Patient Care Equip'!$G$17:$G$74,MATCH($D130,'Patient Care Equip'!$D$17:$D$74,0))</f>
        <v>1800</v>
      </c>
      <c r="H130" s="660">
        <f t="shared" ca="1" si="8"/>
        <v>5400</v>
      </c>
    </row>
    <row r="131" spans="2:9" x14ac:dyDescent="0.25">
      <c r="B131" s="506" t="str">
        <f>'Patient Care Equip'!B50</f>
        <v>Case management</v>
      </c>
      <c r="C131" s="507" t="str">
        <f>'Patient Care Equip'!C50</f>
        <v>Biomedical Equipment</v>
      </c>
      <c r="D131" s="702" t="str">
        <f>'Patient Care Equip'!D50</f>
        <v>CPAP, for adult, with accessories</v>
      </c>
      <c r="E131" s="703"/>
      <c r="F131" s="656">
        <f ca="1">ROUNDUP(SUMIFS('Equipment Needed by Setting'!$K$16:$K$111,'Equipment Needed by Setting'!$B$16:$B$111,'User Dashboard'!$D131),0)</f>
        <v>18</v>
      </c>
      <c r="G131" s="666">
        <f>INDEX('Patient Care Equip'!$G$17:$G$74,MATCH($D131,'Patient Care Equip'!$D$17:$D$74,0))</f>
        <v>2500</v>
      </c>
      <c r="H131" s="660">
        <f t="shared" ca="1" si="8"/>
        <v>45000</v>
      </c>
    </row>
    <row r="132" spans="2:9" ht="27.6" customHeight="1" x14ac:dyDescent="0.25">
      <c r="B132" s="506" t="str">
        <f>'Patient Care Equip'!B51</f>
        <v>Case management</v>
      </c>
      <c r="C132" s="507" t="str">
        <f>'Patient Care Equip'!C51</f>
        <v>Biomedical Equipment</v>
      </c>
      <c r="D132" s="700" t="str">
        <f>'Patient Care Equip'!D51</f>
        <v>Suction pump, manual</v>
      </c>
      <c r="E132" s="700"/>
      <c r="F132" s="656">
        <f ca="1">ROUNDUP(SUMIFS('Equipment Needed by Setting'!$K$16:$K$111,'Equipment Needed by Setting'!$B$16:$B$111,'User Dashboard'!$D132),0)</f>
        <v>11</v>
      </c>
      <c r="G132" s="666">
        <f>INDEX('Patient Care Equip'!$G$17:$G$74,MATCH($D132,'Patient Care Equip'!$D$17:$D$74,0))</f>
        <v>2800</v>
      </c>
      <c r="H132" s="660">
        <f t="shared" ca="1" si="8"/>
        <v>30800</v>
      </c>
    </row>
    <row r="133" spans="2:9" ht="28.35" customHeight="1" x14ac:dyDescent="0.25">
      <c r="B133" s="506" t="str">
        <f>'Patient Care Equip'!B52</f>
        <v>Case management</v>
      </c>
      <c r="C133" s="507" t="str">
        <f>'Patient Care Equip'!C52</f>
        <v>Biomedical Equipment</v>
      </c>
      <c r="D133" s="700" t="str">
        <f>'Patient Care Equip'!D52</f>
        <v>Electronic drop counter, IV fluids monitor</v>
      </c>
      <c r="E133" s="700"/>
      <c r="F133" s="656">
        <f ca="1">ROUNDUP(SUMIFS('Equipment Needed by Setting'!$K$16:$K$111,'Equipment Needed by Setting'!$B$16:$B$111,'User Dashboard'!$D133),0)</f>
        <v>0</v>
      </c>
      <c r="G133" s="666">
        <f>INDEX('Patient Care Equip'!$G$17:$G$74,MATCH($D133,'Patient Care Equip'!$D$17:$D$74,0))</f>
        <v>0</v>
      </c>
      <c r="H133" s="660">
        <f t="shared" ca="1" si="8"/>
        <v>0</v>
      </c>
      <c r="I133" s="509" t="s">
        <v>1588</v>
      </c>
    </row>
    <row r="134" spans="2:9" x14ac:dyDescent="0.25">
      <c r="B134" s="506" t="str">
        <f>'Patient Care Equip'!B53</f>
        <v>Case management</v>
      </c>
      <c r="C134" s="507" t="str">
        <f>'Patient Care Equip'!C53</f>
        <v>Biomedical Equipment</v>
      </c>
      <c r="D134" s="706" t="str">
        <f>'Patient Care Equip'!D53</f>
        <v>Clinical Chemistry Analyser, portable (PoC)</v>
      </c>
      <c r="E134" s="706"/>
      <c r="F134" s="656">
        <f ca="1">ROUNDUP(SUMIFS('Equipment Needed by Setting'!$K$16:$K$111,'Equipment Needed by Setting'!$B$16:$B$111,'User Dashboard'!$D134),0)</f>
        <v>6</v>
      </c>
      <c r="G134" s="666">
        <f>INDEX('Patient Care Equip'!$G$17:$G$74,MATCH($D134,'Patient Care Equip'!$D$17:$D$74,0))</f>
        <v>480</v>
      </c>
      <c r="H134" s="660">
        <f t="shared" ca="1" si="8"/>
        <v>2880</v>
      </c>
    </row>
    <row r="135" spans="2:9" ht="45.6" customHeight="1" x14ac:dyDescent="0.25">
      <c r="B135" s="506" t="str">
        <f>'Patient Care Equip'!B54</f>
        <v>Case management</v>
      </c>
      <c r="C135" s="507" t="str">
        <f>'Patient Care Equip'!C54</f>
        <v>Biomedical Equipment</v>
      </c>
      <c r="D135" s="700" t="str">
        <f>'Patient Care Equip'!D54</f>
        <v>Patient monitor, multiparametric w/ECG, with accessories</v>
      </c>
      <c r="E135" s="700"/>
      <c r="F135" s="656">
        <f ca="1">ROUNDUP(SUMIFS('Equipment Needed by Setting'!$K$16:$K$111,'Equipment Needed by Setting'!$B$16:$B$111,'User Dashboard'!$D135),0)</f>
        <v>67</v>
      </c>
      <c r="G135" s="666">
        <f>INDEX('Patient Care Equip'!$G$17:$G$74,MATCH($D135,'Patient Care Equip'!$D$17:$D$74,0))</f>
        <v>9200</v>
      </c>
      <c r="H135" s="660">
        <f t="shared" ca="1" si="8"/>
        <v>616400</v>
      </c>
    </row>
    <row r="136" spans="2:9" ht="31.35" customHeight="1" x14ac:dyDescent="0.25">
      <c r="B136" s="506" t="str">
        <f>'Patient Care Equip'!B55</f>
        <v>Case management</v>
      </c>
      <c r="C136" s="507" t="str">
        <f>'Patient Care Equip'!C55</f>
        <v>Biomedical Equipment</v>
      </c>
      <c r="D136" s="700" t="str">
        <f>'Patient Care Equip'!D55</f>
        <v>Cricothyrotomy, set, emergency, 6 mm, sterile, single use</v>
      </c>
      <c r="E136" s="700"/>
      <c r="F136" s="656">
        <f ca="1">ROUNDUP(SUMIFS('Equipment Needed by Setting'!$K$16:$K$111,'Equipment Needed by Setting'!$B$16:$B$111,'User Dashboard'!$D136),0)</f>
        <v>6</v>
      </c>
      <c r="G136" s="666">
        <f>INDEX('Patient Care Equip'!$G$17:$G$74,MATCH($D136,'Patient Care Equip'!$D$17:$D$74,0))</f>
        <v>550</v>
      </c>
      <c r="H136" s="660">
        <f t="shared" ca="1" si="8"/>
        <v>3300</v>
      </c>
    </row>
    <row r="137" spans="2:9" ht="30" customHeight="1" x14ac:dyDescent="0.25">
      <c r="B137" s="506" t="str">
        <f>'Patient Care Equip'!B56</f>
        <v>Case management</v>
      </c>
      <c r="C137" s="507" t="str">
        <f>'Patient Care Equip'!C56</f>
        <v>Biomedical Equipment</v>
      </c>
      <c r="D137" s="700" t="str">
        <f>'Patient Care Equip'!D56</f>
        <v>Laryngoscope, FO, diameter 28 mm, w/blades</v>
      </c>
      <c r="E137" s="700"/>
      <c r="F137" s="656">
        <f ca="1">ROUNDUP(SUMIFS('Equipment Needed by Setting'!$K$16:$K$111,'Equipment Needed by Setting'!$B$16:$B$111,'User Dashboard'!$D137),0)</f>
        <v>6</v>
      </c>
      <c r="G137" s="666">
        <f>INDEX('Patient Care Equip'!$G$17:$G$74,MATCH($D137,'Patient Care Equip'!$D$17:$D$74,0))</f>
        <v>80</v>
      </c>
      <c r="H137" s="660">
        <f t="shared" ca="1" si="8"/>
        <v>480</v>
      </c>
    </row>
    <row r="138" spans="2:9" ht="32.65" customHeight="1" x14ac:dyDescent="0.25">
      <c r="B138" s="506" t="str">
        <f>'Patient Care Equip'!B57</f>
        <v>Case management</v>
      </c>
      <c r="C138" s="507" t="str">
        <f>'Patient Care Equip'!C57</f>
        <v>Biomedical Equipment</v>
      </c>
      <c r="D138" s="700" t="str">
        <f>'Patient Care Equip'!D57</f>
        <v>Laryngoscope, FO, neonate, diameter 19 mm, w/blades</v>
      </c>
      <c r="E138" s="700"/>
      <c r="F138" s="656">
        <f ca="1">ROUNDUP(SUMIFS('Equipment Needed by Setting'!$K$16:$K$111,'Equipment Needed by Setting'!$B$16:$B$111,'User Dashboard'!$D138),0)</f>
        <v>6</v>
      </c>
      <c r="G138" s="666">
        <f>INDEX('Patient Care Equip'!$G$17:$G$74,MATCH($D138,'Patient Care Equip'!$D$17:$D$74,0))</f>
        <v>120</v>
      </c>
      <c r="H138" s="660">
        <f t="shared" ca="1" si="8"/>
        <v>720</v>
      </c>
    </row>
    <row r="139" spans="2:9" ht="15" customHeight="1" x14ac:dyDescent="0.25">
      <c r="B139" s="506" t="str">
        <f>'Patient Care Equip'!B58</f>
        <v>Case management</v>
      </c>
      <c r="C139" s="507" t="str">
        <f>'Patient Care Equip'!C58</f>
        <v>Biomedical Equipment</v>
      </c>
      <c r="D139" s="700" t="str">
        <f>'Patient Care Equip'!D58</f>
        <v>Self-inflating bag, adult/child</v>
      </c>
      <c r="E139" s="700"/>
      <c r="F139" s="656">
        <f ca="1">ROUNDUP(SUMIFS('Equipment Needed by Setting'!$K$16:$K$111,'Equipment Needed by Setting'!$B$16:$B$111,'User Dashboard'!$D139),0)</f>
        <v>6</v>
      </c>
      <c r="G139" s="666">
        <f>INDEX('Patient Care Equip'!$G$17:$G$74,MATCH($D139,'Patient Care Equip'!$D$17:$D$74,0))</f>
        <v>65</v>
      </c>
      <c r="H139" s="660">
        <f t="shared" ca="1" si="8"/>
        <v>390</v>
      </c>
    </row>
    <row r="140" spans="2:9" x14ac:dyDescent="0.25">
      <c r="B140" s="506" t="str">
        <f>'Patient Care Equip'!B59</f>
        <v>Case management</v>
      </c>
      <c r="C140" s="507" t="str">
        <f>'Patient Care Equip'!C59</f>
        <v>Biomedical Equipment</v>
      </c>
      <c r="D140" s="700" t="str">
        <f>'Patient Care Equip'!D59</f>
        <v>Self-inflating bag, child/neonate</v>
      </c>
      <c r="E140" s="700"/>
      <c r="F140" s="656">
        <f ca="1">ROUNDUP(SUMIFS('Equipment Needed by Setting'!$K$16:$K$111,'Equipment Needed by Setting'!$B$16:$B$111,'User Dashboard'!$D140),0)</f>
        <v>6</v>
      </c>
      <c r="G140" s="666">
        <f>INDEX('Patient Care Equip'!$G$17:$G$74,MATCH($D140,'Patient Care Equip'!$D$17:$D$74,0))</f>
        <v>20</v>
      </c>
      <c r="H140" s="660">
        <f t="shared" ca="1" si="8"/>
        <v>120</v>
      </c>
    </row>
    <row r="141" spans="2:9" x14ac:dyDescent="0.25">
      <c r="B141" s="506" t="str">
        <f>'Patient Care Equip'!B60</f>
        <v>Case management</v>
      </c>
      <c r="C141" s="507" t="str">
        <f>'Patient Care Equip'!C60</f>
        <v>Biomedical Equipment</v>
      </c>
      <c r="D141" s="702" t="str">
        <f>'Patient Care Equip'!D60</f>
        <v>Suction bulb, for newborn, reusable, autoclavable</v>
      </c>
      <c r="E141" s="703"/>
      <c r="F141" s="656">
        <f ca="1">ROUNDUP(SUMIFS('Equipment Needed by Setting'!$K$16:$K$111,'Equipment Needed by Setting'!$B$16:$B$111,'User Dashboard'!$D141),0)</f>
        <v>6</v>
      </c>
      <c r="G141" s="666">
        <f>INDEX('Patient Care Equip'!$G$17:$G$74,MATCH($D141,'Patient Care Equip'!$D$17:$D$74,0))</f>
        <v>15</v>
      </c>
      <c r="H141" s="660">
        <f t="shared" ca="1" si="8"/>
        <v>90</v>
      </c>
    </row>
    <row r="142" spans="2:9" ht="30.6" customHeight="1" x14ac:dyDescent="0.25">
      <c r="B142" s="506" t="str">
        <f>'Patient Care Equip'!B61</f>
        <v>Case management</v>
      </c>
      <c r="C142" s="507" t="str">
        <f>'Patient Care Equip'!C61</f>
        <v>Biomedical Equipment</v>
      </c>
      <c r="D142" s="702" t="str">
        <f>'Patient Care Equip'!D61</f>
        <v>Suction pump, manual</v>
      </c>
      <c r="E142" s="703"/>
      <c r="F142" s="656">
        <f ca="1">ROUNDUP(SUMIFS('Equipment Needed by Setting'!$K$16:$K$111,'Equipment Needed by Setting'!$B$16:$B$111,'User Dashboard'!$D142),0)</f>
        <v>11</v>
      </c>
      <c r="G142" s="666">
        <f>INDEX('Patient Care Equip'!$G$17:$G$74,MATCH($D142,'Patient Care Equip'!$D$17:$D$74,0))</f>
        <v>2800</v>
      </c>
      <c r="H142" s="660">
        <f t="shared" ca="1" si="8"/>
        <v>30800</v>
      </c>
    </row>
    <row r="143" spans="2:9" ht="29.65" customHeight="1" x14ac:dyDescent="0.25">
      <c r="B143" s="506" t="str">
        <f>'Patient Care Equip'!B62</f>
        <v>Case management</v>
      </c>
      <c r="C143" s="507" t="str">
        <f>'Patient Care Equip'!C62</f>
        <v>Biomedical Equipment</v>
      </c>
      <c r="D143" s="711" t="str">
        <f>'Patient Care Equip'!D62</f>
        <v>Patient ventilator, intensive care, for adult, paediatric and neonate w/breathing circuits</v>
      </c>
      <c r="E143" s="711"/>
      <c r="F143" s="656">
        <f ca="1">ROUNDUP(SUMIFS('Equipment Needed by Setting'!$K$16:$K$111,'Equipment Needed by Setting'!$B$16:$B$111,'User Dashboard'!$D143),0)</f>
        <v>34</v>
      </c>
      <c r="G143" s="666">
        <f>INDEX('Patient Care Equip'!$G$17:$G$74,MATCH($D143,'Patient Care Equip'!$D$17:$D$74,0))</f>
        <v>7500</v>
      </c>
      <c r="H143" s="660">
        <f t="shared" ca="1" si="8"/>
        <v>255000</v>
      </c>
    </row>
    <row r="144" spans="2:9" x14ac:dyDescent="0.25">
      <c r="B144" s="506" t="str">
        <f>'Patient Care Equip'!B63</f>
        <v>Case management</v>
      </c>
      <c r="C144" s="507" t="str">
        <f>'Patient Care Equip'!C63</f>
        <v>Biomedical Equipment</v>
      </c>
      <c r="D144" s="702" t="str">
        <f>'Patient Care Equip'!D63</f>
        <v>High Flow Nasal Cannula, with accessories</v>
      </c>
      <c r="E144" s="703"/>
      <c r="F144" s="656">
        <f ca="1">ROUNDUP(SUMIFS('Equipment Needed by Setting'!$K$16:$K$111,'Equipment Needed by Setting'!$B$16:$B$111,'User Dashboard'!$D144),0)</f>
        <v>219</v>
      </c>
      <c r="G144" s="666">
        <f>INDEX('Patient Care Equip'!$G$17:$G$74,MATCH($D144,'Patient Care Equip'!$D$17:$D$74,0))</f>
        <v>30</v>
      </c>
      <c r="H144" s="660">
        <f t="shared" ca="1" si="8"/>
        <v>6570</v>
      </c>
    </row>
    <row r="145" spans="2:8" x14ac:dyDescent="0.25">
      <c r="B145" s="506" t="str">
        <f>'Patient Care Equip'!B64</f>
        <v>Case management</v>
      </c>
      <c r="C145" s="507" t="str">
        <f>'Patient Care Equip'!C64</f>
        <v>Biomedical Equipment</v>
      </c>
      <c r="D145" s="711" t="str">
        <f>'Patient Care Equip'!D64</f>
        <v>Suction pump, electrical, w/accessories</v>
      </c>
      <c r="E145" s="711"/>
      <c r="F145" s="656">
        <f ca="1">ROUNDUP(SUMIFS('Equipment Needed by Setting'!$K$16:$K$111,'Equipment Needed by Setting'!$B$16:$B$111,'User Dashboard'!$D145),0)</f>
        <v>219</v>
      </c>
      <c r="G145" s="666">
        <f>INDEX('Patient Care Equip'!$G$17:$G$74,MATCH($D145,'Patient Care Equip'!$D$17:$D$74,0))</f>
        <v>1800</v>
      </c>
      <c r="H145" s="660">
        <f t="shared" ca="1" si="8"/>
        <v>394200</v>
      </c>
    </row>
    <row r="146" spans="2:8" x14ac:dyDescent="0.25">
      <c r="B146" s="506" t="str">
        <f>'Patient Care Equip'!B65</f>
        <v>Case management</v>
      </c>
      <c r="C146" s="507" t="str">
        <f>'Patient Care Equip'!C65</f>
        <v>Biomedical Equipment</v>
      </c>
      <c r="D146" s="702" t="str">
        <f>'Patient Care Equip'!D65</f>
        <v>Infusion pump, w/accessories</v>
      </c>
      <c r="E146" s="703"/>
      <c r="F146" s="656">
        <f ca="1">ROUNDUP(SUMIFS('Equipment Needed by Setting'!$K$16:$K$111,'Equipment Needed by Setting'!$B$16:$B$111,'User Dashboard'!$D146),0)</f>
        <v>219</v>
      </c>
      <c r="G146" s="666">
        <f>INDEX('Patient Care Equip'!$G$17:$G$74,MATCH($D146,'Patient Care Equip'!$D$17:$D$74,0))</f>
        <v>1000</v>
      </c>
      <c r="H146" s="660">
        <f t="shared" ca="1" si="8"/>
        <v>219000</v>
      </c>
    </row>
    <row r="147" spans="2:8" ht="29.25" customHeight="1" x14ac:dyDescent="0.25">
      <c r="B147" s="506" t="str">
        <f>'Patient Care Equip'!B66</f>
        <v>Case management</v>
      </c>
      <c r="C147" s="507" t="str">
        <f>'Patient Care Equip'!C66</f>
        <v>Biomedical Equipment</v>
      </c>
      <c r="D147" s="711" t="str">
        <f>'Patient Care Equip'!D66</f>
        <v>Drill, for vascular access, w/accessories adult and paediatric, w/transport bag</v>
      </c>
      <c r="E147" s="711"/>
      <c r="F147" s="656">
        <f ca="1">ROUNDUP(SUMIFS('Equipment Needed by Setting'!$K$16:$K$111,'Equipment Needed by Setting'!$B$16:$B$111,'User Dashboard'!$D147),0)</f>
        <v>6</v>
      </c>
      <c r="G147" s="666">
        <f>INDEX('Patient Care Equip'!$G$17:$G$74,MATCH($D147,'Patient Care Equip'!$D$17:$D$74,0))</f>
        <v>850</v>
      </c>
      <c r="H147" s="660">
        <f t="shared" ca="1" si="8"/>
        <v>5100</v>
      </c>
    </row>
    <row r="148" spans="2:8" x14ac:dyDescent="0.25">
      <c r="B148" s="506" t="str">
        <f>'Patient Care Equip'!B67</f>
        <v>Case management</v>
      </c>
      <c r="C148" s="507" t="str">
        <f>'Patient Care Equip'!C67</f>
        <v>Biomedical Equipment</v>
      </c>
      <c r="D148" s="702" t="str">
        <f>'Patient Care Equip'!D67</f>
        <v>Defibrillator, semiautomatic, w/accessories</v>
      </c>
      <c r="E148" s="703"/>
      <c r="F148" s="656">
        <f ca="1">ROUNDUP(SUMIFS('Equipment Needed by Setting'!$K$16:$K$111,'Equipment Needed by Setting'!$B$16:$B$111,'User Dashboard'!$D148),0)</f>
        <v>6</v>
      </c>
      <c r="G148" s="666">
        <f>INDEX('Patient Care Equip'!$G$17:$G$74,MATCH($D148,'Patient Care Equip'!$D$17:$D$74,0))</f>
        <v>4600</v>
      </c>
      <c r="H148" s="660">
        <f t="shared" ca="1" si="8"/>
        <v>27600</v>
      </c>
    </row>
    <row r="149" spans="2:8" x14ac:dyDescent="0.25">
      <c r="B149" s="506" t="str">
        <f>'Patient Care Equip'!B68</f>
        <v>Case management</v>
      </c>
      <c r="C149" s="507" t="str">
        <f>'Patient Care Equip'!C68</f>
        <v>Biomedical Equipment</v>
      </c>
      <c r="D149" s="706" t="str">
        <f>'Patient Care Equip'!D68</f>
        <v>Electrocardiograph, portable, w/accessories</v>
      </c>
      <c r="E149" s="706"/>
      <c r="F149" s="656">
        <f ca="1">ROUNDUP(SUMIFS('Equipment Needed by Setting'!$K$16:$K$111,'Equipment Needed by Setting'!$B$16:$B$111,'User Dashboard'!$D149),0)</f>
        <v>6</v>
      </c>
      <c r="G149" s="666">
        <f>INDEX('Patient Care Equip'!$G$17:$G$74,MATCH($D149,'Patient Care Equip'!$D$17:$D$74,0))</f>
        <v>1450</v>
      </c>
      <c r="H149" s="660">
        <f t="shared" ca="1" si="8"/>
        <v>8700</v>
      </c>
    </row>
    <row r="150" spans="2:8" ht="31.9" customHeight="1" x14ac:dyDescent="0.25">
      <c r="B150" s="506" t="str">
        <f>'Patient Care Equip'!B69</f>
        <v>Case management</v>
      </c>
      <c r="C150" s="507" t="str">
        <f>'Patient Care Equip'!C69</f>
        <v>Biomedical Equipment</v>
      </c>
      <c r="D150" s="700" t="str">
        <f>'Patient Care Equip'!D69</f>
        <v>Ultrasound, portable, w/ transducers and trolley</v>
      </c>
      <c r="E150" s="700"/>
      <c r="F150" s="656">
        <f ca="1">ROUNDUP(SUMIFS('Equipment Needed by Setting'!$K$16:$K$111,'Equipment Needed by Setting'!$B$16:$B$111,'User Dashboard'!$D150),0)</f>
        <v>6</v>
      </c>
      <c r="G150" s="666">
        <f>INDEX('Patient Care Equip'!$G$17:$G$74,MATCH($D150,'Patient Care Equip'!$D$17:$D$74,0))</f>
        <v>8000</v>
      </c>
      <c r="H150" s="660">
        <f t="shared" ca="1" si="8"/>
        <v>48000</v>
      </c>
    </row>
    <row r="151" spans="2:8" x14ac:dyDescent="0.25">
      <c r="B151" s="506" t="str">
        <f>'Patient Care Equip'!B70</f>
        <v>Case management</v>
      </c>
      <c r="C151" s="507" t="str">
        <f>'Patient Care Equip'!C70</f>
        <v>Biomedical Equipment</v>
      </c>
      <c r="D151" s="702" t="str">
        <f>'Patient Care Equip'!D70</f>
        <v>Table, resuscitation, neonate</v>
      </c>
      <c r="E151" s="703"/>
      <c r="F151" s="656">
        <f ca="1">ROUNDUP(SUMIFS('Equipment Needed by Setting'!$K$16:$K$111,'Equipment Needed by Setting'!$B$16:$B$111,'User Dashboard'!$D151),0)</f>
        <v>6</v>
      </c>
      <c r="G151" s="666">
        <f>INDEX('Patient Care Equip'!$G$17:$G$74,MATCH($D151,'Patient Care Equip'!$D$17:$D$74,0))</f>
        <v>3500</v>
      </c>
      <c r="H151" s="660">
        <f t="shared" ca="1" si="8"/>
        <v>21000</v>
      </c>
    </row>
    <row r="152" spans="2:8" x14ac:dyDescent="0.25">
      <c r="B152" s="506" t="str">
        <f>'Patient Care Equip'!B71</f>
        <v>Case management</v>
      </c>
      <c r="C152" s="507" t="str">
        <f>'Patient Care Equip'!C71</f>
        <v>Biomedical Equipment</v>
      </c>
      <c r="D152" s="702" t="str">
        <f>'Patient Care Equip'!D71</f>
        <v xml:space="preserve">Infant scale, electronic, 0-20 kg </v>
      </c>
      <c r="E152" s="703"/>
      <c r="F152" s="656">
        <f ca="1">ROUNDUP(SUMIFS('Equipment Needed by Setting'!$K$16:$K$111,'Equipment Needed by Setting'!$B$16:$B$111,'User Dashboard'!$D152),0)</f>
        <v>6</v>
      </c>
      <c r="G152" s="666">
        <f>INDEX('Patient Care Equip'!$G$17:$G$74,MATCH($D152,'Patient Care Equip'!$D$17:$D$74,0))</f>
        <v>100</v>
      </c>
      <c r="H152" s="660">
        <f t="shared" ca="1" si="8"/>
        <v>600</v>
      </c>
    </row>
    <row r="153" spans="2:8" x14ac:dyDescent="0.25">
      <c r="B153" s="506" t="str">
        <f>'Patient Care Equip'!B72</f>
        <v>Case management</v>
      </c>
      <c r="C153" s="507" t="str">
        <f>'Patient Care Equip'!C72</f>
        <v>Biomedical Equipment</v>
      </c>
      <c r="D153" s="702" t="str">
        <f>'Patient Care Equip'!D72</f>
        <v>Scale, electronic, 50g/0-200kg</v>
      </c>
      <c r="E153" s="703"/>
      <c r="F153" s="656">
        <f ca="1">ROUNDUP(SUMIFS('Equipment Needed by Setting'!$K$16:$K$111,'Equipment Needed by Setting'!$B$16:$B$111,'User Dashboard'!$D153),0)</f>
        <v>6</v>
      </c>
      <c r="G153" s="666">
        <f>INDEX('Patient Care Equip'!$G$17:$G$74,MATCH($D153,'Patient Care Equip'!$D$17:$D$74,0))</f>
        <v>100</v>
      </c>
      <c r="H153" s="660">
        <f t="shared" ca="1" si="8"/>
        <v>600</v>
      </c>
    </row>
    <row r="154" spans="2:8" x14ac:dyDescent="0.25">
      <c r="B154" s="506" t="str">
        <f>'Patient Care Equip'!B73</f>
        <v>Case management</v>
      </c>
      <c r="C154" s="507" t="str">
        <f>'Patient Care Equip'!C73</f>
        <v>Biomedical Equipment</v>
      </c>
      <c r="D154" s="702" t="str">
        <f>'Patient Care Equip'!D73</f>
        <v>Autoclave, 40-60L, with accessories</v>
      </c>
      <c r="E154" s="703"/>
      <c r="F154" s="656">
        <f ca="1">ROUNDUP(SUMIFS('Equipment Needed by Setting'!$K$16:$K$111,'Equipment Needed by Setting'!$B$16:$B$111,'User Dashboard'!$D154),0)</f>
        <v>6</v>
      </c>
      <c r="G154" s="666">
        <f>INDEX('Patient Care Equip'!$G$17:$G$74,MATCH($D154,'Patient Care Equip'!$D$17:$D$74,0))</f>
        <v>500</v>
      </c>
      <c r="H154" s="660">
        <f t="shared" ca="1" si="8"/>
        <v>3000</v>
      </c>
    </row>
    <row r="155" spans="2:8" ht="15.75" customHeight="1" thickBot="1" x14ac:dyDescent="0.3">
      <c r="B155" s="511" t="str">
        <f>'Patient Care Equip'!B74</f>
        <v>Case management</v>
      </c>
      <c r="C155" s="512" t="str">
        <f>'Patient Care Equip'!C74</f>
        <v>Biomedical Equipment</v>
      </c>
      <c r="D155" s="707" t="str">
        <f>'Patient Care Equip'!D74</f>
        <v>Autoclave, 90L, with accessories</v>
      </c>
      <c r="E155" s="708"/>
      <c r="F155" s="658">
        <f ca="1">ROUNDUP(SUMIFS('Equipment Needed by Setting'!$K$16:$K$111,'Equipment Needed by Setting'!$B$16:$B$111,'User Dashboard'!$D155),0)</f>
        <v>6</v>
      </c>
      <c r="G155" s="667">
        <f>INDEX('Patient Care Equip'!$G$17:$G$74,MATCH($D155,'Patient Care Equip'!$D$17:$D$74,0))</f>
        <v>1200</v>
      </c>
      <c r="H155" s="661">
        <f t="shared" ca="1" si="8"/>
        <v>7200</v>
      </c>
    </row>
    <row r="156" spans="2:8" ht="15.75" thickBot="1" x14ac:dyDescent="0.3">
      <c r="D156" s="513"/>
      <c r="E156" s="513"/>
      <c r="G156" s="410"/>
    </row>
    <row r="157" spans="2:8" ht="15.75" thickBot="1" x14ac:dyDescent="0.3">
      <c r="G157" s="417" t="s">
        <v>1584</v>
      </c>
      <c r="H157" s="662">
        <f ca="1">SUM($H$97:$H$120)+SUM($H$123:$H155)</f>
        <v>2722408.5097056325</v>
      </c>
    </row>
  </sheetData>
  <sheetProtection algorithmName="SHA-512" hashValue="/M570fklqOZyIjpU0Sq25dyIkUCqpHUoPyJUsDL2A0BHocUkfrp3sIXUKhSoMKMZcBFq4QBDky29JBj8vYjRDQ==" saltValue="124iDdjc3JU5hN4YVM/Y5w==" spinCount="100000" sheet="1" objects="1" scenarios="1"/>
  <mergeCells count="78">
    <mergeCell ref="C89:E89"/>
    <mergeCell ref="C91:E91"/>
    <mergeCell ref="G21:G22"/>
    <mergeCell ref="G23:G25"/>
    <mergeCell ref="J28:K28"/>
    <mergeCell ref="J29:K29"/>
    <mergeCell ref="D35:G35"/>
    <mergeCell ref="C74:E74"/>
    <mergeCell ref="C75:E75"/>
    <mergeCell ref="C78:E78"/>
    <mergeCell ref="B71:F71"/>
    <mergeCell ref="B74:B77"/>
    <mergeCell ref="B79:B80"/>
    <mergeCell ref="B85:B90"/>
    <mergeCell ref="C85:E85"/>
    <mergeCell ref="C86:E86"/>
    <mergeCell ref="C88:E88"/>
    <mergeCell ref="D97:E97"/>
    <mergeCell ref="D98:E98"/>
    <mergeCell ref="D99:E99"/>
    <mergeCell ref="D100:E100"/>
    <mergeCell ref="D101:E101"/>
    <mergeCell ref="D102:E102"/>
    <mergeCell ref="D103:E103"/>
    <mergeCell ref="D104:E104"/>
    <mergeCell ref="D105:E105"/>
    <mergeCell ref="D106:E106"/>
    <mergeCell ref="D114:E114"/>
    <mergeCell ref="D115:E115"/>
    <mergeCell ref="D116:E116"/>
    <mergeCell ref="D107:E107"/>
    <mergeCell ref="D108:E108"/>
    <mergeCell ref="D109:E109"/>
    <mergeCell ref="D110:E110"/>
    <mergeCell ref="D111:E111"/>
    <mergeCell ref="D130:E130"/>
    <mergeCell ref="D131:E131"/>
    <mergeCell ref="D132:E132"/>
    <mergeCell ref="D133:E133"/>
    <mergeCell ref="D134:E134"/>
    <mergeCell ref="D146:E146"/>
    <mergeCell ref="D137:E137"/>
    <mergeCell ref="D138:E138"/>
    <mergeCell ref="D139:E139"/>
    <mergeCell ref="D140:E140"/>
    <mergeCell ref="D141:E141"/>
    <mergeCell ref="D155:E155"/>
    <mergeCell ref="D96:E96"/>
    <mergeCell ref="D151:E151"/>
    <mergeCell ref="D152:E152"/>
    <mergeCell ref="D153:E153"/>
    <mergeCell ref="D154:E154"/>
    <mergeCell ref="D147:E147"/>
    <mergeCell ref="D148:E148"/>
    <mergeCell ref="D149:E149"/>
    <mergeCell ref="D150:E150"/>
    <mergeCell ref="D142:E142"/>
    <mergeCell ref="D143:E143"/>
    <mergeCell ref="D144:E144"/>
    <mergeCell ref="D145:E145"/>
    <mergeCell ref="D135:E135"/>
    <mergeCell ref="D136:E136"/>
    <mergeCell ref="D129:E129"/>
    <mergeCell ref="A4:I4"/>
    <mergeCell ref="D128:E128"/>
    <mergeCell ref="D120:E120"/>
    <mergeCell ref="D121:E121"/>
    <mergeCell ref="D122:E122"/>
    <mergeCell ref="D125:E125"/>
    <mergeCell ref="D126:E126"/>
    <mergeCell ref="D117:E117"/>
    <mergeCell ref="D118:E118"/>
    <mergeCell ref="D119:E119"/>
    <mergeCell ref="D127:E127"/>
    <mergeCell ref="D123:E123"/>
    <mergeCell ref="D124:E124"/>
    <mergeCell ref="D112:E112"/>
    <mergeCell ref="D113:E113"/>
  </mergeCells>
  <conditionalFormatting sqref="E19:F19">
    <cfRule type="expression" dxfId="46" priority="38">
      <formula>IF($F$18="manual entry",TRUE,FALSE)</formula>
    </cfRule>
  </conditionalFormatting>
  <conditionalFormatting sqref="E20:F20">
    <cfRule type="expression" dxfId="45" priority="37">
      <formula>IF($F$18="manual entry",TRUE,FALSE)</formula>
    </cfRule>
  </conditionalFormatting>
  <conditionalFormatting sqref="G18">
    <cfRule type="expression" dxfId="44" priority="41">
      <formula>IF($F$18="Manual Entry",TRUE,FALSE)</formula>
    </cfRule>
  </conditionalFormatting>
  <conditionalFormatting sqref="G19:G20">
    <cfRule type="expression" dxfId="43" priority="42">
      <formula>IF($F$18="manual entry",TRUE,FALSE)</formula>
    </cfRule>
  </conditionalFormatting>
  <conditionalFormatting sqref="E27:F27">
    <cfRule type="expression" dxfId="42" priority="35">
      <formula>IF($F$20&lt;&gt;"manual",TRUE,FALSE)</formula>
    </cfRule>
  </conditionalFormatting>
  <conditionalFormatting sqref="E26:F26">
    <cfRule type="expression" dxfId="41" priority="34">
      <formula>IF($F$19&lt;&gt;"manual",TRUE,FALSE)</formula>
    </cfRule>
  </conditionalFormatting>
  <conditionalFormatting sqref="E23:F25">
    <cfRule type="expression" dxfId="40" priority="33">
      <formula>IF($F$19&lt;&gt;"combined",TRUE,FALSE)</formula>
    </cfRule>
  </conditionalFormatting>
  <conditionalFormatting sqref="E23:F26 F27:F28">
    <cfRule type="expression" dxfId="39" priority="31" stopIfTrue="1">
      <formula>IF($F$18="manual entry",TRUE,FALSE)</formula>
    </cfRule>
  </conditionalFormatting>
  <conditionalFormatting sqref="G23">
    <cfRule type="expression" dxfId="38" priority="30">
      <formula>IF($F$18="manual entry",TRUE,FALSE)</formula>
    </cfRule>
  </conditionalFormatting>
  <conditionalFormatting sqref="I19">
    <cfRule type="expression" dxfId="37" priority="28">
      <formula>IF($I$19&gt;$I$18,TRUE,FALSE)</formula>
    </cfRule>
  </conditionalFormatting>
  <conditionalFormatting sqref="B19:C19">
    <cfRule type="expression" dxfId="36" priority="25">
      <formula>IF($C$17="Manual",FALSE,TRUE)</formula>
    </cfRule>
  </conditionalFormatting>
  <conditionalFormatting sqref="G73:G80 H73:BN73">
    <cfRule type="expression" dxfId="35" priority="24">
      <formula>IF(ISNUMBER($G$68),FALSE,TRUE)</formula>
    </cfRule>
  </conditionalFormatting>
  <conditionalFormatting sqref="H74:H80">
    <cfRule type="expression" dxfId="34" priority="23">
      <formula>IF(ISNUMBER($H$68),FALSE,TRUE)</formula>
    </cfRule>
  </conditionalFormatting>
  <conditionalFormatting sqref="I74:I80">
    <cfRule type="expression" dxfId="33" priority="22">
      <formula>IF(ISNUMBER($I$68),FALSE,TRUE)</formula>
    </cfRule>
  </conditionalFormatting>
  <conditionalFormatting sqref="J74:J80">
    <cfRule type="expression" dxfId="32" priority="21">
      <formula>IF(ISNUMBER($J$68),FALSE,TRUE)</formula>
    </cfRule>
  </conditionalFormatting>
  <conditionalFormatting sqref="K74:K80">
    <cfRule type="expression" dxfId="31" priority="20">
      <formula>IF(ISNUMBER($K$68),FALSE,TRUE)</formula>
    </cfRule>
  </conditionalFormatting>
  <conditionalFormatting sqref="G74:BD80 G84:BD91 G73:BN73">
    <cfRule type="expression" dxfId="30" priority="19">
      <formula>IF(ISNUMBER(G$68),FALSE,TRUE)</formula>
    </cfRule>
  </conditionalFormatting>
  <conditionalFormatting sqref="G23">
    <cfRule type="expression" dxfId="29" priority="16">
      <formula>IF($F$19&lt;&gt;"combined",TRUE,FALSE)</formula>
    </cfRule>
  </conditionalFormatting>
  <conditionalFormatting sqref="E27">
    <cfRule type="expression" dxfId="28" priority="10" stopIfTrue="1">
      <formula>IF($F$18="manual entry",TRUE,FALSE)</formula>
    </cfRule>
  </conditionalFormatting>
  <dataValidations count="6">
    <dataValidation type="whole" allowBlank="1" showInputMessage="1" showErrorMessage="1" errorTitle="Error:" error="Must be less than or equal to &quot;Max # of weeks needed to forecast equipment (#)&quot; in cell above" sqref="I19">
      <formula1>1</formula1>
      <formula2>I18</formula2>
    </dataValidation>
    <dataValidation type="list" allowBlank="1" showInputMessage="1" showErrorMessage="1" sqref="I17">
      <formula1>$K$18:$L$18</formula1>
    </dataValidation>
    <dataValidation type="whole" operator="greaterThanOrEqual" allowBlank="1" showInputMessage="1" showErrorMessage="1" errorTitle="Please enter a positive integer" error="Please enter a positive integer" sqref="I28 C28 C30">
      <formula1>0</formula1>
    </dataValidation>
    <dataValidation type="decimal" operator="greaterThanOrEqual" allowBlank="1" showInputMessage="1" showErrorMessage="1" errorTitle="Please enter a price" error="Please enter a price greater than or equal to $0" sqref="G97:G155">
      <formula1>0</formula1>
    </dataValidation>
    <dataValidation type="decimal" operator="greaterThanOrEqual" allowBlank="1" showInputMessage="1" showErrorMessage="1" errorTitle="Please enter a % greater than 0" error="Please enter a % greater than 0" sqref="C29 I29 C31">
      <formula1>0</formula1>
    </dataValidation>
    <dataValidation type="whole" operator="greaterThanOrEqual" allowBlank="1" showInputMessage="1" showErrorMessage="1" errorTitle="Population too small" error="Please enter an integer greater than or equal to 50, for the population size" sqref="C19">
      <formula1>50</formula1>
    </dataValidation>
  </dataValidations>
  <hyperlinks>
    <hyperlink ref="G21:G22" r:id="rId1" display="Select 'Essential Only' if testing is expected be limited; select 'Everyone' if looking to test all suspected to priorized testing as defined here and severe/critical inpatients"/>
  </hyperlinks>
  <pageMargins left="0.7" right="0.7" top="0.75" bottom="0.75" header="0.3" footer="0.3"/>
  <pageSetup orientation="portrait"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5" id="{00000000-000E-0000-0300-000004000000}">
            <xm:f>IF(ROUND($I$28,0)=ROUND('Staff &amp; Infra Assumptions'!$J$21,0),FALSE,TRUE)</xm:f>
            <x14:dxf>
              <font>
                <b/>
                <i val="0"/>
                <strike val="0"/>
                <color rgb="FFFF0000"/>
              </font>
              <fill>
                <patternFill patternType="none">
                  <bgColor auto="1"/>
                </patternFill>
              </fill>
              <border>
                <left style="thin">
                  <color auto="1"/>
                </left>
                <right/>
                <top/>
                <bottom/>
              </border>
            </x14:dxf>
          </x14:cfRule>
          <xm:sqref>J28:K28</xm:sqref>
        </x14:conditionalFormatting>
        <x14:conditionalFormatting xmlns:xm="http://schemas.microsoft.com/office/excel/2006/main">
          <x14:cfRule type="expression" priority="13" id="{00000000-000E-0000-0300-000002000000}">
            <xm:f>IF(ROUND($C$30,0)=ROUND('Staff &amp; Infra Assumptions'!$C$44,0),FALSE,TRUE)</xm:f>
            <x14:dxf>
              <font>
                <b/>
                <i val="0"/>
                <color rgb="FFFF0000"/>
              </font>
              <fill>
                <patternFill>
                  <bgColor theme="0"/>
                </patternFill>
              </fill>
              <border>
                <left style="thin">
                  <color auto="1"/>
                </left>
                <right/>
                <top/>
                <bottom/>
              </border>
            </x14:dxf>
          </x14:cfRule>
          <xm:sqref>D30</xm:sqref>
        </x14:conditionalFormatting>
        <x14:conditionalFormatting xmlns:xm="http://schemas.microsoft.com/office/excel/2006/main">
          <x14:cfRule type="expression" priority="12" id="{00000000-000E-0000-0300-000001000000}">
            <xm:f>IF(ROUND($C$28,0)=ROUND('Staff &amp; Infra Assumptions'!$C$49+'Staff &amp; Infra Assumptions'!$C$50,0),FALSE,TRUE)</xm:f>
            <x14:dxf>
              <font>
                <b/>
                <i val="0"/>
                <color rgb="FFFF0000"/>
              </font>
              <fill>
                <patternFill patternType="none">
                  <bgColor auto="1"/>
                </patternFill>
              </fill>
              <border>
                <left style="thin">
                  <color auto="1"/>
                </left>
                <right/>
                <top/>
                <bottom/>
                <vertical/>
                <horizontal/>
              </border>
            </x14:dxf>
          </x14:cfRule>
          <xm:sqref>D28</xm:sqref>
        </x14:conditionalFormatting>
        <x14:conditionalFormatting xmlns:xm="http://schemas.microsoft.com/office/excel/2006/main">
          <x14:cfRule type="expression" priority="17" id="{6575FF29-47A9-4AE2-8780-A027D64E8FAD}">
            <xm:f>IF($G$71&lt;SUM('HCW &amp; Staff Summary'!$D$6:$D$7),TRUE,FALSE)</xm:f>
            <x14:dxf>
              <font>
                <color theme="0"/>
              </font>
              <fill>
                <patternFill>
                  <bgColor theme="0"/>
                </patternFill>
              </fill>
              <border>
                <left/>
                <right/>
                <top/>
                <bottom/>
                <vertical/>
                <horizontal/>
              </border>
            </x14:dxf>
          </x14:cfRule>
          <xm:sqref>B71 G71:J71</xm:sqref>
        </x14:conditionalFormatting>
        <x14:conditionalFormatting xmlns:xm="http://schemas.microsoft.com/office/excel/2006/main">
          <x14:cfRule type="expression" priority="9" id="{9D057636-7023-4197-AF4E-0B0313B0BA84}">
            <xm:f>IF(DISCLAIMER!I11=5,FALSE,TRUE)</xm:f>
            <x14:dxf>
              <font>
                <b/>
                <i val="0"/>
                <color theme="0"/>
              </font>
              <fill>
                <patternFill>
                  <bgColor rgb="FFC00000"/>
                </patternFill>
              </fill>
            </x14:dxf>
          </x14:cfRule>
          <xm:sqref>B17</xm:sqref>
        </x14:conditionalFormatting>
        <x14:conditionalFormatting xmlns:xm="http://schemas.microsoft.com/office/excel/2006/main">
          <x14:cfRule type="expression" priority="8" id="{2A63713B-E757-4083-8925-0D526D72FB32}">
            <xm:f>IF(DISCLAIMER!$I$11=5,FALSE,TRUE)</xm:f>
            <x14:dxf>
              <font>
                <color theme="0"/>
              </font>
              <fill>
                <patternFill patternType="none">
                  <bgColor auto="1"/>
                </patternFill>
              </fill>
            </x14:dxf>
          </x14:cfRule>
          <xm:sqref>C17:D17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'Patient Calc Assumptions'!$B$15:$B$21</xm:f>
          </x14:formula1>
          <xm:sqref>F19</xm:sqref>
        </x14:dataValidation>
        <x14:dataValidation type="list" allowBlank="1" showInputMessage="1" showErrorMessage="1">
          <x14:formula1>
            <xm:f>'User options'!$B$17:$B$18</xm:f>
          </x14:formula1>
          <xm:sqref>F21</xm:sqref>
        </x14:dataValidation>
        <x14:dataValidation type="list" allowBlank="1" showInputMessage="1" showErrorMessage="1">
          <x14:formula1>
            <xm:f>'User options'!$B$21:$B$25</xm:f>
          </x14:formula1>
          <xm:sqref>F20</xm:sqref>
        </x14:dataValidation>
        <x14:dataValidation type="list" allowBlank="1" showInputMessage="1" showErrorMessage="1">
          <x14:formula1>
            <xm:f>'User options'!$B$30:$B$31</xm:f>
          </x14:formula1>
          <xm:sqref>F18</xm:sqref>
        </x14:dataValidation>
        <x14:dataValidation type="list" allowBlank="1" showInputMessage="1" showErrorMessage="1">
          <x14:formula1>
            <xm:f>'Tabular Pop Data by Age'!$B$8:$B$225</xm:f>
          </x14:formula1>
          <xm:sqref>C17</xm:sqref>
        </x14:dataValidation>
        <x14:dataValidation type="whole" allowBlank="1" showErrorMessage="1" errorTitle="Error:" error="Known cumulative cases must be less than the expected total number of cases (i.e., Population * Clinical Attack Rate) and greater than 1" promptTitle="Error:">
          <x14:formula1>
            <xm:f>1</xm:f>
          </x14:formula1>
          <x14:formula2>
            <xm:f>'Patient Calc Assumptions'!C36</xm:f>
          </x14:formula2>
          <xm:sqref>F17</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2:BH271"/>
  <sheetViews>
    <sheetView showGridLines="0" topLeftCell="A7" zoomScale="87" zoomScaleNormal="87" workbookViewId="0">
      <selection activeCell="B225" sqref="B6:B225"/>
    </sheetView>
  </sheetViews>
  <sheetFormatPr defaultColWidth="8.5703125" defaultRowHeight="15" outlineLevelCol="1" x14ac:dyDescent="0.25"/>
  <cols>
    <col min="1" max="1" width="4.5703125" customWidth="1"/>
    <col min="2" max="2" width="23.5703125" customWidth="1"/>
    <col min="4" max="4" width="28.42578125" customWidth="1" outlineLevel="1"/>
    <col min="5" max="5" width="26.42578125" customWidth="1" outlineLevel="1"/>
    <col min="6" max="6" width="28.42578125" customWidth="1" outlineLevel="1"/>
    <col min="7" max="7" width="26.42578125" customWidth="1" outlineLevel="1"/>
    <col min="8" max="8" width="28.42578125" customWidth="1" outlineLevel="1"/>
    <col min="9" max="9" width="26.42578125" customWidth="1" outlineLevel="1"/>
    <col min="10" max="10" width="28.42578125" customWidth="1" outlineLevel="1"/>
    <col min="11" max="11" width="26.42578125" customWidth="1" outlineLevel="1"/>
    <col min="12" max="12" width="28.42578125" customWidth="1" outlineLevel="1"/>
    <col min="13" max="13" width="26.42578125" customWidth="1" outlineLevel="1"/>
    <col min="14" max="14" width="28.42578125" customWidth="1" outlineLevel="1"/>
    <col min="15" max="15" width="26.42578125" customWidth="1" outlineLevel="1"/>
    <col min="16" max="16" width="28.42578125" customWidth="1" outlineLevel="1"/>
    <col min="17" max="17" width="26.42578125" customWidth="1" outlineLevel="1"/>
    <col min="18" max="18" width="28.42578125" customWidth="1" outlineLevel="1"/>
    <col min="19" max="19" width="26.42578125" customWidth="1" outlineLevel="1"/>
    <col min="20" max="20" width="28.42578125" customWidth="1" outlineLevel="1"/>
    <col min="21" max="21" width="26.42578125" customWidth="1" outlineLevel="1"/>
    <col min="22" max="22" width="28.42578125" customWidth="1" outlineLevel="1"/>
    <col min="23" max="23" width="26.42578125" customWidth="1" outlineLevel="1"/>
    <col min="24" max="24" width="28.42578125" customWidth="1" outlineLevel="1"/>
    <col min="25" max="25" width="26.42578125" customWidth="1" outlineLevel="1"/>
    <col min="26" max="26" width="28.42578125" customWidth="1" outlineLevel="1"/>
    <col min="27" max="27" width="26.42578125" customWidth="1" outlineLevel="1"/>
    <col min="28" max="28" width="28.42578125" customWidth="1" outlineLevel="1"/>
    <col min="29" max="29" width="26.42578125" customWidth="1" outlineLevel="1"/>
    <col min="30" max="30" width="28.42578125" customWidth="1" outlineLevel="1"/>
    <col min="31" max="31" width="26.42578125" customWidth="1" outlineLevel="1"/>
    <col min="32" max="32" width="28.42578125" customWidth="1" outlineLevel="1"/>
    <col min="33" max="33" width="26.42578125" customWidth="1" outlineLevel="1"/>
    <col min="34" max="34" width="28.42578125" customWidth="1" outlineLevel="1"/>
    <col min="35" max="35" width="26.42578125" customWidth="1" outlineLevel="1"/>
    <col min="36" max="36" width="35.42578125" customWidth="1" outlineLevel="1"/>
    <col min="37" max="37" width="33.42578125" customWidth="1" outlineLevel="1"/>
    <col min="38" max="38" width="18.42578125" customWidth="1" outlineLevel="1"/>
    <col min="39" max="39" width="16.42578125" customWidth="1" outlineLevel="1"/>
    <col min="40" max="40" width="16" bestFit="1" customWidth="1"/>
    <col min="41" max="41" width="27.5703125" bestFit="1" customWidth="1"/>
    <col min="42" max="42" width="28.42578125" bestFit="1" customWidth="1"/>
    <col min="43" max="43" width="12" bestFit="1" customWidth="1"/>
    <col min="44" max="56" width="13.42578125" bestFit="1" customWidth="1"/>
    <col min="57" max="57" width="14.42578125" bestFit="1" customWidth="1"/>
    <col min="58" max="58" width="13.42578125" bestFit="1" customWidth="1"/>
    <col min="60" max="60" width="10.42578125" bestFit="1" customWidth="1"/>
  </cols>
  <sheetData>
    <row r="2" spans="1:60" s="73" customFormat="1" ht="18.75" x14ac:dyDescent="0.3">
      <c r="B2" s="73" t="s">
        <v>358</v>
      </c>
      <c r="E2" s="74"/>
      <c r="F2" s="74"/>
      <c r="G2" s="74"/>
    </row>
    <row r="3" spans="1:60" s="75" customFormat="1" x14ac:dyDescent="0.25">
      <c r="B3" s="75" t="s">
        <v>359</v>
      </c>
      <c r="E3" s="76"/>
      <c r="F3" s="76"/>
      <c r="G3" s="76"/>
    </row>
    <row r="4" spans="1:60" s="16" customFormat="1" x14ac:dyDescent="0.25">
      <c r="B4" s="16" t="s">
        <v>360</v>
      </c>
    </row>
    <row r="6" spans="1:60" x14ac:dyDescent="0.25">
      <c r="B6" s="4" t="s">
        <v>361</v>
      </c>
      <c r="C6" s="14">
        <v>2020</v>
      </c>
    </row>
    <row r="7" spans="1:60" s="77" customFormat="1" ht="45" x14ac:dyDescent="0.25">
      <c r="B7" s="77" t="s">
        <v>260</v>
      </c>
      <c r="C7" s="77" t="s">
        <v>180</v>
      </c>
      <c r="D7" s="77" t="s">
        <v>362</v>
      </c>
      <c r="E7" s="77" t="s">
        <v>363</v>
      </c>
      <c r="F7" s="77" t="s">
        <v>364</v>
      </c>
      <c r="G7" s="77" t="s">
        <v>365</v>
      </c>
      <c r="H7" s="77" t="s">
        <v>366</v>
      </c>
      <c r="I7" s="77" t="s">
        <v>367</v>
      </c>
      <c r="J7" s="77" t="s">
        <v>368</v>
      </c>
      <c r="K7" s="77" t="s">
        <v>369</v>
      </c>
      <c r="L7" s="77" t="s">
        <v>370</v>
      </c>
      <c r="M7" s="77" t="s">
        <v>371</v>
      </c>
      <c r="N7" s="77" t="s">
        <v>372</v>
      </c>
      <c r="O7" s="77" t="s">
        <v>373</v>
      </c>
      <c r="P7" s="77" t="s">
        <v>374</v>
      </c>
      <c r="Q7" s="77" t="s">
        <v>375</v>
      </c>
      <c r="R7" s="77" t="s">
        <v>376</v>
      </c>
      <c r="S7" s="77" t="s">
        <v>377</v>
      </c>
      <c r="T7" s="77" t="s">
        <v>378</v>
      </c>
      <c r="U7" s="77" t="s">
        <v>379</v>
      </c>
      <c r="V7" s="77" t="s">
        <v>380</v>
      </c>
      <c r="W7" s="77" t="s">
        <v>381</v>
      </c>
      <c r="X7" s="77" t="s">
        <v>382</v>
      </c>
      <c r="Y7" s="77" t="s">
        <v>383</v>
      </c>
      <c r="Z7" s="77" t="s">
        <v>384</v>
      </c>
      <c r="AA7" s="77" t="s">
        <v>385</v>
      </c>
      <c r="AB7" s="77" t="s">
        <v>386</v>
      </c>
      <c r="AC7" s="77" t="s">
        <v>387</v>
      </c>
      <c r="AD7" s="77" t="s">
        <v>388</v>
      </c>
      <c r="AE7" s="77" t="s">
        <v>389</v>
      </c>
      <c r="AF7" s="77" t="s">
        <v>390</v>
      </c>
      <c r="AG7" s="77" t="s">
        <v>391</v>
      </c>
      <c r="AH7" s="77" t="s">
        <v>392</v>
      </c>
      <c r="AI7" s="77" t="s">
        <v>393</v>
      </c>
      <c r="AJ7" s="77" t="s">
        <v>394</v>
      </c>
      <c r="AK7" s="77" t="s">
        <v>395</v>
      </c>
      <c r="AL7" s="77" t="s">
        <v>396</v>
      </c>
      <c r="AM7" s="77" t="s">
        <v>397</v>
      </c>
      <c r="AN7" s="77" t="s">
        <v>398</v>
      </c>
      <c r="AO7" s="77" t="s">
        <v>399</v>
      </c>
      <c r="AP7" s="77" t="s">
        <v>400</v>
      </c>
      <c r="AQ7" s="77" t="s">
        <v>401</v>
      </c>
      <c r="AR7" s="77" t="s">
        <v>402</v>
      </c>
      <c r="AS7" s="77" t="s">
        <v>403</v>
      </c>
      <c r="AT7" s="77" t="s">
        <v>404</v>
      </c>
      <c r="AU7" s="77" t="s">
        <v>405</v>
      </c>
      <c r="AV7" s="77" t="s">
        <v>406</v>
      </c>
      <c r="AW7" s="77" t="s">
        <v>407</v>
      </c>
      <c r="AX7" s="77" t="s">
        <v>408</v>
      </c>
      <c r="AY7" s="77" t="s">
        <v>409</v>
      </c>
      <c r="AZ7" s="77" t="s">
        <v>410</v>
      </c>
      <c r="BA7" s="77" t="s">
        <v>411</v>
      </c>
      <c r="BB7" s="77" t="s">
        <v>412</v>
      </c>
      <c r="BC7" s="77" t="s">
        <v>413</v>
      </c>
      <c r="BD7" s="77" t="s">
        <v>414</v>
      </c>
      <c r="BE7" s="77" t="s">
        <v>415</v>
      </c>
      <c r="BF7" s="77" t="s">
        <v>416</v>
      </c>
      <c r="BH7" s="77" t="s">
        <v>417</v>
      </c>
    </row>
    <row r="8" spans="1:60" x14ac:dyDescent="0.25">
      <c r="A8" t="s">
        <v>1195</v>
      </c>
      <c r="B8" t="s">
        <v>230</v>
      </c>
      <c r="C8" t="s">
        <v>0</v>
      </c>
      <c r="D8" s="78">
        <f>INDEX('Population Data by Age'!$B$7:$H$10366,MATCH(CONCATENATE('Tabular Pop Data by Age'!$C8,'Tabular Pop Data by Age'!D$7),'Population Data by Age'!$B$7:$B$10366,0),MATCH('Tabular Pop Data by Age'!$C$6,'Population Data by Age'!$B$6:$H$6,0))</f>
        <v>2765000</v>
      </c>
      <c r="E8" s="78">
        <f>INDEX('Population Data by Age'!$B$7:$H$10366,MATCH(CONCATENATE('Tabular Pop Data by Age'!$C8,'Tabular Pop Data by Age'!E$7),'Population Data by Age'!$B$7:$B$10366,0),MATCH('Tabular Pop Data by Age'!$C$6,'Population Data by Age'!$B$6:$H$6,0))</f>
        <v>2907000</v>
      </c>
      <c r="F8" s="78">
        <f>INDEX('Population Data by Age'!$B$7:$H$10366,MATCH(CONCATENATE('Tabular Pop Data by Age'!$C8,'Tabular Pop Data by Age'!F$7),'Population Data by Age'!$B$7:$B$10366,0),MATCH('Tabular Pop Data by Age'!$C$6,'Population Data by Age'!$B$6:$H$6,0))</f>
        <v>2642000</v>
      </c>
      <c r="G8" s="78">
        <f>INDEX('Population Data by Age'!$B$7:$H$10366,MATCH(CONCATENATE('Tabular Pop Data by Age'!$C8,'Tabular Pop Data by Age'!G$7),'Population Data by Age'!$B$7:$B$10366,0),MATCH('Tabular Pop Data by Age'!$C$6,'Population Data by Age'!$B$6:$H$6,0))</f>
        <v>2775000</v>
      </c>
      <c r="H8" s="78">
        <f>INDEX('Population Data by Age'!$B$7:$H$10366,MATCH(CONCATENATE('Tabular Pop Data by Age'!$C8,'Tabular Pop Data by Age'!H$7),'Population Data by Age'!$B$7:$B$10366,0),MATCH('Tabular Pop Data by Age'!$C$6,'Population Data by Age'!$B$6:$H$6,0))</f>
        <v>2540000</v>
      </c>
      <c r="I8" s="78">
        <f>INDEX('Population Data by Age'!$B$7:$H$10366,MATCH(CONCATENATE('Tabular Pop Data by Age'!$C8,'Tabular Pop Data by Age'!I$7),'Population Data by Age'!$B$7:$B$10366,0),MATCH('Tabular Pop Data by Age'!$C$6,'Population Data by Age'!$B$6:$H$6,0))</f>
        <v>2652000</v>
      </c>
      <c r="J8" s="78">
        <f>INDEX('Population Data by Age'!$B$7:$H$10366,MATCH(CONCATENATE('Tabular Pop Data by Age'!$C8,'Tabular Pop Data by Age'!J$7),'Population Data by Age'!$B$7:$B$10366,0),MATCH('Tabular Pop Data by Age'!$C$6,'Population Data by Age'!$B$6:$H$6,0))</f>
        <v>2252000</v>
      </c>
      <c r="K8" s="78">
        <f>INDEX('Population Data by Age'!$B$7:$H$10366,MATCH(CONCATENATE('Tabular Pop Data by Age'!$C8,'Tabular Pop Data by Age'!K$7),'Population Data by Age'!$B$7:$B$10366,0),MATCH('Tabular Pop Data by Age'!$C$6,'Population Data by Age'!$B$6:$H$6,0))</f>
        <v>2378000</v>
      </c>
      <c r="L8" s="78">
        <f>INDEX('Population Data by Age'!$B$7:$H$10366,MATCH(CONCATENATE('Tabular Pop Data by Age'!$C8,'Tabular Pop Data by Age'!L$7),'Population Data by Age'!$B$7:$B$10366,0),MATCH('Tabular Pop Data by Age'!$C$6,'Population Data by Age'!$B$6:$H$6,0))</f>
        <v>1909000</v>
      </c>
      <c r="M8" s="78">
        <f>INDEX('Population Data by Age'!$B$7:$H$10366,MATCH(CONCATENATE('Tabular Pop Data by Age'!$C8,'Tabular Pop Data by Age'!M$7),'Population Data by Age'!$B$7:$B$10366,0),MATCH('Tabular Pop Data by Age'!$C$6,'Population Data by Age'!$B$6:$H$6,0))</f>
        <v>2017000</v>
      </c>
      <c r="N8" s="78">
        <f>INDEX('Population Data by Age'!$B$7:$H$10366,MATCH(CONCATENATE('Tabular Pop Data by Age'!$C8,'Tabular Pop Data by Age'!N$7),'Population Data by Age'!$B$7:$B$10366,0),MATCH('Tabular Pop Data by Age'!$C$6,'Population Data by Age'!$B$6:$H$6,0))</f>
        <v>1499000</v>
      </c>
      <c r="O8" s="78">
        <f>INDEX('Population Data by Age'!$B$7:$H$10366,MATCH(CONCATENATE('Tabular Pop Data by Age'!$C8,'Tabular Pop Data by Age'!O$7),'Population Data by Age'!$B$7:$B$10366,0),MATCH('Tabular Pop Data by Age'!$C$6,'Population Data by Age'!$B$6:$H$6,0))</f>
        <v>1611000</v>
      </c>
      <c r="P8" s="78">
        <f>INDEX('Population Data by Age'!$B$7:$H$10366,MATCH(CONCATENATE('Tabular Pop Data by Age'!$C8,'Tabular Pop Data by Age'!P$7),'Population Data by Age'!$B$7:$B$10366,0),MATCH('Tabular Pop Data by Age'!$C$6,'Population Data by Age'!$B$6:$H$6,0))</f>
        <v>1179000</v>
      </c>
      <c r="Q8" s="78">
        <f>INDEX('Population Data by Age'!$B$7:$H$10366,MATCH(CONCATENATE('Tabular Pop Data by Age'!$C8,'Tabular Pop Data by Age'!Q$7),'Population Data by Age'!$B$7:$B$10366,0),MATCH('Tabular Pop Data by Age'!$C$6,'Population Data by Age'!$B$6:$H$6,0))</f>
        <v>1299000</v>
      </c>
      <c r="R8" s="78">
        <f>INDEX('Population Data by Age'!$B$7:$H$10366,MATCH(CONCATENATE('Tabular Pop Data by Age'!$C8,'Tabular Pop Data by Age'!R$7),'Population Data by Age'!$B$7:$B$10366,0),MATCH('Tabular Pop Data by Age'!$C$6,'Population Data by Age'!$B$6:$H$6,0))</f>
        <v>988000</v>
      </c>
      <c r="S8" s="78">
        <f>INDEX('Population Data by Age'!$B$7:$H$10366,MATCH(CONCATENATE('Tabular Pop Data by Age'!$C8,'Tabular Pop Data by Age'!S$7),'Population Data by Age'!$B$7:$B$10366,0),MATCH('Tabular Pop Data by Age'!$C$6,'Population Data by Age'!$B$6:$H$6,0))</f>
        <v>1068000</v>
      </c>
      <c r="T8" s="78">
        <f>INDEX('Population Data by Age'!$B$7:$H$10366,MATCH(CONCATENATE('Tabular Pop Data by Age'!$C8,'Tabular Pop Data by Age'!T$7),'Population Data by Age'!$B$7:$B$10366,0),MATCH('Tabular Pop Data by Age'!$C$6,'Population Data by Age'!$B$6:$H$6,0))</f>
        <v>791000</v>
      </c>
      <c r="U8" s="78">
        <f>INDEX('Population Data by Age'!$B$7:$H$10366,MATCH(CONCATENATE('Tabular Pop Data by Age'!$C8,'Tabular Pop Data by Age'!U$7),'Population Data by Age'!$B$7:$B$10366,0),MATCH('Tabular Pop Data by Age'!$C$6,'Population Data by Age'!$B$6:$H$6,0))</f>
        <v>868000</v>
      </c>
      <c r="V8" s="78">
        <f>INDEX('Population Data by Age'!$B$7:$H$10366,MATCH(CONCATENATE('Tabular Pop Data by Age'!$C8,'Tabular Pop Data by Age'!V$7),'Population Data by Age'!$B$7:$B$10366,0),MATCH('Tabular Pop Data by Age'!$C$6,'Population Data by Age'!$B$6:$H$6,0))</f>
        <v>628000</v>
      </c>
      <c r="W8" s="78">
        <f>INDEX('Population Data by Age'!$B$7:$H$10366,MATCH(CONCATENATE('Tabular Pop Data by Age'!$C8,'Tabular Pop Data by Age'!W$7),'Population Data by Age'!$B$7:$B$10366,0),MATCH('Tabular Pop Data by Age'!$C$6,'Population Data by Age'!$B$6:$H$6,0))</f>
        <v>677000</v>
      </c>
      <c r="X8" s="78">
        <f>INDEX('Population Data by Age'!$B$7:$H$10366,MATCH(CONCATENATE('Tabular Pop Data by Age'!$C8,'Tabular Pop Data by Age'!X$7),'Population Data by Age'!$B$7:$B$10366,0),MATCH('Tabular Pop Data by Age'!$C$6,'Population Data by Age'!$B$6:$H$6,0))</f>
        <v>503000</v>
      </c>
      <c r="Y8" s="78">
        <f>INDEX('Population Data by Age'!$B$7:$H$10366,MATCH(CONCATENATE('Tabular Pop Data by Age'!$C8,'Tabular Pop Data by Age'!Y$7),'Population Data by Age'!$B$7:$B$10366,0),MATCH('Tabular Pop Data by Age'!$C$6,'Population Data by Age'!$B$6:$H$6,0))</f>
        <v>529000</v>
      </c>
      <c r="Z8" s="78">
        <f>INDEX('Population Data by Age'!$B$7:$H$10366,MATCH(CONCATENATE('Tabular Pop Data by Age'!$C8,'Tabular Pop Data by Age'!Z$7),'Population Data by Age'!$B$7:$B$10366,0),MATCH('Tabular Pop Data by Age'!$C$6,'Population Data by Age'!$B$6:$H$6,0))</f>
        <v>396000</v>
      </c>
      <c r="AA8" s="78">
        <f>INDEX('Population Data by Age'!$B$7:$H$10366,MATCH(CONCATENATE('Tabular Pop Data by Age'!$C8,'Tabular Pop Data by Age'!AA$7),'Population Data by Age'!$B$7:$B$10366,0),MATCH('Tabular Pop Data by Age'!$C$6,'Population Data by Age'!$B$6:$H$6,0))</f>
        <v>411000</v>
      </c>
      <c r="AB8" s="78">
        <f>INDEX('Population Data by Age'!$B$7:$H$10366,MATCH(CONCATENATE('Tabular Pop Data by Age'!$C8,'Tabular Pop Data by Age'!AB$7),'Population Data by Age'!$B$7:$B$10366,0),MATCH('Tabular Pop Data by Age'!$C$6,'Population Data by Age'!$B$6:$H$6,0))</f>
        <v>308000</v>
      </c>
      <c r="AC8" s="78">
        <f>INDEX('Population Data by Age'!$B$7:$H$10366,MATCH(CONCATENATE('Tabular Pop Data by Age'!$C8,'Tabular Pop Data by Age'!AC$7),'Population Data by Age'!$B$7:$B$10366,0),MATCH('Tabular Pop Data by Age'!$C$6,'Population Data by Age'!$B$6:$H$6,0))</f>
        <v>305000</v>
      </c>
      <c r="AD8" s="78">
        <f>INDEX('Population Data by Age'!$B$7:$H$10366,MATCH(CONCATENATE('Tabular Pop Data by Age'!$C8,'Tabular Pop Data by Age'!AD$7),'Population Data by Age'!$B$7:$B$10366,0),MATCH('Tabular Pop Data by Age'!$C$6,'Population Data by Age'!$B$6:$H$6,0))</f>
        <v>229000</v>
      </c>
      <c r="AE8" s="78">
        <f>INDEX('Population Data by Age'!$B$7:$H$10366,MATCH(CONCATENATE('Tabular Pop Data by Age'!$C8,'Tabular Pop Data by Age'!AE$7),'Population Data by Age'!$B$7:$B$10366,0),MATCH('Tabular Pop Data by Age'!$C$6,'Population Data by Age'!$B$6:$H$6,0))</f>
        <v>216000</v>
      </c>
      <c r="AF8" s="78">
        <f>INDEX('Population Data by Age'!$B$7:$H$10366,MATCH(CONCATENATE('Tabular Pop Data by Age'!$C8,'Tabular Pop Data by Age'!AF$7),'Population Data by Age'!$B$7:$B$10366,0),MATCH('Tabular Pop Data by Age'!$C$6,'Population Data by Age'!$B$6:$H$6,0))</f>
        <v>172000</v>
      </c>
      <c r="AG8" s="78">
        <f>INDEX('Population Data by Age'!$B$7:$H$10366,MATCH(CONCATENATE('Tabular Pop Data by Age'!$C8,'Tabular Pop Data by Age'!AG$7),'Population Data by Age'!$B$7:$B$10366,0),MATCH('Tabular Pop Data by Age'!$C$6,'Population Data by Age'!$B$6:$H$6,0))</f>
        <v>140000</v>
      </c>
      <c r="AH8" s="78">
        <f>INDEX('Population Data by Age'!$B$7:$H$10366,MATCH(CONCATENATE('Tabular Pop Data by Age'!$C8,'Tabular Pop Data by Age'!AH$7),'Population Data by Age'!$B$7:$B$10366,0),MATCH('Tabular Pop Data by Age'!$C$6,'Population Data by Age'!$B$6:$H$6,0))</f>
        <v>91000</v>
      </c>
      <c r="AI8" s="78">
        <f>INDEX('Population Data by Age'!$B$7:$H$10366,MATCH(CONCATENATE('Tabular Pop Data by Age'!$C8,'Tabular Pop Data by Age'!AI$7),'Population Data by Age'!$B$7:$B$10366,0),MATCH('Tabular Pop Data by Age'!$C$6,'Population Data by Age'!$B$6:$H$6,0))</f>
        <v>77000</v>
      </c>
      <c r="AJ8" s="78">
        <f>INDEX('Population Data by Age'!$B$7:$H$10366,MATCH(CONCATENATE('Tabular Pop Data by Age'!$C8,'Tabular Pop Data by Age'!AJ$7),'Population Data by Age'!$B$7:$B$10366,0),MATCH('Tabular Pop Data by Age'!$C$6,'Population Data by Age'!$B$6:$H$6,0))</f>
        <v>60000</v>
      </c>
      <c r="AK8" s="78">
        <f>INDEX('Population Data by Age'!$B$7:$H$10366,MATCH(CONCATENATE('Tabular Pop Data by Age'!$C8,'Tabular Pop Data by Age'!AK$7),'Population Data by Age'!$B$7:$B$10366,0),MATCH('Tabular Pop Data by Age'!$C$6,'Population Data by Age'!$B$6:$H$6,0))</f>
        <v>46000</v>
      </c>
      <c r="AL8" s="78">
        <f>INDEX('Population Data by Age'!$B$7:$H$10366,MATCH(CONCATENATE('Tabular Pop Data by Age'!$C8,'Tabular Pop Data by Age'!AL$7),'Population Data by Age'!$B$7:$B$10366,0),MATCH('Tabular Pop Data by Age'!$C$6,'Population Data by Age'!$B$6:$H$6,0))</f>
        <v>18952000</v>
      </c>
      <c r="AM8" s="78">
        <f>INDEX('Population Data by Age'!$B$7:$H$10366,MATCH(CONCATENATE('Tabular Pop Data by Age'!$C8,'Tabular Pop Data by Age'!AM$7),'Population Data by Age'!$B$7:$B$10366,0),MATCH('Tabular Pop Data by Age'!$C$6,'Population Data by Age'!$B$6:$H$6,0))</f>
        <v>19976000</v>
      </c>
      <c r="AN8" s="78">
        <f>INDEX('Population Data by Age'!$B$7:$H$10366,MATCH(CONCATENATE('Tabular Pop Data by Age'!$C8,'Tabular Pop Data by Age'!AN$7),'Population Data by Age'!$B$7:$B$10366,0),MATCH('Tabular Pop Data by Age'!$C$6,'Population Data by Age'!$B$6:$H$6,0))</f>
        <v>38928000</v>
      </c>
      <c r="AO8" s="78">
        <f>INDEX('Population Data by Age'!$B$7:$H$10366,MATCH(CONCATENATE('Tabular Pop Data by Age'!$C8,'Tabular Pop Data by Age'!AO$7),'Population Data by Age'!$B$7:$B$10366,0),MATCH('Tabular Pop Data by Age'!$C$6,'Population Data by Age'!$B$6:$H$6,0))</f>
        <v>0</v>
      </c>
      <c r="AP8" s="79">
        <f>SUM(D8:E8)</f>
        <v>5672000</v>
      </c>
      <c r="AQ8" s="79">
        <f>SUM(F8:G8)</f>
        <v>5417000</v>
      </c>
      <c r="AR8" s="79">
        <f>SUM(H8:I8)</f>
        <v>5192000</v>
      </c>
      <c r="AS8" s="79">
        <f>SUM(J8:K8)</f>
        <v>4630000</v>
      </c>
      <c r="AT8" s="79">
        <f>SUM(L8+M8)</f>
        <v>3926000</v>
      </c>
      <c r="AU8" s="79">
        <f>SUM(N8:O8)</f>
        <v>3110000</v>
      </c>
      <c r="AV8" s="79">
        <f>SUM(P8:Q8)</f>
        <v>2478000</v>
      </c>
      <c r="AW8" s="79">
        <f>SUM(R8:S8)</f>
        <v>2056000</v>
      </c>
      <c r="AX8" s="79">
        <f>SUM(T8:U8)</f>
        <v>1659000</v>
      </c>
      <c r="AY8" s="79">
        <f>SUM(V8:W8)</f>
        <v>1305000</v>
      </c>
      <c r="AZ8" s="79">
        <f>SUM(X8:Y8)</f>
        <v>1032000</v>
      </c>
      <c r="BA8" s="79">
        <f>SUM(Z8:AA8)</f>
        <v>807000</v>
      </c>
      <c r="BB8" s="79">
        <f>SUM(AB8:AC8)</f>
        <v>613000</v>
      </c>
      <c r="BC8" s="79">
        <f>SUM(AD8:AE8)</f>
        <v>445000</v>
      </c>
      <c r="BD8" s="79">
        <f>SUM(AF8:AG8)</f>
        <v>312000</v>
      </c>
      <c r="BE8" s="79">
        <f>SUM(AH8:AI8)</f>
        <v>168000</v>
      </c>
      <c r="BF8" s="79">
        <f>SUM(AJ8:AK8)</f>
        <v>106000</v>
      </c>
    </row>
    <row r="9" spans="1:60" x14ac:dyDescent="0.25">
      <c r="A9" s="138" t="s">
        <v>1195</v>
      </c>
      <c r="B9" t="s">
        <v>418</v>
      </c>
      <c r="C9" t="s">
        <v>419</v>
      </c>
      <c r="D9" s="78">
        <f>INDEX('Population Data by Age'!$B$7:$H$10366,MATCH(CONCATENATE('Tabular Pop Data by Age'!$C9,'Tabular Pop Data by Age'!D$7),'Population Data by Age'!$B$7:$B$10366,0),MATCH('Tabular Pop Data by Age'!$C$6,'Population Data by Age'!$B$6:$H$6,0))</f>
        <v>79000</v>
      </c>
      <c r="E9" s="78">
        <f>INDEX('Population Data by Age'!$B$7:$H$10366,MATCH(CONCATENATE('Tabular Pop Data by Age'!$C9,'Tabular Pop Data by Age'!E$7),'Population Data by Age'!$B$7:$B$10366,0),MATCH('Tabular Pop Data by Age'!$C$6,'Population Data by Age'!$B$6:$H$6,0))</f>
        <v>86000</v>
      </c>
      <c r="F9" s="78">
        <f>INDEX('Population Data by Age'!$B$7:$H$10366,MATCH(CONCATENATE('Tabular Pop Data by Age'!$C9,'Tabular Pop Data by Age'!F$7),'Population Data by Age'!$B$7:$B$10366,0),MATCH('Tabular Pop Data by Age'!$C$6,'Population Data by Age'!$B$6:$H$6,0))</f>
        <v>80000</v>
      </c>
      <c r="G9" s="78">
        <f>INDEX('Population Data by Age'!$B$7:$H$10366,MATCH(CONCATENATE('Tabular Pop Data by Age'!$C9,'Tabular Pop Data by Age'!G$7),'Population Data by Age'!$B$7:$B$10366,0),MATCH('Tabular Pop Data by Age'!$C$6,'Population Data by Age'!$B$6:$H$6,0))</f>
        <v>87000</v>
      </c>
      <c r="H9" s="78">
        <f>INDEX('Population Data by Age'!$B$7:$H$10366,MATCH(CONCATENATE('Tabular Pop Data by Age'!$C9,'Tabular Pop Data by Age'!H$7),'Population Data by Age'!$B$7:$B$10366,0),MATCH('Tabular Pop Data by Age'!$C$6,'Population Data by Age'!$B$6:$H$6,0))</f>
        <v>75000</v>
      </c>
      <c r="I9" s="78">
        <f>INDEX('Population Data by Age'!$B$7:$H$10366,MATCH(CONCATENATE('Tabular Pop Data by Age'!$C9,'Tabular Pop Data by Age'!I$7),'Population Data by Age'!$B$7:$B$10366,0),MATCH('Tabular Pop Data by Age'!$C$6,'Population Data by Age'!$B$6:$H$6,0))</f>
        <v>87000</v>
      </c>
      <c r="J9" s="78">
        <f>INDEX('Population Data by Age'!$B$7:$H$10366,MATCH(CONCATENATE('Tabular Pop Data by Age'!$C9,'Tabular Pop Data by Age'!J$7),'Population Data by Age'!$B$7:$B$10366,0),MATCH('Tabular Pop Data by Age'!$C$6,'Population Data by Age'!$B$6:$H$6,0))</f>
        <v>93000</v>
      </c>
      <c r="K9" s="78">
        <f>INDEX('Population Data by Age'!$B$7:$H$10366,MATCH(CONCATENATE('Tabular Pop Data by Age'!$C9,'Tabular Pop Data by Age'!K$7),'Population Data by Age'!$B$7:$B$10366,0),MATCH('Tabular Pop Data by Age'!$C$6,'Population Data by Age'!$B$6:$H$6,0))</f>
        <v>106000</v>
      </c>
      <c r="L9" s="78">
        <f>INDEX('Population Data by Age'!$B$7:$H$10366,MATCH(CONCATENATE('Tabular Pop Data by Age'!$C9,'Tabular Pop Data by Age'!L$7),'Population Data by Age'!$B$7:$B$10366,0),MATCH('Tabular Pop Data by Age'!$C$6,'Population Data by Age'!$B$6:$H$6,0))</f>
        <v>111000</v>
      </c>
      <c r="M9" s="78">
        <f>INDEX('Population Data by Age'!$B$7:$H$10366,MATCH(CONCATENATE('Tabular Pop Data by Age'!$C9,'Tabular Pop Data by Age'!M$7),'Population Data by Age'!$B$7:$B$10366,0),MATCH('Tabular Pop Data by Age'!$C$6,'Population Data by Age'!$B$6:$H$6,0))</f>
        <v>117000</v>
      </c>
      <c r="N9" s="78">
        <f>INDEX('Population Data by Age'!$B$7:$H$10366,MATCH(CONCATENATE('Tabular Pop Data by Age'!$C9,'Tabular Pop Data by Age'!N$7),'Population Data by Age'!$B$7:$B$10366,0),MATCH('Tabular Pop Data by Age'!$C$6,'Population Data by Age'!$B$6:$H$6,0))</f>
        <v>115000</v>
      </c>
      <c r="O9" s="78">
        <f>INDEX('Population Data by Age'!$B$7:$H$10366,MATCH(CONCATENATE('Tabular Pop Data by Age'!$C9,'Tabular Pop Data by Age'!O$7),'Population Data by Age'!$B$7:$B$10366,0),MATCH('Tabular Pop Data by Age'!$C$6,'Population Data by Age'!$B$6:$H$6,0))</f>
        <v>129000</v>
      </c>
      <c r="P9" s="78">
        <f>INDEX('Population Data by Age'!$B$7:$H$10366,MATCH(CONCATENATE('Tabular Pop Data by Age'!$C9,'Tabular Pop Data by Age'!P$7),'Population Data by Age'!$B$7:$B$10366,0),MATCH('Tabular Pop Data by Age'!$C$6,'Population Data by Age'!$B$6:$H$6,0))</f>
        <v>101000</v>
      </c>
      <c r="Q9" s="78">
        <f>INDEX('Population Data by Age'!$B$7:$H$10366,MATCH(CONCATENATE('Tabular Pop Data by Age'!$C9,'Tabular Pop Data by Age'!Q$7),'Population Data by Age'!$B$7:$B$10366,0),MATCH('Tabular Pop Data by Age'!$C$6,'Population Data by Age'!$B$6:$H$6,0))</f>
        <v>122000</v>
      </c>
      <c r="R9" s="78">
        <f>INDEX('Population Data by Age'!$B$7:$H$10366,MATCH(CONCATENATE('Tabular Pop Data by Age'!$C9,'Tabular Pop Data by Age'!R$7),'Population Data by Age'!$B$7:$B$10366,0),MATCH('Tabular Pop Data by Age'!$C$6,'Population Data by Age'!$B$6:$H$6,0))</f>
        <v>76000</v>
      </c>
      <c r="S9" s="78">
        <f>INDEX('Population Data by Age'!$B$7:$H$10366,MATCH(CONCATENATE('Tabular Pop Data by Age'!$C9,'Tabular Pop Data by Age'!S$7),'Population Data by Age'!$B$7:$B$10366,0),MATCH('Tabular Pop Data by Age'!$C$6,'Population Data by Age'!$B$6:$H$6,0))</f>
        <v>90000</v>
      </c>
      <c r="T9" s="78">
        <f>INDEX('Population Data by Age'!$B$7:$H$10366,MATCH(CONCATENATE('Tabular Pop Data by Age'!$C9,'Tabular Pop Data by Age'!T$7),'Population Data by Age'!$B$7:$B$10366,0),MATCH('Tabular Pop Data by Age'!$C$6,'Population Data by Age'!$B$6:$H$6,0))</f>
        <v>76000</v>
      </c>
      <c r="U9" s="78">
        <f>INDEX('Population Data by Age'!$B$7:$H$10366,MATCH(CONCATENATE('Tabular Pop Data by Age'!$C9,'Tabular Pop Data by Age'!U$7),'Population Data by Age'!$B$7:$B$10366,0),MATCH('Tabular Pop Data by Age'!$C$6,'Population Data by Age'!$B$6:$H$6,0))</f>
        <v>76000</v>
      </c>
      <c r="V9" s="78">
        <f>INDEX('Population Data by Age'!$B$7:$H$10366,MATCH(CONCATENATE('Tabular Pop Data by Age'!$C9,'Tabular Pop Data by Age'!V$7),'Population Data by Age'!$B$7:$B$10366,0),MATCH('Tabular Pop Data by Age'!$C$6,'Population Data by Age'!$B$6:$H$6,0))</f>
        <v>90000</v>
      </c>
      <c r="W9" s="78">
        <f>INDEX('Population Data by Age'!$B$7:$H$10366,MATCH(CONCATENATE('Tabular Pop Data by Age'!$C9,'Tabular Pop Data by Age'!W$7),'Population Data by Age'!$B$7:$B$10366,0),MATCH('Tabular Pop Data by Age'!$C$6,'Population Data by Age'!$B$6:$H$6,0))</f>
        <v>80000</v>
      </c>
      <c r="X9" s="78">
        <f>INDEX('Population Data by Age'!$B$7:$H$10366,MATCH(CONCATENATE('Tabular Pop Data by Age'!$C9,'Tabular Pop Data by Age'!X$7),'Population Data by Age'!$B$7:$B$10366,0),MATCH('Tabular Pop Data by Age'!$C$6,'Population Data by Age'!$B$6:$H$6,0))</f>
        <v>95000</v>
      </c>
      <c r="Y9" s="78">
        <f>INDEX('Population Data by Age'!$B$7:$H$10366,MATCH(CONCATENATE('Tabular Pop Data by Age'!$C9,'Tabular Pop Data by Age'!Y$7),'Population Data by Age'!$B$7:$B$10366,0),MATCH('Tabular Pop Data by Age'!$C$6,'Population Data by Age'!$B$6:$H$6,0))</f>
        <v>88000</v>
      </c>
      <c r="Z9" s="78">
        <f>INDEX('Population Data by Age'!$B$7:$H$10366,MATCH(CONCATENATE('Tabular Pop Data by Age'!$C9,'Tabular Pop Data by Age'!Z$7),'Population Data by Age'!$B$7:$B$10366,0),MATCH('Tabular Pop Data by Age'!$C$6,'Population Data by Age'!$B$6:$H$6,0))</f>
        <v>103000</v>
      </c>
      <c r="AA9" s="78">
        <f>INDEX('Population Data by Age'!$B$7:$H$10366,MATCH(CONCATENATE('Tabular Pop Data by Age'!$C9,'Tabular Pop Data by Age'!AA$7),'Population Data by Age'!$B$7:$B$10366,0),MATCH('Tabular Pop Data by Age'!$C$6,'Population Data by Age'!$B$6:$H$6,0))</f>
        <v>98000</v>
      </c>
      <c r="AB9" s="78">
        <f>INDEX('Population Data by Age'!$B$7:$H$10366,MATCH(CONCATENATE('Tabular Pop Data by Age'!$C9,'Tabular Pop Data by Age'!AB$7),'Population Data by Age'!$B$7:$B$10366,0),MATCH('Tabular Pop Data by Age'!$C$6,'Population Data by Age'!$B$6:$H$6,0))</f>
        <v>95000</v>
      </c>
      <c r="AC9" s="78">
        <f>INDEX('Population Data by Age'!$B$7:$H$10366,MATCH(CONCATENATE('Tabular Pop Data by Age'!$C9,'Tabular Pop Data by Age'!AC$7),'Population Data by Age'!$B$7:$B$10366,0),MATCH('Tabular Pop Data by Age'!$C$6,'Population Data by Age'!$B$6:$H$6,0))</f>
        <v>91000</v>
      </c>
      <c r="AD9" s="78">
        <f>INDEX('Population Data by Age'!$B$7:$H$10366,MATCH(CONCATENATE('Tabular Pop Data by Age'!$C9,'Tabular Pop Data by Age'!AD$7),'Population Data by Age'!$B$7:$B$10366,0),MATCH('Tabular Pop Data by Age'!$C$6,'Population Data by Age'!$B$6:$H$6,0))</f>
        <v>74000</v>
      </c>
      <c r="AE9" s="78">
        <f>INDEX('Population Data by Age'!$B$7:$H$10366,MATCH(CONCATENATE('Tabular Pop Data by Age'!$C9,'Tabular Pop Data by Age'!AE$7),'Population Data by Age'!$B$7:$B$10366,0),MATCH('Tabular Pop Data by Age'!$C$6,'Population Data by Age'!$B$6:$H$6,0))</f>
        <v>70000</v>
      </c>
      <c r="AF9" s="78">
        <f>INDEX('Population Data by Age'!$B$7:$H$10366,MATCH(CONCATENATE('Tabular Pop Data by Age'!$C9,'Tabular Pop Data by Age'!AF$7),'Population Data by Age'!$B$7:$B$10366,0),MATCH('Tabular Pop Data by Age'!$C$6,'Population Data by Age'!$B$6:$H$6,0))</f>
        <v>55000</v>
      </c>
      <c r="AG9" s="78">
        <f>INDEX('Population Data by Age'!$B$7:$H$10366,MATCH(CONCATENATE('Tabular Pop Data by Age'!$C9,'Tabular Pop Data by Age'!AG$7),'Population Data by Age'!$B$7:$B$10366,0),MATCH('Tabular Pop Data by Age'!$C$6,'Population Data by Age'!$B$6:$H$6,0))</f>
        <v>52000</v>
      </c>
      <c r="AH9" s="78">
        <f>INDEX('Population Data by Age'!$B$7:$H$10366,MATCH(CONCATENATE('Tabular Pop Data by Age'!$C9,'Tabular Pop Data by Age'!AH$7),'Population Data by Age'!$B$7:$B$10366,0),MATCH('Tabular Pop Data by Age'!$C$6,'Population Data by Age'!$B$6:$H$6,0))</f>
        <v>45000</v>
      </c>
      <c r="AI9" s="78">
        <f>INDEX('Population Data by Age'!$B$7:$H$10366,MATCH(CONCATENATE('Tabular Pop Data by Age'!$C9,'Tabular Pop Data by Age'!AI$7),'Population Data by Age'!$B$7:$B$10366,0),MATCH('Tabular Pop Data by Age'!$C$6,'Population Data by Age'!$B$6:$H$6,0))</f>
        <v>41000</v>
      </c>
      <c r="AJ9" s="78">
        <f>INDEX('Population Data by Age'!$B$7:$H$10366,MATCH(CONCATENATE('Tabular Pop Data by Age'!$C9,'Tabular Pop Data by Age'!AJ$7),'Population Data by Age'!$B$7:$B$10366,0),MATCH('Tabular Pop Data by Age'!$C$6,'Population Data by Age'!$B$6:$H$6,0))</f>
        <v>45000</v>
      </c>
      <c r="AK9" s="78">
        <f>INDEX('Population Data by Age'!$B$7:$H$10366,MATCH(CONCATENATE('Tabular Pop Data by Age'!$C9,'Tabular Pop Data by Age'!AK$7),'Population Data by Age'!$B$7:$B$10366,0),MATCH('Tabular Pop Data by Age'!$C$6,'Population Data by Age'!$B$6:$H$6,0))</f>
        <v>39000</v>
      </c>
      <c r="AL9" s="78">
        <f>INDEX('Population Data by Age'!$B$7:$H$10366,MATCH(CONCATENATE('Tabular Pop Data by Age'!$C9,'Tabular Pop Data by Age'!AL$7),'Population Data by Age'!$B$7:$B$10366,0),MATCH('Tabular Pop Data by Age'!$C$6,'Population Data by Age'!$B$6:$H$6,0))</f>
        <v>1408000</v>
      </c>
      <c r="AM9" s="78">
        <f>INDEX('Population Data by Age'!$B$7:$H$10366,MATCH(CONCATENATE('Tabular Pop Data by Age'!$C9,'Tabular Pop Data by Age'!AM$7),'Population Data by Age'!$B$7:$B$10366,0),MATCH('Tabular Pop Data by Age'!$C$6,'Population Data by Age'!$B$6:$H$6,0))</f>
        <v>1459000</v>
      </c>
      <c r="AN9" s="78">
        <f>INDEX('Population Data by Age'!$B$7:$H$10366,MATCH(CONCATENATE('Tabular Pop Data by Age'!$C9,'Tabular Pop Data by Age'!AN$7),'Population Data by Age'!$B$7:$B$10366,0),MATCH('Tabular Pop Data by Age'!$C$6,'Population Data by Age'!$B$6:$H$6,0))</f>
        <v>2867000</v>
      </c>
      <c r="AO9" s="78">
        <f>INDEX('Population Data by Age'!$B$7:$H$10366,MATCH(CONCATENATE('Tabular Pop Data by Age'!$C9,'Tabular Pop Data by Age'!AO$7),'Population Data by Age'!$B$7:$B$10366,0),MATCH('Tabular Pop Data by Age'!$C$6,'Population Data by Age'!$B$6:$H$6,0))</f>
        <v>0</v>
      </c>
      <c r="AP9" s="79">
        <f t="shared" ref="AP9:AP65" si="0">SUM(D9:E9)</f>
        <v>165000</v>
      </c>
      <c r="AQ9" s="79">
        <f t="shared" ref="AQ9:AQ65" si="1">SUM(F9:G9)</f>
        <v>167000</v>
      </c>
      <c r="AR9" s="79">
        <f t="shared" ref="AR9:AR65" si="2">SUM(H9:I9)</f>
        <v>162000</v>
      </c>
      <c r="AS9" s="79">
        <f t="shared" ref="AS9:AS65" si="3">SUM(J9:K9)</f>
        <v>199000</v>
      </c>
      <c r="AT9" s="79">
        <f t="shared" ref="AT9:AT65" si="4">SUM(L9+M9)</f>
        <v>228000</v>
      </c>
      <c r="AU9" s="79">
        <f t="shared" ref="AU9:AU65" si="5">SUM(N9:O9)</f>
        <v>244000</v>
      </c>
      <c r="AV9" s="79">
        <f t="shared" ref="AV9:AV65" si="6">SUM(P9:Q9)</f>
        <v>223000</v>
      </c>
      <c r="AW9" s="79">
        <f t="shared" ref="AW9:AW65" si="7">SUM(R9:S9)</f>
        <v>166000</v>
      </c>
      <c r="AX9" s="79">
        <f t="shared" ref="AX9:AX65" si="8">SUM(T9:U9)</f>
        <v>152000</v>
      </c>
      <c r="AY9" s="79">
        <f t="shared" ref="AY9:AY65" si="9">SUM(V9:W9)</f>
        <v>170000</v>
      </c>
      <c r="AZ9" s="79">
        <f t="shared" ref="AZ9:AZ65" si="10">SUM(X9:Y9)</f>
        <v>183000</v>
      </c>
      <c r="BA9" s="79">
        <f t="shared" ref="BA9:BA65" si="11">SUM(Z9:AA9)</f>
        <v>201000</v>
      </c>
      <c r="BB9" s="79">
        <f t="shared" ref="BB9:BB65" si="12">SUM(AB9:AC9)</f>
        <v>186000</v>
      </c>
      <c r="BC9" s="79">
        <f t="shared" ref="BC9:BC65" si="13">SUM(AD9:AE9)</f>
        <v>144000</v>
      </c>
      <c r="BD9" s="79">
        <f t="shared" ref="BD9:BD65" si="14">SUM(AF9:AG9)</f>
        <v>107000</v>
      </c>
      <c r="BE9" s="79">
        <f t="shared" ref="BE9:BE65" si="15">SUM(AH9:AI9)</f>
        <v>86000</v>
      </c>
      <c r="BF9" s="79">
        <f t="shared" ref="BF9:BF65" si="16">SUM(AJ9:AK9)</f>
        <v>84000</v>
      </c>
    </row>
    <row r="10" spans="1:60" x14ac:dyDescent="0.25">
      <c r="A10" s="138" t="s">
        <v>1195</v>
      </c>
      <c r="B10" t="s">
        <v>420</v>
      </c>
      <c r="C10" t="s">
        <v>37</v>
      </c>
      <c r="D10" s="78">
        <f>INDEX('Population Data by Age'!$B$7:$H$10366,MATCH(CONCATENATE('Tabular Pop Data by Age'!$C10,'Tabular Pop Data by Age'!D$7),'Population Data by Age'!$B$7:$B$10366,0),MATCH('Tabular Pop Data by Age'!$C$6,'Population Data by Age'!$B$6:$H$6,0))</f>
        <v>2467000</v>
      </c>
      <c r="E10" s="78">
        <f>INDEX('Population Data by Age'!$B$7:$H$10366,MATCH(CONCATENATE('Tabular Pop Data by Age'!$C10,'Tabular Pop Data by Age'!E$7),'Population Data by Age'!$B$7:$B$10366,0),MATCH('Tabular Pop Data by Age'!$C$6,'Population Data by Age'!$B$6:$H$6,0))</f>
        <v>2574000</v>
      </c>
      <c r="F10" s="78">
        <f>INDEX('Population Data by Age'!$B$7:$H$10366,MATCH(CONCATENATE('Tabular Pop Data by Age'!$C10,'Tabular Pop Data by Age'!F$7),'Population Data by Age'!$B$7:$B$10366,0),MATCH('Tabular Pop Data by Age'!$C$6,'Population Data by Age'!$B$6:$H$6,0))</f>
        <v>2269000</v>
      </c>
      <c r="G10" s="78">
        <f>INDEX('Population Data by Age'!$B$7:$H$10366,MATCH(CONCATENATE('Tabular Pop Data by Age'!$C10,'Tabular Pop Data by Age'!G$7),'Population Data by Age'!$B$7:$B$10366,0),MATCH('Tabular Pop Data by Age'!$C$6,'Population Data by Age'!$B$6:$H$6,0))</f>
        <v>2367000</v>
      </c>
      <c r="H10" s="78">
        <f>INDEX('Population Data by Age'!$B$7:$H$10366,MATCH(CONCATENATE('Tabular Pop Data by Age'!$C10,'Tabular Pop Data by Age'!H$7),'Population Data by Age'!$B$7:$B$10366,0),MATCH('Tabular Pop Data by Age'!$C$6,'Population Data by Age'!$B$6:$H$6,0))</f>
        <v>1872000</v>
      </c>
      <c r="I10" s="78">
        <f>INDEX('Population Data by Age'!$B$7:$H$10366,MATCH(CONCATENATE('Tabular Pop Data by Age'!$C10,'Tabular Pop Data by Age'!I$7),'Population Data by Age'!$B$7:$B$10366,0),MATCH('Tabular Pop Data by Age'!$C$6,'Population Data by Age'!$B$6:$H$6,0))</f>
        <v>1949000</v>
      </c>
      <c r="J10" s="78">
        <f>INDEX('Population Data by Age'!$B$7:$H$10366,MATCH(CONCATENATE('Tabular Pop Data by Age'!$C10,'Tabular Pop Data by Age'!J$7),'Population Data by Age'!$B$7:$B$10366,0),MATCH('Tabular Pop Data by Age'!$C$6,'Population Data by Age'!$B$6:$H$6,0))</f>
        <v>1426000</v>
      </c>
      <c r="K10" s="78">
        <f>INDEX('Population Data by Age'!$B$7:$H$10366,MATCH(CONCATENATE('Tabular Pop Data by Age'!$C10,'Tabular Pop Data by Age'!K$7),'Population Data by Age'!$B$7:$B$10366,0),MATCH('Tabular Pop Data by Age'!$C$6,'Population Data by Age'!$B$6:$H$6,0))</f>
        <v>1484000</v>
      </c>
      <c r="L10" s="78">
        <f>INDEX('Population Data by Age'!$B$7:$H$10366,MATCH(CONCATENATE('Tabular Pop Data by Age'!$C10,'Tabular Pop Data by Age'!L$7),'Population Data by Age'!$B$7:$B$10366,0),MATCH('Tabular Pop Data by Age'!$C$6,'Population Data by Age'!$B$6:$H$6,0))</f>
        <v>1469000</v>
      </c>
      <c r="M10" s="78">
        <f>INDEX('Population Data by Age'!$B$7:$H$10366,MATCH(CONCATENATE('Tabular Pop Data by Age'!$C10,'Tabular Pop Data by Age'!M$7),'Population Data by Age'!$B$7:$B$10366,0),MATCH('Tabular Pop Data by Age'!$C$6,'Population Data by Age'!$B$6:$H$6,0))</f>
        <v>1531000</v>
      </c>
      <c r="N10" s="78">
        <f>INDEX('Population Data by Age'!$B$7:$H$10366,MATCH(CONCATENATE('Tabular Pop Data by Age'!$C10,'Tabular Pop Data by Age'!N$7),'Population Data by Age'!$B$7:$B$10366,0),MATCH('Tabular Pop Data by Age'!$C$6,'Population Data by Age'!$B$6:$H$6,0))</f>
        <v>1762000</v>
      </c>
      <c r="O10" s="78">
        <f>INDEX('Population Data by Age'!$B$7:$H$10366,MATCH(CONCATENATE('Tabular Pop Data by Age'!$C10,'Tabular Pop Data by Age'!O$7),'Population Data by Age'!$B$7:$B$10366,0),MATCH('Tabular Pop Data by Age'!$C$6,'Population Data by Age'!$B$6:$H$6,0))</f>
        <v>1812000</v>
      </c>
      <c r="P10" s="78">
        <f>INDEX('Population Data by Age'!$B$7:$H$10366,MATCH(CONCATENATE('Tabular Pop Data by Age'!$C10,'Tabular Pop Data by Age'!P$7),'Population Data by Age'!$B$7:$B$10366,0),MATCH('Tabular Pop Data by Age'!$C$6,'Population Data by Age'!$B$6:$H$6,0))</f>
        <v>1850000</v>
      </c>
      <c r="Q10" s="78">
        <f>INDEX('Population Data by Age'!$B$7:$H$10366,MATCH(CONCATENATE('Tabular Pop Data by Age'!$C10,'Tabular Pop Data by Age'!Q$7),'Population Data by Age'!$B$7:$B$10366,0),MATCH('Tabular Pop Data by Age'!$C$6,'Population Data by Age'!$B$6:$H$6,0))</f>
        <v>1878000</v>
      </c>
      <c r="R10" s="78">
        <f>INDEX('Population Data by Age'!$B$7:$H$10366,MATCH(CONCATENATE('Tabular Pop Data by Age'!$C10,'Tabular Pop Data by Age'!R$7),'Population Data by Age'!$B$7:$B$10366,0),MATCH('Tabular Pop Data by Age'!$C$6,'Population Data by Age'!$B$6:$H$6,0))</f>
        <v>1765000</v>
      </c>
      <c r="S10" s="78">
        <f>INDEX('Population Data by Age'!$B$7:$H$10366,MATCH(CONCATENATE('Tabular Pop Data by Age'!$C10,'Tabular Pop Data by Age'!S$7),'Population Data by Age'!$B$7:$B$10366,0),MATCH('Tabular Pop Data by Age'!$C$6,'Population Data by Age'!$B$6:$H$6,0))</f>
        <v>1783000</v>
      </c>
      <c r="T10" s="78">
        <f>INDEX('Population Data by Age'!$B$7:$H$10366,MATCH(CONCATENATE('Tabular Pop Data by Age'!$C10,'Tabular Pop Data by Age'!T$7),'Population Data by Age'!$B$7:$B$10366,0),MATCH('Tabular Pop Data by Age'!$C$6,'Population Data by Age'!$B$6:$H$6,0))</f>
        <v>1503000</v>
      </c>
      <c r="U10" s="78">
        <f>INDEX('Population Data by Age'!$B$7:$H$10366,MATCH(CONCATENATE('Tabular Pop Data by Age'!$C10,'Tabular Pop Data by Age'!U$7),'Population Data by Age'!$B$7:$B$10366,0),MATCH('Tabular Pop Data by Age'!$C$6,'Population Data by Age'!$B$6:$H$6,0))</f>
        <v>1511000</v>
      </c>
      <c r="V10" s="78">
        <f>INDEX('Population Data by Age'!$B$7:$H$10366,MATCH(CONCATENATE('Tabular Pop Data by Age'!$C10,'Tabular Pop Data by Age'!V$7),'Population Data by Age'!$B$7:$B$10366,0),MATCH('Tabular Pop Data by Age'!$C$6,'Population Data by Age'!$B$6:$H$6,0))</f>
        <v>1220000</v>
      </c>
      <c r="W10" s="78">
        <f>INDEX('Population Data by Age'!$B$7:$H$10366,MATCH(CONCATENATE('Tabular Pop Data by Age'!$C10,'Tabular Pop Data by Age'!W$7),'Population Data by Age'!$B$7:$B$10366,0),MATCH('Tabular Pop Data by Age'!$C$6,'Population Data by Age'!$B$6:$H$6,0))</f>
        <v>1214000</v>
      </c>
      <c r="X10" s="78">
        <f>INDEX('Population Data by Age'!$B$7:$H$10366,MATCH(CONCATENATE('Tabular Pop Data by Age'!$C10,'Tabular Pop Data by Age'!X$7),'Population Data by Age'!$B$7:$B$10366,0),MATCH('Tabular Pop Data by Age'!$C$6,'Population Data by Age'!$B$6:$H$6,0))</f>
        <v>1035000</v>
      </c>
      <c r="Y10" s="78">
        <f>INDEX('Population Data by Age'!$B$7:$H$10366,MATCH(CONCATENATE('Tabular Pop Data by Age'!$C10,'Tabular Pop Data by Age'!Y$7),'Population Data by Age'!$B$7:$B$10366,0),MATCH('Tabular Pop Data by Age'!$C$6,'Population Data by Age'!$B$6:$H$6,0))</f>
        <v>1027000</v>
      </c>
      <c r="Z10" s="78">
        <f>INDEX('Population Data by Age'!$B$7:$H$10366,MATCH(CONCATENATE('Tabular Pop Data by Age'!$C10,'Tabular Pop Data by Age'!Z$7),'Population Data by Age'!$B$7:$B$10366,0),MATCH('Tabular Pop Data by Age'!$C$6,'Population Data by Age'!$B$6:$H$6,0))</f>
        <v>870000</v>
      </c>
      <c r="AA10" s="78">
        <f>INDEX('Population Data by Age'!$B$7:$H$10366,MATCH(CONCATENATE('Tabular Pop Data by Age'!$C10,'Tabular Pop Data by Age'!AA$7),'Population Data by Age'!$B$7:$B$10366,0),MATCH('Tabular Pop Data by Age'!$C$6,'Population Data by Age'!$B$6:$H$6,0))</f>
        <v>868000</v>
      </c>
      <c r="AB10" s="78">
        <f>INDEX('Population Data by Age'!$B$7:$H$10366,MATCH(CONCATENATE('Tabular Pop Data by Age'!$C10,'Tabular Pop Data by Age'!AB$7),'Population Data by Age'!$B$7:$B$10366,0),MATCH('Tabular Pop Data by Age'!$C$6,'Population Data by Age'!$B$6:$H$6,0))</f>
        <v>684000</v>
      </c>
      <c r="AC10" s="78">
        <f>INDEX('Population Data by Age'!$B$7:$H$10366,MATCH(CONCATENATE('Tabular Pop Data by Age'!$C10,'Tabular Pop Data by Age'!AC$7),'Population Data by Age'!$B$7:$B$10366,0),MATCH('Tabular Pop Data by Age'!$C$6,'Population Data by Age'!$B$6:$H$6,0))</f>
        <v>703000</v>
      </c>
      <c r="AD10" s="78">
        <f>INDEX('Population Data by Age'!$B$7:$H$10366,MATCH(CONCATENATE('Tabular Pop Data by Age'!$C10,'Tabular Pop Data by Age'!AD$7),'Population Data by Age'!$B$7:$B$10366,0),MATCH('Tabular Pop Data by Age'!$C$6,'Population Data by Age'!$B$6:$H$6,0))</f>
        <v>560000</v>
      </c>
      <c r="AE10" s="78">
        <f>INDEX('Population Data by Age'!$B$7:$H$10366,MATCH(CONCATENATE('Tabular Pop Data by Age'!$C10,'Tabular Pop Data by Age'!AE$7),'Population Data by Age'!$B$7:$B$10366,0),MATCH('Tabular Pop Data by Age'!$C$6,'Population Data by Age'!$B$6:$H$6,0))</f>
        <v>583000</v>
      </c>
      <c r="AF10" s="78">
        <f>INDEX('Population Data by Age'!$B$7:$H$10366,MATCH(CONCATENATE('Tabular Pop Data by Age'!$C10,'Tabular Pop Data by Age'!AF$7),'Population Data by Age'!$B$7:$B$10366,0),MATCH('Tabular Pop Data by Age'!$C$6,'Population Data by Age'!$B$6:$H$6,0))</f>
        <v>364000</v>
      </c>
      <c r="AG10" s="78">
        <f>INDEX('Population Data by Age'!$B$7:$H$10366,MATCH(CONCATENATE('Tabular Pop Data by Age'!$C10,'Tabular Pop Data by Age'!AG$7),'Population Data by Age'!$B$7:$B$10366,0),MATCH('Tabular Pop Data by Age'!$C$6,'Population Data by Age'!$B$6:$H$6,0))</f>
        <v>360000</v>
      </c>
      <c r="AH10" s="78">
        <f>INDEX('Population Data by Age'!$B$7:$H$10366,MATCH(CONCATENATE('Tabular Pop Data by Age'!$C10,'Tabular Pop Data by Age'!AH$7),'Population Data by Age'!$B$7:$B$10366,0),MATCH('Tabular Pop Data by Age'!$C$6,'Population Data by Age'!$B$6:$H$6,0))</f>
        <v>272000</v>
      </c>
      <c r="AI10" s="78">
        <f>INDEX('Population Data by Age'!$B$7:$H$10366,MATCH(CONCATENATE('Tabular Pop Data by Age'!$C10,'Tabular Pop Data by Age'!AI$7),'Population Data by Age'!$B$7:$B$10366,0),MATCH('Tabular Pop Data by Age'!$C$6,'Population Data by Age'!$B$6:$H$6,0))</f>
        <v>242000</v>
      </c>
      <c r="AJ10" s="78">
        <f>INDEX('Population Data by Age'!$B$7:$H$10366,MATCH(CONCATENATE('Tabular Pop Data by Age'!$C10,'Tabular Pop Data by Age'!AJ$7),'Population Data by Age'!$B$7:$B$10366,0),MATCH('Tabular Pop Data by Age'!$C$6,'Population Data by Age'!$B$6:$H$6,0))</f>
        <v>308000</v>
      </c>
      <c r="AK10" s="78">
        <f>INDEX('Population Data by Age'!$B$7:$H$10366,MATCH(CONCATENATE('Tabular Pop Data by Age'!$C10,'Tabular Pop Data by Age'!AK$7),'Population Data by Age'!$B$7:$B$10366,0),MATCH('Tabular Pop Data by Age'!$C$6,'Population Data by Age'!$B$6:$H$6,0))</f>
        <v>268000</v>
      </c>
      <c r="AL10" s="78">
        <f>INDEX('Population Data by Age'!$B$7:$H$10366,MATCH(CONCATENATE('Tabular Pop Data by Age'!$C10,'Tabular Pop Data by Age'!AL$7),'Population Data by Age'!$B$7:$B$10366,0),MATCH('Tabular Pop Data by Age'!$C$6,'Population Data by Age'!$B$6:$H$6,0))</f>
        <v>21697000</v>
      </c>
      <c r="AM10" s="78">
        <f>INDEX('Population Data by Age'!$B$7:$H$10366,MATCH(CONCATENATE('Tabular Pop Data by Age'!$C10,'Tabular Pop Data by Age'!AM$7),'Population Data by Age'!$B$7:$B$10366,0),MATCH('Tabular Pop Data by Age'!$C$6,'Population Data by Age'!$B$6:$H$6,0))</f>
        <v>22154000</v>
      </c>
      <c r="AN10" s="78">
        <f>INDEX('Population Data by Age'!$B$7:$H$10366,MATCH(CONCATENATE('Tabular Pop Data by Age'!$C10,'Tabular Pop Data by Age'!AN$7),'Population Data by Age'!$B$7:$B$10366,0),MATCH('Tabular Pop Data by Age'!$C$6,'Population Data by Age'!$B$6:$H$6,0))</f>
        <v>43851000</v>
      </c>
      <c r="AO10" s="78">
        <f>INDEX('Population Data by Age'!$B$7:$H$10366,MATCH(CONCATENATE('Tabular Pop Data by Age'!$C10,'Tabular Pop Data by Age'!AO$7),'Population Data by Age'!$B$7:$B$10366,0),MATCH('Tabular Pop Data by Age'!$C$6,'Population Data by Age'!$B$6:$H$6,0))</f>
        <v>0</v>
      </c>
      <c r="AP10" s="79">
        <f t="shared" si="0"/>
        <v>5041000</v>
      </c>
      <c r="AQ10" s="79">
        <f t="shared" si="1"/>
        <v>4636000</v>
      </c>
      <c r="AR10" s="79">
        <f t="shared" si="2"/>
        <v>3821000</v>
      </c>
      <c r="AS10" s="79">
        <f t="shared" si="3"/>
        <v>2910000</v>
      </c>
      <c r="AT10" s="79">
        <f t="shared" si="4"/>
        <v>3000000</v>
      </c>
      <c r="AU10" s="79">
        <f t="shared" si="5"/>
        <v>3574000</v>
      </c>
      <c r="AV10" s="79">
        <f t="shared" si="6"/>
        <v>3728000</v>
      </c>
      <c r="AW10" s="79">
        <f t="shared" si="7"/>
        <v>3548000</v>
      </c>
      <c r="AX10" s="79">
        <f t="shared" si="8"/>
        <v>3014000</v>
      </c>
      <c r="AY10" s="79">
        <f t="shared" si="9"/>
        <v>2434000</v>
      </c>
      <c r="AZ10" s="79">
        <f t="shared" si="10"/>
        <v>2062000</v>
      </c>
      <c r="BA10" s="79">
        <f t="shared" si="11"/>
        <v>1738000</v>
      </c>
      <c r="BB10" s="79">
        <f t="shared" si="12"/>
        <v>1387000</v>
      </c>
      <c r="BC10" s="79">
        <f t="shared" si="13"/>
        <v>1143000</v>
      </c>
      <c r="BD10" s="79">
        <f t="shared" si="14"/>
        <v>724000</v>
      </c>
      <c r="BE10" s="79">
        <f t="shared" si="15"/>
        <v>514000</v>
      </c>
      <c r="BF10" s="79">
        <f t="shared" si="16"/>
        <v>576000</v>
      </c>
    </row>
    <row r="11" spans="1:60" x14ac:dyDescent="0.25">
      <c r="A11" s="138" t="s">
        <v>1195</v>
      </c>
      <c r="B11" t="s">
        <v>421</v>
      </c>
      <c r="C11" t="s">
        <v>193</v>
      </c>
      <c r="D11" s="78">
        <f>INDEX('Population Data by Age'!$B$7:$H$10366,MATCH(CONCATENATE('Tabular Pop Data by Age'!$C11,'Tabular Pop Data by Age'!D$7),'Population Data by Age'!$B$7:$B$10366,0),MATCH('Tabular Pop Data by Age'!$C$6,'Population Data by Age'!$B$6:$H$6,0))</f>
        <v>0</v>
      </c>
      <c r="E11" s="78">
        <f>INDEX('Population Data by Age'!$B$7:$H$10366,MATCH(CONCATENATE('Tabular Pop Data by Age'!$C11,'Tabular Pop Data by Age'!E$7),'Population Data by Age'!$B$7:$B$10366,0),MATCH('Tabular Pop Data by Age'!$C$6,'Population Data by Age'!$B$6:$H$6,0))</f>
        <v>0</v>
      </c>
      <c r="F11" s="78">
        <f>INDEX('Population Data by Age'!$B$7:$H$10366,MATCH(CONCATENATE('Tabular Pop Data by Age'!$C11,'Tabular Pop Data by Age'!F$7),'Population Data by Age'!$B$7:$B$10366,0),MATCH('Tabular Pop Data by Age'!$C$6,'Population Data by Age'!$B$6:$H$6,0))</f>
        <v>0</v>
      </c>
      <c r="G11" s="78">
        <f>INDEX('Population Data by Age'!$B$7:$H$10366,MATCH(CONCATENATE('Tabular Pop Data by Age'!$C11,'Tabular Pop Data by Age'!G$7),'Population Data by Age'!$B$7:$B$10366,0),MATCH('Tabular Pop Data by Age'!$C$6,'Population Data by Age'!$B$6:$H$6,0))</f>
        <v>0</v>
      </c>
      <c r="H11" s="78">
        <f>INDEX('Population Data by Age'!$B$7:$H$10366,MATCH(CONCATENATE('Tabular Pop Data by Age'!$C11,'Tabular Pop Data by Age'!H$7),'Population Data by Age'!$B$7:$B$10366,0),MATCH('Tabular Pop Data by Age'!$C$6,'Population Data by Age'!$B$6:$H$6,0))</f>
        <v>0</v>
      </c>
      <c r="I11" s="78">
        <f>INDEX('Population Data by Age'!$B$7:$H$10366,MATCH(CONCATENATE('Tabular Pop Data by Age'!$C11,'Tabular Pop Data by Age'!I$7),'Population Data by Age'!$B$7:$B$10366,0),MATCH('Tabular Pop Data by Age'!$C$6,'Population Data by Age'!$B$6:$H$6,0))</f>
        <v>0</v>
      </c>
      <c r="J11" s="78">
        <f>INDEX('Population Data by Age'!$B$7:$H$10366,MATCH(CONCATENATE('Tabular Pop Data by Age'!$C11,'Tabular Pop Data by Age'!J$7),'Population Data by Age'!$B$7:$B$10366,0),MATCH('Tabular Pop Data by Age'!$C$6,'Population Data by Age'!$B$6:$H$6,0))</f>
        <v>0</v>
      </c>
      <c r="K11" s="78">
        <f>INDEX('Population Data by Age'!$B$7:$H$10366,MATCH(CONCATENATE('Tabular Pop Data by Age'!$C11,'Tabular Pop Data by Age'!K$7),'Population Data by Age'!$B$7:$B$10366,0),MATCH('Tabular Pop Data by Age'!$C$6,'Population Data by Age'!$B$6:$H$6,0))</f>
        <v>0</v>
      </c>
      <c r="L11" s="78">
        <f>INDEX('Population Data by Age'!$B$7:$H$10366,MATCH(CONCATENATE('Tabular Pop Data by Age'!$C11,'Tabular Pop Data by Age'!L$7),'Population Data by Age'!$B$7:$B$10366,0),MATCH('Tabular Pop Data by Age'!$C$6,'Population Data by Age'!$B$6:$H$6,0))</f>
        <v>0</v>
      </c>
      <c r="M11" s="78">
        <f>INDEX('Population Data by Age'!$B$7:$H$10366,MATCH(CONCATENATE('Tabular Pop Data by Age'!$C11,'Tabular Pop Data by Age'!M$7),'Population Data by Age'!$B$7:$B$10366,0),MATCH('Tabular Pop Data by Age'!$C$6,'Population Data by Age'!$B$6:$H$6,0))</f>
        <v>0</v>
      </c>
      <c r="N11" s="78">
        <f>INDEX('Population Data by Age'!$B$7:$H$10366,MATCH(CONCATENATE('Tabular Pop Data by Age'!$C11,'Tabular Pop Data by Age'!N$7),'Population Data by Age'!$B$7:$B$10366,0),MATCH('Tabular Pop Data by Age'!$C$6,'Population Data by Age'!$B$6:$H$6,0))</f>
        <v>0</v>
      </c>
      <c r="O11" s="78">
        <f>INDEX('Population Data by Age'!$B$7:$H$10366,MATCH(CONCATENATE('Tabular Pop Data by Age'!$C11,'Tabular Pop Data by Age'!O$7),'Population Data by Age'!$B$7:$B$10366,0),MATCH('Tabular Pop Data by Age'!$C$6,'Population Data by Age'!$B$6:$H$6,0))</f>
        <v>0</v>
      </c>
      <c r="P11" s="78">
        <f>INDEX('Population Data by Age'!$B$7:$H$10366,MATCH(CONCATENATE('Tabular Pop Data by Age'!$C11,'Tabular Pop Data by Age'!P$7),'Population Data by Age'!$B$7:$B$10366,0),MATCH('Tabular Pop Data by Age'!$C$6,'Population Data by Age'!$B$6:$H$6,0))</f>
        <v>0</v>
      </c>
      <c r="Q11" s="78">
        <f>INDEX('Population Data by Age'!$B$7:$H$10366,MATCH(CONCATENATE('Tabular Pop Data by Age'!$C11,'Tabular Pop Data by Age'!Q$7),'Population Data by Age'!$B$7:$B$10366,0),MATCH('Tabular Pop Data by Age'!$C$6,'Population Data by Age'!$B$6:$H$6,0))</f>
        <v>0</v>
      </c>
      <c r="R11" s="78">
        <f>INDEX('Population Data by Age'!$B$7:$H$10366,MATCH(CONCATENATE('Tabular Pop Data by Age'!$C11,'Tabular Pop Data by Age'!R$7),'Population Data by Age'!$B$7:$B$10366,0),MATCH('Tabular Pop Data by Age'!$C$6,'Population Data by Age'!$B$6:$H$6,0))</f>
        <v>0</v>
      </c>
      <c r="S11" s="78">
        <f>INDEX('Population Data by Age'!$B$7:$H$10366,MATCH(CONCATENATE('Tabular Pop Data by Age'!$C11,'Tabular Pop Data by Age'!S$7),'Population Data by Age'!$B$7:$B$10366,0),MATCH('Tabular Pop Data by Age'!$C$6,'Population Data by Age'!$B$6:$H$6,0))</f>
        <v>0</v>
      </c>
      <c r="T11" s="78">
        <f>INDEX('Population Data by Age'!$B$7:$H$10366,MATCH(CONCATENATE('Tabular Pop Data by Age'!$C11,'Tabular Pop Data by Age'!T$7),'Population Data by Age'!$B$7:$B$10366,0),MATCH('Tabular Pop Data by Age'!$C$6,'Population Data by Age'!$B$6:$H$6,0))</f>
        <v>0</v>
      </c>
      <c r="U11" s="78">
        <f>INDEX('Population Data by Age'!$B$7:$H$10366,MATCH(CONCATENATE('Tabular Pop Data by Age'!$C11,'Tabular Pop Data by Age'!U$7),'Population Data by Age'!$B$7:$B$10366,0),MATCH('Tabular Pop Data by Age'!$C$6,'Population Data by Age'!$B$6:$H$6,0))</f>
        <v>0</v>
      </c>
      <c r="V11" s="78">
        <f>INDEX('Population Data by Age'!$B$7:$H$10366,MATCH(CONCATENATE('Tabular Pop Data by Age'!$C11,'Tabular Pop Data by Age'!V$7),'Population Data by Age'!$B$7:$B$10366,0),MATCH('Tabular Pop Data by Age'!$C$6,'Population Data by Age'!$B$6:$H$6,0))</f>
        <v>0</v>
      </c>
      <c r="W11" s="78">
        <f>INDEX('Population Data by Age'!$B$7:$H$10366,MATCH(CONCATENATE('Tabular Pop Data by Age'!$C11,'Tabular Pop Data by Age'!W$7),'Population Data by Age'!$B$7:$B$10366,0),MATCH('Tabular Pop Data by Age'!$C$6,'Population Data by Age'!$B$6:$H$6,0))</f>
        <v>0</v>
      </c>
      <c r="X11" s="78">
        <f>INDEX('Population Data by Age'!$B$7:$H$10366,MATCH(CONCATENATE('Tabular Pop Data by Age'!$C11,'Tabular Pop Data by Age'!X$7),'Population Data by Age'!$B$7:$B$10366,0),MATCH('Tabular Pop Data by Age'!$C$6,'Population Data by Age'!$B$6:$H$6,0))</f>
        <v>0</v>
      </c>
      <c r="Y11" s="78">
        <f>INDEX('Population Data by Age'!$B$7:$H$10366,MATCH(CONCATENATE('Tabular Pop Data by Age'!$C11,'Tabular Pop Data by Age'!Y$7),'Population Data by Age'!$B$7:$B$10366,0),MATCH('Tabular Pop Data by Age'!$C$6,'Population Data by Age'!$B$6:$H$6,0))</f>
        <v>0</v>
      </c>
      <c r="Z11" s="78">
        <f>INDEX('Population Data by Age'!$B$7:$H$10366,MATCH(CONCATENATE('Tabular Pop Data by Age'!$C11,'Tabular Pop Data by Age'!Z$7),'Population Data by Age'!$B$7:$B$10366,0),MATCH('Tabular Pop Data by Age'!$C$6,'Population Data by Age'!$B$6:$H$6,0))</f>
        <v>0</v>
      </c>
      <c r="AA11" s="78">
        <f>INDEX('Population Data by Age'!$B$7:$H$10366,MATCH(CONCATENATE('Tabular Pop Data by Age'!$C11,'Tabular Pop Data by Age'!AA$7),'Population Data by Age'!$B$7:$B$10366,0),MATCH('Tabular Pop Data by Age'!$C$6,'Population Data by Age'!$B$6:$H$6,0))</f>
        <v>0</v>
      </c>
      <c r="AB11" s="78">
        <f>INDEX('Population Data by Age'!$B$7:$H$10366,MATCH(CONCATENATE('Tabular Pop Data by Age'!$C11,'Tabular Pop Data by Age'!AB$7),'Population Data by Age'!$B$7:$B$10366,0),MATCH('Tabular Pop Data by Age'!$C$6,'Population Data by Age'!$B$6:$H$6,0))</f>
        <v>0</v>
      </c>
      <c r="AC11" s="78">
        <f>INDEX('Population Data by Age'!$B$7:$H$10366,MATCH(CONCATENATE('Tabular Pop Data by Age'!$C11,'Tabular Pop Data by Age'!AC$7),'Population Data by Age'!$B$7:$B$10366,0),MATCH('Tabular Pop Data by Age'!$C$6,'Population Data by Age'!$B$6:$H$6,0))</f>
        <v>0</v>
      </c>
      <c r="AD11" s="78">
        <f>INDEX('Population Data by Age'!$B$7:$H$10366,MATCH(CONCATENATE('Tabular Pop Data by Age'!$C11,'Tabular Pop Data by Age'!AD$7),'Population Data by Age'!$B$7:$B$10366,0),MATCH('Tabular Pop Data by Age'!$C$6,'Population Data by Age'!$B$6:$H$6,0))</f>
        <v>0</v>
      </c>
      <c r="AE11" s="78">
        <f>INDEX('Population Data by Age'!$B$7:$H$10366,MATCH(CONCATENATE('Tabular Pop Data by Age'!$C11,'Tabular Pop Data by Age'!AE$7),'Population Data by Age'!$B$7:$B$10366,0),MATCH('Tabular Pop Data by Age'!$C$6,'Population Data by Age'!$B$6:$H$6,0))</f>
        <v>0</v>
      </c>
      <c r="AF11" s="78">
        <f>INDEX('Population Data by Age'!$B$7:$H$10366,MATCH(CONCATENATE('Tabular Pop Data by Age'!$C11,'Tabular Pop Data by Age'!AF$7),'Population Data by Age'!$B$7:$B$10366,0),MATCH('Tabular Pop Data by Age'!$C$6,'Population Data by Age'!$B$6:$H$6,0))</f>
        <v>0</v>
      </c>
      <c r="AG11" s="78">
        <f>INDEX('Population Data by Age'!$B$7:$H$10366,MATCH(CONCATENATE('Tabular Pop Data by Age'!$C11,'Tabular Pop Data by Age'!AG$7),'Population Data by Age'!$B$7:$B$10366,0),MATCH('Tabular Pop Data by Age'!$C$6,'Population Data by Age'!$B$6:$H$6,0))</f>
        <v>0</v>
      </c>
      <c r="AH11" s="78">
        <f>INDEX('Population Data by Age'!$B$7:$H$10366,MATCH(CONCATENATE('Tabular Pop Data by Age'!$C11,'Tabular Pop Data by Age'!AH$7),'Population Data by Age'!$B$7:$B$10366,0),MATCH('Tabular Pop Data by Age'!$C$6,'Population Data by Age'!$B$6:$H$6,0))</f>
        <v>0</v>
      </c>
      <c r="AI11" s="78">
        <f>INDEX('Population Data by Age'!$B$7:$H$10366,MATCH(CONCATENATE('Tabular Pop Data by Age'!$C11,'Tabular Pop Data by Age'!AI$7),'Population Data by Age'!$B$7:$B$10366,0),MATCH('Tabular Pop Data by Age'!$C$6,'Population Data by Age'!$B$6:$H$6,0))</f>
        <v>0</v>
      </c>
      <c r="AJ11" s="78">
        <f>INDEX('Population Data by Age'!$B$7:$H$10366,MATCH(CONCATENATE('Tabular Pop Data by Age'!$C11,'Tabular Pop Data by Age'!AJ$7),'Population Data by Age'!$B$7:$B$10366,0),MATCH('Tabular Pop Data by Age'!$C$6,'Population Data by Age'!$B$6:$H$6,0))</f>
        <v>0</v>
      </c>
      <c r="AK11" s="78">
        <f>INDEX('Population Data by Age'!$B$7:$H$10366,MATCH(CONCATENATE('Tabular Pop Data by Age'!$C11,'Tabular Pop Data by Age'!AK$7),'Population Data by Age'!$B$7:$B$10366,0),MATCH('Tabular Pop Data by Age'!$C$6,'Population Data by Age'!$B$6:$H$6,0))</f>
        <v>0</v>
      </c>
      <c r="AL11" s="78">
        <f>INDEX('Population Data by Age'!$B$7:$H$10366,MATCH(CONCATENATE('Tabular Pop Data by Age'!$C11,'Tabular Pop Data by Age'!AL$7),'Population Data by Age'!$B$7:$B$10366,0),MATCH('Tabular Pop Data by Age'!$C$6,'Population Data by Age'!$B$6:$H$6,0))</f>
        <v>0</v>
      </c>
      <c r="AM11" s="78">
        <f>INDEX('Population Data by Age'!$B$7:$H$10366,MATCH(CONCATENATE('Tabular Pop Data by Age'!$C11,'Tabular Pop Data by Age'!AM$7),'Population Data by Age'!$B$7:$B$10366,0),MATCH('Tabular Pop Data by Age'!$C$6,'Population Data by Age'!$B$6:$H$6,0))</f>
        <v>0</v>
      </c>
      <c r="AN11" s="78">
        <f>INDEX('Population Data by Age'!$B$7:$H$10366,MATCH(CONCATENATE('Tabular Pop Data by Age'!$C11,'Tabular Pop Data by Age'!AN$7),'Population Data by Age'!$B$7:$B$10366,0),MATCH('Tabular Pop Data by Age'!$C$6,'Population Data by Age'!$B$6:$H$6,0))</f>
        <v>55000</v>
      </c>
      <c r="AO11" s="78">
        <f>INDEX('Population Data by Age'!$B$7:$H$10366,MATCH(CONCATENATE('Tabular Pop Data by Age'!$C11,'Tabular Pop Data by Age'!AO$7),'Population Data by Age'!$B$7:$B$10366,0),MATCH('Tabular Pop Data by Age'!$C$6,'Population Data by Age'!$B$6:$H$6,0))</f>
        <v>0</v>
      </c>
      <c r="AP11" s="79">
        <f t="shared" si="0"/>
        <v>0</v>
      </c>
      <c r="AQ11" s="79">
        <f t="shared" si="1"/>
        <v>0</v>
      </c>
      <c r="AR11" s="79">
        <f t="shared" si="2"/>
        <v>0</v>
      </c>
      <c r="AS11" s="79">
        <f t="shared" si="3"/>
        <v>0</v>
      </c>
      <c r="AT11" s="79">
        <f t="shared" si="4"/>
        <v>0</v>
      </c>
      <c r="AU11" s="79">
        <f t="shared" si="5"/>
        <v>0</v>
      </c>
      <c r="AV11" s="79">
        <f t="shared" si="6"/>
        <v>0</v>
      </c>
      <c r="AW11" s="79">
        <f t="shared" si="7"/>
        <v>0</v>
      </c>
      <c r="AX11" s="79">
        <f t="shared" si="8"/>
        <v>0</v>
      </c>
      <c r="AY11" s="79">
        <f t="shared" si="9"/>
        <v>0</v>
      </c>
      <c r="AZ11" s="79">
        <f t="shared" si="10"/>
        <v>0</v>
      </c>
      <c r="BA11" s="79">
        <f t="shared" si="11"/>
        <v>0</v>
      </c>
      <c r="BB11" s="79">
        <f t="shared" si="12"/>
        <v>0</v>
      </c>
      <c r="BC11" s="79">
        <f t="shared" si="13"/>
        <v>0</v>
      </c>
      <c r="BD11" s="79">
        <f t="shared" si="14"/>
        <v>0</v>
      </c>
      <c r="BE11" s="79">
        <f t="shared" si="15"/>
        <v>0</v>
      </c>
      <c r="BF11" s="79">
        <f t="shared" si="16"/>
        <v>0</v>
      </c>
    </row>
    <row r="12" spans="1:60" x14ac:dyDescent="0.25">
      <c r="A12" s="138" t="s">
        <v>1195</v>
      </c>
      <c r="B12" t="s">
        <v>422</v>
      </c>
      <c r="C12" t="s">
        <v>1</v>
      </c>
      <c r="D12" s="78">
        <f>INDEX('Population Data by Age'!$B$7:$H$10366,MATCH(CONCATENATE('Tabular Pop Data by Age'!$C12,'Tabular Pop Data by Age'!D$7),'Population Data by Age'!$B$7:$B$10366,0),MATCH('Tabular Pop Data by Age'!$C$6,'Population Data by Age'!$B$6:$H$6,0))</f>
        <v>0</v>
      </c>
      <c r="E12" s="78">
        <f>INDEX('Population Data by Age'!$B$7:$H$10366,MATCH(CONCATENATE('Tabular Pop Data by Age'!$C12,'Tabular Pop Data by Age'!E$7),'Population Data by Age'!$B$7:$B$10366,0),MATCH('Tabular Pop Data by Age'!$C$6,'Population Data by Age'!$B$6:$H$6,0))</f>
        <v>0</v>
      </c>
      <c r="F12" s="78">
        <f>INDEX('Population Data by Age'!$B$7:$H$10366,MATCH(CONCATENATE('Tabular Pop Data by Age'!$C12,'Tabular Pop Data by Age'!F$7),'Population Data by Age'!$B$7:$B$10366,0),MATCH('Tabular Pop Data by Age'!$C$6,'Population Data by Age'!$B$6:$H$6,0))</f>
        <v>0</v>
      </c>
      <c r="G12" s="78">
        <f>INDEX('Population Data by Age'!$B$7:$H$10366,MATCH(CONCATENATE('Tabular Pop Data by Age'!$C12,'Tabular Pop Data by Age'!G$7),'Population Data by Age'!$B$7:$B$10366,0),MATCH('Tabular Pop Data by Age'!$C$6,'Population Data by Age'!$B$6:$H$6,0))</f>
        <v>0</v>
      </c>
      <c r="H12" s="78">
        <f>INDEX('Population Data by Age'!$B$7:$H$10366,MATCH(CONCATENATE('Tabular Pop Data by Age'!$C12,'Tabular Pop Data by Age'!H$7),'Population Data by Age'!$B$7:$B$10366,0),MATCH('Tabular Pop Data by Age'!$C$6,'Population Data by Age'!$B$6:$H$6,0))</f>
        <v>0</v>
      </c>
      <c r="I12" s="78">
        <f>INDEX('Population Data by Age'!$B$7:$H$10366,MATCH(CONCATENATE('Tabular Pop Data by Age'!$C12,'Tabular Pop Data by Age'!I$7),'Population Data by Age'!$B$7:$B$10366,0),MATCH('Tabular Pop Data by Age'!$C$6,'Population Data by Age'!$B$6:$H$6,0))</f>
        <v>0</v>
      </c>
      <c r="J12" s="78">
        <f>INDEX('Population Data by Age'!$B$7:$H$10366,MATCH(CONCATENATE('Tabular Pop Data by Age'!$C12,'Tabular Pop Data by Age'!J$7),'Population Data by Age'!$B$7:$B$10366,0),MATCH('Tabular Pop Data by Age'!$C$6,'Population Data by Age'!$B$6:$H$6,0))</f>
        <v>0</v>
      </c>
      <c r="K12" s="78">
        <f>INDEX('Population Data by Age'!$B$7:$H$10366,MATCH(CONCATENATE('Tabular Pop Data by Age'!$C12,'Tabular Pop Data by Age'!K$7),'Population Data by Age'!$B$7:$B$10366,0),MATCH('Tabular Pop Data by Age'!$C$6,'Population Data by Age'!$B$6:$H$6,0))</f>
        <v>0</v>
      </c>
      <c r="L12" s="78">
        <f>INDEX('Population Data by Age'!$B$7:$H$10366,MATCH(CONCATENATE('Tabular Pop Data by Age'!$C12,'Tabular Pop Data by Age'!L$7),'Population Data by Age'!$B$7:$B$10366,0),MATCH('Tabular Pop Data by Age'!$C$6,'Population Data by Age'!$B$6:$H$6,0))</f>
        <v>0</v>
      </c>
      <c r="M12" s="78">
        <f>INDEX('Population Data by Age'!$B$7:$H$10366,MATCH(CONCATENATE('Tabular Pop Data by Age'!$C12,'Tabular Pop Data by Age'!M$7),'Population Data by Age'!$B$7:$B$10366,0),MATCH('Tabular Pop Data by Age'!$C$6,'Population Data by Age'!$B$6:$H$6,0))</f>
        <v>0</v>
      </c>
      <c r="N12" s="78">
        <f>INDEX('Population Data by Age'!$B$7:$H$10366,MATCH(CONCATENATE('Tabular Pop Data by Age'!$C12,'Tabular Pop Data by Age'!N$7),'Population Data by Age'!$B$7:$B$10366,0),MATCH('Tabular Pop Data by Age'!$C$6,'Population Data by Age'!$B$6:$H$6,0))</f>
        <v>0</v>
      </c>
      <c r="O12" s="78">
        <f>INDEX('Population Data by Age'!$B$7:$H$10366,MATCH(CONCATENATE('Tabular Pop Data by Age'!$C12,'Tabular Pop Data by Age'!O$7),'Population Data by Age'!$B$7:$B$10366,0),MATCH('Tabular Pop Data by Age'!$C$6,'Population Data by Age'!$B$6:$H$6,0))</f>
        <v>0</v>
      </c>
      <c r="P12" s="78">
        <f>INDEX('Population Data by Age'!$B$7:$H$10366,MATCH(CONCATENATE('Tabular Pop Data by Age'!$C12,'Tabular Pop Data by Age'!P$7),'Population Data by Age'!$B$7:$B$10366,0),MATCH('Tabular Pop Data by Age'!$C$6,'Population Data by Age'!$B$6:$H$6,0))</f>
        <v>0</v>
      </c>
      <c r="Q12" s="78">
        <f>INDEX('Population Data by Age'!$B$7:$H$10366,MATCH(CONCATENATE('Tabular Pop Data by Age'!$C12,'Tabular Pop Data by Age'!Q$7),'Population Data by Age'!$B$7:$B$10366,0),MATCH('Tabular Pop Data by Age'!$C$6,'Population Data by Age'!$B$6:$H$6,0))</f>
        <v>0</v>
      </c>
      <c r="R12" s="78">
        <f>INDEX('Population Data by Age'!$B$7:$H$10366,MATCH(CONCATENATE('Tabular Pop Data by Age'!$C12,'Tabular Pop Data by Age'!R$7),'Population Data by Age'!$B$7:$B$10366,0),MATCH('Tabular Pop Data by Age'!$C$6,'Population Data by Age'!$B$6:$H$6,0))</f>
        <v>0</v>
      </c>
      <c r="S12" s="78">
        <f>INDEX('Population Data by Age'!$B$7:$H$10366,MATCH(CONCATENATE('Tabular Pop Data by Age'!$C12,'Tabular Pop Data by Age'!S$7),'Population Data by Age'!$B$7:$B$10366,0),MATCH('Tabular Pop Data by Age'!$C$6,'Population Data by Age'!$B$6:$H$6,0))</f>
        <v>0</v>
      </c>
      <c r="T12" s="78">
        <f>INDEX('Population Data by Age'!$B$7:$H$10366,MATCH(CONCATENATE('Tabular Pop Data by Age'!$C12,'Tabular Pop Data by Age'!T$7),'Population Data by Age'!$B$7:$B$10366,0),MATCH('Tabular Pop Data by Age'!$C$6,'Population Data by Age'!$B$6:$H$6,0))</f>
        <v>0</v>
      </c>
      <c r="U12" s="78">
        <f>INDEX('Population Data by Age'!$B$7:$H$10366,MATCH(CONCATENATE('Tabular Pop Data by Age'!$C12,'Tabular Pop Data by Age'!U$7),'Population Data by Age'!$B$7:$B$10366,0),MATCH('Tabular Pop Data by Age'!$C$6,'Population Data by Age'!$B$6:$H$6,0))</f>
        <v>0</v>
      </c>
      <c r="V12" s="78">
        <f>INDEX('Population Data by Age'!$B$7:$H$10366,MATCH(CONCATENATE('Tabular Pop Data by Age'!$C12,'Tabular Pop Data by Age'!V$7),'Population Data by Age'!$B$7:$B$10366,0),MATCH('Tabular Pop Data by Age'!$C$6,'Population Data by Age'!$B$6:$H$6,0))</f>
        <v>0</v>
      </c>
      <c r="W12" s="78">
        <f>INDEX('Population Data by Age'!$B$7:$H$10366,MATCH(CONCATENATE('Tabular Pop Data by Age'!$C12,'Tabular Pop Data by Age'!W$7),'Population Data by Age'!$B$7:$B$10366,0),MATCH('Tabular Pop Data by Age'!$C$6,'Population Data by Age'!$B$6:$H$6,0))</f>
        <v>0</v>
      </c>
      <c r="X12" s="78">
        <f>INDEX('Population Data by Age'!$B$7:$H$10366,MATCH(CONCATENATE('Tabular Pop Data by Age'!$C12,'Tabular Pop Data by Age'!X$7),'Population Data by Age'!$B$7:$B$10366,0),MATCH('Tabular Pop Data by Age'!$C$6,'Population Data by Age'!$B$6:$H$6,0))</f>
        <v>0</v>
      </c>
      <c r="Y12" s="78">
        <f>INDEX('Population Data by Age'!$B$7:$H$10366,MATCH(CONCATENATE('Tabular Pop Data by Age'!$C12,'Tabular Pop Data by Age'!Y$7),'Population Data by Age'!$B$7:$B$10366,0),MATCH('Tabular Pop Data by Age'!$C$6,'Population Data by Age'!$B$6:$H$6,0))</f>
        <v>0</v>
      </c>
      <c r="Z12" s="78">
        <f>INDEX('Population Data by Age'!$B$7:$H$10366,MATCH(CONCATENATE('Tabular Pop Data by Age'!$C12,'Tabular Pop Data by Age'!Z$7),'Population Data by Age'!$B$7:$B$10366,0),MATCH('Tabular Pop Data by Age'!$C$6,'Population Data by Age'!$B$6:$H$6,0))</f>
        <v>0</v>
      </c>
      <c r="AA12" s="78">
        <f>INDEX('Population Data by Age'!$B$7:$H$10366,MATCH(CONCATENATE('Tabular Pop Data by Age'!$C12,'Tabular Pop Data by Age'!AA$7),'Population Data by Age'!$B$7:$B$10366,0),MATCH('Tabular Pop Data by Age'!$C$6,'Population Data by Age'!$B$6:$H$6,0))</f>
        <v>0</v>
      </c>
      <c r="AB12" s="78">
        <f>INDEX('Population Data by Age'!$B$7:$H$10366,MATCH(CONCATENATE('Tabular Pop Data by Age'!$C12,'Tabular Pop Data by Age'!AB$7),'Population Data by Age'!$B$7:$B$10366,0),MATCH('Tabular Pop Data by Age'!$C$6,'Population Data by Age'!$B$6:$H$6,0))</f>
        <v>0</v>
      </c>
      <c r="AC12" s="78">
        <f>INDEX('Population Data by Age'!$B$7:$H$10366,MATCH(CONCATENATE('Tabular Pop Data by Age'!$C12,'Tabular Pop Data by Age'!AC$7),'Population Data by Age'!$B$7:$B$10366,0),MATCH('Tabular Pop Data by Age'!$C$6,'Population Data by Age'!$B$6:$H$6,0))</f>
        <v>0</v>
      </c>
      <c r="AD12" s="78">
        <f>INDEX('Population Data by Age'!$B$7:$H$10366,MATCH(CONCATENATE('Tabular Pop Data by Age'!$C12,'Tabular Pop Data by Age'!AD$7),'Population Data by Age'!$B$7:$B$10366,0),MATCH('Tabular Pop Data by Age'!$C$6,'Population Data by Age'!$B$6:$H$6,0))</f>
        <v>0</v>
      </c>
      <c r="AE12" s="78">
        <f>INDEX('Population Data by Age'!$B$7:$H$10366,MATCH(CONCATENATE('Tabular Pop Data by Age'!$C12,'Tabular Pop Data by Age'!AE$7),'Population Data by Age'!$B$7:$B$10366,0),MATCH('Tabular Pop Data by Age'!$C$6,'Population Data by Age'!$B$6:$H$6,0))</f>
        <v>0</v>
      </c>
      <c r="AF12" s="78">
        <f>INDEX('Population Data by Age'!$B$7:$H$10366,MATCH(CONCATENATE('Tabular Pop Data by Age'!$C12,'Tabular Pop Data by Age'!AF$7),'Population Data by Age'!$B$7:$B$10366,0),MATCH('Tabular Pop Data by Age'!$C$6,'Population Data by Age'!$B$6:$H$6,0))</f>
        <v>0</v>
      </c>
      <c r="AG12" s="78">
        <f>INDEX('Population Data by Age'!$B$7:$H$10366,MATCH(CONCATENATE('Tabular Pop Data by Age'!$C12,'Tabular Pop Data by Age'!AG$7),'Population Data by Age'!$B$7:$B$10366,0),MATCH('Tabular Pop Data by Age'!$C$6,'Population Data by Age'!$B$6:$H$6,0))</f>
        <v>0</v>
      </c>
      <c r="AH12" s="78">
        <f>INDEX('Population Data by Age'!$B$7:$H$10366,MATCH(CONCATENATE('Tabular Pop Data by Age'!$C12,'Tabular Pop Data by Age'!AH$7),'Population Data by Age'!$B$7:$B$10366,0),MATCH('Tabular Pop Data by Age'!$C$6,'Population Data by Age'!$B$6:$H$6,0))</f>
        <v>0</v>
      </c>
      <c r="AI12" s="78">
        <f>INDEX('Population Data by Age'!$B$7:$H$10366,MATCH(CONCATENATE('Tabular Pop Data by Age'!$C12,'Tabular Pop Data by Age'!AI$7),'Population Data by Age'!$B$7:$B$10366,0),MATCH('Tabular Pop Data by Age'!$C$6,'Population Data by Age'!$B$6:$H$6,0))</f>
        <v>0</v>
      </c>
      <c r="AJ12" s="78">
        <f>INDEX('Population Data by Age'!$B$7:$H$10366,MATCH(CONCATENATE('Tabular Pop Data by Age'!$C12,'Tabular Pop Data by Age'!AJ$7),'Population Data by Age'!$B$7:$B$10366,0),MATCH('Tabular Pop Data by Age'!$C$6,'Population Data by Age'!$B$6:$H$6,0))</f>
        <v>0</v>
      </c>
      <c r="AK12" s="78">
        <f>INDEX('Population Data by Age'!$B$7:$H$10366,MATCH(CONCATENATE('Tabular Pop Data by Age'!$C12,'Tabular Pop Data by Age'!AK$7),'Population Data by Age'!$B$7:$B$10366,0),MATCH('Tabular Pop Data by Age'!$C$6,'Population Data by Age'!$B$6:$H$6,0))</f>
        <v>0</v>
      </c>
      <c r="AL12" s="78">
        <f>INDEX('Population Data by Age'!$B$7:$H$10366,MATCH(CONCATENATE('Tabular Pop Data by Age'!$C12,'Tabular Pop Data by Age'!AL$7),'Population Data by Age'!$B$7:$B$10366,0),MATCH('Tabular Pop Data by Age'!$C$6,'Population Data by Age'!$B$6:$H$6,0))</f>
        <v>0</v>
      </c>
      <c r="AM12" s="78">
        <f>INDEX('Population Data by Age'!$B$7:$H$10366,MATCH(CONCATENATE('Tabular Pop Data by Age'!$C12,'Tabular Pop Data by Age'!AM$7),'Population Data by Age'!$B$7:$B$10366,0),MATCH('Tabular Pop Data by Age'!$C$6,'Population Data by Age'!$B$6:$H$6,0))</f>
        <v>0</v>
      </c>
      <c r="AN12" s="78">
        <f>INDEX('Population Data by Age'!$B$7:$H$10366,MATCH(CONCATENATE('Tabular Pop Data by Age'!$C12,'Tabular Pop Data by Age'!AN$7),'Population Data by Age'!$B$7:$B$10366,0),MATCH('Tabular Pop Data by Age'!$C$6,'Population Data by Age'!$B$6:$H$6,0))</f>
        <v>77000</v>
      </c>
      <c r="AO12" s="78">
        <f>INDEX('Population Data by Age'!$B$7:$H$10366,MATCH(CONCATENATE('Tabular Pop Data by Age'!$C12,'Tabular Pop Data by Age'!AO$7),'Population Data by Age'!$B$7:$B$10366,0),MATCH('Tabular Pop Data by Age'!$C$6,'Population Data by Age'!$B$6:$H$6,0))</f>
        <v>0</v>
      </c>
      <c r="AP12" s="79">
        <f t="shared" si="0"/>
        <v>0</v>
      </c>
      <c r="AQ12" s="79">
        <f t="shared" si="1"/>
        <v>0</v>
      </c>
      <c r="AR12" s="79">
        <f t="shared" si="2"/>
        <v>0</v>
      </c>
      <c r="AS12" s="79">
        <f t="shared" si="3"/>
        <v>0</v>
      </c>
      <c r="AT12" s="79">
        <f t="shared" si="4"/>
        <v>0</v>
      </c>
      <c r="AU12" s="79">
        <f t="shared" si="5"/>
        <v>0</v>
      </c>
      <c r="AV12" s="79">
        <f t="shared" si="6"/>
        <v>0</v>
      </c>
      <c r="AW12" s="79">
        <f t="shared" si="7"/>
        <v>0</v>
      </c>
      <c r="AX12" s="79">
        <f t="shared" si="8"/>
        <v>0</v>
      </c>
      <c r="AY12" s="79">
        <f t="shared" si="9"/>
        <v>0</v>
      </c>
      <c r="AZ12" s="79">
        <f t="shared" si="10"/>
        <v>0</v>
      </c>
      <c r="BA12" s="79">
        <f t="shared" si="11"/>
        <v>0</v>
      </c>
      <c r="BB12" s="79">
        <f t="shared" si="12"/>
        <v>0</v>
      </c>
      <c r="BC12" s="79">
        <f t="shared" si="13"/>
        <v>0</v>
      </c>
      <c r="BD12" s="79">
        <f t="shared" si="14"/>
        <v>0</v>
      </c>
      <c r="BE12" s="79">
        <f t="shared" si="15"/>
        <v>0</v>
      </c>
      <c r="BF12" s="79">
        <f t="shared" si="16"/>
        <v>0</v>
      </c>
    </row>
    <row r="13" spans="1:60" x14ac:dyDescent="0.25">
      <c r="A13" s="138" t="s">
        <v>1195</v>
      </c>
      <c r="B13" t="s">
        <v>182</v>
      </c>
      <c r="C13" t="s">
        <v>165</v>
      </c>
      <c r="D13" s="78">
        <f>INDEX('Population Data by Age'!$B$7:$H$10366,MATCH(CONCATENATE('Tabular Pop Data by Age'!$C13,'Tabular Pop Data by Age'!D$7),'Population Data by Age'!$B$7:$B$10366,0),MATCH('Tabular Pop Data by Age'!$C$6,'Population Data by Age'!$B$6:$H$6,0))</f>
        <v>2871000</v>
      </c>
      <c r="E13" s="78">
        <f>INDEX('Population Data by Age'!$B$7:$H$10366,MATCH(CONCATENATE('Tabular Pop Data by Age'!$C13,'Tabular Pop Data by Age'!E$7),'Population Data by Age'!$B$7:$B$10366,0),MATCH('Tabular Pop Data by Age'!$C$6,'Population Data by Age'!$B$6:$H$6,0))</f>
        <v>2924000</v>
      </c>
      <c r="F13" s="78">
        <f>INDEX('Population Data by Age'!$B$7:$H$10366,MATCH(CONCATENATE('Tabular Pop Data by Age'!$C13,'Tabular Pop Data by Age'!F$7),'Population Data by Age'!$B$7:$B$10366,0),MATCH('Tabular Pop Data by Age'!$C$6,'Population Data by Age'!$B$6:$H$6,0))</f>
        <v>2536000</v>
      </c>
      <c r="G13" s="78">
        <f>INDEX('Population Data by Age'!$B$7:$H$10366,MATCH(CONCATENATE('Tabular Pop Data by Age'!$C13,'Tabular Pop Data by Age'!G$7),'Population Data by Age'!$B$7:$B$10366,0),MATCH('Tabular Pop Data by Age'!$C$6,'Population Data by Age'!$B$6:$H$6,0))</f>
        <v>2568000</v>
      </c>
      <c r="H13" s="78">
        <f>INDEX('Population Data by Age'!$B$7:$H$10366,MATCH(CONCATENATE('Tabular Pop Data by Age'!$C13,'Tabular Pop Data by Age'!H$7),'Population Data by Age'!$B$7:$B$10366,0),MATCH('Tabular Pop Data by Age'!$C$6,'Population Data by Age'!$B$6:$H$6,0))</f>
        <v>2183000</v>
      </c>
      <c r="I13" s="78">
        <f>INDEX('Population Data by Age'!$B$7:$H$10366,MATCH(CONCATENATE('Tabular Pop Data by Age'!$C13,'Tabular Pop Data by Age'!I$7),'Population Data by Age'!$B$7:$B$10366,0),MATCH('Tabular Pop Data by Age'!$C$6,'Population Data by Age'!$B$6:$H$6,0))</f>
        <v>2167000</v>
      </c>
      <c r="J13" s="78">
        <f>INDEX('Population Data by Age'!$B$7:$H$10366,MATCH(CONCATENATE('Tabular Pop Data by Age'!$C13,'Tabular Pop Data by Age'!J$7),'Population Data by Age'!$B$7:$B$10366,0),MATCH('Tabular Pop Data by Age'!$C$6,'Population Data by Age'!$B$6:$H$6,0))</f>
        <v>1781000</v>
      </c>
      <c r="K13" s="78">
        <f>INDEX('Population Data by Age'!$B$7:$H$10366,MATCH(CONCATENATE('Tabular Pop Data by Age'!$C13,'Tabular Pop Data by Age'!K$7),'Population Data by Age'!$B$7:$B$10366,0),MATCH('Tabular Pop Data by Age'!$C$6,'Population Data by Age'!$B$6:$H$6,0))</f>
        <v>1752000</v>
      </c>
      <c r="L13" s="78">
        <f>INDEX('Population Data by Age'!$B$7:$H$10366,MATCH(CONCATENATE('Tabular Pop Data by Age'!$C13,'Tabular Pop Data by Age'!L$7),'Population Data by Age'!$B$7:$B$10366,0),MATCH('Tabular Pop Data by Age'!$C$6,'Population Data by Age'!$B$6:$H$6,0))</f>
        <v>1458000</v>
      </c>
      <c r="M13" s="78">
        <f>INDEX('Population Data by Age'!$B$7:$H$10366,MATCH(CONCATENATE('Tabular Pop Data by Age'!$C13,'Tabular Pop Data by Age'!M$7),'Population Data by Age'!$B$7:$B$10366,0),MATCH('Tabular Pop Data by Age'!$C$6,'Population Data by Age'!$B$6:$H$6,0))</f>
        <v>1424000</v>
      </c>
      <c r="N13" s="78">
        <f>INDEX('Population Data by Age'!$B$7:$H$10366,MATCH(CONCATENATE('Tabular Pop Data by Age'!$C13,'Tabular Pop Data by Age'!N$7),'Population Data by Age'!$B$7:$B$10366,0),MATCH('Tabular Pop Data by Age'!$C$6,'Population Data by Age'!$B$6:$H$6,0))</f>
        <v>1231000</v>
      </c>
      <c r="O13" s="78">
        <f>INDEX('Population Data by Age'!$B$7:$H$10366,MATCH(CONCATENATE('Tabular Pop Data by Age'!$C13,'Tabular Pop Data by Age'!O$7),'Population Data by Age'!$B$7:$B$10366,0),MATCH('Tabular Pop Data by Age'!$C$6,'Population Data by Age'!$B$6:$H$6,0))</f>
        <v>1192000</v>
      </c>
      <c r="P13" s="78">
        <f>INDEX('Population Data by Age'!$B$7:$H$10366,MATCH(CONCATENATE('Tabular Pop Data by Age'!$C13,'Tabular Pop Data by Age'!P$7),'Population Data by Age'!$B$7:$B$10366,0),MATCH('Tabular Pop Data by Age'!$C$6,'Population Data by Age'!$B$6:$H$6,0))</f>
        <v>1041000</v>
      </c>
      <c r="Q13" s="78">
        <f>INDEX('Population Data by Age'!$B$7:$H$10366,MATCH(CONCATENATE('Tabular Pop Data by Age'!$C13,'Tabular Pop Data by Age'!Q$7),'Population Data by Age'!$B$7:$B$10366,0),MATCH('Tabular Pop Data by Age'!$C$6,'Population Data by Age'!$B$6:$H$6,0))</f>
        <v>999000</v>
      </c>
      <c r="R13" s="78">
        <f>INDEX('Population Data by Age'!$B$7:$H$10366,MATCH(CONCATENATE('Tabular Pop Data by Age'!$C13,'Tabular Pop Data by Age'!R$7),'Population Data by Age'!$B$7:$B$10366,0),MATCH('Tabular Pop Data by Age'!$C$6,'Population Data by Age'!$B$6:$H$6,0))</f>
        <v>850000</v>
      </c>
      <c r="S13" s="78">
        <f>INDEX('Population Data by Age'!$B$7:$H$10366,MATCH(CONCATENATE('Tabular Pop Data by Age'!$C13,'Tabular Pop Data by Age'!S$7),'Population Data by Age'!$B$7:$B$10366,0),MATCH('Tabular Pop Data by Age'!$C$6,'Population Data by Age'!$B$6:$H$6,0))</f>
        <v>809000</v>
      </c>
      <c r="T13" s="78">
        <f>INDEX('Population Data by Age'!$B$7:$H$10366,MATCH(CONCATENATE('Tabular Pop Data by Age'!$C13,'Tabular Pop Data by Age'!T$7),'Population Data by Age'!$B$7:$B$10366,0),MATCH('Tabular Pop Data by Age'!$C$6,'Population Data by Age'!$B$6:$H$6,0))</f>
        <v>685000</v>
      </c>
      <c r="U13" s="78">
        <f>INDEX('Population Data by Age'!$B$7:$H$10366,MATCH(CONCATENATE('Tabular Pop Data by Age'!$C13,'Tabular Pop Data by Age'!U$7),'Population Data by Age'!$B$7:$B$10366,0),MATCH('Tabular Pop Data by Age'!$C$6,'Population Data by Age'!$B$6:$H$6,0))</f>
        <v>646000</v>
      </c>
      <c r="V13" s="78">
        <f>INDEX('Population Data by Age'!$B$7:$H$10366,MATCH(CONCATENATE('Tabular Pop Data by Age'!$C13,'Tabular Pop Data by Age'!V$7),'Population Data by Age'!$B$7:$B$10366,0),MATCH('Tabular Pop Data by Age'!$C$6,'Population Data by Age'!$B$6:$H$6,0))</f>
        <v>561000</v>
      </c>
      <c r="W13" s="78">
        <f>INDEX('Population Data by Age'!$B$7:$H$10366,MATCH(CONCATENATE('Tabular Pop Data by Age'!$C13,'Tabular Pop Data by Age'!W$7),'Population Data by Age'!$B$7:$B$10366,0),MATCH('Tabular Pop Data by Age'!$C$6,'Population Data by Age'!$B$6:$H$6,0))</f>
        <v>521000</v>
      </c>
      <c r="X13" s="78">
        <f>INDEX('Population Data by Age'!$B$7:$H$10366,MATCH(CONCATENATE('Tabular Pop Data by Age'!$C13,'Tabular Pop Data by Age'!X$7),'Population Data by Age'!$B$7:$B$10366,0),MATCH('Tabular Pop Data by Age'!$C$6,'Population Data by Age'!$B$6:$H$6,0))</f>
        <v>411000</v>
      </c>
      <c r="Y13" s="78">
        <f>INDEX('Population Data by Age'!$B$7:$H$10366,MATCH(CONCATENATE('Tabular Pop Data by Age'!$C13,'Tabular Pop Data by Age'!Y$7),'Population Data by Age'!$B$7:$B$10366,0),MATCH('Tabular Pop Data by Age'!$C$6,'Population Data by Age'!$B$6:$H$6,0))</f>
        <v>376000</v>
      </c>
      <c r="Z13" s="78">
        <f>INDEX('Population Data by Age'!$B$7:$H$10366,MATCH(CONCATENATE('Tabular Pop Data by Age'!$C13,'Tabular Pop Data by Age'!Z$7),'Population Data by Age'!$B$7:$B$10366,0),MATCH('Tabular Pop Data by Age'!$C$6,'Population Data by Age'!$B$6:$H$6,0))</f>
        <v>345000</v>
      </c>
      <c r="AA13" s="78">
        <f>INDEX('Population Data by Age'!$B$7:$H$10366,MATCH(CONCATENATE('Tabular Pop Data by Age'!$C13,'Tabular Pop Data by Age'!AA$7),'Population Data by Age'!$B$7:$B$10366,0),MATCH('Tabular Pop Data by Age'!$C$6,'Population Data by Age'!$B$6:$H$6,0))</f>
        <v>333000</v>
      </c>
      <c r="AB13" s="78">
        <f>INDEX('Population Data by Age'!$B$7:$H$10366,MATCH(CONCATENATE('Tabular Pop Data by Age'!$C13,'Tabular Pop Data by Age'!AB$7),'Population Data by Age'!$B$7:$B$10366,0),MATCH('Tabular Pop Data by Age'!$C$6,'Population Data by Age'!$B$6:$H$6,0))</f>
        <v>253000</v>
      </c>
      <c r="AC13" s="78">
        <f>INDEX('Population Data by Age'!$B$7:$H$10366,MATCH(CONCATENATE('Tabular Pop Data by Age'!$C13,'Tabular Pop Data by Age'!AC$7),'Population Data by Age'!$B$7:$B$10366,0),MATCH('Tabular Pop Data by Age'!$C$6,'Population Data by Age'!$B$6:$H$6,0))</f>
        <v>229000</v>
      </c>
      <c r="AD13" s="78">
        <f>INDEX('Population Data by Age'!$B$7:$H$10366,MATCH(CONCATENATE('Tabular Pop Data by Age'!$C13,'Tabular Pop Data by Age'!AD$7),'Population Data by Age'!$B$7:$B$10366,0),MATCH('Tabular Pop Data by Age'!$C$6,'Population Data by Age'!$B$6:$H$6,0))</f>
        <v>159000</v>
      </c>
      <c r="AE13" s="78">
        <f>INDEX('Population Data by Age'!$B$7:$H$10366,MATCH(CONCATENATE('Tabular Pop Data by Age'!$C13,'Tabular Pop Data by Age'!AE$7),'Population Data by Age'!$B$7:$B$10366,0),MATCH('Tabular Pop Data by Age'!$C$6,'Population Data by Age'!$B$6:$H$6,0))</f>
        <v>145000</v>
      </c>
      <c r="AF13" s="78">
        <f>INDEX('Population Data by Age'!$B$7:$H$10366,MATCH(CONCATENATE('Tabular Pop Data by Age'!$C13,'Tabular Pop Data by Age'!AF$7),'Population Data by Age'!$B$7:$B$10366,0),MATCH('Tabular Pop Data by Age'!$C$6,'Population Data by Age'!$B$6:$H$6,0))</f>
        <v>117000</v>
      </c>
      <c r="AG13" s="78">
        <f>INDEX('Population Data by Age'!$B$7:$H$10366,MATCH(CONCATENATE('Tabular Pop Data by Age'!$C13,'Tabular Pop Data by Age'!AG$7),'Population Data by Age'!$B$7:$B$10366,0),MATCH('Tabular Pop Data by Age'!$C$6,'Population Data by Age'!$B$6:$H$6,0))</f>
        <v>95000</v>
      </c>
      <c r="AH13" s="78">
        <f>INDEX('Population Data by Age'!$B$7:$H$10366,MATCH(CONCATENATE('Tabular Pop Data by Age'!$C13,'Tabular Pop Data by Age'!AH$7),'Population Data by Age'!$B$7:$B$10366,0),MATCH('Tabular Pop Data by Age'!$C$6,'Population Data by Age'!$B$6:$H$6,0))</f>
        <v>69000</v>
      </c>
      <c r="AI13" s="78">
        <f>INDEX('Population Data by Age'!$B$7:$H$10366,MATCH(CONCATENATE('Tabular Pop Data by Age'!$C13,'Tabular Pop Data by Age'!AI$7),'Population Data by Age'!$B$7:$B$10366,0),MATCH('Tabular Pop Data by Age'!$C$6,'Population Data by Age'!$B$6:$H$6,0))</f>
        <v>50000</v>
      </c>
      <c r="AJ13" s="78">
        <f>INDEX('Population Data by Age'!$B$7:$H$10366,MATCH(CONCATENATE('Tabular Pop Data by Age'!$C13,'Tabular Pop Data by Age'!AJ$7),'Population Data by Age'!$B$7:$B$10366,0),MATCH('Tabular Pop Data by Age'!$C$6,'Population Data by Age'!$B$6:$H$6,0))</f>
        <v>54000</v>
      </c>
      <c r="AK13" s="78">
        <f>INDEX('Population Data by Age'!$B$7:$H$10366,MATCH(CONCATENATE('Tabular Pop Data by Age'!$C13,'Tabular Pop Data by Age'!AK$7),'Population Data by Age'!$B$7:$B$10366,0),MATCH('Tabular Pop Data by Age'!$C$6,'Population Data by Age'!$B$6:$H$6,0))</f>
        <v>31000</v>
      </c>
      <c r="AL13" s="78">
        <f>INDEX('Population Data by Age'!$B$7:$H$10366,MATCH(CONCATENATE('Tabular Pop Data by Age'!$C13,'Tabular Pop Data by Age'!AL$7),'Population Data by Age'!$B$7:$B$10366,0),MATCH('Tabular Pop Data by Age'!$C$6,'Population Data by Age'!$B$6:$H$6,0))</f>
        <v>16605000</v>
      </c>
      <c r="AM13" s="78">
        <f>INDEX('Population Data by Age'!$B$7:$H$10366,MATCH(CONCATENATE('Tabular Pop Data by Age'!$C13,'Tabular Pop Data by Age'!AM$7),'Population Data by Age'!$B$7:$B$10366,0),MATCH('Tabular Pop Data by Age'!$C$6,'Population Data by Age'!$B$6:$H$6,0))</f>
        <v>16261000</v>
      </c>
      <c r="AN13" s="78">
        <f>INDEX('Population Data by Age'!$B$7:$H$10366,MATCH(CONCATENATE('Tabular Pop Data by Age'!$C13,'Tabular Pop Data by Age'!AN$7),'Population Data by Age'!$B$7:$B$10366,0),MATCH('Tabular Pop Data by Age'!$C$6,'Population Data by Age'!$B$6:$H$6,0))</f>
        <v>32866000</v>
      </c>
      <c r="AO13" s="78">
        <f>INDEX('Population Data by Age'!$B$7:$H$10366,MATCH(CONCATENATE('Tabular Pop Data by Age'!$C13,'Tabular Pop Data by Age'!AO$7),'Population Data by Age'!$B$7:$B$10366,0),MATCH('Tabular Pop Data by Age'!$C$6,'Population Data by Age'!$B$6:$H$6,0))</f>
        <v>0</v>
      </c>
      <c r="AP13" s="79">
        <f t="shared" si="0"/>
        <v>5795000</v>
      </c>
      <c r="AQ13" s="79">
        <f t="shared" si="1"/>
        <v>5104000</v>
      </c>
      <c r="AR13" s="79">
        <f t="shared" si="2"/>
        <v>4350000</v>
      </c>
      <c r="AS13" s="79">
        <f t="shared" si="3"/>
        <v>3533000</v>
      </c>
      <c r="AT13" s="79">
        <f t="shared" si="4"/>
        <v>2882000</v>
      </c>
      <c r="AU13" s="79">
        <f t="shared" si="5"/>
        <v>2423000</v>
      </c>
      <c r="AV13" s="79">
        <f t="shared" si="6"/>
        <v>2040000</v>
      </c>
      <c r="AW13" s="79">
        <f t="shared" si="7"/>
        <v>1659000</v>
      </c>
      <c r="AX13" s="79">
        <f t="shared" si="8"/>
        <v>1331000</v>
      </c>
      <c r="AY13" s="79">
        <f t="shared" si="9"/>
        <v>1082000</v>
      </c>
      <c r="AZ13" s="79">
        <f t="shared" si="10"/>
        <v>787000</v>
      </c>
      <c r="BA13" s="79">
        <f t="shared" si="11"/>
        <v>678000</v>
      </c>
      <c r="BB13" s="79">
        <f t="shared" si="12"/>
        <v>482000</v>
      </c>
      <c r="BC13" s="79">
        <f t="shared" si="13"/>
        <v>304000</v>
      </c>
      <c r="BD13" s="79">
        <f t="shared" si="14"/>
        <v>212000</v>
      </c>
      <c r="BE13" s="79">
        <f t="shared" si="15"/>
        <v>119000</v>
      </c>
      <c r="BF13" s="79">
        <f t="shared" si="16"/>
        <v>85000</v>
      </c>
    </row>
    <row r="14" spans="1:60" x14ac:dyDescent="0.25">
      <c r="A14" s="138" t="s">
        <v>1195</v>
      </c>
      <c r="B14" t="s">
        <v>423</v>
      </c>
      <c r="C14" t="s">
        <v>424</v>
      </c>
      <c r="D14" s="78">
        <f>INDEX('Population Data by Age'!$B$7:$H$10366,MATCH(CONCATENATE('Tabular Pop Data by Age'!$C14,'Tabular Pop Data by Age'!D$7),'Population Data by Age'!$B$7:$B$10366,0),MATCH('Tabular Pop Data by Age'!$C$6,'Population Data by Age'!$B$6:$H$6,0))</f>
        <v>3600</v>
      </c>
      <c r="E14" s="78">
        <f>INDEX('Population Data by Age'!$B$7:$H$10366,MATCH(CONCATENATE('Tabular Pop Data by Age'!$C14,'Tabular Pop Data by Age'!E$7),'Population Data by Age'!$B$7:$B$10366,0),MATCH('Tabular Pop Data by Age'!$C$6,'Population Data by Age'!$B$6:$H$6,0))</f>
        <v>3700</v>
      </c>
      <c r="F14" s="78">
        <f>INDEX('Population Data by Age'!$B$7:$H$10366,MATCH(CONCATENATE('Tabular Pop Data by Age'!$C14,'Tabular Pop Data by Age'!F$7),'Population Data by Age'!$B$7:$B$10366,0),MATCH('Tabular Pop Data by Age'!$C$6,'Population Data by Age'!$B$6:$H$6,0))</f>
        <v>3600</v>
      </c>
      <c r="G14" s="78">
        <f>INDEX('Population Data by Age'!$B$7:$H$10366,MATCH(CONCATENATE('Tabular Pop Data by Age'!$C14,'Tabular Pop Data by Age'!G$7),'Population Data by Age'!$B$7:$B$10366,0),MATCH('Tabular Pop Data by Age'!$C$6,'Population Data by Age'!$B$6:$H$6,0))</f>
        <v>3700</v>
      </c>
      <c r="H14" s="78">
        <f>INDEX('Population Data by Age'!$B$7:$H$10366,MATCH(CONCATENATE('Tabular Pop Data by Age'!$C14,'Tabular Pop Data by Age'!H$7),'Population Data by Age'!$B$7:$B$10366,0),MATCH('Tabular Pop Data by Age'!$C$6,'Population Data by Age'!$B$6:$H$6,0))</f>
        <v>3400</v>
      </c>
      <c r="I14" s="78">
        <f>INDEX('Population Data by Age'!$B$7:$H$10366,MATCH(CONCATENATE('Tabular Pop Data by Age'!$C14,'Tabular Pop Data by Age'!I$7),'Population Data by Age'!$B$7:$B$10366,0),MATCH('Tabular Pop Data by Age'!$C$6,'Population Data by Age'!$B$6:$H$6,0))</f>
        <v>3400</v>
      </c>
      <c r="J14" s="78">
        <f>INDEX('Population Data by Age'!$B$7:$H$10366,MATCH(CONCATENATE('Tabular Pop Data by Age'!$C14,'Tabular Pop Data by Age'!J$7),'Population Data by Age'!$B$7:$B$10366,0),MATCH('Tabular Pop Data by Age'!$C$6,'Population Data by Age'!$B$6:$H$6,0))</f>
        <v>3500</v>
      </c>
      <c r="K14" s="78">
        <f>INDEX('Population Data by Age'!$B$7:$H$10366,MATCH(CONCATENATE('Tabular Pop Data by Age'!$C14,'Tabular Pop Data by Age'!K$7),'Population Data by Age'!$B$7:$B$10366,0),MATCH('Tabular Pop Data by Age'!$C$6,'Population Data by Age'!$B$6:$H$6,0))</f>
        <v>3600</v>
      </c>
      <c r="L14" s="78">
        <f>INDEX('Population Data by Age'!$B$7:$H$10366,MATCH(CONCATENATE('Tabular Pop Data by Age'!$C14,'Tabular Pop Data by Age'!L$7),'Population Data by Age'!$B$7:$B$10366,0),MATCH('Tabular Pop Data by Age'!$C$6,'Population Data by Age'!$B$6:$H$6,0))</f>
        <v>3800</v>
      </c>
      <c r="M14" s="78">
        <f>INDEX('Population Data by Age'!$B$7:$H$10366,MATCH(CONCATENATE('Tabular Pop Data by Age'!$C14,'Tabular Pop Data by Age'!M$7),'Population Data by Age'!$B$7:$B$10366,0),MATCH('Tabular Pop Data by Age'!$C$6,'Population Data by Age'!$B$6:$H$6,0))</f>
        <v>3800</v>
      </c>
      <c r="N14" s="78">
        <f>INDEX('Population Data by Age'!$B$7:$H$10366,MATCH(CONCATENATE('Tabular Pop Data by Age'!$C14,'Tabular Pop Data by Age'!N$7),'Population Data by Age'!$B$7:$B$10366,0),MATCH('Tabular Pop Data by Age'!$C$6,'Population Data by Age'!$B$6:$H$6,0))</f>
        <v>3700</v>
      </c>
      <c r="O14" s="78">
        <f>INDEX('Population Data by Age'!$B$7:$H$10366,MATCH(CONCATENATE('Tabular Pop Data by Age'!$C14,'Tabular Pop Data by Age'!O$7),'Population Data by Age'!$B$7:$B$10366,0),MATCH('Tabular Pop Data by Age'!$C$6,'Population Data by Age'!$B$6:$H$6,0))</f>
        <v>3600</v>
      </c>
      <c r="P14" s="78">
        <f>INDEX('Population Data by Age'!$B$7:$H$10366,MATCH(CONCATENATE('Tabular Pop Data by Age'!$C14,'Tabular Pop Data by Age'!P$7),'Population Data by Age'!$B$7:$B$10366,0),MATCH('Tabular Pop Data by Age'!$C$6,'Population Data by Age'!$B$6:$H$6,0))</f>
        <v>3700</v>
      </c>
      <c r="Q14" s="78">
        <f>INDEX('Population Data by Age'!$B$7:$H$10366,MATCH(CONCATENATE('Tabular Pop Data by Age'!$C14,'Tabular Pop Data by Age'!Q$7),'Population Data by Age'!$B$7:$B$10366,0),MATCH('Tabular Pop Data by Age'!$C$6,'Population Data by Age'!$B$6:$H$6,0))</f>
        <v>3400</v>
      </c>
      <c r="R14" s="78">
        <f>INDEX('Population Data by Age'!$B$7:$H$10366,MATCH(CONCATENATE('Tabular Pop Data by Age'!$C14,'Tabular Pop Data by Age'!R$7),'Population Data by Age'!$B$7:$B$10366,0),MATCH('Tabular Pop Data by Age'!$C$6,'Population Data by Age'!$B$6:$H$6,0))</f>
        <v>3700</v>
      </c>
      <c r="S14" s="78">
        <f>INDEX('Population Data by Age'!$B$7:$H$10366,MATCH(CONCATENATE('Tabular Pop Data by Age'!$C14,'Tabular Pop Data by Age'!S$7),'Population Data by Age'!$B$7:$B$10366,0),MATCH('Tabular Pop Data by Age'!$C$6,'Population Data by Age'!$B$6:$H$6,0))</f>
        <v>3300</v>
      </c>
      <c r="T14" s="78">
        <f>INDEX('Population Data by Age'!$B$7:$H$10366,MATCH(CONCATENATE('Tabular Pop Data by Age'!$C14,'Tabular Pop Data by Age'!T$7),'Population Data by Age'!$B$7:$B$10366,0),MATCH('Tabular Pop Data by Age'!$C$6,'Population Data by Age'!$B$6:$H$6,0))</f>
        <v>3700</v>
      </c>
      <c r="U14" s="78">
        <f>INDEX('Population Data by Age'!$B$7:$H$10366,MATCH(CONCATENATE('Tabular Pop Data by Age'!$C14,'Tabular Pop Data by Age'!U$7),'Population Data by Age'!$B$7:$B$10366,0),MATCH('Tabular Pop Data by Age'!$C$6,'Population Data by Age'!$B$6:$H$6,0))</f>
        <v>3200</v>
      </c>
      <c r="V14" s="78">
        <f>INDEX('Population Data by Age'!$B$7:$H$10366,MATCH(CONCATENATE('Tabular Pop Data by Age'!$C14,'Tabular Pop Data by Age'!V$7),'Population Data by Age'!$B$7:$B$10366,0),MATCH('Tabular Pop Data by Age'!$C$6,'Population Data by Age'!$B$6:$H$6,0))</f>
        <v>3800</v>
      </c>
      <c r="W14" s="78">
        <f>INDEX('Population Data by Age'!$B$7:$H$10366,MATCH(CONCATENATE('Tabular Pop Data by Age'!$C14,'Tabular Pop Data by Age'!W$7),'Population Data by Age'!$B$7:$B$10366,0),MATCH('Tabular Pop Data by Age'!$C$6,'Population Data by Age'!$B$6:$H$6,0))</f>
        <v>3200</v>
      </c>
      <c r="X14" s="78">
        <f>INDEX('Population Data by Age'!$B$7:$H$10366,MATCH(CONCATENATE('Tabular Pop Data by Age'!$C14,'Tabular Pop Data by Age'!X$7),'Population Data by Age'!$B$7:$B$10366,0),MATCH('Tabular Pop Data by Age'!$C$6,'Population Data by Age'!$B$6:$H$6,0))</f>
        <v>3600</v>
      </c>
      <c r="Y14" s="78">
        <f>INDEX('Population Data by Age'!$B$7:$H$10366,MATCH(CONCATENATE('Tabular Pop Data by Age'!$C14,'Tabular Pop Data by Age'!Y$7),'Population Data by Age'!$B$7:$B$10366,0),MATCH('Tabular Pop Data by Age'!$C$6,'Population Data by Age'!$B$6:$H$6,0))</f>
        <v>3200</v>
      </c>
      <c r="Z14" s="78">
        <f>INDEX('Population Data by Age'!$B$7:$H$10366,MATCH(CONCATENATE('Tabular Pop Data by Age'!$C14,'Tabular Pop Data by Age'!Z$7),'Population Data by Age'!$B$7:$B$10366,0),MATCH('Tabular Pop Data by Age'!$C$6,'Population Data by Age'!$B$6:$H$6,0))</f>
        <v>3200</v>
      </c>
      <c r="AA14" s="78">
        <f>INDEX('Population Data by Age'!$B$7:$H$10366,MATCH(CONCATENATE('Tabular Pop Data by Age'!$C14,'Tabular Pop Data by Age'!AA$7),'Population Data by Age'!$B$7:$B$10366,0),MATCH('Tabular Pop Data by Age'!$C$6,'Population Data by Age'!$B$6:$H$6,0))</f>
        <v>2800</v>
      </c>
      <c r="AB14" s="78">
        <f>INDEX('Population Data by Age'!$B$7:$H$10366,MATCH(CONCATENATE('Tabular Pop Data by Age'!$C14,'Tabular Pop Data by Age'!AB$7),'Population Data by Age'!$B$7:$B$10366,0),MATCH('Tabular Pop Data by Age'!$C$6,'Population Data by Age'!$B$6:$H$6,0))</f>
        <v>2500</v>
      </c>
      <c r="AC14" s="78">
        <f>INDEX('Population Data by Age'!$B$7:$H$10366,MATCH(CONCATENATE('Tabular Pop Data by Age'!$C14,'Tabular Pop Data by Age'!AC$7),'Population Data by Age'!$B$7:$B$10366,0),MATCH('Tabular Pop Data by Age'!$C$6,'Population Data by Age'!$B$6:$H$6,0))</f>
        <v>2200</v>
      </c>
      <c r="AD14" s="78">
        <f>INDEX('Population Data by Age'!$B$7:$H$10366,MATCH(CONCATENATE('Tabular Pop Data by Age'!$C14,'Tabular Pop Data by Age'!AD$7),'Population Data by Age'!$B$7:$B$10366,0),MATCH('Tabular Pop Data by Age'!$C$6,'Population Data by Age'!$B$6:$H$6,0))</f>
        <v>1800</v>
      </c>
      <c r="AE14" s="78">
        <f>INDEX('Population Data by Age'!$B$7:$H$10366,MATCH(CONCATENATE('Tabular Pop Data by Age'!$C14,'Tabular Pop Data by Age'!AE$7),'Population Data by Age'!$B$7:$B$10366,0),MATCH('Tabular Pop Data by Age'!$C$6,'Population Data by Age'!$B$6:$H$6,0))</f>
        <v>1600</v>
      </c>
      <c r="AF14" s="78">
        <f>INDEX('Population Data by Age'!$B$7:$H$10366,MATCH(CONCATENATE('Tabular Pop Data by Age'!$C14,'Tabular Pop Data by Age'!AF$7),'Population Data by Age'!$B$7:$B$10366,0),MATCH('Tabular Pop Data by Age'!$C$6,'Population Data by Age'!$B$6:$H$6,0))</f>
        <v>1300</v>
      </c>
      <c r="AG14" s="78">
        <f>INDEX('Population Data by Age'!$B$7:$H$10366,MATCH(CONCATENATE('Tabular Pop Data by Age'!$C14,'Tabular Pop Data by Age'!AG$7),'Population Data by Age'!$B$7:$B$10366,0),MATCH('Tabular Pop Data by Age'!$C$6,'Population Data by Age'!$B$6:$H$6,0))</f>
        <v>1200</v>
      </c>
      <c r="AH14" s="78">
        <f>INDEX('Population Data by Age'!$B$7:$H$10366,MATCH(CONCATENATE('Tabular Pop Data by Age'!$C14,'Tabular Pop Data by Age'!AH$7),'Population Data by Age'!$B$7:$B$10366,0),MATCH('Tabular Pop Data by Age'!$C$6,'Population Data by Age'!$B$6:$H$6,0))</f>
        <v>900</v>
      </c>
      <c r="AI14" s="78">
        <f>INDEX('Population Data by Age'!$B$7:$H$10366,MATCH(CONCATENATE('Tabular Pop Data by Age'!$C14,'Tabular Pop Data by Age'!AI$7),'Population Data by Age'!$B$7:$B$10366,0),MATCH('Tabular Pop Data by Age'!$C$6,'Population Data by Age'!$B$6:$H$6,0))</f>
        <v>700</v>
      </c>
      <c r="AJ14" s="78">
        <f>INDEX('Population Data by Age'!$B$7:$H$10366,MATCH(CONCATENATE('Tabular Pop Data by Age'!$C14,'Tabular Pop Data by Age'!AJ$7),'Population Data by Age'!$B$7:$B$10366,0),MATCH('Tabular Pop Data by Age'!$C$6,'Population Data by Age'!$B$6:$H$6,0))</f>
        <v>900</v>
      </c>
      <c r="AK14" s="78">
        <f>INDEX('Population Data by Age'!$B$7:$H$10366,MATCH(CONCATENATE('Tabular Pop Data by Age'!$C14,'Tabular Pop Data by Age'!AK$7),'Population Data by Age'!$B$7:$B$10366,0),MATCH('Tabular Pop Data by Age'!$C$6,'Population Data by Age'!$B$6:$H$6,0))</f>
        <v>700</v>
      </c>
      <c r="AL14" s="78">
        <f>INDEX('Population Data by Age'!$B$7:$H$10366,MATCH(CONCATENATE('Tabular Pop Data by Age'!$C14,'Tabular Pop Data by Age'!AL$7),'Population Data by Age'!$B$7:$B$10366,0),MATCH('Tabular Pop Data by Age'!$C$6,'Population Data by Age'!$B$6:$H$6,0))</f>
        <v>51000</v>
      </c>
      <c r="AM14" s="78">
        <f>INDEX('Population Data by Age'!$B$7:$H$10366,MATCH(CONCATENATE('Tabular Pop Data by Age'!$C14,'Tabular Pop Data by Age'!AM$7),'Population Data by Age'!$B$7:$B$10366,0),MATCH('Tabular Pop Data by Age'!$C$6,'Population Data by Age'!$B$6:$H$6,0))</f>
        <v>47000</v>
      </c>
      <c r="AN14" s="78">
        <f>INDEX('Population Data by Age'!$B$7:$H$10366,MATCH(CONCATENATE('Tabular Pop Data by Age'!$C14,'Tabular Pop Data by Age'!AN$7),'Population Data by Age'!$B$7:$B$10366,0),MATCH('Tabular Pop Data by Age'!$C$6,'Population Data by Age'!$B$6:$H$6,0))</f>
        <v>98000</v>
      </c>
      <c r="AO14" s="78">
        <f>INDEX('Population Data by Age'!$B$7:$H$10366,MATCH(CONCATENATE('Tabular Pop Data by Age'!$C14,'Tabular Pop Data by Age'!AO$7),'Population Data by Age'!$B$7:$B$10366,0),MATCH('Tabular Pop Data by Age'!$C$6,'Population Data by Age'!$B$6:$H$6,0))</f>
        <v>0</v>
      </c>
      <c r="AP14" s="79">
        <f t="shared" si="0"/>
        <v>7300</v>
      </c>
      <c r="AQ14" s="79">
        <f t="shared" si="1"/>
        <v>7300</v>
      </c>
      <c r="AR14" s="79">
        <f t="shared" si="2"/>
        <v>6800</v>
      </c>
      <c r="AS14" s="79">
        <f t="shared" si="3"/>
        <v>7100</v>
      </c>
      <c r="AT14" s="79">
        <f t="shared" si="4"/>
        <v>7600</v>
      </c>
      <c r="AU14" s="79">
        <f t="shared" si="5"/>
        <v>7300</v>
      </c>
      <c r="AV14" s="79">
        <f t="shared" si="6"/>
        <v>7100</v>
      </c>
      <c r="AW14" s="79">
        <f t="shared" si="7"/>
        <v>7000</v>
      </c>
      <c r="AX14" s="79">
        <f t="shared" si="8"/>
        <v>6900</v>
      </c>
      <c r="AY14" s="79">
        <f t="shared" si="9"/>
        <v>7000</v>
      </c>
      <c r="AZ14" s="79">
        <f t="shared" si="10"/>
        <v>6800</v>
      </c>
      <c r="BA14" s="79">
        <f t="shared" si="11"/>
        <v>6000</v>
      </c>
      <c r="BB14" s="79">
        <f t="shared" si="12"/>
        <v>4700</v>
      </c>
      <c r="BC14" s="79">
        <f t="shared" si="13"/>
        <v>3400</v>
      </c>
      <c r="BD14" s="79">
        <f t="shared" si="14"/>
        <v>2500</v>
      </c>
      <c r="BE14" s="79">
        <f t="shared" si="15"/>
        <v>1600</v>
      </c>
      <c r="BF14" s="79">
        <f t="shared" si="16"/>
        <v>1600</v>
      </c>
    </row>
    <row r="15" spans="1:60" x14ac:dyDescent="0.25">
      <c r="A15" s="138" t="s">
        <v>1195</v>
      </c>
      <c r="B15" t="s">
        <v>427</v>
      </c>
      <c r="C15" t="s">
        <v>428</v>
      </c>
      <c r="D15" s="78">
        <f>INDEX('Population Data by Age'!$B$7:$H$10366,MATCH(CONCATENATE('Tabular Pop Data by Age'!$C15,'Tabular Pop Data by Age'!D$7),'Population Data by Age'!$B$7:$B$10366,0),MATCH('Tabular Pop Data by Age'!$C$6,'Population Data by Age'!$B$6:$H$6,0))</f>
        <v>1838000</v>
      </c>
      <c r="E15" s="78">
        <f>INDEX('Population Data by Age'!$B$7:$H$10366,MATCH(CONCATENATE('Tabular Pop Data by Age'!$C15,'Tabular Pop Data by Age'!E$7),'Population Data by Age'!$B$7:$B$10366,0),MATCH('Tabular Pop Data by Age'!$C$6,'Population Data by Age'!$B$6:$H$6,0))</f>
        <v>1908000</v>
      </c>
      <c r="F15" s="78">
        <f>INDEX('Population Data by Age'!$B$7:$H$10366,MATCH(CONCATENATE('Tabular Pop Data by Age'!$C15,'Tabular Pop Data by Age'!F$7),'Population Data by Age'!$B$7:$B$10366,0),MATCH('Tabular Pop Data by Age'!$C$6,'Population Data by Age'!$B$6:$H$6,0))</f>
        <v>1825000</v>
      </c>
      <c r="G15" s="78">
        <f>INDEX('Population Data by Age'!$B$7:$H$10366,MATCH(CONCATENATE('Tabular Pop Data by Age'!$C15,'Tabular Pop Data by Age'!G$7),'Population Data by Age'!$B$7:$B$10366,0),MATCH('Tabular Pop Data by Age'!$C$6,'Population Data by Age'!$B$6:$H$6,0))</f>
        <v>1894000</v>
      </c>
      <c r="H15" s="78">
        <f>INDEX('Population Data by Age'!$B$7:$H$10366,MATCH(CONCATENATE('Tabular Pop Data by Age'!$C15,'Tabular Pop Data by Age'!H$7),'Population Data by Age'!$B$7:$B$10366,0),MATCH('Tabular Pop Data by Age'!$C$6,'Population Data by Age'!$B$6:$H$6,0))</f>
        <v>1770000</v>
      </c>
      <c r="I15" s="78">
        <f>INDEX('Population Data by Age'!$B$7:$H$10366,MATCH(CONCATENATE('Tabular Pop Data by Age'!$C15,'Tabular Pop Data by Age'!I$7),'Population Data by Age'!$B$7:$B$10366,0),MATCH('Tabular Pop Data by Age'!$C$6,'Population Data by Age'!$B$6:$H$6,0))</f>
        <v>1836000</v>
      </c>
      <c r="J15" s="78">
        <f>INDEX('Population Data by Age'!$B$7:$H$10366,MATCH(CONCATENATE('Tabular Pop Data by Age'!$C15,'Tabular Pop Data by Age'!J$7),'Population Data by Age'!$B$7:$B$10366,0),MATCH('Tabular Pop Data by Age'!$C$6,'Population Data by Age'!$B$6:$H$6,0))</f>
        <v>1744000</v>
      </c>
      <c r="K15" s="78">
        <f>INDEX('Population Data by Age'!$B$7:$H$10366,MATCH(CONCATENATE('Tabular Pop Data by Age'!$C15,'Tabular Pop Data by Age'!K$7),'Population Data by Age'!$B$7:$B$10366,0),MATCH('Tabular Pop Data by Age'!$C$6,'Population Data by Age'!$B$6:$H$6,0))</f>
        <v>1804000</v>
      </c>
      <c r="L15" s="78">
        <f>INDEX('Population Data by Age'!$B$7:$H$10366,MATCH(CONCATENATE('Tabular Pop Data by Age'!$C15,'Tabular Pop Data by Age'!L$7),'Population Data by Age'!$B$7:$B$10366,0),MATCH('Tabular Pop Data by Age'!$C$6,'Population Data by Age'!$B$6:$H$6,0))</f>
        <v>1719000</v>
      </c>
      <c r="M15" s="78">
        <f>INDEX('Population Data by Age'!$B$7:$H$10366,MATCH(CONCATENATE('Tabular Pop Data by Age'!$C15,'Tabular Pop Data by Age'!M$7),'Population Data by Age'!$B$7:$B$10366,0),MATCH('Tabular Pop Data by Age'!$C$6,'Population Data by Age'!$B$6:$H$6,0))</f>
        <v>1767000</v>
      </c>
      <c r="N15" s="78">
        <f>INDEX('Population Data by Age'!$B$7:$H$10366,MATCH(CONCATENATE('Tabular Pop Data by Age'!$C15,'Tabular Pop Data by Age'!N$7),'Population Data by Age'!$B$7:$B$10366,0),MATCH('Tabular Pop Data by Age'!$C$6,'Population Data by Age'!$B$6:$H$6,0))</f>
        <v>1749000</v>
      </c>
      <c r="O15" s="78">
        <f>INDEX('Population Data by Age'!$B$7:$H$10366,MATCH(CONCATENATE('Tabular Pop Data by Age'!$C15,'Tabular Pop Data by Age'!O$7),'Population Data by Age'!$B$7:$B$10366,0),MATCH('Tabular Pop Data by Age'!$C$6,'Population Data by Age'!$B$6:$H$6,0))</f>
        <v>1779000</v>
      </c>
      <c r="P15" s="78">
        <f>INDEX('Population Data by Age'!$B$7:$H$10366,MATCH(CONCATENATE('Tabular Pop Data by Age'!$C15,'Tabular Pop Data by Age'!P$7),'Population Data by Age'!$B$7:$B$10366,0),MATCH('Tabular Pop Data by Age'!$C$6,'Population Data by Age'!$B$6:$H$6,0))</f>
        <v>1664000</v>
      </c>
      <c r="Q15" s="78">
        <f>INDEX('Population Data by Age'!$B$7:$H$10366,MATCH(CONCATENATE('Tabular Pop Data by Age'!$C15,'Tabular Pop Data by Age'!Q$7),'Population Data by Age'!$B$7:$B$10366,0),MATCH('Tabular Pop Data by Age'!$C$6,'Population Data by Age'!$B$6:$H$6,0))</f>
        <v>1663000</v>
      </c>
      <c r="R15" s="78">
        <f>INDEX('Population Data by Age'!$B$7:$H$10366,MATCH(CONCATENATE('Tabular Pop Data by Age'!$C15,'Tabular Pop Data by Age'!R$7),'Population Data by Age'!$B$7:$B$10366,0),MATCH('Tabular Pop Data by Age'!$C$6,'Population Data by Age'!$B$6:$H$6,0))</f>
        <v>1576000</v>
      </c>
      <c r="S15" s="78">
        <f>INDEX('Population Data by Age'!$B$7:$H$10366,MATCH(CONCATENATE('Tabular Pop Data by Age'!$C15,'Tabular Pop Data by Age'!S$7),'Population Data by Age'!$B$7:$B$10366,0),MATCH('Tabular Pop Data by Age'!$C$6,'Population Data by Age'!$B$6:$H$6,0))</f>
        <v>1554000</v>
      </c>
      <c r="T15" s="78">
        <f>INDEX('Population Data by Age'!$B$7:$H$10366,MATCH(CONCATENATE('Tabular Pop Data by Age'!$C15,'Tabular Pop Data by Age'!T$7),'Population Data by Age'!$B$7:$B$10366,0),MATCH('Tabular Pop Data by Age'!$C$6,'Population Data by Age'!$B$6:$H$6,0))</f>
        <v>1575000</v>
      </c>
      <c r="U15" s="78">
        <f>INDEX('Population Data by Age'!$B$7:$H$10366,MATCH(CONCATENATE('Tabular Pop Data by Age'!$C15,'Tabular Pop Data by Age'!U$7),'Population Data by Age'!$B$7:$B$10366,0),MATCH('Tabular Pop Data by Age'!$C$6,'Population Data by Age'!$B$6:$H$6,0))</f>
        <v>1522000</v>
      </c>
      <c r="V15" s="78">
        <f>INDEX('Population Data by Age'!$B$7:$H$10366,MATCH(CONCATENATE('Tabular Pop Data by Age'!$C15,'Tabular Pop Data by Age'!V$7),'Population Data by Age'!$B$7:$B$10366,0),MATCH('Tabular Pop Data by Age'!$C$6,'Population Data by Age'!$B$6:$H$6,0))</f>
        <v>1363000</v>
      </c>
      <c r="W15" s="78">
        <f>INDEX('Population Data by Age'!$B$7:$H$10366,MATCH(CONCATENATE('Tabular Pop Data by Age'!$C15,'Tabular Pop Data by Age'!W$7),'Population Data by Age'!$B$7:$B$10366,0),MATCH('Tabular Pop Data by Age'!$C$6,'Population Data by Age'!$B$6:$H$6,0))</f>
        <v>1281000</v>
      </c>
      <c r="X15" s="78">
        <f>INDEX('Population Data by Age'!$B$7:$H$10366,MATCH(CONCATENATE('Tabular Pop Data by Age'!$C15,'Tabular Pop Data by Age'!X$7),'Population Data by Age'!$B$7:$B$10366,0),MATCH('Tabular Pop Data by Age'!$C$6,'Population Data by Age'!$B$6:$H$6,0))</f>
        <v>1201000</v>
      </c>
      <c r="Y15" s="78">
        <f>INDEX('Population Data by Age'!$B$7:$H$10366,MATCH(CONCATENATE('Tabular Pop Data by Age'!$C15,'Tabular Pop Data by Age'!Y$7),'Population Data by Age'!$B$7:$B$10366,0),MATCH('Tabular Pop Data by Age'!$C$6,'Population Data by Age'!$B$6:$H$6,0))</f>
        <v>1106000</v>
      </c>
      <c r="Z15" s="78">
        <f>INDEX('Population Data by Age'!$B$7:$H$10366,MATCH(CONCATENATE('Tabular Pop Data by Age'!$C15,'Tabular Pop Data by Age'!Z$7),'Population Data by Age'!$B$7:$B$10366,0),MATCH('Tabular Pop Data by Age'!$C$6,'Population Data by Age'!$B$6:$H$6,0))</f>
        <v>1122000</v>
      </c>
      <c r="AA15" s="78">
        <f>INDEX('Population Data by Age'!$B$7:$H$10366,MATCH(CONCATENATE('Tabular Pop Data by Age'!$C15,'Tabular Pop Data by Age'!AA$7),'Population Data by Age'!$B$7:$B$10366,0),MATCH('Tabular Pop Data by Age'!$C$6,'Population Data by Age'!$B$6:$H$6,0))</f>
        <v>1006000</v>
      </c>
      <c r="AB15" s="78">
        <f>INDEX('Population Data by Age'!$B$7:$H$10366,MATCH(CONCATENATE('Tabular Pop Data by Age'!$C15,'Tabular Pop Data by Age'!AB$7),'Population Data by Age'!$B$7:$B$10366,0),MATCH('Tabular Pop Data by Age'!$C$6,'Population Data by Age'!$B$6:$H$6,0))</f>
        <v>1009000</v>
      </c>
      <c r="AC15" s="78">
        <f>INDEX('Population Data by Age'!$B$7:$H$10366,MATCH(CONCATENATE('Tabular Pop Data by Age'!$C15,'Tabular Pop Data by Age'!AC$7),'Population Data by Age'!$B$7:$B$10366,0),MATCH('Tabular Pop Data by Age'!$C$6,'Population Data by Age'!$B$6:$H$6,0))</f>
        <v>879000</v>
      </c>
      <c r="AD15" s="78">
        <f>INDEX('Population Data by Age'!$B$7:$H$10366,MATCH(CONCATENATE('Tabular Pop Data by Age'!$C15,'Tabular Pop Data by Age'!AD$7),'Population Data by Age'!$B$7:$B$10366,0),MATCH('Tabular Pop Data by Age'!$C$6,'Population Data by Age'!$B$6:$H$6,0))</f>
        <v>901000</v>
      </c>
      <c r="AE15" s="78">
        <f>INDEX('Population Data by Age'!$B$7:$H$10366,MATCH(CONCATENATE('Tabular Pop Data by Age'!$C15,'Tabular Pop Data by Age'!AE$7),'Population Data by Age'!$B$7:$B$10366,0),MATCH('Tabular Pop Data by Age'!$C$6,'Population Data by Age'!$B$6:$H$6,0))</f>
        <v>748000</v>
      </c>
      <c r="AF15" s="78">
        <f>INDEX('Population Data by Age'!$B$7:$H$10366,MATCH(CONCATENATE('Tabular Pop Data by Age'!$C15,'Tabular Pop Data by Age'!AF$7),'Population Data by Age'!$B$7:$B$10366,0),MATCH('Tabular Pop Data by Age'!$C$6,'Population Data by Age'!$B$6:$H$6,0))</f>
        <v>760000</v>
      </c>
      <c r="AG15" s="78">
        <f>INDEX('Population Data by Age'!$B$7:$H$10366,MATCH(CONCATENATE('Tabular Pop Data by Age'!$C15,'Tabular Pop Data by Age'!AG$7),'Population Data by Age'!$B$7:$B$10366,0),MATCH('Tabular Pop Data by Age'!$C$6,'Population Data by Age'!$B$6:$H$6,0))</f>
        <v>580000</v>
      </c>
      <c r="AH15" s="78">
        <f>INDEX('Population Data by Age'!$B$7:$H$10366,MATCH(CONCATENATE('Tabular Pop Data by Age'!$C15,'Tabular Pop Data by Age'!AH$7),'Population Data by Age'!$B$7:$B$10366,0),MATCH('Tabular Pop Data by Age'!$C$6,'Population Data by Age'!$B$6:$H$6,0))</f>
        <v>579000</v>
      </c>
      <c r="AI15" s="78">
        <f>INDEX('Population Data by Age'!$B$7:$H$10366,MATCH(CONCATENATE('Tabular Pop Data by Age'!$C15,'Tabular Pop Data by Age'!AI$7),'Population Data by Age'!$B$7:$B$10366,0),MATCH('Tabular Pop Data by Age'!$C$6,'Population Data by Age'!$B$6:$H$6,0))</f>
        <v>387000</v>
      </c>
      <c r="AJ15" s="78">
        <f>INDEX('Population Data by Age'!$B$7:$H$10366,MATCH(CONCATENATE('Tabular Pop Data by Age'!$C15,'Tabular Pop Data by Age'!AJ$7),'Population Data by Age'!$B$7:$B$10366,0),MATCH('Tabular Pop Data by Age'!$C$6,'Population Data by Age'!$B$6:$H$6,0))</f>
        <v>806000</v>
      </c>
      <c r="AK15" s="78">
        <f>INDEX('Population Data by Age'!$B$7:$H$10366,MATCH(CONCATENATE('Tabular Pop Data by Age'!$C15,'Tabular Pop Data by Age'!AK$7),'Population Data by Age'!$B$7:$B$10366,0),MATCH('Tabular Pop Data by Age'!$C$6,'Population Data by Age'!$B$6:$H$6,0))</f>
        <v>389000</v>
      </c>
      <c r="AL15" s="78">
        <f>INDEX('Population Data by Age'!$B$7:$H$10366,MATCH(CONCATENATE('Tabular Pop Data by Age'!$C15,'Tabular Pop Data by Age'!AL$7),'Population Data by Age'!$B$7:$B$10366,0),MATCH('Tabular Pop Data by Age'!$C$6,'Population Data by Age'!$B$6:$H$6,0))</f>
        <v>23202000</v>
      </c>
      <c r="AM15" s="78">
        <f>INDEX('Population Data by Age'!$B$7:$H$10366,MATCH(CONCATENATE('Tabular Pop Data by Age'!$C15,'Tabular Pop Data by Age'!AM$7),'Population Data by Age'!$B$7:$B$10366,0),MATCH('Tabular Pop Data by Age'!$C$6,'Population Data by Age'!$B$6:$H$6,0))</f>
        <v>22102000</v>
      </c>
      <c r="AN15" s="78">
        <f>INDEX('Population Data by Age'!$B$7:$H$10366,MATCH(CONCATENATE('Tabular Pop Data by Age'!$C15,'Tabular Pop Data by Age'!AN$7),'Population Data by Age'!$B$7:$B$10366,0),MATCH('Tabular Pop Data by Age'!$C$6,'Population Data by Age'!$B$6:$H$6,0))</f>
        <v>45303000</v>
      </c>
      <c r="AO15" s="78">
        <f>INDEX('Population Data by Age'!$B$7:$H$10366,MATCH(CONCATENATE('Tabular Pop Data by Age'!$C15,'Tabular Pop Data by Age'!AO$7),'Population Data by Age'!$B$7:$B$10366,0),MATCH('Tabular Pop Data by Age'!$C$6,'Population Data by Age'!$B$6:$H$6,0))</f>
        <v>0</v>
      </c>
      <c r="AP15" s="79">
        <f t="shared" si="0"/>
        <v>3746000</v>
      </c>
      <c r="AQ15" s="79">
        <f t="shared" si="1"/>
        <v>3719000</v>
      </c>
      <c r="AR15" s="79">
        <f t="shared" si="2"/>
        <v>3606000</v>
      </c>
      <c r="AS15" s="79">
        <f t="shared" si="3"/>
        <v>3548000</v>
      </c>
      <c r="AT15" s="79">
        <f t="shared" si="4"/>
        <v>3486000</v>
      </c>
      <c r="AU15" s="79">
        <f t="shared" si="5"/>
        <v>3528000</v>
      </c>
      <c r="AV15" s="79">
        <f t="shared" si="6"/>
        <v>3327000</v>
      </c>
      <c r="AW15" s="79">
        <f t="shared" si="7"/>
        <v>3130000</v>
      </c>
      <c r="AX15" s="79">
        <f t="shared" si="8"/>
        <v>3097000</v>
      </c>
      <c r="AY15" s="79">
        <f t="shared" si="9"/>
        <v>2644000</v>
      </c>
      <c r="AZ15" s="79">
        <f t="shared" si="10"/>
        <v>2307000</v>
      </c>
      <c r="BA15" s="79">
        <f t="shared" si="11"/>
        <v>2128000</v>
      </c>
      <c r="BB15" s="79">
        <f t="shared" si="12"/>
        <v>1888000</v>
      </c>
      <c r="BC15" s="79">
        <f t="shared" si="13"/>
        <v>1649000</v>
      </c>
      <c r="BD15" s="79">
        <f t="shared" si="14"/>
        <v>1340000</v>
      </c>
      <c r="BE15" s="79">
        <f t="shared" si="15"/>
        <v>966000</v>
      </c>
      <c r="BF15" s="79">
        <f t="shared" si="16"/>
        <v>1195000</v>
      </c>
    </row>
    <row r="16" spans="1:60" x14ac:dyDescent="0.25">
      <c r="A16" s="138" t="s">
        <v>1195</v>
      </c>
      <c r="B16" t="s">
        <v>234</v>
      </c>
      <c r="C16" t="s">
        <v>3</v>
      </c>
      <c r="D16" s="78">
        <f>INDEX('Population Data by Age'!$B$7:$H$10366,MATCH(CONCATENATE('Tabular Pop Data by Age'!$C16,'Tabular Pop Data by Age'!D$7),'Population Data by Age'!$B$7:$B$10366,0),MATCH('Tabular Pop Data by Age'!$C$6,'Population Data by Age'!$B$6:$H$6,0))</f>
        <v>97000</v>
      </c>
      <c r="E16" s="78">
        <f>INDEX('Population Data by Age'!$B$7:$H$10366,MATCH(CONCATENATE('Tabular Pop Data by Age'!$C16,'Tabular Pop Data by Age'!E$7),'Population Data by Age'!$B$7:$B$10366,0),MATCH('Tabular Pop Data by Age'!$C$6,'Population Data by Age'!$B$6:$H$6,0))</f>
        <v>108000</v>
      </c>
      <c r="F16" s="78">
        <f>INDEX('Population Data by Age'!$B$7:$H$10366,MATCH(CONCATENATE('Tabular Pop Data by Age'!$C16,'Tabular Pop Data by Age'!F$7),'Population Data by Age'!$B$7:$B$10366,0),MATCH('Tabular Pop Data by Age'!$C$6,'Population Data by Age'!$B$6:$H$6,0))</f>
        <v>100000</v>
      </c>
      <c r="G16" s="78">
        <f>INDEX('Population Data by Age'!$B$7:$H$10366,MATCH(CONCATENATE('Tabular Pop Data by Age'!$C16,'Tabular Pop Data by Age'!G$7),'Population Data by Age'!$B$7:$B$10366,0),MATCH('Tabular Pop Data by Age'!$C$6,'Population Data by Age'!$B$6:$H$6,0))</f>
        <v>114000</v>
      </c>
      <c r="H16" s="78">
        <f>INDEX('Population Data by Age'!$B$7:$H$10366,MATCH(CONCATENATE('Tabular Pop Data by Age'!$C16,'Tabular Pop Data by Age'!H$7),'Population Data by Age'!$B$7:$B$10366,0),MATCH('Tabular Pop Data by Age'!$C$6,'Population Data by Age'!$B$6:$H$6,0))</f>
        <v>93000</v>
      </c>
      <c r="I16" s="78">
        <f>INDEX('Population Data by Age'!$B$7:$H$10366,MATCH(CONCATENATE('Tabular Pop Data by Age'!$C16,'Tabular Pop Data by Age'!I$7),'Population Data by Age'!$B$7:$B$10366,0),MATCH('Tabular Pop Data by Age'!$C$6,'Population Data by Age'!$B$6:$H$6,0))</f>
        <v>106000</v>
      </c>
      <c r="J16" s="78">
        <f>INDEX('Population Data by Age'!$B$7:$H$10366,MATCH(CONCATENATE('Tabular Pop Data by Age'!$C16,'Tabular Pop Data by Age'!J$7),'Population Data by Age'!$B$7:$B$10366,0),MATCH('Tabular Pop Data by Age'!$C$6,'Population Data by Age'!$B$6:$H$6,0))</f>
        <v>79000</v>
      </c>
      <c r="K16" s="78">
        <f>INDEX('Population Data by Age'!$B$7:$H$10366,MATCH(CONCATENATE('Tabular Pop Data by Age'!$C16,'Tabular Pop Data by Age'!K$7),'Population Data by Age'!$B$7:$B$10366,0),MATCH('Tabular Pop Data by Age'!$C$6,'Population Data by Age'!$B$6:$H$6,0))</f>
        <v>91000</v>
      </c>
      <c r="L16" s="78">
        <f>INDEX('Population Data by Age'!$B$7:$H$10366,MATCH(CONCATENATE('Tabular Pop Data by Age'!$C16,'Tabular Pop Data by Age'!L$7),'Population Data by Age'!$B$7:$B$10366,0),MATCH('Tabular Pop Data by Age'!$C$6,'Population Data by Age'!$B$6:$H$6,0))</f>
        <v>84000</v>
      </c>
      <c r="M16" s="78">
        <f>INDEX('Population Data by Age'!$B$7:$H$10366,MATCH(CONCATENATE('Tabular Pop Data by Age'!$C16,'Tabular Pop Data by Age'!M$7),'Population Data by Age'!$B$7:$B$10366,0),MATCH('Tabular Pop Data by Age'!$C$6,'Population Data by Age'!$B$6:$H$6,0))</f>
        <v>93000</v>
      </c>
      <c r="N16" s="78">
        <f>INDEX('Population Data by Age'!$B$7:$H$10366,MATCH(CONCATENATE('Tabular Pop Data by Age'!$C16,'Tabular Pop Data by Age'!N$7),'Population Data by Age'!$B$7:$B$10366,0),MATCH('Tabular Pop Data by Age'!$C$6,'Population Data by Age'!$B$6:$H$6,0))</f>
        <v>121000</v>
      </c>
      <c r="O16" s="78">
        <f>INDEX('Population Data by Age'!$B$7:$H$10366,MATCH(CONCATENATE('Tabular Pop Data by Age'!$C16,'Tabular Pop Data by Age'!O$7),'Population Data by Age'!$B$7:$B$10366,0),MATCH('Tabular Pop Data by Age'!$C$6,'Population Data by Age'!$B$6:$H$6,0))</f>
        <v>111000</v>
      </c>
      <c r="P16" s="78">
        <f>INDEX('Population Data by Age'!$B$7:$H$10366,MATCH(CONCATENATE('Tabular Pop Data by Age'!$C16,'Tabular Pop Data by Age'!P$7),'Population Data by Age'!$B$7:$B$10366,0),MATCH('Tabular Pop Data by Age'!$C$6,'Population Data by Age'!$B$6:$H$6,0))</f>
        <v>141000</v>
      </c>
      <c r="Q16" s="78">
        <f>INDEX('Population Data by Age'!$B$7:$H$10366,MATCH(CONCATENATE('Tabular Pop Data by Age'!$C16,'Tabular Pop Data by Age'!Q$7),'Population Data by Age'!$B$7:$B$10366,0),MATCH('Tabular Pop Data by Age'!$C$6,'Population Data by Age'!$B$6:$H$6,0))</f>
        <v>126000</v>
      </c>
      <c r="R16" s="78">
        <f>INDEX('Population Data by Age'!$B$7:$H$10366,MATCH(CONCATENATE('Tabular Pop Data by Age'!$C16,'Tabular Pop Data by Age'!R$7),'Population Data by Age'!$B$7:$B$10366,0),MATCH('Tabular Pop Data by Age'!$C$6,'Population Data by Age'!$B$6:$H$6,0))</f>
        <v>128000</v>
      </c>
      <c r="S16" s="78">
        <f>INDEX('Population Data by Age'!$B$7:$H$10366,MATCH(CONCATENATE('Tabular Pop Data by Age'!$C16,'Tabular Pop Data by Age'!S$7),'Population Data by Age'!$B$7:$B$10366,0),MATCH('Tabular Pop Data by Age'!$C$6,'Population Data by Age'!$B$6:$H$6,0))</f>
        <v>108000</v>
      </c>
      <c r="T16" s="78">
        <f>INDEX('Population Data by Age'!$B$7:$H$10366,MATCH(CONCATENATE('Tabular Pop Data by Age'!$C16,'Tabular Pop Data by Age'!T$7),'Population Data by Age'!$B$7:$B$10366,0),MATCH('Tabular Pop Data by Age'!$C$6,'Population Data by Age'!$B$6:$H$6,0))</f>
        <v>104000</v>
      </c>
      <c r="U16" s="78">
        <f>INDEX('Population Data by Age'!$B$7:$H$10366,MATCH(CONCATENATE('Tabular Pop Data by Age'!$C16,'Tabular Pop Data by Age'!U$7),'Population Data by Age'!$B$7:$B$10366,0),MATCH('Tabular Pop Data by Age'!$C$6,'Population Data by Age'!$B$6:$H$6,0))</f>
        <v>87000</v>
      </c>
      <c r="V16" s="78">
        <f>INDEX('Population Data by Age'!$B$7:$H$10366,MATCH(CONCATENATE('Tabular Pop Data by Age'!$C16,'Tabular Pop Data by Age'!V$7),'Population Data by Age'!$B$7:$B$10366,0),MATCH('Tabular Pop Data by Age'!$C$6,'Population Data by Age'!$B$6:$H$6,0))</f>
        <v>89000</v>
      </c>
      <c r="W16" s="78">
        <f>INDEX('Population Data by Age'!$B$7:$H$10366,MATCH(CONCATENATE('Tabular Pop Data by Age'!$C16,'Tabular Pop Data by Age'!W$7),'Population Data by Age'!$B$7:$B$10366,0),MATCH('Tabular Pop Data by Age'!$C$6,'Population Data by Age'!$B$6:$H$6,0))</f>
        <v>73000</v>
      </c>
      <c r="X16" s="78">
        <f>INDEX('Population Data by Age'!$B$7:$H$10366,MATCH(CONCATENATE('Tabular Pop Data by Age'!$C16,'Tabular Pop Data by Age'!X$7),'Population Data by Age'!$B$7:$B$10366,0),MATCH('Tabular Pop Data by Age'!$C$6,'Population Data by Age'!$B$6:$H$6,0))</f>
        <v>93000</v>
      </c>
      <c r="Y16" s="78">
        <f>INDEX('Population Data by Age'!$B$7:$H$10366,MATCH(CONCATENATE('Tabular Pop Data by Age'!$C16,'Tabular Pop Data by Age'!Y$7),'Population Data by Age'!$B$7:$B$10366,0),MATCH('Tabular Pop Data by Age'!$C$6,'Population Data by Age'!$B$6:$H$6,0))</f>
        <v>70000</v>
      </c>
      <c r="Z16" s="78">
        <f>INDEX('Population Data by Age'!$B$7:$H$10366,MATCH(CONCATENATE('Tabular Pop Data by Age'!$C16,'Tabular Pop Data by Age'!Z$7),'Population Data by Age'!$B$7:$B$10366,0),MATCH('Tabular Pop Data by Age'!$C$6,'Population Data by Age'!$B$6:$H$6,0))</f>
        <v>114000</v>
      </c>
      <c r="AA16" s="78">
        <f>INDEX('Population Data by Age'!$B$7:$H$10366,MATCH(CONCATENATE('Tabular Pop Data by Age'!$C16,'Tabular Pop Data by Age'!AA$7),'Population Data by Age'!$B$7:$B$10366,0),MATCH('Tabular Pop Data by Age'!$C$6,'Population Data by Age'!$B$6:$H$6,0))</f>
        <v>85000</v>
      </c>
      <c r="AB16" s="78">
        <f>INDEX('Population Data by Age'!$B$7:$H$10366,MATCH(CONCATENATE('Tabular Pop Data by Age'!$C16,'Tabular Pop Data by Age'!AB$7),'Population Data by Age'!$B$7:$B$10366,0),MATCH('Tabular Pop Data by Age'!$C$6,'Population Data by Age'!$B$6:$H$6,0))</f>
        <v>113000</v>
      </c>
      <c r="AC16" s="78">
        <f>INDEX('Population Data by Age'!$B$7:$H$10366,MATCH(CONCATENATE('Tabular Pop Data by Age'!$C16,'Tabular Pop Data by Age'!AC$7),'Population Data by Age'!$B$7:$B$10366,0),MATCH('Tabular Pop Data by Age'!$C$6,'Population Data by Age'!$B$6:$H$6,0))</f>
        <v>84000</v>
      </c>
      <c r="AD16" s="78">
        <f>INDEX('Population Data by Age'!$B$7:$H$10366,MATCH(CONCATENATE('Tabular Pop Data by Age'!$C16,'Tabular Pop Data by Age'!AD$7),'Population Data by Age'!$B$7:$B$10366,0),MATCH('Tabular Pop Data by Age'!$C$6,'Population Data by Age'!$B$6:$H$6,0))</f>
        <v>77000</v>
      </c>
      <c r="AE16" s="78">
        <f>INDEX('Population Data by Age'!$B$7:$H$10366,MATCH(CONCATENATE('Tabular Pop Data by Age'!$C16,'Tabular Pop Data by Age'!AE$7),'Population Data by Age'!$B$7:$B$10366,0),MATCH('Tabular Pop Data by Age'!$C$6,'Population Data by Age'!$B$6:$H$6,0))</f>
        <v>55000</v>
      </c>
      <c r="AF16" s="78">
        <f>INDEX('Population Data by Age'!$B$7:$H$10366,MATCH(CONCATENATE('Tabular Pop Data by Age'!$C16,'Tabular Pop Data by Age'!AF$7),'Population Data by Age'!$B$7:$B$10366,0),MATCH('Tabular Pop Data by Age'!$C$6,'Population Data by Age'!$B$6:$H$6,0))</f>
        <v>51000</v>
      </c>
      <c r="AG16" s="78">
        <f>INDEX('Population Data by Age'!$B$7:$H$10366,MATCH(CONCATENATE('Tabular Pop Data by Age'!$C16,'Tabular Pop Data by Age'!AG$7),'Population Data by Age'!$B$7:$B$10366,0),MATCH('Tabular Pop Data by Age'!$C$6,'Population Data by Age'!$B$6:$H$6,0))</f>
        <v>34000</v>
      </c>
      <c r="AH16" s="78">
        <f>INDEX('Population Data by Age'!$B$7:$H$10366,MATCH(CONCATENATE('Tabular Pop Data by Age'!$C16,'Tabular Pop Data by Age'!AH$7),'Population Data by Age'!$B$7:$B$10366,0),MATCH('Tabular Pop Data by Age'!$C$6,'Population Data by Age'!$B$6:$H$6,0))</f>
        <v>26000</v>
      </c>
      <c r="AI16" s="78">
        <f>INDEX('Population Data by Age'!$B$7:$H$10366,MATCH(CONCATENATE('Tabular Pop Data by Age'!$C16,'Tabular Pop Data by Age'!AI$7),'Population Data by Age'!$B$7:$B$10366,0),MATCH('Tabular Pop Data by Age'!$C$6,'Population Data by Age'!$B$6:$H$6,0))</f>
        <v>16000</v>
      </c>
      <c r="AJ16" s="78">
        <f>INDEX('Population Data by Age'!$B$7:$H$10366,MATCH(CONCATENATE('Tabular Pop Data by Age'!$C16,'Tabular Pop Data by Age'!AJ$7),'Population Data by Age'!$B$7:$B$10366,0),MATCH('Tabular Pop Data by Age'!$C$6,'Population Data by Age'!$B$6:$H$6,0))</f>
        <v>59000</v>
      </c>
      <c r="AK16" s="78">
        <f>INDEX('Population Data by Age'!$B$7:$H$10366,MATCH(CONCATENATE('Tabular Pop Data by Age'!$C16,'Tabular Pop Data by Age'!AK$7),'Population Data by Age'!$B$7:$B$10366,0),MATCH('Tabular Pop Data by Age'!$C$6,'Population Data by Age'!$B$6:$H$6,0))</f>
        <v>32000</v>
      </c>
      <c r="AL16" s="78">
        <f>INDEX('Population Data by Age'!$B$7:$H$10366,MATCH(CONCATENATE('Tabular Pop Data by Age'!$C16,'Tabular Pop Data by Age'!AL$7),'Population Data by Age'!$B$7:$B$10366,0),MATCH('Tabular Pop Data by Age'!$C$6,'Population Data by Age'!$B$6:$H$6,0))</f>
        <v>1569000</v>
      </c>
      <c r="AM16" s="78">
        <f>INDEX('Population Data by Age'!$B$7:$H$10366,MATCH(CONCATENATE('Tabular Pop Data by Age'!$C16,'Tabular Pop Data by Age'!AM$7),'Population Data by Age'!$B$7:$B$10366,0),MATCH('Tabular Pop Data by Age'!$C$6,'Population Data by Age'!$B$6:$H$6,0))</f>
        <v>1394000</v>
      </c>
      <c r="AN16" s="78">
        <f>INDEX('Population Data by Age'!$B$7:$H$10366,MATCH(CONCATENATE('Tabular Pop Data by Age'!$C16,'Tabular Pop Data by Age'!AN$7),'Population Data by Age'!$B$7:$B$10366,0),MATCH('Tabular Pop Data by Age'!$C$6,'Population Data by Age'!$B$6:$H$6,0))</f>
        <v>2963000</v>
      </c>
      <c r="AO16" s="78">
        <f>INDEX('Population Data by Age'!$B$7:$H$10366,MATCH(CONCATENATE('Tabular Pop Data by Age'!$C16,'Tabular Pop Data by Age'!AO$7),'Population Data by Age'!$B$7:$B$10366,0),MATCH('Tabular Pop Data by Age'!$C$6,'Population Data by Age'!$B$6:$H$6,0))</f>
        <v>0</v>
      </c>
      <c r="AP16" s="79">
        <f t="shared" si="0"/>
        <v>205000</v>
      </c>
      <c r="AQ16" s="79">
        <f t="shared" si="1"/>
        <v>214000</v>
      </c>
      <c r="AR16" s="79">
        <f t="shared" si="2"/>
        <v>199000</v>
      </c>
      <c r="AS16" s="79">
        <f t="shared" si="3"/>
        <v>170000</v>
      </c>
      <c r="AT16" s="79">
        <f t="shared" si="4"/>
        <v>177000</v>
      </c>
      <c r="AU16" s="79">
        <f t="shared" si="5"/>
        <v>232000</v>
      </c>
      <c r="AV16" s="79">
        <f t="shared" si="6"/>
        <v>267000</v>
      </c>
      <c r="AW16" s="79">
        <f t="shared" si="7"/>
        <v>236000</v>
      </c>
      <c r="AX16" s="79">
        <f t="shared" si="8"/>
        <v>191000</v>
      </c>
      <c r="AY16" s="79">
        <f t="shared" si="9"/>
        <v>162000</v>
      </c>
      <c r="AZ16" s="79">
        <f t="shared" si="10"/>
        <v>163000</v>
      </c>
      <c r="BA16" s="79">
        <f t="shared" si="11"/>
        <v>199000</v>
      </c>
      <c r="BB16" s="79">
        <f t="shared" si="12"/>
        <v>197000</v>
      </c>
      <c r="BC16" s="79">
        <f t="shared" si="13"/>
        <v>132000</v>
      </c>
      <c r="BD16" s="79">
        <f t="shared" si="14"/>
        <v>85000</v>
      </c>
      <c r="BE16" s="79">
        <f t="shared" si="15"/>
        <v>42000</v>
      </c>
      <c r="BF16" s="79">
        <f t="shared" si="16"/>
        <v>91000</v>
      </c>
    </row>
    <row r="17" spans="1:58" x14ac:dyDescent="0.25">
      <c r="A17" s="138" t="s">
        <v>1195</v>
      </c>
      <c r="B17" t="s">
        <v>429</v>
      </c>
      <c r="C17" t="s">
        <v>430</v>
      </c>
      <c r="D17" s="78">
        <f>INDEX('Population Data by Age'!$B$7:$H$10366,MATCH(CONCATENATE('Tabular Pop Data by Age'!$C17,'Tabular Pop Data by Age'!D$7),'Population Data by Age'!$B$7:$B$10366,0),MATCH('Tabular Pop Data by Age'!$C$6,'Population Data by Age'!$B$6:$H$6,0))</f>
        <v>3000</v>
      </c>
      <c r="E17" s="78">
        <f>INDEX('Population Data by Age'!$B$7:$H$10366,MATCH(CONCATENATE('Tabular Pop Data by Age'!$C17,'Tabular Pop Data by Age'!E$7),'Population Data by Age'!$B$7:$B$10366,0),MATCH('Tabular Pop Data by Age'!$C$6,'Population Data by Age'!$B$6:$H$6,0))</f>
        <v>3100</v>
      </c>
      <c r="F17" s="78">
        <f>INDEX('Population Data by Age'!$B$7:$H$10366,MATCH(CONCATENATE('Tabular Pop Data by Age'!$C17,'Tabular Pop Data by Age'!F$7),'Population Data by Age'!$B$7:$B$10366,0),MATCH('Tabular Pop Data by Age'!$C$6,'Population Data by Age'!$B$6:$H$6,0))</f>
        <v>2800</v>
      </c>
      <c r="G17" s="78">
        <f>INDEX('Population Data by Age'!$B$7:$H$10366,MATCH(CONCATENATE('Tabular Pop Data by Age'!$C17,'Tabular Pop Data by Age'!G$7),'Population Data by Age'!$B$7:$B$10366,0),MATCH('Tabular Pop Data by Age'!$C$6,'Population Data by Age'!$B$6:$H$6,0))</f>
        <v>2900</v>
      </c>
      <c r="H17" s="78">
        <f>INDEX('Population Data by Age'!$B$7:$H$10366,MATCH(CONCATENATE('Tabular Pop Data by Age'!$C17,'Tabular Pop Data by Age'!H$7),'Population Data by Age'!$B$7:$B$10366,0),MATCH('Tabular Pop Data by Age'!$C$6,'Population Data by Age'!$B$6:$H$6,0))</f>
        <v>3400</v>
      </c>
      <c r="I17" s="78">
        <f>INDEX('Population Data by Age'!$B$7:$H$10366,MATCH(CONCATENATE('Tabular Pop Data by Age'!$C17,'Tabular Pop Data by Age'!I$7),'Population Data by Age'!$B$7:$B$10366,0),MATCH('Tabular Pop Data by Age'!$C$6,'Population Data by Age'!$B$6:$H$6,0))</f>
        <v>3400</v>
      </c>
      <c r="J17" s="78">
        <f>INDEX('Population Data by Age'!$B$7:$H$10366,MATCH(CONCATENATE('Tabular Pop Data by Age'!$C17,'Tabular Pop Data by Age'!J$7),'Population Data by Age'!$B$7:$B$10366,0),MATCH('Tabular Pop Data by Age'!$C$6,'Population Data by Age'!$B$6:$H$6,0))</f>
        <v>3600</v>
      </c>
      <c r="K17" s="78">
        <f>INDEX('Population Data by Age'!$B$7:$H$10366,MATCH(CONCATENATE('Tabular Pop Data by Age'!$C17,'Tabular Pop Data by Age'!K$7),'Population Data by Age'!$B$7:$B$10366,0),MATCH('Tabular Pop Data by Age'!$C$6,'Population Data by Age'!$B$6:$H$6,0))</f>
        <v>3700</v>
      </c>
      <c r="L17" s="78">
        <f>INDEX('Population Data by Age'!$B$7:$H$10366,MATCH(CONCATENATE('Tabular Pop Data by Age'!$C17,'Tabular Pop Data by Age'!L$7),'Population Data by Age'!$B$7:$B$10366,0),MATCH('Tabular Pop Data by Age'!$C$6,'Population Data by Age'!$B$6:$H$6,0))</f>
        <v>3800</v>
      </c>
      <c r="M17" s="78">
        <f>INDEX('Population Data by Age'!$B$7:$H$10366,MATCH(CONCATENATE('Tabular Pop Data by Age'!$C17,'Tabular Pop Data by Age'!M$7),'Population Data by Age'!$B$7:$B$10366,0),MATCH('Tabular Pop Data by Age'!$C$6,'Population Data by Age'!$B$6:$H$6,0))</f>
        <v>3800</v>
      </c>
      <c r="N17" s="78">
        <f>INDEX('Population Data by Age'!$B$7:$H$10366,MATCH(CONCATENATE('Tabular Pop Data by Age'!$C17,'Tabular Pop Data by Age'!N$7),'Population Data by Age'!$B$7:$B$10366,0),MATCH('Tabular Pop Data by Age'!$C$6,'Population Data by Age'!$B$6:$H$6,0))</f>
        <v>3600</v>
      </c>
      <c r="O17" s="78">
        <f>INDEX('Population Data by Age'!$B$7:$H$10366,MATCH(CONCATENATE('Tabular Pop Data by Age'!$C17,'Tabular Pop Data by Age'!O$7),'Population Data by Age'!$B$7:$B$10366,0),MATCH('Tabular Pop Data by Age'!$C$6,'Population Data by Age'!$B$6:$H$6,0))</f>
        <v>3800</v>
      </c>
      <c r="P17" s="78">
        <f>INDEX('Population Data by Age'!$B$7:$H$10366,MATCH(CONCATENATE('Tabular Pop Data by Age'!$C17,'Tabular Pop Data by Age'!P$7),'Population Data by Age'!$B$7:$B$10366,0),MATCH('Tabular Pop Data by Age'!$C$6,'Population Data by Age'!$B$6:$H$6,0))</f>
        <v>2700</v>
      </c>
      <c r="Q17" s="78">
        <f>INDEX('Population Data by Age'!$B$7:$H$10366,MATCH(CONCATENATE('Tabular Pop Data by Age'!$C17,'Tabular Pop Data by Age'!Q$7),'Population Data by Age'!$B$7:$B$10366,0),MATCH('Tabular Pop Data by Age'!$C$6,'Population Data by Age'!$B$6:$H$6,0))</f>
        <v>2700</v>
      </c>
      <c r="R17" s="78">
        <f>INDEX('Population Data by Age'!$B$7:$H$10366,MATCH(CONCATENATE('Tabular Pop Data by Age'!$C17,'Tabular Pop Data by Age'!R$7),'Population Data by Age'!$B$7:$B$10366,0),MATCH('Tabular Pop Data by Age'!$C$6,'Population Data by Age'!$B$6:$H$6,0))</f>
        <v>3100</v>
      </c>
      <c r="S17" s="78">
        <f>INDEX('Population Data by Age'!$B$7:$H$10366,MATCH(CONCATENATE('Tabular Pop Data by Age'!$C17,'Tabular Pop Data by Age'!S$7),'Population Data by Age'!$B$7:$B$10366,0),MATCH('Tabular Pop Data by Age'!$C$6,'Population Data by Age'!$B$6:$H$6,0))</f>
        <v>2700</v>
      </c>
      <c r="T17" s="78">
        <f>INDEX('Population Data by Age'!$B$7:$H$10366,MATCH(CONCATENATE('Tabular Pop Data by Age'!$C17,'Tabular Pop Data by Age'!T$7),'Population Data by Age'!$B$7:$B$10366,0),MATCH('Tabular Pop Data by Age'!$C$6,'Population Data by Age'!$B$6:$H$6,0))</f>
        <v>3700</v>
      </c>
      <c r="U17" s="78">
        <f>INDEX('Population Data by Age'!$B$7:$H$10366,MATCH(CONCATENATE('Tabular Pop Data by Age'!$C17,'Tabular Pop Data by Age'!U$7),'Population Data by Age'!$B$7:$B$10366,0),MATCH('Tabular Pop Data by Age'!$C$6,'Population Data by Age'!$B$6:$H$6,0))</f>
        <v>3000</v>
      </c>
      <c r="V17" s="78">
        <f>INDEX('Population Data by Age'!$B$7:$H$10366,MATCH(CONCATENATE('Tabular Pop Data by Age'!$C17,'Tabular Pop Data by Age'!V$7),'Population Data by Age'!$B$7:$B$10366,0),MATCH('Tabular Pop Data by Age'!$C$6,'Population Data by Age'!$B$6:$H$6,0))</f>
        <v>4100</v>
      </c>
      <c r="W17" s="78">
        <f>INDEX('Population Data by Age'!$B$7:$H$10366,MATCH(CONCATENATE('Tabular Pop Data by Age'!$C17,'Tabular Pop Data by Age'!W$7),'Population Data by Age'!$B$7:$B$10366,0),MATCH('Tabular Pop Data by Age'!$C$6,'Population Data by Age'!$B$6:$H$6,0))</f>
        <v>3500</v>
      </c>
      <c r="X17" s="78">
        <f>INDEX('Population Data by Age'!$B$7:$H$10366,MATCH(CONCATENATE('Tabular Pop Data by Age'!$C17,'Tabular Pop Data by Age'!X$7),'Population Data by Age'!$B$7:$B$10366,0),MATCH('Tabular Pop Data by Age'!$C$6,'Population Data by Age'!$B$6:$H$6,0))</f>
        <v>4400</v>
      </c>
      <c r="Y17" s="78">
        <f>INDEX('Population Data by Age'!$B$7:$H$10366,MATCH(CONCATENATE('Tabular Pop Data by Age'!$C17,'Tabular Pop Data by Age'!Y$7),'Population Data by Age'!$B$7:$B$10366,0),MATCH('Tabular Pop Data by Age'!$C$6,'Population Data by Age'!$B$6:$H$6,0))</f>
        <v>3700</v>
      </c>
      <c r="Z17" s="78">
        <f>INDEX('Population Data by Age'!$B$7:$H$10366,MATCH(CONCATENATE('Tabular Pop Data by Age'!$C17,'Tabular Pop Data by Age'!Z$7),'Population Data by Age'!$B$7:$B$10366,0),MATCH('Tabular Pop Data by Age'!$C$6,'Population Data by Age'!$B$6:$H$6,0))</f>
        <v>4900</v>
      </c>
      <c r="AA17" s="78">
        <f>INDEX('Population Data by Age'!$B$7:$H$10366,MATCH(CONCATENATE('Tabular Pop Data by Age'!$C17,'Tabular Pop Data by Age'!AA$7),'Population Data by Age'!$B$7:$B$10366,0),MATCH('Tabular Pop Data by Age'!$C$6,'Population Data by Age'!$B$6:$H$6,0))</f>
        <v>4200</v>
      </c>
      <c r="AB17" s="78">
        <f>INDEX('Population Data by Age'!$B$7:$H$10366,MATCH(CONCATENATE('Tabular Pop Data by Age'!$C17,'Tabular Pop Data by Age'!AB$7),'Population Data by Age'!$B$7:$B$10366,0),MATCH('Tabular Pop Data by Age'!$C$6,'Population Data by Age'!$B$6:$H$6,0))</f>
        <v>4200</v>
      </c>
      <c r="AC17" s="78">
        <f>INDEX('Population Data by Age'!$B$7:$H$10366,MATCH(CONCATENATE('Tabular Pop Data by Age'!$C17,'Tabular Pop Data by Age'!AC$7),'Population Data by Age'!$B$7:$B$10366,0),MATCH('Tabular Pop Data by Age'!$C$6,'Population Data by Age'!$B$6:$H$6,0))</f>
        <v>3500</v>
      </c>
      <c r="AD17" s="78">
        <f>INDEX('Population Data by Age'!$B$7:$H$10366,MATCH(CONCATENATE('Tabular Pop Data by Age'!$C17,'Tabular Pop Data by Age'!AD$7),'Population Data by Age'!$B$7:$B$10366,0),MATCH('Tabular Pop Data by Age'!$C$6,'Population Data by Age'!$B$6:$H$6,0))</f>
        <v>3400</v>
      </c>
      <c r="AE17" s="78">
        <f>INDEX('Population Data by Age'!$B$7:$H$10366,MATCH(CONCATENATE('Tabular Pop Data by Age'!$C17,'Tabular Pop Data by Age'!AE$7),'Population Data by Age'!$B$7:$B$10366,0),MATCH('Tabular Pop Data by Age'!$C$6,'Population Data by Age'!$B$6:$H$6,0))</f>
        <v>2700</v>
      </c>
      <c r="AF17" s="78">
        <f>INDEX('Population Data by Age'!$B$7:$H$10366,MATCH(CONCATENATE('Tabular Pop Data by Age'!$C17,'Tabular Pop Data by Age'!AF$7),'Population Data by Age'!$B$7:$B$10366,0),MATCH('Tabular Pop Data by Age'!$C$6,'Population Data by Age'!$B$6:$H$6,0))</f>
        <v>2400</v>
      </c>
      <c r="AG17" s="78">
        <f>INDEX('Population Data by Age'!$B$7:$H$10366,MATCH(CONCATENATE('Tabular Pop Data by Age'!$C17,'Tabular Pop Data by Age'!AG$7),'Population Data by Age'!$B$7:$B$10366,0),MATCH('Tabular Pop Data by Age'!$C$6,'Population Data by Age'!$B$6:$H$6,0))</f>
        <v>1900</v>
      </c>
      <c r="AH17" s="78">
        <f>INDEX('Population Data by Age'!$B$7:$H$10366,MATCH(CONCATENATE('Tabular Pop Data by Age'!$C17,'Tabular Pop Data by Age'!AH$7),'Population Data by Age'!$B$7:$B$10366,0),MATCH('Tabular Pop Data by Age'!$C$6,'Population Data by Age'!$B$6:$H$6,0))</f>
        <v>1500</v>
      </c>
      <c r="AI17" s="78">
        <f>INDEX('Population Data by Age'!$B$7:$H$10366,MATCH(CONCATENATE('Tabular Pop Data by Age'!$C17,'Tabular Pop Data by Age'!AI$7),'Population Data by Age'!$B$7:$B$10366,0),MATCH('Tabular Pop Data by Age'!$C$6,'Population Data by Age'!$B$6:$H$6,0))</f>
        <v>1100</v>
      </c>
      <c r="AJ17" s="78">
        <f>INDEX('Population Data by Age'!$B$7:$H$10366,MATCH(CONCATENATE('Tabular Pop Data by Age'!$C17,'Tabular Pop Data by Age'!AJ$7),'Population Data by Age'!$B$7:$B$10366,0),MATCH('Tabular Pop Data by Age'!$C$6,'Population Data by Age'!$B$6:$H$6,0))</f>
        <v>1700</v>
      </c>
      <c r="AK17" s="78">
        <f>INDEX('Population Data by Age'!$B$7:$H$10366,MATCH(CONCATENATE('Tabular Pop Data by Age'!$C17,'Tabular Pop Data by Age'!AK$7),'Population Data by Age'!$B$7:$B$10366,0),MATCH('Tabular Pop Data by Age'!$C$6,'Population Data by Age'!$B$6:$H$6,0))</f>
        <v>900</v>
      </c>
      <c r="AL17" s="78">
        <f>INDEX('Population Data by Age'!$B$7:$H$10366,MATCH(CONCATENATE('Tabular Pop Data by Age'!$C17,'Tabular Pop Data by Age'!AL$7),'Population Data by Age'!$B$7:$B$10366,0),MATCH('Tabular Pop Data by Age'!$C$6,'Population Data by Age'!$B$6:$H$6,0))</f>
        <v>56000</v>
      </c>
      <c r="AM17" s="78">
        <f>INDEX('Population Data by Age'!$B$7:$H$10366,MATCH(CONCATENATE('Tabular Pop Data by Age'!$C17,'Tabular Pop Data by Age'!AM$7),'Population Data by Age'!$B$7:$B$10366,0),MATCH('Tabular Pop Data by Age'!$C$6,'Population Data by Age'!$B$6:$H$6,0))</f>
        <v>51000</v>
      </c>
      <c r="AN17" s="78">
        <f>INDEX('Population Data by Age'!$B$7:$H$10366,MATCH(CONCATENATE('Tabular Pop Data by Age'!$C17,'Tabular Pop Data by Age'!AN$7),'Population Data by Age'!$B$7:$B$10366,0),MATCH('Tabular Pop Data by Age'!$C$6,'Population Data by Age'!$B$6:$H$6,0))</f>
        <v>107000</v>
      </c>
      <c r="AO17" s="78">
        <f>INDEX('Population Data by Age'!$B$7:$H$10366,MATCH(CONCATENATE('Tabular Pop Data by Age'!$C17,'Tabular Pop Data by Age'!AO$7),'Population Data by Age'!$B$7:$B$10366,0),MATCH('Tabular Pop Data by Age'!$C$6,'Population Data by Age'!$B$6:$H$6,0))</f>
        <v>0</v>
      </c>
      <c r="AP17" s="79">
        <f t="shared" si="0"/>
        <v>6100</v>
      </c>
      <c r="AQ17" s="79">
        <f t="shared" si="1"/>
        <v>5700</v>
      </c>
      <c r="AR17" s="79">
        <f t="shared" si="2"/>
        <v>6800</v>
      </c>
      <c r="AS17" s="79">
        <f t="shared" si="3"/>
        <v>7300</v>
      </c>
      <c r="AT17" s="79">
        <f t="shared" si="4"/>
        <v>7600</v>
      </c>
      <c r="AU17" s="79">
        <f t="shared" si="5"/>
        <v>7400</v>
      </c>
      <c r="AV17" s="79">
        <f t="shared" si="6"/>
        <v>5400</v>
      </c>
      <c r="AW17" s="79">
        <f t="shared" si="7"/>
        <v>5800</v>
      </c>
      <c r="AX17" s="79">
        <f t="shared" si="8"/>
        <v>6700</v>
      </c>
      <c r="AY17" s="79">
        <f t="shared" si="9"/>
        <v>7600</v>
      </c>
      <c r="AZ17" s="79">
        <f t="shared" si="10"/>
        <v>8100</v>
      </c>
      <c r="BA17" s="79">
        <f t="shared" si="11"/>
        <v>9100</v>
      </c>
      <c r="BB17" s="79">
        <f t="shared" si="12"/>
        <v>7700</v>
      </c>
      <c r="BC17" s="79">
        <f t="shared" si="13"/>
        <v>6100</v>
      </c>
      <c r="BD17" s="79">
        <f t="shared" si="14"/>
        <v>4300</v>
      </c>
      <c r="BE17" s="79">
        <f t="shared" si="15"/>
        <v>2600</v>
      </c>
      <c r="BF17" s="79">
        <f t="shared" si="16"/>
        <v>2600</v>
      </c>
    </row>
    <row r="18" spans="1:58" x14ac:dyDescent="0.25">
      <c r="A18" s="138" t="s">
        <v>1195</v>
      </c>
      <c r="B18" t="s">
        <v>431</v>
      </c>
      <c r="C18" t="s">
        <v>4</v>
      </c>
      <c r="D18" s="78">
        <f>INDEX('Population Data by Age'!$B$7:$H$10366,MATCH(CONCATENATE('Tabular Pop Data by Age'!$C18,'Tabular Pop Data by Age'!D$7),'Population Data by Age'!$B$7:$B$10366,0),MATCH('Tabular Pop Data by Age'!$C$6,'Population Data by Age'!$B$6:$H$6,0))</f>
        <v>816000</v>
      </c>
      <c r="E18" s="78">
        <f>INDEX('Population Data by Age'!$B$7:$H$10366,MATCH(CONCATENATE('Tabular Pop Data by Age'!$C18,'Tabular Pop Data by Age'!E$7),'Population Data by Age'!$B$7:$B$10366,0),MATCH('Tabular Pop Data by Age'!$C$6,'Population Data by Age'!$B$6:$H$6,0))</f>
        <v>861000</v>
      </c>
      <c r="F18" s="78">
        <f>INDEX('Population Data by Age'!$B$7:$H$10366,MATCH(CONCATENATE('Tabular Pop Data by Age'!$C18,'Tabular Pop Data by Age'!F$7),'Population Data by Age'!$B$7:$B$10366,0),MATCH('Tabular Pop Data by Age'!$C$6,'Population Data by Age'!$B$6:$H$6,0))</f>
        <v>802000</v>
      </c>
      <c r="G18" s="78">
        <f>INDEX('Population Data by Age'!$B$7:$H$10366,MATCH(CONCATENATE('Tabular Pop Data by Age'!$C18,'Tabular Pop Data by Age'!G$7),'Population Data by Age'!$B$7:$B$10366,0),MATCH('Tabular Pop Data by Age'!$C$6,'Population Data by Age'!$B$6:$H$6,0))</f>
        <v>845000</v>
      </c>
      <c r="H18" s="78">
        <f>INDEX('Population Data by Age'!$B$7:$H$10366,MATCH(CONCATENATE('Tabular Pop Data by Age'!$C18,'Tabular Pop Data by Age'!H$7),'Population Data by Age'!$B$7:$B$10366,0),MATCH('Tabular Pop Data by Age'!$C$6,'Population Data by Age'!$B$6:$H$6,0))</f>
        <v>788000</v>
      </c>
      <c r="I18" s="78">
        <f>INDEX('Population Data by Age'!$B$7:$H$10366,MATCH(CONCATENATE('Tabular Pop Data by Age'!$C18,'Tabular Pop Data by Age'!I$7),'Population Data by Age'!$B$7:$B$10366,0),MATCH('Tabular Pop Data by Age'!$C$6,'Population Data by Age'!$B$6:$H$6,0))</f>
        <v>829000</v>
      </c>
      <c r="J18" s="78">
        <f>INDEX('Population Data by Age'!$B$7:$H$10366,MATCH(CONCATENATE('Tabular Pop Data by Age'!$C18,'Tabular Pop Data by Age'!J$7),'Population Data by Age'!$B$7:$B$10366,0),MATCH('Tabular Pop Data by Age'!$C$6,'Population Data by Age'!$B$6:$H$6,0))</f>
        <v>746000</v>
      </c>
      <c r="K18" s="78">
        <f>INDEX('Population Data by Age'!$B$7:$H$10366,MATCH(CONCATENATE('Tabular Pop Data by Age'!$C18,'Tabular Pop Data by Age'!K$7),'Population Data by Age'!$B$7:$B$10366,0),MATCH('Tabular Pop Data by Age'!$C$6,'Population Data by Age'!$B$6:$H$6,0))</f>
        <v>781000</v>
      </c>
      <c r="L18" s="78">
        <f>INDEX('Population Data by Age'!$B$7:$H$10366,MATCH(CONCATENATE('Tabular Pop Data by Age'!$C18,'Tabular Pop Data by Age'!L$7),'Population Data by Age'!$B$7:$B$10366,0),MATCH('Tabular Pop Data by Age'!$C$6,'Population Data by Age'!$B$6:$H$6,0))</f>
        <v>787000</v>
      </c>
      <c r="M18" s="78">
        <f>INDEX('Population Data by Age'!$B$7:$H$10366,MATCH(CONCATENATE('Tabular Pop Data by Age'!$C18,'Tabular Pop Data by Age'!M$7),'Population Data by Age'!$B$7:$B$10366,0),MATCH('Tabular Pop Data by Age'!$C$6,'Population Data by Age'!$B$6:$H$6,0))</f>
        <v>815000</v>
      </c>
      <c r="N18" s="78">
        <f>INDEX('Population Data by Age'!$B$7:$H$10366,MATCH(CONCATENATE('Tabular Pop Data by Age'!$C18,'Tabular Pop Data by Age'!N$7),'Population Data by Age'!$B$7:$B$10366,0),MATCH('Tabular Pop Data by Age'!$C$6,'Population Data by Age'!$B$6:$H$6,0))</f>
        <v>875000</v>
      </c>
      <c r="O18" s="78">
        <f>INDEX('Population Data by Age'!$B$7:$H$10366,MATCH(CONCATENATE('Tabular Pop Data by Age'!$C18,'Tabular Pop Data by Age'!O$7),'Population Data by Age'!$B$7:$B$10366,0),MATCH('Tabular Pop Data by Age'!$C$6,'Population Data by Age'!$B$6:$H$6,0))</f>
        <v>914000</v>
      </c>
      <c r="P18" s="78">
        <f>INDEX('Population Data by Age'!$B$7:$H$10366,MATCH(CONCATENATE('Tabular Pop Data by Age'!$C18,'Tabular Pop Data by Age'!P$7),'Population Data by Age'!$B$7:$B$10366,0),MATCH('Tabular Pop Data by Age'!$C$6,'Population Data by Age'!$B$6:$H$6,0))</f>
        <v>940000</v>
      </c>
      <c r="Q18" s="78">
        <f>INDEX('Population Data by Age'!$B$7:$H$10366,MATCH(CONCATENATE('Tabular Pop Data by Age'!$C18,'Tabular Pop Data by Age'!Q$7),'Population Data by Age'!$B$7:$B$10366,0),MATCH('Tabular Pop Data by Age'!$C$6,'Population Data by Age'!$B$6:$H$6,0))</f>
        <v>944000</v>
      </c>
      <c r="R18" s="78">
        <f>INDEX('Population Data by Age'!$B$7:$H$10366,MATCH(CONCATENATE('Tabular Pop Data by Age'!$C18,'Tabular Pop Data by Age'!R$7),'Population Data by Age'!$B$7:$B$10366,0),MATCH('Tabular Pop Data by Age'!$C$6,'Population Data by Age'!$B$6:$H$6,0))</f>
        <v>925000</v>
      </c>
      <c r="S18" s="78">
        <f>INDEX('Population Data by Age'!$B$7:$H$10366,MATCH(CONCATENATE('Tabular Pop Data by Age'!$C18,'Tabular Pop Data by Age'!S$7),'Population Data by Age'!$B$7:$B$10366,0),MATCH('Tabular Pop Data by Age'!$C$6,'Population Data by Age'!$B$6:$H$6,0))</f>
        <v>926000</v>
      </c>
      <c r="T18" s="78">
        <f>INDEX('Population Data by Age'!$B$7:$H$10366,MATCH(CONCATENATE('Tabular Pop Data by Age'!$C18,'Tabular Pop Data by Age'!T$7),'Population Data by Age'!$B$7:$B$10366,0),MATCH('Tabular Pop Data by Age'!$C$6,'Population Data by Age'!$B$6:$H$6,0))</f>
        <v>822000</v>
      </c>
      <c r="U18" s="78">
        <f>INDEX('Population Data by Age'!$B$7:$H$10366,MATCH(CONCATENATE('Tabular Pop Data by Age'!$C18,'Tabular Pop Data by Age'!U$7),'Population Data by Age'!$B$7:$B$10366,0),MATCH('Tabular Pop Data by Age'!$C$6,'Population Data by Age'!$B$6:$H$6,0))</f>
        <v>814000</v>
      </c>
      <c r="V18" s="78">
        <f>INDEX('Population Data by Age'!$B$7:$H$10366,MATCH(CONCATENATE('Tabular Pop Data by Age'!$C18,'Tabular Pop Data by Age'!V$7),'Population Data by Age'!$B$7:$B$10366,0),MATCH('Tabular Pop Data by Age'!$C$6,'Population Data by Age'!$B$6:$H$6,0))</f>
        <v>849000</v>
      </c>
      <c r="W18" s="78">
        <f>INDEX('Population Data by Age'!$B$7:$H$10366,MATCH(CONCATENATE('Tabular Pop Data by Age'!$C18,'Tabular Pop Data by Age'!W$7),'Population Data by Age'!$B$7:$B$10366,0),MATCH('Tabular Pop Data by Age'!$C$6,'Population Data by Age'!$B$6:$H$6,0))</f>
        <v>835000</v>
      </c>
      <c r="X18" s="78">
        <f>INDEX('Population Data by Age'!$B$7:$H$10366,MATCH(CONCATENATE('Tabular Pop Data by Age'!$C18,'Tabular Pop Data by Age'!X$7),'Population Data by Age'!$B$7:$B$10366,0),MATCH('Tabular Pop Data by Age'!$C$6,'Population Data by Age'!$B$6:$H$6,0))</f>
        <v>793000</v>
      </c>
      <c r="Y18" s="78">
        <f>INDEX('Population Data by Age'!$B$7:$H$10366,MATCH(CONCATENATE('Tabular Pop Data by Age'!$C18,'Tabular Pop Data by Age'!Y$7),'Population Data by Age'!$B$7:$B$10366,0),MATCH('Tabular Pop Data by Age'!$C$6,'Population Data by Age'!$B$6:$H$6,0))</f>
        <v>772000</v>
      </c>
      <c r="Z18" s="78">
        <f>INDEX('Population Data by Age'!$B$7:$H$10366,MATCH(CONCATENATE('Tabular Pop Data by Age'!$C18,'Tabular Pop Data by Age'!Z$7),'Population Data by Age'!$B$7:$B$10366,0),MATCH('Tabular Pop Data by Age'!$C$6,'Population Data by Age'!$B$6:$H$6,0))</f>
        <v>785000</v>
      </c>
      <c r="AA18" s="78">
        <f>INDEX('Population Data by Age'!$B$7:$H$10366,MATCH(CONCATENATE('Tabular Pop Data by Age'!$C18,'Tabular Pop Data by Age'!AA$7),'Population Data by Age'!$B$7:$B$10366,0),MATCH('Tabular Pop Data by Age'!$C$6,'Population Data by Age'!$B$6:$H$6,0))</f>
        <v>771000</v>
      </c>
      <c r="AB18" s="78">
        <f>INDEX('Population Data by Age'!$B$7:$H$10366,MATCH(CONCATENATE('Tabular Pop Data by Age'!$C18,'Tabular Pop Data by Age'!AB$7),'Population Data by Age'!$B$7:$B$10366,0),MATCH('Tabular Pop Data by Age'!$C$6,'Population Data by Age'!$B$6:$H$6,0))</f>
        <v>728000</v>
      </c>
      <c r="AC18" s="78">
        <f>INDEX('Population Data by Age'!$B$7:$H$10366,MATCH(CONCATENATE('Tabular Pop Data by Age'!$C18,'Tabular Pop Data by Age'!AC$7),'Population Data by Age'!$B$7:$B$10366,0),MATCH('Tabular Pop Data by Age'!$C$6,'Population Data by Age'!$B$6:$H$6,0))</f>
        <v>697000</v>
      </c>
      <c r="AD18" s="78">
        <f>INDEX('Population Data by Age'!$B$7:$H$10366,MATCH(CONCATENATE('Tabular Pop Data by Age'!$C18,'Tabular Pop Data by Age'!AD$7),'Population Data by Age'!$B$7:$B$10366,0),MATCH('Tabular Pop Data by Age'!$C$6,'Population Data by Age'!$B$6:$H$6,0))</f>
        <v>634000</v>
      </c>
      <c r="AE18" s="78">
        <f>INDEX('Population Data by Age'!$B$7:$H$10366,MATCH(CONCATENATE('Tabular Pop Data by Age'!$C18,'Tabular Pop Data by Age'!AE$7),'Population Data by Age'!$B$7:$B$10366,0),MATCH('Tabular Pop Data by Age'!$C$6,'Population Data by Age'!$B$6:$H$6,0))</f>
        <v>604000</v>
      </c>
      <c r="AF18" s="78">
        <f>INDEX('Population Data by Age'!$B$7:$H$10366,MATCH(CONCATENATE('Tabular Pop Data by Age'!$C18,'Tabular Pop Data by Age'!AF$7),'Population Data by Age'!$B$7:$B$10366,0),MATCH('Tabular Pop Data by Age'!$C$6,'Population Data by Age'!$B$6:$H$6,0))</f>
        <v>558000</v>
      </c>
      <c r="AG18" s="78">
        <f>INDEX('Population Data by Age'!$B$7:$H$10366,MATCH(CONCATENATE('Tabular Pop Data by Age'!$C18,'Tabular Pop Data by Age'!AG$7),'Population Data by Age'!$B$7:$B$10366,0),MATCH('Tabular Pop Data by Age'!$C$6,'Population Data by Age'!$B$6:$H$6,0))</f>
        <v>530000</v>
      </c>
      <c r="AH18" s="78">
        <f>INDEX('Population Data by Age'!$B$7:$H$10366,MATCH(CONCATENATE('Tabular Pop Data by Age'!$C18,'Tabular Pop Data by Age'!AH$7),'Population Data by Age'!$B$7:$B$10366,0),MATCH('Tabular Pop Data by Age'!$C$6,'Population Data by Age'!$B$6:$H$6,0))</f>
        <v>399000</v>
      </c>
      <c r="AI18" s="78">
        <f>INDEX('Population Data by Age'!$B$7:$H$10366,MATCH(CONCATENATE('Tabular Pop Data by Age'!$C18,'Tabular Pop Data by Age'!AI$7),'Population Data by Age'!$B$7:$B$10366,0),MATCH('Tabular Pop Data by Age'!$C$6,'Population Data by Age'!$B$6:$H$6,0))</f>
        <v>367000</v>
      </c>
      <c r="AJ18" s="78">
        <f>INDEX('Population Data by Age'!$B$7:$H$10366,MATCH(CONCATENATE('Tabular Pop Data by Age'!$C18,'Tabular Pop Data by Age'!AJ$7),'Population Data by Age'!$B$7:$B$10366,0),MATCH('Tabular Pop Data by Age'!$C$6,'Population Data by Age'!$B$6:$H$6,0))</f>
        <v>610000</v>
      </c>
      <c r="AK18" s="78">
        <f>INDEX('Population Data by Age'!$B$7:$H$10366,MATCH(CONCATENATE('Tabular Pop Data by Age'!$C18,'Tabular Pop Data by Age'!AK$7),'Population Data by Age'!$B$7:$B$10366,0),MATCH('Tabular Pop Data by Age'!$C$6,'Population Data by Age'!$B$6:$H$6,0))</f>
        <v>449000</v>
      </c>
      <c r="AL18" s="78">
        <f>INDEX('Population Data by Age'!$B$7:$H$10366,MATCH(CONCATENATE('Tabular Pop Data by Age'!$C18,'Tabular Pop Data by Age'!AL$7),'Population Data by Age'!$B$7:$B$10366,0),MATCH('Tabular Pop Data by Age'!$C$6,'Population Data by Age'!$B$6:$H$6,0))</f>
        <v>12856000</v>
      </c>
      <c r="AM18" s="78">
        <f>INDEX('Population Data by Age'!$B$7:$H$10366,MATCH(CONCATENATE('Tabular Pop Data by Age'!$C18,'Tabular Pop Data by Age'!AM$7),'Population Data by Age'!$B$7:$B$10366,0),MATCH('Tabular Pop Data by Age'!$C$6,'Population Data by Age'!$B$6:$H$6,0))</f>
        <v>12753000</v>
      </c>
      <c r="AN18" s="78">
        <f>INDEX('Population Data by Age'!$B$7:$H$10366,MATCH(CONCATENATE('Tabular Pop Data by Age'!$C18,'Tabular Pop Data by Age'!AN$7),'Population Data by Age'!$B$7:$B$10366,0),MATCH('Tabular Pop Data by Age'!$C$6,'Population Data by Age'!$B$6:$H$6,0))</f>
        <v>25608000</v>
      </c>
      <c r="AO18" s="78">
        <f>INDEX('Population Data by Age'!$B$7:$H$10366,MATCH(CONCATENATE('Tabular Pop Data by Age'!$C18,'Tabular Pop Data by Age'!AO$7),'Population Data by Age'!$B$7:$B$10366,0),MATCH('Tabular Pop Data by Age'!$C$6,'Population Data by Age'!$B$6:$H$6,0))</f>
        <v>0</v>
      </c>
      <c r="AP18" s="79">
        <f t="shared" si="0"/>
        <v>1677000</v>
      </c>
      <c r="AQ18" s="79">
        <f t="shared" si="1"/>
        <v>1647000</v>
      </c>
      <c r="AR18" s="79">
        <f t="shared" si="2"/>
        <v>1617000</v>
      </c>
      <c r="AS18" s="79">
        <f t="shared" si="3"/>
        <v>1527000</v>
      </c>
      <c r="AT18" s="79">
        <f t="shared" si="4"/>
        <v>1602000</v>
      </c>
      <c r="AU18" s="79">
        <f t="shared" si="5"/>
        <v>1789000</v>
      </c>
      <c r="AV18" s="79">
        <f t="shared" si="6"/>
        <v>1884000</v>
      </c>
      <c r="AW18" s="79">
        <f t="shared" si="7"/>
        <v>1851000</v>
      </c>
      <c r="AX18" s="79">
        <f t="shared" si="8"/>
        <v>1636000</v>
      </c>
      <c r="AY18" s="79">
        <f t="shared" si="9"/>
        <v>1684000</v>
      </c>
      <c r="AZ18" s="79">
        <f t="shared" si="10"/>
        <v>1565000</v>
      </c>
      <c r="BA18" s="79">
        <f t="shared" si="11"/>
        <v>1556000</v>
      </c>
      <c r="BB18" s="79">
        <f t="shared" si="12"/>
        <v>1425000</v>
      </c>
      <c r="BC18" s="79">
        <f t="shared" si="13"/>
        <v>1238000</v>
      </c>
      <c r="BD18" s="79">
        <f t="shared" si="14"/>
        <v>1088000</v>
      </c>
      <c r="BE18" s="79">
        <f t="shared" si="15"/>
        <v>766000</v>
      </c>
      <c r="BF18" s="79">
        <f t="shared" si="16"/>
        <v>1059000</v>
      </c>
    </row>
    <row r="19" spans="1:58" x14ac:dyDescent="0.25">
      <c r="A19" s="138" t="s">
        <v>1195</v>
      </c>
      <c r="B19" t="s">
        <v>432</v>
      </c>
      <c r="C19" t="s">
        <v>5</v>
      </c>
      <c r="D19" s="78">
        <f>INDEX('Population Data by Age'!$B$7:$H$10366,MATCH(CONCATENATE('Tabular Pop Data by Age'!$C19,'Tabular Pop Data by Age'!D$7),'Population Data by Age'!$B$7:$B$10366,0),MATCH('Tabular Pop Data by Age'!$C$6,'Population Data by Age'!$B$6:$H$6,0))</f>
        <v>215000</v>
      </c>
      <c r="E19" s="78">
        <f>INDEX('Population Data by Age'!$B$7:$H$10366,MATCH(CONCATENATE('Tabular Pop Data by Age'!$C19,'Tabular Pop Data by Age'!E$7),'Population Data by Age'!$B$7:$B$10366,0),MATCH('Tabular Pop Data by Age'!$C$6,'Population Data by Age'!$B$6:$H$6,0))</f>
        <v>227000</v>
      </c>
      <c r="F19" s="78">
        <f>INDEX('Population Data by Age'!$B$7:$H$10366,MATCH(CONCATENATE('Tabular Pop Data by Age'!$C19,'Tabular Pop Data by Age'!F$7),'Population Data by Age'!$B$7:$B$10366,0),MATCH('Tabular Pop Data by Age'!$C$6,'Population Data by Age'!$B$6:$H$6,0))</f>
        <v>203000</v>
      </c>
      <c r="G19" s="78">
        <f>INDEX('Population Data by Age'!$B$7:$H$10366,MATCH(CONCATENATE('Tabular Pop Data by Age'!$C19,'Tabular Pop Data by Age'!G$7),'Population Data by Age'!$B$7:$B$10366,0),MATCH('Tabular Pop Data by Age'!$C$6,'Population Data by Age'!$B$6:$H$6,0))</f>
        <v>217000</v>
      </c>
      <c r="H19" s="78">
        <f>INDEX('Population Data by Age'!$B$7:$H$10366,MATCH(CONCATENATE('Tabular Pop Data by Age'!$C19,'Tabular Pop Data by Age'!H$7),'Population Data by Age'!$B$7:$B$10366,0),MATCH('Tabular Pop Data by Age'!$C$6,'Population Data by Age'!$B$6:$H$6,0))</f>
        <v>202000</v>
      </c>
      <c r="I19" s="78">
        <f>INDEX('Population Data by Age'!$B$7:$H$10366,MATCH(CONCATENATE('Tabular Pop Data by Age'!$C19,'Tabular Pop Data by Age'!I$7),'Population Data by Age'!$B$7:$B$10366,0),MATCH('Tabular Pop Data by Age'!$C$6,'Population Data by Age'!$B$6:$H$6,0))</f>
        <v>216000</v>
      </c>
      <c r="J19" s="78">
        <f>INDEX('Population Data by Age'!$B$7:$H$10366,MATCH(CONCATENATE('Tabular Pop Data by Age'!$C19,'Tabular Pop Data by Age'!J$7),'Population Data by Age'!$B$7:$B$10366,0),MATCH('Tabular Pop Data by Age'!$C$6,'Population Data by Age'!$B$6:$H$6,0))</f>
        <v>216000</v>
      </c>
      <c r="K19" s="78">
        <f>INDEX('Population Data by Age'!$B$7:$H$10366,MATCH(CONCATENATE('Tabular Pop Data by Age'!$C19,'Tabular Pop Data by Age'!K$7),'Population Data by Age'!$B$7:$B$10366,0),MATCH('Tabular Pop Data by Age'!$C$6,'Population Data by Age'!$B$6:$H$6,0))</f>
        <v>230000</v>
      </c>
      <c r="L19" s="78">
        <f>INDEX('Population Data by Age'!$B$7:$H$10366,MATCH(CONCATENATE('Tabular Pop Data by Age'!$C19,'Tabular Pop Data by Age'!L$7),'Population Data by Age'!$B$7:$B$10366,0),MATCH('Tabular Pop Data by Age'!$C$6,'Population Data by Age'!$B$6:$H$6,0))</f>
        <v>242000</v>
      </c>
      <c r="M19" s="78">
        <f>INDEX('Population Data by Age'!$B$7:$H$10366,MATCH(CONCATENATE('Tabular Pop Data by Age'!$C19,'Tabular Pop Data by Age'!M$7),'Population Data by Age'!$B$7:$B$10366,0),MATCH('Tabular Pop Data by Age'!$C$6,'Population Data by Age'!$B$6:$H$6,0))</f>
        <v>260000</v>
      </c>
      <c r="N19" s="78">
        <f>INDEX('Population Data by Age'!$B$7:$H$10366,MATCH(CONCATENATE('Tabular Pop Data by Age'!$C19,'Tabular Pop Data by Age'!N$7),'Population Data by Age'!$B$7:$B$10366,0),MATCH('Tabular Pop Data by Age'!$C$6,'Population Data by Age'!$B$6:$H$6,0))</f>
        <v>291000</v>
      </c>
      <c r="O19" s="78">
        <f>INDEX('Population Data by Age'!$B$7:$H$10366,MATCH(CONCATENATE('Tabular Pop Data by Age'!$C19,'Tabular Pop Data by Age'!O$7),'Population Data by Age'!$B$7:$B$10366,0),MATCH('Tabular Pop Data by Age'!$C$6,'Population Data by Age'!$B$6:$H$6,0))</f>
        <v>308000</v>
      </c>
      <c r="P19" s="78">
        <f>INDEX('Population Data by Age'!$B$7:$H$10366,MATCH(CONCATENATE('Tabular Pop Data by Age'!$C19,'Tabular Pop Data by Age'!P$7),'Population Data by Age'!$B$7:$B$10366,0),MATCH('Tabular Pop Data by Age'!$C$6,'Population Data by Age'!$B$6:$H$6,0))</f>
        <v>300000</v>
      </c>
      <c r="Q19" s="78">
        <f>INDEX('Population Data by Age'!$B$7:$H$10366,MATCH(CONCATENATE('Tabular Pop Data by Age'!$C19,'Tabular Pop Data by Age'!Q$7),'Population Data by Age'!$B$7:$B$10366,0),MATCH('Tabular Pop Data by Age'!$C$6,'Population Data by Age'!$B$6:$H$6,0))</f>
        <v>311000</v>
      </c>
      <c r="R19" s="78">
        <f>INDEX('Population Data by Age'!$B$7:$H$10366,MATCH(CONCATENATE('Tabular Pop Data by Age'!$C19,'Tabular Pop Data by Age'!R$7),'Population Data by Age'!$B$7:$B$10366,0),MATCH('Tabular Pop Data by Age'!$C$6,'Population Data by Age'!$B$6:$H$6,0))</f>
        <v>304000</v>
      </c>
      <c r="S19" s="78">
        <f>INDEX('Population Data by Age'!$B$7:$H$10366,MATCH(CONCATENATE('Tabular Pop Data by Age'!$C19,'Tabular Pop Data by Age'!S$7),'Population Data by Age'!$B$7:$B$10366,0),MATCH('Tabular Pop Data by Age'!$C$6,'Population Data by Age'!$B$6:$H$6,0))</f>
        <v>310000</v>
      </c>
      <c r="T19" s="78">
        <f>INDEX('Population Data by Age'!$B$7:$H$10366,MATCH(CONCATENATE('Tabular Pop Data by Age'!$C19,'Tabular Pop Data by Age'!T$7),'Population Data by Age'!$B$7:$B$10366,0),MATCH('Tabular Pop Data by Age'!$C$6,'Population Data by Age'!$B$6:$H$6,0))</f>
        <v>277000</v>
      </c>
      <c r="U19" s="78">
        <f>INDEX('Population Data by Age'!$B$7:$H$10366,MATCH(CONCATENATE('Tabular Pop Data by Age'!$C19,'Tabular Pop Data by Age'!U$7),'Population Data by Age'!$B$7:$B$10366,0),MATCH('Tabular Pop Data by Age'!$C$6,'Population Data by Age'!$B$6:$H$6,0))</f>
        <v>281000</v>
      </c>
      <c r="V19" s="78">
        <f>INDEX('Population Data by Age'!$B$7:$H$10366,MATCH(CONCATENATE('Tabular Pop Data by Age'!$C19,'Tabular Pop Data by Age'!V$7),'Population Data by Age'!$B$7:$B$10366,0),MATCH('Tabular Pop Data by Age'!$C$6,'Population Data by Age'!$B$6:$H$6,0))</f>
        <v>303000</v>
      </c>
      <c r="W19" s="78">
        <f>INDEX('Population Data by Age'!$B$7:$H$10366,MATCH(CONCATENATE('Tabular Pop Data by Age'!$C19,'Tabular Pop Data by Age'!W$7),'Population Data by Age'!$B$7:$B$10366,0),MATCH('Tabular Pop Data by Age'!$C$6,'Population Data by Age'!$B$6:$H$6,0))</f>
        <v>301000</v>
      </c>
      <c r="X19" s="78">
        <f>INDEX('Population Data by Age'!$B$7:$H$10366,MATCH(CONCATENATE('Tabular Pop Data by Age'!$C19,'Tabular Pop Data by Age'!X$7),'Population Data by Age'!$B$7:$B$10366,0),MATCH('Tabular Pop Data by Age'!$C$6,'Population Data by Age'!$B$6:$H$6,0))</f>
        <v>351000</v>
      </c>
      <c r="Y19" s="78">
        <f>INDEX('Population Data by Age'!$B$7:$H$10366,MATCH(CONCATENATE('Tabular Pop Data by Age'!$C19,'Tabular Pop Data by Age'!Y$7),'Population Data by Age'!$B$7:$B$10366,0),MATCH('Tabular Pop Data by Age'!$C$6,'Population Data by Age'!$B$6:$H$6,0))</f>
        <v>352000</v>
      </c>
      <c r="Z19" s="78">
        <f>INDEX('Population Data by Age'!$B$7:$H$10366,MATCH(CONCATENATE('Tabular Pop Data by Age'!$C19,'Tabular Pop Data by Age'!Z$7),'Population Data by Age'!$B$7:$B$10366,0),MATCH('Tabular Pop Data by Age'!$C$6,'Population Data by Age'!$B$6:$H$6,0))</f>
        <v>342000</v>
      </c>
      <c r="AA19" s="78">
        <f>INDEX('Population Data by Age'!$B$7:$H$10366,MATCH(CONCATENATE('Tabular Pop Data by Age'!$C19,'Tabular Pop Data by Age'!AA$7),'Population Data by Age'!$B$7:$B$10366,0),MATCH('Tabular Pop Data by Age'!$C$6,'Population Data by Age'!$B$6:$H$6,0))</f>
        <v>342000</v>
      </c>
      <c r="AB19" s="78">
        <f>INDEX('Population Data by Age'!$B$7:$H$10366,MATCH(CONCATENATE('Tabular Pop Data by Age'!$C19,'Tabular Pop Data by Age'!AB$7),'Population Data by Age'!$B$7:$B$10366,0),MATCH('Tabular Pop Data by Age'!$C$6,'Population Data by Age'!$B$6:$H$6,0))</f>
        <v>294000</v>
      </c>
      <c r="AC19" s="78">
        <f>INDEX('Population Data by Age'!$B$7:$H$10366,MATCH(CONCATENATE('Tabular Pop Data by Age'!$C19,'Tabular Pop Data by Age'!AC$7),'Population Data by Age'!$B$7:$B$10366,0),MATCH('Tabular Pop Data by Age'!$C$6,'Population Data by Age'!$B$6:$H$6,0))</f>
        <v>281000</v>
      </c>
      <c r="AD19" s="78">
        <f>INDEX('Population Data by Age'!$B$7:$H$10366,MATCH(CONCATENATE('Tabular Pop Data by Age'!$C19,'Tabular Pop Data by Age'!AD$7),'Population Data by Age'!$B$7:$B$10366,0),MATCH('Tabular Pop Data by Age'!$C$6,'Population Data by Age'!$B$6:$H$6,0))</f>
        <v>234000</v>
      </c>
      <c r="AE19" s="78">
        <f>INDEX('Population Data by Age'!$B$7:$H$10366,MATCH(CONCATENATE('Tabular Pop Data by Age'!$C19,'Tabular Pop Data by Age'!AE$7),'Population Data by Age'!$B$7:$B$10366,0),MATCH('Tabular Pop Data by Age'!$C$6,'Population Data by Age'!$B$6:$H$6,0))</f>
        <v>211000</v>
      </c>
      <c r="AF19" s="78">
        <f>INDEX('Population Data by Age'!$B$7:$H$10366,MATCH(CONCATENATE('Tabular Pop Data by Age'!$C19,'Tabular Pop Data by Age'!AF$7),'Population Data by Age'!$B$7:$B$10366,0),MATCH('Tabular Pop Data by Age'!$C$6,'Population Data by Age'!$B$6:$H$6,0))</f>
        <v>217000</v>
      </c>
      <c r="AG19" s="78">
        <f>INDEX('Population Data by Age'!$B$7:$H$10366,MATCH(CONCATENATE('Tabular Pop Data by Age'!$C19,'Tabular Pop Data by Age'!AG$7),'Population Data by Age'!$B$7:$B$10366,0),MATCH('Tabular Pop Data by Age'!$C$6,'Population Data by Age'!$B$6:$H$6,0))</f>
        <v>185000</v>
      </c>
      <c r="AH19" s="78">
        <f>INDEX('Population Data by Age'!$B$7:$H$10366,MATCH(CONCATENATE('Tabular Pop Data by Age'!$C19,'Tabular Pop Data by Age'!AH$7),'Population Data by Age'!$B$7:$B$10366,0),MATCH('Tabular Pop Data by Age'!$C$6,'Population Data by Age'!$B$6:$H$6,0))</f>
        <v>212000</v>
      </c>
      <c r="AI19" s="78">
        <f>INDEX('Population Data by Age'!$B$7:$H$10366,MATCH(CONCATENATE('Tabular Pop Data by Age'!$C19,'Tabular Pop Data by Age'!AI$7),'Population Data by Age'!$B$7:$B$10366,0),MATCH('Tabular Pop Data by Age'!$C$6,'Population Data by Age'!$B$6:$H$6,0))</f>
        <v>166000</v>
      </c>
      <c r="AJ19" s="78">
        <f>INDEX('Population Data by Age'!$B$7:$H$10366,MATCH(CONCATENATE('Tabular Pop Data by Age'!$C19,'Tabular Pop Data by Age'!AJ$7),'Population Data by Age'!$B$7:$B$10366,0),MATCH('Tabular Pop Data by Age'!$C$6,'Population Data by Age'!$B$6:$H$6,0))</f>
        <v>301000</v>
      </c>
      <c r="AK19" s="78">
        <f>INDEX('Population Data by Age'!$B$7:$H$10366,MATCH(CONCATENATE('Tabular Pop Data by Age'!$C19,'Tabular Pop Data by Age'!AK$7),'Population Data by Age'!$B$7:$B$10366,0),MATCH('Tabular Pop Data by Age'!$C$6,'Population Data by Age'!$B$6:$H$6,0))</f>
        <v>180000</v>
      </c>
      <c r="AL19" s="78">
        <f>INDEX('Population Data by Age'!$B$7:$H$10366,MATCH(CONCATENATE('Tabular Pop Data by Age'!$C19,'Tabular Pop Data by Age'!AL$7),'Population Data by Age'!$B$7:$B$10366,0),MATCH('Tabular Pop Data by Age'!$C$6,'Population Data by Age'!$B$6:$H$6,0))</f>
        <v>4504000</v>
      </c>
      <c r="AM19" s="78">
        <f>INDEX('Population Data by Age'!$B$7:$H$10366,MATCH(CONCATENATE('Tabular Pop Data by Age'!$C19,'Tabular Pop Data by Age'!AM$7),'Population Data by Age'!$B$7:$B$10366,0),MATCH('Tabular Pop Data by Age'!$C$6,'Population Data by Age'!$B$6:$H$6,0))</f>
        <v>4379000</v>
      </c>
      <c r="AN19" s="78">
        <f>INDEX('Population Data by Age'!$B$7:$H$10366,MATCH(CONCATENATE('Tabular Pop Data by Age'!$C19,'Tabular Pop Data by Age'!AN$7),'Population Data by Age'!$B$7:$B$10366,0),MATCH('Tabular Pop Data by Age'!$C$6,'Population Data by Age'!$B$6:$H$6,0))</f>
        <v>8883000</v>
      </c>
      <c r="AO19" s="78">
        <f>INDEX('Population Data by Age'!$B$7:$H$10366,MATCH(CONCATENATE('Tabular Pop Data by Age'!$C19,'Tabular Pop Data by Age'!AO$7),'Population Data by Age'!$B$7:$B$10366,0),MATCH('Tabular Pop Data by Age'!$C$6,'Population Data by Age'!$B$6:$H$6,0))</f>
        <v>0</v>
      </c>
      <c r="AP19" s="79">
        <f t="shared" si="0"/>
        <v>442000</v>
      </c>
      <c r="AQ19" s="79">
        <f t="shared" si="1"/>
        <v>420000</v>
      </c>
      <c r="AR19" s="79">
        <f t="shared" si="2"/>
        <v>418000</v>
      </c>
      <c r="AS19" s="79">
        <f t="shared" si="3"/>
        <v>446000</v>
      </c>
      <c r="AT19" s="79">
        <f t="shared" si="4"/>
        <v>502000</v>
      </c>
      <c r="AU19" s="79">
        <f t="shared" si="5"/>
        <v>599000</v>
      </c>
      <c r="AV19" s="79">
        <f t="shared" si="6"/>
        <v>611000</v>
      </c>
      <c r="AW19" s="79">
        <f t="shared" si="7"/>
        <v>614000</v>
      </c>
      <c r="AX19" s="79">
        <f t="shared" si="8"/>
        <v>558000</v>
      </c>
      <c r="AY19" s="79">
        <f t="shared" si="9"/>
        <v>604000</v>
      </c>
      <c r="AZ19" s="79">
        <f t="shared" si="10"/>
        <v>703000</v>
      </c>
      <c r="BA19" s="79">
        <f t="shared" si="11"/>
        <v>684000</v>
      </c>
      <c r="BB19" s="79">
        <f t="shared" si="12"/>
        <v>575000</v>
      </c>
      <c r="BC19" s="79">
        <f t="shared" si="13"/>
        <v>445000</v>
      </c>
      <c r="BD19" s="79">
        <f t="shared" si="14"/>
        <v>402000</v>
      </c>
      <c r="BE19" s="79">
        <f t="shared" si="15"/>
        <v>378000</v>
      </c>
      <c r="BF19" s="79">
        <f t="shared" si="16"/>
        <v>481000</v>
      </c>
    </row>
    <row r="20" spans="1:58" x14ac:dyDescent="0.25">
      <c r="A20" s="138" t="s">
        <v>1195</v>
      </c>
      <c r="B20" t="s">
        <v>235</v>
      </c>
      <c r="C20" t="s">
        <v>6</v>
      </c>
      <c r="D20" s="78">
        <f>INDEX('Population Data by Age'!$B$7:$H$10366,MATCH(CONCATENATE('Tabular Pop Data by Age'!$C20,'Tabular Pop Data by Age'!D$7),'Population Data by Age'!$B$7:$B$10366,0),MATCH('Tabular Pop Data by Age'!$C$6,'Population Data by Age'!$B$6:$H$6,0))</f>
        <v>389000</v>
      </c>
      <c r="E20" s="78">
        <f>INDEX('Population Data by Age'!$B$7:$H$10366,MATCH(CONCATENATE('Tabular Pop Data by Age'!$C20,'Tabular Pop Data by Age'!E$7),'Population Data by Age'!$B$7:$B$10366,0),MATCH('Tabular Pop Data by Age'!$C$6,'Population Data by Age'!$B$6:$H$6,0))</f>
        <v>435000</v>
      </c>
      <c r="F20" s="78">
        <f>INDEX('Population Data by Age'!$B$7:$H$10366,MATCH(CONCATENATE('Tabular Pop Data by Age'!$C20,'Tabular Pop Data by Age'!F$7),'Population Data by Age'!$B$7:$B$10366,0),MATCH('Tabular Pop Data by Age'!$C$6,'Population Data by Age'!$B$6:$H$6,0))</f>
        <v>399000</v>
      </c>
      <c r="G20" s="78">
        <f>INDEX('Population Data by Age'!$B$7:$H$10366,MATCH(CONCATENATE('Tabular Pop Data by Age'!$C20,'Tabular Pop Data by Age'!G$7),'Population Data by Age'!$B$7:$B$10366,0),MATCH('Tabular Pop Data by Age'!$C$6,'Population Data by Age'!$B$6:$H$6,0))</f>
        <v>459000</v>
      </c>
      <c r="H20" s="78">
        <f>INDEX('Population Data by Age'!$B$7:$H$10366,MATCH(CONCATENATE('Tabular Pop Data by Age'!$C20,'Tabular Pop Data by Age'!H$7),'Population Data by Age'!$B$7:$B$10366,0),MATCH('Tabular Pop Data by Age'!$C$6,'Population Data by Age'!$B$6:$H$6,0))</f>
        <v>323000</v>
      </c>
      <c r="I20" s="78">
        <f>INDEX('Population Data by Age'!$B$7:$H$10366,MATCH(CONCATENATE('Tabular Pop Data by Age'!$C20,'Tabular Pop Data by Age'!I$7),'Population Data by Age'!$B$7:$B$10366,0),MATCH('Tabular Pop Data by Age'!$C$6,'Population Data by Age'!$B$6:$H$6,0))</f>
        <v>373000</v>
      </c>
      <c r="J20" s="78">
        <f>INDEX('Population Data by Age'!$B$7:$H$10366,MATCH(CONCATENATE('Tabular Pop Data by Age'!$C20,'Tabular Pop Data by Age'!J$7),'Population Data by Age'!$B$7:$B$10366,0),MATCH('Tabular Pop Data by Age'!$C$6,'Population Data by Age'!$B$6:$H$6,0))</f>
        <v>295000</v>
      </c>
      <c r="K20" s="78">
        <f>INDEX('Population Data by Age'!$B$7:$H$10366,MATCH(CONCATENATE('Tabular Pop Data by Age'!$C20,'Tabular Pop Data by Age'!K$7),'Population Data by Age'!$B$7:$B$10366,0),MATCH('Tabular Pop Data by Age'!$C$6,'Population Data by Age'!$B$6:$H$6,0))</f>
        <v>341000</v>
      </c>
      <c r="L20" s="78">
        <f>INDEX('Population Data by Age'!$B$7:$H$10366,MATCH(CONCATENATE('Tabular Pop Data by Age'!$C20,'Tabular Pop Data by Age'!L$7),'Population Data by Age'!$B$7:$B$10366,0),MATCH('Tabular Pop Data by Age'!$C$6,'Population Data by Age'!$B$6:$H$6,0))</f>
        <v>340000</v>
      </c>
      <c r="M20" s="78">
        <f>INDEX('Population Data by Age'!$B$7:$H$10366,MATCH(CONCATENATE('Tabular Pop Data by Age'!$C20,'Tabular Pop Data by Age'!M$7),'Population Data by Age'!$B$7:$B$10366,0),MATCH('Tabular Pop Data by Age'!$C$6,'Population Data by Age'!$B$6:$H$6,0))</f>
        <v>377000</v>
      </c>
      <c r="N20" s="78">
        <f>INDEX('Population Data by Age'!$B$7:$H$10366,MATCH(CONCATENATE('Tabular Pop Data by Age'!$C20,'Tabular Pop Data by Age'!N$7),'Population Data by Age'!$B$7:$B$10366,0),MATCH('Tabular Pop Data by Age'!$C$6,'Population Data by Age'!$B$6:$H$6,0))</f>
        <v>438000</v>
      </c>
      <c r="O20" s="78">
        <f>INDEX('Population Data by Age'!$B$7:$H$10366,MATCH(CONCATENATE('Tabular Pop Data by Age'!$C20,'Tabular Pop Data by Age'!O$7),'Population Data by Age'!$B$7:$B$10366,0),MATCH('Tabular Pop Data by Age'!$C$6,'Population Data by Age'!$B$6:$H$6,0))</f>
        <v>450000</v>
      </c>
      <c r="P20" s="78">
        <f>INDEX('Population Data by Age'!$B$7:$H$10366,MATCH(CONCATENATE('Tabular Pop Data by Age'!$C20,'Tabular Pop Data by Age'!P$7),'Population Data by Age'!$B$7:$B$10366,0),MATCH('Tabular Pop Data by Age'!$C$6,'Population Data by Age'!$B$6:$H$6,0))</f>
        <v>475000</v>
      </c>
      <c r="Q20" s="78">
        <f>INDEX('Population Data by Age'!$B$7:$H$10366,MATCH(CONCATENATE('Tabular Pop Data by Age'!$C20,'Tabular Pop Data by Age'!Q$7),'Population Data by Age'!$B$7:$B$10366,0),MATCH('Tabular Pop Data by Age'!$C$6,'Population Data by Age'!$B$6:$H$6,0))</f>
        <v>464000</v>
      </c>
      <c r="R20" s="78">
        <f>INDEX('Population Data by Age'!$B$7:$H$10366,MATCH(CONCATENATE('Tabular Pop Data by Age'!$C20,'Tabular Pop Data by Age'!R$7),'Population Data by Age'!$B$7:$B$10366,0),MATCH('Tabular Pop Data by Age'!$C$6,'Population Data by Age'!$B$6:$H$6,0))</f>
        <v>412000</v>
      </c>
      <c r="S20" s="78">
        <f>INDEX('Population Data by Age'!$B$7:$H$10366,MATCH(CONCATENATE('Tabular Pop Data by Age'!$C20,'Tabular Pop Data by Age'!S$7),'Population Data by Age'!$B$7:$B$10366,0),MATCH('Tabular Pop Data by Age'!$C$6,'Population Data by Age'!$B$6:$H$6,0))</f>
        <v>411000</v>
      </c>
      <c r="T20" s="78">
        <f>INDEX('Population Data by Age'!$B$7:$H$10366,MATCH(CONCATENATE('Tabular Pop Data by Age'!$C20,'Tabular Pop Data by Age'!T$7),'Population Data by Age'!$B$7:$B$10366,0),MATCH('Tabular Pop Data by Age'!$C$6,'Population Data by Age'!$B$6:$H$6,0))</f>
        <v>336000</v>
      </c>
      <c r="U20" s="78">
        <f>INDEX('Population Data by Age'!$B$7:$H$10366,MATCH(CONCATENATE('Tabular Pop Data by Age'!$C20,'Tabular Pop Data by Age'!U$7),'Population Data by Age'!$B$7:$B$10366,0),MATCH('Tabular Pop Data by Age'!$C$6,'Population Data by Age'!$B$6:$H$6,0))</f>
        <v>327000</v>
      </c>
      <c r="V20" s="78">
        <f>INDEX('Population Data by Age'!$B$7:$H$10366,MATCH(CONCATENATE('Tabular Pop Data by Age'!$C20,'Tabular Pop Data by Age'!V$7),'Population Data by Age'!$B$7:$B$10366,0),MATCH('Tabular Pop Data by Age'!$C$6,'Population Data by Age'!$B$6:$H$6,0))</f>
        <v>320000</v>
      </c>
      <c r="W20" s="78">
        <f>INDEX('Population Data by Age'!$B$7:$H$10366,MATCH(CONCATENATE('Tabular Pop Data by Age'!$C20,'Tabular Pop Data by Age'!W$7),'Population Data by Age'!$B$7:$B$10366,0),MATCH('Tabular Pop Data by Age'!$C$6,'Population Data by Age'!$B$6:$H$6,0))</f>
        <v>295000</v>
      </c>
      <c r="X20" s="78">
        <f>INDEX('Population Data by Age'!$B$7:$H$10366,MATCH(CONCATENATE('Tabular Pop Data by Age'!$C20,'Tabular Pop Data by Age'!X$7),'Population Data by Age'!$B$7:$B$10366,0),MATCH('Tabular Pop Data by Age'!$C$6,'Population Data by Age'!$B$6:$H$6,0))</f>
        <v>330000</v>
      </c>
      <c r="Y20" s="78">
        <f>INDEX('Population Data by Age'!$B$7:$H$10366,MATCH(CONCATENATE('Tabular Pop Data by Age'!$C20,'Tabular Pop Data by Age'!Y$7),'Population Data by Age'!$B$7:$B$10366,0),MATCH('Tabular Pop Data by Age'!$C$6,'Population Data by Age'!$B$6:$H$6,0))</f>
        <v>296000</v>
      </c>
      <c r="Z20" s="78">
        <f>INDEX('Population Data by Age'!$B$7:$H$10366,MATCH(CONCATENATE('Tabular Pop Data by Age'!$C20,'Tabular Pop Data by Age'!Z$7),'Population Data by Age'!$B$7:$B$10366,0),MATCH('Tabular Pop Data by Age'!$C$6,'Population Data by Age'!$B$6:$H$6,0))</f>
        <v>344000</v>
      </c>
      <c r="AA20" s="78">
        <f>INDEX('Population Data by Age'!$B$7:$H$10366,MATCH(CONCATENATE('Tabular Pop Data by Age'!$C20,'Tabular Pop Data by Age'!AA$7),'Population Data by Age'!$B$7:$B$10366,0),MATCH('Tabular Pop Data by Age'!$C$6,'Population Data by Age'!$B$6:$H$6,0))</f>
        <v>307000</v>
      </c>
      <c r="AB20" s="78">
        <f>INDEX('Population Data by Age'!$B$7:$H$10366,MATCH(CONCATENATE('Tabular Pop Data by Age'!$C20,'Tabular Pop Data by Age'!AB$7),'Population Data by Age'!$B$7:$B$10366,0),MATCH('Tabular Pop Data by Age'!$C$6,'Population Data by Age'!$B$6:$H$6,0))</f>
        <v>265000</v>
      </c>
      <c r="AC20" s="78">
        <f>INDEX('Population Data by Age'!$B$7:$H$10366,MATCH(CONCATENATE('Tabular Pop Data by Age'!$C20,'Tabular Pop Data by Age'!AC$7),'Population Data by Age'!$B$7:$B$10366,0),MATCH('Tabular Pop Data by Age'!$C$6,'Population Data by Age'!$B$6:$H$6,0))</f>
        <v>230000</v>
      </c>
      <c r="AD20" s="78">
        <f>INDEX('Population Data by Age'!$B$7:$H$10366,MATCH(CONCATENATE('Tabular Pop Data by Age'!$C20,'Tabular Pop Data by Age'!AD$7),'Population Data by Age'!$B$7:$B$10366,0),MATCH('Tabular Pop Data by Age'!$C$6,'Population Data by Age'!$B$6:$H$6,0))</f>
        <v>169000</v>
      </c>
      <c r="AE20" s="78">
        <f>INDEX('Population Data by Age'!$B$7:$H$10366,MATCH(CONCATENATE('Tabular Pop Data by Age'!$C20,'Tabular Pop Data by Age'!AE$7),'Population Data by Age'!$B$7:$B$10366,0),MATCH('Tabular Pop Data by Age'!$C$6,'Population Data by Age'!$B$6:$H$6,0))</f>
        <v>138000</v>
      </c>
      <c r="AF20" s="78">
        <f>INDEX('Population Data by Age'!$B$7:$H$10366,MATCH(CONCATENATE('Tabular Pop Data by Age'!$C20,'Tabular Pop Data by Age'!AF$7),'Population Data by Age'!$B$7:$B$10366,0),MATCH('Tabular Pop Data by Age'!$C$6,'Population Data by Age'!$B$6:$H$6,0))</f>
        <v>87000</v>
      </c>
      <c r="AG20" s="78">
        <f>INDEX('Population Data by Age'!$B$7:$H$10366,MATCH(CONCATENATE('Tabular Pop Data by Age'!$C20,'Tabular Pop Data by Age'!AG$7),'Population Data by Age'!$B$7:$B$10366,0),MATCH('Tabular Pop Data by Age'!$C$6,'Population Data by Age'!$B$6:$H$6,0))</f>
        <v>64000</v>
      </c>
      <c r="AH20" s="78">
        <f>INDEX('Population Data by Age'!$B$7:$H$10366,MATCH(CONCATENATE('Tabular Pop Data by Age'!$C20,'Tabular Pop Data by Age'!AH$7),'Population Data by Age'!$B$7:$B$10366,0),MATCH('Tabular Pop Data by Age'!$C$6,'Population Data by Age'!$B$6:$H$6,0))</f>
        <v>54000</v>
      </c>
      <c r="AI20" s="78">
        <f>INDEX('Population Data by Age'!$B$7:$H$10366,MATCH(CONCATENATE('Tabular Pop Data by Age'!$C20,'Tabular Pop Data by Age'!AI$7),'Population Data by Age'!$B$7:$B$10366,0),MATCH('Tabular Pop Data by Age'!$C$6,'Population Data by Age'!$B$6:$H$6,0))</f>
        <v>36000</v>
      </c>
      <c r="AJ20" s="78">
        <f>INDEX('Population Data by Age'!$B$7:$H$10366,MATCH(CONCATENATE('Tabular Pop Data by Age'!$C20,'Tabular Pop Data by Age'!AJ$7),'Population Data by Age'!$B$7:$B$10366,0),MATCH('Tabular Pop Data by Age'!$C$6,'Population Data by Age'!$B$6:$H$6,0))</f>
        <v>86000</v>
      </c>
      <c r="AK20" s="78">
        <f>INDEX('Population Data by Age'!$B$7:$H$10366,MATCH(CONCATENATE('Tabular Pop Data by Age'!$C20,'Tabular Pop Data by Age'!AK$7),'Population Data by Age'!$B$7:$B$10366,0),MATCH('Tabular Pop Data by Age'!$C$6,'Population Data by Age'!$B$6:$H$6,0))</f>
        <v>47000</v>
      </c>
      <c r="AL20" s="78">
        <f>INDEX('Population Data by Age'!$B$7:$H$10366,MATCH(CONCATENATE('Tabular Pop Data by Age'!$C20,'Tabular Pop Data by Age'!AL$7),'Population Data by Age'!$B$7:$B$10366,0),MATCH('Tabular Pop Data by Age'!$C$6,'Population Data by Age'!$B$6:$H$6,0))</f>
        <v>5063000</v>
      </c>
      <c r="AM20" s="78">
        <f>INDEX('Population Data by Age'!$B$7:$H$10366,MATCH(CONCATENATE('Tabular Pop Data by Age'!$C20,'Tabular Pop Data by Age'!AM$7),'Population Data by Age'!$B$7:$B$10366,0),MATCH('Tabular Pop Data by Age'!$C$6,'Population Data by Age'!$B$6:$H$6,0))</f>
        <v>5053000</v>
      </c>
      <c r="AN20" s="78">
        <f>INDEX('Population Data by Age'!$B$7:$H$10366,MATCH(CONCATENATE('Tabular Pop Data by Age'!$C20,'Tabular Pop Data by Age'!AN$7),'Population Data by Age'!$B$7:$B$10366,0),MATCH('Tabular Pop Data by Age'!$C$6,'Population Data by Age'!$B$6:$H$6,0))</f>
        <v>10115000</v>
      </c>
      <c r="AO20" s="78">
        <f>INDEX('Population Data by Age'!$B$7:$H$10366,MATCH(CONCATENATE('Tabular Pop Data by Age'!$C20,'Tabular Pop Data by Age'!AO$7),'Population Data by Age'!$B$7:$B$10366,0),MATCH('Tabular Pop Data by Age'!$C$6,'Population Data by Age'!$B$6:$H$6,0))</f>
        <v>0</v>
      </c>
      <c r="AP20" s="79">
        <f t="shared" si="0"/>
        <v>824000</v>
      </c>
      <c r="AQ20" s="79">
        <f t="shared" si="1"/>
        <v>858000</v>
      </c>
      <c r="AR20" s="79">
        <f t="shared" si="2"/>
        <v>696000</v>
      </c>
      <c r="AS20" s="79">
        <f t="shared" si="3"/>
        <v>636000</v>
      </c>
      <c r="AT20" s="79">
        <f t="shared" si="4"/>
        <v>717000</v>
      </c>
      <c r="AU20" s="79">
        <f t="shared" si="5"/>
        <v>888000</v>
      </c>
      <c r="AV20" s="79">
        <f t="shared" si="6"/>
        <v>939000</v>
      </c>
      <c r="AW20" s="79">
        <f t="shared" si="7"/>
        <v>823000</v>
      </c>
      <c r="AX20" s="79">
        <f t="shared" si="8"/>
        <v>663000</v>
      </c>
      <c r="AY20" s="79">
        <f t="shared" si="9"/>
        <v>615000</v>
      </c>
      <c r="AZ20" s="79">
        <f t="shared" si="10"/>
        <v>626000</v>
      </c>
      <c r="BA20" s="79">
        <f t="shared" si="11"/>
        <v>651000</v>
      </c>
      <c r="BB20" s="79">
        <f t="shared" si="12"/>
        <v>495000</v>
      </c>
      <c r="BC20" s="79">
        <f t="shared" si="13"/>
        <v>307000</v>
      </c>
      <c r="BD20" s="79">
        <f t="shared" si="14"/>
        <v>151000</v>
      </c>
      <c r="BE20" s="79">
        <f t="shared" si="15"/>
        <v>90000</v>
      </c>
      <c r="BF20" s="79">
        <f t="shared" si="16"/>
        <v>133000</v>
      </c>
    </row>
    <row r="21" spans="1:58" x14ac:dyDescent="0.25">
      <c r="A21" s="138" t="s">
        <v>1195</v>
      </c>
      <c r="B21" t="s">
        <v>433</v>
      </c>
      <c r="C21" t="s">
        <v>14</v>
      </c>
      <c r="D21" s="78">
        <f>INDEX('Population Data by Age'!$B$7:$H$10366,MATCH(CONCATENATE('Tabular Pop Data by Age'!$C21,'Tabular Pop Data by Age'!D$7),'Population Data by Age'!$B$7:$B$10366,0),MATCH('Tabular Pop Data by Age'!$C$6,'Population Data by Age'!$B$6:$H$6,0))</f>
        <v>13000</v>
      </c>
      <c r="E21" s="78">
        <f>INDEX('Population Data by Age'!$B$7:$H$10366,MATCH(CONCATENATE('Tabular Pop Data by Age'!$C21,'Tabular Pop Data by Age'!E$7),'Population Data by Age'!$B$7:$B$10366,0),MATCH('Tabular Pop Data by Age'!$C$6,'Population Data by Age'!$B$6:$H$6,0))</f>
        <v>14000</v>
      </c>
      <c r="F21" s="78">
        <f>INDEX('Population Data by Age'!$B$7:$H$10366,MATCH(CONCATENATE('Tabular Pop Data by Age'!$C21,'Tabular Pop Data by Age'!F$7),'Population Data by Age'!$B$7:$B$10366,0),MATCH('Tabular Pop Data by Age'!$C$6,'Population Data by Age'!$B$6:$H$6,0))</f>
        <v>13000</v>
      </c>
      <c r="G21" s="78">
        <f>INDEX('Population Data by Age'!$B$7:$H$10366,MATCH(CONCATENATE('Tabular Pop Data by Age'!$C21,'Tabular Pop Data by Age'!G$7),'Population Data by Age'!$B$7:$B$10366,0),MATCH('Tabular Pop Data by Age'!$C$6,'Population Data by Age'!$B$6:$H$6,0))</f>
        <v>14000</v>
      </c>
      <c r="H21" s="78">
        <f>INDEX('Population Data by Age'!$B$7:$H$10366,MATCH(CONCATENATE('Tabular Pop Data by Age'!$C21,'Tabular Pop Data by Age'!H$7),'Population Data by Age'!$B$7:$B$10366,0),MATCH('Tabular Pop Data by Age'!$C$6,'Population Data by Age'!$B$6:$H$6,0))</f>
        <v>16000</v>
      </c>
      <c r="I21" s="78">
        <f>INDEX('Population Data by Age'!$B$7:$H$10366,MATCH(CONCATENATE('Tabular Pop Data by Age'!$C21,'Tabular Pop Data by Age'!I$7),'Population Data by Age'!$B$7:$B$10366,0),MATCH('Tabular Pop Data by Age'!$C$6,'Population Data by Age'!$B$6:$H$6,0))</f>
        <v>16000</v>
      </c>
      <c r="J21" s="78">
        <f>INDEX('Population Data by Age'!$B$7:$H$10366,MATCH(CONCATENATE('Tabular Pop Data by Age'!$C21,'Tabular Pop Data by Age'!J$7),'Population Data by Age'!$B$7:$B$10366,0),MATCH('Tabular Pop Data by Age'!$C$6,'Population Data by Age'!$B$6:$H$6,0))</f>
        <v>16000</v>
      </c>
      <c r="K21" s="78">
        <f>INDEX('Population Data by Age'!$B$7:$H$10366,MATCH(CONCATENATE('Tabular Pop Data by Age'!$C21,'Tabular Pop Data by Age'!K$7),'Population Data by Age'!$B$7:$B$10366,0),MATCH('Tabular Pop Data by Age'!$C$6,'Population Data by Age'!$B$6:$H$6,0))</f>
        <v>16000</v>
      </c>
      <c r="L21" s="78">
        <f>INDEX('Population Data by Age'!$B$7:$H$10366,MATCH(CONCATENATE('Tabular Pop Data by Age'!$C21,'Tabular Pop Data by Age'!L$7),'Population Data by Age'!$B$7:$B$10366,0),MATCH('Tabular Pop Data by Age'!$C$6,'Population Data by Age'!$B$6:$H$6,0))</f>
        <v>17000</v>
      </c>
      <c r="M21" s="78">
        <f>INDEX('Population Data by Age'!$B$7:$H$10366,MATCH(CONCATENATE('Tabular Pop Data by Age'!$C21,'Tabular Pop Data by Age'!M$7),'Population Data by Age'!$B$7:$B$10366,0),MATCH('Tabular Pop Data by Age'!$C$6,'Population Data by Age'!$B$6:$H$6,0))</f>
        <v>17000</v>
      </c>
      <c r="N21" s="78">
        <f>INDEX('Population Data by Age'!$B$7:$H$10366,MATCH(CONCATENATE('Tabular Pop Data by Age'!$C21,'Tabular Pop Data by Age'!N$7),'Population Data by Age'!$B$7:$B$10366,0),MATCH('Tabular Pop Data by Age'!$C$6,'Population Data by Age'!$B$6:$H$6,0))</f>
        <v>17000</v>
      </c>
      <c r="O21" s="78">
        <f>INDEX('Population Data by Age'!$B$7:$H$10366,MATCH(CONCATENATE('Tabular Pop Data by Age'!$C21,'Tabular Pop Data by Age'!O$7),'Population Data by Age'!$B$7:$B$10366,0),MATCH('Tabular Pop Data by Age'!$C$6,'Population Data by Age'!$B$6:$H$6,0))</f>
        <v>17000</v>
      </c>
      <c r="P21" s="78">
        <f>INDEX('Population Data by Age'!$B$7:$H$10366,MATCH(CONCATENATE('Tabular Pop Data by Age'!$C21,'Tabular Pop Data by Age'!P$7),'Population Data by Age'!$B$7:$B$10366,0),MATCH('Tabular Pop Data by Age'!$C$6,'Population Data by Age'!$B$6:$H$6,0))</f>
        <v>14000</v>
      </c>
      <c r="Q21" s="78">
        <f>INDEX('Population Data by Age'!$B$7:$H$10366,MATCH(CONCATENATE('Tabular Pop Data by Age'!$C21,'Tabular Pop Data by Age'!Q$7),'Population Data by Age'!$B$7:$B$10366,0),MATCH('Tabular Pop Data by Age'!$C$6,'Population Data by Age'!$B$6:$H$6,0))</f>
        <v>14000</v>
      </c>
      <c r="R21" s="78">
        <f>INDEX('Population Data by Age'!$B$7:$H$10366,MATCH(CONCATENATE('Tabular Pop Data by Age'!$C21,'Tabular Pop Data by Age'!R$7),'Population Data by Age'!$B$7:$B$10366,0),MATCH('Tabular Pop Data by Age'!$C$6,'Population Data by Age'!$B$6:$H$6,0))</f>
        <v>14000</v>
      </c>
      <c r="S21" s="78">
        <f>INDEX('Population Data by Age'!$B$7:$H$10366,MATCH(CONCATENATE('Tabular Pop Data by Age'!$C21,'Tabular Pop Data by Age'!S$7),'Population Data by Age'!$B$7:$B$10366,0),MATCH('Tabular Pop Data by Age'!$C$6,'Population Data by Age'!$B$6:$H$6,0))</f>
        <v>13000</v>
      </c>
      <c r="T21" s="78">
        <f>INDEX('Population Data by Age'!$B$7:$H$10366,MATCH(CONCATENATE('Tabular Pop Data by Age'!$C21,'Tabular Pop Data by Age'!T$7),'Population Data by Age'!$B$7:$B$10366,0),MATCH('Tabular Pop Data by Age'!$C$6,'Population Data by Age'!$B$6:$H$6,0))</f>
        <v>14000</v>
      </c>
      <c r="U21" s="78">
        <f>INDEX('Population Data by Age'!$B$7:$H$10366,MATCH(CONCATENATE('Tabular Pop Data by Age'!$C21,'Tabular Pop Data by Age'!U$7),'Population Data by Age'!$B$7:$B$10366,0),MATCH('Tabular Pop Data by Age'!$C$6,'Population Data by Age'!$B$6:$H$6,0))</f>
        <v>13000</v>
      </c>
      <c r="V21" s="78">
        <f>INDEX('Population Data by Age'!$B$7:$H$10366,MATCH(CONCATENATE('Tabular Pop Data by Age'!$C21,'Tabular Pop Data by Age'!V$7),'Population Data by Age'!$B$7:$B$10366,0),MATCH('Tabular Pop Data by Age'!$C$6,'Population Data by Age'!$B$6:$H$6,0))</f>
        <v>15000</v>
      </c>
      <c r="W21" s="78">
        <f>INDEX('Population Data by Age'!$B$7:$H$10366,MATCH(CONCATENATE('Tabular Pop Data by Age'!$C21,'Tabular Pop Data by Age'!W$7),'Population Data by Age'!$B$7:$B$10366,0),MATCH('Tabular Pop Data by Age'!$C$6,'Population Data by Age'!$B$6:$H$6,0))</f>
        <v>14000</v>
      </c>
      <c r="X21" s="78">
        <f>INDEX('Population Data by Age'!$B$7:$H$10366,MATCH(CONCATENATE('Tabular Pop Data by Age'!$C21,'Tabular Pop Data by Age'!X$7),'Population Data by Age'!$B$7:$B$10366,0),MATCH('Tabular Pop Data by Age'!$C$6,'Population Data by Age'!$B$6:$H$6,0))</f>
        <v>13000</v>
      </c>
      <c r="Y21" s="78">
        <f>INDEX('Population Data by Age'!$B$7:$H$10366,MATCH(CONCATENATE('Tabular Pop Data by Age'!$C21,'Tabular Pop Data by Age'!Y$7),'Population Data by Age'!$B$7:$B$10366,0),MATCH('Tabular Pop Data by Age'!$C$6,'Population Data by Age'!$B$6:$H$6,0))</f>
        <v>12000</v>
      </c>
      <c r="Z21" s="78">
        <f>INDEX('Population Data by Age'!$B$7:$H$10366,MATCH(CONCATENATE('Tabular Pop Data by Age'!$C21,'Tabular Pop Data by Age'!Z$7),'Population Data by Age'!$B$7:$B$10366,0),MATCH('Tabular Pop Data by Age'!$C$6,'Population Data by Age'!$B$6:$H$6,0))</f>
        <v>13000</v>
      </c>
      <c r="AA21" s="78">
        <f>INDEX('Population Data by Age'!$B$7:$H$10366,MATCH(CONCATENATE('Tabular Pop Data by Age'!$C21,'Tabular Pop Data by Age'!AA$7),'Population Data by Age'!$B$7:$B$10366,0),MATCH('Tabular Pop Data by Age'!$C$6,'Population Data by Age'!$B$6:$H$6,0))</f>
        <v>11000</v>
      </c>
      <c r="AB21" s="78">
        <f>INDEX('Population Data by Age'!$B$7:$H$10366,MATCH(CONCATENATE('Tabular Pop Data by Age'!$C21,'Tabular Pop Data by Age'!AB$7),'Population Data by Age'!$B$7:$B$10366,0),MATCH('Tabular Pop Data by Age'!$C$6,'Population Data by Age'!$B$6:$H$6,0))</f>
        <v>9600</v>
      </c>
      <c r="AC21" s="78">
        <f>INDEX('Population Data by Age'!$B$7:$H$10366,MATCH(CONCATENATE('Tabular Pop Data by Age'!$C21,'Tabular Pop Data by Age'!AC$7),'Population Data by Age'!$B$7:$B$10366,0),MATCH('Tabular Pop Data by Age'!$C$6,'Population Data by Age'!$B$6:$H$6,0))</f>
        <v>8000</v>
      </c>
      <c r="AD21" s="78">
        <f>INDEX('Population Data by Age'!$B$7:$H$10366,MATCH(CONCATENATE('Tabular Pop Data by Age'!$C21,'Tabular Pop Data by Age'!AD$7),'Population Data by Age'!$B$7:$B$10366,0),MATCH('Tabular Pop Data by Age'!$C$6,'Population Data by Age'!$B$6:$H$6,0))</f>
        <v>6500</v>
      </c>
      <c r="AE21" s="78">
        <f>INDEX('Population Data by Age'!$B$7:$H$10366,MATCH(CONCATENATE('Tabular Pop Data by Age'!$C21,'Tabular Pop Data by Age'!AE$7),'Population Data by Age'!$B$7:$B$10366,0),MATCH('Tabular Pop Data by Age'!$C$6,'Population Data by Age'!$B$6:$H$6,0))</f>
        <v>5400</v>
      </c>
      <c r="AF21" s="78">
        <f>INDEX('Population Data by Age'!$B$7:$H$10366,MATCH(CONCATENATE('Tabular Pop Data by Age'!$C21,'Tabular Pop Data by Age'!AF$7),'Population Data by Age'!$B$7:$B$10366,0),MATCH('Tabular Pop Data by Age'!$C$6,'Population Data by Age'!$B$6:$H$6,0))</f>
        <v>4500</v>
      </c>
      <c r="AG21" s="78">
        <f>INDEX('Population Data by Age'!$B$7:$H$10366,MATCH(CONCATENATE('Tabular Pop Data by Age'!$C21,'Tabular Pop Data by Age'!AG$7),'Population Data by Age'!$B$7:$B$10366,0),MATCH('Tabular Pop Data by Age'!$C$6,'Population Data by Age'!$B$6:$H$6,0))</f>
        <v>3500</v>
      </c>
      <c r="AH21" s="78">
        <f>INDEX('Population Data by Age'!$B$7:$H$10366,MATCH(CONCATENATE('Tabular Pop Data by Age'!$C21,'Tabular Pop Data by Age'!AH$7),'Population Data by Age'!$B$7:$B$10366,0),MATCH('Tabular Pop Data by Age'!$C$6,'Population Data by Age'!$B$6:$H$6,0))</f>
        <v>3300</v>
      </c>
      <c r="AI21" s="78">
        <f>INDEX('Population Data by Age'!$B$7:$H$10366,MATCH(CONCATENATE('Tabular Pop Data by Age'!$C21,'Tabular Pop Data by Age'!AI$7),'Population Data by Age'!$B$7:$B$10366,0),MATCH('Tabular Pop Data by Age'!$C$6,'Population Data by Age'!$B$6:$H$6,0))</f>
        <v>2400</v>
      </c>
      <c r="AJ21" s="78">
        <f>INDEX('Population Data by Age'!$B$7:$H$10366,MATCH(CONCATENATE('Tabular Pop Data by Age'!$C21,'Tabular Pop Data by Age'!AJ$7),'Population Data by Age'!$B$7:$B$10366,0),MATCH('Tabular Pop Data by Age'!$C$6,'Population Data by Age'!$B$6:$H$6,0))</f>
        <v>3000</v>
      </c>
      <c r="AK21" s="78">
        <f>INDEX('Population Data by Age'!$B$7:$H$10366,MATCH(CONCATENATE('Tabular Pop Data by Age'!$C21,'Tabular Pop Data by Age'!AK$7),'Population Data by Age'!$B$7:$B$10366,0),MATCH('Tabular Pop Data by Age'!$C$6,'Population Data by Age'!$B$6:$H$6,0))</f>
        <v>2000</v>
      </c>
      <c r="AL21" s="78">
        <f>INDEX('Population Data by Age'!$B$7:$H$10366,MATCH(CONCATENATE('Tabular Pop Data by Age'!$C21,'Tabular Pop Data by Age'!AL$7),'Population Data by Age'!$B$7:$B$10366,0),MATCH('Tabular Pop Data by Age'!$C$6,'Population Data by Age'!$B$6:$H$6,0))</f>
        <v>202000</v>
      </c>
      <c r="AM21" s="78">
        <f>INDEX('Population Data by Age'!$B$7:$H$10366,MATCH(CONCATENATE('Tabular Pop Data by Age'!$C21,'Tabular Pop Data by Age'!AM$7),'Population Data by Age'!$B$7:$B$10366,0),MATCH('Tabular Pop Data by Age'!$C$6,'Population Data by Age'!$B$6:$H$6,0))</f>
        <v>191000</v>
      </c>
      <c r="AN21" s="78">
        <f>INDEX('Population Data by Age'!$B$7:$H$10366,MATCH(CONCATENATE('Tabular Pop Data by Age'!$C21,'Tabular Pop Data by Age'!AN$7),'Population Data by Age'!$B$7:$B$10366,0),MATCH('Tabular Pop Data by Age'!$C$6,'Population Data by Age'!$B$6:$H$6,0))</f>
        <v>393000</v>
      </c>
      <c r="AO21" s="78">
        <f>INDEX('Population Data by Age'!$B$7:$H$10366,MATCH(CONCATENATE('Tabular Pop Data by Age'!$C21,'Tabular Pop Data by Age'!AO$7),'Population Data by Age'!$B$7:$B$10366,0),MATCH('Tabular Pop Data by Age'!$C$6,'Population Data by Age'!$B$6:$H$6,0))</f>
        <v>0</v>
      </c>
      <c r="AP21" s="79">
        <f t="shared" si="0"/>
        <v>27000</v>
      </c>
      <c r="AQ21" s="79">
        <f t="shared" si="1"/>
        <v>27000</v>
      </c>
      <c r="AR21" s="79">
        <f t="shared" si="2"/>
        <v>32000</v>
      </c>
      <c r="AS21" s="79">
        <f t="shared" si="3"/>
        <v>32000</v>
      </c>
      <c r="AT21" s="79">
        <f t="shared" si="4"/>
        <v>34000</v>
      </c>
      <c r="AU21" s="79">
        <f t="shared" si="5"/>
        <v>34000</v>
      </c>
      <c r="AV21" s="79">
        <f t="shared" si="6"/>
        <v>28000</v>
      </c>
      <c r="AW21" s="79">
        <f t="shared" si="7"/>
        <v>27000</v>
      </c>
      <c r="AX21" s="79">
        <f t="shared" si="8"/>
        <v>27000</v>
      </c>
      <c r="AY21" s="79">
        <f t="shared" si="9"/>
        <v>29000</v>
      </c>
      <c r="AZ21" s="79">
        <f t="shared" si="10"/>
        <v>25000</v>
      </c>
      <c r="BA21" s="79">
        <f t="shared" si="11"/>
        <v>24000</v>
      </c>
      <c r="BB21" s="79">
        <f t="shared" si="12"/>
        <v>17600</v>
      </c>
      <c r="BC21" s="79">
        <f t="shared" si="13"/>
        <v>11900</v>
      </c>
      <c r="BD21" s="79">
        <f t="shared" si="14"/>
        <v>8000</v>
      </c>
      <c r="BE21" s="79">
        <f t="shared" si="15"/>
        <v>5700</v>
      </c>
      <c r="BF21" s="79">
        <f t="shared" si="16"/>
        <v>5000</v>
      </c>
    </row>
    <row r="22" spans="1:58" x14ac:dyDescent="0.25">
      <c r="A22" s="138" t="s">
        <v>1195</v>
      </c>
      <c r="B22" t="s">
        <v>434</v>
      </c>
      <c r="C22" t="s">
        <v>13</v>
      </c>
      <c r="D22" s="78">
        <f>INDEX('Population Data by Age'!$B$7:$H$10366,MATCH(CONCATENATE('Tabular Pop Data by Age'!$C22,'Tabular Pop Data by Age'!D$7),'Population Data by Age'!$B$7:$B$10366,0),MATCH('Tabular Pop Data by Age'!$C$6,'Population Data by Age'!$B$6:$H$6,0))</f>
        <v>53000</v>
      </c>
      <c r="E22" s="78">
        <f>INDEX('Population Data by Age'!$B$7:$H$10366,MATCH(CONCATENATE('Tabular Pop Data by Age'!$C22,'Tabular Pop Data by Age'!E$7),'Population Data by Age'!$B$7:$B$10366,0),MATCH('Tabular Pop Data by Age'!$C$6,'Population Data by Age'!$B$6:$H$6,0))</f>
        <v>55000</v>
      </c>
      <c r="F22" s="78">
        <f>INDEX('Population Data by Age'!$B$7:$H$10366,MATCH(CONCATENATE('Tabular Pop Data by Age'!$C22,'Tabular Pop Data by Age'!F$7),'Population Data by Age'!$B$7:$B$10366,0),MATCH('Tabular Pop Data by Age'!$C$6,'Population Data by Age'!$B$6:$H$6,0))</f>
        <v>52000</v>
      </c>
      <c r="G22" s="78">
        <f>INDEX('Population Data by Age'!$B$7:$H$10366,MATCH(CONCATENATE('Tabular Pop Data by Age'!$C22,'Tabular Pop Data by Age'!G$7),'Population Data by Age'!$B$7:$B$10366,0),MATCH('Tabular Pop Data by Age'!$C$6,'Population Data by Age'!$B$6:$H$6,0))</f>
        <v>59000</v>
      </c>
      <c r="H22" s="78">
        <f>INDEX('Population Data by Age'!$B$7:$H$10366,MATCH(CONCATENATE('Tabular Pop Data by Age'!$C22,'Tabular Pop Data by Age'!H$7),'Population Data by Age'!$B$7:$B$10366,0),MATCH('Tabular Pop Data by Age'!$C$6,'Population Data by Age'!$B$6:$H$6,0))</f>
        <v>47000</v>
      </c>
      <c r="I22" s="78">
        <f>INDEX('Population Data by Age'!$B$7:$H$10366,MATCH(CONCATENATE('Tabular Pop Data by Age'!$C22,'Tabular Pop Data by Age'!I$7),'Population Data by Age'!$B$7:$B$10366,0),MATCH('Tabular Pop Data by Age'!$C$6,'Population Data by Age'!$B$6:$H$6,0))</f>
        <v>46000</v>
      </c>
      <c r="J22" s="78">
        <f>INDEX('Population Data by Age'!$B$7:$H$10366,MATCH(CONCATENATE('Tabular Pop Data by Age'!$C22,'Tabular Pop Data by Age'!J$7),'Population Data by Age'!$B$7:$B$10366,0),MATCH('Tabular Pop Data by Age'!$C$6,'Population Data by Age'!$B$6:$H$6,0))</f>
        <v>40000</v>
      </c>
      <c r="K22" s="78">
        <f>INDEX('Population Data by Age'!$B$7:$H$10366,MATCH(CONCATENATE('Tabular Pop Data by Age'!$C22,'Tabular Pop Data by Age'!K$7),'Population Data by Age'!$B$7:$B$10366,0),MATCH('Tabular Pop Data by Age'!$C$6,'Population Data by Age'!$B$6:$H$6,0))</f>
        <v>49000</v>
      </c>
      <c r="L22" s="78">
        <f>INDEX('Population Data by Age'!$B$7:$H$10366,MATCH(CONCATENATE('Tabular Pop Data by Age'!$C22,'Tabular Pop Data by Age'!L$7),'Population Data by Age'!$B$7:$B$10366,0),MATCH('Tabular Pop Data by Age'!$C$6,'Population Data by Age'!$B$6:$H$6,0))</f>
        <v>39000</v>
      </c>
      <c r="M22" s="78">
        <f>INDEX('Population Data by Age'!$B$7:$H$10366,MATCH(CONCATENATE('Tabular Pop Data by Age'!$C22,'Tabular Pop Data by Age'!M$7),'Population Data by Age'!$B$7:$B$10366,0),MATCH('Tabular Pop Data by Age'!$C$6,'Population Data by Age'!$B$6:$H$6,0))</f>
        <v>53000</v>
      </c>
      <c r="N22" s="78">
        <f>INDEX('Population Data by Age'!$B$7:$H$10366,MATCH(CONCATENATE('Tabular Pop Data by Age'!$C22,'Tabular Pop Data by Age'!N$7),'Population Data by Age'!$B$7:$B$10366,0),MATCH('Tabular Pop Data by Age'!$C$6,'Population Data by Age'!$B$6:$H$6,0))</f>
        <v>69000</v>
      </c>
      <c r="O22" s="78">
        <f>INDEX('Population Data by Age'!$B$7:$H$10366,MATCH(CONCATENATE('Tabular Pop Data by Age'!$C22,'Tabular Pop Data by Age'!O$7),'Population Data by Age'!$B$7:$B$10366,0),MATCH('Tabular Pop Data by Age'!$C$6,'Population Data by Age'!$B$6:$H$6,0))</f>
        <v>146000</v>
      </c>
      <c r="P22" s="78">
        <f>INDEX('Population Data by Age'!$B$7:$H$10366,MATCH(CONCATENATE('Tabular Pop Data by Age'!$C22,'Tabular Pop Data by Age'!P$7),'Population Data by Age'!$B$7:$B$10366,0),MATCH('Tabular Pop Data by Age'!$C$6,'Population Data by Age'!$B$6:$H$6,0))</f>
        <v>73000</v>
      </c>
      <c r="Q22" s="78">
        <f>INDEX('Population Data by Age'!$B$7:$H$10366,MATCH(CONCATENATE('Tabular Pop Data by Age'!$C22,'Tabular Pop Data by Age'!Q$7),'Population Data by Age'!$B$7:$B$10366,0),MATCH('Tabular Pop Data by Age'!$C$6,'Population Data by Age'!$B$6:$H$6,0))</f>
        <v>220000</v>
      </c>
      <c r="R22" s="78">
        <f>INDEX('Population Data by Age'!$B$7:$H$10366,MATCH(CONCATENATE('Tabular Pop Data by Age'!$C22,'Tabular Pop Data by Age'!R$7),'Population Data by Age'!$B$7:$B$10366,0),MATCH('Tabular Pop Data by Age'!$C$6,'Population Data by Age'!$B$6:$H$6,0))</f>
        <v>54000</v>
      </c>
      <c r="S22" s="78">
        <f>INDEX('Population Data by Age'!$B$7:$H$10366,MATCH(CONCATENATE('Tabular Pop Data by Age'!$C22,'Tabular Pop Data by Age'!S$7),'Population Data by Age'!$B$7:$B$10366,0),MATCH('Tabular Pop Data by Age'!$C$6,'Population Data by Age'!$B$6:$H$6,0))</f>
        <v>160000</v>
      </c>
      <c r="T22" s="78">
        <f>INDEX('Population Data by Age'!$B$7:$H$10366,MATCH(CONCATENATE('Tabular Pop Data by Age'!$C22,'Tabular Pop Data by Age'!T$7),'Population Data by Age'!$B$7:$B$10366,0),MATCH('Tabular Pop Data by Age'!$C$6,'Population Data by Age'!$B$6:$H$6,0))</f>
        <v>47000</v>
      </c>
      <c r="U22" s="78">
        <f>INDEX('Population Data by Age'!$B$7:$H$10366,MATCH(CONCATENATE('Tabular Pop Data by Age'!$C22,'Tabular Pop Data by Age'!U$7),'Population Data by Age'!$B$7:$B$10366,0),MATCH('Tabular Pop Data by Age'!$C$6,'Population Data by Age'!$B$6:$H$6,0))</f>
        <v>101000</v>
      </c>
      <c r="V22" s="78">
        <f>INDEX('Population Data by Age'!$B$7:$H$10366,MATCH(CONCATENATE('Tabular Pop Data by Age'!$C22,'Tabular Pop Data by Age'!V$7),'Population Data by Age'!$B$7:$B$10366,0),MATCH('Tabular Pop Data by Age'!$C$6,'Population Data by Age'!$B$6:$H$6,0))</f>
        <v>35000</v>
      </c>
      <c r="W22" s="78">
        <f>INDEX('Population Data by Age'!$B$7:$H$10366,MATCH(CONCATENATE('Tabular Pop Data by Age'!$C22,'Tabular Pop Data by Age'!W$7),'Population Data by Age'!$B$7:$B$10366,0),MATCH('Tabular Pop Data by Age'!$C$6,'Population Data by Age'!$B$6:$H$6,0))</f>
        <v>73000</v>
      </c>
      <c r="X22" s="78">
        <f>INDEX('Population Data by Age'!$B$7:$H$10366,MATCH(CONCATENATE('Tabular Pop Data by Age'!$C22,'Tabular Pop Data by Age'!X$7),'Population Data by Age'!$B$7:$B$10366,0),MATCH('Tabular Pop Data by Age'!$C$6,'Population Data by Age'!$B$6:$H$6,0))</f>
        <v>29000</v>
      </c>
      <c r="Y22" s="78">
        <f>INDEX('Population Data by Age'!$B$7:$H$10366,MATCH(CONCATENATE('Tabular Pop Data by Age'!$C22,'Tabular Pop Data by Age'!Y$7),'Population Data by Age'!$B$7:$B$10366,0),MATCH('Tabular Pop Data by Age'!$C$6,'Population Data by Age'!$B$6:$H$6,0))</f>
        <v>52000</v>
      </c>
      <c r="Z22" s="78">
        <f>INDEX('Population Data by Age'!$B$7:$H$10366,MATCH(CONCATENATE('Tabular Pop Data by Age'!$C22,'Tabular Pop Data by Age'!Z$7),'Population Data by Age'!$B$7:$B$10366,0),MATCH('Tabular Pop Data by Age'!$C$6,'Population Data by Age'!$B$6:$H$6,0))</f>
        <v>25000</v>
      </c>
      <c r="AA22" s="78">
        <f>INDEX('Population Data by Age'!$B$7:$H$10366,MATCH(CONCATENATE('Tabular Pop Data by Age'!$C22,'Tabular Pop Data by Age'!AA$7),'Population Data by Age'!$B$7:$B$10366,0),MATCH('Tabular Pop Data by Age'!$C$6,'Population Data by Age'!$B$6:$H$6,0))</f>
        <v>34000</v>
      </c>
      <c r="AB22" s="78">
        <f>INDEX('Population Data by Age'!$B$7:$H$10366,MATCH(CONCATENATE('Tabular Pop Data by Age'!$C22,'Tabular Pop Data by Age'!AB$7),'Population Data by Age'!$B$7:$B$10366,0),MATCH('Tabular Pop Data by Age'!$C$6,'Population Data by Age'!$B$6:$H$6,0))</f>
        <v>17000</v>
      </c>
      <c r="AC22" s="78">
        <f>INDEX('Population Data by Age'!$B$7:$H$10366,MATCH(CONCATENATE('Tabular Pop Data by Age'!$C22,'Tabular Pop Data by Age'!AC$7),'Population Data by Age'!$B$7:$B$10366,0),MATCH('Tabular Pop Data by Age'!$C$6,'Population Data by Age'!$B$6:$H$6,0))</f>
        <v>28000</v>
      </c>
      <c r="AD22" s="78">
        <f>INDEX('Population Data by Age'!$B$7:$H$10366,MATCH(CONCATENATE('Tabular Pop Data by Age'!$C22,'Tabular Pop Data by Age'!AD$7),'Population Data by Age'!$B$7:$B$10366,0),MATCH('Tabular Pop Data by Age'!$C$6,'Population Data by Age'!$B$6:$H$6,0))</f>
        <v>8900</v>
      </c>
      <c r="AE22" s="78">
        <f>INDEX('Population Data by Age'!$B$7:$H$10366,MATCH(CONCATENATE('Tabular Pop Data by Age'!$C22,'Tabular Pop Data by Age'!AE$7),'Population Data by Age'!$B$7:$B$10366,0),MATCH('Tabular Pop Data by Age'!$C$6,'Population Data by Age'!$B$6:$H$6,0))</f>
        <v>13000</v>
      </c>
      <c r="AF22" s="78">
        <f>INDEX('Population Data by Age'!$B$7:$H$10366,MATCH(CONCATENATE('Tabular Pop Data by Age'!$C22,'Tabular Pop Data by Age'!AF$7),'Population Data by Age'!$B$7:$B$10366,0),MATCH('Tabular Pop Data by Age'!$C$6,'Population Data by Age'!$B$6:$H$6,0))</f>
        <v>4800</v>
      </c>
      <c r="AG22" s="78">
        <f>INDEX('Population Data by Age'!$B$7:$H$10366,MATCH(CONCATENATE('Tabular Pop Data by Age'!$C22,'Tabular Pop Data by Age'!AG$7),'Population Data by Age'!$B$7:$B$10366,0),MATCH('Tabular Pop Data by Age'!$C$6,'Population Data by Age'!$B$6:$H$6,0))</f>
        <v>6100</v>
      </c>
      <c r="AH22" s="78">
        <f>INDEX('Population Data by Age'!$B$7:$H$10366,MATCH(CONCATENATE('Tabular Pop Data by Age'!$C22,'Tabular Pop Data by Age'!AH$7),'Population Data by Age'!$B$7:$B$10366,0),MATCH('Tabular Pop Data by Age'!$C$6,'Population Data by Age'!$B$6:$H$6,0))</f>
        <v>3400</v>
      </c>
      <c r="AI22" s="78">
        <f>INDEX('Population Data by Age'!$B$7:$H$10366,MATCH(CONCATENATE('Tabular Pop Data by Age'!$C22,'Tabular Pop Data by Age'!AI$7),'Population Data by Age'!$B$7:$B$10366,0),MATCH('Tabular Pop Data by Age'!$C$6,'Population Data by Age'!$B$6:$H$6,0))</f>
        <v>3400</v>
      </c>
      <c r="AJ22" s="78">
        <f>INDEX('Population Data by Age'!$B$7:$H$10366,MATCH(CONCATENATE('Tabular Pop Data by Age'!$C22,'Tabular Pop Data by Age'!AJ$7),'Population Data by Age'!$B$7:$B$10366,0),MATCH('Tabular Pop Data by Age'!$C$6,'Population Data by Age'!$B$6:$H$6,0))</f>
        <v>3200</v>
      </c>
      <c r="AK22" s="78">
        <f>INDEX('Population Data by Age'!$B$7:$H$10366,MATCH(CONCATENATE('Tabular Pop Data by Age'!$C22,'Tabular Pop Data by Age'!AK$7),'Population Data by Age'!$B$7:$B$10366,0),MATCH('Tabular Pop Data by Age'!$C$6,'Population Data by Age'!$B$6:$H$6,0))</f>
        <v>2600</v>
      </c>
      <c r="AL22" s="78">
        <f>INDEX('Population Data by Age'!$B$7:$H$10366,MATCH(CONCATENATE('Tabular Pop Data by Age'!$C22,'Tabular Pop Data by Age'!AL$7),'Population Data by Age'!$B$7:$B$10366,0),MATCH('Tabular Pop Data by Age'!$C$6,'Population Data by Age'!$B$6:$H$6,0))</f>
        <v>601000</v>
      </c>
      <c r="AM22" s="78">
        <f>INDEX('Population Data by Age'!$B$7:$H$10366,MATCH(CONCATENATE('Tabular Pop Data by Age'!$C22,'Tabular Pop Data by Age'!AM$7),'Population Data by Age'!$B$7:$B$10366,0),MATCH('Tabular Pop Data by Age'!$C$6,'Population Data by Age'!$B$6:$H$6,0))</f>
        <v>1100000</v>
      </c>
      <c r="AN22" s="78">
        <f>INDEX('Population Data by Age'!$B$7:$H$10366,MATCH(CONCATENATE('Tabular Pop Data by Age'!$C22,'Tabular Pop Data by Age'!AN$7),'Population Data by Age'!$B$7:$B$10366,0),MATCH('Tabular Pop Data by Age'!$C$6,'Population Data by Age'!$B$6:$H$6,0))</f>
        <v>1702000</v>
      </c>
      <c r="AO22" s="78">
        <f>INDEX('Population Data by Age'!$B$7:$H$10366,MATCH(CONCATENATE('Tabular Pop Data by Age'!$C22,'Tabular Pop Data by Age'!AO$7),'Population Data by Age'!$B$7:$B$10366,0),MATCH('Tabular Pop Data by Age'!$C$6,'Population Data by Age'!$B$6:$H$6,0))</f>
        <v>0</v>
      </c>
      <c r="AP22" s="79">
        <f t="shared" si="0"/>
        <v>108000</v>
      </c>
      <c r="AQ22" s="79">
        <f t="shared" si="1"/>
        <v>111000</v>
      </c>
      <c r="AR22" s="79">
        <f t="shared" si="2"/>
        <v>93000</v>
      </c>
      <c r="AS22" s="79">
        <f t="shared" si="3"/>
        <v>89000</v>
      </c>
      <c r="AT22" s="79">
        <f t="shared" si="4"/>
        <v>92000</v>
      </c>
      <c r="AU22" s="79">
        <f t="shared" si="5"/>
        <v>215000</v>
      </c>
      <c r="AV22" s="79">
        <f t="shared" si="6"/>
        <v>293000</v>
      </c>
      <c r="AW22" s="79">
        <f t="shared" si="7"/>
        <v>214000</v>
      </c>
      <c r="AX22" s="79">
        <f t="shared" si="8"/>
        <v>148000</v>
      </c>
      <c r="AY22" s="79">
        <f t="shared" si="9"/>
        <v>108000</v>
      </c>
      <c r="AZ22" s="79">
        <f t="shared" si="10"/>
        <v>81000</v>
      </c>
      <c r="BA22" s="79">
        <f t="shared" si="11"/>
        <v>59000</v>
      </c>
      <c r="BB22" s="79">
        <f t="shared" si="12"/>
        <v>45000</v>
      </c>
      <c r="BC22" s="79">
        <f t="shared" si="13"/>
        <v>21900</v>
      </c>
      <c r="BD22" s="79">
        <f t="shared" si="14"/>
        <v>10900</v>
      </c>
      <c r="BE22" s="79">
        <f t="shared" si="15"/>
        <v>6800</v>
      </c>
      <c r="BF22" s="79">
        <f t="shared" si="16"/>
        <v>5800</v>
      </c>
    </row>
    <row r="23" spans="1:58" x14ac:dyDescent="0.25">
      <c r="A23" s="138" t="s">
        <v>1195</v>
      </c>
      <c r="B23" t="s">
        <v>240</v>
      </c>
      <c r="C23" t="s">
        <v>11</v>
      </c>
      <c r="D23" s="78">
        <f>INDEX('Population Data by Age'!$B$7:$H$10366,MATCH(CONCATENATE('Tabular Pop Data by Age'!$C23,'Tabular Pop Data by Age'!D$7),'Population Data by Age'!$B$7:$B$10366,0),MATCH('Tabular Pop Data by Age'!$C$6,'Population Data by Age'!$B$6:$H$6,0))</f>
        <v>7008000</v>
      </c>
      <c r="E23" s="78">
        <f>INDEX('Population Data by Age'!$B$7:$H$10366,MATCH(CONCATENATE('Tabular Pop Data by Age'!$C23,'Tabular Pop Data by Age'!E$7),'Population Data by Age'!$B$7:$B$10366,0),MATCH('Tabular Pop Data by Age'!$C$6,'Population Data by Age'!$B$6:$H$6,0))</f>
        <v>7320000</v>
      </c>
      <c r="F23" s="78">
        <f>INDEX('Population Data by Age'!$B$7:$H$10366,MATCH(CONCATENATE('Tabular Pop Data by Age'!$C23,'Tabular Pop Data by Age'!F$7),'Population Data by Age'!$B$7:$B$10366,0),MATCH('Tabular Pop Data by Age'!$C$6,'Population Data by Age'!$B$6:$H$6,0))</f>
        <v>7167000</v>
      </c>
      <c r="G23" s="78">
        <f>INDEX('Population Data by Age'!$B$7:$H$10366,MATCH(CONCATENATE('Tabular Pop Data by Age'!$C23,'Tabular Pop Data by Age'!G$7),'Population Data by Age'!$B$7:$B$10366,0),MATCH('Tabular Pop Data by Age'!$C$6,'Population Data by Age'!$B$6:$H$6,0))</f>
        <v>7477000</v>
      </c>
      <c r="H23" s="78">
        <f>INDEX('Population Data by Age'!$B$7:$H$10366,MATCH(CONCATENATE('Tabular Pop Data by Age'!$C23,'Tabular Pop Data by Age'!H$7),'Population Data by Age'!$B$7:$B$10366,0),MATCH('Tabular Pop Data by Age'!$C$6,'Population Data by Age'!$B$6:$H$6,0))</f>
        <v>7382000</v>
      </c>
      <c r="I23" s="78">
        <f>INDEX('Population Data by Age'!$B$7:$H$10366,MATCH(CONCATENATE('Tabular Pop Data by Age'!$C23,'Tabular Pop Data by Age'!I$7),'Population Data by Age'!$B$7:$B$10366,0),MATCH('Tabular Pop Data by Age'!$C$6,'Population Data by Age'!$B$6:$H$6,0))</f>
        <v>7707000</v>
      </c>
      <c r="J23" s="78">
        <f>INDEX('Population Data by Age'!$B$7:$H$10366,MATCH(CONCATENATE('Tabular Pop Data by Age'!$C23,'Tabular Pop Data by Age'!J$7),'Population Data by Age'!$B$7:$B$10366,0),MATCH('Tabular Pop Data by Age'!$C$6,'Population Data by Age'!$B$6:$H$6,0))</f>
        <v>7610000</v>
      </c>
      <c r="K23" s="78">
        <f>INDEX('Population Data by Age'!$B$7:$H$10366,MATCH(CONCATENATE('Tabular Pop Data by Age'!$C23,'Tabular Pop Data by Age'!K$7),'Population Data by Age'!$B$7:$B$10366,0),MATCH('Tabular Pop Data by Age'!$C$6,'Population Data by Age'!$B$6:$H$6,0))</f>
        <v>7975000</v>
      </c>
      <c r="L23" s="78">
        <f>INDEX('Population Data by Age'!$B$7:$H$10366,MATCH(CONCATENATE('Tabular Pop Data by Age'!$C23,'Tabular Pop Data by Age'!L$7),'Population Data by Age'!$B$7:$B$10366,0),MATCH('Tabular Pop Data by Age'!$C$6,'Population Data by Age'!$B$6:$H$6,0))</f>
        <v>7497000</v>
      </c>
      <c r="M23" s="78">
        <f>INDEX('Population Data by Age'!$B$7:$H$10366,MATCH(CONCATENATE('Tabular Pop Data by Age'!$C23,'Tabular Pop Data by Age'!M$7),'Population Data by Age'!$B$7:$B$10366,0),MATCH('Tabular Pop Data by Age'!$C$6,'Population Data by Age'!$B$6:$H$6,0))</f>
        <v>7742000</v>
      </c>
      <c r="N23" s="78">
        <f>INDEX('Population Data by Age'!$B$7:$H$10366,MATCH(CONCATENATE('Tabular Pop Data by Age'!$C23,'Tabular Pop Data by Age'!N$7),'Population Data by Age'!$B$7:$B$10366,0),MATCH('Tabular Pop Data by Age'!$C$6,'Population Data by Age'!$B$6:$H$6,0))</f>
        <v>7268000</v>
      </c>
      <c r="O23" s="78">
        <f>INDEX('Population Data by Age'!$B$7:$H$10366,MATCH(CONCATENATE('Tabular Pop Data by Age'!$C23,'Tabular Pop Data by Age'!O$7),'Population Data by Age'!$B$7:$B$10366,0),MATCH('Tabular Pop Data by Age'!$C$6,'Population Data by Age'!$B$6:$H$6,0))</f>
        <v>7258000</v>
      </c>
      <c r="P23" s="78">
        <f>INDEX('Population Data by Age'!$B$7:$H$10366,MATCH(CONCATENATE('Tabular Pop Data by Age'!$C23,'Tabular Pop Data by Age'!P$7),'Population Data by Age'!$B$7:$B$10366,0),MATCH('Tabular Pop Data by Age'!$C$6,'Population Data by Age'!$B$6:$H$6,0))</f>
        <v>6984000</v>
      </c>
      <c r="Q23" s="78">
        <f>INDEX('Population Data by Age'!$B$7:$H$10366,MATCH(CONCATENATE('Tabular Pop Data by Age'!$C23,'Tabular Pop Data by Age'!Q$7),'Population Data by Age'!$B$7:$B$10366,0),MATCH('Tabular Pop Data by Age'!$C$6,'Population Data by Age'!$B$6:$H$6,0))</f>
        <v>6779000</v>
      </c>
      <c r="R23" s="78">
        <f>INDEX('Population Data by Age'!$B$7:$H$10366,MATCH(CONCATENATE('Tabular Pop Data by Age'!$C23,'Tabular Pop Data by Age'!R$7),'Population Data by Age'!$B$7:$B$10366,0),MATCH('Tabular Pop Data by Age'!$C$6,'Population Data by Age'!$B$6:$H$6,0))</f>
        <v>6477000</v>
      </c>
      <c r="S23" s="78">
        <f>INDEX('Population Data by Age'!$B$7:$H$10366,MATCH(CONCATENATE('Tabular Pop Data by Age'!$C23,'Tabular Pop Data by Age'!S$7),'Population Data by Age'!$B$7:$B$10366,0),MATCH('Tabular Pop Data by Age'!$C$6,'Population Data by Age'!$B$6:$H$6,0))</f>
        <v>6271000</v>
      </c>
      <c r="T23" s="78">
        <f>INDEX('Population Data by Age'!$B$7:$H$10366,MATCH(CONCATENATE('Tabular Pop Data by Age'!$C23,'Tabular Pop Data by Age'!T$7),'Population Data by Age'!$B$7:$B$10366,0),MATCH('Tabular Pop Data by Age'!$C$6,'Population Data by Age'!$B$6:$H$6,0))</f>
        <v>5672000</v>
      </c>
      <c r="U23" s="78">
        <f>INDEX('Population Data by Age'!$B$7:$H$10366,MATCH(CONCATENATE('Tabular Pop Data by Age'!$C23,'Tabular Pop Data by Age'!U$7),'Population Data by Age'!$B$7:$B$10366,0),MATCH('Tabular Pop Data by Age'!$C$6,'Population Data by Age'!$B$6:$H$6,0))</f>
        <v>5554000</v>
      </c>
      <c r="V23" s="78">
        <f>INDEX('Population Data by Age'!$B$7:$H$10366,MATCH(CONCATENATE('Tabular Pop Data by Age'!$C23,'Tabular Pop Data by Age'!V$7),'Population Data by Age'!$B$7:$B$10366,0),MATCH('Tabular Pop Data by Age'!$C$6,'Population Data by Age'!$B$6:$H$6,0))</f>
        <v>4708000</v>
      </c>
      <c r="W23" s="78">
        <f>INDEX('Population Data by Age'!$B$7:$H$10366,MATCH(CONCATENATE('Tabular Pop Data by Age'!$C23,'Tabular Pop Data by Age'!W$7),'Population Data by Age'!$B$7:$B$10366,0),MATCH('Tabular Pop Data by Age'!$C$6,'Population Data by Age'!$B$6:$H$6,0))</f>
        <v>4718000</v>
      </c>
      <c r="X23" s="78">
        <f>INDEX('Population Data by Age'!$B$7:$H$10366,MATCH(CONCATENATE('Tabular Pop Data by Age'!$C23,'Tabular Pop Data by Age'!X$7),'Population Data by Age'!$B$7:$B$10366,0),MATCH('Tabular Pop Data by Age'!$C$6,'Population Data by Age'!$B$6:$H$6,0))</f>
        <v>4040000</v>
      </c>
      <c r="Y23" s="78">
        <f>INDEX('Population Data by Age'!$B$7:$H$10366,MATCH(CONCATENATE('Tabular Pop Data by Age'!$C23,'Tabular Pop Data by Age'!Y$7),'Population Data by Age'!$B$7:$B$10366,0),MATCH('Tabular Pop Data by Age'!$C$6,'Population Data by Age'!$B$6:$H$6,0))</f>
        <v>4265000</v>
      </c>
      <c r="Z23" s="78">
        <f>INDEX('Population Data by Age'!$B$7:$H$10366,MATCH(CONCATENATE('Tabular Pop Data by Age'!$C23,'Tabular Pop Data by Age'!Z$7),'Population Data by Age'!$B$7:$B$10366,0),MATCH('Tabular Pop Data by Age'!$C$6,'Population Data by Age'!$B$6:$H$6,0))</f>
        <v>3221000</v>
      </c>
      <c r="AA23" s="78">
        <f>INDEX('Population Data by Age'!$B$7:$H$10366,MATCH(CONCATENATE('Tabular Pop Data by Age'!$C23,'Tabular Pop Data by Age'!AA$7),'Population Data by Age'!$B$7:$B$10366,0),MATCH('Tabular Pop Data by Age'!$C$6,'Population Data by Age'!$B$6:$H$6,0))</f>
        <v>3479000</v>
      </c>
      <c r="AB23" s="78">
        <f>INDEX('Population Data by Age'!$B$7:$H$10366,MATCH(CONCATENATE('Tabular Pop Data by Age'!$C23,'Tabular Pop Data by Age'!AB$7),'Population Data by Age'!$B$7:$B$10366,0),MATCH('Tabular Pop Data by Age'!$C$6,'Population Data by Age'!$B$6:$H$6,0))</f>
        <v>2129000</v>
      </c>
      <c r="AC23" s="78">
        <f>INDEX('Population Data by Age'!$B$7:$H$10366,MATCH(CONCATENATE('Tabular Pop Data by Age'!$C23,'Tabular Pop Data by Age'!AC$7),'Population Data by Age'!$B$7:$B$10366,0),MATCH('Tabular Pop Data by Age'!$C$6,'Population Data by Age'!$B$6:$H$6,0))</f>
        <v>2372000</v>
      </c>
      <c r="AD23" s="78">
        <f>INDEX('Population Data by Age'!$B$7:$H$10366,MATCH(CONCATENATE('Tabular Pop Data by Age'!$C23,'Tabular Pop Data by Age'!AD$7),'Population Data by Age'!$B$7:$B$10366,0),MATCH('Tabular Pop Data by Age'!$C$6,'Population Data by Age'!$B$6:$H$6,0))</f>
        <v>1307000</v>
      </c>
      <c r="AE23" s="78">
        <f>INDEX('Population Data by Age'!$B$7:$H$10366,MATCH(CONCATENATE('Tabular Pop Data by Age'!$C23,'Tabular Pop Data by Age'!AE$7),'Population Data by Age'!$B$7:$B$10366,0),MATCH('Tabular Pop Data by Age'!$C$6,'Population Data by Age'!$B$6:$H$6,0))</f>
        <v>1490000</v>
      </c>
      <c r="AF23" s="78">
        <f>INDEX('Population Data by Age'!$B$7:$H$10366,MATCH(CONCATENATE('Tabular Pop Data by Age'!$C23,'Tabular Pop Data by Age'!AF$7),'Population Data by Age'!$B$7:$B$10366,0),MATCH('Tabular Pop Data by Age'!$C$6,'Population Data by Age'!$B$6:$H$6,0))</f>
        <v>1150000</v>
      </c>
      <c r="AG23" s="78">
        <f>INDEX('Population Data by Age'!$B$7:$H$10366,MATCH(CONCATENATE('Tabular Pop Data by Age'!$C23,'Tabular Pop Data by Age'!AG$7),'Population Data by Age'!$B$7:$B$10366,0),MATCH('Tabular Pop Data by Age'!$C$6,'Population Data by Age'!$B$6:$H$6,0))</f>
        <v>1207000</v>
      </c>
      <c r="AH23" s="78">
        <f>INDEX('Population Data by Age'!$B$7:$H$10366,MATCH(CONCATENATE('Tabular Pop Data by Age'!$C23,'Tabular Pop Data by Age'!AH$7),'Population Data by Age'!$B$7:$B$10366,0),MATCH('Tabular Pop Data by Age'!$C$6,'Population Data by Age'!$B$6:$H$6,0))</f>
        <v>884000</v>
      </c>
      <c r="AI23" s="78">
        <f>INDEX('Population Data by Age'!$B$7:$H$10366,MATCH(CONCATENATE('Tabular Pop Data by Age'!$C23,'Tabular Pop Data by Age'!AI$7),'Population Data by Age'!$B$7:$B$10366,0),MATCH('Tabular Pop Data by Age'!$C$6,'Population Data by Age'!$B$6:$H$6,0))</f>
        <v>855000</v>
      </c>
      <c r="AJ23" s="78">
        <f>INDEX('Population Data by Age'!$B$7:$H$10366,MATCH(CONCATENATE('Tabular Pop Data by Age'!$C23,'Tabular Pop Data by Age'!AJ$7),'Population Data by Age'!$B$7:$B$10366,0),MATCH('Tabular Pop Data by Age'!$C$6,'Population Data by Age'!$B$6:$H$6,0))</f>
        <v>927000</v>
      </c>
      <c r="AK23" s="78">
        <f>INDEX('Population Data by Age'!$B$7:$H$10366,MATCH(CONCATENATE('Tabular Pop Data by Age'!$C23,'Tabular Pop Data by Age'!AK$7),'Population Data by Age'!$B$7:$B$10366,0),MATCH('Tabular Pop Data by Age'!$C$6,'Population Data by Age'!$B$6:$H$6,0))</f>
        <v>789000</v>
      </c>
      <c r="AL23" s="78">
        <f>INDEX('Population Data by Age'!$B$7:$H$10366,MATCH(CONCATENATE('Tabular Pop Data by Age'!$C23,'Tabular Pop Data by Age'!AL$7),'Population Data by Age'!$B$7:$B$10366,0),MATCH('Tabular Pop Data by Age'!$C$6,'Population Data by Age'!$B$6:$H$6,0))</f>
        <v>81430000</v>
      </c>
      <c r="AM23" s="78">
        <f>INDEX('Population Data by Age'!$B$7:$H$10366,MATCH(CONCATENATE('Tabular Pop Data by Age'!$C23,'Tabular Pop Data by Age'!AM$7),'Population Data by Age'!$B$7:$B$10366,0),MATCH('Tabular Pop Data by Age'!$C$6,'Population Data by Age'!$B$6:$H$6,0))</f>
        <v>83259000</v>
      </c>
      <c r="AN23" s="78">
        <f>INDEX('Population Data by Age'!$B$7:$H$10366,MATCH(CONCATENATE('Tabular Pop Data by Age'!$C23,'Tabular Pop Data by Age'!AN$7),'Population Data by Age'!$B$7:$B$10366,0),MATCH('Tabular Pop Data by Age'!$C$6,'Population Data by Age'!$B$6:$H$6,0))</f>
        <v>164689000</v>
      </c>
      <c r="AO23" s="78">
        <f>INDEX('Population Data by Age'!$B$7:$H$10366,MATCH(CONCATENATE('Tabular Pop Data by Age'!$C23,'Tabular Pop Data by Age'!AO$7),'Population Data by Age'!$B$7:$B$10366,0),MATCH('Tabular Pop Data by Age'!$C$6,'Population Data by Age'!$B$6:$H$6,0))</f>
        <v>0</v>
      </c>
      <c r="AP23" s="79">
        <f t="shared" si="0"/>
        <v>14328000</v>
      </c>
      <c r="AQ23" s="79">
        <f t="shared" si="1"/>
        <v>14644000</v>
      </c>
      <c r="AR23" s="79">
        <f t="shared" si="2"/>
        <v>15089000</v>
      </c>
      <c r="AS23" s="79">
        <f t="shared" si="3"/>
        <v>15585000</v>
      </c>
      <c r="AT23" s="79">
        <f t="shared" si="4"/>
        <v>15239000</v>
      </c>
      <c r="AU23" s="79">
        <f t="shared" si="5"/>
        <v>14526000</v>
      </c>
      <c r="AV23" s="79">
        <f t="shared" si="6"/>
        <v>13763000</v>
      </c>
      <c r="AW23" s="79">
        <f t="shared" si="7"/>
        <v>12748000</v>
      </c>
      <c r="AX23" s="79">
        <f t="shared" si="8"/>
        <v>11226000</v>
      </c>
      <c r="AY23" s="79">
        <f t="shared" si="9"/>
        <v>9426000</v>
      </c>
      <c r="AZ23" s="79">
        <f t="shared" si="10"/>
        <v>8305000</v>
      </c>
      <c r="BA23" s="79">
        <f t="shared" si="11"/>
        <v>6700000</v>
      </c>
      <c r="BB23" s="79">
        <f t="shared" si="12"/>
        <v>4501000</v>
      </c>
      <c r="BC23" s="79">
        <f t="shared" si="13"/>
        <v>2797000</v>
      </c>
      <c r="BD23" s="79">
        <f t="shared" si="14"/>
        <v>2357000</v>
      </c>
      <c r="BE23" s="79">
        <f t="shared" si="15"/>
        <v>1739000</v>
      </c>
      <c r="BF23" s="79">
        <f t="shared" si="16"/>
        <v>1716000</v>
      </c>
    </row>
    <row r="24" spans="1:58" x14ac:dyDescent="0.25">
      <c r="A24" s="138" t="s">
        <v>1195</v>
      </c>
      <c r="B24" t="s">
        <v>435</v>
      </c>
      <c r="C24" t="s">
        <v>436</v>
      </c>
      <c r="D24" s="78">
        <f>INDEX('Population Data by Age'!$B$7:$H$10366,MATCH(CONCATENATE('Tabular Pop Data by Age'!$C24,'Tabular Pop Data by Age'!D$7),'Population Data by Age'!$B$7:$B$10366,0),MATCH('Tabular Pop Data by Age'!$C$6,'Population Data by Age'!$B$6:$H$6,0))</f>
        <v>7400</v>
      </c>
      <c r="E24" s="78">
        <f>INDEX('Population Data by Age'!$B$7:$H$10366,MATCH(CONCATENATE('Tabular Pop Data by Age'!$C24,'Tabular Pop Data by Age'!E$7),'Population Data by Age'!$B$7:$B$10366,0),MATCH('Tabular Pop Data by Age'!$C$6,'Population Data by Age'!$B$6:$H$6,0))</f>
        <v>7700</v>
      </c>
      <c r="F24" s="78">
        <f>INDEX('Population Data by Age'!$B$7:$H$10366,MATCH(CONCATENATE('Tabular Pop Data by Age'!$C24,'Tabular Pop Data by Age'!F$7),'Population Data by Age'!$B$7:$B$10366,0),MATCH('Tabular Pop Data by Age'!$C$6,'Population Data by Age'!$B$6:$H$6,0))</f>
        <v>7600</v>
      </c>
      <c r="G24" s="78">
        <f>INDEX('Population Data by Age'!$B$7:$H$10366,MATCH(CONCATENATE('Tabular Pop Data by Age'!$C24,'Tabular Pop Data by Age'!G$7),'Population Data by Age'!$B$7:$B$10366,0),MATCH('Tabular Pop Data by Age'!$C$6,'Population Data by Age'!$B$6:$H$6,0))</f>
        <v>7900</v>
      </c>
      <c r="H24" s="78">
        <f>INDEX('Population Data by Age'!$B$7:$H$10366,MATCH(CONCATENATE('Tabular Pop Data by Age'!$C24,'Tabular Pop Data by Age'!H$7),'Population Data by Age'!$B$7:$B$10366,0),MATCH('Tabular Pop Data by Age'!$C$6,'Population Data by Age'!$B$6:$H$6,0))</f>
        <v>8600</v>
      </c>
      <c r="I24" s="78">
        <f>INDEX('Population Data by Age'!$B$7:$H$10366,MATCH(CONCATENATE('Tabular Pop Data by Age'!$C24,'Tabular Pop Data by Age'!I$7),'Population Data by Age'!$B$7:$B$10366,0),MATCH('Tabular Pop Data by Age'!$C$6,'Population Data by Age'!$B$6:$H$6,0))</f>
        <v>8900</v>
      </c>
      <c r="J24" s="78">
        <f>INDEX('Population Data by Age'!$B$7:$H$10366,MATCH(CONCATENATE('Tabular Pop Data by Age'!$C24,'Tabular Pop Data by Age'!J$7),'Population Data by Age'!$B$7:$B$10366,0),MATCH('Tabular Pop Data by Age'!$C$6,'Population Data by Age'!$B$6:$H$6,0))</f>
        <v>9200</v>
      </c>
      <c r="K24" s="78">
        <f>INDEX('Population Data by Age'!$B$7:$H$10366,MATCH(CONCATENATE('Tabular Pop Data by Age'!$C24,'Tabular Pop Data by Age'!K$7),'Population Data by Age'!$B$7:$B$10366,0),MATCH('Tabular Pop Data by Age'!$C$6,'Population Data by Age'!$B$6:$H$6,0))</f>
        <v>9700</v>
      </c>
      <c r="L24" s="78">
        <f>INDEX('Population Data by Age'!$B$7:$H$10366,MATCH(CONCATENATE('Tabular Pop Data by Age'!$C24,'Tabular Pop Data by Age'!L$7),'Population Data by Age'!$B$7:$B$10366,0),MATCH('Tabular Pop Data by Age'!$C$6,'Population Data by Age'!$B$6:$H$6,0))</f>
        <v>9200</v>
      </c>
      <c r="M24" s="78">
        <f>INDEX('Population Data by Age'!$B$7:$H$10366,MATCH(CONCATENATE('Tabular Pop Data by Age'!$C24,'Tabular Pop Data by Age'!M$7),'Population Data by Age'!$B$7:$B$10366,0),MATCH('Tabular Pop Data by Age'!$C$6,'Population Data by Age'!$B$6:$H$6,0))</f>
        <v>9500</v>
      </c>
      <c r="N24" s="78">
        <f>INDEX('Population Data by Age'!$B$7:$H$10366,MATCH(CONCATENATE('Tabular Pop Data by Age'!$C24,'Tabular Pop Data by Age'!N$7),'Population Data by Age'!$B$7:$B$10366,0),MATCH('Tabular Pop Data by Age'!$C$6,'Population Data by Age'!$B$6:$H$6,0))</f>
        <v>9400</v>
      </c>
      <c r="O24" s="78">
        <f>INDEX('Population Data by Age'!$B$7:$H$10366,MATCH(CONCATENATE('Tabular Pop Data by Age'!$C24,'Tabular Pop Data by Age'!O$7),'Population Data by Age'!$B$7:$B$10366,0),MATCH('Tabular Pop Data by Age'!$C$6,'Population Data by Age'!$B$6:$H$6,0))</f>
        <v>9400</v>
      </c>
      <c r="P24" s="78">
        <f>INDEX('Population Data by Age'!$B$7:$H$10366,MATCH(CONCATENATE('Tabular Pop Data by Age'!$C24,'Tabular Pop Data by Age'!P$7),'Population Data by Age'!$B$7:$B$10366,0),MATCH('Tabular Pop Data by Age'!$C$6,'Population Data by Age'!$B$6:$H$6,0))</f>
        <v>9100</v>
      </c>
      <c r="Q24" s="78">
        <f>INDEX('Population Data by Age'!$B$7:$H$10366,MATCH(CONCATENATE('Tabular Pop Data by Age'!$C24,'Tabular Pop Data by Age'!Q$7),'Population Data by Age'!$B$7:$B$10366,0),MATCH('Tabular Pop Data by Age'!$C$6,'Population Data by Age'!$B$6:$H$6,0))</f>
        <v>9000</v>
      </c>
      <c r="R24" s="78">
        <f>INDEX('Population Data by Age'!$B$7:$H$10366,MATCH(CONCATENATE('Tabular Pop Data by Age'!$C24,'Tabular Pop Data by Age'!R$7),'Population Data by Age'!$B$7:$B$10366,0),MATCH('Tabular Pop Data by Age'!$C$6,'Population Data by Age'!$B$6:$H$6,0))</f>
        <v>9700</v>
      </c>
      <c r="S24" s="78">
        <f>INDEX('Population Data by Age'!$B$7:$H$10366,MATCH(CONCATENATE('Tabular Pop Data by Age'!$C24,'Tabular Pop Data by Age'!S$7),'Population Data by Age'!$B$7:$B$10366,0),MATCH('Tabular Pop Data by Age'!$C$6,'Population Data by Age'!$B$6:$H$6,0))</f>
        <v>9300</v>
      </c>
      <c r="T24" s="78">
        <f>INDEX('Population Data by Age'!$B$7:$H$10366,MATCH(CONCATENATE('Tabular Pop Data by Age'!$C24,'Tabular Pop Data by Age'!T$7),'Population Data by Age'!$B$7:$B$10366,0),MATCH('Tabular Pop Data by Age'!$C$6,'Population Data by Age'!$B$6:$H$6,0))</f>
        <v>9600</v>
      </c>
      <c r="U24" s="78">
        <f>INDEX('Population Data by Age'!$B$7:$H$10366,MATCH(CONCATENATE('Tabular Pop Data by Age'!$C24,'Tabular Pop Data by Age'!U$7),'Population Data by Age'!$B$7:$B$10366,0),MATCH('Tabular Pop Data by Age'!$C$6,'Population Data by Age'!$B$6:$H$6,0))</f>
        <v>9200</v>
      </c>
      <c r="V24" s="78">
        <f>INDEX('Population Data by Age'!$B$7:$H$10366,MATCH(CONCATENATE('Tabular Pop Data by Age'!$C24,'Tabular Pop Data by Age'!V$7),'Population Data by Age'!$B$7:$B$10366,0),MATCH('Tabular Pop Data by Age'!$C$6,'Population Data by Age'!$B$6:$H$6,0))</f>
        <v>11000</v>
      </c>
      <c r="W24" s="78">
        <f>INDEX('Population Data by Age'!$B$7:$H$10366,MATCH(CONCATENATE('Tabular Pop Data by Age'!$C24,'Tabular Pop Data by Age'!W$7),'Population Data by Age'!$B$7:$B$10366,0),MATCH('Tabular Pop Data by Age'!$C$6,'Population Data by Age'!$B$6:$H$6,0))</f>
        <v>9700</v>
      </c>
      <c r="X24" s="78">
        <f>INDEX('Population Data by Age'!$B$7:$H$10366,MATCH(CONCATENATE('Tabular Pop Data by Age'!$C24,'Tabular Pop Data by Age'!X$7),'Population Data by Age'!$B$7:$B$10366,0),MATCH('Tabular Pop Data by Age'!$C$6,'Population Data by Age'!$B$6:$H$6,0))</f>
        <v>10000</v>
      </c>
      <c r="Y24" s="78">
        <f>INDEX('Population Data by Age'!$B$7:$H$10366,MATCH(CONCATENATE('Tabular Pop Data by Age'!$C24,'Tabular Pop Data by Age'!Y$7),'Population Data by Age'!$B$7:$B$10366,0),MATCH('Tabular Pop Data by Age'!$C$6,'Population Data by Age'!$B$6:$H$6,0))</f>
        <v>9400</v>
      </c>
      <c r="Z24" s="78">
        <f>INDEX('Population Data by Age'!$B$7:$H$10366,MATCH(CONCATENATE('Tabular Pop Data by Age'!$C24,'Tabular Pop Data by Age'!Z$7),'Population Data by Age'!$B$7:$B$10366,0),MATCH('Tabular Pop Data by Age'!$C$6,'Population Data by Age'!$B$6:$H$6,0))</f>
        <v>11000</v>
      </c>
      <c r="AA24" s="78">
        <f>INDEX('Population Data by Age'!$B$7:$H$10366,MATCH(CONCATENATE('Tabular Pop Data by Age'!$C24,'Tabular Pop Data by Age'!AA$7),'Population Data by Age'!$B$7:$B$10366,0),MATCH('Tabular Pop Data by Age'!$C$6,'Population Data by Age'!$B$6:$H$6,0))</f>
        <v>9500</v>
      </c>
      <c r="AB24" s="78">
        <f>INDEX('Population Data by Age'!$B$7:$H$10366,MATCH(CONCATENATE('Tabular Pop Data by Age'!$C24,'Tabular Pop Data by Age'!AB$7),'Population Data by Age'!$B$7:$B$10366,0),MATCH('Tabular Pop Data by Age'!$C$6,'Population Data by Age'!$B$6:$H$6,0))</f>
        <v>10000</v>
      </c>
      <c r="AC24" s="78">
        <f>INDEX('Population Data by Age'!$B$7:$H$10366,MATCH(CONCATENATE('Tabular Pop Data by Age'!$C24,'Tabular Pop Data by Age'!AC$7),'Population Data by Age'!$B$7:$B$10366,0),MATCH('Tabular Pop Data by Age'!$C$6,'Population Data by Age'!$B$6:$H$6,0))</f>
        <v>8500</v>
      </c>
      <c r="AD24" s="78">
        <f>INDEX('Population Data by Age'!$B$7:$H$10366,MATCH(CONCATENATE('Tabular Pop Data by Age'!$C24,'Tabular Pop Data by Age'!AD$7),'Population Data by Age'!$B$7:$B$10366,0),MATCH('Tabular Pop Data by Age'!$C$6,'Population Data by Age'!$B$6:$H$6,0))</f>
        <v>8100</v>
      </c>
      <c r="AE24" s="78">
        <f>INDEX('Population Data by Age'!$B$7:$H$10366,MATCH(CONCATENATE('Tabular Pop Data by Age'!$C24,'Tabular Pop Data by Age'!AE$7),'Population Data by Age'!$B$7:$B$10366,0),MATCH('Tabular Pop Data by Age'!$C$6,'Population Data by Age'!$B$6:$H$6,0))</f>
        <v>6900</v>
      </c>
      <c r="AF24" s="78">
        <f>INDEX('Population Data by Age'!$B$7:$H$10366,MATCH(CONCATENATE('Tabular Pop Data by Age'!$C24,'Tabular Pop Data by Age'!AF$7),'Population Data by Age'!$B$7:$B$10366,0),MATCH('Tabular Pop Data by Age'!$C$6,'Population Data by Age'!$B$6:$H$6,0))</f>
        <v>6400</v>
      </c>
      <c r="AG24" s="78">
        <f>INDEX('Population Data by Age'!$B$7:$H$10366,MATCH(CONCATENATE('Tabular Pop Data by Age'!$C24,'Tabular Pop Data by Age'!AG$7),'Population Data by Age'!$B$7:$B$10366,0),MATCH('Tabular Pop Data by Age'!$C$6,'Population Data by Age'!$B$6:$H$6,0))</f>
        <v>5500</v>
      </c>
      <c r="AH24" s="78">
        <f>INDEX('Population Data by Age'!$B$7:$H$10366,MATCH(CONCATENATE('Tabular Pop Data by Age'!$C24,'Tabular Pop Data by Age'!AH$7),'Population Data by Age'!$B$7:$B$10366,0),MATCH('Tabular Pop Data by Age'!$C$6,'Population Data by Age'!$B$6:$H$6,0))</f>
        <v>4700</v>
      </c>
      <c r="AI24" s="78">
        <f>INDEX('Population Data by Age'!$B$7:$H$10366,MATCH(CONCATENATE('Tabular Pop Data by Age'!$C24,'Tabular Pop Data by Age'!AI$7),'Population Data by Age'!$B$7:$B$10366,0),MATCH('Tabular Pop Data by Age'!$C$6,'Population Data by Age'!$B$6:$H$6,0))</f>
        <v>3600</v>
      </c>
      <c r="AJ24" s="78">
        <f>INDEX('Population Data by Age'!$B$7:$H$10366,MATCH(CONCATENATE('Tabular Pop Data by Age'!$C24,'Tabular Pop Data by Age'!AJ$7),'Population Data by Age'!$B$7:$B$10366,0),MATCH('Tabular Pop Data by Age'!$C$6,'Population Data by Age'!$B$6:$H$6,0))</f>
        <v>7500</v>
      </c>
      <c r="AK24" s="78">
        <f>INDEX('Population Data by Age'!$B$7:$H$10366,MATCH(CONCATENATE('Tabular Pop Data by Age'!$C24,'Tabular Pop Data by Age'!AK$7),'Population Data by Age'!$B$7:$B$10366,0),MATCH('Tabular Pop Data by Age'!$C$6,'Population Data by Age'!$B$6:$H$6,0))</f>
        <v>5300</v>
      </c>
      <c r="AL24" s="78">
        <f>INDEX('Population Data by Age'!$B$7:$H$10366,MATCH(CONCATENATE('Tabular Pop Data by Age'!$C24,'Tabular Pop Data by Age'!AL$7),'Population Data by Age'!$B$7:$B$10366,0),MATCH('Tabular Pop Data by Age'!$C$6,'Population Data by Age'!$B$6:$H$6,0))</f>
        <v>148000</v>
      </c>
      <c r="AM24" s="78">
        <f>INDEX('Population Data by Age'!$B$7:$H$10366,MATCH(CONCATENATE('Tabular Pop Data by Age'!$C24,'Tabular Pop Data by Age'!AM$7),'Population Data by Age'!$B$7:$B$10366,0),MATCH('Tabular Pop Data by Age'!$C$6,'Population Data by Age'!$B$6:$H$6,0))</f>
        <v>139000</v>
      </c>
      <c r="AN24" s="78">
        <f>INDEX('Population Data by Age'!$B$7:$H$10366,MATCH(CONCATENATE('Tabular Pop Data by Age'!$C24,'Tabular Pop Data by Age'!AN$7),'Population Data by Age'!$B$7:$B$10366,0),MATCH('Tabular Pop Data by Age'!$C$6,'Population Data by Age'!$B$6:$H$6,0))</f>
        <v>287000</v>
      </c>
      <c r="AO24" s="78">
        <f>INDEX('Population Data by Age'!$B$7:$H$10366,MATCH(CONCATENATE('Tabular Pop Data by Age'!$C24,'Tabular Pop Data by Age'!AO$7),'Population Data by Age'!$B$7:$B$10366,0),MATCH('Tabular Pop Data by Age'!$C$6,'Population Data by Age'!$B$6:$H$6,0))</f>
        <v>0</v>
      </c>
      <c r="AP24" s="79">
        <f t="shared" si="0"/>
        <v>15100</v>
      </c>
      <c r="AQ24" s="79">
        <f t="shared" si="1"/>
        <v>15500</v>
      </c>
      <c r="AR24" s="79">
        <f t="shared" si="2"/>
        <v>17500</v>
      </c>
      <c r="AS24" s="79">
        <f t="shared" si="3"/>
        <v>18900</v>
      </c>
      <c r="AT24" s="79">
        <f t="shared" si="4"/>
        <v>18700</v>
      </c>
      <c r="AU24" s="79">
        <f t="shared" si="5"/>
        <v>18800</v>
      </c>
      <c r="AV24" s="79">
        <f t="shared" si="6"/>
        <v>18100</v>
      </c>
      <c r="AW24" s="79">
        <f t="shared" si="7"/>
        <v>19000</v>
      </c>
      <c r="AX24" s="79">
        <f t="shared" si="8"/>
        <v>18800</v>
      </c>
      <c r="AY24" s="79">
        <f t="shared" si="9"/>
        <v>20700</v>
      </c>
      <c r="AZ24" s="79">
        <f t="shared" si="10"/>
        <v>19400</v>
      </c>
      <c r="BA24" s="79">
        <f t="shared" si="11"/>
        <v>20500</v>
      </c>
      <c r="BB24" s="79">
        <f t="shared" si="12"/>
        <v>18500</v>
      </c>
      <c r="BC24" s="79">
        <f t="shared" si="13"/>
        <v>15000</v>
      </c>
      <c r="BD24" s="79">
        <f t="shared" si="14"/>
        <v>11900</v>
      </c>
      <c r="BE24" s="79">
        <f t="shared" si="15"/>
        <v>8300</v>
      </c>
      <c r="BF24" s="79">
        <f t="shared" si="16"/>
        <v>12800</v>
      </c>
    </row>
    <row r="25" spans="1:58" x14ac:dyDescent="0.25">
      <c r="A25" s="138" t="s">
        <v>1195</v>
      </c>
      <c r="B25" t="s">
        <v>437</v>
      </c>
      <c r="C25" t="s">
        <v>16</v>
      </c>
      <c r="D25" s="78">
        <f>INDEX('Population Data by Age'!$B$7:$H$10366,MATCH(CONCATENATE('Tabular Pop Data by Age'!$C25,'Tabular Pop Data by Age'!D$7),'Population Data by Age'!$B$7:$B$10366,0),MATCH('Tabular Pop Data by Age'!$C$6,'Population Data by Age'!$B$6:$H$6,0))</f>
        <v>271000</v>
      </c>
      <c r="E25" s="78">
        <f>INDEX('Population Data by Age'!$B$7:$H$10366,MATCH(CONCATENATE('Tabular Pop Data by Age'!$C25,'Tabular Pop Data by Age'!E$7),'Population Data by Age'!$B$7:$B$10366,0),MATCH('Tabular Pop Data by Age'!$C$6,'Population Data by Age'!$B$6:$H$6,0))</f>
        <v>277000</v>
      </c>
      <c r="F25" s="78">
        <f>INDEX('Population Data by Age'!$B$7:$H$10366,MATCH(CONCATENATE('Tabular Pop Data by Age'!$C25,'Tabular Pop Data by Age'!F$7),'Population Data by Age'!$B$7:$B$10366,0),MATCH('Tabular Pop Data by Age'!$C$6,'Population Data by Age'!$B$6:$H$6,0))</f>
        <v>289000</v>
      </c>
      <c r="G25" s="78">
        <f>INDEX('Population Data by Age'!$B$7:$H$10366,MATCH(CONCATENATE('Tabular Pop Data by Age'!$C25,'Tabular Pop Data by Age'!G$7),'Population Data by Age'!$B$7:$B$10366,0),MATCH('Tabular Pop Data by Age'!$C$6,'Population Data by Age'!$B$6:$H$6,0))</f>
        <v>307000</v>
      </c>
      <c r="H25" s="78">
        <f>INDEX('Population Data by Age'!$B$7:$H$10366,MATCH(CONCATENATE('Tabular Pop Data by Age'!$C25,'Tabular Pop Data by Age'!H$7),'Population Data by Age'!$B$7:$B$10366,0),MATCH('Tabular Pop Data by Age'!$C$6,'Population Data by Age'!$B$6:$H$6,0))</f>
        <v>236000</v>
      </c>
      <c r="I25" s="78">
        <f>INDEX('Population Data by Age'!$B$7:$H$10366,MATCH(CONCATENATE('Tabular Pop Data by Age'!$C25,'Tabular Pop Data by Age'!I$7),'Population Data by Age'!$B$7:$B$10366,0),MATCH('Tabular Pop Data by Age'!$C$6,'Population Data by Age'!$B$6:$H$6,0))</f>
        <v>249000</v>
      </c>
      <c r="J25" s="78">
        <f>INDEX('Population Data by Age'!$B$7:$H$10366,MATCH(CONCATENATE('Tabular Pop Data by Age'!$C25,'Tabular Pop Data by Age'!J$7),'Population Data by Age'!$B$7:$B$10366,0),MATCH('Tabular Pop Data by Age'!$C$6,'Population Data by Age'!$B$6:$H$6,0))</f>
        <v>216000</v>
      </c>
      <c r="K25" s="78">
        <f>INDEX('Population Data by Age'!$B$7:$H$10366,MATCH(CONCATENATE('Tabular Pop Data by Age'!$C25,'Tabular Pop Data by Age'!K$7),'Population Data by Age'!$B$7:$B$10366,0),MATCH('Tabular Pop Data by Age'!$C$6,'Population Data by Age'!$B$6:$H$6,0))</f>
        <v>228000</v>
      </c>
      <c r="L25" s="78">
        <f>INDEX('Population Data by Age'!$B$7:$H$10366,MATCH(CONCATENATE('Tabular Pop Data by Age'!$C25,'Tabular Pop Data by Age'!L$7),'Population Data by Age'!$B$7:$B$10366,0),MATCH('Tabular Pop Data by Age'!$C$6,'Population Data by Age'!$B$6:$H$6,0))</f>
        <v>207000</v>
      </c>
      <c r="M25" s="78">
        <f>INDEX('Population Data by Age'!$B$7:$H$10366,MATCH(CONCATENATE('Tabular Pop Data by Age'!$C25,'Tabular Pop Data by Age'!M$7),'Population Data by Age'!$B$7:$B$10366,0),MATCH('Tabular Pop Data by Age'!$C$6,'Population Data by Age'!$B$6:$H$6,0))</f>
        <v>219000</v>
      </c>
      <c r="N25" s="78">
        <f>INDEX('Population Data by Age'!$B$7:$H$10366,MATCH(CONCATENATE('Tabular Pop Data by Age'!$C25,'Tabular Pop Data by Age'!N$7),'Population Data by Age'!$B$7:$B$10366,0),MATCH('Tabular Pop Data by Age'!$C$6,'Population Data by Age'!$B$6:$H$6,0))</f>
        <v>319000</v>
      </c>
      <c r="O25" s="78">
        <f>INDEX('Population Data by Age'!$B$7:$H$10366,MATCH(CONCATENATE('Tabular Pop Data by Age'!$C25,'Tabular Pop Data by Age'!O$7),'Population Data by Age'!$B$7:$B$10366,0),MATCH('Tabular Pop Data by Age'!$C$6,'Population Data by Age'!$B$6:$H$6,0))</f>
        <v>334000</v>
      </c>
      <c r="P25" s="78">
        <f>INDEX('Population Data by Age'!$B$7:$H$10366,MATCH(CONCATENATE('Tabular Pop Data by Age'!$C25,'Tabular Pop Data by Age'!P$7),'Population Data by Age'!$B$7:$B$10366,0),MATCH('Tabular Pop Data by Age'!$C$6,'Population Data by Age'!$B$6:$H$6,0))</f>
        <v>397000</v>
      </c>
      <c r="Q25" s="78">
        <f>INDEX('Population Data by Age'!$B$7:$H$10366,MATCH(CONCATENATE('Tabular Pop Data by Age'!$C25,'Tabular Pop Data by Age'!Q$7),'Population Data by Age'!$B$7:$B$10366,0),MATCH('Tabular Pop Data by Age'!$C$6,'Population Data by Age'!$B$6:$H$6,0))</f>
        <v>417000</v>
      </c>
      <c r="R25" s="78">
        <f>INDEX('Population Data by Age'!$B$7:$H$10366,MATCH(CONCATENATE('Tabular Pop Data by Age'!$C25,'Tabular Pop Data by Age'!R$7),'Population Data by Age'!$B$7:$B$10366,0),MATCH('Tabular Pop Data by Age'!$C$6,'Population Data by Age'!$B$6:$H$6,0))</f>
        <v>356000</v>
      </c>
      <c r="S25" s="78">
        <f>INDEX('Population Data by Age'!$B$7:$H$10366,MATCH(CONCATENATE('Tabular Pop Data by Age'!$C25,'Tabular Pop Data by Age'!S$7),'Population Data by Age'!$B$7:$B$10366,0),MATCH('Tabular Pop Data by Age'!$C$6,'Population Data by Age'!$B$6:$H$6,0))</f>
        <v>361000</v>
      </c>
      <c r="T25" s="78">
        <f>INDEX('Population Data by Age'!$B$7:$H$10366,MATCH(CONCATENATE('Tabular Pop Data by Age'!$C25,'Tabular Pop Data by Age'!T$7),'Population Data by Age'!$B$7:$B$10366,0),MATCH('Tabular Pop Data by Age'!$C$6,'Population Data by Age'!$B$6:$H$6,0))</f>
        <v>332000</v>
      </c>
      <c r="U25" s="78">
        <f>INDEX('Population Data by Age'!$B$7:$H$10366,MATCH(CONCATENATE('Tabular Pop Data by Age'!$C25,'Tabular Pop Data by Age'!U$7),'Population Data by Age'!$B$7:$B$10366,0),MATCH('Tabular Pop Data by Age'!$C$6,'Population Data by Age'!$B$6:$H$6,0))</f>
        <v>321000</v>
      </c>
      <c r="V25" s="78">
        <f>INDEX('Population Data by Age'!$B$7:$H$10366,MATCH(CONCATENATE('Tabular Pop Data by Age'!$C25,'Tabular Pop Data by Age'!V$7),'Population Data by Age'!$B$7:$B$10366,0),MATCH('Tabular Pop Data by Age'!$C$6,'Population Data by Age'!$B$6:$H$6,0))</f>
        <v>331000</v>
      </c>
      <c r="W25" s="78">
        <f>INDEX('Population Data by Age'!$B$7:$H$10366,MATCH(CONCATENATE('Tabular Pop Data by Age'!$C25,'Tabular Pop Data by Age'!W$7),'Population Data by Age'!$B$7:$B$10366,0),MATCH('Tabular Pop Data by Age'!$C$6,'Population Data by Age'!$B$6:$H$6,0))</f>
        <v>302000</v>
      </c>
      <c r="X25" s="78">
        <f>INDEX('Population Data by Age'!$B$7:$H$10366,MATCH(CONCATENATE('Tabular Pop Data by Age'!$C25,'Tabular Pop Data by Age'!X$7),'Population Data by Age'!$B$7:$B$10366,0),MATCH('Tabular Pop Data by Age'!$C$6,'Population Data by Age'!$B$6:$H$6,0))</f>
        <v>317000</v>
      </c>
      <c r="Y25" s="78">
        <f>INDEX('Population Data by Age'!$B$7:$H$10366,MATCH(CONCATENATE('Tabular Pop Data by Age'!$C25,'Tabular Pop Data by Age'!Y$7),'Population Data by Age'!$B$7:$B$10366,0),MATCH('Tabular Pop Data by Age'!$C$6,'Population Data by Age'!$B$6:$H$6,0))</f>
        <v>275000</v>
      </c>
      <c r="Z25" s="78">
        <f>INDEX('Population Data by Age'!$B$7:$H$10366,MATCH(CONCATENATE('Tabular Pop Data by Age'!$C25,'Tabular Pop Data by Age'!Z$7),'Population Data by Age'!$B$7:$B$10366,0),MATCH('Tabular Pop Data by Age'!$C$6,'Population Data by Age'!$B$6:$H$6,0))</f>
        <v>410000</v>
      </c>
      <c r="AA25" s="78">
        <f>INDEX('Population Data by Age'!$B$7:$H$10366,MATCH(CONCATENATE('Tabular Pop Data by Age'!$C25,'Tabular Pop Data by Age'!AA$7),'Population Data by Age'!$B$7:$B$10366,0),MATCH('Tabular Pop Data by Age'!$C$6,'Population Data by Age'!$B$6:$H$6,0))</f>
        <v>343000</v>
      </c>
      <c r="AB25" s="78">
        <f>INDEX('Population Data by Age'!$B$7:$H$10366,MATCH(CONCATENATE('Tabular Pop Data by Age'!$C25,'Tabular Pop Data by Age'!AB$7),'Population Data by Age'!$B$7:$B$10366,0),MATCH('Tabular Pop Data by Age'!$C$6,'Population Data by Age'!$B$6:$H$6,0))</f>
        <v>380000</v>
      </c>
      <c r="AC25" s="78">
        <f>INDEX('Population Data by Age'!$B$7:$H$10366,MATCH(CONCATENATE('Tabular Pop Data by Age'!$C25,'Tabular Pop Data by Age'!AC$7),'Population Data by Age'!$B$7:$B$10366,0),MATCH('Tabular Pop Data by Age'!$C$6,'Population Data by Age'!$B$6:$H$6,0))</f>
        <v>285000</v>
      </c>
      <c r="AD25" s="78">
        <f>INDEX('Population Data by Age'!$B$7:$H$10366,MATCH(CONCATENATE('Tabular Pop Data by Age'!$C25,'Tabular Pop Data by Age'!AD$7),'Population Data by Age'!$B$7:$B$10366,0),MATCH('Tabular Pop Data by Age'!$C$6,'Population Data by Age'!$B$6:$H$6,0))</f>
        <v>353000</v>
      </c>
      <c r="AE25" s="78">
        <f>INDEX('Population Data by Age'!$B$7:$H$10366,MATCH(CONCATENATE('Tabular Pop Data by Age'!$C25,'Tabular Pop Data by Age'!AE$7),'Population Data by Age'!$B$7:$B$10366,0),MATCH('Tabular Pop Data by Age'!$C$6,'Population Data by Age'!$B$6:$H$6,0))</f>
        <v>226000</v>
      </c>
      <c r="AF25" s="78">
        <f>INDEX('Population Data by Age'!$B$7:$H$10366,MATCH(CONCATENATE('Tabular Pop Data by Age'!$C25,'Tabular Pop Data by Age'!AF$7),'Population Data by Age'!$B$7:$B$10366,0),MATCH('Tabular Pop Data by Age'!$C$6,'Population Data by Age'!$B$6:$H$6,0))</f>
        <v>170000</v>
      </c>
      <c r="AG25" s="78">
        <f>INDEX('Population Data by Age'!$B$7:$H$10366,MATCH(CONCATENATE('Tabular Pop Data by Age'!$C25,'Tabular Pop Data by Age'!AG$7),'Population Data by Age'!$B$7:$B$10366,0),MATCH('Tabular Pop Data by Age'!$C$6,'Population Data by Age'!$B$6:$H$6,0))</f>
        <v>99000</v>
      </c>
      <c r="AH25" s="78">
        <f>INDEX('Population Data by Age'!$B$7:$H$10366,MATCH(CONCATENATE('Tabular Pop Data by Age'!$C25,'Tabular Pop Data by Age'!AH$7),'Population Data by Age'!$B$7:$B$10366,0),MATCH('Tabular Pop Data by Age'!$C$6,'Population Data by Age'!$B$6:$H$6,0))</f>
        <v>181000</v>
      </c>
      <c r="AI25" s="78">
        <f>INDEX('Population Data by Age'!$B$7:$H$10366,MATCH(CONCATENATE('Tabular Pop Data by Age'!$C25,'Tabular Pop Data by Age'!AI$7),'Population Data by Age'!$B$7:$B$10366,0),MATCH('Tabular Pop Data by Age'!$C$6,'Population Data by Age'!$B$6:$H$6,0))</f>
        <v>75000</v>
      </c>
      <c r="AJ25" s="78">
        <f>INDEX('Population Data by Age'!$B$7:$H$10366,MATCH(CONCATENATE('Tabular Pop Data by Age'!$C25,'Tabular Pop Data by Age'!AJ$7),'Population Data by Age'!$B$7:$B$10366,0),MATCH('Tabular Pop Data by Age'!$C$6,'Population Data by Age'!$B$6:$H$6,0))</f>
        <v>286000</v>
      </c>
      <c r="AK25" s="78">
        <f>INDEX('Population Data by Age'!$B$7:$H$10366,MATCH(CONCATENATE('Tabular Pop Data by Age'!$C25,'Tabular Pop Data by Age'!AK$7),'Population Data by Age'!$B$7:$B$10366,0),MATCH('Tabular Pop Data by Age'!$C$6,'Population Data by Age'!$B$6:$H$6,0))</f>
        <v>82000</v>
      </c>
      <c r="AL25" s="78">
        <f>INDEX('Population Data by Age'!$B$7:$H$10366,MATCH(CONCATENATE('Tabular Pop Data by Age'!$C25,'Tabular Pop Data by Age'!AL$7),'Population Data by Age'!$B$7:$B$10366,0),MATCH('Tabular Pop Data by Age'!$C$6,'Population Data by Age'!$B$6:$H$6,0))</f>
        <v>5049000</v>
      </c>
      <c r="AM25" s="78">
        <f>INDEX('Population Data by Age'!$B$7:$H$10366,MATCH(CONCATENATE('Tabular Pop Data by Age'!$C25,'Tabular Pop Data by Age'!AM$7),'Population Data by Age'!$B$7:$B$10366,0),MATCH('Tabular Pop Data by Age'!$C$6,'Population Data by Age'!$B$6:$H$6,0))</f>
        <v>4399000</v>
      </c>
      <c r="AN25" s="78">
        <f>INDEX('Population Data by Age'!$B$7:$H$10366,MATCH(CONCATENATE('Tabular Pop Data by Age'!$C25,'Tabular Pop Data by Age'!AN$7),'Population Data by Age'!$B$7:$B$10366,0),MATCH('Tabular Pop Data by Age'!$C$6,'Population Data by Age'!$B$6:$H$6,0))</f>
        <v>9448000</v>
      </c>
      <c r="AO25" s="78">
        <f>INDEX('Population Data by Age'!$B$7:$H$10366,MATCH(CONCATENATE('Tabular Pop Data by Age'!$C25,'Tabular Pop Data by Age'!AO$7),'Population Data by Age'!$B$7:$B$10366,0),MATCH('Tabular Pop Data by Age'!$C$6,'Population Data by Age'!$B$6:$H$6,0))</f>
        <v>0</v>
      </c>
      <c r="AP25" s="79">
        <f t="shared" si="0"/>
        <v>548000</v>
      </c>
      <c r="AQ25" s="79">
        <f t="shared" si="1"/>
        <v>596000</v>
      </c>
      <c r="AR25" s="79">
        <f t="shared" si="2"/>
        <v>485000</v>
      </c>
      <c r="AS25" s="79">
        <f t="shared" si="3"/>
        <v>444000</v>
      </c>
      <c r="AT25" s="79">
        <f t="shared" si="4"/>
        <v>426000</v>
      </c>
      <c r="AU25" s="79">
        <f t="shared" si="5"/>
        <v>653000</v>
      </c>
      <c r="AV25" s="79">
        <f t="shared" si="6"/>
        <v>814000</v>
      </c>
      <c r="AW25" s="79">
        <f t="shared" si="7"/>
        <v>717000</v>
      </c>
      <c r="AX25" s="79">
        <f t="shared" si="8"/>
        <v>653000</v>
      </c>
      <c r="AY25" s="79">
        <f t="shared" si="9"/>
        <v>633000</v>
      </c>
      <c r="AZ25" s="79">
        <f t="shared" si="10"/>
        <v>592000</v>
      </c>
      <c r="BA25" s="79">
        <f t="shared" si="11"/>
        <v>753000</v>
      </c>
      <c r="BB25" s="79">
        <f t="shared" si="12"/>
        <v>665000</v>
      </c>
      <c r="BC25" s="79">
        <f t="shared" si="13"/>
        <v>579000</v>
      </c>
      <c r="BD25" s="79">
        <f t="shared" si="14"/>
        <v>269000</v>
      </c>
      <c r="BE25" s="79">
        <f t="shared" si="15"/>
        <v>256000</v>
      </c>
      <c r="BF25" s="79">
        <f t="shared" si="16"/>
        <v>368000</v>
      </c>
    </row>
    <row r="26" spans="1:58" x14ac:dyDescent="0.25">
      <c r="A26" s="138" t="s">
        <v>1195</v>
      </c>
      <c r="B26" t="s">
        <v>438</v>
      </c>
      <c r="C26" t="s">
        <v>8</v>
      </c>
      <c r="D26" s="78">
        <f>INDEX('Population Data by Age'!$B$7:$H$10366,MATCH(CONCATENATE('Tabular Pop Data by Age'!$C26,'Tabular Pop Data by Age'!D$7),'Population Data by Age'!$B$7:$B$10366,0),MATCH('Tabular Pop Data by Age'!$C$6,'Population Data by Age'!$B$6:$H$6,0))</f>
        <v>306000</v>
      </c>
      <c r="E26" s="78">
        <f>INDEX('Population Data by Age'!$B$7:$H$10366,MATCH(CONCATENATE('Tabular Pop Data by Age'!$C26,'Tabular Pop Data by Age'!E$7),'Population Data by Age'!$B$7:$B$10366,0),MATCH('Tabular Pop Data by Age'!$C$6,'Population Data by Age'!$B$6:$H$6,0))</f>
        <v>325000</v>
      </c>
      <c r="F26" s="78">
        <f>INDEX('Population Data by Age'!$B$7:$H$10366,MATCH(CONCATENATE('Tabular Pop Data by Age'!$C26,'Tabular Pop Data by Age'!F$7),'Population Data by Age'!$B$7:$B$10366,0),MATCH('Tabular Pop Data by Age'!$C$6,'Population Data by Age'!$B$6:$H$6,0))</f>
        <v>322000</v>
      </c>
      <c r="G26" s="78">
        <f>INDEX('Population Data by Age'!$B$7:$H$10366,MATCH(CONCATENATE('Tabular Pop Data by Age'!$C26,'Tabular Pop Data by Age'!G$7),'Population Data by Age'!$B$7:$B$10366,0),MATCH('Tabular Pop Data by Age'!$C$6,'Population Data by Age'!$B$6:$H$6,0))</f>
        <v>344000</v>
      </c>
      <c r="H26" s="78">
        <f>INDEX('Population Data by Age'!$B$7:$H$10366,MATCH(CONCATENATE('Tabular Pop Data by Age'!$C26,'Tabular Pop Data by Age'!H$7),'Population Data by Age'!$B$7:$B$10366,0),MATCH('Tabular Pop Data by Age'!$C$6,'Population Data by Age'!$B$6:$H$6,0))</f>
        <v>324000</v>
      </c>
      <c r="I26" s="78">
        <f>INDEX('Population Data by Age'!$B$7:$H$10366,MATCH(CONCATENATE('Tabular Pop Data by Age'!$C26,'Tabular Pop Data by Age'!I$7),'Population Data by Age'!$B$7:$B$10366,0),MATCH('Tabular Pop Data by Age'!$C$6,'Population Data by Age'!$B$6:$H$6,0))</f>
        <v>344000</v>
      </c>
      <c r="J26" s="78">
        <f>INDEX('Population Data by Age'!$B$7:$H$10366,MATCH(CONCATENATE('Tabular Pop Data by Age'!$C26,'Tabular Pop Data by Age'!J$7),'Population Data by Age'!$B$7:$B$10366,0),MATCH('Tabular Pop Data by Age'!$C$6,'Population Data by Age'!$B$6:$H$6,0))</f>
        <v>310000</v>
      </c>
      <c r="K26" s="78">
        <f>INDEX('Population Data by Age'!$B$7:$H$10366,MATCH(CONCATENATE('Tabular Pop Data by Age'!$C26,'Tabular Pop Data by Age'!K$7),'Population Data by Age'!$B$7:$B$10366,0),MATCH('Tabular Pop Data by Age'!$C$6,'Population Data by Age'!$B$6:$H$6,0))</f>
        <v>328000</v>
      </c>
      <c r="L26" s="78">
        <f>INDEX('Population Data by Age'!$B$7:$H$10366,MATCH(CONCATENATE('Tabular Pop Data by Age'!$C26,'Tabular Pop Data by Age'!L$7),'Population Data by Age'!$B$7:$B$10366,0),MATCH('Tabular Pop Data by Age'!$C$6,'Population Data by Age'!$B$6:$H$6,0))</f>
        <v>319000</v>
      </c>
      <c r="M26" s="78">
        <f>INDEX('Population Data by Age'!$B$7:$H$10366,MATCH(CONCATENATE('Tabular Pop Data by Age'!$C26,'Tabular Pop Data by Age'!M$7),'Population Data by Age'!$B$7:$B$10366,0),MATCH('Tabular Pop Data by Age'!$C$6,'Population Data by Age'!$B$6:$H$6,0))</f>
        <v>336000</v>
      </c>
      <c r="N26" s="78">
        <f>INDEX('Population Data by Age'!$B$7:$H$10366,MATCH(CONCATENATE('Tabular Pop Data by Age'!$C26,'Tabular Pop Data by Age'!N$7),'Population Data by Age'!$B$7:$B$10366,0),MATCH('Tabular Pop Data by Age'!$C$6,'Population Data by Age'!$B$6:$H$6,0))</f>
        <v>355000</v>
      </c>
      <c r="O26" s="78">
        <f>INDEX('Population Data by Age'!$B$7:$H$10366,MATCH(CONCATENATE('Tabular Pop Data by Age'!$C26,'Tabular Pop Data by Age'!O$7),'Population Data by Age'!$B$7:$B$10366,0),MATCH('Tabular Pop Data by Age'!$C$6,'Population Data by Age'!$B$6:$H$6,0))</f>
        <v>370000</v>
      </c>
      <c r="P26" s="78">
        <f>INDEX('Population Data by Age'!$B$7:$H$10366,MATCH(CONCATENATE('Tabular Pop Data by Age'!$C26,'Tabular Pop Data by Age'!P$7),'Population Data by Age'!$B$7:$B$10366,0),MATCH('Tabular Pop Data by Age'!$C$6,'Population Data by Age'!$B$6:$H$6,0))</f>
        <v>369000</v>
      </c>
      <c r="Q26" s="78">
        <f>INDEX('Population Data by Age'!$B$7:$H$10366,MATCH(CONCATENATE('Tabular Pop Data by Age'!$C26,'Tabular Pop Data by Age'!Q$7),'Population Data by Age'!$B$7:$B$10366,0),MATCH('Tabular Pop Data by Age'!$C$6,'Population Data by Age'!$B$6:$H$6,0))</f>
        <v>374000</v>
      </c>
      <c r="R26" s="78">
        <f>INDEX('Population Data by Age'!$B$7:$H$10366,MATCH(CONCATENATE('Tabular Pop Data by Age'!$C26,'Tabular Pop Data by Age'!R$7),'Population Data by Age'!$B$7:$B$10366,0),MATCH('Tabular Pop Data by Age'!$C$6,'Population Data by Age'!$B$6:$H$6,0))</f>
        <v>377000</v>
      </c>
      <c r="S26" s="78">
        <f>INDEX('Population Data by Age'!$B$7:$H$10366,MATCH(CONCATENATE('Tabular Pop Data by Age'!$C26,'Tabular Pop Data by Age'!S$7),'Population Data by Age'!$B$7:$B$10366,0),MATCH('Tabular Pop Data by Age'!$C$6,'Population Data by Age'!$B$6:$H$6,0))</f>
        <v>377000</v>
      </c>
      <c r="T26" s="78">
        <f>INDEX('Population Data by Age'!$B$7:$H$10366,MATCH(CONCATENATE('Tabular Pop Data by Age'!$C26,'Tabular Pop Data by Age'!T$7),'Population Data by Age'!$B$7:$B$10366,0),MATCH('Tabular Pop Data by Age'!$C$6,'Population Data by Age'!$B$6:$H$6,0))</f>
        <v>368000</v>
      </c>
      <c r="U26" s="78">
        <f>INDEX('Population Data by Age'!$B$7:$H$10366,MATCH(CONCATENATE('Tabular Pop Data by Age'!$C26,'Tabular Pop Data by Age'!U$7),'Population Data by Age'!$B$7:$B$10366,0),MATCH('Tabular Pop Data by Age'!$C$6,'Population Data by Age'!$B$6:$H$6,0))</f>
        <v>380000</v>
      </c>
      <c r="V26" s="78">
        <f>INDEX('Population Data by Age'!$B$7:$H$10366,MATCH(CONCATENATE('Tabular Pop Data by Age'!$C26,'Tabular Pop Data by Age'!V$7),'Population Data by Age'!$B$7:$B$10366,0),MATCH('Tabular Pop Data by Age'!$C$6,'Population Data by Age'!$B$6:$H$6,0))</f>
        <v>373000</v>
      </c>
      <c r="W26" s="78">
        <f>INDEX('Population Data by Age'!$B$7:$H$10366,MATCH(CONCATENATE('Tabular Pop Data by Age'!$C26,'Tabular Pop Data by Age'!W$7),'Population Data by Age'!$B$7:$B$10366,0),MATCH('Tabular Pop Data by Age'!$C$6,'Population Data by Age'!$B$6:$H$6,0))</f>
        <v>391000</v>
      </c>
      <c r="X26" s="78">
        <f>INDEX('Population Data by Age'!$B$7:$H$10366,MATCH(CONCATENATE('Tabular Pop Data by Age'!$C26,'Tabular Pop Data by Age'!X$7),'Population Data by Age'!$B$7:$B$10366,0),MATCH('Tabular Pop Data by Age'!$C$6,'Population Data by Age'!$B$6:$H$6,0))</f>
        <v>389000</v>
      </c>
      <c r="Y26" s="78">
        <f>INDEX('Population Data by Age'!$B$7:$H$10366,MATCH(CONCATENATE('Tabular Pop Data by Age'!$C26,'Tabular Pop Data by Age'!Y$7),'Population Data by Age'!$B$7:$B$10366,0),MATCH('Tabular Pop Data by Age'!$C$6,'Population Data by Age'!$B$6:$H$6,0))</f>
        <v>403000</v>
      </c>
      <c r="Z26" s="78">
        <f>INDEX('Population Data by Age'!$B$7:$H$10366,MATCH(CONCATENATE('Tabular Pop Data by Age'!$C26,'Tabular Pop Data by Age'!Z$7),'Population Data by Age'!$B$7:$B$10366,0),MATCH('Tabular Pop Data by Age'!$C$6,'Population Data by Age'!$B$6:$H$6,0))</f>
        <v>395000</v>
      </c>
      <c r="AA26" s="78">
        <f>INDEX('Population Data by Age'!$B$7:$H$10366,MATCH(CONCATENATE('Tabular Pop Data by Age'!$C26,'Tabular Pop Data by Age'!AA$7),'Population Data by Age'!$B$7:$B$10366,0),MATCH('Tabular Pop Data by Age'!$C$6,'Population Data by Age'!$B$6:$H$6,0))</f>
        <v>405000</v>
      </c>
      <c r="AB26" s="78">
        <f>INDEX('Population Data by Age'!$B$7:$H$10366,MATCH(CONCATENATE('Tabular Pop Data by Age'!$C26,'Tabular Pop Data by Age'!AB$7),'Population Data by Age'!$B$7:$B$10366,0),MATCH('Tabular Pop Data by Age'!$C$6,'Population Data by Age'!$B$6:$H$6,0))</f>
        <v>369000</v>
      </c>
      <c r="AC26" s="78">
        <f>INDEX('Population Data by Age'!$B$7:$H$10366,MATCH(CONCATENATE('Tabular Pop Data by Age'!$C26,'Tabular Pop Data by Age'!AC$7),'Population Data by Age'!$B$7:$B$10366,0),MATCH('Tabular Pop Data by Age'!$C$6,'Population Data by Age'!$B$6:$H$6,0))</f>
        <v>364000</v>
      </c>
      <c r="AD26" s="78">
        <f>INDEX('Population Data by Age'!$B$7:$H$10366,MATCH(CONCATENATE('Tabular Pop Data by Age'!$C26,'Tabular Pop Data by Age'!AD$7),'Population Data by Age'!$B$7:$B$10366,0),MATCH('Tabular Pop Data by Age'!$C$6,'Population Data by Age'!$B$6:$H$6,0))</f>
        <v>326000</v>
      </c>
      <c r="AE26" s="78">
        <f>INDEX('Population Data by Age'!$B$7:$H$10366,MATCH(CONCATENATE('Tabular Pop Data by Age'!$C26,'Tabular Pop Data by Age'!AE$7),'Population Data by Age'!$B$7:$B$10366,0),MATCH('Tabular Pop Data by Age'!$C$6,'Population Data by Age'!$B$6:$H$6,0))</f>
        <v>305000</v>
      </c>
      <c r="AF26" s="78">
        <f>INDEX('Population Data by Age'!$B$7:$H$10366,MATCH(CONCATENATE('Tabular Pop Data by Age'!$C26,'Tabular Pop Data by Age'!AF$7),'Population Data by Age'!$B$7:$B$10366,0),MATCH('Tabular Pop Data by Age'!$C$6,'Population Data by Age'!$B$6:$H$6,0))</f>
        <v>294000</v>
      </c>
      <c r="AG26" s="78">
        <f>INDEX('Population Data by Age'!$B$7:$H$10366,MATCH(CONCATENATE('Tabular Pop Data by Age'!$C26,'Tabular Pop Data by Age'!AG$7),'Population Data by Age'!$B$7:$B$10366,0),MATCH('Tabular Pop Data by Age'!$C$6,'Population Data by Age'!$B$6:$H$6,0))</f>
        <v>259000</v>
      </c>
      <c r="AH26" s="78">
        <f>INDEX('Population Data by Age'!$B$7:$H$10366,MATCH(CONCATENATE('Tabular Pop Data by Age'!$C26,'Tabular Pop Data by Age'!AH$7),'Population Data by Age'!$B$7:$B$10366,0),MATCH('Tabular Pop Data by Age'!$C$6,'Population Data by Age'!$B$6:$H$6,0))</f>
        <v>211000</v>
      </c>
      <c r="AI26" s="78">
        <f>INDEX('Population Data by Age'!$B$7:$H$10366,MATCH(CONCATENATE('Tabular Pop Data by Age'!$C26,'Tabular Pop Data by Age'!AI$7),'Population Data by Age'!$B$7:$B$10366,0),MATCH('Tabular Pop Data by Age'!$C$6,'Population Data by Age'!$B$6:$H$6,0))</f>
        <v>171000</v>
      </c>
      <c r="AJ26" s="78">
        <f>INDEX('Population Data by Age'!$B$7:$H$10366,MATCH(CONCATENATE('Tabular Pop Data by Age'!$C26,'Tabular Pop Data by Age'!AJ$7),'Population Data by Age'!$B$7:$B$10366,0),MATCH('Tabular Pop Data by Age'!$C$6,'Population Data by Age'!$B$6:$H$6,0))</f>
        <v>411000</v>
      </c>
      <c r="AK26" s="78">
        <f>INDEX('Population Data by Age'!$B$7:$H$10366,MATCH(CONCATENATE('Tabular Pop Data by Age'!$C26,'Tabular Pop Data by Age'!AK$7),'Population Data by Age'!$B$7:$B$10366,0),MATCH('Tabular Pop Data by Age'!$C$6,'Population Data by Age'!$B$6:$H$6,0))</f>
        <v>244000</v>
      </c>
      <c r="AL26" s="78">
        <f>INDEX('Population Data by Age'!$B$7:$H$10366,MATCH(CONCATENATE('Tabular Pop Data by Age'!$C26,'Tabular Pop Data by Age'!AL$7),'Population Data by Age'!$B$7:$B$10366,0),MATCH('Tabular Pop Data by Age'!$C$6,'Population Data by Age'!$B$6:$H$6,0))</f>
        <v>5819000</v>
      </c>
      <c r="AM26" s="78">
        <f>INDEX('Population Data by Age'!$B$7:$H$10366,MATCH(CONCATENATE('Tabular Pop Data by Age'!$C26,'Tabular Pop Data by Age'!AM$7),'Population Data by Age'!$B$7:$B$10366,0),MATCH('Tabular Pop Data by Age'!$C$6,'Population Data by Age'!$B$6:$H$6,0))</f>
        <v>5719000</v>
      </c>
      <c r="AN26" s="78">
        <f>INDEX('Population Data by Age'!$B$7:$H$10366,MATCH(CONCATENATE('Tabular Pop Data by Age'!$C26,'Tabular Pop Data by Age'!AN$7),'Population Data by Age'!$B$7:$B$10366,0),MATCH('Tabular Pop Data by Age'!$C$6,'Population Data by Age'!$B$6:$H$6,0))</f>
        <v>11538000</v>
      </c>
      <c r="AO26" s="78">
        <f>INDEX('Population Data by Age'!$B$7:$H$10366,MATCH(CONCATENATE('Tabular Pop Data by Age'!$C26,'Tabular Pop Data by Age'!AO$7),'Population Data by Age'!$B$7:$B$10366,0),MATCH('Tabular Pop Data by Age'!$C$6,'Population Data by Age'!$B$6:$H$6,0))</f>
        <v>0</v>
      </c>
      <c r="AP26" s="79">
        <f t="shared" si="0"/>
        <v>631000</v>
      </c>
      <c r="AQ26" s="79">
        <f t="shared" si="1"/>
        <v>666000</v>
      </c>
      <c r="AR26" s="79">
        <f t="shared" si="2"/>
        <v>668000</v>
      </c>
      <c r="AS26" s="79">
        <f t="shared" si="3"/>
        <v>638000</v>
      </c>
      <c r="AT26" s="79">
        <f t="shared" si="4"/>
        <v>655000</v>
      </c>
      <c r="AU26" s="79">
        <f t="shared" si="5"/>
        <v>725000</v>
      </c>
      <c r="AV26" s="79">
        <f t="shared" si="6"/>
        <v>743000</v>
      </c>
      <c r="AW26" s="79">
        <f t="shared" si="7"/>
        <v>754000</v>
      </c>
      <c r="AX26" s="79">
        <f t="shared" si="8"/>
        <v>748000</v>
      </c>
      <c r="AY26" s="79">
        <f t="shared" si="9"/>
        <v>764000</v>
      </c>
      <c r="AZ26" s="79">
        <f t="shared" si="10"/>
        <v>792000</v>
      </c>
      <c r="BA26" s="79">
        <f t="shared" si="11"/>
        <v>800000</v>
      </c>
      <c r="BB26" s="79">
        <f t="shared" si="12"/>
        <v>733000</v>
      </c>
      <c r="BC26" s="79">
        <f t="shared" si="13"/>
        <v>631000</v>
      </c>
      <c r="BD26" s="79">
        <f t="shared" si="14"/>
        <v>553000</v>
      </c>
      <c r="BE26" s="79">
        <f t="shared" si="15"/>
        <v>382000</v>
      </c>
      <c r="BF26" s="79">
        <f t="shared" si="16"/>
        <v>655000</v>
      </c>
    </row>
    <row r="27" spans="1:58" x14ac:dyDescent="0.25">
      <c r="A27" s="138" t="s">
        <v>1195</v>
      </c>
      <c r="B27" t="s">
        <v>439</v>
      </c>
      <c r="C27" t="s">
        <v>17</v>
      </c>
      <c r="D27" s="78">
        <f>INDEX('Population Data by Age'!$B$7:$H$10366,MATCH(CONCATENATE('Tabular Pop Data by Age'!$C27,'Tabular Pop Data by Age'!D$7),'Population Data by Age'!$B$7:$B$10366,0),MATCH('Tabular Pop Data by Age'!$C$6,'Population Data by Age'!$B$6:$H$6,0))</f>
        <v>19000</v>
      </c>
      <c r="E27" s="78">
        <f>INDEX('Population Data by Age'!$B$7:$H$10366,MATCH(CONCATENATE('Tabular Pop Data by Age'!$C27,'Tabular Pop Data by Age'!E$7),'Population Data by Age'!$B$7:$B$10366,0),MATCH('Tabular Pop Data by Age'!$C$6,'Population Data by Age'!$B$6:$H$6,0))</f>
        <v>20000</v>
      </c>
      <c r="F27" s="78">
        <f>INDEX('Population Data by Age'!$B$7:$H$10366,MATCH(CONCATENATE('Tabular Pop Data by Age'!$C27,'Tabular Pop Data by Age'!F$7),'Population Data by Age'!$B$7:$B$10366,0),MATCH('Tabular Pop Data by Age'!$C$6,'Population Data by Age'!$B$6:$H$6,0))</f>
        <v>19000</v>
      </c>
      <c r="G27" s="78">
        <f>INDEX('Population Data by Age'!$B$7:$H$10366,MATCH(CONCATENATE('Tabular Pop Data by Age'!$C27,'Tabular Pop Data by Age'!G$7),'Population Data by Age'!$B$7:$B$10366,0),MATCH('Tabular Pop Data by Age'!$C$6,'Population Data by Age'!$B$6:$H$6,0))</f>
        <v>20000</v>
      </c>
      <c r="H27" s="78">
        <f>INDEX('Population Data by Age'!$B$7:$H$10366,MATCH(CONCATENATE('Tabular Pop Data by Age'!$C27,'Tabular Pop Data by Age'!H$7),'Population Data by Age'!$B$7:$B$10366,0),MATCH('Tabular Pop Data by Age'!$C$6,'Population Data by Age'!$B$6:$H$6,0))</f>
        <v>19000</v>
      </c>
      <c r="I27" s="78">
        <f>INDEX('Population Data by Age'!$B$7:$H$10366,MATCH(CONCATENATE('Tabular Pop Data by Age'!$C27,'Tabular Pop Data by Age'!I$7),'Population Data by Age'!$B$7:$B$10366,0),MATCH('Tabular Pop Data by Age'!$C$6,'Population Data by Age'!$B$6:$H$6,0))</f>
        <v>19000</v>
      </c>
      <c r="J27" s="78">
        <f>INDEX('Population Data by Age'!$B$7:$H$10366,MATCH(CONCATENATE('Tabular Pop Data by Age'!$C27,'Tabular Pop Data by Age'!J$7),'Population Data by Age'!$B$7:$B$10366,0),MATCH('Tabular Pop Data by Age'!$C$6,'Population Data by Age'!$B$6:$H$6,0))</f>
        <v>20000</v>
      </c>
      <c r="K27" s="78">
        <f>INDEX('Population Data by Age'!$B$7:$H$10366,MATCH(CONCATENATE('Tabular Pop Data by Age'!$C27,'Tabular Pop Data by Age'!K$7),'Population Data by Age'!$B$7:$B$10366,0),MATCH('Tabular Pop Data by Age'!$C$6,'Population Data by Age'!$B$6:$H$6,0))</f>
        <v>20000</v>
      </c>
      <c r="L27" s="78">
        <f>INDEX('Population Data by Age'!$B$7:$H$10366,MATCH(CONCATENATE('Tabular Pop Data by Age'!$C27,'Tabular Pop Data by Age'!L$7),'Population Data by Age'!$B$7:$B$10366,0),MATCH('Tabular Pop Data by Age'!$C$6,'Population Data by Age'!$B$6:$H$6,0))</f>
        <v>20000</v>
      </c>
      <c r="M27" s="78">
        <f>INDEX('Population Data by Age'!$B$7:$H$10366,MATCH(CONCATENATE('Tabular Pop Data by Age'!$C27,'Tabular Pop Data by Age'!M$7),'Population Data by Age'!$B$7:$B$10366,0),MATCH('Tabular Pop Data by Age'!$C$6,'Population Data by Age'!$B$6:$H$6,0))</f>
        <v>20000</v>
      </c>
      <c r="N27" s="78">
        <f>INDEX('Population Data by Age'!$B$7:$H$10366,MATCH(CONCATENATE('Tabular Pop Data by Age'!$C27,'Tabular Pop Data by Age'!N$7),'Population Data by Age'!$B$7:$B$10366,0),MATCH('Tabular Pop Data by Age'!$C$6,'Population Data by Age'!$B$6:$H$6,0))</f>
        <v>18000</v>
      </c>
      <c r="O27" s="78">
        <f>INDEX('Population Data by Age'!$B$7:$H$10366,MATCH(CONCATENATE('Tabular Pop Data by Age'!$C27,'Tabular Pop Data by Age'!O$7),'Population Data by Age'!$B$7:$B$10366,0),MATCH('Tabular Pop Data by Age'!$C$6,'Population Data by Age'!$B$6:$H$6,0))</f>
        <v>18000</v>
      </c>
      <c r="P27" s="78">
        <f>INDEX('Population Data by Age'!$B$7:$H$10366,MATCH(CONCATENATE('Tabular Pop Data by Age'!$C27,'Tabular Pop Data by Age'!P$7),'Population Data by Age'!$B$7:$B$10366,0),MATCH('Tabular Pop Data by Age'!$C$6,'Population Data by Age'!$B$6:$H$6,0))</f>
        <v>16000</v>
      </c>
      <c r="Q27" s="78">
        <f>INDEX('Population Data by Age'!$B$7:$H$10366,MATCH(CONCATENATE('Tabular Pop Data by Age'!$C27,'Tabular Pop Data by Age'!Q$7),'Population Data by Age'!$B$7:$B$10366,0),MATCH('Tabular Pop Data by Age'!$C$6,'Population Data by Age'!$B$6:$H$6,0))</f>
        <v>16000</v>
      </c>
      <c r="R27" s="78">
        <f>INDEX('Population Data by Age'!$B$7:$H$10366,MATCH(CONCATENATE('Tabular Pop Data by Age'!$C27,'Tabular Pop Data by Age'!R$7),'Population Data by Age'!$B$7:$B$10366,0),MATCH('Tabular Pop Data by Age'!$C$6,'Population Data by Age'!$B$6:$H$6,0))</f>
        <v>14000</v>
      </c>
      <c r="S27" s="78">
        <f>INDEX('Population Data by Age'!$B$7:$H$10366,MATCH(CONCATENATE('Tabular Pop Data by Age'!$C27,'Tabular Pop Data by Age'!S$7),'Population Data by Age'!$B$7:$B$10366,0),MATCH('Tabular Pop Data by Age'!$C$6,'Population Data by Age'!$B$6:$H$6,0))</f>
        <v>13000</v>
      </c>
      <c r="T27" s="78">
        <f>INDEX('Population Data by Age'!$B$7:$H$10366,MATCH(CONCATENATE('Tabular Pop Data by Age'!$C27,'Tabular Pop Data by Age'!T$7),'Population Data by Age'!$B$7:$B$10366,0),MATCH('Tabular Pop Data by Age'!$C$6,'Population Data by Age'!$B$6:$H$6,0))</f>
        <v>12000</v>
      </c>
      <c r="U27" s="78">
        <f>INDEX('Population Data by Age'!$B$7:$H$10366,MATCH(CONCATENATE('Tabular Pop Data by Age'!$C27,'Tabular Pop Data by Age'!U$7),'Population Data by Age'!$B$7:$B$10366,0),MATCH('Tabular Pop Data by Age'!$C$6,'Population Data by Age'!$B$6:$H$6,0))</f>
        <v>11000</v>
      </c>
      <c r="V27" s="78">
        <f>INDEX('Population Data by Age'!$B$7:$H$10366,MATCH(CONCATENATE('Tabular Pop Data by Age'!$C27,'Tabular Pop Data by Age'!V$7),'Population Data by Age'!$B$7:$B$10366,0),MATCH('Tabular Pop Data by Age'!$C$6,'Population Data by Age'!$B$6:$H$6,0))</f>
        <v>11000</v>
      </c>
      <c r="W27" s="78">
        <f>INDEX('Population Data by Age'!$B$7:$H$10366,MATCH(CONCATENATE('Tabular Pop Data by Age'!$C27,'Tabular Pop Data by Age'!W$7),'Population Data by Age'!$B$7:$B$10366,0),MATCH('Tabular Pop Data by Age'!$C$6,'Population Data by Age'!$B$6:$H$6,0))</f>
        <v>10000</v>
      </c>
      <c r="X27" s="78">
        <f>INDEX('Population Data by Age'!$B$7:$H$10366,MATCH(CONCATENATE('Tabular Pop Data by Age'!$C27,'Tabular Pop Data by Age'!X$7),'Population Data by Age'!$B$7:$B$10366,0),MATCH('Tabular Pop Data by Age'!$C$6,'Population Data by Age'!$B$6:$H$6,0))</f>
        <v>8900</v>
      </c>
      <c r="Y27" s="78">
        <f>INDEX('Population Data by Age'!$B$7:$H$10366,MATCH(CONCATENATE('Tabular Pop Data by Age'!$C27,'Tabular Pop Data by Age'!Y$7),'Population Data by Age'!$B$7:$B$10366,0),MATCH('Tabular Pop Data by Age'!$C$6,'Population Data by Age'!$B$6:$H$6,0))</f>
        <v>8600</v>
      </c>
      <c r="Z27" s="78">
        <f>INDEX('Population Data by Age'!$B$7:$H$10366,MATCH(CONCATENATE('Tabular Pop Data by Age'!$C27,'Tabular Pop Data by Age'!Z$7),'Population Data by Age'!$B$7:$B$10366,0),MATCH('Tabular Pop Data by Age'!$C$6,'Population Data by Age'!$B$6:$H$6,0))</f>
        <v>7200</v>
      </c>
      <c r="AA27" s="78">
        <f>INDEX('Population Data by Age'!$B$7:$H$10366,MATCH(CONCATENATE('Tabular Pop Data by Age'!$C27,'Tabular Pop Data by Age'!AA$7),'Population Data by Age'!$B$7:$B$10366,0),MATCH('Tabular Pop Data by Age'!$C$6,'Population Data by Age'!$B$6:$H$6,0))</f>
        <v>7200</v>
      </c>
      <c r="AB27" s="78">
        <f>INDEX('Population Data by Age'!$B$7:$H$10366,MATCH(CONCATENATE('Tabular Pop Data by Age'!$C27,'Tabular Pop Data by Age'!AB$7),'Population Data by Age'!$B$7:$B$10366,0),MATCH('Tabular Pop Data by Age'!$C$6,'Population Data by Age'!$B$6:$H$6,0))</f>
        <v>5300</v>
      </c>
      <c r="AC27" s="78">
        <f>INDEX('Population Data by Age'!$B$7:$H$10366,MATCH(CONCATENATE('Tabular Pop Data by Age'!$C27,'Tabular Pop Data by Age'!AC$7),'Population Data by Age'!$B$7:$B$10366,0),MATCH('Tabular Pop Data by Age'!$C$6,'Population Data by Age'!$B$6:$H$6,0))</f>
        <v>5200</v>
      </c>
      <c r="AD27" s="78">
        <f>INDEX('Population Data by Age'!$B$7:$H$10366,MATCH(CONCATENATE('Tabular Pop Data by Age'!$C27,'Tabular Pop Data by Age'!AD$7),'Population Data by Age'!$B$7:$B$10366,0),MATCH('Tabular Pop Data by Age'!$C$6,'Population Data by Age'!$B$6:$H$6,0))</f>
        <v>3600</v>
      </c>
      <c r="AE27" s="78">
        <f>INDEX('Population Data by Age'!$B$7:$H$10366,MATCH(CONCATENATE('Tabular Pop Data by Age'!$C27,'Tabular Pop Data by Age'!AE$7),'Population Data by Age'!$B$7:$B$10366,0),MATCH('Tabular Pop Data by Age'!$C$6,'Population Data by Age'!$B$6:$H$6,0))</f>
        <v>3700</v>
      </c>
      <c r="AF27" s="78">
        <f>INDEX('Population Data by Age'!$B$7:$H$10366,MATCH(CONCATENATE('Tabular Pop Data by Age'!$C27,'Tabular Pop Data by Age'!AF$7),'Population Data by Age'!$B$7:$B$10366,0),MATCH('Tabular Pop Data by Age'!$C$6,'Population Data by Age'!$B$6:$H$6,0))</f>
        <v>2400</v>
      </c>
      <c r="AG27" s="78">
        <f>INDEX('Population Data by Age'!$B$7:$H$10366,MATCH(CONCATENATE('Tabular Pop Data by Age'!$C27,'Tabular Pop Data by Age'!AG$7),'Population Data by Age'!$B$7:$B$10366,0),MATCH('Tabular Pop Data by Age'!$C$6,'Population Data by Age'!$B$6:$H$6,0))</f>
        <v>2600</v>
      </c>
      <c r="AH27" s="78">
        <f>INDEX('Population Data by Age'!$B$7:$H$10366,MATCH(CONCATENATE('Tabular Pop Data by Age'!$C27,'Tabular Pop Data by Age'!AH$7),'Population Data by Age'!$B$7:$B$10366,0),MATCH('Tabular Pop Data by Age'!$C$6,'Population Data by Age'!$B$6:$H$6,0))</f>
        <v>1600</v>
      </c>
      <c r="AI27" s="78">
        <f>INDEX('Population Data by Age'!$B$7:$H$10366,MATCH(CONCATENATE('Tabular Pop Data by Age'!$C27,'Tabular Pop Data by Age'!AI$7),'Population Data by Age'!$B$7:$B$10366,0),MATCH('Tabular Pop Data by Age'!$C$6,'Population Data by Age'!$B$6:$H$6,0))</f>
        <v>1700</v>
      </c>
      <c r="AJ27" s="78">
        <f>INDEX('Population Data by Age'!$B$7:$H$10366,MATCH(CONCATENATE('Tabular Pop Data by Age'!$C27,'Tabular Pop Data by Age'!AJ$7),'Population Data by Age'!$B$7:$B$10366,0),MATCH('Tabular Pop Data by Age'!$C$6,'Population Data by Age'!$B$6:$H$6,0))</f>
        <v>2200</v>
      </c>
      <c r="AK27" s="78">
        <f>INDEX('Population Data by Age'!$B$7:$H$10366,MATCH(CONCATENATE('Tabular Pop Data by Age'!$C27,'Tabular Pop Data by Age'!AK$7),'Population Data by Age'!$B$7:$B$10366,0),MATCH('Tabular Pop Data by Age'!$C$6,'Population Data by Age'!$B$6:$H$6,0))</f>
        <v>2100</v>
      </c>
      <c r="AL27" s="78">
        <f>INDEX('Population Data by Age'!$B$7:$H$10366,MATCH(CONCATENATE('Tabular Pop Data by Age'!$C27,'Tabular Pop Data by Age'!AL$7),'Population Data by Age'!$B$7:$B$10366,0),MATCH('Tabular Pop Data by Age'!$C$6,'Population Data by Age'!$B$6:$H$6,0))</f>
        <v>200000</v>
      </c>
      <c r="AM27" s="78">
        <f>INDEX('Population Data by Age'!$B$7:$H$10366,MATCH(CONCATENATE('Tabular Pop Data by Age'!$C27,'Tabular Pop Data by Age'!AM$7),'Population Data by Age'!$B$7:$B$10366,0),MATCH('Tabular Pop Data by Age'!$C$6,'Population Data by Age'!$B$6:$H$6,0))</f>
        <v>198000</v>
      </c>
      <c r="AN27" s="78">
        <f>INDEX('Population Data by Age'!$B$7:$H$10366,MATCH(CONCATENATE('Tabular Pop Data by Age'!$C27,'Tabular Pop Data by Age'!AN$7),'Population Data by Age'!$B$7:$B$10366,0),MATCH('Tabular Pop Data by Age'!$C$6,'Population Data by Age'!$B$6:$H$6,0))</f>
        <v>398000</v>
      </c>
      <c r="AO27" s="78">
        <f>INDEX('Population Data by Age'!$B$7:$H$10366,MATCH(CONCATENATE('Tabular Pop Data by Age'!$C27,'Tabular Pop Data by Age'!AO$7),'Population Data by Age'!$B$7:$B$10366,0),MATCH('Tabular Pop Data by Age'!$C$6,'Population Data by Age'!$B$6:$H$6,0))</f>
        <v>0</v>
      </c>
      <c r="AP27" s="79">
        <f t="shared" si="0"/>
        <v>39000</v>
      </c>
      <c r="AQ27" s="79">
        <f t="shared" si="1"/>
        <v>39000</v>
      </c>
      <c r="AR27" s="79">
        <f t="shared" si="2"/>
        <v>38000</v>
      </c>
      <c r="AS27" s="79">
        <f t="shared" si="3"/>
        <v>40000</v>
      </c>
      <c r="AT27" s="79">
        <f t="shared" si="4"/>
        <v>40000</v>
      </c>
      <c r="AU27" s="79">
        <f t="shared" si="5"/>
        <v>36000</v>
      </c>
      <c r="AV27" s="79">
        <f t="shared" si="6"/>
        <v>32000</v>
      </c>
      <c r="AW27" s="79">
        <f t="shared" si="7"/>
        <v>27000</v>
      </c>
      <c r="AX27" s="79">
        <f t="shared" si="8"/>
        <v>23000</v>
      </c>
      <c r="AY27" s="79">
        <f t="shared" si="9"/>
        <v>21000</v>
      </c>
      <c r="AZ27" s="79">
        <f t="shared" si="10"/>
        <v>17500</v>
      </c>
      <c r="BA27" s="79">
        <f t="shared" si="11"/>
        <v>14400</v>
      </c>
      <c r="BB27" s="79">
        <f t="shared" si="12"/>
        <v>10500</v>
      </c>
      <c r="BC27" s="79">
        <f t="shared" si="13"/>
        <v>7300</v>
      </c>
      <c r="BD27" s="79">
        <f t="shared" si="14"/>
        <v>5000</v>
      </c>
      <c r="BE27" s="79">
        <f t="shared" si="15"/>
        <v>3300</v>
      </c>
      <c r="BF27" s="79">
        <f t="shared" si="16"/>
        <v>4300</v>
      </c>
    </row>
    <row r="28" spans="1:58" x14ac:dyDescent="0.25">
      <c r="A28" s="138" t="s">
        <v>1195</v>
      </c>
      <c r="B28" t="s">
        <v>183</v>
      </c>
      <c r="C28" t="s">
        <v>9</v>
      </c>
      <c r="D28" s="78">
        <f>INDEX('Population Data by Age'!$B$7:$H$10366,MATCH(CONCATENATE('Tabular Pop Data by Age'!$C28,'Tabular Pop Data by Age'!D$7),'Population Data by Age'!$B$7:$B$10366,0),MATCH('Tabular Pop Data by Age'!$C$6,'Population Data by Age'!$B$6:$H$6,0))</f>
        <v>940000</v>
      </c>
      <c r="E28" s="78">
        <f>INDEX('Population Data by Age'!$B$7:$H$10366,MATCH(CONCATENATE('Tabular Pop Data by Age'!$C28,'Tabular Pop Data by Age'!E$7),'Population Data by Age'!$B$7:$B$10366,0),MATCH('Tabular Pop Data by Age'!$C$6,'Population Data by Age'!$B$6:$H$6,0))</f>
        <v>969000</v>
      </c>
      <c r="F28" s="78">
        <f>INDEX('Population Data by Age'!$B$7:$H$10366,MATCH(CONCATENATE('Tabular Pop Data by Age'!$C28,'Tabular Pop Data by Age'!F$7),'Population Data by Age'!$B$7:$B$10366,0),MATCH('Tabular Pop Data by Age'!$C$6,'Population Data by Age'!$B$6:$H$6,0))</f>
        <v>832000</v>
      </c>
      <c r="G28" s="78">
        <f>INDEX('Population Data by Age'!$B$7:$H$10366,MATCH(CONCATENATE('Tabular Pop Data by Age'!$C28,'Tabular Pop Data by Age'!G$7),'Population Data by Age'!$B$7:$B$10366,0),MATCH('Tabular Pop Data by Age'!$C$6,'Population Data by Age'!$B$6:$H$6,0))</f>
        <v>856000</v>
      </c>
      <c r="H28" s="78">
        <f>INDEX('Population Data by Age'!$B$7:$H$10366,MATCH(CONCATENATE('Tabular Pop Data by Age'!$C28,'Tabular Pop Data by Age'!H$7),'Population Data by Age'!$B$7:$B$10366,0),MATCH('Tabular Pop Data by Age'!$C$6,'Population Data by Age'!$B$6:$H$6,0))</f>
        <v>734000</v>
      </c>
      <c r="I28" s="78">
        <f>INDEX('Population Data by Age'!$B$7:$H$10366,MATCH(CONCATENATE('Tabular Pop Data by Age'!$C28,'Tabular Pop Data by Age'!I$7),'Population Data by Age'!$B$7:$B$10366,0),MATCH('Tabular Pop Data by Age'!$C$6,'Population Data by Age'!$B$6:$H$6,0))</f>
        <v>754000</v>
      </c>
      <c r="J28" s="78">
        <f>INDEX('Population Data by Age'!$B$7:$H$10366,MATCH(CONCATENATE('Tabular Pop Data by Age'!$C28,'Tabular Pop Data by Age'!J$7),'Population Data by Age'!$B$7:$B$10366,0),MATCH('Tabular Pop Data by Age'!$C$6,'Population Data by Age'!$B$6:$H$6,0))</f>
        <v>638000</v>
      </c>
      <c r="K28" s="78">
        <f>INDEX('Population Data by Age'!$B$7:$H$10366,MATCH(CONCATENATE('Tabular Pop Data by Age'!$C28,'Tabular Pop Data by Age'!K$7),'Population Data by Age'!$B$7:$B$10366,0),MATCH('Tabular Pop Data by Age'!$C$6,'Population Data by Age'!$B$6:$H$6,0))</f>
        <v>654000</v>
      </c>
      <c r="L28" s="78">
        <f>INDEX('Population Data by Age'!$B$7:$H$10366,MATCH(CONCATENATE('Tabular Pop Data by Age'!$C28,'Tabular Pop Data by Age'!L$7),'Population Data by Age'!$B$7:$B$10366,0),MATCH('Tabular Pop Data by Age'!$C$6,'Population Data by Age'!$B$6:$H$6,0))</f>
        <v>553000</v>
      </c>
      <c r="M28" s="78">
        <f>INDEX('Population Data by Age'!$B$7:$H$10366,MATCH(CONCATENATE('Tabular Pop Data by Age'!$C28,'Tabular Pop Data by Age'!M$7),'Population Data by Age'!$B$7:$B$10366,0),MATCH('Tabular Pop Data by Age'!$C$6,'Population Data by Age'!$B$6:$H$6,0))</f>
        <v>563000</v>
      </c>
      <c r="N28" s="78">
        <f>INDEX('Population Data by Age'!$B$7:$H$10366,MATCH(CONCATENATE('Tabular Pop Data by Age'!$C28,'Tabular Pop Data by Age'!N$7),'Population Data by Age'!$B$7:$B$10366,0),MATCH('Tabular Pop Data by Age'!$C$6,'Population Data by Age'!$B$6:$H$6,0))</f>
        <v>471000</v>
      </c>
      <c r="O28" s="78">
        <f>INDEX('Population Data by Age'!$B$7:$H$10366,MATCH(CONCATENATE('Tabular Pop Data by Age'!$C28,'Tabular Pop Data by Age'!O$7),'Population Data by Age'!$B$7:$B$10366,0),MATCH('Tabular Pop Data by Age'!$C$6,'Population Data by Age'!$B$6:$H$6,0))</f>
        <v>475000</v>
      </c>
      <c r="P28" s="78">
        <f>INDEX('Population Data by Age'!$B$7:$H$10366,MATCH(CONCATENATE('Tabular Pop Data by Age'!$C28,'Tabular Pop Data by Age'!P$7),'Population Data by Age'!$B$7:$B$10366,0),MATCH('Tabular Pop Data by Age'!$C$6,'Population Data by Age'!$B$6:$H$6,0))</f>
        <v>393000</v>
      </c>
      <c r="Q28" s="78">
        <f>INDEX('Population Data by Age'!$B$7:$H$10366,MATCH(CONCATENATE('Tabular Pop Data by Age'!$C28,'Tabular Pop Data by Age'!Q$7),'Population Data by Age'!$B$7:$B$10366,0),MATCH('Tabular Pop Data by Age'!$C$6,'Population Data by Age'!$B$6:$H$6,0))</f>
        <v>392000</v>
      </c>
      <c r="R28" s="78">
        <f>INDEX('Population Data by Age'!$B$7:$H$10366,MATCH(CONCATENATE('Tabular Pop Data by Age'!$C28,'Tabular Pop Data by Age'!R$7),'Population Data by Age'!$B$7:$B$10366,0),MATCH('Tabular Pop Data by Age'!$C$6,'Population Data by Age'!$B$6:$H$6,0))</f>
        <v>328000</v>
      </c>
      <c r="S28" s="78">
        <f>INDEX('Population Data by Age'!$B$7:$H$10366,MATCH(CONCATENATE('Tabular Pop Data by Age'!$C28,'Tabular Pop Data by Age'!S$7),'Population Data by Age'!$B$7:$B$10366,0),MATCH('Tabular Pop Data by Age'!$C$6,'Population Data by Age'!$B$6:$H$6,0))</f>
        <v>323000</v>
      </c>
      <c r="T28" s="78">
        <f>INDEX('Population Data by Age'!$B$7:$H$10366,MATCH(CONCATENATE('Tabular Pop Data by Age'!$C28,'Tabular Pop Data by Age'!T$7),'Population Data by Age'!$B$7:$B$10366,0),MATCH('Tabular Pop Data by Age'!$C$6,'Population Data by Age'!$B$6:$H$6,0))</f>
        <v>274000</v>
      </c>
      <c r="U28" s="78">
        <f>INDEX('Population Data by Age'!$B$7:$H$10366,MATCH(CONCATENATE('Tabular Pop Data by Age'!$C28,'Tabular Pop Data by Age'!U$7),'Population Data by Age'!$B$7:$B$10366,0),MATCH('Tabular Pop Data by Age'!$C$6,'Population Data by Age'!$B$6:$H$6,0))</f>
        <v>265000</v>
      </c>
      <c r="V28" s="78">
        <f>INDEX('Population Data by Age'!$B$7:$H$10366,MATCH(CONCATENATE('Tabular Pop Data by Age'!$C28,'Tabular Pop Data by Age'!V$7),'Population Data by Age'!$B$7:$B$10366,0),MATCH('Tabular Pop Data by Age'!$C$6,'Population Data by Age'!$B$6:$H$6,0))</f>
        <v>227000</v>
      </c>
      <c r="W28" s="78">
        <f>INDEX('Population Data by Age'!$B$7:$H$10366,MATCH(CONCATENATE('Tabular Pop Data by Age'!$C28,'Tabular Pop Data by Age'!W$7),'Population Data by Age'!$B$7:$B$10366,0),MATCH('Tabular Pop Data by Age'!$C$6,'Population Data by Age'!$B$6:$H$6,0))</f>
        <v>216000</v>
      </c>
      <c r="X28" s="78">
        <f>INDEX('Population Data by Age'!$B$7:$H$10366,MATCH(CONCATENATE('Tabular Pop Data by Age'!$C28,'Tabular Pop Data by Age'!X$7),'Population Data by Age'!$B$7:$B$10366,0),MATCH('Tabular Pop Data by Age'!$C$6,'Population Data by Age'!$B$6:$H$6,0))</f>
        <v>187000</v>
      </c>
      <c r="Y28" s="78">
        <f>INDEX('Population Data by Age'!$B$7:$H$10366,MATCH(CONCATENATE('Tabular Pop Data by Age'!$C28,'Tabular Pop Data by Age'!Y$7),'Population Data by Age'!$B$7:$B$10366,0),MATCH('Tabular Pop Data by Age'!$C$6,'Population Data by Age'!$B$6:$H$6,0))</f>
        <v>176000</v>
      </c>
      <c r="Z28" s="78">
        <f>INDEX('Population Data by Age'!$B$7:$H$10366,MATCH(CONCATENATE('Tabular Pop Data by Age'!$C28,'Tabular Pop Data by Age'!Z$7),'Population Data by Age'!$B$7:$B$10366,0),MATCH('Tabular Pop Data by Age'!$C$6,'Population Data by Age'!$B$6:$H$6,0))</f>
        <v>150000</v>
      </c>
      <c r="AA28" s="78">
        <f>INDEX('Population Data by Age'!$B$7:$H$10366,MATCH(CONCATENATE('Tabular Pop Data by Age'!$C28,'Tabular Pop Data by Age'!AA$7),'Population Data by Age'!$B$7:$B$10366,0),MATCH('Tabular Pop Data by Age'!$C$6,'Population Data by Age'!$B$6:$H$6,0))</f>
        <v>137000</v>
      </c>
      <c r="AB28" s="78">
        <f>INDEX('Population Data by Age'!$B$7:$H$10366,MATCH(CONCATENATE('Tabular Pop Data by Age'!$C28,'Tabular Pop Data by Age'!AB$7),'Population Data by Age'!$B$7:$B$10366,0),MATCH('Tabular Pop Data by Age'!$C$6,'Population Data by Age'!$B$6:$H$6,0))</f>
        <v>116000</v>
      </c>
      <c r="AC28" s="78">
        <f>INDEX('Population Data by Age'!$B$7:$H$10366,MATCH(CONCATENATE('Tabular Pop Data by Age'!$C28,'Tabular Pop Data by Age'!AC$7),'Population Data by Age'!$B$7:$B$10366,0),MATCH('Tabular Pop Data by Age'!$C$6,'Population Data by Age'!$B$6:$H$6,0))</f>
        <v>103000</v>
      </c>
      <c r="AD28" s="78">
        <f>INDEX('Population Data by Age'!$B$7:$H$10366,MATCH(CONCATENATE('Tabular Pop Data by Age'!$C28,'Tabular Pop Data by Age'!AD$7),'Population Data by Age'!$B$7:$B$10366,0),MATCH('Tabular Pop Data by Age'!$C$6,'Population Data by Age'!$B$6:$H$6,0))</f>
        <v>86000</v>
      </c>
      <c r="AE28" s="78">
        <f>INDEX('Population Data by Age'!$B$7:$H$10366,MATCH(CONCATENATE('Tabular Pop Data by Age'!$C28,'Tabular Pop Data by Age'!AE$7),'Population Data by Age'!$B$7:$B$10366,0),MATCH('Tabular Pop Data by Age'!$C$6,'Population Data by Age'!$B$6:$H$6,0))</f>
        <v>74000</v>
      </c>
      <c r="AF28" s="78">
        <f>INDEX('Population Data by Age'!$B$7:$H$10366,MATCH(CONCATENATE('Tabular Pop Data by Age'!$C28,'Tabular Pop Data by Age'!AF$7),'Population Data by Age'!$B$7:$B$10366,0),MATCH('Tabular Pop Data by Age'!$C$6,'Population Data by Age'!$B$6:$H$6,0))</f>
        <v>65000</v>
      </c>
      <c r="AG28" s="78">
        <f>INDEX('Population Data by Age'!$B$7:$H$10366,MATCH(CONCATENATE('Tabular Pop Data by Age'!$C28,'Tabular Pop Data by Age'!AG$7),'Population Data by Age'!$B$7:$B$10366,0),MATCH('Tabular Pop Data by Age'!$C$6,'Population Data by Age'!$B$6:$H$6,0))</f>
        <v>46000</v>
      </c>
      <c r="AH28" s="78">
        <f>INDEX('Population Data by Age'!$B$7:$H$10366,MATCH(CONCATENATE('Tabular Pop Data by Age'!$C28,'Tabular Pop Data by Age'!AH$7),'Population Data by Age'!$B$7:$B$10366,0),MATCH('Tabular Pop Data by Age'!$C$6,'Population Data by Age'!$B$6:$H$6,0))</f>
        <v>43000</v>
      </c>
      <c r="AI28" s="78">
        <f>INDEX('Population Data by Age'!$B$7:$H$10366,MATCH(CONCATENATE('Tabular Pop Data by Age'!$C28,'Tabular Pop Data by Age'!AI$7),'Population Data by Age'!$B$7:$B$10366,0),MATCH('Tabular Pop Data by Age'!$C$6,'Population Data by Age'!$B$6:$H$6,0))</f>
        <v>30000</v>
      </c>
      <c r="AJ28" s="78">
        <f>INDEX('Population Data by Age'!$B$7:$H$10366,MATCH(CONCATENATE('Tabular Pop Data by Age'!$C28,'Tabular Pop Data by Age'!AJ$7),'Population Data by Age'!$B$7:$B$10366,0),MATCH('Tabular Pop Data by Age'!$C$6,'Population Data by Age'!$B$6:$H$6,0))</f>
        <v>32000</v>
      </c>
      <c r="AK28" s="78">
        <f>INDEX('Population Data by Age'!$B$7:$H$10366,MATCH(CONCATENATE('Tabular Pop Data by Age'!$C28,'Tabular Pop Data by Age'!AK$7),'Population Data by Age'!$B$7:$B$10366,0),MATCH('Tabular Pop Data by Age'!$C$6,'Population Data by Age'!$B$6:$H$6,0))</f>
        <v>20000</v>
      </c>
      <c r="AL28" s="78">
        <f>INDEX('Population Data by Age'!$B$7:$H$10366,MATCH(CONCATENATE('Tabular Pop Data by Age'!$C28,'Tabular Pop Data by Age'!AL$7),'Population Data by Age'!$B$7:$B$10366,0),MATCH('Tabular Pop Data by Age'!$C$6,'Population Data by Age'!$B$6:$H$6,0))</f>
        <v>6069000</v>
      </c>
      <c r="AM28" s="78">
        <f>INDEX('Population Data by Age'!$B$7:$H$10366,MATCH(CONCATENATE('Tabular Pop Data by Age'!$C28,'Tabular Pop Data by Age'!AM$7),'Population Data by Age'!$B$7:$B$10366,0),MATCH('Tabular Pop Data by Age'!$C$6,'Population Data by Age'!$B$6:$H$6,0))</f>
        <v>6054000</v>
      </c>
      <c r="AN28" s="78">
        <f>INDEX('Population Data by Age'!$B$7:$H$10366,MATCH(CONCATENATE('Tabular Pop Data by Age'!$C28,'Tabular Pop Data by Age'!AN$7),'Population Data by Age'!$B$7:$B$10366,0),MATCH('Tabular Pop Data by Age'!$C$6,'Population Data by Age'!$B$6:$H$6,0))</f>
        <v>12123000</v>
      </c>
      <c r="AO28" s="78">
        <f>INDEX('Population Data by Age'!$B$7:$H$10366,MATCH(CONCATENATE('Tabular Pop Data by Age'!$C28,'Tabular Pop Data by Age'!AO$7),'Population Data by Age'!$B$7:$B$10366,0),MATCH('Tabular Pop Data by Age'!$C$6,'Population Data by Age'!$B$6:$H$6,0))</f>
        <v>0</v>
      </c>
      <c r="AP28" s="79">
        <f t="shared" si="0"/>
        <v>1909000</v>
      </c>
      <c r="AQ28" s="79">
        <f t="shared" si="1"/>
        <v>1688000</v>
      </c>
      <c r="AR28" s="79">
        <f t="shared" si="2"/>
        <v>1488000</v>
      </c>
      <c r="AS28" s="79">
        <f t="shared" si="3"/>
        <v>1292000</v>
      </c>
      <c r="AT28" s="79">
        <f t="shared" si="4"/>
        <v>1116000</v>
      </c>
      <c r="AU28" s="79">
        <f t="shared" si="5"/>
        <v>946000</v>
      </c>
      <c r="AV28" s="79">
        <f t="shared" si="6"/>
        <v>785000</v>
      </c>
      <c r="AW28" s="79">
        <f t="shared" si="7"/>
        <v>651000</v>
      </c>
      <c r="AX28" s="79">
        <f t="shared" si="8"/>
        <v>539000</v>
      </c>
      <c r="AY28" s="79">
        <f t="shared" si="9"/>
        <v>443000</v>
      </c>
      <c r="AZ28" s="79">
        <f t="shared" si="10"/>
        <v>363000</v>
      </c>
      <c r="BA28" s="79">
        <f t="shared" si="11"/>
        <v>287000</v>
      </c>
      <c r="BB28" s="79">
        <f t="shared" si="12"/>
        <v>219000</v>
      </c>
      <c r="BC28" s="79">
        <f t="shared" si="13"/>
        <v>160000</v>
      </c>
      <c r="BD28" s="79">
        <f t="shared" si="14"/>
        <v>111000</v>
      </c>
      <c r="BE28" s="79">
        <f t="shared" si="15"/>
        <v>73000</v>
      </c>
      <c r="BF28" s="79">
        <f t="shared" si="16"/>
        <v>52000</v>
      </c>
    </row>
    <row r="29" spans="1:58" x14ac:dyDescent="0.25">
      <c r="A29" s="138" t="s">
        <v>1195</v>
      </c>
      <c r="B29" t="s">
        <v>440</v>
      </c>
      <c r="C29" t="s">
        <v>441</v>
      </c>
      <c r="D29" s="78">
        <f>INDEX('Population Data by Age'!$B$7:$H$10366,MATCH(CONCATENATE('Tabular Pop Data by Age'!$C29,'Tabular Pop Data by Age'!D$7),'Population Data by Age'!$B$7:$B$10366,0),MATCH('Tabular Pop Data by Age'!$C$6,'Population Data by Age'!$B$6:$H$6,0))</f>
        <v>0</v>
      </c>
      <c r="E29" s="78">
        <f>INDEX('Population Data by Age'!$B$7:$H$10366,MATCH(CONCATENATE('Tabular Pop Data by Age'!$C29,'Tabular Pop Data by Age'!E$7),'Population Data by Age'!$B$7:$B$10366,0),MATCH('Tabular Pop Data by Age'!$C$6,'Population Data by Age'!$B$6:$H$6,0))</f>
        <v>0</v>
      </c>
      <c r="F29" s="78">
        <f>INDEX('Population Data by Age'!$B$7:$H$10366,MATCH(CONCATENATE('Tabular Pop Data by Age'!$C29,'Tabular Pop Data by Age'!F$7),'Population Data by Age'!$B$7:$B$10366,0),MATCH('Tabular Pop Data by Age'!$C$6,'Population Data by Age'!$B$6:$H$6,0))</f>
        <v>0</v>
      </c>
      <c r="G29" s="78">
        <f>INDEX('Population Data by Age'!$B$7:$H$10366,MATCH(CONCATENATE('Tabular Pop Data by Age'!$C29,'Tabular Pop Data by Age'!G$7),'Population Data by Age'!$B$7:$B$10366,0),MATCH('Tabular Pop Data by Age'!$C$6,'Population Data by Age'!$B$6:$H$6,0))</f>
        <v>0</v>
      </c>
      <c r="H29" s="78">
        <f>INDEX('Population Data by Age'!$B$7:$H$10366,MATCH(CONCATENATE('Tabular Pop Data by Age'!$C29,'Tabular Pop Data by Age'!H$7),'Population Data by Age'!$B$7:$B$10366,0),MATCH('Tabular Pop Data by Age'!$C$6,'Population Data by Age'!$B$6:$H$6,0))</f>
        <v>0</v>
      </c>
      <c r="I29" s="78">
        <f>INDEX('Population Data by Age'!$B$7:$H$10366,MATCH(CONCATENATE('Tabular Pop Data by Age'!$C29,'Tabular Pop Data by Age'!I$7),'Population Data by Age'!$B$7:$B$10366,0),MATCH('Tabular Pop Data by Age'!$C$6,'Population Data by Age'!$B$6:$H$6,0))</f>
        <v>0</v>
      </c>
      <c r="J29" s="78">
        <f>INDEX('Population Data by Age'!$B$7:$H$10366,MATCH(CONCATENATE('Tabular Pop Data by Age'!$C29,'Tabular Pop Data by Age'!J$7),'Population Data by Age'!$B$7:$B$10366,0),MATCH('Tabular Pop Data by Age'!$C$6,'Population Data by Age'!$B$6:$H$6,0))</f>
        <v>0</v>
      </c>
      <c r="K29" s="78">
        <f>INDEX('Population Data by Age'!$B$7:$H$10366,MATCH(CONCATENATE('Tabular Pop Data by Age'!$C29,'Tabular Pop Data by Age'!K$7),'Population Data by Age'!$B$7:$B$10366,0),MATCH('Tabular Pop Data by Age'!$C$6,'Population Data by Age'!$B$6:$H$6,0))</f>
        <v>0</v>
      </c>
      <c r="L29" s="78">
        <f>INDEX('Population Data by Age'!$B$7:$H$10366,MATCH(CONCATENATE('Tabular Pop Data by Age'!$C29,'Tabular Pop Data by Age'!L$7),'Population Data by Age'!$B$7:$B$10366,0),MATCH('Tabular Pop Data by Age'!$C$6,'Population Data by Age'!$B$6:$H$6,0))</f>
        <v>0</v>
      </c>
      <c r="M29" s="78">
        <f>INDEX('Population Data by Age'!$B$7:$H$10366,MATCH(CONCATENATE('Tabular Pop Data by Age'!$C29,'Tabular Pop Data by Age'!M$7),'Population Data by Age'!$B$7:$B$10366,0),MATCH('Tabular Pop Data by Age'!$C$6,'Population Data by Age'!$B$6:$H$6,0))</f>
        <v>0</v>
      </c>
      <c r="N29" s="78">
        <f>INDEX('Population Data by Age'!$B$7:$H$10366,MATCH(CONCATENATE('Tabular Pop Data by Age'!$C29,'Tabular Pop Data by Age'!N$7),'Population Data by Age'!$B$7:$B$10366,0),MATCH('Tabular Pop Data by Age'!$C$6,'Population Data by Age'!$B$6:$H$6,0))</f>
        <v>0</v>
      </c>
      <c r="O29" s="78">
        <f>INDEX('Population Data by Age'!$B$7:$H$10366,MATCH(CONCATENATE('Tabular Pop Data by Age'!$C29,'Tabular Pop Data by Age'!O$7),'Population Data by Age'!$B$7:$B$10366,0),MATCH('Tabular Pop Data by Age'!$C$6,'Population Data by Age'!$B$6:$H$6,0))</f>
        <v>0</v>
      </c>
      <c r="P29" s="78">
        <f>INDEX('Population Data by Age'!$B$7:$H$10366,MATCH(CONCATENATE('Tabular Pop Data by Age'!$C29,'Tabular Pop Data by Age'!P$7),'Population Data by Age'!$B$7:$B$10366,0),MATCH('Tabular Pop Data by Age'!$C$6,'Population Data by Age'!$B$6:$H$6,0))</f>
        <v>0</v>
      </c>
      <c r="Q29" s="78">
        <f>INDEX('Population Data by Age'!$B$7:$H$10366,MATCH(CONCATENATE('Tabular Pop Data by Age'!$C29,'Tabular Pop Data by Age'!Q$7),'Population Data by Age'!$B$7:$B$10366,0),MATCH('Tabular Pop Data by Age'!$C$6,'Population Data by Age'!$B$6:$H$6,0))</f>
        <v>0</v>
      </c>
      <c r="R29" s="78">
        <f>INDEX('Population Data by Age'!$B$7:$H$10366,MATCH(CONCATENATE('Tabular Pop Data by Age'!$C29,'Tabular Pop Data by Age'!R$7),'Population Data by Age'!$B$7:$B$10366,0),MATCH('Tabular Pop Data by Age'!$C$6,'Population Data by Age'!$B$6:$H$6,0))</f>
        <v>0</v>
      </c>
      <c r="S29" s="78">
        <f>INDEX('Population Data by Age'!$B$7:$H$10366,MATCH(CONCATENATE('Tabular Pop Data by Age'!$C29,'Tabular Pop Data by Age'!S$7),'Population Data by Age'!$B$7:$B$10366,0),MATCH('Tabular Pop Data by Age'!$C$6,'Population Data by Age'!$B$6:$H$6,0))</f>
        <v>0</v>
      </c>
      <c r="T29" s="78">
        <f>INDEX('Population Data by Age'!$B$7:$H$10366,MATCH(CONCATENATE('Tabular Pop Data by Age'!$C29,'Tabular Pop Data by Age'!T$7),'Population Data by Age'!$B$7:$B$10366,0),MATCH('Tabular Pop Data by Age'!$C$6,'Population Data by Age'!$B$6:$H$6,0))</f>
        <v>0</v>
      </c>
      <c r="U29" s="78">
        <f>INDEX('Population Data by Age'!$B$7:$H$10366,MATCH(CONCATENATE('Tabular Pop Data by Age'!$C29,'Tabular Pop Data by Age'!U$7),'Population Data by Age'!$B$7:$B$10366,0),MATCH('Tabular Pop Data by Age'!$C$6,'Population Data by Age'!$B$6:$H$6,0))</f>
        <v>0</v>
      </c>
      <c r="V29" s="78">
        <f>INDEX('Population Data by Age'!$B$7:$H$10366,MATCH(CONCATENATE('Tabular Pop Data by Age'!$C29,'Tabular Pop Data by Age'!V$7),'Population Data by Age'!$B$7:$B$10366,0),MATCH('Tabular Pop Data by Age'!$C$6,'Population Data by Age'!$B$6:$H$6,0))</f>
        <v>0</v>
      </c>
      <c r="W29" s="78">
        <f>INDEX('Population Data by Age'!$B$7:$H$10366,MATCH(CONCATENATE('Tabular Pop Data by Age'!$C29,'Tabular Pop Data by Age'!W$7),'Population Data by Age'!$B$7:$B$10366,0),MATCH('Tabular Pop Data by Age'!$C$6,'Population Data by Age'!$B$6:$H$6,0))</f>
        <v>0</v>
      </c>
      <c r="X29" s="78">
        <f>INDEX('Population Data by Age'!$B$7:$H$10366,MATCH(CONCATENATE('Tabular Pop Data by Age'!$C29,'Tabular Pop Data by Age'!X$7),'Population Data by Age'!$B$7:$B$10366,0),MATCH('Tabular Pop Data by Age'!$C$6,'Population Data by Age'!$B$6:$H$6,0))</f>
        <v>0</v>
      </c>
      <c r="Y29" s="78">
        <f>INDEX('Population Data by Age'!$B$7:$H$10366,MATCH(CONCATENATE('Tabular Pop Data by Age'!$C29,'Tabular Pop Data by Age'!Y$7),'Population Data by Age'!$B$7:$B$10366,0),MATCH('Tabular Pop Data by Age'!$C$6,'Population Data by Age'!$B$6:$H$6,0))</f>
        <v>0</v>
      </c>
      <c r="Z29" s="78">
        <f>INDEX('Population Data by Age'!$B$7:$H$10366,MATCH(CONCATENATE('Tabular Pop Data by Age'!$C29,'Tabular Pop Data by Age'!Z$7),'Population Data by Age'!$B$7:$B$10366,0),MATCH('Tabular Pop Data by Age'!$C$6,'Population Data by Age'!$B$6:$H$6,0))</f>
        <v>0</v>
      </c>
      <c r="AA29" s="78">
        <f>INDEX('Population Data by Age'!$B$7:$H$10366,MATCH(CONCATENATE('Tabular Pop Data by Age'!$C29,'Tabular Pop Data by Age'!AA$7),'Population Data by Age'!$B$7:$B$10366,0),MATCH('Tabular Pop Data by Age'!$C$6,'Population Data by Age'!$B$6:$H$6,0))</f>
        <v>0</v>
      </c>
      <c r="AB29" s="78">
        <f>INDEX('Population Data by Age'!$B$7:$H$10366,MATCH(CONCATENATE('Tabular Pop Data by Age'!$C29,'Tabular Pop Data by Age'!AB$7),'Population Data by Age'!$B$7:$B$10366,0),MATCH('Tabular Pop Data by Age'!$C$6,'Population Data by Age'!$B$6:$H$6,0))</f>
        <v>0</v>
      </c>
      <c r="AC29" s="78">
        <f>INDEX('Population Data by Age'!$B$7:$H$10366,MATCH(CONCATENATE('Tabular Pop Data by Age'!$C29,'Tabular Pop Data by Age'!AC$7),'Population Data by Age'!$B$7:$B$10366,0),MATCH('Tabular Pop Data by Age'!$C$6,'Population Data by Age'!$B$6:$H$6,0))</f>
        <v>0</v>
      </c>
      <c r="AD29" s="78">
        <f>INDEX('Population Data by Age'!$B$7:$H$10366,MATCH(CONCATENATE('Tabular Pop Data by Age'!$C29,'Tabular Pop Data by Age'!AD$7),'Population Data by Age'!$B$7:$B$10366,0),MATCH('Tabular Pop Data by Age'!$C$6,'Population Data by Age'!$B$6:$H$6,0))</f>
        <v>0</v>
      </c>
      <c r="AE29" s="78">
        <f>INDEX('Population Data by Age'!$B$7:$H$10366,MATCH(CONCATENATE('Tabular Pop Data by Age'!$C29,'Tabular Pop Data by Age'!AE$7),'Population Data by Age'!$B$7:$B$10366,0),MATCH('Tabular Pop Data by Age'!$C$6,'Population Data by Age'!$B$6:$H$6,0))</f>
        <v>0</v>
      </c>
      <c r="AF29" s="78">
        <f>INDEX('Population Data by Age'!$B$7:$H$10366,MATCH(CONCATENATE('Tabular Pop Data by Age'!$C29,'Tabular Pop Data by Age'!AF$7),'Population Data by Age'!$B$7:$B$10366,0),MATCH('Tabular Pop Data by Age'!$C$6,'Population Data by Age'!$B$6:$H$6,0))</f>
        <v>0</v>
      </c>
      <c r="AG29" s="78">
        <f>INDEX('Population Data by Age'!$B$7:$H$10366,MATCH(CONCATENATE('Tabular Pop Data by Age'!$C29,'Tabular Pop Data by Age'!AG$7),'Population Data by Age'!$B$7:$B$10366,0),MATCH('Tabular Pop Data by Age'!$C$6,'Population Data by Age'!$B$6:$H$6,0))</f>
        <v>0</v>
      </c>
      <c r="AH29" s="78">
        <f>INDEX('Population Data by Age'!$B$7:$H$10366,MATCH(CONCATENATE('Tabular Pop Data by Age'!$C29,'Tabular Pop Data by Age'!AH$7),'Population Data by Age'!$B$7:$B$10366,0),MATCH('Tabular Pop Data by Age'!$C$6,'Population Data by Age'!$B$6:$H$6,0))</f>
        <v>0</v>
      </c>
      <c r="AI29" s="78">
        <f>INDEX('Population Data by Age'!$B$7:$H$10366,MATCH(CONCATENATE('Tabular Pop Data by Age'!$C29,'Tabular Pop Data by Age'!AI$7),'Population Data by Age'!$B$7:$B$10366,0),MATCH('Tabular Pop Data by Age'!$C$6,'Population Data by Age'!$B$6:$H$6,0))</f>
        <v>0</v>
      </c>
      <c r="AJ29" s="78">
        <f>INDEX('Population Data by Age'!$B$7:$H$10366,MATCH(CONCATENATE('Tabular Pop Data by Age'!$C29,'Tabular Pop Data by Age'!AJ$7),'Population Data by Age'!$B$7:$B$10366,0),MATCH('Tabular Pop Data by Age'!$C$6,'Population Data by Age'!$B$6:$H$6,0))</f>
        <v>0</v>
      </c>
      <c r="AK29" s="78">
        <f>INDEX('Population Data by Age'!$B$7:$H$10366,MATCH(CONCATENATE('Tabular Pop Data by Age'!$C29,'Tabular Pop Data by Age'!AK$7),'Population Data by Age'!$B$7:$B$10366,0),MATCH('Tabular Pop Data by Age'!$C$6,'Population Data by Age'!$B$6:$H$6,0))</f>
        <v>0</v>
      </c>
      <c r="AL29" s="78">
        <f>INDEX('Population Data by Age'!$B$7:$H$10366,MATCH(CONCATENATE('Tabular Pop Data by Age'!$C29,'Tabular Pop Data by Age'!AL$7),'Population Data by Age'!$B$7:$B$10366,0),MATCH('Tabular Pop Data by Age'!$C$6,'Population Data by Age'!$B$6:$H$6,0))</f>
        <v>0</v>
      </c>
      <c r="AM29" s="78">
        <f>INDEX('Population Data by Age'!$B$7:$H$10366,MATCH(CONCATENATE('Tabular Pop Data by Age'!$C29,'Tabular Pop Data by Age'!AM$7),'Population Data by Age'!$B$7:$B$10366,0),MATCH('Tabular Pop Data by Age'!$C$6,'Population Data by Age'!$B$6:$H$6,0))</f>
        <v>0</v>
      </c>
      <c r="AN29" s="85">
        <v>71750</v>
      </c>
      <c r="AO29" s="78">
        <f>INDEX('Population Data by Age'!$B$7:$H$10366,MATCH(CONCATENATE('Tabular Pop Data by Age'!$C29,'Tabular Pop Data by Age'!AO$7),'Population Data by Age'!$B$7:$B$10366,0),MATCH('Tabular Pop Data by Age'!$C$6,'Population Data by Age'!$B$6:$H$6,0))</f>
        <v>0</v>
      </c>
      <c r="AP29" s="79">
        <f t="shared" si="0"/>
        <v>0</v>
      </c>
      <c r="AQ29" s="79">
        <f t="shared" si="1"/>
        <v>0</v>
      </c>
      <c r="AR29" s="79">
        <f t="shared" si="2"/>
        <v>0</v>
      </c>
      <c r="AS29" s="79">
        <f t="shared" si="3"/>
        <v>0</v>
      </c>
      <c r="AT29" s="79">
        <f t="shared" si="4"/>
        <v>0</v>
      </c>
      <c r="AU29" s="79">
        <f t="shared" si="5"/>
        <v>0</v>
      </c>
      <c r="AV29" s="79">
        <f t="shared" si="6"/>
        <v>0</v>
      </c>
      <c r="AW29" s="79">
        <f t="shared" si="7"/>
        <v>0</v>
      </c>
      <c r="AX29" s="79">
        <f t="shared" si="8"/>
        <v>0</v>
      </c>
      <c r="AY29" s="79">
        <f t="shared" si="9"/>
        <v>0</v>
      </c>
      <c r="AZ29" s="79">
        <f t="shared" si="10"/>
        <v>0</v>
      </c>
      <c r="BA29" s="79">
        <f t="shared" si="11"/>
        <v>0</v>
      </c>
      <c r="BB29" s="79">
        <f t="shared" si="12"/>
        <v>0</v>
      </c>
      <c r="BC29" s="79">
        <f t="shared" si="13"/>
        <v>0</v>
      </c>
      <c r="BD29" s="79">
        <f t="shared" si="14"/>
        <v>0</v>
      </c>
      <c r="BE29" s="79">
        <f t="shared" si="15"/>
        <v>0</v>
      </c>
      <c r="BF29" s="79">
        <f t="shared" si="16"/>
        <v>0</v>
      </c>
    </row>
    <row r="30" spans="1:58" x14ac:dyDescent="0.25">
      <c r="A30" s="138" t="s">
        <v>1195</v>
      </c>
      <c r="B30" t="s">
        <v>241</v>
      </c>
      <c r="C30" t="s">
        <v>21</v>
      </c>
      <c r="D30" s="78">
        <f>INDEX('Population Data by Age'!$B$7:$H$10366,MATCH(CONCATENATE('Tabular Pop Data by Age'!$C30,'Tabular Pop Data by Age'!D$7),'Population Data by Age'!$B$7:$B$10366,0),MATCH('Tabular Pop Data by Age'!$C$6,'Population Data by Age'!$B$6:$H$6,0))</f>
        <v>31000</v>
      </c>
      <c r="E30" s="78">
        <f>INDEX('Population Data by Age'!$B$7:$H$10366,MATCH(CONCATENATE('Tabular Pop Data by Age'!$C30,'Tabular Pop Data by Age'!E$7),'Population Data by Age'!$B$7:$B$10366,0),MATCH('Tabular Pop Data by Age'!$C$6,'Population Data by Age'!$B$6:$H$6,0))</f>
        <v>32000</v>
      </c>
      <c r="F30" s="78">
        <f>INDEX('Population Data by Age'!$B$7:$H$10366,MATCH(CONCATENATE('Tabular Pop Data by Age'!$C30,'Tabular Pop Data by Age'!F$7),'Population Data by Age'!$B$7:$B$10366,0),MATCH('Tabular Pop Data by Age'!$C$6,'Population Data by Age'!$B$6:$H$6,0))</f>
        <v>30000</v>
      </c>
      <c r="G30" s="78">
        <f>INDEX('Population Data by Age'!$B$7:$H$10366,MATCH(CONCATENATE('Tabular Pop Data by Age'!$C30,'Tabular Pop Data by Age'!G$7),'Population Data by Age'!$B$7:$B$10366,0),MATCH('Tabular Pop Data by Age'!$C$6,'Population Data by Age'!$B$6:$H$6,0))</f>
        <v>31000</v>
      </c>
      <c r="H30" s="78">
        <f>INDEX('Population Data by Age'!$B$7:$H$10366,MATCH(CONCATENATE('Tabular Pop Data by Age'!$C30,'Tabular Pop Data by Age'!H$7),'Population Data by Age'!$B$7:$B$10366,0),MATCH('Tabular Pop Data by Age'!$C$6,'Population Data by Age'!$B$6:$H$6,0))</f>
        <v>33000</v>
      </c>
      <c r="I30" s="78">
        <f>INDEX('Population Data by Age'!$B$7:$H$10366,MATCH(CONCATENATE('Tabular Pop Data by Age'!$C30,'Tabular Pop Data by Age'!I$7),'Population Data by Age'!$B$7:$B$10366,0),MATCH('Tabular Pop Data by Age'!$C$6,'Population Data by Age'!$B$6:$H$6,0))</f>
        <v>34000</v>
      </c>
      <c r="J30" s="78">
        <f>INDEX('Population Data by Age'!$B$7:$H$10366,MATCH(CONCATENATE('Tabular Pop Data by Age'!$C30,'Tabular Pop Data by Age'!J$7),'Population Data by Age'!$B$7:$B$10366,0),MATCH('Tabular Pop Data by Age'!$C$6,'Population Data by Age'!$B$6:$H$6,0))</f>
        <v>34000</v>
      </c>
      <c r="K30" s="78">
        <f>INDEX('Population Data by Age'!$B$7:$H$10366,MATCH(CONCATENATE('Tabular Pop Data by Age'!$C30,'Tabular Pop Data by Age'!K$7),'Population Data by Age'!$B$7:$B$10366,0),MATCH('Tabular Pop Data by Age'!$C$6,'Population Data by Age'!$B$6:$H$6,0))</f>
        <v>36000</v>
      </c>
      <c r="L30" s="78">
        <f>INDEX('Population Data by Age'!$B$7:$H$10366,MATCH(CONCATENATE('Tabular Pop Data by Age'!$C30,'Tabular Pop Data by Age'!L$7),'Population Data by Age'!$B$7:$B$10366,0),MATCH('Tabular Pop Data by Age'!$C$6,'Population Data by Age'!$B$6:$H$6,0))</f>
        <v>35000</v>
      </c>
      <c r="M30" s="78">
        <f>INDEX('Population Data by Age'!$B$7:$H$10366,MATCH(CONCATENATE('Tabular Pop Data by Age'!$C30,'Tabular Pop Data by Age'!M$7),'Population Data by Age'!$B$7:$B$10366,0),MATCH('Tabular Pop Data by Age'!$C$6,'Population Data by Age'!$B$6:$H$6,0))</f>
        <v>40000</v>
      </c>
      <c r="N30" s="78">
        <f>INDEX('Population Data by Age'!$B$7:$H$10366,MATCH(CONCATENATE('Tabular Pop Data by Age'!$C30,'Tabular Pop Data by Age'!N$7),'Population Data by Age'!$B$7:$B$10366,0),MATCH('Tabular Pop Data by Age'!$C$6,'Population Data by Age'!$B$6:$H$6,0))</f>
        <v>35000</v>
      </c>
      <c r="O30" s="78">
        <f>INDEX('Population Data by Age'!$B$7:$H$10366,MATCH(CONCATENATE('Tabular Pop Data by Age'!$C30,'Tabular Pop Data by Age'!O$7),'Population Data by Age'!$B$7:$B$10366,0),MATCH('Tabular Pop Data by Age'!$C$6,'Population Data by Age'!$B$6:$H$6,0))</f>
        <v>44000</v>
      </c>
      <c r="P30" s="78">
        <f>INDEX('Population Data by Age'!$B$7:$H$10366,MATCH(CONCATENATE('Tabular Pop Data by Age'!$C30,'Tabular Pop Data by Age'!P$7),'Population Data by Age'!$B$7:$B$10366,0),MATCH('Tabular Pop Data by Age'!$C$6,'Population Data by Age'!$B$6:$H$6,0))</f>
        <v>35000</v>
      </c>
      <c r="Q30" s="78">
        <f>INDEX('Population Data by Age'!$B$7:$H$10366,MATCH(CONCATENATE('Tabular Pop Data by Age'!$C30,'Tabular Pop Data by Age'!Q$7),'Population Data by Age'!$B$7:$B$10366,0),MATCH('Tabular Pop Data by Age'!$C$6,'Population Data by Age'!$B$6:$H$6,0))</f>
        <v>41000</v>
      </c>
      <c r="R30" s="78">
        <f>INDEX('Population Data by Age'!$B$7:$H$10366,MATCH(CONCATENATE('Tabular Pop Data by Age'!$C30,'Tabular Pop Data by Age'!R$7),'Population Data by Age'!$B$7:$B$10366,0),MATCH('Tabular Pop Data by Age'!$C$6,'Population Data by Age'!$B$6:$H$6,0))</f>
        <v>29000</v>
      </c>
      <c r="S30" s="78">
        <f>INDEX('Population Data by Age'!$B$7:$H$10366,MATCH(CONCATENATE('Tabular Pop Data by Age'!$C30,'Tabular Pop Data by Age'!S$7),'Population Data by Age'!$B$7:$B$10366,0),MATCH('Tabular Pop Data by Age'!$C$6,'Population Data by Age'!$B$6:$H$6,0))</f>
        <v>34000</v>
      </c>
      <c r="T30" s="78">
        <f>INDEX('Population Data by Age'!$B$7:$H$10366,MATCH(CONCATENATE('Tabular Pop Data by Age'!$C30,'Tabular Pop Data by Age'!T$7),'Population Data by Age'!$B$7:$B$10366,0),MATCH('Tabular Pop Data by Age'!$C$6,'Population Data by Age'!$B$6:$H$6,0))</f>
        <v>22000</v>
      </c>
      <c r="U30" s="78">
        <f>INDEX('Population Data by Age'!$B$7:$H$10366,MATCH(CONCATENATE('Tabular Pop Data by Age'!$C30,'Tabular Pop Data by Age'!U$7),'Population Data by Age'!$B$7:$B$10366,0),MATCH('Tabular Pop Data by Age'!$C$6,'Population Data by Age'!$B$6:$H$6,0))</f>
        <v>28000</v>
      </c>
      <c r="V30" s="78">
        <f>INDEX('Population Data by Age'!$B$7:$H$10366,MATCH(CONCATENATE('Tabular Pop Data by Age'!$C30,'Tabular Pop Data by Age'!V$7),'Population Data by Age'!$B$7:$B$10366,0),MATCH('Tabular Pop Data by Age'!$C$6,'Population Data by Age'!$B$6:$H$6,0))</f>
        <v>18000</v>
      </c>
      <c r="W30" s="78">
        <f>INDEX('Population Data by Age'!$B$7:$H$10366,MATCH(CONCATENATE('Tabular Pop Data by Age'!$C30,'Tabular Pop Data by Age'!W$7),'Population Data by Age'!$B$7:$B$10366,0),MATCH('Tabular Pop Data by Age'!$C$6,'Population Data by Age'!$B$6:$H$6,0))</f>
        <v>21000</v>
      </c>
      <c r="X30" s="78">
        <f>INDEX('Population Data by Age'!$B$7:$H$10366,MATCH(CONCATENATE('Tabular Pop Data by Age'!$C30,'Tabular Pop Data by Age'!X$7),'Population Data by Age'!$B$7:$B$10366,0),MATCH('Tabular Pop Data by Age'!$C$6,'Population Data by Age'!$B$6:$H$6,0))</f>
        <v>15000</v>
      </c>
      <c r="Y30" s="78">
        <f>INDEX('Population Data by Age'!$B$7:$H$10366,MATCH(CONCATENATE('Tabular Pop Data by Age'!$C30,'Tabular Pop Data by Age'!Y$7),'Population Data by Age'!$B$7:$B$10366,0),MATCH('Tabular Pop Data by Age'!$C$6,'Population Data by Age'!$B$6:$H$6,0))</f>
        <v>18000</v>
      </c>
      <c r="Z30" s="78">
        <f>INDEX('Population Data by Age'!$B$7:$H$10366,MATCH(CONCATENATE('Tabular Pop Data by Age'!$C30,'Tabular Pop Data by Age'!Z$7),'Population Data by Age'!$B$7:$B$10366,0),MATCH('Tabular Pop Data by Age'!$C$6,'Population Data by Age'!$B$6:$H$6,0))</f>
        <v>12000</v>
      </c>
      <c r="AA30" s="78">
        <f>INDEX('Population Data by Age'!$B$7:$H$10366,MATCH(CONCATENATE('Tabular Pop Data by Age'!$C30,'Tabular Pop Data by Age'!AA$7),'Population Data by Age'!$B$7:$B$10366,0),MATCH('Tabular Pop Data by Age'!$C$6,'Population Data by Age'!$B$6:$H$6,0))</f>
        <v>14000</v>
      </c>
      <c r="AB30" s="78">
        <f>INDEX('Population Data by Age'!$B$7:$H$10366,MATCH(CONCATENATE('Tabular Pop Data by Age'!$C30,'Tabular Pop Data by Age'!AB$7),'Population Data by Age'!$B$7:$B$10366,0),MATCH('Tabular Pop Data by Age'!$C$6,'Population Data by Age'!$B$6:$H$6,0))</f>
        <v>10000</v>
      </c>
      <c r="AC30" s="78">
        <f>INDEX('Population Data by Age'!$B$7:$H$10366,MATCH(CONCATENATE('Tabular Pop Data by Age'!$C30,'Tabular Pop Data by Age'!AC$7),'Population Data by Age'!$B$7:$B$10366,0),MATCH('Tabular Pop Data by Age'!$C$6,'Population Data by Age'!$B$6:$H$6,0))</f>
        <v>11000</v>
      </c>
      <c r="AD30" s="78">
        <f>INDEX('Population Data by Age'!$B$7:$H$10366,MATCH(CONCATENATE('Tabular Pop Data by Age'!$C30,'Tabular Pop Data by Age'!AD$7),'Population Data by Age'!$B$7:$B$10366,0),MATCH('Tabular Pop Data by Age'!$C$6,'Population Data by Age'!$B$6:$H$6,0))</f>
        <v>7100</v>
      </c>
      <c r="AE30" s="78">
        <f>INDEX('Population Data by Age'!$B$7:$H$10366,MATCH(CONCATENATE('Tabular Pop Data by Age'!$C30,'Tabular Pop Data by Age'!AE$7),'Population Data by Age'!$B$7:$B$10366,0),MATCH('Tabular Pop Data by Age'!$C$6,'Population Data by Age'!$B$6:$H$6,0))</f>
        <v>8500</v>
      </c>
      <c r="AF30" s="78">
        <f>INDEX('Population Data by Age'!$B$7:$H$10366,MATCH(CONCATENATE('Tabular Pop Data by Age'!$C30,'Tabular Pop Data by Age'!AF$7),'Population Data by Age'!$B$7:$B$10366,0),MATCH('Tabular Pop Data by Age'!$C$6,'Population Data by Age'!$B$6:$H$6,0))</f>
        <v>5600</v>
      </c>
      <c r="AG30" s="78">
        <f>INDEX('Population Data by Age'!$B$7:$H$10366,MATCH(CONCATENATE('Tabular Pop Data by Age'!$C30,'Tabular Pop Data by Age'!AG$7),'Population Data by Age'!$B$7:$B$10366,0),MATCH('Tabular Pop Data by Age'!$C$6,'Population Data by Age'!$B$6:$H$6,0))</f>
        <v>7200</v>
      </c>
      <c r="AH30" s="78">
        <f>INDEX('Population Data by Age'!$B$7:$H$10366,MATCH(CONCATENATE('Tabular Pop Data by Age'!$C30,'Tabular Pop Data by Age'!AH$7),'Population Data by Age'!$B$7:$B$10366,0),MATCH('Tabular Pop Data by Age'!$C$6,'Population Data by Age'!$B$6:$H$6,0))</f>
        <v>4200</v>
      </c>
      <c r="AI30" s="78">
        <f>INDEX('Population Data by Age'!$B$7:$H$10366,MATCH(CONCATENATE('Tabular Pop Data by Age'!$C30,'Tabular Pop Data by Age'!AI$7),'Population Data by Age'!$B$7:$B$10366,0),MATCH('Tabular Pop Data by Age'!$C$6,'Population Data by Age'!$B$6:$H$6,0))</f>
        <v>5300</v>
      </c>
      <c r="AJ30" s="78">
        <f>INDEX('Population Data by Age'!$B$7:$H$10366,MATCH(CONCATENATE('Tabular Pop Data by Age'!$C30,'Tabular Pop Data by Age'!AJ$7),'Population Data by Age'!$B$7:$B$10366,0),MATCH('Tabular Pop Data by Age'!$C$6,'Population Data by Age'!$B$6:$H$6,0))</f>
        <v>4700</v>
      </c>
      <c r="AK30" s="78">
        <f>INDEX('Population Data by Age'!$B$7:$H$10366,MATCH(CONCATENATE('Tabular Pop Data by Age'!$C30,'Tabular Pop Data by Age'!AK$7),'Population Data by Age'!$B$7:$B$10366,0),MATCH('Tabular Pop Data by Age'!$C$6,'Population Data by Age'!$B$6:$H$6,0))</f>
        <v>5300</v>
      </c>
      <c r="AL30" s="78">
        <f>INDEX('Population Data by Age'!$B$7:$H$10366,MATCH(CONCATENATE('Tabular Pop Data by Age'!$C30,'Tabular Pop Data by Age'!AL$7),'Population Data by Age'!$B$7:$B$10366,0),MATCH('Tabular Pop Data by Age'!$C$6,'Population Data by Age'!$B$6:$H$6,0))</f>
        <v>362000</v>
      </c>
      <c r="AM30" s="78">
        <f>INDEX('Population Data by Age'!$B$7:$H$10366,MATCH(CONCATENATE('Tabular Pop Data by Age'!$C30,'Tabular Pop Data by Age'!AM$7),'Population Data by Age'!$B$7:$B$10366,0),MATCH('Tabular Pop Data by Age'!$C$6,'Population Data by Age'!$B$6:$H$6,0))</f>
        <v>410000</v>
      </c>
      <c r="AN30" s="78">
        <f>INDEX('Population Data by Age'!$B$7:$H$10366,MATCH(CONCATENATE('Tabular Pop Data by Age'!$C30,'Tabular Pop Data by Age'!AN$7),'Population Data by Age'!$B$7:$B$10366,0),MATCH('Tabular Pop Data by Age'!$C$6,'Population Data by Age'!$B$6:$H$6,0))</f>
        <v>772000</v>
      </c>
      <c r="AO30" s="78">
        <f>INDEX('Population Data by Age'!$B$7:$H$10366,MATCH(CONCATENATE('Tabular Pop Data by Age'!$C30,'Tabular Pop Data by Age'!AO$7),'Population Data by Age'!$B$7:$B$10366,0),MATCH('Tabular Pop Data by Age'!$C$6,'Population Data by Age'!$B$6:$H$6,0))</f>
        <v>0</v>
      </c>
      <c r="AP30" s="79">
        <f t="shared" si="0"/>
        <v>63000</v>
      </c>
      <c r="AQ30" s="79">
        <f t="shared" si="1"/>
        <v>61000</v>
      </c>
      <c r="AR30" s="79">
        <f t="shared" si="2"/>
        <v>67000</v>
      </c>
      <c r="AS30" s="79">
        <f t="shared" si="3"/>
        <v>70000</v>
      </c>
      <c r="AT30" s="79">
        <f t="shared" si="4"/>
        <v>75000</v>
      </c>
      <c r="AU30" s="79">
        <f t="shared" si="5"/>
        <v>79000</v>
      </c>
      <c r="AV30" s="79">
        <f t="shared" si="6"/>
        <v>76000</v>
      </c>
      <c r="AW30" s="79">
        <f t="shared" si="7"/>
        <v>63000</v>
      </c>
      <c r="AX30" s="79">
        <f t="shared" si="8"/>
        <v>50000</v>
      </c>
      <c r="AY30" s="79">
        <f t="shared" si="9"/>
        <v>39000</v>
      </c>
      <c r="AZ30" s="79">
        <f t="shared" si="10"/>
        <v>33000</v>
      </c>
      <c r="BA30" s="79">
        <f t="shared" si="11"/>
        <v>26000</v>
      </c>
      <c r="BB30" s="79">
        <f t="shared" si="12"/>
        <v>21000</v>
      </c>
      <c r="BC30" s="79">
        <f t="shared" si="13"/>
        <v>15600</v>
      </c>
      <c r="BD30" s="79">
        <f t="shared" si="14"/>
        <v>12800</v>
      </c>
      <c r="BE30" s="79">
        <f t="shared" si="15"/>
        <v>9500</v>
      </c>
      <c r="BF30" s="79">
        <f t="shared" si="16"/>
        <v>10000</v>
      </c>
    </row>
    <row r="31" spans="1:58" x14ac:dyDescent="0.25">
      <c r="A31" s="138" t="s">
        <v>1195</v>
      </c>
      <c r="B31" t="s">
        <v>219</v>
      </c>
      <c r="C31" t="s">
        <v>18</v>
      </c>
      <c r="D31" s="78">
        <f>INDEX('Population Data by Age'!$B$7:$H$10366,MATCH(CONCATENATE('Tabular Pop Data by Age'!$C31,'Tabular Pop Data by Age'!D$7),'Population Data by Age'!$B$7:$B$10366,0),MATCH('Tabular Pop Data by Age'!$C$6,'Population Data by Age'!$B$6:$H$6,0))</f>
        <v>580000</v>
      </c>
      <c r="E31" s="78">
        <f>INDEX('Population Data by Age'!$B$7:$H$10366,MATCH(CONCATENATE('Tabular Pop Data by Age'!$C31,'Tabular Pop Data by Age'!E$7),'Population Data by Age'!$B$7:$B$10366,0),MATCH('Tabular Pop Data by Age'!$C$6,'Population Data by Age'!$B$6:$H$6,0))</f>
        <v>606000</v>
      </c>
      <c r="F31" s="78">
        <f>INDEX('Population Data by Age'!$B$7:$H$10366,MATCH(CONCATENATE('Tabular Pop Data by Age'!$C31,'Tabular Pop Data by Age'!F$7),'Population Data by Age'!$B$7:$B$10366,0),MATCH('Tabular Pop Data by Age'!$C$6,'Population Data by Age'!$B$6:$H$6,0))</f>
        <v>577000</v>
      </c>
      <c r="G31" s="78">
        <f>INDEX('Population Data by Age'!$B$7:$H$10366,MATCH(CONCATENATE('Tabular Pop Data by Age'!$C31,'Tabular Pop Data by Age'!G$7),'Population Data by Age'!$B$7:$B$10366,0),MATCH('Tabular Pop Data by Age'!$C$6,'Population Data by Age'!$B$6:$H$6,0))</f>
        <v>602000</v>
      </c>
      <c r="H31" s="78">
        <f>INDEX('Population Data by Age'!$B$7:$H$10366,MATCH(CONCATENATE('Tabular Pop Data by Age'!$C31,'Tabular Pop Data by Age'!H$7),'Population Data by Age'!$B$7:$B$10366,0),MATCH('Tabular Pop Data by Age'!$C$6,'Population Data by Age'!$B$6:$H$6,0))</f>
        <v>568000</v>
      </c>
      <c r="I31" s="78">
        <f>INDEX('Population Data by Age'!$B$7:$H$10366,MATCH(CONCATENATE('Tabular Pop Data by Age'!$C31,'Tabular Pop Data by Age'!I$7),'Population Data by Age'!$B$7:$B$10366,0),MATCH('Tabular Pop Data by Age'!$C$6,'Population Data by Age'!$B$6:$H$6,0))</f>
        <v>593000</v>
      </c>
      <c r="J31" s="78">
        <f>INDEX('Population Data by Age'!$B$7:$H$10366,MATCH(CONCATENATE('Tabular Pop Data by Age'!$C31,'Tabular Pop Data by Age'!J$7),'Population Data by Age'!$B$7:$B$10366,0),MATCH('Tabular Pop Data by Age'!$C$6,'Population Data by Age'!$B$6:$H$6,0))</f>
        <v>557000</v>
      </c>
      <c r="K31" s="78">
        <f>INDEX('Population Data by Age'!$B$7:$H$10366,MATCH(CONCATENATE('Tabular Pop Data by Age'!$C31,'Tabular Pop Data by Age'!K$7),'Population Data by Age'!$B$7:$B$10366,0),MATCH('Tabular Pop Data by Age'!$C$6,'Population Data by Age'!$B$6:$H$6,0))</f>
        <v>580000</v>
      </c>
      <c r="L31" s="78">
        <f>INDEX('Population Data by Age'!$B$7:$H$10366,MATCH(CONCATENATE('Tabular Pop Data by Age'!$C31,'Tabular Pop Data by Age'!L$7),'Population Data by Age'!$B$7:$B$10366,0),MATCH('Tabular Pop Data by Age'!$C$6,'Population Data by Age'!$B$6:$H$6,0))</f>
        <v>524000</v>
      </c>
      <c r="M31" s="78">
        <f>INDEX('Population Data by Age'!$B$7:$H$10366,MATCH(CONCATENATE('Tabular Pop Data by Age'!$C31,'Tabular Pop Data by Age'!M$7),'Population Data by Age'!$B$7:$B$10366,0),MATCH('Tabular Pop Data by Age'!$C$6,'Population Data by Age'!$B$6:$H$6,0))</f>
        <v>541000</v>
      </c>
      <c r="N31" s="78">
        <f>INDEX('Population Data by Age'!$B$7:$H$10366,MATCH(CONCATENATE('Tabular Pop Data by Age'!$C31,'Tabular Pop Data by Age'!N$7),'Population Data by Age'!$B$7:$B$10366,0),MATCH('Tabular Pop Data by Age'!$C$6,'Population Data by Age'!$B$6:$H$6,0))</f>
        <v>481000</v>
      </c>
      <c r="O31" s="78">
        <f>INDEX('Population Data by Age'!$B$7:$H$10366,MATCH(CONCATENATE('Tabular Pop Data by Age'!$C31,'Tabular Pop Data by Age'!O$7),'Population Data by Age'!$B$7:$B$10366,0),MATCH('Tabular Pop Data by Age'!$C$6,'Population Data by Age'!$B$6:$H$6,0))</f>
        <v>493000</v>
      </c>
      <c r="P31" s="78">
        <f>INDEX('Population Data by Age'!$B$7:$H$10366,MATCH(CONCATENATE('Tabular Pop Data by Age'!$C31,'Tabular Pop Data by Age'!P$7),'Population Data by Age'!$B$7:$B$10366,0),MATCH('Tabular Pop Data by Age'!$C$6,'Population Data by Age'!$B$6:$H$6,0))</f>
        <v>433000</v>
      </c>
      <c r="Q31" s="78">
        <f>INDEX('Population Data by Age'!$B$7:$H$10366,MATCH(CONCATENATE('Tabular Pop Data by Age'!$C31,'Tabular Pop Data by Age'!Q$7),'Population Data by Age'!$B$7:$B$10366,0),MATCH('Tabular Pop Data by Age'!$C$6,'Population Data by Age'!$B$6:$H$6,0))</f>
        <v>438000</v>
      </c>
      <c r="R31" s="78">
        <f>INDEX('Population Data by Age'!$B$7:$H$10366,MATCH(CONCATENATE('Tabular Pop Data by Age'!$C31,'Tabular Pop Data by Age'!R$7),'Population Data by Age'!$B$7:$B$10366,0),MATCH('Tabular Pop Data by Age'!$C$6,'Population Data by Age'!$B$6:$H$6,0))</f>
        <v>383000</v>
      </c>
      <c r="S31" s="78">
        <f>INDEX('Population Data by Age'!$B$7:$H$10366,MATCH(CONCATENATE('Tabular Pop Data by Age'!$C31,'Tabular Pop Data by Age'!S$7),'Population Data by Age'!$B$7:$B$10366,0),MATCH('Tabular Pop Data by Age'!$C$6,'Population Data by Age'!$B$6:$H$6,0))</f>
        <v>385000</v>
      </c>
      <c r="T31" s="78">
        <f>INDEX('Population Data by Age'!$B$7:$H$10366,MATCH(CONCATENATE('Tabular Pop Data by Age'!$C31,'Tabular Pop Data by Age'!T$7),'Population Data by Age'!$B$7:$B$10366,0),MATCH('Tabular Pop Data by Age'!$C$6,'Population Data by Age'!$B$6:$H$6,0))</f>
        <v>335000</v>
      </c>
      <c r="U31" s="78">
        <f>INDEX('Population Data by Age'!$B$7:$H$10366,MATCH(CONCATENATE('Tabular Pop Data by Age'!$C31,'Tabular Pop Data by Age'!U$7),'Population Data by Age'!$B$7:$B$10366,0),MATCH('Tabular Pop Data by Age'!$C$6,'Population Data by Age'!$B$6:$H$6,0))</f>
        <v>333000</v>
      </c>
      <c r="V31" s="78">
        <f>INDEX('Population Data by Age'!$B$7:$H$10366,MATCH(CONCATENATE('Tabular Pop Data by Age'!$C31,'Tabular Pop Data by Age'!V$7),'Population Data by Age'!$B$7:$B$10366,0),MATCH('Tabular Pop Data by Age'!$C$6,'Population Data by Age'!$B$6:$H$6,0))</f>
        <v>287000</v>
      </c>
      <c r="W31" s="78">
        <f>INDEX('Population Data by Age'!$B$7:$H$10366,MATCH(CONCATENATE('Tabular Pop Data by Age'!$C31,'Tabular Pop Data by Age'!W$7),'Population Data by Age'!$B$7:$B$10366,0),MATCH('Tabular Pop Data by Age'!$C$6,'Population Data by Age'!$B$6:$H$6,0))</f>
        <v>283000</v>
      </c>
      <c r="X31" s="78">
        <f>INDEX('Population Data by Age'!$B$7:$H$10366,MATCH(CONCATENATE('Tabular Pop Data by Age'!$C31,'Tabular Pop Data by Age'!X$7),'Population Data by Age'!$B$7:$B$10366,0),MATCH('Tabular Pop Data by Age'!$C$6,'Population Data by Age'!$B$6:$H$6,0))</f>
        <v>243000</v>
      </c>
      <c r="Y31" s="78">
        <f>INDEX('Population Data by Age'!$B$7:$H$10366,MATCH(CONCATENATE('Tabular Pop Data by Age'!$C31,'Tabular Pop Data by Age'!Y$7),'Population Data by Age'!$B$7:$B$10366,0),MATCH('Tabular Pop Data by Age'!$C$6,'Population Data by Age'!$B$6:$H$6,0))</f>
        <v>237000</v>
      </c>
      <c r="Z31" s="78">
        <f>INDEX('Population Data by Age'!$B$7:$H$10366,MATCH(CONCATENATE('Tabular Pop Data by Age'!$C31,'Tabular Pop Data by Age'!Z$7),'Population Data by Age'!$B$7:$B$10366,0),MATCH('Tabular Pop Data by Age'!$C$6,'Population Data by Age'!$B$6:$H$6,0))</f>
        <v>205000</v>
      </c>
      <c r="AA31" s="78">
        <f>INDEX('Population Data by Age'!$B$7:$H$10366,MATCH(CONCATENATE('Tabular Pop Data by Age'!$C31,'Tabular Pop Data by Age'!AA$7),'Population Data by Age'!$B$7:$B$10366,0),MATCH('Tabular Pop Data by Age'!$C$6,'Population Data by Age'!$B$6:$H$6,0))</f>
        <v>198000</v>
      </c>
      <c r="AB31" s="78">
        <f>INDEX('Population Data by Age'!$B$7:$H$10366,MATCH(CONCATENATE('Tabular Pop Data by Age'!$C31,'Tabular Pop Data by Age'!AB$7),'Population Data by Age'!$B$7:$B$10366,0),MATCH('Tabular Pop Data by Age'!$C$6,'Population Data by Age'!$B$6:$H$6,0))</f>
        <v>172000</v>
      </c>
      <c r="AC31" s="78">
        <f>INDEX('Population Data by Age'!$B$7:$H$10366,MATCH(CONCATENATE('Tabular Pop Data by Age'!$C31,'Tabular Pop Data by Age'!AC$7),'Population Data by Age'!$B$7:$B$10366,0),MATCH('Tabular Pop Data by Age'!$C$6,'Population Data by Age'!$B$6:$H$6,0))</f>
        <v>164000</v>
      </c>
      <c r="AD31" s="78">
        <f>INDEX('Population Data by Age'!$B$7:$H$10366,MATCH(CONCATENATE('Tabular Pop Data by Age'!$C31,'Tabular Pop Data by Age'!AD$7),'Population Data by Age'!$B$7:$B$10366,0),MATCH('Tabular Pop Data by Age'!$C$6,'Population Data by Age'!$B$6:$H$6,0))</f>
        <v>145000</v>
      </c>
      <c r="AE31" s="78">
        <f>INDEX('Population Data by Age'!$B$7:$H$10366,MATCH(CONCATENATE('Tabular Pop Data by Age'!$C31,'Tabular Pop Data by Age'!AE$7),'Population Data by Age'!$B$7:$B$10366,0),MATCH('Tabular Pop Data by Age'!$C$6,'Population Data by Age'!$B$6:$H$6,0))</f>
        <v>134000</v>
      </c>
      <c r="AF31" s="78">
        <f>INDEX('Population Data by Age'!$B$7:$H$10366,MATCH(CONCATENATE('Tabular Pop Data by Age'!$C31,'Tabular Pop Data by Age'!AF$7),'Population Data by Age'!$B$7:$B$10366,0),MATCH('Tabular Pop Data by Age'!$C$6,'Population Data by Age'!$B$6:$H$6,0))</f>
        <v>118000</v>
      </c>
      <c r="AG31" s="78">
        <f>INDEX('Population Data by Age'!$B$7:$H$10366,MATCH(CONCATENATE('Tabular Pop Data by Age'!$C31,'Tabular Pop Data by Age'!AG$7),'Population Data by Age'!$B$7:$B$10366,0),MATCH('Tabular Pop Data by Age'!$C$6,'Population Data by Age'!$B$6:$H$6,0))</f>
        <v>107000</v>
      </c>
      <c r="AH31" s="78">
        <f>INDEX('Population Data by Age'!$B$7:$H$10366,MATCH(CONCATENATE('Tabular Pop Data by Age'!$C31,'Tabular Pop Data by Age'!AH$7),'Population Data by Age'!$B$7:$B$10366,0),MATCH('Tabular Pop Data by Age'!$C$6,'Population Data by Age'!$B$6:$H$6,0))</f>
        <v>90000</v>
      </c>
      <c r="AI31" s="78">
        <f>INDEX('Population Data by Age'!$B$7:$H$10366,MATCH(CONCATENATE('Tabular Pop Data by Age'!$C31,'Tabular Pop Data by Age'!AI$7),'Population Data by Age'!$B$7:$B$10366,0),MATCH('Tabular Pop Data by Age'!$C$6,'Population Data by Age'!$B$6:$H$6,0))</f>
        <v>77000</v>
      </c>
      <c r="AJ31" s="78">
        <f>INDEX('Population Data by Age'!$B$7:$H$10366,MATCH(CONCATENATE('Tabular Pop Data by Age'!$C31,'Tabular Pop Data by Age'!AJ$7),'Population Data by Age'!$B$7:$B$10366,0),MATCH('Tabular Pop Data by Age'!$C$6,'Population Data by Age'!$B$6:$H$6,0))</f>
        <v>117000</v>
      </c>
      <c r="AK31" s="78">
        <f>INDEX('Population Data by Age'!$B$7:$H$10366,MATCH(CONCATENATE('Tabular Pop Data by Age'!$C31,'Tabular Pop Data by Age'!AK$7),'Population Data by Age'!$B$7:$B$10366,0),MATCH('Tabular Pop Data by Age'!$C$6,'Population Data by Age'!$B$6:$H$6,0))</f>
        <v>86000</v>
      </c>
      <c r="AL31" s="78">
        <f>INDEX('Population Data by Age'!$B$7:$H$10366,MATCH(CONCATENATE('Tabular Pop Data by Age'!$C31,'Tabular Pop Data by Age'!AL$7),'Population Data by Age'!$B$7:$B$10366,0),MATCH('Tabular Pop Data by Age'!$C$6,'Population Data by Age'!$B$6:$H$6,0))</f>
        <v>5815000</v>
      </c>
      <c r="AM31" s="78">
        <f>INDEX('Population Data by Age'!$B$7:$H$10366,MATCH(CONCATENATE('Tabular Pop Data by Age'!$C31,'Tabular Pop Data by Age'!AM$7),'Population Data by Age'!$B$7:$B$10366,0),MATCH('Tabular Pop Data by Age'!$C$6,'Population Data by Age'!$B$6:$H$6,0))</f>
        <v>5858000</v>
      </c>
      <c r="AN31" s="78">
        <f>INDEX('Population Data by Age'!$B$7:$H$10366,MATCH(CONCATENATE('Tabular Pop Data by Age'!$C31,'Tabular Pop Data by Age'!AN$7),'Population Data by Age'!$B$7:$B$10366,0),MATCH('Tabular Pop Data by Age'!$C$6,'Population Data by Age'!$B$6:$H$6,0))</f>
        <v>11673000</v>
      </c>
      <c r="AO31" s="78">
        <f>INDEX('Population Data by Age'!$B$7:$H$10366,MATCH(CONCATENATE('Tabular Pop Data by Age'!$C31,'Tabular Pop Data by Age'!AO$7),'Population Data by Age'!$B$7:$B$10366,0),MATCH('Tabular Pop Data by Age'!$C$6,'Population Data by Age'!$B$6:$H$6,0))</f>
        <v>0</v>
      </c>
      <c r="AP31" s="79">
        <f t="shared" si="0"/>
        <v>1186000</v>
      </c>
      <c r="AQ31" s="79">
        <f t="shared" si="1"/>
        <v>1179000</v>
      </c>
      <c r="AR31" s="79">
        <f t="shared" si="2"/>
        <v>1161000</v>
      </c>
      <c r="AS31" s="79">
        <f t="shared" si="3"/>
        <v>1137000</v>
      </c>
      <c r="AT31" s="79">
        <f t="shared" si="4"/>
        <v>1065000</v>
      </c>
      <c r="AU31" s="79">
        <f t="shared" si="5"/>
        <v>974000</v>
      </c>
      <c r="AV31" s="79">
        <f t="shared" si="6"/>
        <v>871000</v>
      </c>
      <c r="AW31" s="79">
        <f t="shared" si="7"/>
        <v>768000</v>
      </c>
      <c r="AX31" s="79">
        <f t="shared" si="8"/>
        <v>668000</v>
      </c>
      <c r="AY31" s="79">
        <f t="shared" si="9"/>
        <v>570000</v>
      </c>
      <c r="AZ31" s="79">
        <f t="shared" si="10"/>
        <v>480000</v>
      </c>
      <c r="BA31" s="79">
        <f t="shared" si="11"/>
        <v>403000</v>
      </c>
      <c r="BB31" s="79">
        <f t="shared" si="12"/>
        <v>336000</v>
      </c>
      <c r="BC31" s="79">
        <f t="shared" si="13"/>
        <v>279000</v>
      </c>
      <c r="BD31" s="79">
        <f t="shared" si="14"/>
        <v>225000</v>
      </c>
      <c r="BE31" s="79">
        <f t="shared" si="15"/>
        <v>167000</v>
      </c>
      <c r="BF31" s="79">
        <f t="shared" si="16"/>
        <v>203000</v>
      </c>
    </row>
    <row r="32" spans="1:58" x14ac:dyDescent="0.25">
      <c r="A32" s="138" t="s">
        <v>1195</v>
      </c>
      <c r="B32" t="s">
        <v>442</v>
      </c>
      <c r="C32" t="s">
        <v>15</v>
      </c>
      <c r="D32" s="78">
        <f>INDEX('Population Data by Age'!$B$7:$H$10366,MATCH(CONCATENATE('Tabular Pop Data by Age'!$C32,'Tabular Pop Data by Age'!D$7),'Population Data by Age'!$B$7:$B$10366,0),MATCH('Tabular Pop Data by Age'!$C$6,'Population Data by Age'!$B$6:$H$6,0))</f>
        <v>65000</v>
      </c>
      <c r="E32" s="78">
        <f>INDEX('Population Data by Age'!$B$7:$H$10366,MATCH(CONCATENATE('Tabular Pop Data by Age'!$C32,'Tabular Pop Data by Age'!E$7),'Population Data by Age'!$B$7:$B$10366,0),MATCH('Tabular Pop Data by Age'!$C$6,'Population Data by Age'!$B$6:$H$6,0))</f>
        <v>69000</v>
      </c>
      <c r="F32" s="78">
        <f>INDEX('Population Data by Age'!$B$7:$H$10366,MATCH(CONCATENATE('Tabular Pop Data by Age'!$C32,'Tabular Pop Data by Age'!F$7),'Population Data by Age'!$B$7:$B$10366,0),MATCH('Tabular Pop Data by Age'!$C$6,'Population Data by Age'!$B$6:$H$6,0))</f>
        <v>79000</v>
      </c>
      <c r="G32" s="78">
        <f>INDEX('Population Data by Age'!$B$7:$H$10366,MATCH(CONCATENATE('Tabular Pop Data by Age'!$C32,'Tabular Pop Data by Age'!G$7),'Population Data by Age'!$B$7:$B$10366,0),MATCH('Tabular Pop Data by Age'!$C$6,'Population Data by Age'!$B$6:$H$6,0))</f>
        <v>83000</v>
      </c>
      <c r="H32" s="78">
        <f>INDEX('Population Data by Age'!$B$7:$H$10366,MATCH(CONCATENATE('Tabular Pop Data by Age'!$C32,'Tabular Pop Data by Age'!H$7),'Population Data by Age'!$B$7:$B$10366,0),MATCH('Tabular Pop Data by Age'!$C$6,'Population Data by Age'!$B$6:$H$6,0))</f>
        <v>88000</v>
      </c>
      <c r="I32" s="78">
        <f>INDEX('Population Data by Age'!$B$7:$H$10366,MATCH(CONCATENATE('Tabular Pop Data by Age'!$C32,'Tabular Pop Data by Age'!I$7),'Population Data by Age'!$B$7:$B$10366,0),MATCH('Tabular Pop Data by Age'!$C$6,'Population Data by Age'!$B$6:$H$6,0))</f>
        <v>93000</v>
      </c>
      <c r="J32" s="78">
        <f>INDEX('Population Data by Age'!$B$7:$H$10366,MATCH(CONCATENATE('Tabular Pop Data by Age'!$C32,'Tabular Pop Data by Age'!J$7),'Population Data by Age'!$B$7:$B$10366,0),MATCH('Tabular Pop Data by Age'!$C$6,'Population Data by Age'!$B$6:$H$6,0))</f>
        <v>81000</v>
      </c>
      <c r="K32" s="78">
        <f>INDEX('Population Data by Age'!$B$7:$H$10366,MATCH(CONCATENATE('Tabular Pop Data by Age'!$C32,'Tabular Pop Data by Age'!K$7),'Population Data by Age'!$B$7:$B$10366,0),MATCH('Tabular Pop Data by Age'!$C$6,'Population Data by Age'!$B$6:$H$6,0))</f>
        <v>84000</v>
      </c>
      <c r="L32" s="78">
        <f>INDEX('Population Data by Age'!$B$7:$H$10366,MATCH(CONCATENATE('Tabular Pop Data by Age'!$C32,'Tabular Pop Data by Age'!L$7),'Population Data by Age'!$B$7:$B$10366,0),MATCH('Tabular Pop Data by Age'!$C$6,'Population Data by Age'!$B$6:$H$6,0))</f>
        <v>105000</v>
      </c>
      <c r="M32" s="78">
        <f>INDEX('Population Data by Age'!$B$7:$H$10366,MATCH(CONCATENATE('Tabular Pop Data by Age'!$C32,'Tabular Pop Data by Age'!M$7),'Population Data by Age'!$B$7:$B$10366,0),MATCH('Tabular Pop Data by Age'!$C$6,'Population Data by Age'!$B$6:$H$6,0))</f>
        <v>112000</v>
      </c>
      <c r="N32" s="78">
        <f>INDEX('Population Data by Age'!$B$7:$H$10366,MATCH(CONCATENATE('Tabular Pop Data by Age'!$C32,'Tabular Pop Data by Age'!N$7),'Population Data by Age'!$B$7:$B$10366,0),MATCH('Tabular Pop Data by Age'!$C$6,'Population Data by Age'!$B$6:$H$6,0))</f>
        <v>91000</v>
      </c>
      <c r="O32" s="78">
        <f>INDEX('Population Data by Age'!$B$7:$H$10366,MATCH(CONCATENATE('Tabular Pop Data by Age'!$C32,'Tabular Pop Data by Age'!O$7),'Population Data by Age'!$B$7:$B$10366,0),MATCH('Tabular Pop Data by Age'!$C$6,'Population Data by Age'!$B$6:$H$6,0))</f>
        <v>96000</v>
      </c>
      <c r="P32" s="78">
        <f>INDEX('Population Data by Age'!$B$7:$H$10366,MATCH(CONCATENATE('Tabular Pop Data by Age'!$C32,'Tabular Pop Data by Age'!P$7),'Population Data by Age'!$B$7:$B$10366,0),MATCH('Tabular Pop Data by Age'!$C$6,'Population Data by Age'!$B$6:$H$6,0))</f>
        <v>106000</v>
      </c>
      <c r="Q32" s="78">
        <f>INDEX('Population Data by Age'!$B$7:$H$10366,MATCH(CONCATENATE('Tabular Pop Data by Age'!$C32,'Tabular Pop Data by Age'!Q$7),'Population Data by Age'!$B$7:$B$10366,0),MATCH('Tabular Pop Data by Age'!$C$6,'Population Data by Age'!$B$6:$H$6,0))</f>
        <v>111000</v>
      </c>
      <c r="R32" s="78">
        <f>INDEX('Population Data by Age'!$B$7:$H$10366,MATCH(CONCATENATE('Tabular Pop Data by Age'!$C32,'Tabular Pop Data by Age'!R$7),'Population Data by Age'!$B$7:$B$10366,0),MATCH('Tabular Pop Data by Age'!$C$6,'Population Data by Age'!$B$6:$H$6,0))</f>
        <v>119000</v>
      </c>
      <c r="S32" s="78">
        <f>INDEX('Population Data by Age'!$B$7:$H$10366,MATCH(CONCATENATE('Tabular Pop Data by Age'!$C32,'Tabular Pop Data by Age'!S$7),'Population Data by Age'!$B$7:$B$10366,0),MATCH('Tabular Pop Data by Age'!$C$6,'Population Data by Age'!$B$6:$H$6,0))</f>
        <v>123000</v>
      </c>
      <c r="T32" s="78">
        <f>INDEX('Population Data by Age'!$B$7:$H$10366,MATCH(CONCATENATE('Tabular Pop Data by Age'!$C32,'Tabular Pop Data by Age'!T$7),'Population Data by Age'!$B$7:$B$10366,0),MATCH('Tabular Pop Data by Age'!$C$6,'Population Data by Age'!$B$6:$H$6,0))</f>
        <v>109000</v>
      </c>
      <c r="U32" s="78">
        <f>INDEX('Population Data by Age'!$B$7:$H$10366,MATCH(CONCATENATE('Tabular Pop Data by Age'!$C32,'Tabular Pop Data by Age'!U$7),'Population Data by Age'!$B$7:$B$10366,0),MATCH('Tabular Pop Data by Age'!$C$6,'Population Data by Age'!$B$6:$H$6,0))</f>
        <v>112000</v>
      </c>
      <c r="V32" s="78">
        <f>INDEX('Population Data by Age'!$B$7:$H$10366,MATCH(CONCATENATE('Tabular Pop Data by Age'!$C32,'Tabular Pop Data by Age'!V$7),'Population Data by Age'!$B$7:$B$10366,0),MATCH('Tabular Pop Data by Age'!$C$6,'Population Data by Age'!$B$6:$H$6,0))</f>
        <v>112000</v>
      </c>
      <c r="W32" s="78">
        <f>INDEX('Population Data by Age'!$B$7:$H$10366,MATCH(CONCATENATE('Tabular Pop Data by Age'!$C32,'Tabular Pop Data by Age'!W$7),'Population Data by Age'!$B$7:$B$10366,0),MATCH('Tabular Pop Data by Age'!$C$6,'Population Data by Age'!$B$6:$H$6,0))</f>
        <v>115000</v>
      </c>
      <c r="X32" s="78">
        <f>INDEX('Population Data by Age'!$B$7:$H$10366,MATCH(CONCATENATE('Tabular Pop Data by Age'!$C32,'Tabular Pop Data by Age'!X$7),'Population Data by Age'!$B$7:$B$10366,0),MATCH('Tabular Pop Data by Age'!$C$6,'Population Data by Age'!$B$6:$H$6,0))</f>
        <v>117000</v>
      </c>
      <c r="Y32" s="78">
        <f>INDEX('Population Data by Age'!$B$7:$H$10366,MATCH(CONCATENATE('Tabular Pop Data by Age'!$C32,'Tabular Pop Data by Age'!Y$7),'Population Data by Age'!$B$7:$B$10366,0),MATCH('Tabular Pop Data by Age'!$C$6,'Population Data by Age'!$B$6:$H$6,0))</f>
        <v>114000</v>
      </c>
      <c r="Z32" s="78">
        <f>INDEX('Population Data by Age'!$B$7:$H$10366,MATCH(CONCATENATE('Tabular Pop Data by Age'!$C32,'Tabular Pop Data by Age'!Z$7),'Population Data by Age'!$B$7:$B$10366,0),MATCH('Tabular Pop Data by Age'!$C$6,'Population Data by Age'!$B$6:$H$6,0))</f>
        <v>140000</v>
      </c>
      <c r="AA32" s="78">
        <f>INDEX('Population Data by Age'!$B$7:$H$10366,MATCH(CONCATENATE('Tabular Pop Data by Age'!$C32,'Tabular Pop Data by Age'!AA$7),'Population Data by Age'!$B$7:$B$10366,0),MATCH('Tabular Pop Data by Age'!$C$6,'Population Data by Age'!$B$6:$H$6,0))</f>
        <v>129000</v>
      </c>
      <c r="AB32" s="78">
        <f>INDEX('Population Data by Age'!$B$7:$H$10366,MATCH(CONCATENATE('Tabular Pop Data by Age'!$C32,'Tabular Pop Data by Age'!AB$7),'Population Data by Age'!$B$7:$B$10366,0),MATCH('Tabular Pop Data by Age'!$C$6,'Population Data by Age'!$B$6:$H$6,0))</f>
        <v>126000</v>
      </c>
      <c r="AC32" s="78">
        <f>INDEX('Population Data by Age'!$B$7:$H$10366,MATCH(CONCATENATE('Tabular Pop Data by Age'!$C32,'Tabular Pop Data by Age'!AC$7),'Population Data by Age'!$B$7:$B$10366,0),MATCH('Tabular Pop Data by Age'!$C$6,'Population Data by Age'!$B$6:$H$6,0))</f>
        <v>115000</v>
      </c>
      <c r="AD32" s="78">
        <f>INDEX('Population Data by Age'!$B$7:$H$10366,MATCH(CONCATENATE('Tabular Pop Data by Age'!$C32,'Tabular Pop Data by Age'!AD$7),'Population Data by Age'!$B$7:$B$10366,0),MATCH('Tabular Pop Data by Age'!$C$6,'Population Data by Age'!$B$6:$H$6,0))</f>
        <v>118000</v>
      </c>
      <c r="AE32" s="78">
        <f>INDEX('Population Data by Age'!$B$7:$H$10366,MATCH(CONCATENATE('Tabular Pop Data by Age'!$C32,'Tabular Pop Data by Age'!AE$7),'Population Data by Age'!$B$7:$B$10366,0),MATCH('Tabular Pop Data by Age'!$C$6,'Population Data by Age'!$B$6:$H$6,0))</f>
        <v>104000</v>
      </c>
      <c r="AF32" s="78">
        <f>INDEX('Population Data by Age'!$B$7:$H$10366,MATCH(CONCATENATE('Tabular Pop Data by Age'!$C32,'Tabular Pop Data by Age'!AF$7),'Population Data by Age'!$B$7:$B$10366,0),MATCH('Tabular Pop Data by Age'!$C$6,'Population Data by Age'!$B$6:$H$6,0))</f>
        <v>81000</v>
      </c>
      <c r="AG32" s="78">
        <f>INDEX('Population Data by Age'!$B$7:$H$10366,MATCH(CONCATENATE('Tabular Pop Data by Age'!$C32,'Tabular Pop Data by Age'!AG$7),'Population Data by Age'!$B$7:$B$10366,0),MATCH('Tabular Pop Data by Age'!$C$6,'Population Data by Age'!$B$6:$H$6,0))</f>
        <v>62000</v>
      </c>
      <c r="AH32" s="78">
        <f>INDEX('Population Data by Age'!$B$7:$H$10366,MATCH(CONCATENATE('Tabular Pop Data by Age'!$C32,'Tabular Pop Data by Age'!AH$7),'Population Data by Age'!$B$7:$B$10366,0),MATCH('Tabular Pop Data by Age'!$C$6,'Population Data by Age'!$B$6:$H$6,0))</f>
        <v>60000</v>
      </c>
      <c r="AI32" s="78">
        <f>INDEX('Population Data by Age'!$B$7:$H$10366,MATCH(CONCATENATE('Tabular Pop Data by Age'!$C32,'Tabular Pop Data by Age'!AI$7),'Population Data by Age'!$B$7:$B$10366,0),MATCH('Tabular Pop Data by Age'!$C$6,'Population Data by Age'!$B$6:$H$6,0))</f>
        <v>39000</v>
      </c>
      <c r="AJ32" s="78">
        <f>INDEX('Population Data by Age'!$B$7:$H$10366,MATCH(CONCATENATE('Tabular Pop Data by Age'!$C32,'Tabular Pop Data by Age'!AJ$7),'Population Data by Age'!$B$7:$B$10366,0),MATCH('Tabular Pop Data by Age'!$C$6,'Population Data by Age'!$B$6:$H$6,0))</f>
        <v>78000</v>
      </c>
      <c r="AK32" s="78">
        <f>INDEX('Population Data by Age'!$B$7:$H$10366,MATCH(CONCATENATE('Tabular Pop Data by Age'!$C32,'Tabular Pop Data by Age'!AK$7),'Population Data by Age'!$B$7:$B$10366,0),MATCH('Tabular Pop Data by Age'!$C$6,'Population Data by Age'!$B$6:$H$6,0))</f>
        <v>46000</v>
      </c>
      <c r="AL32" s="78">
        <f>INDEX('Population Data by Age'!$B$7:$H$10366,MATCH(CONCATENATE('Tabular Pop Data by Age'!$C32,'Tabular Pop Data by Age'!AL$7),'Population Data by Age'!$B$7:$B$10366,0),MATCH('Tabular Pop Data by Age'!$C$6,'Population Data by Age'!$B$6:$H$6,0))</f>
        <v>1674000</v>
      </c>
      <c r="AM32" s="78">
        <f>INDEX('Population Data by Age'!$B$7:$H$10366,MATCH(CONCATENATE('Tabular Pop Data by Age'!$C32,'Tabular Pop Data by Age'!AM$7),'Population Data by Age'!$B$7:$B$10366,0),MATCH('Tabular Pop Data by Age'!$C$6,'Population Data by Age'!$B$6:$H$6,0))</f>
        <v>1607000</v>
      </c>
      <c r="AN32" s="78">
        <f>INDEX('Population Data by Age'!$B$7:$H$10366,MATCH(CONCATENATE('Tabular Pop Data by Age'!$C32,'Tabular Pop Data by Age'!AN$7),'Population Data by Age'!$B$7:$B$10366,0),MATCH('Tabular Pop Data by Age'!$C$6,'Population Data by Age'!$B$6:$H$6,0))</f>
        <v>3281000</v>
      </c>
      <c r="AO32" s="78">
        <f>INDEX('Population Data by Age'!$B$7:$H$10366,MATCH(CONCATENATE('Tabular Pop Data by Age'!$C32,'Tabular Pop Data by Age'!AO$7),'Population Data by Age'!$B$7:$B$10366,0),MATCH('Tabular Pop Data by Age'!$C$6,'Population Data by Age'!$B$6:$H$6,0))</f>
        <v>0</v>
      </c>
      <c r="AP32" s="79">
        <f t="shared" si="0"/>
        <v>134000</v>
      </c>
      <c r="AQ32" s="79">
        <f t="shared" si="1"/>
        <v>162000</v>
      </c>
      <c r="AR32" s="79">
        <f t="shared" si="2"/>
        <v>181000</v>
      </c>
      <c r="AS32" s="79">
        <f t="shared" si="3"/>
        <v>165000</v>
      </c>
      <c r="AT32" s="79">
        <f t="shared" si="4"/>
        <v>217000</v>
      </c>
      <c r="AU32" s="79">
        <f t="shared" si="5"/>
        <v>187000</v>
      </c>
      <c r="AV32" s="79">
        <f t="shared" si="6"/>
        <v>217000</v>
      </c>
      <c r="AW32" s="79">
        <f t="shared" si="7"/>
        <v>242000</v>
      </c>
      <c r="AX32" s="79">
        <f t="shared" si="8"/>
        <v>221000</v>
      </c>
      <c r="AY32" s="79">
        <f t="shared" si="9"/>
        <v>227000</v>
      </c>
      <c r="AZ32" s="79">
        <f t="shared" si="10"/>
        <v>231000</v>
      </c>
      <c r="BA32" s="79">
        <f t="shared" si="11"/>
        <v>269000</v>
      </c>
      <c r="BB32" s="79">
        <f t="shared" si="12"/>
        <v>241000</v>
      </c>
      <c r="BC32" s="79">
        <f t="shared" si="13"/>
        <v>222000</v>
      </c>
      <c r="BD32" s="79">
        <f t="shared" si="14"/>
        <v>143000</v>
      </c>
      <c r="BE32" s="79">
        <f t="shared" si="15"/>
        <v>99000</v>
      </c>
      <c r="BF32" s="79">
        <f t="shared" si="16"/>
        <v>124000</v>
      </c>
    </row>
    <row r="33" spans="1:58" x14ac:dyDescent="0.25">
      <c r="A33" s="138" t="s">
        <v>1195</v>
      </c>
      <c r="B33" t="s">
        <v>184</v>
      </c>
      <c r="C33" t="s">
        <v>22</v>
      </c>
      <c r="D33" s="78">
        <f>INDEX('Population Data by Age'!$B$7:$H$10366,MATCH(CONCATENATE('Tabular Pop Data by Age'!$C33,'Tabular Pop Data by Age'!D$7),'Population Data by Age'!$B$7:$B$10366,0),MATCH('Tabular Pop Data by Age'!$C$6,'Population Data by Age'!$B$6:$H$6,0))</f>
        <v>134000</v>
      </c>
      <c r="E33" s="78">
        <f>INDEX('Population Data by Age'!$B$7:$H$10366,MATCH(CONCATENATE('Tabular Pop Data by Age'!$C33,'Tabular Pop Data by Age'!E$7),'Population Data by Age'!$B$7:$B$10366,0),MATCH('Tabular Pop Data by Age'!$C$6,'Population Data by Age'!$B$6:$H$6,0))</f>
        <v>138000</v>
      </c>
      <c r="F33" s="78">
        <f>INDEX('Population Data by Age'!$B$7:$H$10366,MATCH(CONCATENATE('Tabular Pop Data by Age'!$C33,'Tabular Pop Data by Age'!F$7),'Population Data by Age'!$B$7:$B$10366,0),MATCH('Tabular Pop Data by Age'!$C$6,'Population Data by Age'!$B$6:$H$6,0))</f>
        <v>132000</v>
      </c>
      <c r="G33" s="78">
        <f>INDEX('Population Data by Age'!$B$7:$H$10366,MATCH(CONCATENATE('Tabular Pop Data by Age'!$C33,'Tabular Pop Data by Age'!G$7),'Population Data by Age'!$B$7:$B$10366,0),MATCH('Tabular Pop Data by Age'!$C$6,'Population Data by Age'!$B$6:$H$6,0))</f>
        <v>135000</v>
      </c>
      <c r="H33" s="78">
        <f>INDEX('Population Data by Age'!$B$7:$H$10366,MATCH(CONCATENATE('Tabular Pop Data by Age'!$C33,'Tabular Pop Data by Age'!H$7),'Population Data by Age'!$B$7:$B$10366,0),MATCH('Tabular Pop Data by Age'!$C$6,'Population Data by Age'!$B$6:$H$6,0))</f>
        <v>122000</v>
      </c>
      <c r="I33" s="78">
        <f>INDEX('Population Data by Age'!$B$7:$H$10366,MATCH(CONCATENATE('Tabular Pop Data by Age'!$C33,'Tabular Pop Data by Age'!I$7),'Population Data by Age'!$B$7:$B$10366,0),MATCH('Tabular Pop Data by Age'!$C$6,'Population Data by Age'!$B$6:$H$6,0))</f>
        <v>125000</v>
      </c>
      <c r="J33" s="78">
        <f>INDEX('Population Data by Age'!$B$7:$H$10366,MATCH(CONCATENATE('Tabular Pop Data by Age'!$C33,'Tabular Pop Data by Age'!J$7),'Population Data by Age'!$B$7:$B$10366,0),MATCH('Tabular Pop Data by Age'!$C$6,'Population Data by Age'!$B$6:$H$6,0))</f>
        <v>111000</v>
      </c>
      <c r="K33" s="78">
        <f>INDEX('Population Data by Age'!$B$7:$H$10366,MATCH(CONCATENATE('Tabular Pop Data by Age'!$C33,'Tabular Pop Data by Age'!K$7),'Population Data by Age'!$B$7:$B$10366,0),MATCH('Tabular Pop Data by Age'!$C$6,'Population Data by Age'!$B$6:$H$6,0))</f>
        <v>114000</v>
      </c>
      <c r="L33" s="78">
        <f>INDEX('Population Data by Age'!$B$7:$H$10366,MATCH(CONCATENATE('Tabular Pop Data by Age'!$C33,'Tabular Pop Data by Age'!L$7),'Population Data by Age'!$B$7:$B$10366,0),MATCH('Tabular Pop Data by Age'!$C$6,'Population Data by Age'!$B$6:$H$6,0))</f>
        <v>101000</v>
      </c>
      <c r="M33" s="78">
        <f>INDEX('Population Data by Age'!$B$7:$H$10366,MATCH(CONCATENATE('Tabular Pop Data by Age'!$C33,'Tabular Pop Data by Age'!M$7),'Population Data by Age'!$B$7:$B$10366,0),MATCH('Tabular Pop Data by Age'!$C$6,'Population Data by Age'!$B$6:$H$6,0))</f>
        <v>103000</v>
      </c>
      <c r="N33" s="78">
        <f>INDEX('Population Data by Age'!$B$7:$H$10366,MATCH(CONCATENATE('Tabular Pop Data by Age'!$C33,'Tabular Pop Data by Age'!N$7),'Population Data by Age'!$B$7:$B$10366,0),MATCH('Tabular Pop Data by Age'!$C$6,'Population Data by Age'!$B$6:$H$6,0))</f>
        <v>100000</v>
      </c>
      <c r="O33" s="78">
        <f>INDEX('Population Data by Age'!$B$7:$H$10366,MATCH(CONCATENATE('Tabular Pop Data by Age'!$C33,'Tabular Pop Data by Age'!O$7),'Population Data by Age'!$B$7:$B$10366,0),MATCH('Tabular Pop Data by Age'!$C$6,'Population Data by Age'!$B$6:$H$6,0))</f>
        <v>99000</v>
      </c>
      <c r="P33" s="78">
        <f>INDEX('Population Data by Age'!$B$7:$H$10366,MATCH(CONCATENATE('Tabular Pop Data by Age'!$C33,'Tabular Pop Data by Age'!P$7),'Population Data by Age'!$B$7:$B$10366,0),MATCH('Tabular Pop Data by Age'!$C$6,'Population Data by Age'!$B$6:$H$6,0))</f>
        <v>97000</v>
      </c>
      <c r="Q33" s="78">
        <f>INDEX('Population Data by Age'!$B$7:$H$10366,MATCH(CONCATENATE('Tabular Pop Data by Age'!$C33,'Tabular Pop Data by Age'!Q$7),'Population Data by Age'!$B$7:$B$10366,0),MATCH('Tabular Pop Data by Age'!$C$6,'Population Data by Age'!$B$6:$H$6,0))</f>
        <v>90000</v>
      </c>
      <c r="R33" s="78">
        <f>INDEX('Population Data by Age'!$B$7:$H$10366,MATCH(CONCATENATE('Tabular Pop Data by Age'!$C33,'Tabular Pop Data by Age'!R$7),'Population Data by Age'!$B$7:$B$10366,0),MATCH('Tabular Pop Data by Age'!$C$6,'Population Data by Age'!$B$6:$H$6,0))</f>
        <v>95000</v>
      </c>
      <c r="S33" s="78">
        <f>INDEX('Population Data by Age'!$B$7:$H$10366,MATCH(CONCATENATE('Tabular Pop Data by Age'!$C33,'Tabular Pop Data by Age'!S$7),'Population Data by Age'!$B$7:$B$10366,0),MATCH('Tabular Pop Data by Age'!$C$6,'Population Data by Age'!$B$6:$H$6,0))</f>
        <v>83000</v>
      </c>
      <c r="T33" s="78">
        <f>INDEX('Population Data by Age'!$B$7:$H$10366,MATCH(CONCATENATE('Tabular Pop Data by Age'!$C33,'Tabular Pop Data by Age'!T$7),'Population Data by Age'!$B$7:$B$10366,0),MATCH('Tabular Pop Data by Age'!$C$6,'Population Data by Age'!$B$6:$H$6,0))</f>
        <v>80000</v>
      </c>
      <c r="U33" s="78">
        <f>INDEX('Population Data by Age'!$B$7:$H$10366,MATCH(CONCATENATE('Tabular Pop Data by Age'!$C33,'Tabular Pop Data by Age'!U$7),'Population Data by Age'!$B$7:$B$10366,0),MATCH('Tabular Pop Data by Age'!$C$6,'Population Data by Age'!$B$6:$H$6,0))</f>
        <v>69000</v>
      </c>
      <c r="V33" s="78">
        <f>INDEX('Population Data by Age'!$B$7:$H$10366,MATCH(CONCATENATE('Tabular Pop Data by Age'!$C33,'Tabular Pop Data by Age'!V$7),'Population Data by Age'!$B$7:$B$10366,0),MATCH('Tabular Pop Data by Age'!$C$6,'Population Data by Age'!$B$6:$H$6,0))</f>
        <v>60000</v>
      </c>
      <c r="W33" s="78">
        <f>INDEX('Population Data by Age'!$B$7:$H$10366,MATCH(CONCATENATE('Tabular Pop Data by Age'!$C33,'Tabular Pop Data by Age'!W$7),'Population Data by Age'!$B$7:$B$10366,0),MATCH('Tabular Pop Data by Age'!$C$6,'Population Data by Age'!$B$6:$H$6,0))</f>
        <v>52000</v>
      </c>
      <c r="X33" s="78">
        <f>INDEX('Population Data by Age'!$B$7:$H$10366,MATCH(CONCATENATE('Tabular Pop Data by Age'!$C33,'Tabular Pop Data by Age'!X$7),'Population Data by Age'!$B$7:$B$10366,0),MATCH('Tabular Pop Data by Age'!$C$6,'Population Data by Age'!$B$6:$H$6,0))</f>
        <v>43000</v>
      </c>
      <c r="Y33" s="78">
        <f>INDEX('Population Data by Age'!$B$7:$H$10366,MATCH(CONCATENATE('Tabular Pop Data by Age'!$C33,'Tabular Pop Data by Age'!Y$7),'Population Data by Age'!$B$7:$B$10366,0),MATCH('Tabular Pop Data by Age'!$C$6,'Population Data by Age'!$B$6:$H$6,0))</f>
        <v>38000</v>
      </c>
      <c r="Z33" s="78">
        <f>INDEX('Population Data by Age'!$B$7:$H$10366,MATCH(CONCATENATE('Tabular Pop Data by Age'!$C33,'Tabular Pop Data by Age'!Z$7),'Population Data by Age'!$B$7:$B$10366,0),MATCH('Tabular Pop Data by Age'!$C$6,'Population Data by Age'!$B$6:$H$6,0))</f>
        <v>38000</v>
      </c>
      <c r="AA33" s="78">
        <f>INDEX('Population Data by Age'!$B$7:$H$10366,MATCH(CONCATENATE('Tabular Pop Data by Age'!$C33,'Tabular Pop Data by Age'!AA$7),'Population Data by Age'!$B$7:$B$10366,0),MATCH('Tabular Pop Data by Age'!$C$6,'Population Data by Age'!$B$6:$H$6,0))</f>
        <v>28000</v>
      </c>
      <c r="AB33" s="78">
        <f>INDEX('Population Data by Age'!$B$7:$H$10366,MATCH(CONCATENATE('Tabular Pop Data by Age'!$C33,'Tabular Pop Data by Age'!AB$7),'Population Data by Age'!$B$7:$B$10366,0),MATCH('Tabular Pop Data by Age'!$C$6,'Population Data by Age'!$B$6:$H$6,0))</f>
        <v>35000</v>
      </c>
      <c r="AC33" s="78">
        <f>INDEX('Population Data by Age'!$B$7:$H$10366,MATCH(CONCATENATE('Tabular Pop Data by Age'!$C33,'Tabular Pop Data by Age'!AC$7),'Population Data by Age'!$B$7:$B$10366,0),MATCH('Tabular Pop Data by Age'!$C$6,'Population Data by Age'!$B$6:$H$6,0))</f>
        <v>24000</v>
      </c>
      <c r="AD33" s="78">
        <f>INDEX('Population Data by Age'!$B$7:$H$10366,MATCH(CONCATENATE('Tabular Pop Data by Age'!$C33,'Tabular Pop Data by Age'!AD$7),'Population Data by Age'!$B$7:$B$10366,0),MATCH('Tabular Pop Data by Age'!$C$6,'Population Data by Age'!$B$6:$H$6,0))</f>
        <v>27000</v>
      </c>
      <c r="AE33" s="78">
        <f>INDEX('Population Data by Age'!$B$7:$H$10366,MATCH(CONCATENATE('Tabular Pop Data by Age'!$C33,'Tabular Pop Data by Age'!AE$7),'Population Data by Age'!$B$7:$B$10366,0),MATCH('Tabular Pop Data by Age'!$C$6,'Population Data by Age'!$B$6:$H$6,0))</f>
        <v>19000</v>
      </c>
      <c r="AF33" s="78">
        <f>INDEX('Population Data by Age'!$B$7:$H$10366,MATCH(CONCATENATE('Tabular Pop Data by Age'!$C33,'Tabular Pop Data by Age'!AF$7),'Population Data by Age'!$B$7:$B$10366,0),MATCH('Tabular Pop Data by Age'!$C$6,'Population Data by Age'!$B$6:$H$6,0))</f>
        <v>17000</v>
      </c>
      <c r="AG33" s="78">
        <f>INDEX('Population Data by Age'!$B$7:$H$10366,MATCH(CONCATENATE('Tabular Pop Data by Age'!$C33,'Tabular Pop Data by Age'!AG$7),'Population Data by Age'!$B$7:$B$10366,0),MATCH('Tabular Pop Data by Age'!$C$6,'Population Data by Age'!$B$6:$H$6,0))</f>
        <v>12000</v>
      </c>
      <c r="AH33" s="78">
        <f>INDEX('Population Data by Age'!$B$7:$H$10366,MATCH(CONCATENATE('Tabular Pop Data by Age'!$C33,'Tabular Pop Data by Age'!AH$7),'Population Data by Age'!$B$7:$B$10366,0),MATCH('Tabular Pop Data by Age'!$C$6,'Population Data by Age'!$B$6:$H$6,0))</f>
        <v>12000</v>
      </c>
      <c r="AI33" s="78">
        <f>INDEX('Population Data by Age'!$B$7:$H$10366,MATCH(CONCATENATE('Tabular Pop Data by Age'!$C33,'Tabular Pop Data by Age'!AI$7),'Population Data by Age'!$B$7:$B$10366,0),MATCH('Tabular Pop Data by Age'!$C$6,'Population Data by Age'!$B$6:$H$6,0))</f>
        <v>7400</v>
      </c>
      <c r="AJ33" s="78">
        <f>INDEX('Population Data by Age'!$B$7:$H$10366,MATCH(CONCATENATE('Tabular Pop Data by Age'!$C33,'Tabular Pop Data by Age'!AJ$7),'Population Data by Age'!$B$7:$B$10366,0),MATCH('Tabular Pop Data by Age'!$C$6,'Population Data by Age'!$B$6:$H$6,0))</f>
        <v>8400</v>
      </c>
      <c r="AK33" s="78">
        <f>INDEX('Population Data by Age'!$B$7:$H$10366,MATCH(CONCATENATE('Tabular Pop Data by Age'!$C33,'Tabular Pop Data by Age'!AK$7),'Population Data by Age'!$B$7:$B$10366,0),MATCH('Tabular Pop Data by Age'!$C$6,'Population Data by Age'!$B$6:$H$6,0))</f>
        <v>4000</v>
      </c>
      <c r="AL33" s="78">
        <f>INDEX('Population Data by Age'!$B$7:$H$10366,MATCH(CONCATENATE('Tabular Pop Data by Age'!$C33,'Tabular Pop Data by Age'!AL$7),'Population Data by Age'!$B$7:$B$10366,0),MATCH('Tabular Pop Data by Age'!$C$6,'Population Data by Age'!$B$6:$H$6,0))</f>
        <v>1213000</v>
      </c>
      <c r="AM33" s="78">
        <f>INDEX('Population Data by Age'!$B$7:$H$10366,MATCH(CONCATENATE('Tabular Pop Data by Age'!$C33,'Tabular Pop Data by Age'!AM$7),'Population Data by Age'!$B$7:$B$10366,0),MATCH('Tabular Pop Data by Age'!$C$6,'Population Data by Age'!$B$6:$H$6,0))</f>
        <v>1139000</v>
      </c>
      <c r="AN33" s="78">
        <f>INDEX('Population Data by Age'!$B$7:$H$10366,MATCH(CONCATENATE('Tabular Pop Data by Age'!$C33,'Tabular Pop Data by Age'!AN$7),'Population Data by Age'!$B$7:$B$10366,0),MATCH('Tabular Pop Data by Age'!$C$6,'Population Data by Age'!$B$6:$H$6,0))</f>
        <v>2352000</v>
      </c>
      <c r="AO33" s="78">
        <f>INDEX('Population Data by Age'!$B$7:$H$10366,MATCH(CONCATENATE('Tabular Pop Data by Age'!$C33,'Tabular Pop Data by Age'!AO$7),'Population Data by Age'!$B$7:$B$10366,0),MATCH('Tabular Pop Data by Age'!$C$6,'Population Data by Age'!$B$6:$H$6,0))</f>
        <v>0</v>
      </c>
      <c r="AP33" s="79">
        <f t="shared" si="0"/>
        <v>272000</v>
      </c>
      <c r="AQ33" s="79">
        <f t="shared" si="1"/>
        <v>267000</v>
      </c>
      <c r="AR33" s="79">
        <f t="shared" si="2"/>
        <v>247000</v>
      </c>
      <c r="AS33" s="79">
        <f t="shared" si="3"/>
        <v>225000</v>
      </c>
      <c r="AT33" s="79">
        <f t="shared" si="4"/>
        <v>204000</v>
      </c>
      <c r="AU33" s="79">
        <f t="shared" si="5"/>
        <v>199000</v>
      </c>
      <c r="AV33" s="79">
        <f t="shared" si="6"/>
        <v>187000</v>
      </c>
      <c r="AW33" s="79">
        <f t="shared" si="7"/>
        <v>178000</v>
      </c>
      <c r="AX33" s="79">
        <f t="shared" si="8"/>
        <v>149000</v>
      </c>
      <c r="AY33" s="79">
        <f t="shared" si="9"/>
        <v>112000</v>
      </c>
      <c r="AZ33" s="79">
        <f t="shared" si="10"/>
        <v>81000</v>
      </c>
      <c r="BA33" s="79">
        <f t="shared" si="11"/>
        <v>66000</v>
      </c>
      <c r="BB33" s="79">
        <f t="shared" si="12"/>
        <v>59000</v>
      </c>
      <c r="BC33" s="79">
        <f t="shared" si="13"/>
        <v>46000</v>
      </c>
      <c r="BD33" s="79">
        <f t="shared" si="14"/>
        <v>29000</v>
      </c>
      <c r="BE33" s="79">
        <f t="shared" si="15"/>
        <v>19400</v>
      </c>
      <c r="BF33" s="79">
        <f t="shared" si="16"/>
        <v>12400</v>
      </c>
    </row>
    <row r="34" spans="1:58" x14ac:dyDescent="0.25">
      <c r="A34" s="138" t="s">
        <v>1195</v>
      </c>
      <c r="B34" t="s">
        <v>443</v>
      </c>
      <c r="C34" t="s">
        <v>19</v>
      </c>
      <c r="D34" s="78">
        <f>INDEX('Population Data by Age'!$B$7:$H$10366,MATCH(CONCATENATE('Tabular Pop Data by Age'!$C34,'Tabular Pop Data by Age'!D$7),'Population Data by Age'!$B$7:$B$10366,0),MATCH('Tabular Pop Data by Age'!$C$6,'Population Data by Age'!$B$6:$H$6,0))</f>
        <v>7070000</v>
      </c>
      <c r="E34" s="78">
        <f>INDEX('Population Data by Age'!$B$7:$H$10366,MATCH(CONCATENATE('Tabular Pop Data by Age'!$C34,'Tabular Pop Data by Age'!E$7),'Population Data by Age'!$B$7:$B$10366,0),MATCH('Tabular Pop Data by Age'!$C$6,'Population Data by Age'!$B$6:$H$6,0))</f>
        <v>7405000</v>
      </c>
      <c r="F34" s="78">
        <f>INDEX('Population Data by Age'!$B$7:$H$10366,MATCH(CONCATENATE('Tabular Pop Data by Age'!$C34,'Tabular Pop Data by Age'!F$7),'Population Data by Age'!$B$7:$B$10366,0),MATCH('Tabular Pop Data by Age'!$C$6,'Population Data by Age'!$B$6:$H$6,0))</f>
        <v>7137000</v>
      </c>
      <c r="G34" s="78">
        <f>INDEX('Population Data by Age'!$B$7:$H$10366,MATCH(CONCATENATE('Tabular Pop Data by Age'!$C34,'Tabular Pop Data by Age'!G$7),'Population Data by Age'!$B$7:$B$10366,0),MATCH('Tabular Pop Data by Age'!$C$6,'Population Data by Age'!$B$6:$H$6,0))</f>
        <v>7465000</v>
      </c>
      <c r="H34" s="78">
        <f>INDEX('Population Data by Age'!$B$7:$H$10366,MATCH(CONCATENATE('Tabular Pop Data by Age'!$C34,'Tabular Pop Data by Age'!H$7),'Population Data by Age'!$B$7:$B$10366,0),MATCH('Tabular Pop Data by Age'!$C$6,'Population Data by Age'!$B$6:$H$6,0))</f>
        <v>7319000</v>
      </c>
      <c r="I34" s="78">
        <f>INDEX('Population Data by Age'!$B$7:$H$10366,MATCH(CONCATENATE('Tabular Pop Data by Age'!$C34,'Tabular Pop Data by Age'!I$7),'Population Data by Age'!$B$7:$B$10366,0),MATCH('Tabular Pop Data by Age'!$C$6,'Population Data by Age'!$B$6:$H$6,0))</f>
        <v>7623000</v>
      </c>
      <c r="J34" s="78">
        <f>INDEX('Population Data by Age'!$B$7:$H$10366,MATCH(CONCATENATE('Tabular Pop Data by Age'!$C34,'Tabular Pop Data by Age'!J$7),'Population Data by Age'!$B$7:$B$10366,0),MATCH('Tabular Pop Data by Age'!$C$6,'Population Data by Age'!$B$6:$H$6,0))</f>
        <v>7965000</v>
      </c>
      <c r="K34" s="78">
        <f>INDEX('Population Data by Age'!$B$7:$H$10366,MATCH(CONCATENATE('Tabular Pop Data by Age'!$C34,'Tabular Pop Data by Age'!K$7),'Population Data by Age'!$B$7:$B$10366,0),MATCH('Tabular Pop Data by Age'!$C$6,'Population Data by Age'!$B$6:$H$6,0))</f>
        <v>8253000</v>
      </c>
      <c r="L34" s="78">
        <f>INDEX('Population Data by Age'!$B$7:$H$10366,MATCH(CONCATENATE('Tabular Pop Data by Age'!$C34,'Tabular Pop Data by Age'!L$7),'Population Data by Age'!$B$7:$B$10366,0),MATCH('Tabular Pop Data by Age'!$C$6,'Population Data by Age'!$B$6:$H$6,0))</f>
        <v>8466000</v>
      </c>
      <c r="M34" s="78">
        <f>INDEX('Population Data by Age'!$B$7:$H$10366,MATCH(CONCATENATE('Tabular Pop Data by Age'!$C34,'Tabular Pop Data by Age'!M$7),'Population Data by Age'!$B$7:$B$10366,0),MATCH('Tabular Pop Data by Age'!$C$6,'Population Data by Age'!$B$6:$H$6,0))</f>
        <v>8686000</v>
      </c>
      <c r="N34" s="78">
        <f>INDEX('Population Data by Age'!$B$7:$H$10366,MATCH(CONCATENATE('Tabular Pop Data by Age'!$C34,'Tabular Pop Data by Age'!N$7),'Population Data by Age'!$B$7:$B$10366,0),MATCH('Tabular Pop Data by Age'!$C$6,'Population Data by Age'!$B$6:$H$6,0))</f>
        <v>8419000</v>
      </c>
      <c r="O34" s="78">
        <f>INDEX('Population Data by Age'!$B$7:$H$10366,MATCH(CONCATENATE('Tabular Pop Data by Age'!$C34,'Tabular Pop Data by Age'!O$7),'Population Data by Age'!$B$7:$B$10366,0),MATCH('Tabular Pop Data by Age'!$C$6,'Population Data by Age'!$B$6:$H$6,0))</f>
        <v>8534000</v>
      </c>
      <c r="P34" s="78">
        <f>INDEX('Population Data by Age'!$B$7:$H$10366,MATCH(CONCATENATE('Tabular Pop Data by Age'!$C34,'Tabular Pop Data by Age'!P$7),'Population Data by Age'!$B$7:$B$10366,0),MATCH('Tabular Pop Data by Age'!$C$6,'Population Data by Age'!$B$6:$H$6,0))</f>
        <v>8576000</v>
      </c>
      <c r="Q34" s="78">
        <f>INDEX('Population Data by Age'!$B$7:$H$10366,MATCH(CONCATENATE('Tabular Pop Data by Age'!$C34,'Tabular Pop Data by Age'!Q$7),'Population Data by Age'!$B$7:$B$10366,0),MATCH('Tabular Pop Data by Age'!$C$6,'Population Data by Age'!$B$6:$H$6,0))</f>
        <v>8572000</v>
      </c>
      <c r="R34" s="78">
        <f>INDEX('Population Data by Age'!$B$7:$H$10366,MATCH(CONCATENATE('Tabular Pop Data by Age'!$C34,'Tabular Pop Data by Age'!R$7),'Population Data by Age'!$B$7:$B$10366,0),MATCH('Tabular Pop Data by Age'!$C$6,'Population Data by Age'!$B$6:$H$6,0))</f>
        <v>8735000</v>
      </c>
      <c r="S34" s="78">
        <f>INDEX('Population Data by Age'!$B$7:$H$10366,MATCH(CONCATENATE('Tabular Pop Data by Age'!$C34,'Tabular Pop Data by Age'!S$7),'Population Data by Age'!$B$7:$B$10366,0),MATCH('Tabular Pop Data by Age'!$C$6,'Population Data by Age'!$B$6:$H$6,0))</f>
        <v>8594000</v>
      </c>
      <c r="T34" s="78">
        <f>INDEX('Population Data by Age'!$B$7:$H$10366,MATCH(CONCATENATE('Tabular Pop Data by Age'!$C34,'Tabular Pop Data by Age'!T$7),'Population Data by Age'!$B$7:$B$10366,0),MATCH('Tabular Pop Data by Age'!$C$6,'Population Data by Age'!$B$6:$H$6,0))</f>
        <v>7957000</v>
      </c>
      <c r="U34" s="78">
        <f>INDEX('Population Data by Age'!$B$7:$H$10366,MATCH(CONCATENATE('Tabular Pop Data by Age'!$C34,'Tabular Pop Data by Age'!U$7),'Population Data by Age'!$B$7:$B$10366,0),MATCH('Tabular Pop Data by Age'!$C$6,'Population Data by Age'!$B$6:$H$6,0))</f>
        <v>7705000</v>
      </c>
      <c r="V34" s="78">
        <f>INDEX('Population Data by Age'!$B$7:$H$10366,MATCH(CONCATENATE('Tabular Pop Data by Age'!$C34,'Tabular Pop Data by Age'!V$7),'Population Data by Age'!$B$7:$B$10366,0),MATCH('Tabular Pop Data by Age'!$C$6,'Population Data by Age'!$B$6:$H$6,0))</f>
        <v>7079000</v>
      </c>
      <c r="W34" s="78">
        <f>INDEX('Population Data by Age'!$B$7:$H$10366,MATCH(CONCATENATE('Tabular Pop Data by Age'!$C34,'Tabular Pop Data by Age'!W$7),'Population Data by Age'!$B$7:$B$10366,0),MATCH('Tabular Pop Data by Age'!$C$6,'Population Data by Age'!$B$6:$H$6,0))</f>
        <v>6722000</v>
      </c>
      <c r="X34" s="78">
        <f>INDEX('Population Data by Age'!$B$7:$H$10366,MATCH(CONCATENATE('Tabular Pop Data by Age'!$C34,'Tabular Pop Data by Age'!X$7),'Population Data by Age'!$B$7:$B$10366,0),MATCH('Tabular Pop Data by Age'!$C$6,'Population Data by Age'!$B$6:$H$6,0))</f>
        <v>6652000</v>
      </c>
      <c r="Y34" s="78">
        <f>INDEX('Population Data by Age'!$B$7:$H$10366,MATCH(CONCATENATE('Tabular Pop Data by Age'!$C34,'Tabular Pop Data by Age'!Y$7),'Population Data by Age'!$B$7:$B$10366,0),MATCH('Tabular Pop Data by Age'!$C$6,'Population Data by Age'!$B$6:$H$6,0))</f>
        <v>6171000</v>
      </c>
      <c r="Z34" s="78">
        <f>INDEX('Population Data by Age'!$B$7:$H$10366,MATCH(CONCATENATE('Tabular Pop Data by Age'!$C34,'Tabular Pop Data by Age'!Z$7),'Population Data by Age'!$B$7:$B$10366,0),MATCH('Tabular Pop Data by Age'!$C$6,'Population Data by Age'!$B$6:$H$6,0))</f>
        <v>6090000</v>
      </c>
      <c r="AA34" s="78">
        <f>INDEX('Population Data by Age'!$B$7:$H$10366,MATCH(CONCATENATE('Tabular Pop Data by Age'!$C34,'Tabular Pop Data by Age'!AA$7),'Population Data by Age'!$B$7:$B$10366,0),MATCH('Tabular Pop Data by Age'!$C$6,'Population Data by Age'!$B$6:$H$6,0))</f>
        <v>5508000</v>
      </c>
      <c r="AB34" s="78">
        <f>INDEX('Population Data by Age'!$B$7:$H$10366,MATCH(CONCATENATE('Tabular Pop Data by Age'!$C34,'Tabular Pop Data by Age'!AB$7),'Population Data by Age'!$B$7:$B$10366,0),MATCH('Tabular Pop Data by Age'!$C$6,'Population Data by Age'!$B$6:$H$6,0))</f>
        <v>5045000</v>
      </c>
      <c r="AC34" s="78">
        <f>INDEX('Population Data by Age'!$B$7:$H$10366,MATCH(CONCATENATE('Tabular Pop Data by Age'!$C34,'Tabular Pop Data by Age'!AC$7),'Population Data by Age'!$B$7:$B$10366,0),MATCH('Tabular Pop Data by Age'!$C$6,'Population Data by Age'!$B$6:$H$6,0))</f>
        <v>4423000</v>
      </c>
      <c r="AD34" s="78">
        <f>INDEX('Population Data by Age'!$B$7:$H$10366,MATCH(CONCATENATE('Tabular Pop Data by Age'!$C34,'Tabular Pop Data by Age'!AD$7),'Population Data by Age'!$B$7:$B$10366,0),MATCH('Tabular Pop Data by Age'!$C$6,'Population Data by Age'!$B$6:$H$6,0))</f>
        <v>4034000</v>
      </c>
      <c r="AE34" s="78">
        <f>INDEX('Population Data by Age'!$B$7:$H$10366,MATCH(CONCATENATE('Tabular Pop Data by Age'!$C34,'Tabular Pop Data by Age'!AE$7),'Population Data by Age'!$B$7:$B$10366,0),MATCH('Tabular Pop Data by Age'!$C$6,'Population Data by Age'!$B$6:$H$6,0))</f>
        <v>3394000</v>
      </c>
      <c r="AF34" s="78">
        <f>INDEX('Population Data by Age'!$B$7:$H$10366,MATCH(CONCATENATE('Tabular Pop Data by Age'!$C34,'Tabular Pop Data by Age'!AF$7),'Population Data by Age'!$B$7:$B$10366,0),MATCH('Tabular Pop Data by Age'!$C$6,'Population Data by Age'!$B$6:$H$6,0))</f>
        <v>2958000</v>
      </c>
      <c r="AG34" s="78">
        <f>INDEX('Population Data by Age'!$B$7:$H$10366,MATCH(CONCATENATE('Tabular Pop Data by Age'!$C34,'Tabular Pop Data by Age'!AG$7),'Population Data by Age'!$B$7:$B$10366,0),MATCH('Tabular Pop Data by Age'!$C$6,'Population Data by Age'!$B$6:$H$6,0))</f>
        <v>2351000</v>
      </c>
      <c r="AH34" s="78">
        <f>INDEX('Population Data by Age'!$B$7:$H$10366,MATCH(CONCATENATE('Tabular Pop Data by Age'!$C34,'Tabular Pop Data by Age'!AH$7),'Population Data by Age'!$B$7:$B$10366,0),MATCH('Tabular Pop Data by Age'!$C$6,'Population Data by Age'!$B$6:$H$6,0))</f>
        <v>2011000</v>
      </c>
      <c r="AI34" s="78">
        <f>INDEX('Population Data by Age'!$B$7:$H$10366,MATCH(CONCATENATE('Tabular Pop Data by Age'!$C34,'Tabular Pop Data by Age'!AI$7),'Population Data by Age'!$B$7:$B$10366,0),MATCH('Tabular Pop Data by Age'!$C$6,'Population Data by Age'!$B$6:$H$6,0))</f>
        <v>1481000</v>
      </c>
      <c r="AJ34" s="78">
        <f>INDEX('Population Data by Age'!$B$7:$H$10366,MATCH(CONCATENATE('Tabular Pop Data by Age'!$C34,'Tabular Pop Data by Age'!AJ$7),'Population Data by Age'!$B$7:$B$10366,0),MATCH('Tabular Pop Data by Age'!$C$6,'Population Data by Age'!$B$6:$H$6,0))</f>
        <v>2610000</v>
      </c>
      <c r="AK34" s="78">
        <f>INDEX('Population Data by Age'!$B$7:$H$10366,MATCH(CONCATENATE('Tabular Pop Data by Age'!$C34,'Tabular Pop Data by Age'!AK$7),'Population Data by Age'!$B$7:$B$10366,0),MATCH('Tabular Pop Data by Age'!$C$6,'Population Data by Age'!$B$6:$H$6,0))</f>
        <v>1549000</v>
      </c>
      <c r="AL34" s="78">
        <f>INDEX('Population Data by Age'!$B$7:$H$10366,MATCH(CONCATENATE('Tabular Pop Data by Age'!$C34,'Tabular Pop Data by Age'!AL$7),'Population Data by Age'!$B$7:$B$10366,0),MATCH('Tabular Pop Data by Age'!$C$6,'Population Data by Age'!$B$6:$H$6,0))</f>
        <v>108124000</v>
      </c>
      <c r="AM34" s="78">
        <f>INDEX('Population Data by Age'!$B$7:$H$10366,MATCH(CONCATENATE('Tabular Pop Data by Age'!$C34,'Tabular Pop Data by Age'!AM$7),'Population Data by Age'!$B$7:$B$10366,0),MATCH('Tabular Pop Data by Age'!$C$6,'Population Data by Age'!$B$6:$H$6,0))</f>
        <v>104436000</v>
      </c>
      <c r="AN34" s="78">
        <f>INDEX('Population Data by Age'!$B$7:$H$10366,MATCH(CONCATENATE('Tabular Pop Data by Age'!$C34,'Tabular Pop Data by Age'!AN$7),'Population Data by Age'!$B$7:$B$10366,0),MATCH('Tabular Pop Data by Age'!$C$6,'Population Data by Age'!$B$6:$H$6,0))</f>
        <v>212559000</v>
      </c>
      <c r="AO34" s="78">
        <f>INDEX('Population Data by Age'!$B$7:$H$10366,MATCH(CONCATENATE('Tabular Pop Data by Age'!$C34,'Tabular Pop Data by Age'!AO$7),'Population Data by Age'!$B$7:$B$10366,0),MATCH('Tabular Pop Data by Age'!$C$6,'Population Data by Age'!$B$6:$H$6,0))</f>
        <v>0</v>
      </c>
      <c r="AP34" s="79">
        <f t="shared" si="0"/>
        <v>14475000</v>
      </c>
      <c r="AQ34" s="79">
        <f t="shared" si="1"/>
        <v>14602000</v>
      </c>
      <c r="AR34" s="79">
        <f t="shared" si="2"/>
        <v>14942000</v>
      </c>
      <c r="AS34" s="79">
        <f t="shared" si="3"/>
        <v>16218000</v>
      </c>
      <c r="AT34" s="79">
        <f t="shared" si="4"/>
        <v>17152000</v>
      </c>
      <c r="AU34" s="79">
        <f t="shared" si="5"/>
        <v>16953000</v>
      </c>
      <c r="AV34" s="79">
        <f t="shared" si="6"/>
        <v>17148000</v>
      </c>
      <c r="AW34" s="79">
        <f t="shared" si="7"/>
        <v>17329000</v>
      </c>
      <c r="AX34" s="79">
        <f t="shared" si="8"/>
        <v>15662000</v>
      </c>
      <c r="AY34" s="79">
        <f t="shared" si="9"/>
        <v>13801000</v>
      </c>
      <c r="AZ34" s="79">
        <f t="shared" si="10"/>
        <v>12823000</v>
      </c>
      <c r="BA34" s="79">
        <f t="shared" si="11"/>
        <v>11598000</v>
      </c>
      <c r="BB34" s="79">
        <f t="shared" si="12"/>
        <v>9468000</v>
      </c>
      <c r="BC34" s="79">
        <f t="shared" si="13"/>
        <v>7428000</v>
      </c>
      <c r="BD34" s="79">
        <f t="shared" si="14"/>
        <v>5309000</v>
      </c>
      <c r="BE34" s="79">
        <f t="shared" si="15"/>
        <v>3492000</v>
      </c>
      <c r="BF34" s="79">
        <f t="shared" si="16"/>
        <v>4159000</v>
      </c>
    </row>
    <row r="35" spans="1:58" x14ac:dyDescent="0.25">
      <c r="A35" s="138" t="s">
        <v>1195</v>
      </c>
      <c r="B35" t="s">
        <v>444</v>
      </c>
      <c r="C35" t="s">
        <v>445</v>
      </c>
      <c r="D35" s="78">
        <f>INDEX('Population Data by Age'!$B$7:$H$10366,MATCH(CONCATENATE('Tabular Pop Data by Age'!$C35,'Tabular Pop Data by Age'!D$7),'Population Data by Age'!$B$7:$B$10366,0),MATCH('Tabular Pop Data by Age'!$C$6,'Population Data by Age'!$B$6:$H$6,0))</f>
        <v>0</v>
      </c>
      <c r="E35" s="78">
        <f>INDEX('Population Data by Age'!$B$7:$H$10366,MATCH(CONCATENATE('Tabular Pop Data by Age'!$C35,'Tabular Pop Data by Age'!E$7),'Population Data by Age'!$B$7:$B$10366,0),MATCH('Tabular Pop Data by Age'!$C$6,'Population Data by Age'!$B$6:$H$6,0))</f>
        <v>0</v>
      </c>
      <c r="F35" s="78">
        <f>INDEX('Population Data by Age'!$B$7:$H$10366,MATCH(CONCATENATE('Tabular Pop Data by Age'!$C35,'Tabular Pop Data by Age'!F$7),'Population Data by Age'!$B$7:$B$10366,0),MATCH('Tabular Pop Data by Age'!$C$6,'Population Data by Age'!$B$6:$H$6,0))</f>
        <v>0</v>
      </c>
      <c r="G35" s="78">
        <f>INDEX('Population Data by Age'!$B$7:$H$10366,MATCH(CONCATENATE('Tabular Pop Data by Age'!$C35,'Tabular Pop Data by Age'!G$7),'Population Data by Age'!$B$7:$B$10366,0),MATCH('Tabular Pop Data by Age'!$C$6,'Population Data by Age'!$B$6:$H$6,0))</f>
        <v>0</v>
      </c>
      <c r="H35" s="78">
        <f>INDEX('Population Data by Age'!$B$7:$H$10366,MATCH(CONCATENATE('Tabular Pop Data by Age'!$C35,'Tabular Pop Data by Age'!H$7),'Population Data by Age'!$B$7:$B$10366,0),MATCH('Tabular Pop Data by Age'!$C$6,'Population Data by Age'!$B$6:$H$6,0))</f>
        <v>0</v>
      </c>
      <c r="I35" s="78">
        <f>INDEX('Population Data by Age'!$B$7:$H$10366,MATCH(CONCATENATE('Tabular Pop Data by Age'!$C35,'Tabular Pop Data by Age'!I$7),'Population Data by Age'!$B$7:$B$10366,0),MATCH('Tabular Pop Data by Age'!$C$6,'Population Data by Age'!$B$6:$H$6,0))</f>
        <v>0</v>
      </c>
      <c r="J35" s="78">
        <f>INDEX('Population Data by Age'!$B$7:$H$10366,MATCH(CONCATENATE('Tabular Pop Data by Age'!$C35,'Tabular Pop Data by Age'!J$7),'Population Data by Age'!$B$7:$B$10366,0),MATCH('Tabular Pop Data by Age'!$C$6,'Population Data by Age'!$B$6:$H$6,0))</f>
        <v>0</v>
      </c>
      <c r="K35" s="78">
        <f>INDEX('Population Data by Age'!$B$7:$H$10366,MATCH(CONCATENATE('Tabular Pop Data by Age'!$C35,'Tabular Pop Data by Age'!K$7),'Population Data by Age'!$B$7:$B$10366,0),MATCH('Tabular Pop Data by Age'!$C$6,'Population Data by Age'!$B$6:$H$6,0))</f>
        <v>0</v>
      </c>
      <c r="L35" s="78">
        <f>INDEX('Population Data by Age'!$B$7:$H$10366,MATCH(CONCATENATE('Tabular Pop Data by Age'!$C35,'Tabular Pop Data by Age'!L$7),'Population Data by Age'!$B$7:$B$10366,0),MATCH('Tabular Pop Data by Age'!$C$6,'Population Data by Age'!$B$6:$H$6,0))</f>
        <v>0</v>
      </c>
      <c r="M35" s="78">
        <f>INDEX('Population Data by Age'!$B$7:$H$10366,MATCH(CONCATENATE('Tabular Pop Data by Age'!$C35,'Tabular Pop Data by Age'!M$7),'Population Data by Age'!$B$7:$B$10366,0),MATCH('Tabular Pop Data by Age'!$C$6,'Population Data by Age'!$B$6:$H$6,0))</f>
        <v>0</v>
      </c>
      <c r="N35" s="78">
        <f>INDEX('Population Data by Age'!$B$7:$H$10366,MATCH(CONCATENATE('Tabular Pop Data by Age'!$C35,'Tabular Pop Data by Age'!N$7),'Population Data by Age'!$B$7:$B$10366,0),MATCH('Tabular Pop Data by Age'!$C$6,'Population Data by Age'!$B$6:$H$6,0))</f>
        <v>0</v>
      </c>
      <c r="O35" s="78">
        <f>INDEX('Population Data by Age'!$B$7:$H$10366,MATCH(CONCATENATE('Tabular Pop Data by Age'!$C35,'Tabular Pop Data by Age'!O$7),'Population Data by Age'!$B$7:$B$10366,0),MATCH('Tabular Pop Data by Age'!$C$6,'Population Data by Age'!$B$6:$H$6,0))</f>
        <v>0</v>
      </c>
      <c r="P35" s="78">
        <f>INDEX('Population Data by Age'!$B$7:$H$10366,MATCH(CONCATENATE('Tabular Pop Data by Age'!$C35,'Tabular Pop Data by Age'!P$7),'Population Data by Age'!$B$7:$B$10366,0),MATCH('Tabular Pop Data by Age'!$C$6,'Population Data by Age'!$B$6:$H$6,0))</f>
        <v>0</v>
      </c>
      <c r="Q35" s="78">
        <f>INDEX('Population Data by Age'!$B$7:$H$10366,MATCH(CONCATENATE('Tabular Pop Data by Age'!$C35,'Tabular Pop Data by Age'!Q$7),'Population Data by Age'!$B$7:$B$10366,0),MATCH('Tabular Pop Data by Age'!$C$6,'Population Data by Age'!$B$6:$H$6,0))</f>
        <v>0</v>
      </c>
      <c r="R35" s="78">
        <f>INDEX('Population Data by Age'!$B$7:$H$10366,MATCH(CONCATENATE('Tabular Pop Data by Age'!$C35,'Tabular Pop Data by Age'!R$7),'Population Data by Age'!$B$7:$B$10366,0),MATCH('Tabular Pop Data by Age'!$C$6,'Population Data by Age'!$B$6:$H$6,0))</f>
        <v>0</v>
      </c>
      <c r="S35" s="78">
        <f>INDEX('Population Data by Age'!$B$7:$H$10366,MATCH(CONCATENATE('Tabular Pop Data by Age'!$C35,'Tabular Pop Data by Age'!S$7),'Population Data by Age'!$B$7:$B$10366,0),MATCH('Tabular Pop Data by Age'!$C$6,'Population Data by Age'!$B$6:$H$6,0))</f>
        <v>0</v>
      </c>
      <c r="T35" s="78">
        <f>INDEX('Population Data by Age'!$B$7:$H$10366,MATCH(CONCATENATE('Tabular Pop Data by Age'!$C35,'Tabular Pop Data by Age'!T$7),'Population Data by Age'!$B$7:$B$10366,0),MATCH('Tabular Pop Data by Age'!$C$6,'Population Data by Age'!$B$6:$H$6,0))</f>
        <v>0</v>
      </c>
      <c r="U35" s="78">
        <f>INDEX('Population Data by Age'!$B$7:$H$10366,MATCH(CONCATENATE('Tabular Pop Data by Age'!$C35,'Tabular Pop Data by Age'!U$7),'Population Data by Age'!$B$7:$B$10366,0),MATCH('Tabular Pop Data by Age'!$C$6,'Population Data by Age'!$B$6:$H$6,0))</f>
        <v>0</v>
      </c>
      <c r="V35" s="78">
        <f>INDEX('Population Data by Age'!$B$7:$H$10366,MATCH(CONCATENATE('Tabular Pop Data by Age'!$C35,'Tabular Pop Data by Age'!V$7),'Population Data by Age'!$B$7:$B$10366,0),MATCH('Tabular Pop Data by Age'!$C$6,'Population Data by Age'!$B$6:$H$6,0))</f>
        <v>0</v>
      </c>
      <c r="W35" s="78">
        <f>INDEX('Population Data by Age'!$B$7:$H$10366,MATCH(CONCATENATE('Tabular Pop Data by Age'!$C35,'Tabular Pop Data by Age'!W$7),'Population Data by Age'!$B$7:$B$10366,0),MATCH('Tabular Pop Data by Age'!$C$6,'Population Data by Age'!$B$6:$H$6,0))</f>
        <v>0</v>
      </c>
      <c r="X35" s="78">
        <f>INDEX('Population Data by Age'!$B$7:$H$10366,MATCH(CONCATENATE('Tabular Pop Data by Age'!$C35,'Tabular Pop Data by Age'!X$7),'Population Data by Age'!$B$7:$B$10366,0),MATCH('Tabular Pop Data by Age'!$C$6,'Population Data by Age'!$B$6:$H$6,0))</f>
        <v>0</v>
      </c>
      <c r="Y35" s="78">
        <f>INDEX('Population Data by Age'!$B$7:$H$10366,MATCH(CONCATENATE('Tabular Pop Data by Age'!$C35,'Tabular Pop Data by Age'!Y$7),'Population Data by Age'!$B$7:$B$10366,0),MATCH('Tabular Pop Data by Age'!$C$6,'Population Data by Age'!$B$6:$H$6,0))</f>
        <v>0</v>
      </c>
      <c r="Z35" s="78">
        <f>INDEX('Population Data by Age'!$B$7:$H$10366,MATCH(CONCATENATE('Tabular Pop Data by Age'!$C35,'Tabular Pop Data by Age'!Z$7),'Population Data by Age'!$B$7:$B$10366,0),MATCH('Tabular Pop Data by Age'!$C$6,'Population Data by Age'!$B$6:$H$6,0))</f>
        <v>0</v>
      </c>
      <c r="AA35" s="78">
        <f>INDEX('Population Data by Age'!$B$7:$H$10366,MATCH(CONCATENATE('Tabular Pop Data by Age'!$C35,'Tabular Pop Data by Age'!AA$7),'Population Data by Age'!$B$7:$B$10366,0),MATCH('Tabular Pop Data by Age'!$C$6,'Population Data by Age'!$B$6:$H$6,0))</f>
        <v>0</v>
      </c>
      <c r="AB35" s="78">
        <f>INDEX('Population Data by Age'!$B$7:$H$10366,MATCH(CONCATENATE('Tabular Pop Data by Age'!$C35,'Tabular Pop Data by Age'!AB$7),'Population Data by Age'!$B$7:$B$10366,0),MATCH('Tabular Pop Data by Age'!$C$6,'Population Data by Age'!$B$6:$H$6,0))</f>
        <v>0</v>
      </c>
      <c r="AC35" s="78">
        <f>INDEX('Population Data by Age'!$B$7:$H$10366,MATCH(CONCATENATE('Tabular Pop Data by Age'!$C35,'Tabular Pop Data by Age'!AC$7),'Population Data by Age'!$B$7:$B$10366,0),MATCH('Tabular Pop Data by Age'!$C$6,'Population Data by Age'!$B$6:$H$6,0))</f>
        <v>0</v>
      </c>
      <c r="AD35" s="78">
        <f>INDEX('Population Data by Age'!$B$7:$H$10366,MATCH(CONCATENATE('Tabular Pop Data by Age'!$C35,'Tabular Pop Data by Age'!AD$7),'Population Data by Age'!$B$7:$B$10366,0),MATCH('Tabular Pop Data by Age'!$C$6,'Population Data by Age'!$B$6:$H$6,0))</f>
        <v>0</v>
      </c>
      <c r="AE35" s="78">
        <f>INDEX('Population Data by Age'!$B$7:$H$10366,MATCH(CONCATENATE('Tabular Pop Data by Age'!$C35,'Tabular Pop Data by Age'!AE$7),'Population Data by Age'!$B$7:$B$10366,0),MATCH('Tabular Pop Data by Age'!$C$6,'Population Data by Age'!$B$6:$H$6,0))</f>
        <v>0</v>
      </c>
      <c r="AF35" s="78">
        <f>INDEX('Population Data by Age'!$B$7:$H$10366,MATCH(CONCATENATE('Tabular Pop Data by Age'!$C35,'Tabular Pop Data by Age'!AF$7),'Population Data by Age'!$B$7:$B$10366,0),MATCH('Tabular Pop Data by Age'!$C$6,'Population Data by Age'!$B$6:$H$6,0))</f>
        <v>0</v>
      </c>
      <c r="AG35" s="78">
        <f>INDEX('Population Data by Age'!$B$7:$H$10366,MATCH(CONCATENATE('Tabular Pop Data by Age'!$C35,'Tabular Pop Data by Age'!AG$7),'Population Data by Age'!$B$7:$B$10366,0),MATCH('Tabular Pop Data by Age'!$C$6,'Population Data by Age'!$B$6:$H$6,0))</f>
        <v>0</v>
      </c>
      <c r="AH35" s="78">
        <f>INDEX('Population Data by Age'!$B$7:$H$10366,MATCH(CONCATENATE('Tabular Pop Data by Age'!$C35,'Tabular Pop Data by Age'!AH$7),'Population Data by Age'!$B$7:$B$10366,0),MATCH('Tabular Pop Data by Age'!$C$6,'Population Data by Age'!$B$6:$H$6,0))</f>
        <v>0</v>
      </c>
      <c r="AI35" s="78">
        <f>INDEX('Population Data by Age'!$B$7:$H$10366,MATCH(CONCATENATE('Tabular Pop Data by Age'!$C35,'Tabular Pop Data by Age'!AI$7),'Population Data by Age'!$B$7:$B$10366,0),MATCH('Tabular Pop Data by Age'!$C$6,'Population Data by Age'!$B$6:$H$6,0))</f>
        <v>0</v>
      </c>
      <c r="AJ35" s="78">
        <f>INDEX('Population Data by Age'!$B$7:$H$10366,MATCH(CONCATENATE('Tabular Pop Data by Age'!$C35,'Tabular Pop Data by Age'!AJ$7),'Population Data by Age'!$B$7:$B$10366,0),MATCH('Tabular Pop Data by Age'!$C$6,'Population Data by Age'!$B$6:$H$6,0))</f>
        <v>0</v>
      </c>
      <c r="AK35" s="78">
        <f>INDEX('Population Data by Age'!$B$7:$H$10366,MATCH(CONCATENATE('Tabular Pop Data by Age'!$C35,'Tabular Pop Data by Age'!AK$7),'Population Data by Age'!$B$7:$B$10366,0),MATCH('Tabular Pop Data by Age'!$C$6,'Population Data by Age'!$B$6:$H$6,0))</f>
        <v>0</v>
      </c>
      <c r="AL35" s="78">
        <f>INDEX('Population Data by Age'!$B$7:$H$10366,MATCH(CONCATENATE('Tabular Pop Data by Age'!$C35,'Tabular Pop Data by Age'!AL$7),'Population Data by Age'!$B$7:$B$10366,0),MATCH('Tabular Pop Data by Age'!$C$6,'Population Data by Age'!$B$6:$H$6,0))</f>
        <v>0</v>
      </c>
      <c r="AM35" s="78">
        <f>INDEX('Population Data by Age'!$B$7:$H$10366,MATCH(CONCATENATE('Tabular Pop Data by Age'!$C35,'Tabular Pop Data by Age'!AM$7),'Population Data by Age'!$B$7:$B$10366,0),MATCH('Tabular Pop Data by Age'!$C$6,'Population Data by Age'!$B$6:$H$6,0))</f>
        <v>0</v>
      </c>
      <c r="AN35" s="78">
        <f>INDEX('Population Data by Age'!$B$7:$H$10366,MATCH(CONCATENATE('Tabular Pop Data by Age'!$C35,'Tabular Pop Data by Age'!AN$7),'Population Data by Age'!$B$7:$B$10366,0),MATCH('Tabular Pop Data by Age'!$C$6,'Population Data by Age'!$B$6:$H$6,0))</f>
        <v>30000</v>
      </c>
      <c r="AO35" s="78">
        <f>INDEX('Population Data by Age'!$B$7:$H$10366,MATCH(CONCATENATE('Tabular Pop Data by Age'!$C35,'Tabular Pop Data by Age'!AO$7),'Population Data by Age'!$B$7:$B$10366,0),MATCH('Tabular Pop Data by Age'!$C$6,'Population Data by Age'!$B$6:$H$6,0))</f>
        <v>0</v>
      </c>
      <c r="AP35" s="79">
        <f t="shared" si="0"/>
        <v>0</v>
      </c>
      <c r="AQ35" s="79">
        <f t="shared" si="1"/>
        <v>0</v>
      </c>
      <c r="AR35" s="79">
        <f t="shared" si="2"/>
        <v>0</v>
      </c>
      <c r="AS35" s="79">
        <f t="shared" si="3"/>
        <v>0</v>
      </c>
      <c r="AT35" s="79">
        <f t="shared" si="4"/>
        <v>0</v>
      </c>
      <c r="AU35" s="79">
        <f t="shared" si="5"/>
        <v>0</v>
      </c>
      <c r="AV35" s="79">
        <f t="shared" si="6"/>
        <v>0</v>
      </c>
      <c r="AW35" s="79">
        <f t="shared" si="7"/>
        <v>0</v>
      </c>
      <c r="AX35" s="79">
        <f t="shared" si="8"/>
        <v>0</v>
      </c>
      <c r="AY35" s="79">
        <f t="shared" si="9"/>
        <v>0</v>
      </c>
      <c r="AZ35" s="79">
        <f t="shared" si="10"/>
        <v>0</v>
      </c>
      <c r="BA35" s="79">
        <f t="shared" si="11"/>
        <v>0</v>
      </c>
      <c r="BB35" s="79">
        <f t="shared" si="12"/>
        <v>0</v>
      </c>
      <c r="BC35" s="79">
        <f t="shared" si="13"/>
        <v>0</v>
      </c>
      <c r="BD35" s="79">
        <f t="shared" si="14"/>
        <v>0</v>
      </c>
      <c r="BE35" s="79">
        <f t="shared" si="15"/>
        <v>0</v>
      </c>
      <c r="BF35" s="79">
        <f t="shared" si="16"/>
        <v>0</v>
      </c>
    </row>
    <row r="36" spans="1:58" x14ac:dyDescent="0.25">
      <c r="A36" s="138" t="s">
        <v>1195</v>
      </c>
      <c r="B36" t="s">
        <v>446</v>
      </c>
      <c r="C36" t="s">
        <v>20</v>
      </c>
      <c r="D36" s="78">
        <f>INDEX('Population Data by Age'!$B$7:$H$10366,MATCH(CONCATENATE('Tabular Pop Data by Age'!$C36,'Tabular Pop Data by Age'!D$7),'Population Data by Age'!$B$7:$B$10366,0),MATCH('Tabular Pop Data by Age'!$C$6,'Population Data by Age'!$B$6:$H$6,0))</f>
        <v>15000</v>
      </c>
      <c r="E36" s="78">
        <f>INDEX('Population Data by Age'!$B$7:$H$10366,MATCH(CONCATENATE('Tabular Pop Data by Age'!$C36,'Tabular Pop Data by Age'!E$7),'Population Data by Age'!$B$7:$B$10366,0),MATCH('Tabular Pop Data by Age'!$C$6,'Population Data by Age'!$B$6:$H$6,0))</f>
        <v>16000</v>
      </c>
      <c r="F36" s="78">
        <f>INDEX('Population Data by Age'!$B$7:$H$10366,MATCH(CONCATENATE('Tabular Pop Data by Age'!$C36,'Tabular Pop Data by Age'!F$7),'Population Data by Age'!$B$7:$B$10366,0),MATCH('Tabular Pop Data by Age'!$C$6,'Population Data by Age'!$B$6:$H$6,0))</f>
        <v>17000</v>
      </c>
      <c r="G36" s="78">
        <f>INDEX('Population Data by Age'!$B$7:$H$10366,MATCH(CONCATENATE('Tabular Pop Data by Age'!$C36,'Tabular Pop Data by Age'!G$7),'Population Data by Age'!$B$7:$B$10366,0),MATCH('Tabular Pop Data by Age'!$C$6,'Population Data by Age'!$B$6:$H$6,0))</f>
        <v>18000</v>
      </c>
      <c r="H36" s="78">
        <f>INDEX('Population Data by Age'!$B$7:$H$10366,MATCH(CONCATENATE('Tabular Pop Data by Age'!$C36,'Tabular Pop Data by Age'!H$7),'Population Data by Age'!$B$7:$B$10366,0),MATCH('Tabular Pop Data by Age'!$C$6,'Population Data by Age'!$B$6:$H$6,0))</f>
        <v>15000</v>
      </c>
      <c r="I36" s="78">
        <f>INDEX('Population Data by Age'!$B$7:$H$10366,MATCH(CONCATENATE('Tabular Pop Data by Age'!$C36,'Tabular Pop Data by Age'!I$7),'Population Data by Age'!$B$7:$B$10366,0),MATCH('Tabular Pop Data by Age'!$C$6,'Population Data by Age'!$B$6:$H$6,0))</f>
        <v>16000</v>
      </c>
      <c r="J36" s="78">
        <f>INDEX('Population Data by Age'!$B$7:$H$10366,MATCH(CONCATENATE('Tabular Pop Data by Age'!$C36,'Tabular Pop Data by Age'!J$7),'Population Data by Age'!$B$7:$B$10366,0),MATCH('Tabular Pop Data by Age'!$C$6,'Population Data by Age'!$B$6:$H$6,0))</f>
        <v>16000</v>
      </c>
      <c r="K36" s="78">
        <f>INDEX('Population Data by Age'!$B$7:$H$10366,MATCH(CONCATENATE('Tabular Pop Data by Age'!$C36,'Tabular Pop Data by Age'!K$7),'Population Data by Age'!$B$7:$B$10366,0),MATCH('Tabular Pop Data by Age'!$C$6,'Population Data by Age'!$B$6:$H$6,0))</f>
        <v>17000</v>
      </c>
      <c r="L36" s="78">
        <f>INDEX('Population Data by Age'!$B$7:$H$10366,MATCH(CONCATENATE('Tabular Pop Data by Age'!$C36,'Tabular Pop Data by Age'!L$7),'Population Data by Age'!$B$7:$B$10366,0),MATCH('Tabular Pop Data by Age'!$C$6,'Population Data by Age'!$B$6:$H$6,0))</f>
        <v>17000</v>
      </c>
      <c r="M36" s="78">
        <f>INDEX('Population Data by Age'!$B$7:$H$10366,MATCH(CONCATENATE('Tabular Pop Data by Age'!$C36,'Tabular Pop Data by Age'!M$7),'Population Data by Age'!$B$7:$B$10366,0),MATCH('Tabular Pop Data by Age'!$C$6,'Population Data by Age'!$B$6:$H$6,0))</f>
        <v>19000</v>
      </c>
      <c r="N36" s="78">
        <f>INDEX('Population Data by Age'!$B$7:$H$10366,MATCH(CONCATENATE('Tabular Pop Data by Age'!$C36,'Tabular Pop Data by Age'!N$7),'Population Data by Age'!$B$7:$B$10366,0),MATCH('Tabular Pop Data by Age'!$C$6,'Population Data by Age'!$B$6:$H$6,0))</f>
        <v>16000</v>
      </c>
      <c r="O36" s="78">
        <f>INDEX('Population Data by Age'!$B$7:$H$10366,MATCH(CONCATENATE('Tabular Pop Data by Age'!$C36,'Tabular Pop Data by Age'!O$7),'Population Data by Age'!$B$7:$B$10366,0),MATCH('Tabular Pop Data by Age'!$C$6,'Population Data by Age'!$B$6:$H$6,0))</f>
        <v>18000</v>
      </c>
      <c r="P36" s="78">
        <f>INDEX('Population Data by Age'!$B$7:$H$10366,MATCH(CONCATENATE('Tabular Pop Data by Age'!$C36,'Tabular Pop Data by Age'!P$7),'Population Data by Age'!$B$7:$B$10366,0),MATCH('Tabular Pop Data by Age'!$C$6,'Population Data by Age'!$B$6:$H$6,0))</f>
        <v>18000</v>
      </c>
      <c r="Q36" s="78">
        <f>INDEX('Population Data by Age'!$B$7:$H$10366,MATCH(CONCATENATE('Tabular Pop Data by Age'!$C36,'Tabular Pop Data by Age'!Q$7),'Population Data by Age'!$B$7:$B$10366,0),MATCH('Tabular Pop Data by Age'!$C$6,'Population Data by Age'!$B$6:$H$6,0))</f>
        <v>20000</v>
      </c>
      <c r="R36" s="78">
        <f>INDEX('Population Data by Age'!$B$7:$H$10366,MATCH(CONCATENATE('Tabular Pop Data by Age'!$C36,'Tabular Pop Data by Age'!R$7),'Population Data by Age'!$B$7:$B$10366,0),MATCH('Tabular Pop Data by Age'!$C$6,'Population Data by Age'!$B$6:$H$6,0))</f>
        <v>18000</v>
      </c>
      <c r="S36" s="78">
        <f>INDEX('Population Data by Age'!$B$7:$H$10366,MATCH(CONCATENATE('Tabular Pop Data by Age'!$C36,'Tabular Pop Data by Age'!S$7),'Population Data by Age'!$B$7:$B$10366,0),MATCH('Tabular Pop Data by Age'!$C$6,'Population Data by Age'!$B$6:$H$6,0))</f>
        <v>21000</v>
      </c>
      <c r="T36" s="78">
        <f>INDEX('Population Data by Age'!$B$7:$H$10366,MATCH(CONCATENATE('Tabular Pop Data by Age'!$C36,'Tabular Pop Data by Age'!T$7),'Population Data by Age'!$B$7:$B$10366,0),MATCH('Tabular Pop Data by Age'!$C$6,'Population Data by Age'!$B$6:$H$6,0))</f>
        <v>17000</v>
      </c>
      <c r="U36" s="78">
        <f>INDEX('Population Data by Age'!$B$7:$H$10366,MATCH(CONCATENATE('Tabular Pop Data by Age'!$C36,'Tabular Pop Data by Age'!U$7),'Population Data by Age'!$B$7:$B$10366,0),MATCH('Tabular Pop Data by Age'!$C$6,'Population Data by Age'!$B$6:$H$6,0))</f>
        <v>19000</v>
      </c>
      <c r="V36" s="78">
        <f>INDEX('Population Data by Age'!$B$7:$H$10366,MATCH(CONCATENATE('Tabular Pop Data by Age'!$C36,'Tabular Pop Data by Age'!V$7),'Population Data by Age'!$B$7:$B$10366,0),MATCH('Tabular Pop Data by Age'!$C$6,'Population Data by Age'!$B$6:$H$6,0))</f>
        <v>16000</v>
      </c>
      <c r="W36" s="78">
        <f>INDEX('Population Data by Age'!$B$7:$H$10366,MATCH(CONCATENATE('Tabular Pop Data by Age'!$C36,'Tabular Pop Data by Age'!W$7),'Population Data by Age'!$B$7:$B$10366,0),MATCH('Tabular Pop Data by Age'!$C$6,'Population Data by Age'!$B$6:$H$6,0))</f>
        <v>17000</v>
      </c>
      <c r="X36" s="78">
        <f>INDEX('Population Data by Age'!$B$7:$H$10366,MATCH(CONCATENATE('Tabular Pop Data by Age'!$C36,'Tabular Pop Data by Age'!X$7),'Population Data by Age'!$B$7:$B$10366,0),MATCH('Tabular Pop Data by Age'!$C$6,'Population Data by Age'!$B$6:$H$6,0))</f>
        <v>14000</v>
      </c>
      <c r="Y36" s="78">
        <f>INDEX('Population Data by Age'!$B$7:$H$10366,MATCH(CONCATENATE('Tabular Pop Data by Age'!$C36,'Tabular Pop Data by Age'!Y$7),'Population Data by Age'!$B$7:$B$10366,0),MATCH('Tabular Pop Data by Age'!$C$6,'Population Data by Age'!$B$6:$H$6,0))</f>
        <v>14000</v>
      </c>
      <c r="Z36" s="78">
        <f>INDEX('Population Data by Age'!$B$7:$H$10366,MATCH(CONCATENATE('Tabular Pop Data by Age'!$C36,'Tabular Pop Data by Age'!Z$7),'Population Data by Age'!$B$7:$B$10366,0),MATCH('Tabular Pop Data by Age'!$C$6,'Population Data by Age'!$B$6:$H$6,0))</f>
        <v>11000</v>
      </c>
      <c r="AA36" s="78">
        <f>INDEX('Population Data by Age'!$B$7:$H$10366,MATCH(CONCATENATE('Tabular Pop Data by Age'!$C36,'Tabular Pop Data by Age'!AA$7),'Population Data by Age'!$B$7:$B$10366,0),MATCH('Tabular Pop Data by Age'!$C$6,'Population Data by Age'!$B$6:$H$6,0))</f>
        <v>12000</v>
      </c>
      <c r="AB36" s="78">
        <f>INDEX('Population Data by Age'!$B$7:$H$10366,MATCH(CONCATENATE('Tabular Pop Data by Age'!$C36,'Tabular Pop Data by Age'!AB$7),'Population Data by Age'!$B$7:$B$10366,0),MATCH('Tabular Pop Data by Age'!$C$6,'Population Data by Age'!$B$6:$H$6,0))</f>
        <v>8400</v>
      </c>
      <c r="AC36" s="78">
        <f>INDEX('Population Data by Age'!$B$7:$H$10366,MATCH(CONCATENATE('Tabular Pop Data by Age'!$C36,'Tabular Pop Data by Age'!AC$7),'Population Data by Age'!$B$7:$B$10366,0),MATCH('Tabular Pop Data by Age'!$C$6,'Population Data by Age'!$B$6:$H$6,0))</f>
        <v>8800</v>
      </c>
      <c r="AD36" s="78">
        <f>INDEX('Population Data by Age'!$B$7:$H$10366,MATCH(CONCATENATE('Tabular Pop Data by Age'!$C36,'Tabular Pop Data by Age'!AD$7),'Population Data by Age'!$B$7:$B$10366,0),MATCH('Tabular Pop Data by Age'!$C$6,'Population Data by Age'!$B$6:$H$6,0))</f>
        <v>5700</v>
      </c>
      <c r="AE36" s="78">
        <f>INDEX('Population Data by Age'!$B$7:$H$10366,MATCH(CONCATENATE('Tabular Pop Data by Age'!$C36,'Tabular Pop Data by Age'!AE$7),'Population Data by Age'!$B$7:$B$10366,0),MATCH('Tabular Pop Data by Age'!$C$6,'Population Data by Age'!$B$6:$H$6,0))</f>
        <v>5600</v>
      </c>
      <c r="AF36" s="78">
        <f>INDEX('Population Data by Age'!$B$7:$H$10366,MATCH(CONCATENATE('Tabular Pop Data by Age'!$C36,'Tabular Pop Data by Age'!AF$7),'Population Data by Age'!$B$7:$B$10366,0),MATCH('Tabular Pop Data by Age'!$C$6,'Population Data by Age'!$B$6:$H$6,0))</f>
        <v>3300</v>
      </c>
      <c r="AG36" s="78">
        <f>INDEX('Population Data by Age'!$B$7:$H$10366,MATCH(CONCATENATE('Tabular Pop Data by Age'!$C36,'Tabular Pop Data by Age'!AG$7),'Population Data by Age'!$B$7:$B$10366,0),MATCH('Tabular Pop Data by Age'!$C$6,'Population Data by Age'!$B$6:$H$6,0))</f>
        <v>3000</v>
      </c>
      <c r="AH36" s="78">
        <f>INDEX('Population Data by Age'!$B$7:$H$10366,MATCH(CONCATENATE('Tabular Pop Data by Age'!$C36,'Tabular Pop Data by Age'!AH$7),'Population Data by Age'!$B$7:$B$10366,0),MATCH('Tabular Pop Data by Age'!$C$6,'Population Data by Age'!$B$6:$H$6,0))</f>
        <v>1700</v>
      </c>
      <c r="AI36" s="78">
        <f>INDEX('Population Data by Age'!$B$7:$H$10366,MATCH(CONCATENATE('Tabular Pop Data by Age'!$C36,'Tabular Pop Data by Age'!AI$7),'Population Data by Age'!$B$7:$B$10366,0),MATCH('Tabular Pop Data by Age'!$C$6,'Population Data by Age'!$B$6:$H$6,0))</f>
        <v>1700</v>
      </c>
      <c r="AJ36" s="78">
        <f>INDEX('Population Data by Age'!$B$7:$H$10366,MATCH(CONCATENATE('Tabular Pop Data by Age'!$C36,'Tabular Pop Data by Age'!AJ$7),'Population Data by Age'!$B$7:$B$10366,0),MATCH('Tabular Pop Data by Age'!$C$6,'Population Data by Age'!$B$6:$H$6,0))</f>
        <v>1800</v>
      </c>
      <c r="AK36" s="78">
        <f>INDEX('Population Data by Age'!$B$7:$H$10366,MATCH(CONCATENATE('Tabular Pop Data by Age'!$C36,'Tabular Pop Data by Age'!AK$7),'Population Data by Age'!$B$7:$B$10366,0),MATCH('Tabular Pop Data by Age'!$C$6,'Population Data by Age'!$B$6:$H$6,0))</f>
        <v>1600</v>
      </c>
      <c r="AL36" s="78">
        <f>INDEX('Population Data by Age'!$B$7:$H$10366,MATCH(CONCATENATE('Tabular Pop Data by Age'!$C36,'Tabular Pop Data by Age'!AL$7),'Population Data by Age'!$B$7:$B$10366,0),MATCH('Tabular Pop Data by Age'!$C$6,'Population Data by Age'!$B$6:$H$6,0))</f>
        <v>210000</v>
      </c>
      <c r="AM36" s="78">
        <f>INDEX('Population Data by Age'!$B$7:$H$10366,MATCH(CONCATENATE('Tabular Pop Data by Age'!$C36,'Tabular Pop Data by Age'!AM$7),'Population Data by Age'!$B$7:$B$10366,0),MATCH('Tabular Pop Data by Age'!$C$6,'Population Data by Age'!$B$6:$H$6,0))</f>
        <v>227000</v>
      </c>
      <c r="AN36" s="78">
        <f>INDEX('Population Data by Age'!$B$7:$H$10366,MATCH(CONCATENATE('Tabular Pop Data by Age'!$C36,'Tabular Pop Data by Age'!AN$7),'Population Data by Age'!$B$7:$B$10366,0),MATCH('Tabular Pop Data by Age'!$C$6,'Population Data by Age'!$B$6:$H$6,0))</f>
        <v>437000</v>
      </c>
      <c r="AO36" s="78">
        <f>INDEX('Population Data by Age'!$B$7:$H$10366,MATCH(CONCATENATE('Tabular Pop Data by Age'!$C36,'Tabular Pop Data by Age'!AO$7),'Population Data by Age'!$B$7:$B$10366,0),MATCH('Tabular Pop Data by Age'!$C$6,'Population Data by Age'!$B$6:$H$6,0))</f>
        <v>0</v>
      </c>
      <c r="AP36" s="79">
        <f t="shared" si="0"/>
        <v>31000</v>
      </c>
      <c r="AQ36" s="79">
        <f t="shared" si="1"/>
        <v>35000</v>
      </c>
      <c r="AR36" s="79">
        <f t="shared" si="2"/>
        <v>31000</v>
      </c>
      <c r="AS36" s="79">
        <f t="shared" si="3"/>
        <v>33000</v>
      </c>
      <c r="AT36" s="79">
        <f t="shared" si="4"/>
        <v>36000</v>
      </c>
      <c r="AU36" s="79">
        <f t="shared" si="5"/>
        <v>34000</v>
      </c>
      <c r="AV36" s="79">
        <f t="shared" si="6"/>
        <v>38000</v>
      </c>
      <c r="AW36" s="79">
        <f t="shared" si="7"/>
        <v>39000</v>
      </c>
      <c r="AX36" s="79">
        <f t="shared" si="8"/>
        <v>36000</v>
      </c>
      <c r="AY36" s="79">
        <f t="shared" si="9"/>
        <v>33000</v>
      </c>
      <c r="AZ36" s="79">
        <f t="shared" si="10"/>
        <v>28000</v>
      </c>
      <c r="BA36" s="79">
        <f t="shared" si="11"/>
        <v>23000</v>
      </c>
      <c r="BB36" s="79">
        <f t="shared" si="12"/>
        <v>17200</v>
      </c>
      <c r="BC36" s="79">
        <f t="shared" si="13"/>
        <v>11300</v>
      </c>
      <c r="BD36" s="79">
        <f t="shared" si="14"/>
        <v>6300</v>
      </c>
      <c r="BE36" s="79">
        <f t="shared" si="15"/>
        <v>3400</v>
      </c>
      <c r="BF36" s="79">
        <f t="shared" si="16"/>
        <v>3400</v>
      </c>
    </row>
    <row r="37" spans="1:58" x14ac:dyDescent="0.25">
      <c r="A37" s="138" t="s">
        <v>1195</v>
      </c>
      <c r="B37" t="s">
        <v>447</v>
      </c>
      <c r="C37" t="s">
        <v>12</v>
      </c>
      <c r="D37" s="78">
        <f>INDEX('Population Data by Age'!$B$7:$H$10366,MATCH(CONCATENATE('Tabular Pop Data by Age'!$C37,'Tabular Pop Data by Age'!D$7),'Population Data by Age'!$B$7:$B$10366,0),MATCH('Tabular Pop Data by Age'!$C$6,'Population Data by Age'!$B$6:$H$6,0))</f>
        <v>151000</v>
      </c>
      <c r="E37" s="78">
        <f>INDEX('Population Data by Age'!$B$7:$H$10366,MATCH(CONCATENATE('Tabular Pop Data by Age'!$C37,'Tabular Pop Data by Age'!E$7),'Population Data by Age'!$B$7:$B$10366,0),MATCH('Tabular Pop Data by Age'!$C$6,'Population Data by Age'!$B$6:$H$6,0))</f>
        <v>160000</v>
      </c>
      <c r="F37" s="78">
        <f>INDEX('Population Data by Age'!$B$7:$H$10366,MATCH(CONCATENATE('Tabular Pop Data by Age'!$C37,'Tabular Pop Data by Age'!F$7),'Population Data by Age'!$B$7:$B$10366,0),MATCH('Tabular Pop Data by Age'!$C$6,'Population Data by Age'!$B$6:$H$6,0))</f>
        <v>163000</v>
      </c>
      <c r="G37" s="78">
        <f>INDEX('Population Data by Age'!$B$7:$H$10366,MATCH(CONCATENATE('Tabular Pop Data by Age'!$C37,'Tabular Pop Data by Age'!G$7),'Population Data by Age'!$B$7:$B$10366,0),MATCH('Tabular Pop Data by Age'!$C$6,'Population Data by Age'!$B$6:$H$6,0))</f>
        <v>172000</v>
      </c>
      <c r="H37" s="78">
        <f>INDEX('Population Data by Age'!$B$7:$H$10366,MATCH(CONCATENATE('Tabular Pop Data by Age'!$C37,'Tabular Pop Data by Age'!H$7),'Population Data by Age'!$B$7:$B$10366,0),MATCH('Tabular Pop Data by Age'!$C$6,'Population Data by Age'!$B$6:$H$6,0))</f>
        <v>179000</v>
      </c>
      <c r="I37" s="78">
        <f>INDEX('Population Data by Age'!$B$7:$H$10366,MATCH(CONCATENATE('Tabular Pop Data by Age'!$C37,'Tabular Pop Data by Age'!I$7),'Population Data by Age'!$B$7:$B$10366,0),MATCH('Tabular Pop Data by Age'!$C$6,'Population Data by Age'!$B$6:$H$6,0))</f>
        <v>190000</v>
      </c>
      <c r="J37" s="78">
        <f>INDEX('Population Data by Age'!$B$7:$H$10366,MATCH(CONCATENATE('Tabular Pop Data by Age'!$C37,'Tabular Pop Data by Age'!J$7),'Population Data by Age'!$B$7:$B$10366,0),MATCH('Tabular Pop Data by Age'!$C$6,'Population Data by Age'!$B$6:$H$6,0))</f>
        <v>152000</v>
      </c>
      <c r="K37" s="78">
        <f>INDEX('Population Data by Age'!$B$7:$H$10366,MATCH(CONCATENATE('Tabular Pop Data by Age'!$C37,'Tabular Pop Data by Age'!K$7),'Population Data by Age'!$B$7:$B$10366,0),MATCH('Tabular Pop Data by Age'!$C$6,'Population Data by Age'!$B$6:$H$6,0))</f>
        <v>162000</v>
      </c>
      <c r="L37" s="78">
        <f>INDEX('Population Data by Age'!$B$7:$H$10366,MATCH(CONCATENATE('Tabular Pop Data by Age'!$C37,'Tabular Pop Data by Age'!L$7),'Population Data by Age'!$B$7:$B$10366,0),MATCH('Tabular Pop Data by Age'!$C$6,'Population Data by Age'!$B$6:$H$6,0))</f>
        <v>144000</v>
      </c>
      <c r="M37" s="78">
        <f>INDEX('Population Data by Age'!$B$7:$H$10366,MATCH(CONCATENATE('Tabular Pop Data by Age'!$C37,'Tabular Pop Data by Age'!M$7),'Population Data by Age'!$B$7:$B$10366,0),MATCH('Tabular Pop Data by Age'!$C$6,'Population Data by Age'!$B$6:$H$6,0))</f>
        <v>154000</v>
      </c>
      <c r="N37" s="78">
        <f>INDEX('Population Data by Age'!$B$7:$H$10366,MATCH(CONCATENATE('Tabular Pop Data by Age'!$C37,'Tabular Pop Data by Age'!N$7),'Population Data by Age'!$B$7:$B$10366,0),MATCH('Tabular Pop Data by Age'!$C$6,'Population Data by Age'!$B$6:$H$6,0))</f>
        <v>188000</v>
      </c>
      <c r="O37" s="78">
        <f>INDEX('Population Data by Age'!$B$7:$H$10366,MATCH(CONCATENATE('Tabular Pop Data by Age'!$C37,'Tabular Pop Data by Age'!O$7),'Population Data by Age'!$B$7:$B$10366,0),MATCH('Tabular Pop Data by Age'!$C$6,'Population Data by Age'!$B$6:$H$6,0))</f>
        <v>201000</v>
      </c>
      <c r="P37" s="78">
        <f>INDEX('Population Data by Age'!$B$7:$H$10366,MATCH(CONCATENATE('Tabular Pop Data by Age'!$C37,'Tabular Pop Data by Age'!P$7),'Population Data by Age'!$B$7:$B$10366,0),MATCH('Tabular Pop Data by Age'!$C$6,'Population Data by Age'!$B$6:$H$6,0))</f>
        <v>232000</v>
      </c>
      <c r="Q37" s="78">
        <f>INDEX('Population Data by Age'!$B$7:$H$10366,MATCH(CONCATENATE('Tabular Pop Data by Age'!$C37,'Tabular Pop Data by Age'!Q$7),'Population Data by Age'!$B$7:$B$10366,0),MATCH('Tabular Pop Data by Age'!$C$6,'Population Data by Age'!$B$6:$H$6,0))</f>
        <v>247000</v>
      </c>
      <c r="R37" s="78">
        <f>INDEX('Population Data by Age'!$B$7:$H$10366,MATCH(CONCATENATE('Tabular Pop Data by Age'!$C37,'Tabular Pop Data by Age'!R$7),'Population Data by Age'!$B$7:$B$10366,0),MATCH('Tabular Pop Data by Age'!$C$6,'Population Data by Age'!$B$6:$H$6,0))</f>
        <v>227000</v>
      </c>
      <c r="S37" s="78">
        <f>INDEX('Population Data by Age'!$B$7:$H$10366,MATCH(CONCATENATE('Tabular Pop Data by Age'!$C37,'Tabular Pop Data by Age'!S$7),'Population Data by Age'!$B$7:$B$10366,0),MATCH('Tabular Pop Data by Age'!$C$6,'Population Data by Age'!$B$6:$H$6,0))</f>
        <v>247000</v>
      </c>
      <c r="T37" s="78">
        <f>INDEX('Population Data by Age'!$B$7:$H$10366,MATCH(CONCATENATE('Tabular Pop Data by Age'!$C37,'Tabular Pop Data by Age'!T$7),'Population Data by Age'!$B$7:$B$10366,0),MATCH('Tabular Pop Data by Age'!$C$6,'Population Data by Age'!$B$6:$H$6,0))</f>
        <v>258000</v>
      </c>
      <c r="U37" s="78">
        <f>INDEX('Population Data by Age'!$B$7:$H$10366,MATCH(CONCATENATE('Tabular Pop Data by Age'!$C37,'Tabular Pop Data by Age'!U$7),'Population Data by Age'!$B$7:$B$10366,0),MATCH('Tabular Pop Data by Age'!$C$6,'Population Data by Age'!$B$6:$H$6,0))</f>
        <v>274000</v>
      </c>
      <c r="V37" s="78">
        <f>INDEX('Population Data by Age'!$B$7:$H$10366,MATCH(CONCATENATE('Tabular Pop Data by Age'!$C37,'Tabular Pop Data by Age'!V$7),'Population Data by Age'!$B$7:$B$10366,0),MATCH('Tabular Pop Data by Age'!$C$6,'Population Data by Age'!$B$6:$H$6,0))</f>
        <v>256000</v>
      </c>
      <c r="W37" s="78">
        <f>INDEX('Population Data by Age'!$B$7:$H$10366,MATCH(CONCATENATE('Tabular Pop Data by Age'!$C37,'Tabular Pop Data by Age'!W$7),'Population Data by Age'!$B$7:$B$10366,0),MATCH('Tabular Pop Data by Age'!$C$6,'Population Data by Age'!$B$6:$H$6,0))</f>
        <v>269000</v>
      </c>
      <c r="X37" s="78">
        <f>INDEX('Population Data by Age'!$B$7:$H$10366,MATCH(CONCATENATE('Tabular Pop Data by Age'!$C37,'Tabular Pop Data by Age'!X$7),'Population Data by Age'!$B$7:$B$10366,0),MATCH('Tabular Pop Data by Age'!$C$6,'Population Data by Age'!$B$6:$H$6,0))</f>
        <v>235000</v>
      </c>
      <c r="Y37" s="78">
        <f>INDEX('Population Data by Age'!$B$7:$H$10366,MATCH(CONCATENATE('Tabular Pop Data by Age'!$C37,'Tabular Pop Data by Age'!Y$7),'Population Data by Age'!$B$7:$B$10366,0),MATCH('Tabular Pop Data by Age'!$C$6,'Population Data by Age'!$B$6:$H$6,0))</f>
        <v>239000</v>
      </c>
      <c r="Z37" s="78">
        <f>INDEX('Population Data by Age'!$B$7:$H$10366,MATCH(CONCATENATE('Tabular Pop Data by Age'!$C37,'Tabular Pop Data by Age'!Z$7),'Population Data by Age'!$B$7:$B$10366,0),MATCH('Tabular Pop Data by Age'!$C$6,'Population Data by Age'!$B$6:$H$6,0))</f>
        <v>237000</v>
      </c>
      <c r="AA37" s="78">
        <f>INDEX('Population Data by Age'!$B$7:$H$10366,MATCH(CONCATENATE('Tabular Pop Data by Age'!$C37,'Tabular Pop Data by Age'!AA$7),'Population Data by Age'!$B$7:$B$10366,0),MATCH('Tabular Pop Data by Age'!$C$6,'Population Data by Age'!$B$6:$H$6,0))</f>
        <v>229000</v>
      </c>
      <c r="AB37" s="78">
        <f>INDEX('Population Data by Age'!$B$7:$H$10366,MATCH(CONCATENATE('Tabular Pop Data by Age'!$C37,'Tabular Pop Data by Age'!AB$7),'Population Data by Age'!$B$7:$B$10366,0),MATCH('Tabular Pop Data by Age'!$C$6,'Population Data by Age'!$B$6:$H$6,0))</f>
        <v>246000</v>
      </c>
      <c r="AC37" s="78">
        <f>INDEX('Population Data by Age'!$B$7:$H$10366,MATCH(CONCATENATE('Tabular Pop Data by Age'!$C37,'Tabular Pop Data by Age'!AC$7),'Population Data by Age'!$B$7:$B$10366,0),MATCH('Tabular Pop Data by Age'!$C$6,'Population Data by Age'!$B$6:$H$6,0))</f>
        <v>219000</v>
      </c>
      <c r="AD37" s="78">
        <f>INDEX('Population Data by Age'!$B$7:$H$10366,MATCH(CONCATENATE('Tabular Pop Data by Age'!$C37,'Tabular Pop Data by Age'!AD$7),'Population Data by Age'!$B$7:$B$10366,0),MATCH('Tabular Pop Data by Age'!$C$6,'Population Data by Age'!$B$6:$H$6,0))</f>
        <v>253000</v>
      </c>
      <c r="AE37" s="78">
        <f>INDEX('Population Data by Age'!$B$7:$H$10366,MATCH(CONCATENATE('Tabular Pop Data by Age'!$C37,'Tabular Pop Data by Age'!AE$7),'Population Data by Age'!$B$7:$B$10366,0),MATCH('Tabular Pop Data by Age'!$C$6,'Population Data by Age'!$B$6:$H$6,0))</f>
        <v>200000</v>
      </c>
      <c r="AF37" s="78">
        <f>INDEX('Population Data by Age'!$B$7:$H$10366,MATCH(CONCATENATE('Tabular Pop Data by Age'!$C37,'Tabular Pop Data by Age'!AF$7),'Population Data by Age'!$B$7:$B$10366,0),MATCH('Tabular Pop Data by Age'!$C$6,'Population Data by Age'!$B$6:$H$6,0))</f>
        <v>249000</v>
      </c>
      <c r="AG37" s="78">
        <f>INDEX('Population Data by Age'!$B$7:$H$10366,MATCH(CONCATENATE('Tabular Pop Data by Age'!$C37,'Tabular Pop Data by Age'!AG$7),'Population Data by Age'!$B$7:$B$10366,0),MATCH('Tabular Pop Data by Age'!$C$6,'Population Data by Age'!$B$6:$H$6,0))</f>
        <v>174000</v>
      </c>
      <c r="AH37" s="78">
        <f>INDEX('Population Data by Age'!$B$7:$H$10366,MATCH(CONCATENATE('Tabular Pop Data by Age'!$C37,'Tabular Pop Data by Age'!AH$7),'Population Data by Age'!$B$7:$B$10366,0),MATCH('Tabular Pop Data by Age'!$C$6,'Population Data by Age'!$B$6:$H$6,0))</f>
        <v>175000</v>
      </c>
      <c r="AI37" s="78">
        <f>INDEX('Population Data by Age'!$B$7:$H$10366,MATCH(CONCATENATE('Tabular Pop Data by Age'!$C37,'Tabular Pop Data by Age'!AI$7),'Population Data by Age'!$B$7:$B$10366,0),MATCH('Tabular Pop Data by Age'!$C$6,'Population Data by Age'!$B$6:$H$6,0))</f>
        <v>109000</v>
      </c>
      <c r="AJ37" s="78">
        <f>INDEX('Population Data by Age'!$B$7:$H$10366,MATCH(CONCATENATE('Tabular Pop Data by Age'!$C37,'Tabular Pop Data by Age'!AJ$7),'Population Data by Age'!$B$7:$B$10366,0),MATCH('Tabular Pop Data by Age'!$C$6,'Population Data by Age'!$B$6:$H$6,0))</f>
        <v>212000</v>
      </c>
      <c r="AK37" s="78">
        <f>INDEX('Population Data by Age'!$B$7:$H$10366,MATCH(CONCATENATE('Tabular Pop Data by Age'!$C37,'Tabular Pop Data by Age'!AK$7),'Population Data by Age'!$B$7:$B$10366,0),MATCH('Tabular Pop Data by Age'!$C$6,'Population Data by Age'!$B$6:$H$6,0))</f>
        <v>112000</v>
      </c>
      <c r="AL37" s="78">
        <f>INDEX('Population Data by Age'!$B$7:$H$10366,MATCH(CONCATENATE('Tabular Pop Data by Age'!$C37,'Tabular Pop Data by Age'!AL$7),'Population Data by Age'!$B$7:$B$10366,0),MATCH('Tabular Pop Data by Age'!$C$6,'Population Data by Age'!$B$6:$H$6,0))</f>
        <v>3558000</v>
      </c>
      <c r="AM37" s="78">
        <f>INDEX('Population Data by Age'!$B$7:$H$10366,MATCH(CONCATENATE('Tabular Pop Data by Age'!$C37,'Tabular Pop Data by Age'!AM$7),'Population Data by Age'!$B$7:$B$10366,0),MATCH('Tabular Pop Data by Age'!$C$6,'Population Data by Age'!$B$6:$H$6,0))</f>
        <v>3358000</v>
      </c>
      <c r="AN37" s="78">
        <f>INDEX('Population Data by Age'!$B$7:$H$10366,MATCH(CONCATENATE('Tabular Pop Data by Age'!$C37,'Tabular Pop Data by Age'!AN$7),'Population Data by Age'!$B$7:$B$10366,0),MATCH('Tabular Pop Data by Age'!$C$6,'Population Data by Age'!$B$6:$H$6,0))</f>
        <v>6916000</v>
      </c>
      <c r="AO37" s="78">
        <f>INDEX('Population Data by Age'!$B$7:$H$10366,MATCH(CONCATENATE('Tabular Pop Data by Age'!$C37,'Tabular Pop Data by Age'!AO$7),'Population Data by Age'!$B$7:$B$10366,0),MATCH('Tabular Pop Data by Age'!$C$6,'Population Data by Age'!$B$6:$H$6,0))</f>
        <v>0</v>
      </c>
      <c r="AP37" s="79">
        <f t="shared" si="0"/>
        <v>311000</v>
      </c>
      <c r="AQ37" s="79">
        <f t="shared" si="1"/>
        <v>335000</v>
      </c>
      <c r="AR37" s="79">
        <f t="shared" si="2"/>
        <v>369000</v>
      </c>
      <c r="AS37" s="79">
        <f t="shared" si="3"/>
        <v>314000</v>
      </c>
      <c r="AT37" s="79">
        <f t="shared" si="4"/>
        <v>298000</v>
      </c>
      <c r="AU37" s="79">
        <f t="shared" si="5"/>
        <v>389000</v>
      </c>
      <c r="AV37" s="79">
        <f t="shared" si="6"/>
        <v>479000</v>
      </c>
      <c r="AW37" s="79">
        <f t="shared" si="7"/>
        <v>474000</v>
      </c>
      <c r="AX37" s="79">
        <f t="shared" si="8"/>
        <v>532000</v>
      </c>
      <c r="AY37" s="79">
        <f t="shared" si="9"/>
        <v>525000</v>
      </c>
      <c r="AZ37" s="79">
        <f t="shared" si="10"/>
        <v>474000</v>
      </c>
      <c r="BA37" s="79">
        <f t="shared" si="11"/>
        <v>466000</v>
      </c>
      <c r="BB37" s="79">
        <f t="shared" si="12"/>
        <v>465000</v>
      </c>
      <c r="BC37" s="79">
        <f t="shared" si="13"/>
        <v>453000</v>
      </c>
      <c r="BD37" s="79">
        <f t="shared" si="14"/>
        <v>423000</v>
      </c>
      <c r="BE37" s="79">
        <f t="shared" si="15"/>
        <v>284000</v>
      </c>
      <c r="BF37" s="79">
        <f t="shared" si="16"/>
        <v>324000</v>
      </c>
    </row>
    <row r="38" spans="1:58" x14ac:dyDescent="0.25">
      <c r="A38" s="138" t="s">
        <v>1195</v>
      </c>
      <c r="B38" t="s">
        <v>185</v>
      </c>
      <c r="C38" t="s">
        <v>10</v>
      </c>
      <c r="D38" s="78">
        <f>INDEX('Population Data by Age'!$B$7:$H$10366,MATCH(CONCATENATE('Tabular Pop Data by Age'!$C38,'Tabular Pop Data by Age'!D$7),'Population Data by Age'!$B$7:$B$10366,0),MATCH('Tabular Pop Data by Age'!$C$6,'Population Data by Age'!$B$6:$H$6,0))</f>
        <v>1706000</v>
      </c>
      <c r="E38" s="78">
        <f>INDEX('Population Data by Age'!$B$7:$H$10366,MATCH(CONCATENATE('Tabular Pop Data by Age'!$C38,'Tabular Pop Data by Age'!E$7),'Population Data by Age'!$B$7:$B$10366,0),MATCH('Tabular Pop Data by Age'!$C$6,'Population Data by Age'!$B$6:$H$6,0))</f>
        <v>1767000</v>
      </c>
      <c r="F38" s="78">
        <f>INDEX('Population Data by Age'!$B$7:$H$10366,MATCH(CONCATENATE('Tabular Pop Data by Age'!$C38,'Tabular Pop Data by Age'!F$7),'Population Data by Age'!$B$7:$B$10366,0),MATCH('Tabular Pop Data by Age'!$C$6,'Population Data by Age'!$B$6:$H$6,0))</f>
        <v>1513000</v>
      </c>
      <c r="G38" s="78">
        <f>INDEX('Population Data by Age'!$B$7:$H$10366,MATCH(CONCATENATE('Tabular Pop Data by Age'!$C38,'Tabular Pop Data by Age'!G$7),'Population Data by Age'!$B$7:$B$10366,0),MATCH('Tabular Pop Data by Age'!$C$6,'Population Data by Age'!$B$6:$H$6,0))</f>
        <v>1567000</v>
      </c>
      <c r="H38" s="78">
        <f>INDEX('Population Data by Age'!$B$7:$H$10366,MATCH(CONCATENATE('Tabular Pop Data by Age'!$C38,'Tabular Pop Data by Age'!H$7),'Population Data by Age'!$B$7:$B$10366,0),MATCH('Tabular Pop Data by Age'!$C$6,'Population Data by Age'!$B$6:$H$6,0))</f>
        <v>1336000</v>
      </c>
      <c r="I38" s="78">
        <f>INDEX('Population Data by Age'!$B$7:$H$10366,MATCH(CONCATENATE('Tabular Pop Data by Age'!$C38,'Tabular Pop Data by Age'!I$7),'Population Data by Age'!$B$7:$B$10366,0),MATCH('Tabular Pop Data by Age'!$C$6,'Population Data by Age'!$B$6:$H$6,0))</f>
        <v>1386000</v>
      </c>
      <c r="J38" s="78">
        <f>INDEX('Population Data by Age'!$B$7:$H$10366,MATCH(CONCATENATE('Tabular Pop Data by Age'!$C38,'Tabular Pop Data by Age'!J$7),'Population Data by Age'!$B$7:$B$10366,0),MATCH('Tabular Pop Data by Age'!$C$6,'Population Data by Age'!$B$6:$H$6,0))</f>
        <v>1131000</v>
      </c>
      <c r="K38" s="78">
        <f>INDEX('Population Data by Age'!$B$7:$H$10366,MATCH(CONCATENATE('Tabular Pop Data by Age'!$C38,'Tabular Pop Data by Age'!K$7),'Population Data by Age'!$B$7:$B$10366,0),MATCH('Tabular Pop Data by Age'!$C$6,'Population Data by Age'!$B$6:$H$6,0))</f>
        <v>1176000</v>
      </c>
      <c r="L38" s="78">
        <f>INDEX('Population Data by Age'!$B$7:$H$10366,MATCH(CONCATENATE('Tabular Pop Data by Age'!$C38,'Tabular Pop Data by Age'!L$7),'Population Data by Age'!$B$7:$B$10366,0),MATCH('Tabular Pop Data by Age'!$C$6,'Population Data by Age'!$B$6:$H$6,0))</f>
        <v>945000</v>
      </c>
      <c r="M38" s="78">
        <f>INDEX('Population Data by Age'!$B$7:$H$10366,MATCH(CONCATENATE('Tabular Pop Data by Age'!$C38,'Tabular Pop Data by Age'!M$7),'Population Data by Age'!$B$7:$B$10366,0),MATCH('Tabular Pop Data by Age'!$C$6,'Population Data by Age'!$B$6:$H$6,0))</f>
        <v>975000</v>
      </c>
      <c r="N38" s="78">
        <f>INDEX('Population Data by Age'!$B$7:$H$10366,MATCH(CONCATENATE('Tabular Pop Data by Age'!$C38,'Tabular Pop Data by Age'!N$7),'Population Data by Age'!$B$7:$B$10366,0),MATCH('Tabular Pop Data by Age'!$C$6,'Population Data by Age'!$B$6:$H$6,0))</f>
        <v>786000</v>
      </c>
      <c r="O38" s="78">
        <f>INDEX('Population Data by Age'!$B$7:$H$10366,MATCH(CONCATENATE('Tabular Pop Data by Age'!$C38,'Tabular Pop Data by Age'!O$7),'Population Data by Age'!$B$7:$B$10366,0),MATCH('Tabular Pop Data by Age'!$C$6,'Population Data by Age'!$B$6:$H$6,0))</f>
        <v>802000</v>
      </c>
      <c r="P38" s="78">
        <f>INDEX('Population Data by Age'!$B$7:$H$10366,MATCH(CONCATENATE('Tabular Pop Data by Age'!$C38,'Tabular Pop Data by Age'!P$7),'Population Data by Age'!$B$7:$B$10366,0),MATCH('Tabular Pop Data by Age'!$C$6,'Population Data by Age'!$B$6:$H$6,0))</f>
        <v>658000</v>
      </c>
      <c r="Q38" s="78">
        <f>INDEX('Population Data by Age'!$B$7:$H$10366,MATCH(CONCATENATE('Tabular Pop Data by Age'!$C38,'Tabular Pop Data by Age'!Q$7),'Population Data by Age'!$B$7:$B$10366,0),MATCH('Tabular Pop Data by Age'!$C$6,'Population Data by Age'!$B$6:$H$6,0))</f>
        <v>662000</v>
      </c>
      <c r="R38" s="78">
        <f>INDEX('Population Data by Age'!$B$7:$H$10366,MATCH(CONCATENATE('Tabular Pop Data by Age'!$C38,'Tabular Pop Data by Age'!R$7),'Population Data by Age'!$B$7:$B$10366,0),MATCH('Tabular Pop Data by Age'!$C$6,'Population Data by Age'!$B$6:$H$6,0))</f>
        <v>557000</v>
      </c>
      <c r="S38" s="78">
        <f>INDEX('Population Data by Age'!$B$7:$H$10366,MATCH(CONCATENATE('Tabular Pop Data by Age'!$C38,'Tabular Pop Data by Age'!S$7),'Population Data by Age'!$B$7:$B$10366,0),MATCH('Tabular Pop Data by Age'!$C$6,'Population Data by Age'!$B$6:$H$6,0))</f>
        <v>551000</v>
      </c>
      <c r="T38" s="78">
        <f>INDEX('Population Data by Age'!$B$7:$H$10366,MATCH(CONCATENATE('Tabular Pop Data by Age'!$C38,'Tabular Pop Data by Age'!T$7),'Population Data by Age'!$B$7:$B$10366,0),MATCH('Tabular Pop Data by Age'!$C$6,'Population Data by Age'!$B$6:$H$6,0))</f>
        <v>454000</v>
      </c>
      <c r="U38" s="78">
        <f>INDEX('Population Data by Age'!$B$7:$H$10366,MATCH(CONCATENATE('Tabular Pop Data by Age'!$C38,'Tabular Pop Data by Age'!U$7),'Population Data by Age'!$B$7:$B$10366,0),MATCH('Tabular Pop Data by Age'!$C$6,'Population Data by Age'!$B$6:$H$6,0))</f>
        <v>439000</v>
      </c>
      <c r="V38" s="78">
        <f>INDEX('Population Data by Age'!$B$7:$H$10366,MATCH(CONCATENATE('Tabular Pop Data by Age'!$C38,'Tabular Pop Data by Age'!V$7),'Population Data by Age'!$B$7:$B$10366,0),MATCH('Tabular Pop Data by Age'!$C$6,'Population Data by Age'!$B$6:$H$6,0))</f>
        <v>360000</v>
      </c>
      <c r="W38" s="78">
        <f>INDEX('Population Data by Age'!$B$7:$H$10366,MATCH(CONCATENATE('Tabular Pop Data by Age'!$C38,'Tabular Pop Data by Age'!W$7),'Population Data by Age'!$B$7:$B$10366,0),MATCH('Tabular Pop Data by Age'!$C$6,'Population Data by Age'!$B$6:$H$6,0))</f>
        <v>334000</v>
      </c>
      <c r="X38" s="78">
        <f>INDEX('Population Data by Age'!$B$7:$H$10366,MATCH(CONCATENATE('Tabular Pop Data by Age'!$C38,'Tabular Pop Data by Age'!X$7),'Population Data by Age'!$B$7:$B$10366,0),MATCH('Tabular Pop Data by Age'!$C$6,'Population Data by Age'!$B$6:$H$6,0))</f>
        <v>294000</v>
      </c>
      <c r="Y38" s="78">
        <f>INDEX('Population Data by Age'!$B$7:$H$10366,MATCH(CONCATENATE('Tabular Pop Data by Age'!$C38,'Tabular Pop Data by Age'!Y$7),'Population Data by Age'!$B$7:$B$10366,0),MATCH('Tabular Pop Data by Age'!$C$6,'Population Data by Age'!$B$6:$H$6,0))</f>
        <v>260000</v>
      </c>
      <c r="Z38" s="78">
        <f>INDEX('Population Data by Age'!$B$7:$H$10366,MATCH(CONCATENATE('Tabular Pop Data by Age'!$C38,'Tabular Pop Data by Age'!Z$7),'Population Data by Age'!$B$7:$B$10366,0),MATCH('Tabular Pop Data by Age'!$C$6,'Population Data by Age'!$B$6:$H$6,0))</f>
        <v>233000</v>
      </c>
      <c r="AA38" s="78">
        <f>INDEX('Population Data by Age'!$B$7:$H$10366,MATCH(CONCATENATE('Tabular Pop Data by Age'!$C38,'Tabular Pop Data by Age'!AA$7),'Population Data by Age'!$B$7:$B$10366,0),MATCH('Tabular Pop Data by Age'!$C$6,'Population Data by Age'!$B$6:$H$6,0))</f>
        <v>191000</v>
      </c>
      <c r="AB38" s="78">
        <f>INDEX('Population Data by Age'!$B$7:$H$10366,MATCH(CONCATENATE('Tabular Pop Data by Age'!$C38,'Tabular Pop Data by Age'!AB$7),'Population Data by Age'!$B$7:$B$10366,0),MATCH('Tabular Pop Data by Age'!$C$6,'Population Data by Age'!$B$6:$H$6,0))</f>
        <v>181000</v>
      </c>
      <c r="AC38" s="78">
        <f>INDEX('Population Data by Age'!$B$7:$H$10366,MATCH(CONCATENATE('Tabular Pop Data by Age'!$C38,'Tabular Pop Data by Age'!AC$7),'Population Data by Age'!$B$7:$B$10366,0),MATCH('Tabular Pop Data by Age'!$C$6,'Population Data by Age'!$B$6:$H$6,0))</f>
        <v>136000</v>
      </c>
      <c r="AD38" s="78">
        <f>INDEX('Population Data by Age'!$B$7:$H$10366,MATCH(CONCATENATE('Tabular Pop Data by Age'!$C38,'Tabular Pop Data by Age'!AD$7),'Population Data by Age'!$B$7:$B$10366,0),MATCH('Tabular Pop Data by Age'!$C$6,'Population Data by Age'!$B$6:$H$6,0))</f>
        <v>132000</v>
      </c>
      <c r="AE38" s="78">
        <f>INDEX('Population Data by Age'!$B$7:$H$10366,MATCH(CONCATENATE('Tabular Pop Data by Age'!$C38,'Tabular Pop Data by Age'!AE$7),'Population Data by Age'!$B$7:$B$10366,0),MATCH('Tabular Pop Data by Age'!$C$6,'Population Data by Age'!$B$6:$H$6,0))</f>
        <v>90000</v>
      </c>
      <c r="AF38" s="78">
        <f>INDEX('Population Data by Age'!$B$7:$H$10366,MATCH(CONCATENATE('Tabular Pop Data by Age'!$C38,'Tabular Pop Data by Age'!AF$7),'Population Data by Age'!$B$7:$B$10366,0),MATCH('Tabular Pop Data by Age'!$C$6,'Population Data by Age'!$B$6:$H$6,0))</f>
        <v>89000</v>
      </c>
      <c r="AG38" s="78">
        <f>INDEX('Population Data by Age'!$B$7:$H$10366,MATCH(CONCATENATE('Tabular Pop Data by Age'!$C38,'Tabular Pop Data by Age'!AG$7),'Population Data by Age'!$B$7:$B$10366,0),MATCH('Tabular Pop Data by Age'!$C$6,'Population Data by Age'!$B$6:$H$6,0))</f>
        <v>59000</v>
      </c>
      <c r="AH38" s="78">
        <f>INDEX('Population Data by Age'!$B$7:$H$10366,MATCH(CONCATENATE('Tabular Pop Data by Age'!$C38,'Tabular Pop Data by Age'!AH$7),'Population Data by Age'!$B$7:$B$10366,0),MATCH('Tabular Pop Data by Age'!$C$6,'Population Data by Age'!$B$6:$H$6,0))</f>
        <v>53000</v>
      </c>
      <c r="AI38" s="78">
        <f>INDEX('Population Data by Age'!$B$7:$H$10366,MATCH(CONCATENATE('Tabular Pop Data by Age'!$C38,'Tabular Pop Data by Age'!AI$7),'Population Data by Age'!$B$7:$B$10366,0),MATCH('Tabular Pop Data by Age'!$C$6,'Population Data by Age'!$B$6:$H$6,0))</f>
        <v>33000</v>
      </c>
      <c r="AJ38" s="78">
        <f>INDEX('Population Data by Age'!$B$7:$H$10366,MATCH(CONCATENATE('Tabular Pop Data by Age'!$C38,'Tabular Pop Data by Age'!AJ$7),'Population Data by Age'!$B$7:$B$10366,0),MATCH('Tabular Pop Data by Age'!$C$6,'Population Data by Age'!$B$6:$H$6,0))</f>
        <v>31000</v>
      </c>
      <c r="AK38" s="78">
        <f>INDEX('Population Data by Age'!$B$7:$H$10366,MATCH(CONCATENATE('Tabular Pop Data by Age'!$C38,'Tabular Pop Data by Age'!AK$7),'Population Data by Age'!$B$7:$B$10366,0),MATCH('Tabular Pop Data by Age'!$C$6,'Population Data by Age'!$B$6:$H$6,0))</f>
        <v>17000</v>
      </c>
      <c r="AL38" s="78">
        <f>INDEX('Population Data by Age'!$B$7:$H$10366,MATCH(CONCATENATE('Tabular Pop Data by Age'!$C38,'Tabular Pop Data by Age'!AL$7),'Population Data by Age'!$B$7:$B$10366,0),MATCH('Tabular Pop Data by Age'!$C$6,'Population Data by Age'!$B$6:$H$6,0))</f>
        <v>10459000</v>
      </c>
      <c r="AM38" s="78">
        <f>INDEX('Population Data by Age'!$B$7:$H$10366,MATCH(CONCATENATE('Tabular Pop Data by Age'!$C38,'Tabular Pop Data by Age'!AM$7),'Population Data by Age'!$B$7:$B$10366,0),MATCH('Tabular Pop Data by Age'!$C$6,'Population Data by Age'!$B$6:$H$6,0))</f>
        <v>10445000</v>
      </c>
      <c r="AN38" s="78">
        <f>INDEX('Population Data by Age'!$B$7:$H$10366,MATCH(CONCATENATE('Tabular Pop Data by Age'!$C38,'Tabular Pop Data by Age'!AN$7),'Population Data by Age'!$B$7:$B$10366,0),MATCH('Tabular Pop Data by Age'!$C$6,'Population Data by Age'!$B$6:$H$6,0))</f>
        <v>20903000</v>
      </c>
      <c r="AO38" s="78">
        <f>INDEX('Population Data by Age'!$B$7:$H$10366,MATCH(CONCATENATE('Tabular Pop Data by Age'!$C38,'Tabular Pop Data by Age'!AO$7),'Population Data by Age'!$B$7:$B$10366,0),MATCH('Tabular Pop Data by Age'!$C$6,'Population Data by Age'!$B$6:$H$6,0))</f>
        <v>0</v>
      </c>
      <c r="AP38" s="79">
        <f t="shared" si="0"/>
        <v>3473000</v>
      </c>
      <c r="AQ38" s="79">
        <f t="shared" si="1"/>
        <v>3080000</v>
      </c>
      <c r="AR38" s="79">
        <f t="shared" si="2"/>
        <v>2722000</v>
      </c>
      <c r="AS38" s="79">
        <f t="shared" si="3"/>
        <v>2307000</v>
      </c>
      <c r="AT38" s="79">
        <f t="shared" si="4"/>
        <v>1920000</v>
      </c>
      <c r="AU38" s="79">
        <f t="shared" si="5"/>
        <v>1588000</v>
      </c>
      <c r="AV38" s="79">
        <f t="shared" si="6"/>
        <v>1320000</v>
      </c>
      <c r="AW38" s="79">
        <f t="shared" si="7"/>
        <v>1108000</v>
      </c>
      <c r="AX38" s="79">
        <f t="shared" si="8"/>
        <v>893000</v>
      </c>
      <c r="AY38" s="79">
        <f t="shared" si="9"/>
        <v>694000</v>
      </c>
      <c r="AZ38" s="79">
        <f t="shared" si="10"/>
        <v>554000</v>
      </c>
      <c r="BA38" s="79">
        <f t="shared" si="11"/>
        <v>424000</v>
      </c>
      <c r="BB38" s="79">
        <f t="shared" si="12"/>
        <v>317000</v>
      </c>
      <c r="BC38" s="79">
        <f t="shared" si="13"/>
        <v>222000</v>
      </c>
      <c r="BD38" s="79">
        <f t="shared" si="14"/>
        <v>148000</v>
      </c>
      <c r="BE38" s="79">
        <f t="shared" si="15"/>
        <v>86000</v>
      </c>
      <c r="BF38" s="79">
        <f t="shared" si="16"/>
        <v>48000</v>
      </c>
    </row>
    <row r="39" spans="1:58" x14ac:dyDescent="0.25">
      <c r="A39" s="138" t="s">
        <v>1195</v>
      </c>
      <c r="B39" t="s">
        <v>186</v>
      </c>
      <c r="C39" t="s">
        <v>7</v>
      </c>
      <c r="D39" s="78">
        <f>INDEX('Population Data by Age'!$B$7:$H$10366,MATCH(CONCATENATE('Tabular Pop Data by Age'!$C39,'Tabular Pop Data by Age'!D$7),'Population Data by Age'!$B$7:$B$10366,0),MATCH('Tabular Pop Data by Age'!$C$6,'Population Data by Age'!$B$6:$H$6,0))</f>
        <v>1016000</v>
      </c>
      <c r="E39" s="78">
        <f>INDEX('Population Data by Age'!$B$7:$H$10366,MATCH(CONCATENATE('Tabular Pop Data by Age'!$C39,'Tabular Pop Data by Age'!E$7),'Population Data by Age'!$B$7:$B$10366,0),MATCH('Tabular Pop Data by Age'!$C$6,'Population Data by Age'!$B$6:$H$6,0))</f>
        <v>1037000</v>
      </c>
      <c r="F39" s="78">
        <f>INDEX('Population Data by Age'!$B$7:$H$10366,MATCH(CONCATENATE('Tabular Pop Data by Age'!$C39,'Tabular Pop Data by Age'!F$7),'Population Data by Age'!$B$7:$B$10366,0),MATCH('Tabular Pop Data by Age'!$C$6,'Population Data by Age'!$B$6:$H$6,0))</f>
        <v>903000</v>
      </c>
      <c r="G39" s="78">
        <f>INDEX('Population Data by Age'!$B$7:$H$10366,MATCH(CONCATENATE('Tabular Pop Data by Age'!$C39,'Tabular Pop Data by Age'!G$7),'Population Data by Age'!$B$7:$B$10366,0),MATCH('Tabular Pop Data by Age'!$C$6,'Population Data by Age'!$B$6:$H$6,0))</f>
        <v>916000</v>
      </c>
      <c r="H39" s="78">
        <f>INDEX('Population Data by Age'!$B$7:$H$10366,MATCH(CONCATENATE('Tabular Pop Data by Age'!$C39,'Tabular Pop Data by Age'!H$7),'Population Data by Age'!$B$7:$B$10366,0),MATCH('Tabular Pop Data by Age'!$C$6,'Population Data by Age'!$B$6:$H$6,0))</f>
        <v>752000</v>
      </c>
      <c r="I39" s="78">
        <f>INDEX('Population Data by Age'!$B$7:$H$10366,MATCH(CONCATENATE('Tabular Pop Data by Age'!$C39,'Tabular Pop Data by Age'!I$7),'Population Data by Age'!$B$7:$B$10366,0),MATCH('Tabular Pop Data by Age'!$C$6,'Population Data by Age'!$B$6:$H$6,0))</f>
        <v>757000</v>
      </c>
      <c r="J39" s="78">
        <f>INDEX('Population Data by Age'!$B$7:$H$10366,MATCH(CONCATENATE('Tabular Pop Data by Age'!$C39,'Tabular Pop Data by Age'!J$7),'Population Data by Age'!$B$7:$B$10366,0),MATCH('Tabular Pop Data by Age'!$C$6,'Population Data by Age'!$B$6:$H$6,0))</f>
        <v>608000</v>
      </c>
      <c r="K39" s="78">
        <f>INDEX('Population Data by Age'!$B$7:$H$10366,MATCH(CONCATENATE('Tabular Pop Data by Age'!$C39,'Tabular Pop Data by Age'!K$7),'Population Data by Age'!$B$7:$B$10366,0),MATCH('Tabular Pop Data by Age'!$C$6,'Population Data by Age'!$B$6:$H$6,0))</f>
        <v>609000</v>
      </c>
      <c r="L39" s="78">
        <f>INDEX('Population Data by Age'!$B$7:$H$10366,MATCH(CONCATENATE('Tabular Pop Data by Age'!$C39,'Tabular Pop Data by Age'!L$7),'Population Data by Age'!$B$7:$B$10366,0),MATCH('Tabular Pop Data by Age'!$C$6,'Population Data by Age'!$B$6:$H$6,0))</f>
        <v>524000</v>
      </c>
      <c r="M39" s="78">
        <f>INDEX('Population Data by Age'!$B$7:$H$10366,MATCH(CONCATENATE('Tabular Pop Data by Age'!$C39,'Tabular Pop Data by Age'!M$7),'Population Data by Age'!$B$7:$B$10366,0),MATCH('Tabular Pop Data by Age'!$C$6,'Population Data by Age'!$B$6:$H$6,0))</f>
        <v>519000</v>
      </c>
      <c r="N39" s="78">
        <f>INDEX('Population Data by Age'!$B$7:$H$10366,MATCH(CONCATENATE('Tabular Pop Data by Age'!$C39,'Tabular Pop Data by Age'!N$7),'Population Data by Age'!$B$7:$B$10366,0),MATCH('Tabular Pop Data by Age'!$C$6,'Population Data by Age'!$B$6:$H$6,0))</f>
        <v>498000</v>
      </c>
      <c r="O39" s="78">
        <f>INDEX('Population Data by Age'!$B$7:$H$10366,MATCH(CONCATENATE('Tabular Pop Data by Age'!$C39,'Tabular Pop Data by Age'!O$7),'Population Data by Age'!$B$7:$B$10366,0),MATCH('Tabular Pop Data by Age'!$C$6,'Population Data by Age'!$B$6:$H$6,0))</f>
        <v>489000</v>
      </c>
      <c r="P39" s="78">
        <f>INDEX('Population Data by Age'!$B$7:$H$10366,MATCH(CONCATENATE('Tabular Pop Data by Age'!$C39,'Tabular Pop Data by Age'!P$7),'Population Data by Age'!$B$7:$B$10366,0),MATCH('Tabular Pop Data by Age'!$C$6,'Population Data by Age'!$B$6:$H$6,0))</f>
        <v>442000</v>
      </c>
      <c r="Q39" s="78">
        <f>INDEX('Population Data by Age'!$B$7:$H$10366,MATCH(CONCATENATE('Tabular Pop Data by Age'!$C39,'Tabular Pop Data by Age'!Q$7),'Population Data by Age'!$B$7:$B$10366,0),MATCH('Tabular Pop Data by Age'!$C$6,'Population Data by Age'!$B$6:$H$6,0))</f>
        <v>433000</v>
      </c>
      <c r="R39" s="78">
        <f>INDEX('Population Data by Age'!$B$7:$H$10366,MATCH(CONCATENATE('Tabular Pop Data by Age'!$C39,'Tabular Pop Data by Age'!R$7),'Population Data by Age'!$B$7:$B$10366,0),MATCH('Tabular Pop Data by Age'!$C$6,'Population Data by Age'!$B$6:$H$6,0))</f>
        <v>335000</v>
      </c>
      <c r="S39" s="78">
        <f>INDEX('Population Data by Age'!$B$7:$H$10366,MATCH(CONCATENATE('Tabular Pop Data by Age'!$C39,'Tabular Pop Data by Age'!S$7),'Population Data by Age'!$B$7:$B$10366,0),MATCH('Tabular Pop Data by Age'!$C$6,'Population Data by Age'!$B$6:$H$6,0))</f>
        <v>329000</v>
      </c>
      <c r="T39" s="78">
        <f>INDEX('Population Data by Age'!$B$7:$H$10366,MATCH(CONCATENATE('Tabular Pop Data by Age'!$C39,'Tabular Pop Data by Age'!T$7),'Population Data by Age'!$B$7:$B$10366,0),MATCH('Tabular Pop Data by Age'!$C$6,'Population Data by Age'!$B$6:$H$6,0))</f>
        <v>227000</v>
      </c>
      <c r="U39" s="78">
        <f>INDEX('Population Data by Age'!$B$7:$H$10366,MATCH(CONCATENATE('Tabular Pop Data by Age'!$C39,'Tabular Pop Data by Age'!U$7),'Population Data by Age'!$B$7:$B$10366,0),MATCH('Tabular Pop Data by Age'!$C$6,'Population Data by Age'!$B$6:$H$6,0))</f>
        <v>219000</v>
      </c>
      <c r="V39" s="78">
        <f>INDEX('Population Data by Age'!$B$7:$H$10366,MATCH(CONCATENATE('Tabular Pop Data by Age'!$C39,'Tabular Pop Data by Age'!V$7),'Population Data by Age'!$B$7:$B$10366,0),MATCH('Tabular Pop Data by Age'!$C$6,'Population Data by Age'!$B$6:$H$6,0))</f>
        <v>158000</v>
      </c>
      <c r="W39" s="78">
        <f>INDEX('Population Data by Age'!$B$7:$H$10366,MATCH(CONCATENATE('Tabular Pop Data by Age'!$C39,'Tabular Pop Data by Age'!W$7),'Population Data by Age'!$B$7:$B$10366,0),MATCH('Tabular Pop Data by Age'!$C$6,'Population Data by Age'!$B$6:$H$6,0))</f>
        <v>143000</v>
      </c>
      <c r="X39" s="78">
        <f>INDEX('Population Data by Age'!$B$7:$H$10366,MATCH(CONCATENATE('Tabular Pop Data by Age'!$C39,'Tabular Pop Data by Age'!X$7),'Population Data by Age'!$B$7:$B$10366,0),MATCH('Tabular Pop Data by Age'!$C$6,'Population Data by Age'!$B$6:$H$6,0))</f>
        <v>140000</v>
      </c>
      <c r="Y39" s="78">
        <f>INDEX('Population Data by Age'!$B$7:$H$10366,MATCH(CONCATENATE('Tabular Pop Data by Age'!$C39,'Tabular Pop Data by Age'!Y$7),'Population Data by Age'!$B$7:$B$10366,0),MATCH('Tabular Pop Data by Age'!$C$6,'Population Data by Age'!$B$6:$H$6,0))</f>
        <v>120000</v>
      </c>
      <c r="Z39" s="78">
        <f>INDEX('Population Data by Age'!$B$7:$H$10366,MATCH(CONCATENATE('Tabular Pop Data by Age'!$C39,'Tabular Pop Data by Age'!Z$7),'Population Data by Age'!$B$7:$B$10366,0),MATCH('Tabular Pop Data by Age'!$C$6,'Population Data by Age'!$B$6:$H$6,0))</f>
        <v>124000</v>
      </c>
      <c r="AA39" s="78">
        <f>INDEX('Population Data by Age'!$B$7:$H$10366,MATCH(CONCATENATE('Tabular Pop Data by Age'!$C39,'Tabular Pop Data by Age'!AA$7),'Population Data by Age'!$B$7:$B$10366,0),MATCH('Tabular Pop Data by Age'!$C$6,'Population Data by Age'!$B$6:$H$6,0))</f>
        <v>109000</v>
      </c>
      <c r="AB39" s="78">
        <f>INDEX('Population Data by Age'!$B$7:$H$10366,MATCH(CONCATENATE('Tabular Pop Data by Age'!$C39,'Tabular Pop Data by Age'!AB$7),'Population Data by Age'!$B$7:$B$10366,0),MATCH('Tabular Pop Data by Age'!$C$6,'Population Data by Age'!$B$6:$H$6,0))</f>
        <v>106000</v>
      </c>
      <c r="AC39" s="78">
        <f>INDEX('Population Data by Age'!$B$7:$H$10366,MATCH(CONCATENATE('Tabular Pop Data by Age'!$C39,'Tabular Pop Data by Age'!AC$7),'Population Data by Age'!$B$7:$B$10366,0),MATCH('Tabular Pop Data by Age'!$C$6,'Population Data by Age'!$B$6:$H$6,0))</f>
        <v>95000</v>
      </c>
      <c r="AD39" s="78">
        <f>INDEX('Population Data by Age'!$B$7:$H$10366,MATCH(CONCATENATE('Tabular Pop Data by Age'!$C39,'Tabular Pop Data by Age'!AD$7),'Population Data by Age'!$B$7:$B$10366,0),MATCH('Tabular Pop Data by Age'!$C$6,'Population Data by Age'!$B$6:$H$6,0))</f>
        <v>74000</v>
      </c>
      <c r="AE39" s="78">
        <f>INDEX('Population Data by Age'!$B$7:$H$10366,MATCH(CONCATENATE('Tabular Pop Data by Age'!$C39,'Tabular Pop Data by Age'!AE$7),'Population Data by Age'!$B$7:$B$10366,0),MATCH('Tabular Pop Data by Age'!$C$6,'Population Data by Age'!$B$6:$H$6,0))</f>
        <v>65000</v>
      </c>
      <c r="AF39" s="78">
        <f>INDEX('Population Data by Age'!$B$7:$H$10366,MATCH(CONCATENATE('Tabular Pop Data by Age'!$C39,'Tabular Pop Data by Age'!AF$7),'Population Data by Age'!$B$7:$B$10366,0),MATCH('Tabular Pop Data by Age'!$C$6,'Population Data by Age'!$B$6:$H$6,0))</f>
        <v>39000</v>
      </c>
      <c r="AG39" s="78">
        <f>INDEX('Population Data by Age'!$B$7:$H$10366,MATCH(CONCATENATE('Tabular Pop Data by Age'!$C39,'Tabular Pop Data by Age'!AG$7),'Population Data by Age'!$B$7:$B$10366,0),MATCH('Tabular Pop Data by Age'!$C$6,'Population Data by Age'!$B$6:$H$6,0))</f>
        <v>31000</v>
      </c>
      <c r="AH39" s="78">
        <f>INDEX('Population Data by Age'!$B$7:$H$10366,MATCH(CONCATENATE('Tabular Pop Data by Age'!$C39,'Tabular Pop Data by Age'!AH$7),'Population Data by Age'!$B$7:$B$10366,0),MATCH('Tabular Pop Data by Age'!$C$6,'Population Data by Age'!$B$6:$H$6,0))</f>
        <v>25000</v>
      </c>
      <c r="AI39" s="78">
        <f>INDEX('Population Data by Age'!$B$7:$H$10366,MATCH(CONCATENATE('Tabular Pop Data by Age'!$C39,'Tabular Pop Data by Age'!AI$7),'Population Data by Age'!$B$7:$B$10366,0),MATCH('Tabular Pop Data by Age'!$C$6,'Population Data by Age'!$B$6:$H$6,0))</f>
        <v>17000</v>
      </c>
      <c r="AJ39" s="78">
        <f>INDEX('Population Data by Age'!$B$7:$H$10366,MATCH(CONCATENATE('Tabular Pop Data by Age'!$C39,'Tabular Pop Data by Age'!AJ$7),'Population Data by Age'!$B$7:$B$10366,0),MATCH('Tabular Pop Data by Age'!$C$6,'Population Data by Age'!$B$6:$H$6,0))</f>
        <v>20000</v>
      </c>
      <c r="AK39" s="78">
        <f>INDEX('Population Data by Age'!$B$7:$H$10366,MATCH(CONCATENATE('Tabular Pop Data by Age'!$C39,'Tabular Pop Data by Age'!AK$7),'Population Data by Age'!$B$7:$B$10366,0),MATCH('Tabular Pop Data by Age'!$C$6,'Population Data by Age'!$B$6:$H$6,0))</f>
        <v>12000</v>
      </c>
      <c r="AL39" s="78">
        <f>INDEX('Population Data by Age'!$B$7:$H$10366,MATCH(CONCATENATE('Tabular Pop Data by Age'!$C39,'Tabular Pop Data by Age'!AL$7),'Population Data by Age'!$B$7:$B$10366,0),MATCH('Tabular Pop Data by Age'!$C$6,'Population Data by Age'!$B$6:$H$6,0))</f>
        <v>5991000</v>
      </c>
      <c r="AM39" s="78">
        <f>INDEX('Population Data by Age'!$B$7:$H$10366,MATCH(CONCATENATE('Tabular Pop Data by Age'!$C39,'Tabular Pop Data by Age'!AM$7),'Population Data by Age'!$B$7:$B$10366,0),MATCH('Tabular Pop Data by Age'!$C$6,'Population Data by Age'!$B$6:$H$6,0))</f>
        <v>5900000</v>
      </c>
      <c r="AN39" s="78">
        <f>INDEX('Population Data by Age'!$B$7:$H$10366,MATCH(CONCATENATE('Tabular Pop Data by Age'!$C39,'Tabular Pop Data by Age'!AN$7),'Population Data by Age'!$B$7:$B$10366,0),MATCH('Tabular Pop Data by Age'!$C$6,'Population Data by Age'!$B$6:$H$6,0))</f>
        <v>11891000</v>
      </c>
      <c r="AO39" s="78">
        <f>INDEX('Population Data by Age'!$B$7:$H$10366,MATCH(CONCATENATE('Tabular Pop Data by Age'!$C39,'Tabular Pop Data by Age'!AO$7),'Population Data by Age'!$B$7:$B$10366,0),MATCH('Tabular Pop Data by Age'!$C$6,'Population Data by Age'!$B$6:$H$6,0))</f>
        <v>0</v>
      </c>
      <c r="AP39" s="79">
        <f t="shared" si="0"/>
        <v>2053000</v>
      </c>
      <c r="AQ39" s="79">
        <f t="shared" si="1"/>
        <v>1819000</v>
      </c>
      <c r="AR39" s="79">
        <f t="shared" si="2"/>
        <v>1509000</v>
      </c>
      <c r="AS39" s="79">
        <f t="shared" si="3"/>
        <v>1217000</v>
      </c>
      <c r="AT39" s="79">
        <f t="shared" si="4"/>
        <v>1043000</v>
      </c>
      <c r="AU39" s="79">
        <f t="shared" si="5"/>
        <v>987000</v>
      </c>
      <c r="AV39" s="79">
        <f t="shared" si="6"/>
        <v>875000</v>
      </c>
      <c r="AW39" s="79">
        <f t="shared" si="7"/>
        <v>664000</v>
      </c>
      <c r="AX39" s="79">
        <f t="shared" si="8"/>
        <v>446000</v>
      </c>
      <c r="AY39" s="79">
        <f t="shared" si="9"/>
        <v>301000</v>
      </c>
      <c r="AZ39" s="79">
        <f t="shared" si="10"/>
        <v>260000</v>
      </c>
      <c r="BA39" s="79">
        <f t="shared" si="11"/>
        <v>233000</v>
      </c>
      <c r="BB39" s="79">
        <f t="shared" si="12"/>
        <v>201000</v>
      </c>
      <c r="BC39" s="79">
        <f t="shared" si="13"/>
        <v>139000</v>
      </c>
      <c r="BD39" s="79">
        <f t="shared" si="14"/>
        <v>70000</v>
      </c>
      <c r="BE39" s="79">
        <f t="shared" si="15"/>
        <v>42000</v>
      </c>
      <c r="BF39" s="79">
        <f t="shared" si="16"/>
        <v>32000</v>
      </c>
    </row>
    <row r="40" spans="1:58" x14ac:dyDescent="0.25">
      <c r="A40" s="138" t="s">
        <v>1195</v>
      </c>
      <c r="B40" t="s">
        <v>448</v>
      </c>
      <c r="C40" t="s">
        <v>30</v>
      </c>
      <c r="D40" s="78">
        <f>INDEX('Population Data by Age'!$B$7:$H$10366,MATCH(CONCATENATE('Tabular Pop Data by Age'!$C40,'Tabular Pop Data by Age'!D$7),'Population Data by Age'!$B$7:$B$10366,0),MATCH('Tabular Pop Data by Age'!$C$6,'Population Data by Age'!$B$6:$H$6,0))</f>
        <v>26000</v>
      </c>
      <c r="E40" s="78">
        <f>INDEX('Population Data by Age'!$B$7:$H$10366,MATCH(CONCATENATE('Tabular Pop Data by Age'!$C40,'Tabular Pop Data by Age'!E$7),'Population Data by Age'!$B$7:$B$10366,0),MATCH('Tabular Pop Data by Age'!$C$6,'Population Data by Age'!$B$6:$H$6,0))</f>
        <v>26000</v>
      </c>
      <c r="F40" s="78">
        <f>INDEX('Population Data by Age'!$B$7:$H$10366,MATCH(CONCATENATE('Tabular Pop Data by Age'!$C40,'Tabular Pop Data by Age'!F$7),'Population Data by Age'!$B$7:$B$10366,0),MATCH('Tabular Pop Data by Age'!$C$6,'Population Data by Age'!$B$6:$H$6,0))</f>
        <v>26000</v>
      </c>
      <c r="G40" s="78">
        <f>INDEX('Population Data by Age'!$B$7:$H$10366,MATCH(CONCATENATE('Tabular Pop Data by Age'!$C40,'Tabular Pop Data by Age'!G$7),'Population Data by Age'!$B$7:$B$10366,0),MATCH('Tabular Pop Data by Age'!$C$6,'Population Data by Age'!$B$6:$H$6,0))</f>
        <v>27000</v>
      </c>
      <c r="H40" s="78">
        <f>INDEX('Population Data by Age'!$B$7:$H$10366,MATCH(CONCATENATE('Tabular Pop Data by Age'!$C40,'Tabular Pop Data by Age'!H$7),'Population Data by Age'!$B$7:$B$10366,0),MATCH('Tabular Pop Data by Age'!$C$6,'Population Data by Age'!$B$6:$H$6,0))</f>
        <v>25000</v>
      </c>
      <c r="I40" s="78">
        <f>INDEX('Population Data by Age'!$B$7:$H$10366,MATCH(CONCATENATE('Tabular Pop Data by Age'!$C40,'Tabular Pop Data by Age'!I$7),'Population Data by Age'!$B$7:$B$10366,0),MATCH('Tabular Pop Data by Age'!$C$6,'Population Data by Age'!$B$6:$H$6,0))</f>
        <v>26000</v>
      </c>
      <c r="J40" s="78">
        <f>INDEX('Population Data by Age'!$B$7:$H$10366,MATCH(CONCATENATE('Tabular Pop Data by Age'!$C40,'Tabular Pop Data by Age'!J$7),'Population Data by Age'!$B$7:$B$10366,0),MATCH('Tabular Pop Data by Age'!$C$6,'Population Data by Age'!$B$6:$H$6,0))</f>
        <v>24000</v>
      </c>
      <c r="K40" s="78">
        <f>INDEX('Population Data by Age'!$B$7:$H$10366,MATCH(CONCATENATE('Tabular Pop Data by Age'!$C40,'Tabular Pop Data by Age'!K$7),'Population Data by Age'!$B$7:$B$10366,0),MATCH('Tabular Pop Data by Age'!$C$6,'Population Data by Age'!$B$6:$H$6,0))</f>
        <v>25000</v>
      </c>
      <c r="L40" s="78">
        <f>INDEX('Population Data by Age'!$B$7:$H$10366,MATCH(CONCATENATE('Tabular Pop Data by Age'!$C40,'Tabular Pop Data by Age'!L$7),'Population Data by Age'!$B$7:$B$10366,0),MATCH('Tabular Pop Data by Age'!$C$6,'Population Data by Age'!$B$6:$H$6,0))</f>
        <v>23000</v>
      </c>
      <c r="M40" s="78">
        <f>INDEX('Population Data by Age'!$B$7:$H$10366,MATCH(CONCATENATE('Tabular Pop Data by Age'!$C40,'Tabular Pop Data by Age'!M$7),'Population Data by Age'!$B$7:$B$10366,0),MATCH('Tabular Pop Data by Age'!$C$6,'Population Data by Age'!$B$6:$H$6,0))</f>
        <v>23000</v>
      </c>
      <c r="N40" s="78">
        <f>INDEX('Population Data by Age'!$B$7:$H$10366,MATCH(CONCATENATE('Tabular Pop Data by Age'!$C40,'Tabular Pop Data by Age'!N$7),'Population Data by Age'!$B$7:$B$10366,0),MATCH('Tabular Pop Data by Age'!$C$6,'Population Data by Age'!$B$6:$H$6,0))</f>
        <v>25000</v>
      </c>
      <c r="O40" s="78">
        <f>INDEX('Population Data by Age'!$B$7:$H$10366,MATCH(CONCATENATE('Tabular Pop Data by Age'!$C40,'Tabular Pop Data by Age'!O$7),'Population Data by Age'!$B$7:$B$10366,0),MATCH('Tabular Pop Data by Age'!$C$6,'Population Data by Age'!$B$6:$H$6,0))</f>
        <v>27000</v>
      </c>
      <c r="P40" s="78">
        <f>INDEX('Population Data by Age'!$B$7:$H$10366,MATCH(CONCATENATE('Tabular Pop Data by Age'!$C40,'Tabular Pop Data by Age'!P$7),'Population Data by Age'!$B$7:$B$10366,0),MATCH('Tabular Pop Data by Age'!$C$6,'Population Data by Age'!$B$6:$H$6,0))</f>
        <v>25000</v>
      </c>
      <c r="Q40" s="78">
        <f>INDEX('Population Data by Age'!$B$7:$H$10366,MATCH(CONCATENATE('Tabular Pop Data by Age'!$C40,'Tabular Pop Data by Age'!Q$7),'Population Data by Age'!$B$7:$B$10366,0),MATCH('Tabular Pop Data by Age'!$C$6,'Population Data by Age'!$B$6:$H$6,0))</f>
        <v>28000</v>
      </c>
      <c r="R40" s="78">
        <f>INDEX('Population Data by Age'!$B$7:$H$10366,MATCH(CONCATENATE('Tabular Pop Data by Age'!$C40,'Tabular Pop Data by Age'!R$7),'Population Data by Age'!$B$7:$B$10366,0),MATCH('Tabular Pop Data by Age'!$C$6,'Population Data by Age'!$B$6:$H$6,0))</f>
        <v>22000</v>
      </c>
      <c r="S40" s="78">
        <f>INDEX('Population Data by Age'!$B$7:$H$10366,MATCH(CONCATENATE('Tabular Pop Data by Age'!$C40,'Tabular Pop Data by Age'!S$7),'Population Data by Age'!$B$7:$B$10366,0),MATCH('Tabular Pop Data by Age'!$C$6,'Population Data by Age'!$B$6:$H$6,0))</f>
        <v>24000</v>
      </c>
      <c r="T40" s="78">
        <f>INDEX('Population Data by Age'!$B$7:$H$10366,MATCH(CONCATENATE('Tabular Pop Data by Age'!$C40,'Tabular Pop Data by Age'!T$7),'Population Data by Age'!$B$7:$B$10366,0),MATCH('Tabular Pop Data by Age'!$C$6,'Population Data by Age'!$B$6:$H$6,0))</f>
        <v>17000</v>
      </c>
      <c r="U40" s="78">
        <f>INDEX('Population Data by Age'!$B$7:$H$10366,MATCH(CONCATENATE('Tabular Pop Data by Age'!$C40,'Tabular Pop Data by Age'!U$7),'Population Data by Age'!$B$7:$B$10366,0),MATCH('Tabular Pop Data by Age'!$C$6,'Population Data by Age'!$B$6:$H$6,0))</f>
        <v>19000</v>
      </c>
      <c r="V40" s="78">
        <f>INDEX('Population Data by Age'!$B$7:$H$10366,MATCH(CONCATENATE('Tabular Pop Data by Age'!$C40,'Tabular Pop Data by Age'!V$7),'Population Data by Age'!$B$7:$B$10366,0),MATCH('Tabular Pop Data by Age'!$C$6,'Population Data by Age'!$B$6:$H$6,0))</f>
        <v>14000</v>
      </c>
      <c r="W40" s="78">
        <f>INDEX('Population Data by Age'!$B$7:$H$10366,MATCH(CONCATENATE('Tabular Pop Data by Age'!$C40,'Tabular Pop Data by Age'!W$7),'Population Data by Age'!$B$7:$B$10366,0),MATCH('Tabular Pop Data by Age'!$C$6,'Population Data by Age'!$B$6:$H$6,0))</f>
        <v>16000</v>
      </c>
      <c r="X40" s="78">
        <f>INDEX('Population Data by Age'!$B$7:$H$10366,MATCH(CONCATENATE('Tabular Pop Data by Age'!$C40,'Tabular Pop Data by Age'!X$7),'Population Data by Age'!$B$7:$B$10366,0),MATCH('Tabular Pop Data by Age'!$C$6,'Population Data by Age'!$B$6:$H$6,0))</f>
        <v>13000</v>
      </c>
      <c r="Y40" s="78">
        <f>INDEX('Population Data by Age'!$B$7:$H$10366,MATCH(CONCATENATE('Tabular Pop Data by Age'!$C40,'Tabular Pop Data by Age'!Y$7),'Population Data by Age'!$B$7:$B$10366,0),MATCH('Tabular Pop Data by Age'!$C$6,'Population Data by Age'!$B$6:$H$6,0))</f>
        <v>12000</v>
      </c>
      <c r="Z40" s="78">
        <f>INDEX('Population Data by Age'!$B$7:$H$10366,MATCH(CONCATENATE('Tabular Pop Data by Age'!$C40,'Tabular Pop Data by Age'!Z$7),'Population Data by Age'!$B$7:$B$10366,0),MATCH('Tabular Pop Data by Age'!$C$6,'Population Data by Age'!$B$6:$H$6,0))</f>
        <v>12000</v>
      </c>
      <c r="AA40" s="78">
        <f>INDEX('Population Data by Age'!$B$7:$H$10366,MATCH(CONCATENATE('Tabular Pop Data by Age'!$C40,'Tabular Pop Data by Age'!AA$7),'Population Data by Age'!$B$7:$B$10366,0),MATCH('Tabular Pop Data by Age'!$C$6,'Population Data by Age'!$B$6:$H$6,0))</f>
        <v>10000</v>
      </c>
      <c r="AB40" s="78">
        <f>INDEX('Population Data by Age'!$B$7:$H$10366,MATCH(CONCATENATE('Tabular Pop Data by Age'!$C40,'Tabular Pop Data by Age'!AB$7),'Population Data by Age'!$B$7:$B$10366,0),MATCH('Tabular Pop Data by Age'!$C$6,'Population Data by Age'!$B$6:$H$6,0))</f>
        <v>8700</v>
      </c>
      <c r="AC40" s="78">
        <f>INDEX('Population Data by Age'!$B$7:$H$10366,MATCH(CONCATENATE('Tabular Pop Data by Age'!$C40,'Tabular Pop Data by Age'!AC$7),'Population Data by Age'!$B$7:$B$10366,0),MATCH('Tabular Pop Data by Age'!$C$6,'Population Data by Age'!$B$6:$H$6,0))</f>
        <v>6700</v>
      </c>
      <c r="AD40" s="78">
        <f>INDEX('Population Data by Age'!$B$7:$H$10366,MATCH(CONCATENATE('Tabular Pop Data by Age'!$C40,'Tabular Pop Data by Age'!AD$7),'Population Data by Age'!$B$7:$B$10366,0),MATCH('Tabular Pop Data by Age'!$C$6,'Population Data by Age'!$B$6:$H$6,0))</f>
        <v>6500</v>
      </c>
      <c r="AE40" s="78">
        <f>INDEX('Population Data by Age'!$B$7:$H$10366,MATCH(CONCATENATE('Tabular Pop Data by Age'!$C40,'Tabular Pop Data by Age'!AE$7),'Population Data by Age'!$B$7:$B$10366,0),MATCH('Tabular Pop Data by Age'!$C$6,'Population Data by Age'!$B$6:$H$6,0))</f>
        <v>4500</v>
      </c>
      <c r="AF40" s="78">
        <f>INDEX('Population Data by Age'!$B$7:$H$10366,MATCH(CONCATENATE('Tabular Pop Data by Age'!$C40,'Tabular Pop Data by Age'!AF$7),'Population Data by Age'!$B$7:$B$10366,0),MATCH('Tabular Pop Data by Age'!$C$6,'Population Data by Age'!$B$6:$H$6,0))</f>
        <v>3100</v>
      </c>
      <c r="AG40" s="78">
        <f>INDEX('Population Data by Age'!$B$7:$H$10366,MATCH(CONCATENATE('Tabular Pop Data by Age'!$C40,'Tabular Pop Data by Age'!AG$7),'Population Data by Age'!$B$7:$B$10366,0),MATCH('Tabular Pop Data by Age'!$C$6,'Population Data by Age'!$B$6:$H$6,0))</f>
        <v>1600</v>
      </c>
      <c r="AH40" s="78">
        <f>INDEX('Population Data by Age'!$B$7:$H$10366,MATCH(CONCATENATE('Tabular Pop Data by Age'!$C40,'Tabular Pop Data by Age'!AH$7),'Population Data by Age'!$B$7:$B$10366,0),MATCH('Tabular Pop Data by Age'!$C$6,'Population Data by Age'!$B$6:$H$6,0))</f>
        <v>3000</v>
      </c>
      <c r="AI40" s="78">
        <f>INDEX('Population Data by Age'!$B$7:$H$10366,MATCH(CONCATENATE('Tabular Pop Data by Age'!$C40,'Tabular Pop Data by Age'!AI$7),'Population Data by Age'!$B$7:$B$10366,0),MATCH('Tabular Pop Data by Age'!$C$6,'Population Data by Age'!$B$6:$H$6,0))</f>
        <v>1400</v>
      </c>
      <c r="AJ40" s="78">
        <f>INDEX('Population Data by Age'!$B$7:$H$10366,MATCH(CONCATENATE('Tabular Pop Data by Age'!$C40,'Tabular Pop Data by Age'!AJ$7),'Population Data by Age'!$B$7:$B$10366,0),MATCH('Tabular Pop Data by Age'!$C$6,'Population Data by Age'!$B$6:$H$6,0))</f>
        <v>4500</v>
      </c>
      <c r="AK40" s="78">
        <f>INDEX('Population Data by Age'!$B$7:$H$10366,MATCH(CONCATENATE('Tabular Pop Data by Age'!$C40,'Tabular Pop Data by Age'!AK$7),'Population Data by Age'!$B$7:$B$10366,0),MATCH('Tabular Pop Data by Age'!$C$6,'Population Data by Age'!$B$6:$H$6,0))</f>
        <v>2100</v>
      </c>
      <c r="AL40" s="78">
        <f>INDEX('Population Data by Age'!$B$7:$H$10366,MATCH(CONCATENATE('Tabular Pop Data by Age'!$C40,'Tabular Pop Data by Age'!AL$7),'Population Data by Age'!$B$7:$B$10366,0),MATCH('Tabular Pop Data by Age'!$C$6,'Population Data by Age'!$B$6:$H$6,0))</f>
        <v>277000</v>
      </c>
      <c r="AM40" s="78">
        <f>INDEX('Population Data by Age'!$B$7:$H$10366,MATCH(CONCATENATE('Tabular Pop Data by Age'!$C40,'Tabular Pop Data by Age'!AM$7),'Population Data by Age'!$B$7:$B$10366,0),MATCH('Tabular Pop Data by Age'!$C$6,'Population Data by Age'!$B$6:$H$6,0))</f>
        <v>279000</v>
      </c>
      <c r="AN40" s="78">
        <f>INDEX('Population Data by Age'!$B$7:$H$10366,MATCH(CONCATENATE('Tabular Pop Data by Age'!$C40,'Tabular Pop Data by Age'!AN$7),'Population Data by Age'!$B$7:$B$10366,0),MATCH('Tabular Pop Data by Age'!$C$6,'Population Data by Age'!$B$6:$H$6,0))</f>
        <v>556000</v>
      </c>
      <c r="AO40" s="78">
        <f>INDEX('Population Data by Age'!$B$7:$H$10366,MATCH(CONCATENATE('Tabular Pop Data by Age'!$C40,'Tabular Pop Data by Age'!AO$7),'Population Data by Age'!$B$7:$B$10366,0),MATCH('Tabular Pop Data by Age'!$C$6,'Population Data by Age'!$B$6:$H$6,0))</f>
        <v>0</v>
      </c>
      <c r="AP40" s="79">
        <f t="shared" si="0"/>
        <v>52000</v>
      </c>
      <c r="AQ40" s="79">
        <f t="shared" si="1"/>
        <v>53000</v>
      </c>
      <c r="AR40" s="79">
        <f t="shared" si="2"/>
        <v>51000</v>
      </c>
      <c r="AS40" s="79">
        <f t="shared" si="3"/>
        <v>49000</v>
      </c>
      <c r="AT40" s="79">
        <f t="shared" si="4"/>
        <v>46000</v>
      </c>
      <c r="AU40" s="79">
        <f t="shared" si="5"/>
        <v>52000</v>
      </c>
      <c r="AV40" s="79">
        <f t="shared" si="6"/>
        <v>53000</v>
      </c>
      <c r="AW40" s="79">
        <f t="shared" si="7"/>
        <v>46000</v>
      </c>
      <c r="AX40" s="79">
        <f t="shared" si="8"/>
        <v>36000</v>
      </c>
      <c r="AY40" s="79">
        <f t="shared" si="9"/>
        <v>30000</v>
      </c>
      <c r="AZ40" s="79">
        <f t="shared" si="10"/>
        <v>25000</v>
      </c>
      <c r="BA40" s="79">
        <f t="shared" si="11"/>
        <v>22000</v>
      </c>
      <c r="BB40" s="79">
        <f t="shared" si="12"/>
        <v>15400</v>
      </c>
      <c r="BC40" s="79">
        <f t="shared" si="13"/>
        <v>11000</v>
      </c>
      <c r="BD40" s="79">
        <f t="shared" si="14"/>
        <v>4700</v>
      </c>
      <c r="BE40" s="79">
        <f t="shared" si="15"/>
        <v>4400</v>
      </c>
      <c r="BF40" s="79">
        <f t="shared" si="16"/>
        <v>6600</v>
      </c>
    </row>
    <row r="41" spans="1:58" x14ac:dyDescent="0.25">
      <c r="A41" s="138" t="s">
        <v>1195</v>
      </c>
      <c r="B41" t="s">
        <v>247</v>
      </c>
      <c r="C41" t="s">
        <v>72</v>
      </c>
      <c r="D41" s="78">
        <f>INDEX('Population Data by Age'!$B$7:$H$10366,MATCH(CONCATENATE('Tabular Pop Data by Age'!$C41,'Tabular Pop Data by Age'!D$7),'Population Data by Age'!$B$7:$B$10366,0),MATCH('Tabular Pop Data by Age'!$C$6,'Population Data by Age'!$B$6:$H$6,0))</f>
        <v>872000</v>
      </c>
      <c r="E41" s="78">
        <f>INDEX('Population Data by Age'!$B$7:$H$10366,MATCH(CONCATENATE('Tabular Pop Data by Age'!$C41,'Tabular Pop Data by Age'!E$7),'Population Data by Age'!$B$7:$B$10366,0),MATCH('Tabular Pop Data by Age'!$C$6,'Population Data by Age'!$B$6:$H$6,0))</f>
        <v>907000</v>
      </c>
      <c r="F41" s="78">
        <f>INDEX('Population Data by Age'!$B$7:$H$10366,MATCH(CONCATENATE('Tabular Pop Data by Age'!$C41,'Tabular Pop Data by Age'!F$7),'Population Data by Age'!$B$7:$B$10366,0),MATCH('Tabular Pop Data by Age'!$C$6,'Population Data by Age'!$B$6:$H$6,0))</f>
        <v>859000</v>
      </c>
      <c r="G41" s="78">
        <f>INDEX('Population Data by Age'!$B$7:$H$10366,MATCH(CONCATENATE('Tabular Pop Data by Age'!$C41,'Tabular Pop Data by Age'!G$7),'Population Data by Age'!$B$7:$B$10366,0),MATCH('Tabular Pop Data by Age'!$C$6,'Population Data by Age'!$B$6:$H$6,0))</f>
        <v>893000</v>
      </c>
      <c r="H41" s="78">
        <f>INDEX('Population Data by Age'!$B$7:$H$10366,MATCH(CONCATENATE('Tabular Pop Data by Age'!$C41,'Tabular Pop Data by Age'!H$7),'Population Data by Age'!$B$7:$B$10366,0),MATCH('Tabular Pop Data by Age'!$C$6,'Population Data by Age'!$B$6:$H$6,0))</f>
        <v>801000</v>
      </c>
      <c r="I41" s="78">
        <f>INDEX('Population Data by Age'!$B$7:$H$10366,MATCH(CONCATENATE('Tabular Pop Data by Age'!$C41,'Tabular Pop Data by Age'!I$7),'Population Data by Age'!$B$7:$B$10366,0),MATCH('Tabular Pop Data by Age'!$C$6,'Population Data by Age'!$B$6:$H$6,0))</f>
        <v>839000</v>
      </c>
      <c r="J41" s="78">
        <f>INDEX('Population Data by Age'!$B$7:$H$10366,MATCH(CONCATENATE('Tabular Pop Data by Age'!$C41,'Tabular Pop Data by Age'!J$7),'Population Data by Age'!$B$7:$B$10366,0),MATCH('Tabular Pop Data by Age'!$C$6,'Population Data by Age'!$B$6:$H$6,0))</f>
        <v>727000</v>
      </c>
      <c r="K41" s="78">
        <f>INDEX('Population Data by Age'!$B$7:$H$10366,MATCH(CONCATENATE('Tabular Pop Data by Age'!$C41,'Tabular Pop Data by Age'!K$7),'Population Data by Age'!$B$7:$B$10366,0),MATCH('Tabular Pop Data by Age'!$C$6,'Population Data by Age'!$B$6:$H$6,0))</f>
        <v>733000</v>
      </c>
      <c r="L41" s="78">
        <f>INDEX('Population Data by Age'!$B$7:$H$10366,MATCH(CONCATENATE('Tabular Pop Data by Age'!$C41,'Tabular Pop Data by Age'!L$7),'Population Data by Age'!$B$7:$B$10366,0),MATCH('Tabular Pop Data by Age'!$C$6,'Population Data by Age'!$B$6:$H$6,0))</f>
        <v>754000</v>
      </c>
      <c r="M41" s="78">
        <f>INDEX('Population Data by Age'!$B$7:$H$10366,MATCH(CONCATENATE('Tabular Pop Data by Age'!$C41,'Tabular Pop Data by Age'!M$7),'Population Data by Age'!$B$7:$B$10366,0),MATCH('Tabular Pop Data by Age'!$C$6,'Population Data by Age'!$B$6:$H$6,0))</f>
        <v>774000</v>
      </c>
      <c r="N41" s="78">
        <f>INDEX('Population Data by Age'!$B$7:$H$10366,MATCH(CONCATENATE('Tabular Pop Data by Age'!$C41,'Tabular Pop Data by Age'!N$7),'Population Data by Age'!$B$7:$B$10366,0),MATCH('Tabular Pop Data by Age'!$C$6,'Population Data by Age'!$B$6:$H$6,0))</f>
        <v>780000</v>
      </c>
      <c r="O41" s="78">
        <f>INDEX('Population Data by Age'!$B$7:$H$10366,MATCH(CONCATENATE('Tabular Pop Data by Age'!$C41,'Tabular Pop Data by Age'!O$7),'Population Data by Age'!$B$7:$B$10366,0),MATCH('Tabular Pop Data by Age'!$C$6,'Population Data by Age'!$B$6:$H$6,0))</f>
        <v>809000</v>
      </c>
      <c r="P41" s="78">
        <f>INDEX('Population Data by Age'!$B$7:$H$10366,MATCH(CONCATENATE('Tabular Pop Data by Age'!$C41,'Tabular Pop Data by Age'!P$7),'Population Data by Age'!$B$7:$B$10366,0),MATCH('Tabular Pop Data by Age'!$C$6,'Population Data by Age'!$B$6:$H$6,0))</f>
        <v>639000</v>
      </c>
      <c r="Q41" s="78">
        <f>INDEX('Population Data by Age'!$B$7:$H$10366,MATCH(CONCATENATE('Tabular Pop Data by Age'!$C41,'Tabular Pop Data by Age'!Q$7),'Population Data by Age'!$B$7:$B$10366,0),MATCH('Tabular Pop Data by Age'!$C$6,'Population Data by Age'!$B$6:$H$6,0))</f>
        <v>602000</v>
      </c>
      <c r="R41" s="78">
        <f>INDEX('Population Data by Age'!$B$7:$H$10366,MATCH(CONCATENATE('Tabular Pop Data by Age'!$C41,'Tabular Pop Data by Age'!R$7),'Population Data by Age'!$B$7:$B$10366,0),MATCH('Tabular Pop Data by Age'!$C$6,'Population Data by Age'!$B$6:$H$6,0))</f>
        <v>851000</v>
      </c>
      <c r="S41" s="78">
        <f>INDEX('Population Data by Age'!$B$7:$H$10366,MATCH(CONCATENATE('Tabular Pop Data by Age'!$C41,'Tabular Pop Data by Age'!S$7),'Population Data by Age'!$B$7:$B$10366,0),MATCH('Tabular Pop Data by Age'!$C$6,'Population Data by Age'!$B$6:$H$6,0))</f>
        <v>797000</v>
      </c>
      <c r="T41" s="78">
        <f>INDEX('Population Data by Age'!$B$7:$H$10366,MATCH(CONCATENATE('Tabular Pop Data by Age'!$C41,'Tabular Pop Data by Age'!T$7),'Population Data by Age'!$B$7:$B$10366,0),MATCH('Tabular Pop Data by Age'!$C$6,'Population Data by Age'!$B$6:$H$6,0))</f>
        <v>334000</v>
      </c>
      <c r="U41" s="78">
        <f>INDEX('Population Data by Age'!$B$7:$H$10366,MATCH(CONCATENATE('Tabular Pop Data by Age'!$C41,'Tabular Pop Data by Age'!U$7),'Population Data by Age'!$B$7:$B$10366,0),MATCH('Tabular Pop Data by Age'!$C$6,'Population Data by Age'!$B$6:$H$6,0))</f>
        <v>293000</v>
      </c>
      <c r="V41" s="78">
        <f>INDEX('Population Data by Age'!$B$7:$H$10366,MATCH(CONCATENATE('Tabular Pop Data by Age'!$C41,'Tabular Pop Data by Age'!V$7),'Population Data by Age'!$B$7:$B$10366,0),MATCH('Tabular Pop Data by Age'!$C$6,'Population Data by Age'!$B$6:$H$6,0))</f>
        <v>422000</v>
      </c>
      <c r="W41" s="78">
        <f>INDEX('Population Data by Age'!$B$7:$H$10366,MATCH(CONCATENATE('Tabular Pop Data by Age'!$C41,'Tabular Pop Data by Age'!W$7),'Population Data by Age'!$B$7:$B$10366,0),MATCH('Tabular Pop Data by Age'!$C$6,'Population Data by Age'!$B$6:$H$6,0))</f>
        <v>380000</v>
      </c>
      <c r="X41" s="78">
        <f>INDEX('Population Data by Age'!$B$7:$H$10366,MATCH(CONCATENATE('Tabular Pop Data by Age'!$C41,'Tabular Pop Data by Age'!X$7),'Population Data by Age'!$B$7:$B$10366,0),MATCH('Tabular Pop Data by Age'!$C$6,'Population Data by Age'!$B$6:$H$6,0))</f>
        <v>391000</v>
      </c>
      <c r="Y41" s="78">
        <f>INDEX('Population Data by Age'!$B$7:$H$10366,MATCH(CONCATENATE('Tabular Pop Data by Age'!$C41,'Tabular Pop Data by Age'!Y$7),'Population Data by Age'!$B$7:$B$10366,0),MATCH('Tabular Pop Data by Age'!$C$6,'Population Data by Age'!$B$6:$H$6,0))</f>
        <v>341000</v>
      </c>
      <c r="Z41" s="78">
        <f>INDEX('Population Data by Age'!$B$7:$H$10366,MATCH(CONCATENATE('Tabular Pop Data by Age'!$C41,'Tabular Pop Data by Age'!Z$7),'Population Data by Age'!$B$7:$B$10366,0),MATCH('Tabular Pop Data by Age'!$C$6,'Population Data by Age'!$B$6:$H$6,0))</f>
        <v>356000</v>
      </c>
      <c r="AA41" s="78">
        <f>INDEX('Population Data by Age'!$B$7:$H$10366,MATCH(CONCATENATE('Tabular Pop Data by Age'!$C41,'Tabular Pop Data by Age'!AA$7),'Population Data by Age'!$B$7:$B$10366,0),MATCH('Tabular Pop Data by Age'!$C$6,'Population Data by Age'!$B$6:$H$6,0))</f>
        <v>298000</v>
      </c>
      <c r="AB41" s="78">
        <f>INDEX('Population Data by Age'!$B$7:$H$10366,MATCH(CONCATENATE('Tabular Pop Data by Age'!$C41,'Tabular Pop Data by Age'!AB$7),'Population Data by Age'!$B$7:$B$10366,0),MATCH('Tabular Pop Data by Age'!$C$6,'Population Data by Age'!$B$6:$H$6,0))</f>
        <v>277000</v>
      </c>
      <c r="AC41" s="78">
        <f>INDEX('Population Data by Age'!$B$7:$H$10366,MATCH(CONCATENATE('Tabular Pop Data by Age'!$C41,'Tabular Pop Data by Age'!AC$7),'Population Data by Age'!$B$7:$B$10366,0),MATCH('Tabular Pop Data by Age'!$C$6,'Population Data by Age'!$B$6:$H$6,0))</f>
        <v>177000</v>
      </c>
      <c r="AD41" s="78">
        <f>INDEX('Population Data by Age'!$B$7:$H$10366,MATCH(CONCATENATE('Tabular Pop Data by Age'!$C41,'Tabular Pop Data by Age'!AD$7),'Population Data by Age'!$B$7:$B$10366,0),MATCH('Tabular Pop Data by Age'!$C$6,'Population Data by Age'!$B$6:$H$6,0))</f>
        <v>219000</v>
      </c>
      <c r="AE41" s="78">
        <f>INDEX('Population Data by Age'!$B$7:$H$10366,MATCH(CONCATENATE('Tabular Pop Data by Age'!$C41,'Tabular Pop Data by Age'!AE$7),'Population Data by Age'!$B$7:$B$10366,0),MATCH('Tabular Pop Data by Age'!$C$6,'Population Data by Age'!$B$6:$H$6,0))</f>
        <v>144000</v>
      </c>
      <c r="AF41" s="78">
        <f>INDEX('Population Data by Age'!$B$7:$H$10366,MATCH(CONCATENATE('Tabular Pop Data by Age'!$C41,'Tabular Pop Data by Age'!AF$7),'Population Data by Age'!$B$7:$B$10366,0),MATCH('Tabular Pop Data by Age'!$C$6,'Population Data by Age'!$B$6:$H$6,0))</f>
        <v>133000</v>
      </c>
      <c r="AG41" s="78">
        <f>INDEX('Population Data by Age'!$B$7:$H$10366,MATCH(CONCATENATE('Tabular Pop Data by Age'!$C41,'Tabular Pop Data by Age'!AG$7),'Population Data by Age'!$B$7:$B$10366,0),MATCH('Tabular Pop Data by Age'!$C$6,'Population Data by Age'!$B$6:$H$6,0))</f>
        <v>88000</v>
      </c>
      <c r="AH41" s="78">
        <f>INDEX('Population Data by Age'!$B$7:$H$10366,MATCH(CONCATENATE('Tabular Pop Data by Age'!$C41,'Tabular Pop Data by Age'!AH$7),'Population Data by Age'!$B$7:$B$10366,0),MATCH('Tabular Pop Data by Age'!$C$6,'Population Data by Age'!$B$6:$H$6,0))</f>
        <v>80000</v>
      </c>
      <c r="AI41" s="78">
        <f>INDEX('Population Data by Age'!$B$7:$H$10366,MATCH(CONCATENATE('Tabular Pop Data by Age'!$C41,'Tabular Pop Data by Age'!AI$7),'Population Data by Age'!$B$7:$B$10366,0),MATCH('Tabular Pop Data by Age'!$C$6,'Population Data by Age'!$B$6:$H$6,0))</f>
        <v>51000</v>
      </c>
      <c r="AJ41" s="78">
        <f>INDEX('Population Data by Age'!$B$7:$H$10366,MATCH(CONCATENATE('Tabular Pop Data by Age'!$C41,'Tabular Pop Data by Age'!AJ$7),'Population Data by Age'!$B$7:$B$10366,0),MATCH('Tabular Pop Data by Age'!$C$6,'Population Data by Age'!$B$6:$H$6,0))</f>
        <v>60000</v>
      </c>
      <c r="AK41" s="78">
        <f>INDEX('Population Data by Age'!$B$7:$H$10366,MATCH(CONCATENATE('Tabular Pop Data by Age'!$C41,'Tabular Pop Data by Age'!AK$7),'Population Data by Age'!$B$7:$B$10366,0),MATCH('Tabular Pop Data by Age'!$C$6,'Population Data by Age'!$B$6:$H$6,0))</f>
        <v>35000</v>
      </c>
      <c r="AL41" s="78">
        <f>INDEX('Population Data by Age'!$B$7:$H$10366,MATCH(CONCATENATE('Tabular Pop Data by Age'!$C41,'Tabular Pop Data by Age'!AL$7),'Population Data by Age'!$B$7:$B$10366,0),MATCH('Tabular Pop Data by Age'!$C$6,'Population Data by Age'!$B$6:$H$6,0))</f>
        <v>8557000</v>
      </c>
      <c r="AM41" s="78">
        <f>INDEX('Population Data by Age'!$B$7:$H$10366,MATCH(CONCATENATE('Tabular Pop Data by Age'!$C41,'Tabular Pop Data by Age'!AM$7),'Population Data by Age'!$B$7:$B$10366,0),MATCH('Tabular Pop Data by Age'!$C$6,'Population Data by Age'!$B$6:$H$6,0))</f>
        <v>8162000</v>
      </c>
      <c r="AN41" s="78">
        <f>INDEX('Population Data by Age'!$B$7:$H$10366,MATCH(CONCATENATE('Tabular Pop Data by Age'!$C41,'Tabular Pop Data by Age'!AN$7),'Population Data by Age'!$B$7:$B$10366,0),MATCH('Tabular Pop Data by Age'!$C$6,'Population Data by Age'!$B$6:$H$6,0))</f>
        <v>16719000</v>
      </c>
      <c r="AO41" s="78">
        <f>INDEX('Population Data by Age'!$B$7:$H$10366,MATCH(CONCATENATE('Tabular Pop Data by Age'!$C41,'Tabular Pop Data by Age'!AO$7),'Population Data by Age'!$B$7:$B$10366,0),MATCH('Tabular Pop Data by Age'!$C$6,'Population Data by Age'!$B$6:$H$6,0))</f>
        <v>0</v>
      </c>
      <c r="AP41" s="79">
        <f t="shared" si="0"/>
        <v>1779000</v>
      </c>
      <c r="AQ41" s="79">
        <f t="shared" si="1"/>
        <v>1752000</v>
      </c>
      <c r="AR41" s="79">
        <f t="shared" si="2"/>
        <v>1640000</v>
      </c>
      <c r="AS41" s="79">
        <f t="shared" si="3"/>
        <v>1460000</v>
      </c>
      <c r="AT41" s="79">
        <f t="shared" si="4"/>
        <v>1528000</v>
      </c>
      <c r="AU41" s="79">
        <f t="shared" si="5"/>
        <v>1589000</v>
      </c>
      <c r="AV41" s="79">
        <f t="shared" si="6"/>
        <v>1241000</v>
      </c>
      <c r="AW41" s="79">
        <f t="shared" si="7"/>
        <v>1648000</v>
      </c>
      <c r="AX41" s="79">
        <f t="shared" si="8"/>
        <v>627000</v>
      </c>
      <c r="AY41" s="79">
        <f t="shared" si="9"/>
        <v>802000</v>
      </c>
      <c r="AZ41" s="79">
        <f t="shared" si="10"/>
        <v>732000</v>
      </c>
      <c r="BA41" s="79">
        <f t="shared" si="11"/>
        <v>654000</v>
      </c>
      <c r="BB41" s="79">
        <f t="shared" si="12"/>
        <v>454000</v>
      </c>
      <c r="BC41" s="79">
        <f t="shared" si="13"/>
        <v>363000</v>
      </c>
      <c r="BD41" s="79">
        <f t="shared" si="14"/>
        <v>221000</v>
      </c>
      <c r="BE41" s="79">
        <f t="shared" si="15"/>
        <v>131000</v>
      </c>
      <c r="BF41" s="79">
        <f t="shared" si="16"/>
        <v>95000</v>
      </c>
    </row>
    <row r="42" spans="1:58" x14ac:dyDescent="0.25">
      <c r="A42" s="138" t="s">
        <v>1195</v>
      </c>
      <c r="B42" t="s">
        <v>187</v>
      </c>
      <c r="C42" t="s">
        <v>27</v>
      </c>
      <c r="D42" s="78">
        <f>INDEX('Population Data by Age'!$B$7:$H$10366,MATCH(CONCATENATE('Tabular Pop Data by Age'!$C42,'Tabular Pop Data by Age'!D$7),'Population Data by Age'!$B$7:$B$10366,0),MATCH('Tabular Pop Data by Age'!$C$6,'Population Data by Age'!$B$6:$H$6,0))</f>
        <v>2038000</v>
      </c>
      <c r="E42" s="78">
        <f>INDEX('Population Data by Age'!$B$7:$H$10366,MATCH(CONCATENATE('Tabular Pop Data by Age'!$C42,'Tabular Pop Data by Age'!E$7),'Population Data by Age'!$B$7:$B$10366,0),MATCH('Tabular Pop Data by Age'!$C$6,'Population Data by Age'!$B$6:$H$6,0))</f>
        <v>2078000</v>
      </c>
      <c r="F42" s="78">
        <f>INDEX('Population Data by Age'!$B$7:$H$10366,MATCH(CONCATENATE('Tabular Pop Data by Age'!$C42,'Tabular Pop Data by Age'!F$7),'Population Data by Age'!$B$7:$B$10366,0),MATCH('Tabular Pop Data by Age'!$C$6,'Population Data by Age'!$B$6:$H$6,0))</f>
        <v>1848000</v>
      </c>
      <c r="G42" s="78">
        <f>INDEX('Population Data by Age'!$B$7:$H$10366,MATCH(CONCATENATE('Tabular Pop Data by Age'!$C42,'Tabular Pop Data by Age'!G$7),'Population Data by Age'!$B$7:$B$10366,0),MATCH('Tabular Pop Data by Age'!$C$6,'Population Data by Age'!$B$6:$H$6,0))</f>
        <v>1882000</v>
      </c>
      <c r="H42" s="78">
        <f>INDEX('Population Data by Age'!$B$7:$H$10366,MATCH(CONCATENATE('Tabular Pop Data by Age'!$C42,'Tabular Pop Data by Age'!H$7),'Population Data by Age'!$B$7:$B$10366,0),MATCH('Tabular Pop Data by Age'!$C$6,'Population Data by Age'!$B$6:$H$6,0))</f>
        <v>1648000</v>
      </c>
      <c r="I42" s="78">
        <f>INDEX('Population Data by Age'!$B$7:$H$10366,MATCH(CONCATENATE('Tabular Pop Data by Age'!$C42,'Tabular Pop Data by Age'!I$7),'Population Data by Age'!$B$7:$B$10366,0),MATCH('Tabular Pop Data by Age'!$C$6,'Population Data by Age'!$B$6:$H$6,0))</f>
        <v>1673000</v>
      </c>
      <c r="J42" s="78">
        <f>INDEX('Population Data by Age'!$B$7:$H$10366,MATCH(CONCATENATE('Tabular Pop Data by Age'!$C42,'Tabular Pop Data by Age'!J$7),'Population Data by Age'!$B$7:$B$10366,0),MATCH('Tabular Pop Data by Age'!$C$6,'Population Data by Age'!$B$6:$H$6,0))</f>
        <v>1420000</v>
      </c>
      <c r="K42" s="78">
        <f>INDEX('Population Data by Age'!$B$7:$H$10366,MATCH(CONCATENATE('Tabular Pop Data by Age'!$C42,'Tabular Pop Data by Age'!K$7),'Population Data by Age'!$B$7:$B$10366,0),MATCH('Tabular Pop Data by Age'!$C$6,'Population Data by Age'!$B$6:$H$6,0))</f>
        <v>1436000</v>
      </c>
      <c r="L42" s="78">
        <f>INDEX('Population Data by Age'!$B$7:$H$10366,MATCH(CONCATENATE('Tabular Pop Data by Age'!$C42,'Tabular Pop Data by Age'!L$7),'Population Data by Age'!$B$7:$B$10366,0),MATCH('Tabular Pop Data by Age'!$C$6,'Population Data by Age'!$B$6:$H$6,0))</f>
        <v>1206000</v>
      </c>
      <c r="M42" s="78">
        <f>INDEX('Population Data by Age'!$B$7:$H$10366,MATCH(CONCATENATE('Tabular Pop Data by Age'!$C42,'Tabular Pop Data by Age'!M$7),'Population Data by Age'!$B$7:$B$10366,0),MATCH('Tabular Pop Data by Age'!$C$6,'Population Data by Age'!$B$6:$H$6,0))</f>
        <v>1214000</v>
      </c>
      <c r="N42" s="78">
        <f>INDEX('Population Data by Age'!$B$7:$H$10366,MATCH(CONCATENATE('Tabular Pop Data by Age'!$C42,'Tabular Pop Data by Age'!N$7),'Population Data by Age'!$B$7:$B$10366,0),MATCH('Tabular Pop Data by Age'!$C$6,'Population Data by Age'!$B$6:$H$6,0))</f>
        <v>1065000</v>
      </c>
      <c r="O42" s="78">
        <f>INDEX('Population Data by Age'!$B$7:$H$10366,MATCH(CONCATENATE('Tabular Pop Data by Age'!$C42,'Tabular Pop Data by Age'!O$7),'Population Data by Age'!$B$7:$B$10366,0),MATCH('Tabular Pop Data by Age'!$C$6,'Population Data by Age'!$B$6:$H$6,0))</f>
        <v>1067000</v>
      </c>
      <c r="P42" s="78">
        <f>INDEX('Population Data by Age'!$B$7:$H$10366,MATCH(CONCATENATE('Tabular Pop Data by Age'!$C42,'Tabular Pop Data by Age'!P$7),'Population Data by Age'!$B$7:$B$10366,0),MATCH('Tabular Pop Data by Age'!$C$6,'Population Data by Age'!$B$6:$H$6,0))</f>
        <v>930000</v>
      </c>
      <c r="Q42" s="78">
        <f>INDEX('Population Data by Age'!$B$7:$H$10366,MATCH(CONCATENATE('Tabular Pop Data by Age'!$C42,'Tabular Pop Data by Age'!Q$7),'Population Data by Age'!$B$7:$B$10366,0),MATCH('Tabular Pop Data by Age'!$C$6,'Population Data by Age'!$B$6:$H$6,0))</f>
        <v>931000</v>
      </c>
      <c r="R42" s="78">
        <f>INDEX('Population Data by Age'!$B$7:$H$10366,MATCH(CONCATENATE('Tabular Pop Data by Age'!$C42,'Tabular Pop Data by Age'!R$7),'Population Data by Age'!$B$7:$B$10366,0),MATCH('Tabular Pop Data by Age'!$C$6,'Population Data by Age'!$B$6:$H$6,0))</f>
        <v>769000</v>
      </c>
      <c r="S42" s="78">
        <f>INDEX('Population Data by Age'!$B$7:$H$10366,MATCH(CONCATENATE('Tabular Pop Data by Age'!$C42,'Tabular Pop Data by Age'!S$7),'Population Data by Age'!$B$7:$B$10366,0),MATCH('Tabular Pop Data by Age'!$C$6,'Population Data by Age'!$B$6:$H$6,0))</f>
        <v>770000</v>
      </c>
      <c r="T42" s="78">
        <f>INDEX('Population Data by Age'!$B$7:$H$10366,MATCH(CONCATENATE('Tabular Pop Data by Age'!$C42,'Tabular Pop Data by Age'!T$7),'Population Data by Age'!$B$7:$B$10366,0),MATCH('Tabular Pop Data by Age'!$C$6,'Population Data by Age'!$B$6:$H$6,0))</f>
        <v>601000</v>
      </c>
      <c r="U42" s="78">
        <f>INDEX('Population Data by Age'!$B$7:$H$10366,MATCH(CONCATENATE('Tabular Pop Data by Age'!$C42,'Tabular Pop Data by Age'!U$7),'Population Data by Age'!$B$7:$B$10366,0),MATCH('Tabular Pop Data by Age'!$C$6,'Population Data by Age'!$B$6:$H$6,0))</f>
        <v>602000</v>
      </c>
      <c r="V42" s="78">
        <f>INDEX('Population Data by Age'!$B$7:$H$10366,MATCH(CONCATENATE('Tabular Pop Data by Age'!$C42,'Tabular Pop Data by Age'!V$7),'Population Data by Age'!$B$7:$B$10366,0),MATCH('Tabular Pop Data by Age'!$C$6,'Population Data by Age'!$B$6:$H$6,0))</f>
        <v>470000</v>
      </c>
      <c r="W42" s="78">
        <f>INDEX('Population Data by Age'!$B$7:$H$10366,MATCH(CONCATENATE('Tabular Pop Data by Age'!$C42,'Tabular Pop Data by Age'!W$7),'Population Data by Age'!$B$7:$B$10366,0),MATCH('Tabular Pop Data by Age'!$C$6,'Population Data by Age'!$B$6:$H$6,0))</f>
        <v>468000</v>
      </c>
      <c r="X42" s="78">
        <f>INDEX('Population Data by Age'!$B$7:$H$10366,MATCH(CONCATENATE('Tabular Pop Data by Age'!$C42,'Tabular Pop Data by Age'!X$7),'Population Data by Age'!$B$7:$B$10366,0),MATCH('Tabular Pop Data by Age'!$C$6,'Population Data by Age'!$B$6:$H$6,0))</f>
        <v>368000</v>
      </c>
      <c r="Y42" s="78">
        <f>INDEX('Population Data by Age'!$B$7:$H$10366,MATCH(CONCATENATE('Tabular Pop Data by Age'!$C42,'Tabular Pop Data by Age'!Y$7),'Population Data by Age'!$B$7:$B$10366,0),MATCH('Tabular Pop Data by Age'!$C$6,'Population Data by Age'!$B$6:$H$6,0))</f>
        <v>361000</v>
      </c>
      <c r="Z42" s="78">
        <f>INDEX('Population Data by Age'!$B$7:$H$10366,MATCH(CONCATENATE('Tabular Pop Data by Age'!$C42,'Tabular Pop Data by Age'!Z$7),'Population Data by Age'!$B$7:$B$10366,0),MATCH('Tabular Pop Data by Age'!$C$6,'Population Data by Age'!$B$6:$H$6,0))</f>
        <v>287000</v>
      </c>
      <c r="AA42" s="78">
        <f>INDEX('Population Data by Age'!$B$7:$H$10366,MATCH(CONCATENATE('Tabular Pop Data by Age'!$C42,'Tabular Pop Data by Age'!AA$7),'Population Data by Age'!$B$7:$B$10366,0),MATCH('Tabular Pop Data by Age'!$C$6,'Population Data by Age'!$B$6:$H$6,0))</f>
        <v>273000</v>
      </c>
      <c r="AB42" s="78">
        <f>INDEX('Population Data by Age'!$B$7:$H$10366,MATCH(CONCATENATE('Tabular Pop Data by Age'!$C42,'Tabular Pop Data by Age'!AB$7),'Population Data by Age'!$B$7:$B$10366,0),MATCH('Tabular Pop Data by Age'!$C$6,'Population Data by Age'!$B$6:$H$6,0))</f>
        <v>220000</v>
      </c>
      <c r="AC42" s="78">
        <f>INDEX('Population Data by Age'!$B$7:$H$10366,MATCH(CONCATENATE('Tabular Pop Data by Age'!$C42,'Tabular Pop Data by Age'!AC$7),'Population Data by Age'!$B$7:$B$10366,0),MATCH('Tabular Pop Data by Age'!$C$6,'Population Data by Age'!$B$6:$H$6,0))</f>
        <v>201000</v>
      </c>
      <c r="AD42" s="78">
        <f>INDEX('Population Data by Age'!$B$7:$H$10366,MATCH(CONCATENATE('Tabular Pop Data by Age'!$C42,'Tabular Pop Data by Age'!AD$7),'Population Data by Age'!$B$7:$B$10366,0),MATCH('Tabular Pop Data by Age'!$C$6,'Population Data by Age'!$B$6:$H$6,0))</f>
        <v>168000</v>
      </c>
      <c r="AE42" s="78">
        <f>INDEX('Population Data by Age'!$B$7:$H$10366,MATCH(CONCATENATE('Tabular Pop Data by Age'!$C42,'Tabular Pop Data by Age'!AE$7),'Population Data by Age'!$B$7:$B$10366,0),MATCH('Tabular Pop Data by Age'!$C$6,'Population Data by Age'!$B$6:$H$6,0))</f>
        <v>145000</v>
      </c>
      <c r="AF42" s="78">
        <f>INDEX('Population Data by Age'!$B$7:$H$10366,MATCH(CONCATENATE('Tabular Pop Data by Age'!$C42,'Tabular Pop Data by Age'!AF$7),'Population Data by Age'!$B$7:$B$10366,0),MATCH('Tabular Pop Data by Age'!$C$6,'Population Data by Age'!$B$6:$H$6,0))</f>
        <v>116000</v>
      </c>
      <c r="AG42" s="78">
        <f>INDEX('Population Data by Age'!$B$7:$H$10366,MATCH(CONCATENATE('Tabular Pop Data by Age'!$C42,'Tabular Pop Data by Age'!AG$7),'Population Data by Age'!$B$7:$B$10366,0),MATCH('Tabular Pop Data by Age'!$C$6,'Population Data by Age'!$B$6:$H$6,0))</f>
        <v>94000</v>
      </c>
      <c r="AH42" s="78">
        <f>INDEX('Population Data by Age'!$B$7:$H$10366,MATCH(CONCATENATE('Tabular Pop Data by Age'!$C42,'Tabular Pop Data by Age'!AH$7),'Population Data by Age'!$B$7:$B$10366,0),MATCH('Tabular Pop Data by Age'!$C$6,'Population Data by Age'!$B$6:$H$6,0))</f>
        <v>70000</v>
      </c>
      <c r="AI42" s="78">
        <f>INDEX('Population Data by Age'!$B$7:$H$10366,MATCH(CONCATENATE('Tabular Pop Data by Age'!$C42,'Tabular Pop Data by Age'!AI$7),'Population Data by Age'!$B$7:$B$10366,0),MATCH('Tabular Pop Data by Age'!$C$6,'Population Data by Age'!$B$6:$H$6,0))</f>
        <v>53000</v>
      </c>
      <c r="AJ42" s="78">
        <f>INDEX('Population Data by Age'!$B$7:$H$10366,MATCH(CONCATENATE('Tabular Pop Data by Age'!$C42,'Tabular Pop Data by Age'!AJ$7),'Population Data by Age'!$B$7:$B$10366,0),MATCH('Tabular Pop Data by Age'!$C$6,'Population Data by Age'!$B$6:$H$6,0))</f>
        <v>45000</v>
      </c>
      <c r="AK42" s="78">
        <f>INDEX('Population Data by Age'!$B$7:$H$10366,MATCH(CONCATENATE('Tabular Pop Data by Age'!$C42,'Tabular Pop Data by Age'!AK$7),'Population Data by Age'!$B$7:$B$10366,0),MATCH('Tabular Pop Data by Age'!$C$6,'Population Data by Age'!$B$6:$H$6,0))</f>
        <v>30000</v>
      </c>
      <c r="AL42" s="78">
        <f>INDEX('Population Data by Age'!$B$7:$H$10366,MATCH(CONCATENATE('Tabular Pop Data by Age'!$C42,'Tabular Pop Data by Age'!AL$7),'Population Data by Age'!$B$7:$B$10366,0),MATCH('Tabular Pop Data by Age'!$C$6,'Population Data by Age'!$B$6:$H$6,0))</f>
        <v>13269000</v>
      </c>
      <c r="AM42" s="78">
        <f>INDEX('Population Data by Age'!$B$7:$H$10366,MATCH(CONCATENATE('Tabular Pop Data by Age'!$C42,'Tabular Pop Data by Age'!AM$7),'Population Data by Age'!$B$7:$B$10366,0),MATCH('Tabular Pop Data by Age'!$C$6,'Population Data by Age'!$B$6:$H$6,0))</f>
        <v>13277000</v>
      </c>
      <c r="AN42" s="78">
        <f>INDEX('Population Data by Age'!$B$7:$H$10366,MATCH(CONCATENATE('Tabular Pop Data by Age'!$C42,'Tabular Pop Data by Age'!AN$7),'Population Data by Age'!$B$7:$B$10366,0),MATCH('Tabular Pop Data by Age'!$C$6,'Population Data by Age'!$B$6:$H$6,0))</f>
        <v>26546000</v>
      </c>
      <c r="AO42" s="78">
        <f>INDEX('Population Data by Age'!$B$7:$H$10366,MATCH(CONCATENATE('Tabular Pop Data by Age'!$C42,'Tabular Pop Data by Age'!AO$7),'Population Data by Age'!$B$7:$B$10366,0),MATCH('Tabular Pop Data by Age'!$C$6,'Population Data by Age'!$B$6:$H$6,0))</f>
        <v>0</v>
      </c>
      <c r="AP42" s="79">
        <f t="shared" si="0"/>
        <v>4116000</v>
      </c>
      <c r="AQ42" s="79">
        <f t="shared" si="1"/>
        <v>3730000</v>
      </c>
      <c r="AR42" s="79">
        <f t="shared" si="2"/>
        <v>3321000</v>
      </c>
      <c r="AS42" s="79">
        <f t="shared" si="3"/>
        <v>2856000</v>
      </c>
      <c r="AT42" s="79">
        <f t="shared" si="4"/>
        <v>2420000</v>
      </c>
      <c r="AU42" s="79">
        <f t="shared" si="5"/>
        <v>2132000</v>
      </c>
      <c r="AV42" s="79">
        <f t="shared" si="6"/>
        <v>1861000</v>
      </c>
      <c r="AW42" s="79">
        <f t="shared" si="7"/>
        <v>1539000</v>
      </c>
      <c r="AX42" s="79">
        <f t="shared" si="8"/>
        <v>1203000</v>
      </c>
      <c r="AY42" s="79">
        <f t="shared" si="9"/>
        <v>938000</v>
      </c>
      <c r="AZ42" s="79">
        <f t="shared" si="10"/>
        <v>729000</v>
      </c>
      <c r="BA42" s="79">
        <f t="shared" si="11"/>
        <v>560000</v>
      </c>
      <c r="BB42" s="79">
        <f t="shared" si="12"/>
        <v>421000</v>
      </c>
      <c r="BC42" s="79">
        <f t="shared" si="13"/>
        <v>313000</v>
      </c>
      <c r="BD42" s="79">
        <f t="shared" si="14"/>
        <v>210000</v>
      </c>
      <c r="BE42" s="79">
        <f t="shared" si="15"/>
        <v>123000</v>
      </c>
      <c r="BF42" s="79">
        <f t="shared" si="16"/>
        <v>75000</v>
      </c>
    </row>
    <row r="43" spans="1:58" x14ac:dyDescent="0.25">
      <c r="A43" s="138" t="s">
        <v>1195</v>
      </c>
      <c r="B43" t="s">
        <v>449</v>
      </c>
      <c r="C43" t="s">
        <v>159</v>
      </c>
      <c r="D43" s="78">
        <f>INDEX('Population Data by Age'!$B$7:$H$10366,MATCH(CONCATENATE('Tabular Pop Data by Age'!$C43,'Tabular Pop Data by Age'!D$7),'Population Data by Age'!$B$7:$B$10366,0),MATCH('Tabular Pop Data by Age'!$C$6,'Population Data by Age'!$B$6:$H$6,0))</f>
        <v>971000</v>
      </c>
      <c r="E43" s="78">
        <f>INDEX('Population Data by Age'!$B$7:$H$10366,MATCH(CONCATENATE('Tabular Pop Data by Age'!$C43,'Tabular Pop Data by Age'!E$7),'Population Data by Age'!$B$7:$B$10366,0),MATCH('Tabular Pop Data by Age'!$C$6,'Population Data by Age'!$B$6:$H$6,0))</f>
        <v>1019000</v>
      </c>
      <c r="F43" s="78">
        <f>INDEX('Population Data by Age'!$B$7:$H$10366,MATCH(CONCATENATE('Tabular Pop Data by Age'!$C43,'Tabular Pop Data by Age'!F$7),'Population Data by Age'!$B$7:$B$10366,0),MATCH('Tabular Pop Data by Age'!$C$6,'Population Data by Age'!$B$6:$H$6,0))</f>
        <v>965000</v>
      </c>
      <c r="G43" s="78">
        <f>INDEX('Population Data by Age'!$B$7:$H$10366,MATCH(CONCATENATE('Tabular Pop Data by Age'!$C43,'Tabular Pop Data by Age'!G$7),'Population Data by Age'!$B$7:$B$10366,0),MATCH('Tabular Pop Data by Age'!$C$6,'Population Data by Age'!$B$6:$H$6,0))</f>
        <v>1010000</v>
      </c>
      <c r="H43" s="78">
        <f>INDEX('Population Data by Age'!$B$7:$H$10366,MATCH(CONCATENATE('Tabular Pop Data by Age'!$C43,'Tabular Pop Data by Age'!H$7),'Population Data by Age'!$B$7:$B$10366,0),MATCH('Tabular Pop Data by Age'!$C$6,'Population Data by Age'!$B$6:$H$6,0))</f>
        <v>967000</v>
      </c>
      <c r="I43" s="78">
        <f>INDEX('Population Data by Age'!$B$7:$H$10366,MATCH(CONCATENATE('Tabular Pop Data by Age'!$C43,'Tabular Pop Data by Age'!I$7),'Population Data by Age'!$B$7:$B$10366,0),MATCH('Tabular Pop Data by Age'!$C$6,'Population Data by Age'!$B$6:$H$6,0))</f>
        <v>1013000</v>
      </c>
      <c r="J43" s="78">
        <f>INDEX('Population Data by Age'!$B$7:$H$10366,MATCH(CONCATENATE('Tabular Pop Data by Age'!$C43,'Tabular Pop Data by Age'!J$7),'Population Data by Age'!$B$7:$B$10366,0),MATCH('Tabular Pop Data by Age'!$C$6,'Population Data by Age'!$B$6:$H$6,0))</f>
        <v>970000</v>
      </c>
      <c r="K43" s="78">
        <f>INDEX('Population Data by Age'!$B$7:$H$10366,MATCH(CONCATENATE('Tabular Pop Data by Age'!$C43,'Tabular Pop Data by Age'!K$7),'Population Data by Age'!$B$7:$B$10366,0),MATCH('Tabular Pop Data by Age'!$C$6,'Population Data by Age'!$B$6:$H$6,0))</f>
        <v>1016000</v>
      </c>
      <c r="L43" s="78">
        <f>INDEX('Population Data by Age'!$B$7:$H$10366,MATCH(CONCATENATE('Tabular Pop Data by Age'!$C43,'Tabular Pop Data by Age'!L$7),'Population Data by Age'!$B$7:$B$10366,0),MATCH('Tabular Pop Data by Age'!$C$6,'Population Data by Age'!$B$6:$H$6,0))</f>
        <v>1153000</v>
      </c>
      <c r="M43" s="78">
        <f>INDEX('Population Data by Age'!$B$7:$H$10366,MATCH(CONCATENATE('Tabular Pop Data by Age'!$C43,'Tabular Pop Data by Age'!M$7),'Population Data by Age'!$B$7:$B$10366,0),MATCH('Tabular Pop Data by Age'!$C$6,'Population Data by Age'!$B$6:$H$6,0))</f>
        <v>1206000</v>
      </c>
      <c r="N43" s="78">
        <f>INDEX('Population Data by Age'!$B$7:$H$10366,MATCH(CONCATENATE('Tabular Pop Data by Age'!$C43,'Tabular Pop Data by Age'!N$7),'Population Data by Age'!$B$7:$B$10366,0),MATCH('Tabular Pop Data by Age'!$C$6,'Population Data by Age'!$B$6:$H$6,0))</f>
        <v>1342000</v>
      </c>
      <c r="O43" s="78">
        <f>INDEX('Population Data by Age'!$B$7:$H$10366,MATCH(CONCATENATE('Tabular Pop Data by Age'!$C43,'Tabular Pop Data by Age'!O$7),'Population Data by Age'!$B$7:$B$10366,0),MATCH('Tabular Pop Data by Age'!$C$6,'Population Data by Age'!$B$6:$H$6,0))</f>
        <v>1387000</v>
      </c>
      <c r="P43" s="78">
        <f>INDEX('Population Data by Age'!$B$7:$H$10366,MATCH(CONCATENATE('Tabular Pop Data by Age'!$C43,'Tabular Pop Data by Age'!P$7),'Population Data by Age'!$B$7:$B$10366,0),MATCH('Tabular Pop Data by Age'!$C$6,'Population Data by Age'!$B$6:$H$6,0))</f>
        <v>1308000</v>
      </c>
      <c r="Q43" s="78">
        <f>INDEX('Population Data by Age'!$B$7:$H$10366,MATCH(CONCATENATE('Tabular Pop Data by Age'!$C43,'Tabular Pop Data by Age'!Q$7),'Population Data by Age'!$B$7:$B$10366,0),MATCH('Tabular Pop Data by Age'!$C$6,'Population Data by Age'!$B$6:$H$6,0))</f>
        <v>1314000</v>
      </c>
      <c r="R43" s="78">
        <f>INDEX('Population Data by Age'!$B$7:$H$10366,MATCH(CONCATENATE('Tabular Pop Data by Age'!$C43,'Tabular Pop Data by Age'!R$7),'Population Data by Age'!$B$7:$B$10366,0),MATCH('Tabular Pop Data by Age'!$C$6,'Population Data by Age'!$B$6:$H$6,0))</f>
        <v>1328000</v>
      </c>
      <c r="S43" s="78">
        <f>INDEX('Population Data by Age'!$B$7:$H$10366,MATCH(CONCATENATE('Tabular Pop Data by Age'!$C43,'Tabular Pop Data by Age'!S$7),'Population Data by Age'!$B$7:$B$10366,0),MATCH('Tabular Pop Data by Age'!$C$6,'Population Data by Age'!$B$6:$H$6,0))</f>
        <v>1320000</v>
      </c>
      <c r="T43" s="78">
        <f>INDEX('Population Data by Age'!$B$7:$H$10366,MATCH(CONCATENATE('Tabular Pop Data by Age'!$C43,'Tabular Pop Data by Age'!T$7),'Population Data by Age'!$B$7:$B$10366,0),MATCH('Tabular Pop Data by Age'!$C$6,'Population Data by Age'!$B$6:$H$6,0))</f>
        <v>1237000</v>
      </c>
      <c r="U43" s="78">
        <f>INDEX('Population Data by Age'!$B$7:$H$10366,MATCH(CONCATENATE('Tabular Pop Data by Age'!$C43,'Tabular Pop Data by Age'!U$7),'Population Data by Age'!$B$7:$B$10366,0),MATCH('Tabular Pop Data by Age'!$C$6,'Population Data by Age'!$B$6:$H$6,0))</f>
        <v>1222000</v>
      </c>
      <c r="V43" s="78">
        <f>INDEX('Population Data by Age'!$B$7:$H$10366,MATCH(CONCATENATE('Tabular Pop Data by Age'!$C43,'Tabular Pop Data by Age'!V$7),'Population Data by Age'!$B$7:$B$10366,0),MATCH('Tabular Pop Data by Age'!$C$6,'Population Data by Age'!$B$6:$H$6,0))</f>
        <v>1192000</v>
      </c>
      <c r="W43" s="78">
        <f>INDEX('Population Data by Age'!$B$7:$H$10366,MATCH(CONCATENATE('Tabular Pop Data by Age'!$C43,'Tabular Pop Data by Age'!W$7),'Population Data by Age'!$B$7:$B$10366,0),MATCH('Tabular Pop Data by Age'!$C$6,'Population Data by Age'!$B$6:$H$6,0))</f>
        <v>1188000</v>
      </c>
      <c r="X43" s="78">
        <f>INDEX('Population Data by Age'!$B$7:$H$10366,MATCH(CONCATENATE('Tabular Pop Data by Age'!$C43,'Tabular Pop Data by Age'!X$7),'Population Data by Age'!$B$7:$B$10366,0),MATCH('Tabular Pop Data by Age'!$C$6,'Population Data by Age'!$B$6:$H$6,0))</f>
        <v>1206000</v>
      </c>
      <c r="Y43" s="78">
        <f>INDEX('Population Data by Age'!$B$7:$H$10366,MATCH(CONCATENATE('Tabular Pop Data by Age'!$C43,'Tabular Pop Data by Age'!Y$7),'Population Data by Age'!$B$7:$B$10366,0),MATCH('Tabular Pop Data by Age'!$C$6,'Population Data by Age'!$B$6:$H$6,0))</f>
        <v>1214000</v>
      </c>
      <c r="Z43" s="78">
        <f>INDEX('Population Data by Age'!$B$7:$H$10366,MATCH(CONCATENATE('Tabular Pop Data by Age'!$C43,'Tabular Pop Data by Age'!Z$7),'Population Data by Age'!$B$7:$B$10366,0),MATCH('Tabular Pop Data by Age'!$C$6,'Population Data by Age'!$B$6:$H$6,0))</f>
        <v>1376000</v>
      </c>
      <c r="AA43" s="78">
        <f>INDEX('Population Data by Age'!$B$7:$H$10366,MATCH(CONCATENATE('Tabular Pop Data by Age'!$C43,'Tabular Pop Data by Age'!AA$7),'Population Data by Age'!$B$7:$B$10366,0),MATCH('Tabular Pop Data by Age'!$C$6,'Population Data by Age'!$B$6:$H$6,0))</f>
        <v>1379000</v>
      </c>
      <c r="AB43" s="78">
        <f>INDEX('Population Data by Age'!$B$7:$H$10366,MATCH(CONCATENATE('Tabular Pop Data by Age'!$C43,'Tabular Pop Data by Age'!AB$7),'Population Data by Age'!$B$7:$B$10366,0),MATCH('Tabular Pop Data by Age'!$C$6,'Population Data by Age'!$B$6:$H$6,0))</f>
        <v>1285000</v>
      </c>
      <c r="AC43" s="78">
        <f>INDEX('Population Data by Age'!$B$7:$H$10366,MATCH(CONCATENATE('Tabular Pop Data by Age'!$C43,'Tabular Pop Data by Age'!AC$7),'Population Data by Age'!$B$7:$B$10366,0),MATCH('Tabular Pop Data by Age'!$C$6,'Population Data by Age'!$B$6:$H$6,0))</f>
        <v>1273000</v>
      </c>
      <c r="AD43" s="78">
        <f>INDEX('Population Data by Age'!$B$7:$H$10366,MATCH(CONCATENATE('Tabular Pop Data by Age'!$C43,'Tabular Pop Data by Age'!AD$7),'Population Data by Age'!$B$7:$B$10366,0),MATCH('Tabular Pop Data by Age'!$C$6,'Population Data by Age'!$B$6:$H$6,0))</f>
        <v>1101000</v>
      </c>
      <c r="AE43" s="78">
        <f>INDEX('Population Data by Age'!$B$7:$H$10366,MATCH(CONCATENATE('Tabular Pop Data by Age'!$C43,'Tabular Pop Data by Age'!AE$7),'Population Data by Age'!$B$7:$B$10366,0),MATCH('Tabular Pop Data by Age'!$C$6,'Population Data by Age'!$B$6:$H$6,0))</f>
        <v>1046000</v>
      </c>
      <c r="AF43" s="78">
        <f>INDEX('Population Data by Age'!$B$7:$H$10366,MATCH(CONCATENATE('Tabular Pop Data by Age'!$C43,'Tabular Pop Data by Age'!AF$7),'Population Data by Age'!$B$7:$B$10366,0),MATCH('Tabular Pop Data by Age'!$C$6,'Population Data by Age'!$B$6:$H$6,0))</f>
        <v>924000</v>
      </c>
      <c r="AG43" s="78">
        <f>INDEX('Population Data by Age'!$B$7:$H$10366,MATCH(CONCATENATE('Tabular Pop Data by Age'!$C43,'Tabular Pop Data by Age'!AG$7),'Population Data by Age'!$B$7:$B$10366,0),MATCH('Tabular Pop Data by Age'!$C$6,'Population Data by Age'!$B$6:$H$6,0))</f>
        <v>866000</v>
      </c>
      <c r="AH43" s="78">
        <f>INDEX('Population Data by Age'!$B$7:$H$10366,MATCH(CONCATENATE('Tabular Pop Data by Age'!$C43,'Tabular Pop Data by Age'!AH$7),'Population Data by Age'!$B$7:$B$10366,0),MATCH('Tabular Pop Data by Age'!$C$6,'Population Data by Age'!$B$6:$H$6,0))</f>
        <v>657000</v>
      </c>
      <c r="AI43" s="78">
        <f>INDEX('Population Data by Age'!$B$7:$H$10366,MATCH(CONCATENATE('Tabular Pop Data by Age'!$C43,'Tabular Pop Data by Age'!AI$7),'Population Data by Age'!$B$7:$B$10366,0),MATCH('Tabular Pop Data by Age'!$C$6,'Population Data by Age'!$B$6:$H$6,0))</f>
        <v>567000</v>
      </c>
      <c r="AJ43" s="78">
        <f>INDEX('Population Data by Age'!$B$7:$H$10366,MATCH(CONCATENATE('Tabular Pop Data by Age'!$C43,'Tabular Pop Data by Age'!AJ$7),'Population Data by Age'!$B$7:$B$10366,0),MATCH('Tabular Pop Data by Age'!$C$6,'Population Data by Age'!$B$6:$H$6,0))</f>
        <v>999000</v>
      </c>
      <c r="AK43" s="78">
        <f>INDEX('Population Data by Age'!$B$7:$H$10366,MATCH(CONCATENATE('Tabular Pop Data by Age'!$C43,'Tabular Pop Data by Age'!AK$7),'Population Data by Age'!$B$7:$B$10366,0),MATCH('Tabular Pop Data by Age'!$C$6,'Population Data by Age'!$B$6:$H$6,0))</f>
        <v>662000</v>
      </c>
      <c r="AL43" s="78">
        <f>INDEX('Population Data by Age'!$B$7:$H$10366,MATCH(CONCATENATE('Tabular Pop Data by Age'!$C43,'Tabular Pop Data by Age'!AL$7),'Population Data by Age'!$B$7:$B$10366,0),MATCH('Tabular Pop Data by Age'!$C$6,'Population Data by Age'!$B$6:$H$6,0))</f>
        <v>18981000</v>
      </c>
      <c r="AM43" s="78">
        <f>INDEX('Population Data by Age'!$B$7:$H$10366,MATCH(CONCATENATE('Tabular Pop Data by Age'!$C43,'Tabular Pop Data by Age'!AM$7),'Population Data by Age'!$B$7:$B$10366,0),MATCH('Tabular Pop Data by Age'!$C$6,'Population Data by Age'!$B$6:$H$6,0))</f>
        <v>18704000</v>
      </c>
      <c r="AN43" s="78">
        <f>INDEX('Population Data by Age'!$B$7:$H$10366,MATCH(CONCATENATE('Tabular Pop Data by Age'!$C43,'Tabular Pop Data by Age'!AN$7),'Population Data by Age'!$B$7:$B$10366,0),MATCH('Tabular Pop Data by Age'!$C$6,'Population Data by Age'!$B$6:$H$6,0))</f>
        <v>37684000</v>
      </c>
      <c r="AO43" s="78">
        <f>INDEX('Population Data by Age'!$B$7:$H$10366,MATCH(CONCATENATE('Tabular Pop Data by Age'!$C43,'Tabular Pop Data by Age'!AO$7),'Population Data by Age'!$B$7:$B$10366,0),MATCH('Tabular Pop Data by Age'!$C$6,'Population Data by Age'!$B$6:$H$6,0))</f>
        <v>0</v>
      </c>
      <c r="AP43" s="79">
        <f t="shared" si="0"/>
        <v>1990000</v>
      </c>
      <c r="AQ43" s="79">
        <f t="shared" si="1"/>
        <v>1975000</v>
      </c>
      <c r="AR43" s="79">
        <f t="shared" si="2"/>
        <v>1980000</v>
      </c>
      <c r="AS43" s="79">
        <f t="shared" si="3"/>
        <v>1986000</v>
      </c>
      <c r="AT43" s="79">
        <f t="shared" si="4"/>
        <v>2359000</v>
      </c>
      <c r="AU43" s="79">
        <f t="shared" si="5"/>
        <v>2729000</v>
      </c>
      <c r="AV43" s="79">
        <f t="shared" si="6"/>
        <v>2622000</v>
      </c>
      <c r="AW43" s="79">
        <f t="shared" si="7"/>
        <v>2648000</v>
      </c>
      <c r="AX43" s="79">
        <f t="shared" si="8"/>
        <v>2459000</v>
      </c>
      <c r="AY43" s="79">
        <f t="shared" si="9"/>
        <v>2380000</v>
      </c>
      <c r="AZ43" s="79">
        <f t="shared" si="10"/>
        <v>2420000</v>
      </c>
      <c r="BA43" s="79">
        <f t="shared" si="11"/>
        <v>2755000</v>
      </c>
      <c r="BB43" s="79">
        <f t="shared" si="12"/>
        <v>2558000</v>
      </c>
      <c r="BC43" s="79">
        <f t="shared" si="13"/>
        <v>2147000</v>
      </c>
      <c r="BD43" s="79">
        <f t="shared" si="14"/>
        <v>1790000</v>
      </c>
      <c r="BE43" s="79">
        <f t="shared" si="15"/>
        <v>1224000</v>
      </c>
      <c r="BF43" s="79">
        <f t="shared" si="16"/>
        <v>1661000</v>
      </c>
    </row>
    <row r="44" spans="1:58" x14ac:dyDescent="0.25">
      <c r="A44" s="138" t="s">
        <v>1195</v>
      </c>
      <c r="B44" t="s">
        <v>452</v>
      </c>
      <c r="C44" t="s">
        <v>453</v>
      </c>
      <c r="D44" s="78">
        <f>INDEX('Population Data by Age'!$B$7:$H$10366,MATCH(CONCATENATE('Tabular Pop Data by Age'!$C44,'Tabular Pop Data by Age'!D$7),'Population Data by Age'!$B$7:$B$10366,0),MATCH('Tabular Pop Data by Age'!$C$6,'Population Data by Age'!$B$6:$H$6,0))</f>
        <v>0</v>
      </c>
      <c r="E44" s="78">
        <f>INDEX('Population Data by Age'!$B$7:$H$10366,MATCH(CONCATENATE('Tabular Pop Data by Age'!$C44,'Tabular Pop Data by Age'!E$7),'Population Data by Age'!$B$7:$B$10366,0),MATCH('Tabular Pop Data by Age'!$C$6,'Population Data by Age'!$B$6:$H$6,0))</f>
        <v>0</v>
      </c>
      <c r="F44" s="78">
        <f>INDEX('Population Data by Age'!$B$7:$H$10366,MATCH(CONCATENATE('Tabular Pop Data by Age'!$C44,'Tabular Pop Data by Age'!F$7),'Population Data by Age'!$B$7:$B$10366,0),MATCH('Tabular Pop Data by Age'!$C$6,'Population Data by Age'!$B$6:$H$6,0))</f>
        <v>0</v>
      </c>
      <c r="G44" s="78">
        <f>INDEX('Population Data by Age'!$B$7:$H$10366,MATCH(CONCATENATE('Tabular Pop Data by Age'!$C44,'Tabular Pop Data by Age'!G$7),'Population Data by Age'!$B$7:$B$10366,0),MATCH('Tabular Pop Data by Age'!$C$6,'Population Data by Age'!$B$6:$H$6,0))</f>
        <v>0</v>
      </c>
      <c r="H44" s="78">
        <f>INDEX('Population Data by Age'!$B$7:$H$10366,MATCH(CONCATENATE('Tabular Pop Data by Age'!$C44,'Tabular Pop Data by Age'!H$7),'Population Data by Age'!$B$7:$B$10366,0),MATCH('Tabular Pop Data by Age'!$C$6,'Population Data by Age'!$B$6:$H$6,0))</f>
        <v>0</v>
      </c>
      <c r="I44" s="78">
        <f>INDEX('Population Data by Age'!$B$7:$H$10366,MATCH(CONCATENATE('Tabular Pop Data by Age'!$C44,'Tabular Pop Data by Age'!I$7),'Population Data by Age'!$B$7:$B$10366,0),MATCH('Tabular Pop Data by Age'!$C$6,'Population Data by Age'!$B$6:$H$6,0))</f>
        <v>0</v>
      </c>
      <c r="J44" s="78">
        <f>INDEX('Population Data by Age'!$B$7:$H$10366,MATCH(CONCATENATE('Tabular Pop Data by Age'!$C44,'Tabular Pop Data by Age'!J$7),'Population Data by Age'!$B$7:$B$10366,0),MATCH('Tabular Pop Data by Age'!$C$6,'Population Data by Age'!$B$6:$H$6,0))</f>
        <v>0</v>
      </c>
      <c r="K44" s="78">
        <f>INDEX('Population Data by Age'!$B$7:$H$10366,MATCH(CONCATENATE('Tabular Pop Data by Age'!$C44,'Tabular Pop Data by Age'!K$7),'Population Data by Age'!$B$7:$B$10366,0),MATCH('Tabular Pop Data by Age'!$C$6,'Population Data by Age'!$B$6:$H$6,0))</f>
        <v>0</v>
      </c>
      <c r="L44" s="78">
        <f>INDEX('Population Data by Age'!$B$7:$H$10366,MATCH(CONCATENATE('Tabular Pop Data by Age'!$C44,'Tabular Pop Data by Age'!L$7),'Population Data by Age'!$B$7:$B$10366,0),MATCH('Tabular Pop Data by Age'!$C$6,'Population Data by Age'!$B$6:$H$6,0))</f>
        <v>0</v>
      </c>
      <c r="M44" s="78">
        <f>INDEX('Population Data by Age'!$B$7:$H$10366,MATCH(CONCATENATE('Tabular Pop Data by Age'!$C44,'Tabular Pop Data by Age'!M$7),'Population Data by Age'!$B$7:$B$10366,0),MATCH('Tabular Pop Data by Age'!$C$6,'Population Data by Age'!$B$6:$H$6,0))</f>
        <v>0</v>
      </c>
      <c r="N44" s="78">
        <f>INDEX('Population Data by Age'!$B$7:$H$10366,MATCH(CONCATENATE('Tabular Pop Data by Age'!$C44,'Tabular Pop Data by Age'!N$7),'Population Data by Age'!$B$7:$B$10366,0),MATCH('Tabular Pop Data by Age'!$C$6,'Population Data by Age'!$B$6:$H$6,0))</f>
        <v>0</v>
      </c>
      <c r="O44" s="78">
        <f>INDEX('Population Data by Age'!$B$7:$H$10366,MATCH(CONCATENATE('Tabular Pop Data by Age'!$C44,'Tabular Pop Data by Age'!O$7),'Population Data by Age'!$B$7:$B$10366,0),MATCH('Tabular Pop Data by Age'!$C$6,'Population Data by Age'!$B$6:$H$6,0))</f>
        <v>0</v>
      </c>
      <c r="P44" s="78">
        <f>INDEX('Population Data by Age'!$B$7:$H$10366,MATCH(CONCATENATE('Tabular Pop Data by Age'!$C44,'Tabular Pop Data by Age'!P$7),'Population Data by Age'!$B$7:$B$10366,0),MATCH('Tabular Pop Data by Age'!$C$6,'Population Data by Age'!$B$6:$H$6,0))</f>
        <v>0</v>
      </c>
      <c r="Q44" s="78">
        <f>INDEX('Population Data by Age'!$B$7:$H$10366,MATCH(CONCATENATE('Tabular Pop Data by Age'!$C44,'Tabular Pop Data by Age'!Q$7),'Population Data by Age'!$B$7:$B$10366,0),MATCH('Tabular Pop Data by Age'!$C$6,'Population Data by Age'!$B$6:$H$6,0))</f>
        <v>0</v>
      </c>
      <c r="R44" s="78">
        <f>INDEX('Population Data by Age'!$B$7:$H$10366,MATCH(CONCATENATE('Tabular Pop Data by Age'!$C44,'Tabular Pop Data by Age'!R$7),'Population Data by Age'!$B$7:$B$10366,0),MATCH('Tabular Pop Data by Age'!$C$6,'Population Data by Age'!$B$6:$H$6,0))</f>
        <v>0</v>
      </c>
      <c r="S44" s="78">
        <f>INDEX('Population Data by Age'!$B$7:$H$10366,MATCH(CONCATENATE('Tabular Pop Data by Age'!$C44,'Tabular Pop Data by Age'!S$7),'Population Data by Age'!$B$7:$B$10366,0),MATCH('Tabular Pop Data by Age'!$C$6,'Population Data by Age'!$B$6:$H$6,0))</f>
        <v>0</v>
      </c>
      <c r="T44" s="78">
        <f>INDEX('Population Data by Age'!$B$7:$H$10366,MATCH(CONCATENATE('Tabular Pop Data by Age'!$C44,'Tabular Pop Data by Age'!T$7),'Population Data by Age'!$B$7:$B$10366,0),MATCH('Tabular Pop Data by Age'!$C$6,'Population Data by Age'!$B$6:$H$6,0))</f>
        <v>0</v>
      </c>
      <c r="U44" s="78">
        <f>INDEX('Population Data by Age'!$B$7:$H$10366,MATCH(CONCATENATE('Tabular Pop Data by Age'!$C44,'Tabular Pop Data by Age'!U$7),'Population Data by Age'!$B$7:$B$10366,0),MATCH('Tabular Pop Data by Age'!$C$6,'Population Data by Age'!$B$6:$H$6,0))</f>
        <v>0</v>
      </c>
      <c r="V44" s="78">
        <f>INDEX('Population Data by Age'!$B$7:$H$10366,MATCH(CONCATENATE('Tabular Pop Data by Age'!$C44,'Tabular Pop Data by Age'!V$7),'Population Data by Age'!$B$7:$B$10366,0),MATCH('Tabular Pop Data by Age'!$C$6,'Population Data by Age'!$B$6:$H$6,0))</f>
        <v>0</v>
      </c>
      <c r="W44" s="78">
        <f>INDEX('Population Data by Age'!$B$7:$H$10366,MATCH(CONCATENATE('Tabular Pop Data by Age'!$C44,'Tabular Pop Data by Age'!W$7),'Population Data by Age'!$B$7:$B$10366,0),MATCH('Tabular Pop Data by Age'!$C$6,'Population Data by Age'!$B$6:$H$6,0))</f>
        <v>0</v>
      </c>
      <c r="X44" s="78">
        <f>INDEX('Population Data by Age'!$B$7:$H$10366,MATCH(CONCATENATE('Tabular Pop Data by Age'!$C44,'Tabular Pop Data by Age'!X$7),'Population Data by Age'!$B$7:$B$10366,0),MATCH('Tabular Pop Data by Age'!$C$6,'Population Data by Age'!$B$6:$H$6,0))</f>
        <v>0</v>
      </c>
      <c r="Y44" s="78">
        <f>INDEX('Population Data by Age'!$B$7:$H$10366,MATCH(CONCATENATE('Tabular Pop Data by Age'!$C44,'Tabular Pop Data by Age'!Y$7),'Population Data by Age'!$B$7:$B$10366,0),MATCH('Tabular Pop Data by Age'!$C$6,'Population Data by Age'!$B$6:$H$6,0))</f>
        <v>0</v>
      </c>
      <c r="Z44" s="78">
        <f>INDEX('Population Data by Age'!$B$7:$H$10366,MATCH(CONCATENATE('Tabular Pop Data by Age'!$C44,'Tabular Pop Data by Age'!Z$7),'Population Data by Age'!$B$7:$B$10366,0),MATCH('Tabular Pop Data by Age'!$C$6,'Population Data by Age'!$B$6:$H$6,0))</f>
        <v>0</v>
      </c>
      <c r="AA44" s="78">
        <f>INDEX('Population Data by Age'!$B$7:$H$10366,MATCH(CONCATENATE('Tabular Pop Data by Age'!$C44,'Tabular Pop Data by Age'!AA$7),'Population Data by Age'!$B$7:$B$10366,0),MATCH('Tabular Pop Data by Age'!$C$6,'Population Data by Age'!$B$6:$H$6,0))</f>
        <v>0</v>
      </c>
      <c r="AB44" s="78">
        <f>INDEX('Population Data by Age'!$B$7:$H$10366,MATCH(CONCATENATE('Tabular Pop Data by Age'!$C44,'Tabular Pop Data by Age'!AB$7),'Population Data by Age'!$B$7:$B$10366,0),MATCH('Tabular Pop Data by Age'!$C$6,'Population Data by Age'!$B$6:$H$6,0))</f>
        <v>0</v>
      </c>
      <c r="AC44" s="78">
        <f>INDEX('Population Data by Age'!$B$7:$H$10366,MATCH(CONCATENATE('Tabular Pop Data by Age'!$C44,'Tabular Pop Data by Age'!AC$7),'Population Data by Age'!$B$7:$B$10366,0),MATCH('Tabular Pop Data by Age'!$C$6,'Population Data by Age'!$B$6:$H$6,0))</f>
        <v>0</v>
      </c>
      <c r="AD44" s="78">
        <f>INDEX('Population Data by Age'!$B$7:$H$10366,MATCH(CONCATENATE('Tabular Pop Data by Age'!$C44,'Tabular Pop Data by Age'!AD$7),'Population Data by Age'!$B$7:$B$10366,0),MATCH('Tabular Pop Data by Age'!$C$6,'Population Data by Age'!$B$6:$H$6,0))</f>
        <v>0</v>
      </c>
      <c r="AE44" s="78">
        <f>INDEX('Population Data by Age'!$B$7:$H$10366,MATCH(CONCATENATE('Tabular Pop Data by Age'!$C44,'Tabular Pop Data by Age'!AE$7),'Population Data by Age'!$B$7:$B$10366,0),MATCH('Tabular Pop Data by Age'!$C$6,'Population Data by Age'!$B$6:$H$6,0))</f>
        <v>0</v>
      </c>
      <c r="AF44" s="78">
        <f>INDEX('Population Data by Age'!$B$7:$H$10366,MATCH(CONCATENATE('Tabular Pop Data by Age'!$C44,'Tabular Pop Data by Age'!AF$7),'Population Data by Age'!$B$7:$B$10366,0),MATCH('Tabular Pop Data by Age'!$C$6,'Population Data by Age'!$B$6:$H$6,0))</f>
        <v>0</v>
      </c>
      <c r="AG44" s="78">
        <f>INDEX('Population Data by Age'!$B$7:$H$10366,MATCH(CONCATENATE('Tabular Pop Data by Age'!$C44,'Tabular Pop Data by Age'!AG$7),'Population Data by Age'!$B$7:$B$10366,0),MATCH('Tabular Pop Data by Age'!$C$6,'Population Data by Age'!$B$6:$H$6,0))</f>
        <v>0</v>
      </c>
      <c r="AH44" s="78">
        <f>INDEX('Population Data by Age'!$B$7:$H$10366,MATCH(CONCATENATE('Tabular Pop Data by Age'!$C44,'Tabular Pop Data by Age'!AH$7),'Population Data by Age'!$B$7:$B$10366,0),MATCH('Tabular Pop Data by Age'!$C$6,'Population Data by Age'!$B$6:$H$6,0))</f>
        <v>0</v>
      </c>
      <c r="AI44" s="78">
        <f>INDEX('Population Data by Age'!$B$7:$H$10366,MATCH(CONCATENATE('Tabular Pop Data by Age'!$C44,'Tabular Pop Data by Age'!AI$7),'Population Data by Age'!$B$7:$B$10366,0),MATCH('Tabular Pop Data by Age'!$C$6,'Population Data by Age'!$B$6:$H$6,0))</f>
        <v>0</v>
      </c>
      <c r="AJ44" s="78">
        <f>INDEX('Population Data by Age'!$B$7:$H$10366,MATCH(CONCATENATE('Tabular Pop Data by Age'!$C44,'Tabular Pop Data by Age'!AJ$7),'Population Data by Age'!$B$7:$B$10366,0),MATCH('Tabular Pop Data by Age'!$C$6,'Population Data by Age'!$B$6:$H$6,0))</f>
        <v>0</v>
      </c>
      <c r="AK44" s="78">
        <f>INDEX('Population Data by Age'!$B$7:$H$10366,MATCH(CONCATENATE('Tabular Pop Data by Age'!$C44,'Tabular Pop Data by Age'!AK$7),'Population Data by Age'!$B$7:$B$10366,0),MATCH('Tabular Pop Data by Age'!$C$6,'Population Data by Age'!$B$6:$H$6,0))</f>
        <v>0</v>
      </c>
      <c r="AL44" s="78">
        <f>INDEX('Population Data by Age'!$B$7:$H$10366,MATCH(CONCATENATE('Tabular Pop Data by Age'!$C44,'Tabular Pop Data by Age'!AL$7),'Population Data by Age'!$B$7:$B$10366,0),MATCH('Tabular Pop Data by Age'!$C$6,'Population Data by Age'!$B$6:$H$6,0))</f>
        <v>0</v>
      </c>
      <c r="AM44" s="78">
        <f>INDEX('Population Data by Age'!$B$7:$H$10366,MATCH(CONCATENATE('Tabular Pop Data by Age'!$C44,'Tabular Pop Data by Age'!AM$7),'Population Data by Age'!$B$7:$B$10366,0),MATCH('Tabular Pop Data by Age'!$C$6,'Population Data by Age'!$B$6:$H$6,0))</f>
        <v>0</v>
      </c>
      <c r="AN44" s="78">
        <f>INDEX('Population Data by Age'!$B$7:$H$10366,MATCH(CONCATENATE('Tabular Pop Data by Age'!$C44,'Tabular Pop Data by Age'!AN$7),'Population Data by Age'!$B$7:$B$10366,0),MATCH('Tabular Pop Data by Age'!$C$6,'Population Data by Age'!$B$6:$H$6,0))</f>
        <v>66000</v>
      </c>
      <c r="AO44" s="78">
        <f>INDEX('Population Data by Age'!$B$7:$H$10366,MATCH(CONCATENATE('Tabular Pop Data by Age'!$C44,'Tabular Pop Data by Age'!AO$7),'Population Data by Age'!$B$7:$B$10366,0),MATCH('Tabular Pop Data by Age'!$C$6,'Population Data by Age'!$B$6:$H$6,0))</f>
        <v>0</v>
      </c>
      <c r="AP44" s="79">
        <f t="shared" si="0"/>
        <v>0</v>
      </c>
      <c r="AQ44" s="79">
        <f t="shared" si="1"/>
        <v>0</v>
      </c>
      <c r="AR44" s="79">
        <f t="shared" si="2"/>
        <v>0</v>
      </c>
      <c r="AS44" s="79">
        <f t="shared" si="3"/>
        <v>0</v>
      </c>
      <c r="AT44" s="79">
        <f t="shared" si="4"/>
        <v>0</v>
      </c>
      <c r="AU44" s="79">
        <f t="shared" si="5"/>
        <v>0</v>
      </c>
      <c r="AV44" s="79">
        <f t="shared" si="6"/>
        <v>0</v>
      </c>
      <c r="AW44" s="79">
        <f t="shared" si="7"/>
        <v>0</v>
      </c>
      <c r="AX44" s="79">
        <f t="shared" si="8"/>
        <v>0</v>
      </c>
      <c r="AY44" s="79">
        <f t="shared" si="9"/>
        <v>0</v>
      </c>
      <c r="AZ44" s="79">
        <f t="shared" si="10"/>
        <v>0</v>
      </c>
      <c r="BA44" s="79">
        <f t="shared" si="11"/>
        <v>0</v>
      </c>
      <c r="BB44" s="79">
        <f t="shared" si="12"/>
        <v>0</v>
      </c>
      <c r="BC44" s="79">
        <f t="shared" si="13"/>
        <v>0</v>
      </c>
      <c r="BD44" s="79">
        <f t="shared" si="14"/>
        <v>0</v>
      </c>
      <c r="BE44" s="79">
        <f t="shared" si="15"/>
        <v>0</v>
      </c>
      <c r="BF44" s="79">
        <f t="shared" si="16"/>
        <v>0</v>
      </c>
    </row>
    <row r="45" spans="1:58" x14ac:dyDescent="0.25">
      <c r="A45" s="138" t="s">
        <v>1195</v>
      </c>
      <c r="B45" t="s">
        <v>188</v>
      </c>
      <c r="C45" t="s">
        <v>173</v>
      </c>
      <c r="D45" s="78">
        <f>INDEX('Population Data by Age'!$B$7:$H$10366,MATCH(CONCATENATE('Tabular Pop Data by Age'!$C45,'Tabular Pop Data by Age'!D$7),'Population Data by Age'!$B$7:$B$10366,0),MATCH('Tabular Pop Data by Age'!$C$6,'Population Data by Age'!$B$6:$H$6,0))</f>
        <v>366000</v>
      </c>
      <c r="E45" s="78">
        <f>INDEX('Population Data by Age'!$B$7:$H$10366,MATCH(CONCATENATE('Tabular Pop Data by Age'!$C45,'Tabular Pop Data by Age'!E$7),'Population Data by Age'!$B$7:$B$10366,0),MATCH('Tabular Pop Data by Age'!$C$6,'Population Data by Age'!$B$6:$H$6,0))</f>
        <v>372000</v>
      </c>
      <c r="F45" s="78">
        <f>INDEX('Population Data by Age'!$B$7:$H$10366,MATCH(CONCATENATE('Tabular Pop Data by Age'!$C45,'Tabular Pop Data by Age'!F$7),'Population Data by Age'!$B$7:$B$10366,0),MATCH('Tabular Pop Data by Age'!$C$6,'Population Data by Age'!$B$6:$H$6,0))</f>
        <v>347000</v>
      </c>
      <c r="G45" s="78">
        <f>INDEX('Population Data by Age'!$B$7:$H$10366,MATCH(CONCATENATE('Tabular Pop Data by Age'!$C45,'Tabular Pop Data by Age'!G$7),'Population Data by Age'!$B$7:$B$10366,0),MATCH('Tabular Pop Data by Age'!$C$6,'Population Data by Age'!$B$6:$H$6,0))</f>
        <v>351000</v>
      </c>
      <c r="H45" s="78">
        <f>INDEX('Population Data by Age'!$B$7:$H$10366,MATCH(CONCATENATE('Tabular Pop Data by Age'!$C45,'Tabular Pop Data by Age'!H$7),'Population Data by Age'!$B$7:$B$10366,0),MATCH('Tabular Pop Data by Age'!$C$6,'Population Data by Age'!$B$6:$H$6,0))</f>
        <v>332000</v>
      </c>
      <c r="I45" s="78">
        <f>INDEX('Population Data by Age'!$B$7:$H$10366,MATCH(CONCATENATE('Tabular Pop Data by Age'!$C45,'Tabular Pop Data by Age'!I$7),'Population Data by Age'!$B$7:$B$10366,0),MATCH('Tabular Pop Data by Age'!$C$6,'Population Data by Age'!$B$6:$H$6,0))</f>
        <v>335000</v>
      </c>
      <c r="J45" s="78">
        <f>INDEX('Population Data by Age'!$B$7:$H$10366,MATCH(CONCATENATE('Tabular Pop Data by Age'!$C45,'Tabular Pop Data by Age'!J$7),'Population Data by Age'!$B$7:$B$10366,0),MATCH('Tabular Pop Data by Age'!$C$6,'Population Data by Age'!$B$6:$H$6,0))</f>
        <v>298000</v>
      </c>
      <c r="K45" s="78">
        <f>INDEX('Population Data by Age'!$B$7:$H$10366,MATCH(CONCATENATE('Tabular Pop Data by Age'!$C45,'Tabular Pop Data by Age'!K$7),'Population Data by Age'!$B$7:$B$10366,0),MATCH('Tabular Pop Data by Age'!$C$6,'Population Data by Age'!$B$6:$H$6,0))</f>
        <v>299000</v>
      </c>
      <c r="L45" s="78">
        <f>INDEX('Population Data by Age'!$B$7:$H$10366,MATCH(CONCATENATE('Tabular Pop Data by Age'!$C45,'Tabular Pop Data by Age'!L$7),'Population Data by Age'!$B$7:$B$10366,0),MATCH('Tabular Pop Data by Age'!$C$6,'Population Data by Age'!$B$6:$H$6,0))</f>
        <v>241000</v>
      </c>
      <c r="M45" s="78">
        <f>INDEX('Population Data by Age'!$B$7:$H$10366,MATCH(CONCATENATE('Tabular Pop Data by Age'!$C45,'Tabular Pop Data by Age'!M$7),'Population Data by Age'!$B$7:$B$10366,0),MATCH('Tabular Pop Data by Age'!$C$6,'Population Data by Age'!$B$6:$H$6,0))</f>
        <v>242000</v>
      </c>
      <c r="N45" s="78">
        <f>INDEX('Population Data by Age'!$B$7:$H$10366,MATCH(CONCATENATE('Tabular Pop Data by Age'!$C45,'Tabular Pop Data by Age'!N$7),'Population Data by Age'!$B$7:$B$10366,0),MATCH('Tabular Pop Data by Age'!$C$6,'Population Data by Age'!$B$6:$H$6,0))</f>
        <v>179000</v>
      </c>
      <c r="O45" s="78">
        <f>INDEX('Population Data by Age'!$B$7:$H$10366,MATCH(CONCATENATE('Tabular Pop Data by Age'!$C45,'Tabular Pop Data by Age'!O$7),'Population Data by Age'!$B$7:$B$10366,0),MATCH('Tabular Pop Data by Age'!$C$6,'Population Data by Age'!$B$6:$H$6,0))</f>
        <v>179000</v>
      </c>
      <c r="P45" s="78">
        <f>INDEX('Population Data by Age'!$B$7:$H$10366,MATCH(CONCATENATE('Tabular Pop Data by Age'!$C45,'Tabular Pop Data by Age'!P$7),'Population Data by Age'!$B$7:$B$10366,0),MATCH('Tabular Pop Data by Age'!$C$6,'Population Data by Age'!$B$6:$H$6,0))</f>
        <v>138000</v>
      </c>
      <c r="Q45" s="78">
        <f>INDEX('Population Data by Age'!$B$7:$H$10366,MATCH(CONCATENATE('Tabular Pop Data by Age'!$C45,'Tabular Pop Data by Age'!Q$7),'Population Data by Age'!$B$7:$B$10366,0),MATCH('Tabular Pop Data by Age'!$C$6,'Population Data by Age'!$B$6:$H$6,0))</f>
        <v>139000</v>
      </c>
      <c r="R45" s="78">
        <f>INDEX('Population Data by Age'!$B$7:$H$10366,MATCH(CONCATENATE('Tabular Pop Data by Age'!$C45,'Tabular Pop Data by Age'!R$7),'Population Data by Age'!$B$7:$B$10366,0),MATCH('Tabular Pop Data by Age'!$C$6,'Population Data by Age'!$B$6:$H$6,0))</f>
        <v>112000</v>
      </c>
      <c r="S45" s="78">
        <f>INDEX('Population Data by Age'!$B$7:$H$10366,MATCH(CONCATENATE('Tabular Pop Data by Age'!$C45,'Tabular Pop Data by Age'!S$7),'Population Data by Age'!$B$7:$B$10366,0),MATCH('Tabular Pop Data by Age'!$C$6,'Population Data by Age'!$B$6:$H$6,0))</f>
        <v>112000</v>
      </c>
      <c r="T45" s="78">
        <f>INDEX('Population Data by Age'!$B$7:$H$10366,MATCH(CONCATENATE('Tabular Pop Data by Age'!$C45,'Tabular Pop Data by Age'!T$7),'Population Data by Age'!$B$7:$B$10366,0),MATCH('Tabular Pop Data by Age'!$C$6,'Population Data by Age'!$B$6:$H$6,0))</f>
        <v>93000</v>
      </c>
      <c r="U45" s="78">
        <f>INDEX('Population Data by Age'!$B$7:$H$10366,MATCH(CONCATENATE('Tabular Pop Data by Age'!$C45,'Tabular Pop Data by Age'!U$7),'Population Data by Age'!$B$7:$B$10366,0),MATCH('Tabular Pop Data by Age'!$C$6,'Population Data by Age'!$B$6:$H$6,0))</f>
        <v>90000</v>
      </c>
      <c r="V45" s="78">
        <f>INDEX('Population Data by Age'!$B$7:$H$10366,MATCH(CONCATENATE('Tabular Pop Data by Age'!$C45,'Tabular Pop Data by Age'!V$7),'Population Data by Age'!$B$7:$B$10366,0),MATCH('Tabular Pop Data by Age'!$C$6,'Population Data by Age'!$B$6:$H$6,0))</f>
        <v>80000</v>
      </c>
      <c r="W45" s="78">
        <f>INDEX('Population Data by Age'!$B$7:$H$10366,MATCH(CONCATENATE('Tabular Pop Data by Age'!$C45,'Tabular Pop Data by Age'!W$7),'Population Data by Age'!$B$7:$B$10366,0),MATCH('Tabular Pop Data by Age'!$C$6,'Population Data by Age'!$B$6:$H$6,0))</f>
        <v>77000</v>
      </c>
      <c r="X45" s="78">
        <f>INDEX('Population Data by Age'!$B$7:$H$10366,MATCH(CONCATENATE('Tabular Pop Data by Age'!$C45,'Tabular Pop Data by Age'!X$7),'Population Data by Age'!$B$7:$B$10366,0),MATCH('Tabular Pop Data by Age'!$C$6,'Population Data by Age'!$B$6:$H$6,0))</f>
        <v>67000</v>
      </c>
      <c r="Y45" s="78">
        <f>INDEX('Population Data by Age'!$B$7:$H$10366,MATCH(CONCATENATE('Tabular Pop Data by Age'!$C45,'Tabular Pop Data by Age'!Y$7),'Population Data by Age'!$B$7:$B$10366,0),MATCH('Tabular Pop Data by Age'!$C$6,'Population Data by Age'!$B$6:$H$6,0))</f>
        <v>62000</v>
      </c>
      <c r="Z45" s="78">
        <f>INDEX('Population Data by Age'!$B$7:$H$10366,MATCH(CONCATENATE('Tabular Pop Data by Age'!$C45,'Tabular Pop Data by Age'!Z$7),'Population Data by Age'!$B$7:$B$10366,0),MATCH('Tabular Pop Data by Age'!$C$6,'Population Data by Age'!$B$6:$H$6,0))</f>
        <v>55000</v>
      </c>
      <c r="AA45" s="78">
        <f>INDEX('Population Data by Age'!$B$7:$H$10366,MATCH(CONCATENATE('Tabular Pop Data by Age'!$C45,'Tabular Pop Data by Age'!AA$7),'Population Data by Age'!$B$7:$B$10366,0),MATCH('Tabular Pop Data by Age'!$C$6,'Population Data by Age'!$B$6:$H$6,0))</f>
        <v>48000</v>
      </c>
      <c r="AB45" s="78">
        <f>INDEX('Population Data by Age'!$B$7:$H$10366,MATCH(CONCATENATE('Tabular Pop Data by Age'!$C45,'Tabular Pop Data by Age'!AB$7),'Population Data by Age'!$B$7:$B$10366,0),MATCH('Tabular Pop Data by Age'!$C$6,'Population Data by Age'!$B$6:$H$6,0))</f>
        <v>45000</v>
      </c>
      <c r="AC45" s="78">
        <f>INDEX('Population Data by Age'!$B$7:$H$10366,MATCH(CONCATENATE('Tabular Pop Data by Age'!$C45,'Tabular Pop Data by Age'!AC$7),'Population Data by Age'!$B$7:$B$10366,0),MATCH('Tabular Pop Data by Age'!$C$6,'Population Data by Age'!$B$6:$H$6,0))</f>
        <v>36000</v>
      </c>
      <c r="AD45" s="78">
        <f>INDEX('Population Data by Age'!$B$7:$H$10366,MATCH(CONCATENATE('Tabular Pop Data by Age'!$C45,'Tabular Pop Data by Age'!AD$7),'Population Data by Age'!$B$7:$B$10366,0),MATCH('Tabular Pop Data by Age'!$C$6,'Population Data by Age'!$B$6:$H$6,0))</f>
        <v>33000</v>
      </c>
      <c r="AE45" s="78">
        <f>INDEX('Population Data by Age'!$B$7:$H$10366,MATCH(CONCATENATE('Tabular Pop Data by Age'!$C45,'Tabular Pop Data by Age'!AE$7),'Population Data by Age'!$B$7:$B$10366,0),MATCH('Tabular Pop Data by Age'!$C$6,'Population Data by Age'!$B$6:$H$6,0))</f>
        <v>25000</v>
      </c>
      <c r="AF45" s="78">
        <f>INDEX('Population Data by Age'!$B$7:$H$10366,MATCH(CONCATENATE('Tabular Pop Data by Age'!$C45,'Tabular Pop Data by Age'!AF$7),'Population Data by Age'!$B$7:$B$10366,0),MATCH('Tabular Pop Data by Age'!$C$6,'Population Data by Age'!$B$6:$H$6,0))</f>
        <v>23000</v>
      </c>
      <c r="AG45" s="78">
        <f>INDEX('Population Data by Age'!$B$7:$H$10366,MATCH(CONCATENATE('Tabular Pop Data by Age'!$C45,'Tabular Pop Data by Age'!AG$7),'Population Data by Age'!$B$7:$B$10366,0),MATCH('Tabular Pop Data by Age'!$C$6,'Population Data by Age'!$B$6:$H$6,0))</f>
        <v>15000</v>
      </c>
      <c r="AH45" s="78">
        <f>INDEX('Population Data by Age'!$B$7:$H$10366,MATCH(CONCATENATE('Tabular Pop Data by Age'!$C45,'Tabular Pop Data by Age'!AH$7),'Population Data by Age'!$B$7:$B$10366,0),MATCH('Tabular Pop Data by Age'!$C$6,'Population Data by Age'!$B$6:$H$6,0))</f>
        <v>15000</v>
      </c>
      <c r="AI45" s="78">
        <f>INDEX('Population Data by Age'!$B$7:$H$10366,MATCH(CONCATENATE('Tabular Pop Data by Age'!$C45,'Tabular Pop Data by Age'!AI$7),'Population Data by Age'!$B$7:$B$10366,0),MATCH('Tabular Pop Data by Age'!$C$6,'Population Data by Age'!$B$6:$H$6,0))</f>
        <v>8900</v>
      </c>
      <c r="AJ45" s="78">
        <f>INDEX('Population Data by Age'!$B$7:$H$10366,MATCH(CONCATENATE('Tabular Pop Data by Age'!$C45,'Tabular Pop Data by Age'!AJ$7),'Population Data by Age'!$B$7:$B$10366,0),MATCH('Tabular Pop Data by Age'!$C$6,'Population Data by Age'!$B$6:$H$6,0))</f>
        <v>11000</v>
      </c>
      <c r="AK45" s="78">
        <f>INDEX('Population Data by Age'!$B$7:$H$10366,MATCH(CONCATENATE('Tabular Pop Data by Age'!$C45,'Tabular Pop Data by Age'!AK$7),'Population Data by Age'!$B$7:$B$10366,0),MATCH('Tabular Pop Data by Age'!$C$6,'Population Data by Age'!$B$6:$H$6,0))</f>
        <v>4800</v>
      </c>
      <c r="AL45" s="78">
        <f>INDEX('Population Data by Age'!$B$7:$H$10366,MATCH(CONCATENATE('Tabular Pop Data by Age'!$C45,'Tabular Pop Data by Age'!AL$7),'Population Data by Age'!$B$7:$B$10366,0),MATCH('Tabular Pop Data by Age'!$C$6,'Population Data by Age'!$B$6:$H$6,0))</f>
        <v>2436000</v>
      </c>
      <c r="AM45" s="78">
        <f>INDEX('Population Data by Age'!$B$7:$H$10366,MATCH(CONCATENATE('Tabular Pop Data by Age'!$C45,'Tabular Pop Data by Age'!AM$7),'Population Data by Age'!$B$7:$B$10366,0),MATCH('Tabular Pop Data by Age'!$C$6,'Population Data by Age'!$B$6:$H$6,0))</f>
        <v>2394000</v>
      </c>
      <c r="AN45" s="78">
        <f>INDEX('Population Data by Age'!$B$7:$H$10366,MATCH(CONCATENATE('Tabular Pop Data by Age'!$C45,'Tabular Pop Data by Age'!AN$7),'Population Data by Age'!$B$7:$B$10366,0),MATCH('Tabular Pop Data by Age'!$C$6,'Population Data by Age'!$B$6:$H$6,0))</f>
        <v>4830000</v>
      </c>
      <c r="AO45" s="78">
        <f>INDEX('Population Data by Age'!$B$7:$H$10366,MATCH(CONCATENATE('Tabular Pop Data by Age'!$C45,'Tabular Pop Data by Age'!AO$7),'Population Data by Age'!$B$7:$B$10366,0),MATCH('Tabular Pop Data by Age'!$C$6,'Population Data by Age'!$B$6:$H$6,0))</f>
        <v>0</v>
      </c>
      <c r="AP45" s="79">
        <f t="shared" si="0"/>
        <v>738000</v>
      </c>
      <c r="AQ45" s="79">
        <f t="shared" si="1"/>
        <v>698000</v>
      </c>
      <c r="AR45" s="79">
        <f t="shared" si="2"/>
        <v>667000</v>
      </c>
      <c r="AS45" s="79">
        <f t="shared" si="3"/>
        <v>597000</v>
      </c>
      <c r="AT45" s="79">
        <f t="shared" si="4"/>
        <v>483000</v>
      </c>
      <c r="AU45" s="79">
        <f t="shared" si="5"/>
        <v>358000</v>
      </c>
      <c r="AV45" s="79">
        <f t="shared" si="6"/>
        <v>277000</v>
      </c>
      <c r="AW45" s="79">
        <f t="shared" si="7"/>
        <v>224000</v>
      </c>
      <c r="AX45" s="79">
        <f t="shared" si="8"/>
        <v>183000</v>
      </c>
      <c r="AY45" s="79">
        <f t="shared" si="9"/>
        <v>157000</v>
      </c>
      <c r="AZ45" s="79">
        <f t="shared" si="10"/>
        <v>129000</v>
      </c>
      <c r="BA45" s="79">
        <f t="shared" si="11"/>
        <v>103000</v>
      </c>
      <c r="BB45" s="79">
        <f t="shared" si="12"/>
        <v>81000</v>
      </c>
      <c r="BC45" s="79">
        <f t="shared" si="13"/>
        <v>58000</v>
      </c>
      <c r="BD45" s="79">
        <f t="shared" si="14"/>
        <v>38000</v>
      </c>
      <c r="BE45" s="79">
        <f t="shared" si="15"/>
        <v>23900</v>
      </c>
      <c r="BF45" s="79">
        <f t="shared" si="16"/>
        <v>15800</v>
      </c>
    </row>
    <row r="46" spans="1:58" x14ac:dyDescent="0.25">
      <c r="A46" s="138" t="s">
        <v>1195</v>
      </c>
      <c r="B46" t="s">
        <v>189</v>
      </c>
      <c r="C46" t="s">
        <v>169</v>
      </c>
      <c r="D46" s="78">
        <f>INDEX('Population Data by Age'!$B$7:$H$10366,MATCH(CONCATENATE('Tabular Pop Data by Age'!$C46,'Tabular Pop Data by Age'!D$7),'Population Data by Age'!$B$7:$B$10366,0),MATCH('Tabular Pop Data by Age'!$C$6,'Population Data by Age'!$B$6:$H$6,0))</f>
        <v>1455000</v>
      </c>
      <c r="E46" s="78">
        <f>INDEX('Population Data by Age'!$B$7:$H$10366,MATCH(CONCATENATE('Tabular Pop Data by Age'!$C46,'Tabular Pop Data by Age'!E$7),'Population Data by Age'!$B$7:$B$10366,0),MATCH('Tabular Pop Data by Age'!$C$6,'Population Data by Age'!$B$6:$H$6,0))</f>
        <v>1476000</v>
      </c>
      <c r="F46" s="78">
        <f>INDEX('Population Data by Age'!$B$7:$H$10366,MATCH(CONCATENATE('Tabular Pop Data by Age'!$C46,'Tabular Pop Data by Age'!F$7),'Population Data by Age'!$B$7:$B$10366,0),MATCH('Tabular Pop Data by Age'!$C$6,'Population Data by Age'!$B$6:$H$6,0))</f>
        <v>1257000</v>
      </c>
      <c r="G46" s="78">
        <f>INDEX('Population Data by Age'!$B$7:$H$10366,MATCH(CONCATENATE('Tabular Pop Data by Age'!$C46,'Tabular Pop Data by Age'!G$7),'Population Data by Age'!$B$7:$B$10366,0),MATCH('Tabular Pop Data by Age'!$C$6,'Population Data by Age'!$B$6:$H$6,0))</f>
        <v>1265000</v>
      </c>
      <c r="H46" s="78">
        <f>INDEX('Population Data by Age'!$B$7:$H$10366,MATCH(CONCATENATE('Tabular Pop Data by Age'!$C46,'Tabular Pop Data by Age'!H$7),'Population Data by Age'!$B$7:$B$10366,0),MATCH('Tabular Pop Data by Age'!$C$6,'Population Data by Age'!$B$6:$H$6,0))</f>
        <v>1090000</v>
      </c>
      <c r="I46" s="78">
        <f>INDEX('Population Data by Age'!$B$7:$H$10366,MATCH(CONCATENATE('Tabular Pop Data by Age'!$C46,'Tabular Pop Data by Age'!I$7),'Population Data by Age'!$B$7:$B$10366,0),MATCH('Tabular Pop Data by Age'!$C$6,'Population Data by Age'!$B$6:$H$6,0))</f>
        <v>1094000</v>
      </c>
      <c r="J46" s="78">
        <f>INDEX('Population Data by Age'!$B$7:$H$10366,MATCH(CONCATENATE('Tabular Pop Data by Age'!$C46,'Tabular Pop Data by Age'!J$7),'Population Data by Age'!$B$7:$B$10366,0),MATCH('Tabular Pop Data by Age'!$C$6,'Population Data by Age'!$B$6:$H$6,0))</f>
        <v>926000</v>
      </c>
      <c r="K46" s="78">
        <f>INDEX('Population Data by Age'!$B$7:$H$10366,MATCH(CONCATENATE('Tabular Pop Data by Age'!$C46,'Tabular Pop Data by Age'!K$7),'Population Data by Age'!$B$7:$B$10366,0),MATCH('Tabular Pop Data by Age'!$C$6,'Population Data by Age'!$B$6:$H$6,0))</f>
        <v>929000</v>
      </c>
      <c r="L46" s="78">
        <f>INDEX('Population Data by Age'!$B$7:$H$10366,MATCH(CONCATENATE('Tabular Pop Data by Age'!$C46,'Tabular Pop Data by Age'!L$7),'Population Data by Age'!$B$7:$B$10366,0),MATCH('Tabular Pop Data by Age'!$C$6,'Population Data by Age'!$B$6:$H$6,0))</f>
        <v>766000</v>
      </c>
      <c r="M46" s="78">
        <f>INDEX('Population Data by Age'!$B$7:$H$10366,MATCH(CONCATENATE('Tabular Pop Data by Age'!$C46,'Tabular Pop Data by Age'!M$7),'Population Data by Age'!$B$7:$B$10366,0),MATCH('Tabular Pop Data by Age'!$C$6,'Population Data by Age'!$B$6:$H$6,0))</f>
        <v>770000</v>
      </c>
      <c r="N46" s="78">
        <f>INDEX('Population Data by Age'!$B$7:$H$10366,MATCH(CONCATENATE('Tabular Pop Data by Age'!$C46,'Tabular Pop Data by Age'!N$7),'Population Data by Age'!$B$7:$B$10366,0),MATCH('Tabular Pop Data by Age'!$C$6,'Population Data by Age'!$B$6:$H$6,0))</f>
        <v>622000</v>
      </c>
      <c r="O46" s="78">
        <f>INDEX('Population Data by Age'!$B$7:$H$10366,MATCH(CONCATENATE('Tabular Pop Data by Age'!$C46,'Tabular Pop Data by Age'!O$7),'Population Data by Age'!$B$7:$B$10366,0),MATCH('Tabular Pop Data by Age'!$C$6,'Population Data by Age'!$B$6:$H$6,0))</f>
        <v>623000</v>
      </c>
      <c r="P46" s="78">
        <f>INDEX('Population Data by Age'!$B$7:$H$10366,MATCH(CONCATENATE('Tabular Pop Data by Age'!$C46,'Tabular Pop Data by Age'!P$7),'Population Data by Age'!$B$7:$B$10366,0),MATCH('Tabular Pop Data by Age'!$C$6,'Population Data by Age'!$B$6:$H$6,0))</f>
        <v>494000</v>
      </c>
      <c r="Q46" s="78">
        <f>INDEX('Population Data by Age'!$B$7:$H$10366,MATCH(CONCATENATE('Tabular Pop Data by Age'!$C46,'Tabular Pop Data by Age'!Q$7),'Population Data by Age'!$B$7:$B$10366,0),MATCH('Tabular Pop Data by Age'!$C$6,'Population Data by Age'!$B$6:$H$6,0))</f>
        <v>496000</v>
      </c>
      <c r="R46" s="78">
        <f>INDEX('Population Data by Age'!$B$7:$H$10366,MATCH(CONCATENATE('Tabular Pop Data by Age'!$C46,'Tabular Pop Data by Age'!R$7),'Population Data by Age'!$B$7:$B$10366,0),MATCH('Tabular Pop Data by Age'!$C$6,'Population Data by Age'!$B$6:$H$6,0))</f>
        <v>389000</v>
      </c>
      <c r="S46" s="78">
        <f>INDEX('Population Data by Age'!$B$7:$H$10366,MATCH(CONCATENATE('Tabular Pop Data by Age'!$C46,'Tabular Pop Data by Age'!S$7),'Population Data by Age'!$B$7:$B$10366,0),MATCH('Tabular Pop Data by Age'!$C$6,'Population Data by Age'!$B$6:$H$6,0))</f>
        <v>391000</v>
      </c>
      <c r="T46" s="78">
        <f>INDEX('Population Data by Age'!$B$7:$H$10366,MATCH(CONCATENATE('Tabular Pop Data by Age'!$C46,'Tabular Pop Data by Age'!T$7),'Population Data by Age'!$B$7:$B$10366,0),MATCH('Tabular Pop Data by Age'!$C$6,'Population Data by Age'!$B$6:$H$6,0))</f>
        <v>304000</v>
      </c>
      <c r="U46" s="78">
        <f>INDEX('Population Data by Age'!$B$7:$H$10366,MATCH(CONCATENATE('Tabular Pop Data by Age'!$C46,'Tabular Pop Data by Age'!U$7),'Population Data by Age'!$B$7:$B$10366,0),MATCH('Tabular Pop Data by Age'!$C$6,'Population Data by Age'!$B$6:$H$6,0))</f>
        <v>306000</v>
      </c>
      <c r="V46" s="78">
        <f>INDEX('Population Data by Age'!$B$7:$H$10366,MATCH(CONCATENATE('Tabular Pop Data by Age'!$C46,'Tabular Pop Data by Age'!V$7),'Population Data by Age'!$B$7:$B$10366,0),MATCH('Tabular Pop Data by Age'!$C$6,'Population Data by Age'!$B$6:$H$6,0))</f>
        <v>237000</v>
      </c>
      <c r="W46" s="78">
        <f>INDEX('Population Data by Age'!$B$7:$H$10366,MATCH(CONCATENATE('Tabular Pop Data by Age'!$C46,'Tabular Pop Data by Age'!W$7),'Population Data by Age'!$B$7:$B$10366,0),MATCH('Tabular Pop Data by Age'!$C$6,'Population Data by Age'!$B$6:$H$6,0))</f>
        <v>235000</v>
      </c>
      <c r="X46" s="78">
        <f>INDEX('Population Data by Age'!$B$7:$H$10366,MATCH(CONCATENATE('Tabular Pop Data by Age'!$C46,'Tabular Pop Data by Age'!X$7),'Population Data by Age'!$B$7:$B$10366,0),MATCH('Tabular Pop Data by Age'!$C$6,'Population Data by Age'!$B$6:$H$6,0))</f>
        <v>185000</v>
      </c>
      <c r="Y46" s="78">
        <f>INDEX('Population Data by Age'!$B$7:$H$10366,MATCH(CONCATENATE('Tabular Pop Data by Age'!$C46,'Tabular Pop Data by Age'!Y$7),'Population Data by Age'!$B$7:$B$10366,0),MATCH('Tabular Pop Data by Age'!$C$6,'Population Data by Age'!$B$6:$H$6,0))</f>
        <v>178000</v>
      </c>
      <c r="Z46" s="78">
        <f>INDEX('Population Data by Age'!$B$7:$H$10366,MATCH(CONCATENATE('Tabular Pop Data by Age'!$C46,'Tabular Pop Data by Age'!Z$7),'Population Data by Age'!$B$7:$B$10366,0),MATCH('Tabular Pop Data by Age'!$C$6,'Population Data by Age'!$B$6:$H$6,0))</f>
        <v>152000</v>
      </c>
      <c r="AA46" s="78">
        <f>INDEX('Population Data by Age'!$B$7:$H$10366,MATCH(CONCATENATE('Tabular Pop Data by Age'!$C46,'Tabular Pop Data by Age'!AA$7),'Population Data by Age'!$B$7:$B$10366,0),MATCH('Tabular Pop Data by Age'!$C$6,'Population Data by Age'!$B$6:$H$6,0))</f>
        <v>140000</v>
      </c>
      <c r="AB46" s="78">
        <f>INDEX('Population Data by Age'!$B$7:$H$10366,MATCH(CONCATENATE('Tabular Pop Data by Age'!$C46,'Tabular Pop Data by Age'!AB$7),'Population Data by Age'!$B$7:$B$10366,0),MATCH('Tabular Pop Data by Age'!$C$6,'Population Data by Age'!$B$6:$H$6,0))</f>
        <v>125000</v>
      </c>
      <c r="AC46" s="78">
        <f>INDEX('Population Data by Age'!$B$7:$H$10366,MATCH(CONCATENATE('Tabular Pop Data by Age'!$C46,'Tabular Pop Data by Age'!AC$7),'Population Data by Age'!$B$7:$B$10366,0),MATCH('Tabular Pop Data by Age'!$C$6,'Population Data by Age'!$B$6:$H$6,0))</f>
        <v>111000</v>
      </c>
      <c r="AD46" s="78">
        <f>INDEX('Population Data by Age'!$B$7:$H$10366,MATCH(CONCATENATE('Tabular Pop Data by Age'!$C46,'Tabular Pop Data by Age'!AD$7),'Population Data by Age'!$B$7:$B$10366,0),MATCH('Tabular Pop Data by Age'!$C$6,'Population Data by Age'!$B$6:$H$6,0))</f>
        <v>99000</v>
      </c>
      <c r="AE46" s="78">
        <f>INDEX('Population Data by Age'!$B$7:$H$10366,MATCH(CONCATENATE('Tabular Pop Data by Age'!$C46,'Tabular Pop Data by Age'!AE$7),'Population Data by Age'!$B$7:$B$10366,0),MATCH('Tabular Pop Data by Age'!$C$6,'Population Data by Age'!$B$6:$H$6,0))</f>
        <v>83000</v>
      </c>
      <c r="AF46" s="78">
        <f>INDEX('Population Data by Age'!$B$7:$H$10366,MATCH(CONCATENATE('Tabular Pop Data by Age'!$C46,'Tabular Pop Data by Age'!AF$7),'Population Data by Age'!$B$7:$B$10366,0),MATCH('Tabular Pop Data by Age'!$C$6,'Population Data by Age'!$B$6:$H$6,0))</f>
        <v>60000</v>
      </c>
      <c r="AG46" s="78">
        <f>INDEX('Population Data by Age'!$B$7:$H$10366,MATCH(CONCATENATE('Tabular Pop Data by Age'!$C46,'Tabular Pop Data by Age'!AG$7),'Population Data by Age'!$B$7:$B$10366,0),MATCH('Tabular Pop Data by Age'!$C$6,'Population Data by Age'!$B$6:$H$6,0))</f>
        <v>52000</v>
      </c>
      <c r="AH46" s="78">
        <f>INDEX('Population Data by Age'!$B$7:$H$10366,MATCH(CONCATENATE('Tabular Pop Data by Age'!$C46,'Tabular Pop Data by Age'!AH$7),'Population Data by Age'!$B$7:$B$10366,0),MATCH('Tabular Pop Data by Age'!$C$6,'Population Data by Age'!$B$6:$H$6,0))</f>
        <v>37000</v>
      </c>
      <c r="AI46" s="78">
        <f>INDEX('Population Data by Age'!$B$7:$H$10366,MATCH(CONCATENATE('Tabular Pop Data by Age'!$C46,'Tabular Pop Data by Age'!AI$7),'Population Data by Age'!$B$7:$B$10366,0),MATCH('Tabular Pop Data by Age'!$C$6,'Population Data by Age'!$B$6:$H$6,0))</f>
        <v>31000</v>
      </c>
      <c r="AJ46" s="78">
        <f>INDEX('Population Data by Age'!$B$7:$H$10366,MATCH(CONCATENATE('Tabular Pop Data by Age'!$C46,'Tabular Pop Data by Age'!AJ$7),'Population Data by Age'!$B$7:$B$10366,0),MATCH('Tabular Pop Data by Age'!$C$6,'Population Data by Age'!$B$6:$H$6,0))</f>
        <v>28000</v>
      </c>
      <c r="AK46" s="78">
        <f>INDEX('Population Data by Age'!$B$7:$H$10366,MATCH(CONCATENATE('Tabular Pop Data by Age'!$C46,'Tabular Pop Data by Age'!AK$7),'Population Data by Age'!$B$7:$B$10366,0),MATCH('Tabular Pop Data by Age'!$C$6,'Population Data by Age'!$B$6:$H$6,0))</f>
        <v>20000</v>
      </c>
      <c r="AL46" s="78">
        <f>INDEX('Population Data by Age'!$B$7:$H$10366,MATCH(CONCATENATE('Tabular Pop Data by Age'!$C46,'Tabular Pop Data by Age'!AL$7),'Population Data by Age'!$B$7:$B$10366,0),MATCH('Tabular Pop Data by Age'!$C$6,'Population Data by Age'!$B$6:$H$6,0))</f>
        <v>8226000</v>
      </c>
      <c r="AM46" s="78">
        <f>INDEX('Population Data by Age'!$B$7:$H$10366,MATCH(CONCATENATE('Tabular Pop Data by Age'!$C46,'Tabular Pop Data by Age'!AM$7),'Population Data by Age'!$B$7:$B$10366,0),MATCH('Tabular Pop Data by Age'!$C$6,'Population Data by Age'!$B$6:$H$6,0))</f>
        <v>8200000</v>
      </c>
      <c r="AN46" s="78">
        <f>INDEX('Population Data by Age'!$B$7:$H$10366,MATCH(CONCATENATE('Tabular Pop Data by Age'!$C46,'Tabular Pop Data by Age'!AN$7),'Population Data by Age'!$B$7:$B$10366,0),MATCH('Tabular Pop Data by Age'!$C$6,'Population Data by Age'!$B$6:$H$6,0))</f>
        <v>16426000</v>
      </c>
      <c r="AO46" s="78">
        <f>INDEX('Population Data by Age'!$B$7:$H$10366,MATCH(CONCATENATE('Tabular Pop Data by Age'!$C46,'Tabular Pop Data by Age'!AO$7),'Population Data by Age'!$B$7:$B$10366,0),MATCH('Tabular Pop Data by Age'!$C$6,'Population Data by Age'!$B$6:$H$6,0))</f>
        <v>0</v>
      </c>
      <c r="AP46" s="79">
        <f t="shared" si="0"/>
        <v>2931000</v>
      </c>
      <c r="AQ46" s="79">
        <f t="shared" si="1"/>
        <v>2522000</v>
      </c>
      <c r="AR46" s="79">
        <f t="shared" si="2"/>
        <v>2184000</v>
      </c>
      <c r="AS46" s="79">
        <f t="shared" si="3"/>
        <v>1855000</v>
      </c>
      <c r="AT46" s="79">
        <f t="shared" si="4"/>
        <v>1536000</v>
      </c>
      <c r="AU46" s="79">
        <f t="shared" si="5"/>
        <v>1245000</v>
      </c>
      <c r="AV46" s="79">
        <f t="shared" si="6"/>
        <v>990000</v>
      </c>
      <c r="AW46" s="79">
        <f t="shared" si="7"/>
        <v>780000</v>
      </c>
      <c r="AX46" s="79">
        <f t="shared" si="8"/>
        <v>610000</v>
      </c>
      <c r="AY46" s="79">
        <f t="shared" si="9"/>
        <v>472000</v>
      </c>
      <c r="AZ46" s="79">
        <f t="shared" si="10"/>
        <v>363000</v>
      </c>
      <c r="BA46" s="79">
        <f t="shared" si="11"/>
        <v>292000</v>
      </c>
      <c r="BB46" s="79">
        <f t="shared" si="12"/>
        <v>236000</v>
      </c>
      <c r="BC46" s="79">
        <f t="shared" si="13"/>
        <v>182000</v>
      </c>
      <c r="BD46" s="79">
        <f t="shared" si="14"/>
        <v>112000</v>
      </c>
      <c r="BE46" s="79">
        <f t="shared" si="15"/>
        <v>68000</v>
      </c>
      <c r="BF46" s="79">
        <f t="shared" si="16"/>
        <v>48000</v>
      </c>
    </row>
    <row r="47" spans="1:58" x14ac:dyDescent="0.25">
      <c r="A47" s="138" t="s">
        <v>1195</v>
      </c>
      <c r="B47" t="s">
        <v>456</v>
      </c>
      <c r="C47" t="s">
        <v>457</v>
      </c>
      <c r="D47" s="78">
        <f>INDEX('Population Data by Age'!$B$7:$H$10366,MATCH(CONCATENATE('Tabular Pop Data by Age'!$C47,'Tabular Pop Data by Age'!D$7),'Population Data by Age'!$B$7:$B$10366,0),MATCH('Tabular Pop Data by Age'!$C$6,'Population Data by Age'!$B$6:$H$6,0))</f>
        <v>4200</v>
      </c>
      <c r="E47" s="78">
        <f>INDEX('Population Data by Age'!$B$7:$H$10366,MATCH(CONCATENATE('Tabular Pop Data by Age'!$C47,'Tabular Pop Data by Age'!E$7),'Population Data by Age'!$B$7:$B$10366,0),MATCH('Tabular Pop Data by Age'!$C$6,'Population Data by Age'!$B$6:$H$6,0))</f>
        <v>4500</v>
      </c>
      <c r="F47" s="78">
        <f>INDEX('Population Data by Age'!$B$7:$H$10366,MATCH(CONCATENATE('Tabular Pop Data by Age'!$C47,'Tabular Pop Data by Age'!F$7),'Population Data by Age'!$B$7:$B$10366,0),MATCH('Tabular Pop Data by Age'!$C$6,'Population Data by Age'!$B$6:$H$6,0))</f>
        <v>4400</v>
      </c>
      <c r="G47" s="78">
        <f>INDEX('Population Data by Age'!$B$7:$H$10366,MATCH(CONCATENATE('Tabular Pop Data by Age'!$C47,'Tabular Pop Data by Age'!G$7),'Population Data by Age'!$B$7:$B$10366,0),MATCH('Tabular Pop Data by Age'!$C$6,'Population Data by Age'!$B$6:$H$6,0))</f>
        <v>4400</v>
      </c>
      <c r="H47" s="78">
        <f>INDEX('Population Data by Age'!$B$7:$H$10366,MATCH(CONCATENATE('Tabular Pop Data by Age'!$C47,'Tabular Pop Data by Age'!H$7),'Population Data by Age'!$B$7:$B$10366,0),MATCH('Tabular Pop Data by Age'!$C$6,'Population Data by Age'!$B$6:$H$6,0))</f>
        <v>4100</v>
      </c>
      <c r="I47" s="78">
        <f>INDEX('Population Data by Age'!$B$7:$H$10366,MATCH(CONCATENATE('Tabular Pop Data by Age'!$C47,'Tabular Pop Data by Age'!I$7),'Population Data by Age'!$B$7:$B$10366,0),MATCH('Tabular Pop Data by Age'!$C$6,'Population Data by Age'!$B$6:$H$6,0))</f>
        <v>4400</v>
      </c>
      <c r="J47" s="78">
        <f>INDEX('Population Data by Age'!$B$7:$H$10366,MATCH(CONCATENATE('Tabular Pop Data by Age'!$C47,'Tabular Pop Data by Age'!J$7),'Population Data by Age'!$B$7:$B$10366,0),MATCH('Tabular Pop Data by Age'!$C$6,'Population Data by Age'!$B$6:$H$6,0))</f>
        <v>4600</v>
      </c>
      <c r="K47" s="78">
        <f>INDEX('Population Data by Age'!$B$7:$H$10366,MATCH(CONCATENATE('Tabular Pop Data by Age'!$C47,'Tabular Pop Data by Age'!K$7),'Population Data by Age'!$B$7:$B$10366,0),MATCH('Tabular Pop Data by Age'!$C$6,'Population Data by Age'!$B$6:$H$6,0))</f>
        <v>4800</v>
      </c>
      <c r="L47" s="78">
        <f>INDEX('Population Data by Age'!$B$7:$H$10366,MATCH(CONCATENATE('Tabular Pop Data by Age'!$C47,'Tabular Pop Data by Age'!L$7),'Population Data by Age'!$B$7:$B$10366,0),MATCH('Tabular Pop Data by Age'!$C$6,'Population Data by Age'!$B$6:$H$6,0))</f>
        <v>5100</v>
      </c>
      <c r="M47" s="78">
        <f>INDEX('Population Data by Age'!$B$7:$H$10366,MATCH(CONCATENATE('Tabular Pop Data by Age'!$C47,'Tabular Pop Data by Age'!M$7),'Population Data by Age'!$B$7:$B$10366,0),MATCH('Tabular Pop Data by Age'!$C$6,'Population Data by Age'!$B$6:$H$6,0))</f>
        <v>5400</v>
      </c>
      <c r="N47" s="78">
        <f>INDEX('Population Data by Age'!$B$7:$H$10366,MATCH(CONCATENATE('Tabular Pop Data by Age'!$C47,'Tabular Pop Data by Age'!N$7),'Population Data by Age'!$B$7:$B$10366,0),MATCH('Tabular Pop Data by Age'!$C$6,'Population Data by Age'!$B$6:$H$6,0))</f>
        <v>5500</v>
      </c>
      <c r="O47" s="78">
        <f>INDEX('Population Data by Age'!$B$7:$H$10366,MATCH(CONCATENATE('Tabular Pop Data by Age'!$C47,'Tabular Pop Data by Age'!O$7),'Population Data by Age'!$B$7:$B$10366,0),MATCH('Tabular Pop Data by Age'!$C$6,'Population Data by Age'!$B$6:$H$6,0))</f>
        <v>5800</v>
      </c>
      <c r="P47" s="78">
        <f>INDEX('Population Data by Age'!$B$7:$H$10366,MATCH(CONCATENATE('Tabular Pop Data by Age'!$C47,'Tabular Pop Data by Age'!P$7),'Population Data by Age'!$B$7:$B$10366,0),MATCH('Tabular Pop Data by Age'!$C$6,'Population Data by Age'!$B$6:$H$6,0))</f>
        <v>5800</v>
      </c>
      <c r="Q47" s="78">
        <f>INDEX('Population Data by Age'!$B$7:$H$10366,MATCH(CONCATENATE('Tabular Pop Data by Age'!$C47,'Tabular Pop Data by Age'!Q$7),'Population Data by Age'!$B$7:$B$10366,0),MATCH('Tabular Pop Data by Age'!$C$6,'Population Data by Age'!$B$6:$H$6,0))</f>
        <v>5900</v>
      </c>
      <c r="R47" s="78">
        <f>INDEX('Population Data by Age'!$B$7:$H$10366,MATCH(CONCATENATE('Tabular Pop Data by Age'!$C47,'Tabular Pop Data by Age'!R$7),'Population Data by Age'!$B$7:$B$10366,0),MATCH('Tabular Pop Data by Age'!$C$6,'Population Data by Age'!$B$6:$H$6,0))</f>
        <v>5900</v>
      </c>
      <c r="S47" s="78">
        <f>INDEX('Population Data by Age'!$B$7:$H$10366,MATCH(CONCATENATE('Tabular Pop Data by Age'!$C47,'Tabular Pop Data by Age'!S$7),'Population Data by Age'!$B$7:$B$10366,0),MATCH('Tabular Pop Data by Age'!$C$6,'Population Data by Age'!$B$6:$H$6,0))</f>
        <v>6200</v>
      </c>
      <c r="T47" s="78">
        <f>INDEX('Population Data by Age'!$B$7:$H$10366,MATCH(CONCATENATE('Tabular Pop Data by Age'!$C47,'Tabular Pop Data by Age'!T$7),'Population Data by Age'!$B$7:$B$10366,0),MATCH('Tabular Pop Data by Age'!$C$6,'Population Data by Age'!$B$6:$H$6,0))</f>
        <v>5800</v>
      </c>
      <c r="U47" s="78">
        <f>INDEX('Population Data by Age'!$B$7:$H$10366,MATCH(CONCATENATE('Tabular Pop Data by Age'!$C47,'Tabular Pop Data by Age'!U$7),'Population Data by Age'!$B$7:$B$10366,0),MATCH('Tabular Pop Data by Age'!$C$6,'Population Data by Age'!$B$6:$H$6,0))</f>
        <v>5800</v>
      </c>
      <c r="V47" s="78">
        <f>INDEX('Population Data by Age'!$B$7:$H$10366,MATCH(CONCATENATE('Tabular Pop Data by Age'!$C47,'Tabular Pop Data by Age'!V$7),'Population Data by Age'!$B$7:$B$10366,0),MATCH('Tabular Pop Data by Age'!$C$6,'Population Data by Age'!$B$6:$H$6,0))</f>
        <v>6700</v>
      </c>
      <c r="W47" s="78">
        <f>INDEX('Population Data by Age'!$B$7:$H$10366,MATCH(CONCATENATE('Tabular Pop Data by Age'!$C47,'Tabular Pop Data by Age'!W$7),'Population Data by Age'!$B$7:$B$10366,0),MATCH('Tabular Pop Data by Age'!$C$6,'Population Data by Age'!$B$6:$H$6,0))</f>
        <v>6600</v>
      </c>
      <c r="X47" s="78">
        <f>INDEX('Population Data by Age'!$B$7:$H$10366,MATCH(CONCATENATE('Tabular Pop Data by Age'!$C47,'Tabular Pop Data by Age'!X$7),'Population Data by Age'!$B$7:$B$10366,0),MATCH('Tabular Pop Data by Age'!$C$6,'Population Data by Age'!$B$6:$H$6,0))</f>
        <v>7000</v>
      </c>
      <c r="Y47" s="78">
        <f>INDEX('Population Data by Age'!$B$7:$H$10366,MATCH(CONCATENATE('Tabular Pop Data by Age'!$C47,'Tabular Pop Data by Age'!Y$7),'Population Data by Age'!$B$7:$B$10366,0),MATCH('Tabular Pop Data by Age'!$C$6,'Population Data by Age'!$B$6:$H$6,0))</f>
        <v>6800</v>
      </c>
      <c r="Z47" s="78">
        <f>INDEX('Population Data by Age'!$B$7:$H$10366,MATCH(CONCATENATE('Tabular Pop Data by Age'!$C47,'Tabular Pop Data by Age'!Z$7),'Population Data by Age'!$B$7:$B$10366,0),MATCH('Tabular Pop Data by Age'!$C$6,'Population Data by Age'!$B$6:$H$6,0))</f>
        <v>6300</v>
      </c>
      <c r="AA47" s="78">
        <f>INDEX('Population Data by Age'!$B$7:$H$10366,MATCH(CONCATENATE('Tabular Pop Data by Age'!$C47,'Tabular Pop Data by Age'!AA$7),'Population Data by Age'!$B$7:$B$10366,0),MATCH('Tabular Pop Data by Age'!$C$6,'Population Data by Age'!$B$6:$H$6,0))</f>
        <v>6100</v>
      </c>
      <c r="AB47" s="78">
        <f>INDEX('Population Data by Age'!$B$7:$H$10366,MATCH(CONCATENATE('Tabular Pop Data by Age'!$C47,'Tabular Pop Data by Age'!AB$7),'Population Data by Age'!$B$7:$B$10366,0),MATCH('Tabular Pop Data by Age'!$C$6,'Population Data by Age'!$B$6:$H$6,0))</f>
        <v>5400</v>
      </c>
      <c r="AC47" s="78">
        <f>INDEX('Population Data by Age'!$B$7:$H$10366,MATCH(CONCATENATE('Tabular Pop Data by Age'!$C47,'Tabular Pop Data by Age'!AC$7),'Population Data by Age'!$B$7:$B$10366,0),MATCH('Tabular Pop Data by Age'!$C$6,'Population Data by Age'!$B$6:$H$6,0))</f>
        <v>5200</v>
      </c>
      <c r="AD47" s="78">
        <f>INDEX('Population Data by Age'!$B$7:$H$10366,MATCH(CONCATENATE('Tabular Pop Data by Age'!$C47,'Tabular Pop Data by Age'!AD$7),'Population Data by Age'!$B$7:$B$10366,0),MATCH('Tabular Pop Data by Age'!$C$6,'Population Data by Age'!$B$6:$H$6,0))</f>
        <v>4700</v>
      </c>
      <c r="AE47" s="78">
        <f>INDEX('Population Data by Age'!$B$7:$H$10366,MATCH(CONCATENATE('Tabular Pop Data by Age'!$C47,'Tabular Pop Data by Age'!AE$7),'Population Data by Age'!$B$7:$B$10366,0),MATCH('Tabular Pop Data by Age'!$C$6,'Population Data by Age'!$B$6:$H$6,0))</f>
        <v>4700</v>
      </c>
      <c r="AF47" s="78">
        <f>INDEX('Population Data by Age'!$B$7:$H$10366,MATCH(CONCATENATE('Tabular Pop Data by Age'!$C47,'Tabular Pop Data by Age'!AF$7),'Population Data by Age'!$B$7:$B$10366,0),MATCH('Tabular Pop Data by Age'!$C$6,'Population Data by Age'!$B$6:$H$6,0))</f>
        <v>4000</v>
      </c>
      <c r="AG47" s="78">
        <f>INDEX('Population Data by Age'!$B$7:$H$10366,MATCH(CONCATENATE('Tabular Pop Data by Age'!$C47,'Tabular Pop Data by Age'!AG$7),'Population Data by Age'!$B$7:$B$10366,0),MATCH('Tabular Pop Data by Age'!$C$6,'Population Data by Age'!$B$6:$H$6,0))</f>
        <v>3600</v>
      </c>
      <c r="AH47" s="78">
        <f>INDEX('Population Data by Age'!$B$7:$H$10366,MATCH(CONCATENATE('Tabular Pop Data by Age'!$C47,'Tabular Pop Data by Age'!AH$7),'Population Data by Age'!$B$7:$B$10366,0),MATCH('Tabular Pop Data by Age'!$C$6,'Population Data by Age'!$B$6:$H$6,0))</f>
        <v>3000</v>
      </c>
      <c r="AI47" s="78">
        <f>INDEX('Population Data by Age'!$B$7:$H$10366,MATCH(CONCATENATE('Tabular Pop Data by Age'!$C47,'Tabular Pop Data by Age'!AI$7),'Population Data by Age'!$B$7:$B$10366,0),MATCH('Tabular Pop Data by Age'!$C$6,'Population Data by Age'!$B$6:$H$6,0))</f>
        <v>2600</v>
      </c>
      <c r="AJ47" s="78">
        <f>INDEX('Population Data by Age'!$B$7:$H$10366,MATCH(CONCATENATE('Tabular Pop Data by Age'!$C47,'Tabular Pop Data by Age'!AJ$7),'Population Data by Age'!$B$7:$B$10366,0),MATCH('Tabular Pop Data by Age'!$C$6,'Population Data by Age'!$B$6:$H$6,0))</f>
        <v>5100</v>
      </c>
      <c r="AK47" s="78">
        <f>INDEX('Population Data by Age'!$B$7:$H$10366,MATCH(CONCATENATE('Tabular Pop Data by Age'!$C47,'Tabular Pop Data by Age'!AK$7),'Population Data by Age'!$B$7:$B$10366,0),MATCH('Tabular Pop Data by Age'!$C$6,'Population Data by Age'!$B$6:$H$6,0))</f>
        <v>3300</v>
      </c>
      <c r="AL47" s="78">
        <f>INDEX('Population Data by Age'!$B$7:$H$10366,MATCH(CONCATENATE('Tabular Pop Data by Age'!$C47,'Tabular Pop Data by Age'!AL$7),'Population Data by Age'!$B$7:$B$10366,0),MATCH('Tabular Pop Data by Age'!$C$6,'Population Data by Age'!$B$6:$H$6,0))</f>
        <v>88000</v>
      </c>
      <c r="AM47" s="78">
        <f>INDEX('Population Data by Age'!$B$7:$H$10366,MATCH(CONCATENATE('Tabular Pop Data by Age'!$C47,'Tabular Pop Data by Age'!AM$7),'Population Data by Age'!$B$7:$B$10366,0),MATCH('Tabular Pop Data by Age'!$C$6,'Population Data by Age'!$B$6:$H$6,0))</f>
        <v>86000</v>
      </c>
      <c r="AN47" s="78">
        <f>INDEX('Population Data by Age'!$B$7:$H$10366,MATCH(CONCATENATE('Tabular Pop Data by Age'!$C47,'Tabular Pop Data by Age'!AN$7),'Population Data by Age'!$B$7:$B$10366,0),MATCH('Tabular Pop Data by Age'!$C$6,'Population Data by Age'!$B$6:$H$6,0))</f>
        <v>174000</v>
      </c>
      <c r="AO47" s="78">
        <f>INDEX('Population Data by Age'!$B$7:$H$10366,MATCH(CONCATENATE('Tabular Pop Data by Age'!$C47,'Tabular Pop Data by Age'!AO$7),'Population Data by Age'!$B$7:$B$10366,0),MATCH('Tabular Pop Data by Age'!$C$6,'Population Data by Age'!$B$6:$H$6,0))</f>
        <v>0</v>
      </c>
      <c r="AP47" s="79">
        <f t="shared" si="0"/>
        <v>8700</v>
      </c>
      <c r="AQ47" s="79">
        <f t="shared" si="1"/>
        <v>8800</v>
      </c>
      <c r="AR47" s="79">
        <f t="shared" si="2"/>
        <v>8500</v>
      </c>
      <c r="AS47" s="79">
        <f t="shared" si="3"/>
        <v>9400</v>
      </c>
      <c r="AT47" s="79">
        <f t="shared" si="4"/>
        <v>10500</v>
      </c>
      <c r="AU47" s="79">
        <f t="shared" si="5"/>
        <v>11300</v>
      </c>
      <c r="AV47" s="79">
        <f t="shared" si="6"/>
        <v>11700</v>
      </c>
      <c r="AW47" s="79">
        <f t="shared" si="7"/>
        <v>12100</v>
      </c>
      <c r="AX47" s="79">
        <f t="shared" si="8"/>
        <v>11600</v>
      </c>
      <c r="AY47" s="79">
        <f t="shared" si="9"/>
        <v>13300</v>
      </c>
      <c r="AZ47" s="79">
        <f t="shared" si="10"/>
        <v>13800</v>
      </c>
      <c r="BA47" s="79">
        <f t="shared" si="11"/>
        <v>12400</v>
      </c>
      <c r="BB47" s="79">
        <f t="shared" si="12"/>
        <v>10600</v>
      </c>
      <c r="BC47" s="79">
        <f t="shared" si="13"/>
        <v>9400</v>
      </c>
      <c r="BD47" s="79">
        <f t="shared" si="14"/>
        <v>7600</v>
      </c>
      <c r="BE47" s="79">
        <f t="shared" si="15"/>
        <v>5600</v>
      </c>
      <c r="BF47" s="79">
        <f t="shared" si="16"/>
        <v>8400</v>
      </c>
    </row>
    <row r="48" spans="1:58" x14ac:dyDescent="0.25">
      <c r="A48" s="138" t="s">
        <v>1195</v>
      </c>
      <c r="B48" t="s">
        <v>220</v>
      </c>
      <c r="C48" t="s">
        <v>24</v>
      </c>
      <c r="D48" s="78">
        <f>INDEX('Population Data by Age'!$B$7:$H$10366,MATCH(CONCATENATE('Tabular Pop Data by Age'!$C48,'Tabular Pop Data by Age'!D$7),'Population Data by Age'!$B$7:$B$10366,0),MATCH('Tabular Pop Data by Age'!$C$6,'Population Data by Age'!$B$6:$H$6,0))</f>
        <v>570000</v>
      </c>
      <c r="E48" s="78">
        <f>INDEX('Population Data by Age'!$B$7:$H$10366,MATCH(CONCATENATE('Tabular Pop Data by Age'!$C48,'Tabular Pop Data by Age'!E$7),'Population Data by Age'!$B$7:$B$10366,0),MATCH('Tabular Pop Data by Age'!$C$6,'Population Data by Age'!$B$6:$H$6,0))</f>
        <v>592000</v>
      </c>
      <c r="F48" s="78">
        <f>INDEX('Population Data by Age'!$B$7:$H$10366,MATCH(CONCATENATE('Tabular Pop Data by Age'!$C48,'Tabular Pop Data by Age'!F$7),'Population Data by Age'!$B$7:$B$10366,0),MATCH('Tabular Pop Data by Age'!$C$6,'Population Data by Age'!$B$6:$H$6,0))</f>
        <v>622000</v>
      </c>
      <c r="G48" s="78">
        <f>INDEX('Population Data by Age'!$B$7:$H$10366,MATCH(CONCATENATE('Tabular Pop Data by Age'!$C48,'Tabular Pop Data by Age'!G$7),'Population Data by Age'!$B$7:$B$10366,0),MATCH('Tabular Pop Data by Age'!$C$6,'Population Data by Age'!$B$6:$H$6,0))</f>
        <v>644000</v>
      </c>
      <c r="H48" s="78">
        <f>INDEX('Population Data by Age'!$B$7:$H$10366,MATCH(CONCATENATE('Tabular Pop Data by Age'!$C48,'Tabular Pop Data by Age'!H$7),'Population Data by Age'!$B$7:$B$10366,0),MATCH('Tabular Pop Data by Age'!$C$6,'Population Data by Age'!$B$6:$H$6,0))</f>
        <v>614000</v>
      </c>
      <c r="I48" s="78">
        <f>INDEX('Population Data by Age'!$B$7:$H$10366,MATCH(CONCATENATE('Tabular Pop Data by Age'!$C48,'Tabular Pop Data by Age'!I$7),'Population Data by Age'!$B$7:$B$10366,0),MATCH('Tabular Pop Data by Age'!$C$6,'Population Data by Age'!$B$6:$H$6,0))</f>
        <v>636000</v>
      </c>
      <c r="J48" s="78">
        <f>INDEX('Population Data by Age'!$B$7:$H$10366,MATCH(CONCATENATE('Tabular Pop Data by Age'!$C48,'Tabular Pop Data by Age'!J$7),'Population Data by Age'!$B$7:$B$10366,0),MATCH('Tabular Pop Data by Age'!$C$6,'Population Data by Age'!$B$6:$H$6,0))</f>
        <v>612000</v>
      </c>
      <c r="K48" s="78">
        <f>INDEX('Population Data by Age'!$B$7:$H$10366,MATCH(CONCATENATE('Tabular Pop Data by Age'!$C48,'Tabular Pop Data by Age'!K$7),'Population Data by Age'!$B$7:$B$10366,0),MATCH('Tabular Pop Data by Age'!$C$6,'Population Data by Age'!$B$6:$H$6,0))</f>
        <v>632000</v>
      </c>
      <c r="L48" s="78">
        <f>INDEX('Population Data by Age'!$B$7:$H$10366,MATCH(CONCATENATE('Tabular Pop Data by Age'!$C48,'Tabular Pop Data by Age'!L$7),'Population Data by Age'!$B$7:$B$10366,0),MATCH('Tabular Pop Data by Age'!$C$6,'Population Data by Age'!$B$6:$H$6,0))</f>
        <v>691000</v>
      </c>
      <c r="M48" s="78">
        <f>INDEX('Population Data by Age'!$B$7:$H$10366,MATCH(CONCATENATE('Tabular Pop Data by Age'!$C48,'Tabular Pop Data by Age'!M$7),'Population Data by Age'!$B$7:$B$10366,0),MATCH('Tabular Pop Data by Age'!$C$6,'Population Data by Age'!$B$6:$H$6,0))</f>
        <v>712000</v>
      </c>
      <c r="N48" s="78">
        <f>INDEX('Population Data by Age'!$B$7:$H$10366,MATCH(CONCATENATE('Tabular Pop Data by Age'!$C48,'Tabular Pop Data by Age'!N$7),'Population Data by Age'!$B$7:$B$10366,0),MATCH('Tabular Pop Data by Age'!$C$6,'Population Data by Age'!$B$6:$H$6,0))</f>
        <v>784000</v>
      </c>
      <c r="O48" s="78">
        <f>INDEX('Population Data by Age'!$B$7:$H$10366,MATCH(CONCATENATE('Tabular Pop Data by Age'!$C48,'Tabular Pop Data by Age'!O$7),'Population Data by Age'!$B$7:$B$10366,0),MATCH('Tabular Pop Data by Age'!$C$6,'Population Data by Age'!$B$6:$H$6,0))</f>
        <v>809000</v>
      </c>
      <c r="P48" s="78">
        <f>INDEX('Population Data by Age'!$B$7:$H$10366,MATCH(CONCATENATE('Tabular Pop Data by Age'!$C48,'Tabular Pop Data by Age'!P$7),'Population Data by Age'!$B$7:$B$10366,0),MATCH('Tabular Pop Data by Age'!$C$6,'Population Data by Age'!$B$6:$H$6,0))</f>
        <v>761000</v>
      </c>
      <c r="Q48" s="78">
        <f>INDEX('Population Data by Age'!$B$7:$H$10366,MATCH(CONCATENATE('Tabular Pop Data by Age'!$C48,'Tabular Pop Data by Age'!Q$7),'Population Data by Age'!$B$7:$B$10366,0),MATCH('Tabular Pop Data by Age'!$C$6,'Population Data by Age'!$B$6:$H$6,0))</f>
        <v>785000</v>
      </c>
      <c r="R48" s="78">
        <f>INDEX('Population Data by Age'!$B$7:$H$10366,MATCH(CONCATENATE('Tabular Pop Data by Age'!$C48,'Tabular Pop Data by Age'!R$7),'Population Data by Age'!$B$7:$B$10366,0),MATCH('Tabular Pop Data by Age'!$C$6,'Population Data by Age'!$B$6:$H$6,0))</f>
        <v>693000</v>
      </c>
      <c r="S48" s="78">
        <f>INDEX('Population Data by Age'!$B$7:$H$10366,MATCH(CONCATENATE('Tabular Pop Data by Age'!$C48,'Tabular Pop Data by Age'!S$7),'Population Data by Age'!$B$7:$B$10366,0),MATCH('Tabular Pop Data by Age'!$C$6,'Population Data by Age'!$B$6:$H$6,0))</f>
        <v>707000</v>
      </c>
      <c r="T48" s="78">
        <f>INDEX('Population Data by Age'!$B$7:$H$10366,MATCH(CONCATENATE('Tabular Pop Data by Age'!$C48,'Tabular Pop Data by Age'!T$7),'Population Data by Age'!$B$7:$B$10366,0),MATCH('Tabular Pop Data by Age'!$C$6,'Population Data by Age'!$B$6:$H$6,0))</f>
        <v>661000</v>
      </c>
      <c r="U48" s="78">
        <f>INDEX('Population Data by Age'!$B$7:$H$10366,MATCH(CONCATENATE('Tabular Pop Data by Age'!$C48,'Tabular Pop Data by Age'!U$7),'Population Data by Age'!$B$7:$B$10366,0),MATCH('Tabular Pop Data by Age'!$C$6,'Population Data by Age'!$B$6:$H$6,0))</f>
        <v>663000</v>
      </c>
      <c r="V48" s="78">
        <f>INDEX('Population Data by Age'!$B$7:$H$10366,MATCH(CONCATENATE('Tabular Pop Data by Age'!$C48,'Tabular Pop Data by Age'!V$7),'Population Data by Age'!$B$7:$B$10366,0),MATCH('Tabular Pop Data by Age'!$C$6,'Population Data by Age'!$B$6:$H$6,0))</f>
        <v>633000</v>
      </c>
      <c r="W48" s="78">
        <f>INDEX('Population Data by Age'!$B$7:$H$10366,MATCH(CONCATENATE('Tabular Pop Data by Age'!$C48,'Tabular Pop Data by Age'!W$7),'Population Data by Age'!$B$7:$B$10366,0),MATCH('Tabular Pop Data by Age'!$C$6,'Population Data by Age'!$B$6:$H$6,0))</f>
        <v>621000</v>
      </c>
      <c r="X48" s="78">
        <f>INDEX('Population Data by Age'!$B$7:$H$10366,MATCH(CONCATENATE('Tabular Pop Data by Age'!$C48,'Tabular Pop Data by Age'!X$7),'Population Data by Age'!$B$7:$B$10366,0),MATCH('Tabular Pop Data by Age'!$C$6,'Population Data by Age'!$B$6:$H$6,0))</f>
        <v>619000</v>
      </c>
      <c r="Y48" s="78">
        <f>INDEX('Population Data by Age'!$B$7:$H$10366,MATCH(CONCATENATE('Tabular Pop Data by Age'!$C48,'Tabular Pop Data by Age'!Y$7),'Population Data by Age'!$B$7:$B$10366,0),MATCH('Tabular Pop Data by Age'!$C$6,'Population Data by Age'!$B$6:$H$6,0))</f>
        <v>595000</v>
      </c>
      <c r="Z48" s="78">
        <f>INDEX('Population Data by Age'!$B$7:$H$10366,MATCH(CONCATENATE('Tabular Pop Data by Age'!$C48,'Tabular Pop Data by Age'!Z$7),'Population Data by Age'!$B$7:$B$10366,0),MATCH('Tabular Pop Data by Age'!$C$6,'Population Data by Age'!$B$6:$H$6,0))</f>
        <v>587000</v>
      </c>
      <c r="AA48" s="78">
        <f>INDEX('Population Data by Age'!$B$7:$H$10366,MATCH(CONCATENATE('Tabular Pop Data by Age'!$C48,'Tabular Pop Data by Age'!AA$7),'Population Data by Age'!$B$7:$B$10366,0),MATCH('Tabular Pop Data by Age'!$C$6,'Population Data by Age'!$B$6:$H$6,0))</f>
        <v>550000</v>
      </c>
      <c r="AB48" s="78">
        <f>INDEX('Population Data by Age'!$B$7:$H$10366,MATCH(CONCATENATE('Tabular Pop Data by Age'!$C48,'Tabular Pop Data by Age'!AB$7),'Population Data by Age'!$B$7:$B$10366,0),MATCH('Tabular Pop Data by Age'!$C$6,'Population Data by Age'!$B$6:$H$6,0))</f>
        <v>515000</v>
      </c>
      <c r="AC48" s="78">
        <f>INDEX('Population Data by Age'!$B$7:$H$10366,MATCH(CONCATENATE('Tabular Pop Data by Age'!$C48,'Tabular Pop Data by Age'!AC$7),'Population Data by Age'!$B$7:$B$10366,0),MATCH('Tabular Pop Data by Age'!$C$6,'Population Data by Age'!$B$6:$H$6,0))</f>
        <v>467000</v>
      </c>
      <c r="AD48" s="78">
        <f>INDEX('Population Data by Age'!$B$7:$H$10366,MATCH(CONCATENATE('Tabular Pop Data by Age'!$C48,'Tabular Pop Data by Age'!AD$7),'Population Data by Age'!$B$7:$B$10366,0),MATCH('Tabular Pop Data by Age'!$C$6,'Population Data by Age'!$B$6:$H$6,0))</f>
        <v>433000</v>
      </c>
      <c r="AE48" s="78">
        <f>INDEX('Population Data by Age'!$B$7:$H$10366,MATCH(CONCATENATE('Tabular Pop Data by Age'!$C48,'Tabular Pop Data by Age'!AE$7),'Population Data by Age'!$B$7:$B$10366,0),MATCH('Tabular Pop Data by Age'!$C$6,'Population Data by Age'!$B$6:$H$6,0))</f>
        <v>377000</v>
      </c>
      <c r="AF48" s="78">
        <f>INDEX('Population Data by Age'!$B$7:$H$10366,MATCH(CONCATENATE('Tabular Pop Data by Age'!$C48,'Tabular Pop Data by Age'!AF$7),'Population Data by Age'!$B$7:$B$10366,0),MATCH('Tabular Pop Data by Age'!$C$6,'Population Data by Age'!$B$6:$H$6,0))</f>
        <v>318000</v>
      </c>
      <c r="AG48" s="78">
        <f>INDEX('Population Data by Age'!$B$7:$H$10366,MATCH(CONCATENATE('Tabular Pop Data by Age'!$C48,'Tabular Pop Data by Age'!AG$7),'Population Data by Age'!$B$7:$B$10366,0),MATCH('Tabular Pop Data by Age'!$C$6,'Population Data by Age'!$B$6:$H$6,0))</f>
        <v>263000</v>
      </c>
      <c r="AH48" s="78">
        <f>INDEX('Population Data by Age'!$B$7:$H$10366,MATCH(CONCATENATE('Tabular Pop Data by Age'!$C48,'Tabular Pop Data by Age'!AH$7),'Population Data by Age'!$B$7:$B$10366,0),MATCH('Tabular Pop Data by Age'!$C$6,'Population Data by Age'!$B$6:$H$6,0))</f>
        <v>236000</v>
      </c>
      <c r="AI48" s="78">
        <f>INDEX('Population Data by Age'!$B$7:$H$10366,MATCH(CONCATENATE('Tabular Pop Data by Age'!$C48,'Tabular Pop Data by Age'!AI$7),'Population Data by Age'!$B$7:$B$10366,0),MATCH('Tabular Pop Data by Age'!$C$6,'Population Data by Age'!$B$6:$H$6,0))</f>
        <v>176000</v>
      </c>
      <c r="AJ48" s="78">
        <f>INDEX('Population Data by Age'!$B$7:$H$10366,MATCH(CONCATENATE('Tabular Pop Data by Age'!$C48,'Tabular Pop Data by Age'!AJ$7),'Population Data by Age'!$B$7:$B$10366,0),MATCH('Tabular Pop Data by Age'!$C$6,'Population Data by Age'!$B$6:$H$6,0))</f>
        <v>343000</v>
      </c>
      <c r="AK48" s="78">
        <f>INDEX('Population Data by Age'!$B$7:$H$10366,MATCH(CONCATENATE('Tabular Pop Data by Age'!$C48,'Tabular Pop Data by Age'!AK$7),'Population Data by Age'!$B$7:$B$10366,0),MATCH('Tabular Pop Data by Age'!$C$6,'Population Data by Age'!$B$6:$H$6,0))</f>
        <v>195000</v>
      </c>
      <c r="AL48" s="78">
        <f>INDEX('Population Data by Age'!$B$7:$H$10366,MATCH(CONCATENATE('Tabular Pop Data by Age'!$C48,'Tabular Pop Data by Age'!AL$7),'Population Data by Age'!$B$7:$B$10366,0),MATCH('Tabular Pop Data by Age'!$C$6,'Population Data by Age'!$B$6:$H$6,0))</f>
        <v>9691000</v>
      </c>
      <c r="AM48" s="78">
        <f>INDEX('Population Data by Age'!$B$7:$H$10366,MATCH(CONCATENATE('Tabular Pop Data by Age'!$C48,'Tabular Pop Data by Age'!AM$7),'Population Data by Age'!$B$7:$B$10366,0),MATCH('Tabular Pop Data by Age'!$C$6,'Population Data by Age'!$B$6:$H$6,0))</f>
        <v>9426000</v>
      </c>
      <c r="AN48" s="78">
        <f>INDEX('Population Data by Age'!$B$7:$H$10366,MATCH(CONCATENATE('Tabular Pop Data by Age'!$C48,'Tabular Pop Data by Age'!AN$7),'Population Data by Age'!$B$7:$B$10366,0),MATCH('Tabular Pop Data by Age'!$C$6,'Population Data by Age'!$B$6:$H$6,0))</f>
        <v>19116000</v>
      </c>
      <c r="AO48" s="78">
        <f>INDEX('Population Data by Age'!$B$7:$H$10366,MATCH(CONCATENATE('Tabular Pop Data by Age'!$C48,'Tabular Pop Data by Age'!AO$7),'Population Data by Age'!$B$7:$B$10366,0),MATCH('Tabular Pop Data by Age'!$C$6,'Population Data by Age'!$B$6:$H$6,0))</f>
        <v>0</v>
      </c>
      <c r="AP48" s="79">
        <f t="shared" si="0"/>
        <v>1162000</v>
      </c>
      <c r="AQ48" s="79">
        <f t="shared" si="1"/>
        <v>1266000</v>
      </c>
      <c r="AR48" s="79">
        <f t="shared" si="2"/>
        <v>1250000</v>
      </c>
      <c r="AS48" s="79">
        <f t="shared" si="3"/>
        <v>1244000</v>
      </c>
      <c r="AT48" s="79">
        <f t="shared" si="4"/>
        <v>1403000</v>
      </c>
      <c r="AU48" s="79">
        <f t="shared" si="5"/>
        <v>1593000</v>
      </c>
      <c r="AV48" s="79">
        <f t="shared" si="6"/>
        <v>1546000</v>
      </c>
      <c r="AW48" s="79">
        <f t="shared" si="7"/>
        <v>1400000</v>
      </c>
      <c r="AX48" s="79">
        <f t="shared" si="8"/>
        <v>1324000</v>
      </c>
      <c r="AY48" s="79">
        <f t="shared" si="9"/>
        <v>1254000</v>
      </c>
      <c r="AZ48" s="79">
        <f t="shared" si="10"/>
        <v>1214000</v>
      </c>
      <c r="BA48" s="79">
        <f t="shared" si="11"/>
        <v>1137000</v>
      </c>
      <c r="BB48" s="79">
        <f t="shared" si="12"/>
        <v>982000</v>
      </c>
      <c r="BC48" s="79">
        <f t="shared" si="13"/>
        <v>810000</v>
      </c>
      <c r="BD48" s="79">
        <f t="shared" si="14"/>
        <v>581000</v>
      </c>
      <c r="BE48" s="79">
        <f t="shared" si="15"/>
        <v>412000</v>
      </c>
      <c r="BF48" s="79">
        <f t="shared" si="16"/>
        <v>538000</v>
      </c>
    </row>
    <row r="49" spans="1:58" x14ac:dyDescent="0.25">
      <c r="A49" s="138" t="s">
        <v>1195</v>
      </c>
      <c r="B49" t="s">
        <v>458</v>
      </c>
      <c r="C49" t="s">
        <v>25</v>
      </c>
      <c r="D49" s="78">
        <f>INDEX('Population Data by Age'!$B$7:$H$10366,MATCH(CONCATENATE('Tabular Pop Data by Age'!$C49,'Tabular Pop Data by Age'!D$7),'Population Data by Age'!$B$7:$B$10366,0),MATCH('Tabular Pop Data by Age'!$C$6,'Population Data by Age'!$B$6:$H$6,0))</f>
        <v>38435000</v>
      </c>
      <c r="E49" s="78">
        <f>INDEX('Population Data by Age'!$B$7:$H$10366,MATCH(CONCATENATE('Tabular Pop Data by Age'!$C49,'Tabular Pop Data by Age'!E$7),'Population Data by Age'!$B$7:$B$10366,0),MATCH('Tabular Pop Data by Age'!$C$6,'Population Data by Age'!$B$6:$H$6,0))</f>
        <v>43284000</v>
      </c>
      <c r="F49" s="78">
        <f>INDEX('Population Data by Age'!$B$7:$H$10366,MATCH(CONCATENATE('Tabular Pop Data by Age'!$C49,'Tabular Pop Data by Age'!F$7),'Population Data by Age'!$B$7:$B$10366,0),MATCH('Tabular Pop Data by Age'!$C$6,'Population Data by Age'!$B$6:$H$6,0))</f>
        <v>39350000</v>
      </c>
      <c r="G49" s="78">
        <f>INDEX('Population Data by Age'!$B$7:$H$10366,MATCH(CONCATENATE('Tabular Pop Data by Age'!$C49,'Tabular Pop Data by Age'!G$7),'Population Data by Age'!$B$7:$B$10366,0),MATCH('Tabular Pop Data by Age'!$C$6,'Population Data by Age'!$B$6:$H$6,0))</f>
        <v>45099000</v>
      </c>
      <c r="H49" s="78">
        <f>INDEX('Population Data by Age'!$B$7:$H$10366,MATCH(CONCATENATE('Tabular Pop Data by Age'!$C49,'Tabular Pop Data by Age'!H$7),'Population Data by Age'!$B$7:$B$10366,0),MATCH('Tabular Pop Data by Age'!$C$6,'Population Data by Age'!$B$6:$H$6,0))</f>
        <v>37887000</v>
      </c>
      <c r="I49" s="78">
        <f>INDEX('Population Data by Age'!$B$7:$H$10366,MATCH(CONCATENATE('Tabular Pop Data by Age'!$C49,'Tabular Pop Data by Age'!I$7),'Population Data by Age'!$B$7:$B$10366,0),MATCH('Tabular Pop Data by Age'!$C$6,'Population Data by Age'!$B$6:$H$6,0))</f>
        <v>44154000</v>
      </c>
      <c r="J49" s="78">
        <f>INDEX('Population Data by Age'!$B$7:$H$10366,MATCH(CONCATENATE('Tabular Pop Data by Age'!$C49,'Tabular Pop Data by Age'!J$7),'Population Data by Age'!$B$7:$B$10366,0),MATCH('Tabular Pop Data by Age'!$C$6,'Population Data by Age'!$B$6:$H$6,0))</f>
        <v>37231000</v>
      </c>
      <c r="K49" s="78">
        <f>INDEX('Population Data by Age'!$B$7:$H$10366,MATCH(CONCATENATE('Tabular Pop Data by Age'!$C49,'Tabular Pop Data by Age'!K$7),'Population Data by Age'!$B$7:$B$10366,0),MATCH('Tabular Pop Data by Age'!$C$6,'Population Data by Age'!$B$6:$H$6,0))</f>
        <v>42940000</v>
      </c>
      <c r="L49" s="78">
        <f>INDEX('Population Data by Age'!$B$7:$H$10366,MATCH(CONCATENATE('Tabular Pop Data by Age'!$C49,'Tabular Pop Data by Age'!L$7),'Population Data by Age'!$B$7:$B$10366,0),MATCH('Tabular Pop Data by Age'!$C$6,'Population Data by Age'!$B$6:$H$6,0))</f>
        <v>39806000</v>
      </c>
      <c r="M49" s="78">
        <f>INDEX('Population Data by Age'!$B$7:$H$10366,MATCH(CONCATENATE('Tabular Pop Data by Age'!$C49,'Tabular Pop Data by Age'!M$7),'Population Data by Age'!$B$7:$B$10366,0),MATCH('Tabular Pop Data by Age'!$C$6,'Population Data by Age'!$B$6:$H$6,0))</f>
        <v>45054000</v>
      </c>
      <c r="N49" s="78">
        <f>INDEX('Population Data by Age'!$B$7:$H$10366,MATCH(CONCATENATE('Tabular Pop Data by Age'!$C49,'Tabular Pop Data by Age'!N$7),'Population Data by Age'!$B$7:$B$10366,0),MATCH('Tabular Pop Data by Age'!$C$6,'Population Data by Age'!$B$6:$H$6,0))</f>
        <v>45241000</v>
      </c>
      <c r="O49" s="78">
        <f>INDEX('Population Data by Age'!$B$7:$H$10366,MATCH(CONCATENATE('Tabular Pop Data by Age'!$C49,'Tabular Pop Data by Age'!O$7),'Population Data by Age'!$B$7:$B$10366,0),MATCH('Tabular Pop Data by Age'!$C$6,'Population Data by Age'!$B$6:$H$6,0))</f>
        <v>50165000</v>
      </c>
      <c r="P49" s="78">
        <f>INDEX('Population Data by Age'!$B$7:$H$10366,MATCH(CONCATENATE('Tabular Pop Data by Age'!$C49,'Tabular Pop Data by Age'!P$7),'Population Data by Age'!$B$7:$B$10366,0),MATCH('Tabular Pop Data by Age'!$C$6,'Population Data by Age'!$B$6:$H$6,0))</f>
        <v>60653000</v>
      </c>
      <c r="Q49" s="78">
        <f>INDEX('Population Data by Age'!$B$7:$H$10366,MATCH(CONCATENATE('Tabular Pop Data by Age'!$C49,'Tabular Pop Data by Age'!Q$7),'Population Data by Age'!$B$7:$B$10366,0),MATCH('Tabular Pop Data by Age'!$C$6,'Population Data by Age'!$B$6:$H$6,0))</f>
        <v>64692000</v>
      </c>
      <c r="R49" s="78">
        <f>INDEX('Population Data by Age'!$B$7:$H$10366,MATCH(CONCATENATE('Tabular Pop Data by Age'!$C49,'Tabular Pop Data by Age'!R$7),'Population Data by Age'!$B$7:$B$10366,0),MATCH('Tabular Pop Data by Age'!$C$6,'Population Data by Age'!$B$6:$H$6,0))</f>
        <v>47461000</v>
      </c>
      <c r="S49" s="78">
        <f>INDEX('Population Data by Age'!$B$7:$H$10366,MATCH(CONCATENATE('Tabular Pop Data by Age'!$C49,'Tabular Pop Data by Age'!S$7),'Population Data by Age'!$B$7:$B$10366,0),MATCH('Tabular Pop Data by Age'!$C$6,'Population Data by Age'!$B$6:$H$6,0))</f>
        <v>49992000</v>
      </c>
      <c r="T49" s="78">
        <f>INDEX('Population Data by Age'!$B$7:$H$10366,MATCH(CONCATENATE('Tabular Pop Data by Age'!$C49,'Tabular Pop Data by Age'!T$7),'Population Data by Age'!$B$7:$B$10366,0),MATCH('Tabular Pop Data by Age'!$C$6,'Population Data by Age'!$B$6:$H$6,0))</f>
        <v>45746000</v>
      </c>
      <c r="U49" s="78">
        <f>INDEX('Population Data by Age'!$B$7:$H$10366,MATCH(CONCATENATE('Tabular Pop Data by Age'!$C49,'Tabular Pop Data by Age'!U$7),'Population Data by Age'!$B$7:$B$10366,0),MATCH('Tabular Pop Data by Age'!$C$6,'Population Data by Age'!$B$6:$H$6,0))</f>
        <v>47990000</v>
      </c>
      <c r="V49" s="78">
        <f>INDEX('Population Data by Age'!$B$7:$H$10366,MATCH(CONCATENATE('Tabular Pop Data by Age'!$C49,'Tabular Pop Data by Age'!V$7),'Population Data by Age'!$B$7:$B$10366,0),MATCH('Tabular Pop Data by Age'!$C$6,'Population Data by Age'!$B$6:$H$6,0))</f>
        <v>57118000</v>
      </c>
      <c r="W49" s="78">
        <f>INDEX('Population Data by Age'!$B$7:$H$10366,MATCH(CONCATENATE('Tabular Pop Data by Age'!$C49,'Tabular Pop Data by Age'!W$7),'Population Data by Age'!$B$7:$B$10366,0),MATCH('Tabular Pop Data by Age'!$C$6,'Population Data by Age'!$B$6:$H$6,0))</f>
        <v>59561000</v>
      </c>
      <c r="X49" s="78">
        <f>INDEX('Population Data by Age'!$B$7:$H$10366,MATCH(CONCATENATE('Tabular Pop Data by Age'!$C49,'Tabular Pop Data by Age'!X$7),'Population Data by Age'!$B$7:$B$10366,0),MATCH('Tabular Pop Data by Age'!$C$6,'Population Data by Age'!$B$6:$H$6,0))</f>
        <v>59487000</v>
      </c>
      <c r="Y49" s="78">
        <f>INDEX('Population Data by Age'!$B$7:$H$10366,MATCH(CONCATENATE('Tabular Pop Data by Age'!$C49,'Tabular Pop Data by Age'!Y$7),'Population Data by Age'!$B$7:$B$10366,0),MATCH('Tabular Pop Data by Age'!$C$6,'Population Data by Age'!$B$6:$H$6,0))</f>
        <v>60704000</v>
      </c>
      <c r="Z49" s="78">
        <f>INDEX('Population Data by Age'!$B$7:$H$10366,MATCH(CONCATENATE('Tabular Pop Data by Age'!$C49,'Tabular Pop Data by Age'!Z$7),'Population Data by Age'!$B$7:$B$10366,0),MATCH('Tabular Pop Data by Age'!$C$6,'Population Data by Age'!$B$6:$H$6,0))</f>
        <v>47496000</v>
      </c>
      <c r="AA49" s="78">
        <f>INDEX('Population Data by Age'!$B$7:$H$10366,MATCH(CONCATENATE('Tabular Pop Data by Age'!$C49,'Tabular Pop Data by Age'!AA$7),'Population Data by Age'!$B$7:$B$10366,0),MATCH('Tabular Pop Data by Age'!$C$6,'Population Data by Age'!$B$6:$H$6,0))</f>
        <v>48641000</v>
      </c>
      <c r="AB49" s="78">
        <f>INDEX('Population Data by Age'!$B$7:$H$10366,MATCH(CONCATENATE('Tabular Pop Data by Age'!$C49,'Tabular Pop Data by Age'!AB$7),'Population Data by Age'!$B$7:$B$10366,0),MATCH('Tabular Pop Data by Age'!$C$6,'Population Data by Age'!$B$6:$H$6,0))</f>
        <v>37579000</v>
      </c>
      <c r="AC49" s="78">
        <f>INDEX('Population Data by Age'!$B$7:$H$10366,MATCH(CONCATENATE('Tabular Pop Data by Age'!$C49,'Tabular Pop Data by Age'!AC$7),'Population Data by Age'!$B$7:$B$10366,0),MATCH('Tabular Pop Data by Age'!$C$6,'Population Data by Age'!$B$6:$H$6,0))</f>
        <v>37891000</v>
      </c>
      <c r="AD49" s="78">
        <f>INDEX('Population Data by Age'!$B$7:$H$10366,MATCH(CONCATENATE('Tabular Pop Data by Age'!$C49,'Tabular Pop Data by Age'!AD$7),'Population Data by Age'!$B$7:$B$10366,0),MATCH('Tabular Pop Data by Age'!$C$6,'Population Data by Age'!$B$6:$H$6,0))</f>
        <v>36631000</v>
      </c>
      <c r="AE49" s="78">
        <f>INDEX('Population Data by Age'!$B$7:$H$10366,MATCH(CONCATENATE('Tabular Pop Data by Age'!$C49,'Tabular Pop Data by Age'!AE$7),'Population Data by Age'!$B$7:$B$10366,0),MATCH('Tabular Pop Data by Age'!$C$6,'Population Data by Age'!$B$6:$H$6,0))</f>
        <v>35564000</v>
      </c>
      <c r="AF49" s="78">
        <f>INDEX('Population Data by Age'!$B$7:$H$10366,MATCH(CONCATENATE('Tabular Pop Data by Age'!$C49,'Tabular Pop Data by Age'!AF$7),'Population Data by Age'!$B$7:$B$10366,0),MATCH('Tabular Pop Data by Age'!$C$6,'Population Data by Age'!$B$6:$H$6,0))</f>
        <v>22904000</v>
      </c>
      <c r="AG49" s="78">
        <f>INDEX('Population Data by Age'!$B$7:$H$10366,MATCH(CONCATENATE('Tabular Pop Data by Age'!$C49,'Tabular Pop Data by Age'!AG$7),'Population Data by Age'!$B$7:$B$10366,0),MATCH('Tabular Pop Data by Age'!$C$6,'Population Data by Age'!$B$6:$H$6,0))</f>
        <v>20860000</v>
      </c>
      <c r="AH49" s="78">
        <f>INDEX('Population Data by Age'!$B$7:$H$10366,MATCH(CONCATENATE('Tabular Pop Data by Age'!$C49,'Tabular Pop Data by Age'!AH$7),'Population Data by Age'!$B$7:$B$10366,0),MATCH('Tabular Pop Data by Age'!$C$6,'Population Data by Age'!$B$6:$H$6,0))</f>
        <v>13959000</v>
      </c>
      <c r="AI49" s="78">
        <f>INDEX('Population Data by Age'!$B$7:$H$10366,MATCH(CONCATENATE('Tabular Pop Data by Age'!$C49,'Tabular Pop Data by Age'!AI$7),'Population Data by Age'!$B$7:$B$10366,0),MATCH('Tabular Pop Data by Age'!$C$6,'Population Data by Age'!$B$6:$H$6,0))</f>
        <v>11885000</v>
      </c>
      <c r="AJ49" s="78">
        <f>INDEX('Population Data by Age'!$B$7:$H$10366,MATCH(CONCATENATE('Tabular Pop Data by Age'!$C49,'Tabular Pop Data by Age'!AJ$7),'Population Data by Age'!$B$7:$B$10366,0),MATCH('Tabular Pop Data by Age'!$C$6,'Population Data by Age'!$B$6:$H$6,0))</f>
        <v>15608000</v>
      </c>
      <c r="AK49" s="78">
        <f>INDEX('Population Data by Age'!$B$7:$H$10366,MATCH(CONCATENATE('Tabular Pop Data by Age'!$C49,'Tabular Pop Data by Age'!AK$7),'Population Data by Age'!$B$7:$B$10366,0),MATCH('Tabular Pop Data by Age'!$C$6,'Population Data by Age'!$B$6:$H$6,0))</f>
        <v>10308000</v>
      </c>
      <c r="AL49" s="78">
        <f>INDEX('Population Data by Age'!$B$7:$H$10366,MATCH(CONCATENATE('Tabular Pop Data by Age'!$C49,'Tabular Pop Data by Age'!AL$7),'Population Data by Age'!$B$7:$B$10366,0),MATCH('Tabular Pop Data by Age'!$C$6,'Population Data by Age'!$B$6:$H$6,0))</f>
        <v>682594000</v>
      </c>
      <c r="AM49" s="78">
        <f>INDEX('Population Data by Age'!$B$7:$H$10366,MATCH(CONCATENATE('Tabular Pop Data by Age'!$C49,'Tabular Pop Data by Age'!AM$7),'Population Data by Age'!$B$7:$B$10366,0),MATCH('Tabular Pop Data by Age'!$C$6,'Population Data by Age'!$B$6:$H$6,0))</f>
        <v>718785000</v>
      </c>
      <c r="AN49" s="78">
        <f>INDEX('Population Data by Age'!$B$7:$H$10366,MATCH(CONCATENATE('Tabular Pop Data by Age'!$C49,'Tabular Pop Data by Age'!AN$7),'Population Data by Age'!$B$7:$B$10366,0),MATCH('Tabular Pop Data by Age'!$C$6,'Population Data by Age'!$B$6:$H$6,0))</f>
        <v>1401379000</v>
      </c>
      <c r="AO49" s="78">
        <f>INDEX('Population Data by Age'!$B$7:$H$10366,MATCH(CONCATENATE('Tabular Pop Data by Age'!$C49,'Tabular Pop Data by Age'!AO$7),'Population Data by Age'!$B$7:$B$10366,0),MATCH('Tabular Pop Data by Age'!$C$6,'Population Data by Age'!$B$6:$H$6,0))</f>
        <v>0</v>
      </c>
      <c r="AP49" s="79">
        <f t="shared" si="0"/>
        <v>81719000</v>
      </c>
      <c r="AQ49" s="79">
        <f t="shared" si="1"/>
        <v>84449000</v>
      </c>
      <c r="AR49" s="79">
        <f t="shared" si="2"/>
        <v>82041000</v>
      </c>
      <c r="AS49" s="79">
        <f t="shared" si="3"/>
        <v>80171000</v>
      </c>
      <c r="AT49" s="79">
        <f t="shared" si="4"/>
        <v>84860000</v>
      </c>
      <c r="AU49" s="79">
        <f t="shared" si="5"/>
        <v>95406000</v>
      </c>
      <c r="AV49" s="79">
        <f t="shared" si="6"/>
        <v>125345000</v>
      </c>
      <c r="AW49" s="79">
        <f t="shared" si="7"/>
        <v>97453000</v>
      </c>
      <c r="AX49" s="79">
        <f t="shared" si="8"/>
        <v>93736000</v>
      </c>
      <c r="AY49" s="79">
        <f t="shared" si="9"/>
        <v>116679000</v>
      </c>
      <c r="AZ49" s="79">
        <f t="shared" si="10"/>
        <v>120191000</v>
      </c>
      <c r="BA49" s="79">
        <f t="shared" si="11"/>
        <v>96137000</v>
      </c>
      <c r="BB49" s="79">
        <f t="shared" si="12"/>
        <v>75470000</v>
      </c>
      <c r="BC49" s="79">
        <f t="shared" si="13"/>
        <v>72195000</v>
      </c>
      <c r="BD49" s="79">
        <f t="shared" si="14"/>
        <v>43764000</v>
      </c>
      <c r="BE49" s="79">
        <f t="shared" si="15"/>
        <v>25844000</v>
      </c>
      <c r="BF49" s="79">
        <f t="shared" si="16"/>
        <v>25916000</v>
      </c>
    </row>
    <row r="50" spans="1:58" x14ac:dyDescent="0.25">
      <c r="A50" s="138" t="s">
        <v>1195</v>
      </c>
      <c r="B50" t="s">
        <v>459</v>
      </c>
      <c r="C50" t="s">
        <v>460</v>
      </c>
      <c r="D50" s="78">
        <f>INDEX('Population Data by Age'!$B$7:$H$10366,MATCH(CONCATENATE('Tabular Pop Data by Age'!$C50,'Tabular Pop Data by Age'!D$7),'Population Data by Age'!$B$7:$B$10366,0),MATCH('Tabular Pop Data by Age'!$C$6,'Population Data by Age'!$B$6:$H$6,0))</f>
        <v>1812000</v>
      </c>
      <c r="E50" s="78">
        <f>INDEX('Population Data by Age'!$B$7:$H$10366,MATCH(CONCATENATE('Tabular Pop Data by Age'!$C50,'Tabular Pop Data by Age'!E$7),'Population Data by Age'!$B$7:$B$10366,0),MATCH('Tabular Pop Data by Age'!$C$6,'Population Data by Age'!$B$6:$H$6,0))</f>
        <v>1899000</v>
      </c>
      <c r="F50" s="78">
        <f>INDEX('Population Data by Age'!$B$7:$H$10366,MATCH(CONCATENATE('Tabular Pop Data by Age'!$C50,'Tabular Pop Data by Age'!F$7),'Population Data by Age'!$B$7:$B$10366,0),MATCH('Tabular Pop Data by Age'!$C$6,'Population Data by Age'!$B$6:$H$6,0))</f>
        <v>1810000</v>
      </c>
      <c r="G50" s="78">
        <f>INDEX('Population Data by Age'!$B$7:$H$10366,MATCH(CONCATENATE('Tabular Pop Data by Age'!$C50,'Tabular Pop Data by Age'!G$7),'Population Data by Age'!$B$7:$B$10366,0),MATCH('Tabular Pop Data by Age'!$C$6,'Population Data by Age'!$B$6:$H$6,0))</f>
        <v>1894000</v>
      </c>
      <c r="H50" s="78">
        <f>INDEX('Population Data by Age'!$B$7:$H$10366,MATCH(CONCATENATE('Tabular Pop Data by Age'!$C50,'Tabular Pop Data by Age'!H$7),'Population Data by Age'!$B$7:$B$10366,0),MATCH('Tabular Pop Data by Age'!$C$6,'Population Data by Age'!$B$6:$H$6,0))</f>
        <v>1895000</v>
      </c>
      <c r="I50" s="78">
        <f>INDEX('Population Data by Age'!$B$7:$H$10366,MATCH(CONCATENATE('Tabular Pop Data by Age'!$C50,'Tabular Pop Data by Age'!I$7),'Population Data by Age'!$B$7:$B$10366,0),MATCH('Tabular Pop Data by Age'!$C$6,'Population Data by Age'!$B$6:$H$6,0))</f>
        <v>1979000</v>
      </c>
      <c r="J50" s="78">
        <f>INDEX('Population Data by Age'!$B$7:$H$10366,MATCH(CONCATENATE('Tabular Pop Data by Age'!$C50,'Tabular Pop Data by Age'!J$7),'Population Data by Age'!$B$7:$B$10366,0),MATCH('Tabular Pop Data by Age'!$C$6,'Population Data by Age'!$B$6:$H$6,0))</f>
        <v>2080000</v>
      </c>
      <c r="K50" s="78">
        <f>INDEX('Population Data by Age'!$B$7:$H$10366,MATCH(CONCATENATE('Tabular Pop Data by Age'!$C50,'Tabular Pop Data by Age'!K$7),'Population Data by Age'!$B$7:$B$10366,0),MATCH('Tabular Pop Data by Age'!$C$6,'Population Data by Age'!$B$6:$H$6,0))</f>
        <v>2167000</v>
      </c>
      <c r="L50" s="78">
        <f>INDEX('Population Data by Age'!$B$7:$H$10366,MATCH(CONCATENATE('Tabular Pop Data by Age'!$C50,'Tabular Pop Data by Age'!L$7),'Population Data by Age'!$B$7:$B$10366,0),MATCH('Tabular Pop Data by Age'!$C$6,'Population Data by Age'!$B$6:$H$6,0))</f>
        <v>2175000</v>
      </c>
      <c r="M50" s="78">
        <f>INDEX('Population Data by Age'!$B$7:$H$10366,MATCH(CONCATENATE('Tabular Pop Data by Age'!$C50,'Tabular Pop Data by Age'!M$7),'Population Data by Age'!$B$7:$B$10366,0),MATCH('Tabular Pop Data by Age'!$C$6,'Population Data by Age'!$B$6:$H$6,0))</f>
        <v>2247000</v>
      </c>
      <c r="N50" s="78">
        <f>INDEX('Population Data by Age'!$B$7:$H$10366,MATCH(CONCATENATE('Tabular Pop Data by Age'!$C50,'Tabular Pop Data by Age'!N$7),'Population Data by Age'!$B$7:$B$10366,0),MATCH('Tabular Pop Data by Age'!$C$6,'Population Data by Age'!$B$6:$H$6,0))</f>
        <v>2191000</v>
      </c>
      <c r="O50" s="78">
        <f>INDEX('Population Data by Age'!$B$7:$H$10366,MATCH(CONCATENATE('Tabular Pop Data by Age'!$C50,'Tabular Pop Data by Age'!O$7),'Population Data by Age'!$B$7:$B$10366,0),MATCH('Tabular Pop Data by Age'!$C$6,'Population Data by Age'!$B$6:$H$6,0))</f>
        <v>2235000</v>
      </c>
      <c r="P50" s="78">
        <f>INDEX('Population Data by Age'!$B$7:$H$10366,MATCH(CONCATENATE('Tabular Pop Data by Age'!$C50,'Tabular Pop Data by Age'!P$7),'Population Data by Age'!$B$7:$B$10366,0),MATCH('Tabular Pop Data by Age'!$C$6,'Population Data by Age'!$B$6:$H$6,0))</f>
        <v>2025000</v>
      </c>
      <c r="Q50" s="78">
        <f>INDEX('Population Data by Age'!$B$7:$H$10366,MATCH(CONCATENATE('Tabular Pop Data by Age'!$C50,'Tabular Pop Data by Age'!Q$7),'Population Data by Age'!$B$7:$B$10366,0),MATCH('Tabular Pop Data by Age'!$C$6,'Population Data by Age'!$B$6:$H$6,0))</f>
        <v>2032000</v>
      </c>
      <c r="R50" s="78">
        <f>INDEX('Population Data by Age'!$B$7:$H$10366,MATCH(CONCATENATE('Tabular Pop Data by Age'!$C50,'Tabular Pop Data by Age'!R$7),'Population Data by Age'!$B$7:$B$10366,0),MATCH('Tabular Pop Data by Age'!$C$6,'Population Data by Age'!$B$6:$H$6,0))</f>
        <v>1903000</v>
      </c>
      <c r="S50" s="78">
        <f>INDEX('Population Data by Age'!$B$7:$H$10366,MATCH(CONCATENATE('Tabular Pop Data by Age'!$C50,'Tabular Pop Data by Age'!S$7),'Population Data by Age'!$B$7:$B$10366,0),MATCH('Tabular Pop Data by Age'!$C$6,'Population Data by Age'!$B$6:$H$6,0))</f>
        <v>1850000</v>
      </c>
      <c r="T50" s="78">
        <f>INDEX('Population Data by Age'!$B$7:$H$10366,MATCH(CONCATENATE('Tabular Pop Data by Age'!$C50,'Tabular Pop Data by Age'!T$7),'Population Data by Age'!$B$7:$B$10366,0),MATCH('Tabular Pop Data by Age'!$C$6,'Population Data by Age'!$B$6:$H$6,0))</f>
        <v>1773000</v>
      </c>
      <c r="U50" s="78">
        <f>INDEX('Population Data by Age'!$B$7:$H$10366,MATCH(CONCATENATE('Tabular Pop Data by Age'!$C50,'Tabular Pop Data by Age'!U$7),'Population Data by Age'!$B$7:$B$10366,0),MATCH('Tabular Pop Data by Age'!$C$6,'Population Data by Age'!$B$6:$H$6,0))</f>
        <v>1648000</v>
      </c>
      <c r="V50" s="78">
        <f>INDEX('Population Data by Age'!$B$7:$H$10366,MATCH(CONCATENATE('Tabular Pop Data by Age'!$C50,'Tabular Pop Data by Age'!V$7),'Population Data by Age'!$B$7:$B$10366,0),MATCH('Tabular Pop Data by Age'!$C$6,'Population Data by Age'!$B$6:$H$6,0))</f>
        <v>1607000</v>
      </c>
      <c r="W50" s="78">
        <f>INDEX('Population Data by Age'!$B$7:$H$10366,MATCH(CONCATENATE('Tabular Pop Data by Age'!$C50,'Tabular Pop Data by Age'!W$7),'Population Data by Age'!$B$7:$B$10366,0),MATCH('Tabular Pop Data by Age'!$C$6,'Population Data by Age'!$B$6:$H$6,0))</f>
        <v>1422000</v>
      </c>
      <c r="X50" s="78">
        <f>INDEX('Population Data by Age'!$B$7:$H$10366,MATCH(CONCATENATE('Tabular Pop Data by Age'!$C50,'Tabular Pop Data by Age'!X$7),'Population Data by Age'!$B$7:$B$10366,0),MATCH('Tabular Pop Data by Age'!$C$6,'Population Data by Age'!$B$6:$H$6,0))</f>
        <v>1537000</v>
      </c>
      <c r="Y50" s="78">
        <f>INDEX('Population Data by Age'!$B$7:$H$10366,MATCH(CONCATENATE('Tabular Pop Data by Age'!$C50,'Tabular Pop Data by Age'!Y$7),'Population Data by Age'!$B$7:$B$10366,0),MATCH('Tabular Pop Data by Age'!$C$6,'Population Data by Age'!$B$6:$H$6,0))</f>
        <v>1371000</v>
      </c>
      <c r="Z50" s="78">
        <f>INDEX('Population Data by Age'!$B$7:$H$10366,MATCH(CONCATENATE('Tabular Pop Data by Age'!$C50,'Tabular Pop Data by Age'!Z$7),'Population Data by Age'!$B$7:$B$10366,0),MATCH('Tabular Pop Data by Age'!$C$6,'Population Data by Age'!$B$6:$H$6,0))</f>
        <v>1396000</v>
      </c>
      <c r="AA50" s="78">
        <f>INDEX('Population Data by Age'!$B$7:$H$10366,MATCH(CONCATENATE('Tabular Pop Data by Age'!$C50,'Tabular Pop Data by Age'!AA$7),'Population Data by Age'!$B$7:$B$10366,0),MATCH('Tabular Pop Data by Age'!$C$6,'Population Data by Age'!$B$6:$H$6,0))</f>
        <v>1240000</v>
      </c>
      <c r="AB50" s="78">
        <f>INDEX('Population Data by Age'!$B$7:$H$10366,MATCH(CONCATENATE('Tabular Pop Data by Age'!$C50,'Tabular Pop Data by Age'!AB$7),'Population Data by Age'!$B$7:$B$10366,0),MATCH('Tabular Pop Data by Age'!$C$6,'Population Data by Age'!$B$6:$H$6,0))</f>
        <v>1129000</v>
      </c>
      <c r="AC50" s="78">
        <f>INDEX('Population Data by Age'!$B$7:$H$10366,MATCH(CONCATENATE('Tabular Pop Data by Age'!$C50,'Tabular Pop Data by Age'!AC$7),'Population Data by Age'!$B$7:$B$10366,0),MATCH('Tabular Pop Data by Age'!$C$6,'Population Data by Age'!$B$6:$H$6,0))</f>
        <v>957000</v>
      </c>
      <c r="AD50" s="78">
        <f>INDEX('Population Data by Age'!$B$7:$H$10366,MATCH(CONCATENATE('Tabular Pop Data by Age'!$C50,'Tabular Pop Data by Age'!AD$7),'Population Data by Age'!$B$7:$B$10366,0),MATCH('Tabular Pop Data by Age'!$C$6,'Population Data by Age'!$B$6:$H$6,0))</f>
        <v>913000</v>
      </c>
      <c r="AE50" s="78">
        <f>INDEX('Population Data by Age'!$B$7:$H$10366,MATCH(CONCATENATE('Tabular Pop Data by Age'!$C50,'Tabular Pop Data by Age'!AE$7),'Population Data by Age'!$B$7:$B$10366,0),MATCH('Tabular Pop Data by Age'!$C$6,'Population Data by Age'!$B$6:$H$6,0))</f>
        <v>772000</v>
      </c>
      <c r="AF50" s="78">
        <f>INDEX('Population Data by Age'!$B$7:$H$10366,MATCH(CONCATENATE('Tabular Pop Data by Age'!$C50,'Tabular Pop Data by Age'!AF$7),'Population Data by Age'!$B$7:$B$10366,0),MATCH('Tabular Pop Data by Age'!$C$6,'Population Data by Age'!$B$6:$H$6,0))</f>
        <v>650000</v>
      </c>
      <c r="AG50" s="78">
        <f>INDEX('Population Data by Age'!$B$7:$H$10366,MATCH(CONCATENATE('Tabular Pop Data by Age'!$C50,'Tabular Pop Data by Age'!AG$7),'Population Data by Age'!$B$7:$B$10366,0),MATCH('Tabular Pop Data by Age'!$C$6,'Population Data by Age'!$B$6:$H$6,0))</f>
        <v>538000</v>
      </c>
      <c r="AH50" s="78">
        <f>INDEX('Population Data by Age'!$B$7:$H$10366,MATCH(CONCATENATE('Tabular Pop Data by Age'!$C50,'Tabular Pop Data by Age'!AH$7),'Population Data by Age'!$B$7:$B$10366,0),MATCH('Tabular Pop Data by Age'!$C$6,'Population Data by Age'!$B$6:$H$6,0))</f>
        <v>446000</v>
      </c>
      <c r="AI50" s="78">
        <f>INDEX('Population Data by Age'!$B$7:$H$10366,MATCH(CONCATENATE('Tabular Pop Data by Age'!$C50,'Tabular Pop Data by Age'!AI$7),'Population Data by Age'!$B$7:$B$10366,0),MATCH('Tabular Pop Data by Age'!$C$6,'Population Data by Age'!$B$6:$H$6,0))</f>
        <v>346000</v>
      </c>
      <c r="AJ50" s="78">
        <f>INDEX('Population Data by Age'!$B$7:$H$10366,MATCH(CONCATENATE('Tabular Pop Data by Age'!$C50,'Tabular Pop Data by Age'!AJ$7),'Population Data by Age'!$B$7:$B$10366,0),MATCH('Tabular Pop Data by Age'!$C$6,'Population Data by Age'!$B$6:$H$6,0))</f>
        <v>557000</v>
      </c>
      <c r="AK50" s="78">
        <f>INDEX('Population Data by Age'!$B$7:$H$10366,MATCH(CONCATENATE('Tabular Pop Data by Age'!$C50,'Tabular Pop Data by Age'!AK$7),'Population Data by Age'!$B$7:$B$10366,0),MATCH('Tabular Pop Data by Age'!$C$6,'Population Data by Age'!$B$6:$H$6,0))</f>
        <v>389000</v>
      </c>
      <c r="AL50" s="78">
        <f>INDEX('Population Data by Age'!$B$7:$H$10366,MATCH(CONCATENATE('Tabular Pop Data by Age'!$C50,'Tabular Pop Data by Age'!AL$7),'Population Data by Age'!$B$7:$B$10366,0),MATCH('Tabular Pop Data by Age'!$C$6,'Population Data by Age'!$B$6:$H$6,0))</f>
        <v>25898000</v>
      </c>
      <c r="AM50" s="78">
        <f>INDEX('Population Data by Age'!$B$7:$H$10366,MATCH(CONCATENATE('Tabular Pop Data by Age'!$C50,'Tabular Pop Data by Age'!AM$7),'Population Data by Age'!$B$7:$B$10366,0),MATCH('Tabular Pop Data by Age'!$C$6,'Population Data by Age'!$B$6:$H$6,0))</f>
        <v>24985000</v>
      </c>
      <c r="AN50" s="78">
        <f>INDEX('Population Data by Age'!$B$7:$H$10366,MATCH(CONCATENATE('Tabular Pop Data by Age'!$C50,'Tabular Pop Data by Age'!AN$7),'Population Data by Age'!$B$7:$B$10366,0),MATCH('Tabular Pop Data by Age'!$C$6,'Population Data by Age'!$B$6:$H$6,0))</f>
        <v>50883000</v>
      </c>
      <c r="AO50" s="78">
        <f>INDEX('Population Data by Age'!$B$7:$H$10366,MATCH(CONCATENATE('Tabular Pop Data by Age'!$C50,'Tabular Pop Data by Age'!AO$7),'Population Data by Age'!$B$7:$B$10366,0),MATCH('Tabular Pop Data by Age'!$C$6,'Population Data by Age'!$B$6:$H$6,0))</f>
        <v>0</v>
      </c>
      <c r="AP50" s="79">
        <f t="shared" si="0"/>
        <v>3711000</v>
      </c>
      <c r="AQ50" s="79">
        <f t="shared" si="1"/>
        <v>3704000</v>
      </c>
      <c r="AR50" s="79">
        <f t="shared" si="2"/>
        <v>3874000</v>
      </c>
      <c r="AS50" s="79">
        <f t="shared" si="3"/>
        <v>4247000</v>
      </c>
      <c r="AT50" s="79">
        <f t="shared" si="4"/>
        <v>4422000</v>
      </c>
      <c r="AU50" s="79">
        <f t="shared" si="5"/>
        <v>4426000</v>
      </c>
      <c r="AV50" s="79">
        <f t="shared" si="6"/>
        <v>4057000</v>
      </c>
      <c r="AW50" s="79">
        <f t="shared" si="7"/>
        <v>3753000</v>
      </c>
      <c r="AX50" s="79">
        <f t="shared" si="8"/>
        <v>3421000</v>
      </c>
      <c r="AY50" s="79">
        <f t="shared" si="9"/>
        <v>3029000</v>
      </c>
      <c r="AZ50" s="79">
        <f t="shared" si="10"/>
        <v>2908000</v>
      </c>
      <c r="BA50" s="79">
        <f t="shared" si="11"/>
        <v>2636000</v>
      </c>
      <c r="BB50" s="79">
        <f t="shared" si="12"/>
        <v>2086000</v>
      </c>
      <c r="BC50" s="79">
        <f t="shared" si="13"/>
        <v>1685000</v>
      </c>
      <c r="BD50" s="79">
        <f t="shared" si="14"/>
        <v>1188000</v>
      </c>
      <c r="BE50" s="79">
        <f t="shared" si="15"/>
        <v>792000</v>
      </c>
      <c r="BF50" s="79">
        <f t="shared" si="16"/>
        <v>946000</v>
      </c>
    </row>
    <row r="51" spans="1:58" x14ac:dyDescent="0.25">
      <c r="A51" s="138" t="s">
        <v>1195</v>
      </c>
      <c r="B51" t="s">
        <v>190</v>
      </c>
      <c r="C51" t="s">
        <v>157</v>
      </c>
      <c r="D51" s="78">
        <f>INDEX('Population Data by Age'!$B$7:$H$10366,MATCH(CONCATENATE('Tabular Pop Data by Age'!$C51,'Tabular Pop Data by Age'!D$7),'Population Data by Age'!$B$7:$B$10366,0),MATCH('Tabular Pop Data by Age'!$C$6,'Population Data by Age'!$B$6:$H$6,0))</f>
        <v>61000</v>
      </c>
      <c r="E51" s="78">
        <f>INDEX('Population Data by Age'!$B$7:$H$10366,MATCH(CONCATENATE('Tabular Pop Data by Age'!$C51,'Tabular Pop Data by Age'!E$7),'Population Data by Age'!$B$7:$B$10366,0),MATCH('Tabular Pop Data by Age'!$C$6,'Population Data by Age'!$B$6:$H$6,0))</f>
        <v>63000</v>
      </c>
      <c r="F51" s="78">
        <f>INDEX('Population Data by Age'!$B$7:$H$10366,MATCH(CONCATENATE('Tabular Pop Data by Age'!$C51,'Tabular Pop Data by Age'!F$7),'Population Data by Age'!$B$7:$B$10366,0),MATCH('Tabular Pop Data by Age'!$C$6,'Population Data by Age'!$B$6:$H$6,0))</f>
        <v>56000</v>
      </c>
      <c r="G51" s="78">
        <f>INDEX('Population Data by Age'!$B$7:$H$10366,MATCH(CONCATENATE('Tabular Pop Data by Age'!$C51,'Tabular Pop Data by Age'!G$7),'Population Data by Age'!$B$7:$B$10366,0),MATCH('Tabular Pop Data by Age'!$C$6,'Population Data by Age'!$B$6:$H$6,0))</f>
        <v>58000</v>
      </c>
      <c r="H51" s="78">
        <f>INDEX('Population Data by Age'!$B$7:$H$10366,MATCH(CONCATENATE('Tabular Pop Data by Age'!$C51,'Tabular Pop Data by Age'!H$7),'Population Data by Age'!$B$7:$B$10366,0),MATCH('Tabular Pop Data by Age'!$C$6,'Population Data by Age'!$B$6:$H$6,0))</f>
        <v>50000</v>
      </c>
      <c r="I51" s="78">
        <f>INDEX('Population Data by Age'!$B$7:$H$10366,MATCH(CONCATENATE('Tabular Pop Data by Age'!$C51,'Tabular Pop Data by Age'!I$7),'Population Data by Age'!$B$7:$B$10366,0),MATCH('Tabular Pop Data by Age'!$C$6,'Population Data by Age'!$B$6:$H$6,0))</f>
        <v>52000</v>
      </c>
      <c r="J51" s="78">
        <f>INDEX('Population Data by Age'!$B$7:$H$10366,MATCH(CONCATENATE('Tabular Pop Data by Age'!$C51,'Tabular Pop Data by Age'!J$7),'Population Data by Age'!$B$7:$B$10366,0),MATCH('Tabular Pop Data by Age'!$C$6,'Population Data by Age'!$B$6:$H$6,0))</f>
        <v>44000</v>
      </c>
      <c r="K51" s="78">
        <f>INDEX('Population Data by Age'!$B$7:$H$10366,MATCH(CONCATENATE('Tabular Pop Data by Age'!$C51,'Tabular Pop Data by Age'!K$7),'Population Data by Age'!$B$7:$B$10366,0),MATCH('Tabular Pop Data by Age'!$C$6,'Population Data by Age'!$B$6:$H$6,0))</f>
        <v>46000</v>
      </c>
      <c r="L51" s="78">
        <f>INDEX('Population Data by Age'!$B$7:$H$10366,MATCH(CONCATENATE('Tabular Pop Data by Age'!$C51,'Tabular Pop Data by Age'!L$7),'Population Data by Age'!$B$7:$B$10366,0),MATCH('Tabular Pop Data by Age'!$C$6,'Population Data by Age'!$B$6:$H$6,0))</f>
        <v>39000</v>
      </c>
      <c r="M51" s="78">
        <f>INDEX('Population Data by Age'!$B$7:$H$10366,MATCH(CONCATENATE('Tabular Pop Data by Age'!$C51,'Tabular Pop Data by Age'!M$7),'Population Data by Age'!$B$7:$B$10366,0),MATCH('Tabular Pop Data by Age'!$C$6,'Population Data by Age'!$B$6:$H$6,0))</f>
        <v>40000</v>
      </c>
      <c r="N51" s="78">
        <f>INDEX('Population Data by Age'!$B$7:$H$10366,MATCH(CONCATENATE('Tabular Pop Data by Age'!$C51,'Tabular Pop Data by Age'!N$7),'Population Data by Age'!$B$7:$B$10366,0),MATCH('Tabular Pop Data by Age'!$C$6,'Population Data by Age'!$B$6:$H$6,0))</f>
        <v>35000</v>
      </c>
      <c r="O51" s="78">
        <f>INDEX('Population Data by Age'!$B$7:$H$10366,MATCH(CONCATENATE('Tabular Pop Data by Age'!$C51,'Tabular Pop Data by Age'!O$7),'Population Data by Age'!$B$7:$B$10366,0),MATCH('Tabular Pop Data by Age'!$C$6,'Population Data by Age'!$B$6:$H$6,0))</f>
        <v>36000</v>
      </c>
      <c r="P51" s="78">
        <f>INDEX('Population Data by Age'!$B$7:$H$10366,MATCH(CONCATENATE('Tabular Pop Data by Age'!$C51,'Tabular Pop Data by Age'!P$7),'Population Data by Age'!$B$7:$B$10366,0),MATCH('Tabular Pop Data by Age'!$C$6,'Population Data by Age'!$B$6:$H$6,0))</f>
        <v>31000</v>
      </c>
      <c r="Q51" s="78">
        <f>INDEX('Population Data by Age'!$B$7:$H$10366,MATCH(CONCATENATE('Tabular Pop Data by Age'!$C51,'Tabular Pop Data by Age'!Q$7),'Population Data by Age'!$B$7:$B$10366,0),MATCH('Tabular Pop Data by Age'!$C$6,'Population Data by Age'!$B$6:$H$6,0))</f>
        <v>32000</v>
      </c>
      <c r="R51" s="78">
        <f>INDEX('Population Data by Age'!$B$7:$H$10366,MATCH(CONCATENATE('Tabular Pop Data by Age'!$C51,'Tabular Pop Data by Age'!R$7),'Population Data by Age'!$B$7:$B$10366,0),MATCH('Tabular Pop Data by Age'!$C$6,'Population Data by Age'!$B$6:$H$6,0))</f>
        <v>27000</v>
      </c>
      <c r="S51" s="78">
        <f>INDEX('Population Data by Age'!$B$7:$H$10366,MATCH(CONCATENATE('Tabular Pop Data by Age'!$C51,'Tabular Pop Data by Age'!S$7),'Population Data by Age'!$B$7:$B$10366,0),MATCH('Tabular Pop Data by Age'!$C$6,'Population Data by Age'!$B$6:$H$6,0))</f>
        <v>27000</v>
      </c>
      <c r="T51" s="78">
        <f>INDEX('Population Data by Age'!$B$7:$H$10366,MATCH(CONCATENATE('Tabular Pop Data by Age'!$C51,'Tabular Pop Data by Age'!T$7),'Population Data by Age'!$B$7:$B$10366,0),MATCH('Tabular Pop Data by Age'!$C$6,'Population Data by Age'!$B$6:$H$6,0))</f>
        <v>21000</v>
      </c>
      <c r="U51" s="78">
        <f>INDEX('Population Data by Age'!$B$7:$H$10366,MATCH(CONCATENATE('Tabular Pop Data by Age'!$C51,'Tabular Pop Data by Age'!U$7),'Population Data by Age'!$B$7:$B$10366,0),MATCH('Tabular Pop Data by Age'!$C$6,'Population Data by Age'!$B$6:$H$6,0))</f>
        <v>21000</v>
      </c>
      <c r="V51" s="78">
        <f>INDEX('Population Data by Age'!$B$7:$H$10366,MATCH(CONCATENATE('Tabular Pop Data by Age'!$C51,'Tabular Pop Data by Age'!V$7),'Population Data by Age'!$B$7:$B$10366,0),MATCH('Tabular Pop Data by Age'!$C$6,'Population Data by Age'!$B$6:$H$6,0))</f>
        <v>17000</v>
      </c>
      <c r="W51" s="78">
        <f>INDEX('Population Data by Age'!$B$7:$H$10366,MATCH(CONCATENATE('Tabular Pop Data by Age'!$C51,'Tabular Pop Data by Age'!W$7),'Population Data by Age'!$B$7:$B$10366,0),MATCH('Tabular Pop Data by Age'!$C$6,'Population Data by Age'!$B$6:$H$6,0))</f>
        <v>17000</v>
      </c>
      <c r="X51" s="78">
        <f>INDEX('Population Data by Age'!$B$7:$H$10366,MATCH(CONCATENATE('Tabular Pop Data by Age'!$C51,'Tabular Pop Data by Age'!X$7),'Population Data by Age'!$B$7:$B$10366,0),MATCH('Tabular Pop Data by Age'!$C$6,'Population Data by Age'!$B$6:$H$6,0))</f>
        <v>14000</v>
      </c>
      <c r="Y51" s="78">
        <f>INDEX('Population Data by Age'!$B$7:$H$10366,MATCH(CONCATENATE('Tabular Pop Data by Age'!$C51,'Tabular Pop Data by Age'!Y$7),'Population Data by Age'!$B$7:$B$10366,0),MATCH('Tabular Pop Data by Age'!$C$6,'Population Data by Age'!$B$6:$H$6,0))</f>
        <v>14000</v>
      </c>
      <c r="Z51" s="78">
        <f>INDEX('Population Data by Age'!$B$7:$H$10366,MATCH(CONCATENATE('Tabular Pop Data by Age'!$C51,'Tabular Pop Data by Age'!Z$7),'Population Data by Age'!$B$7:$B$10366,0),MATCH('Tabular Pop Data by Age'!$C$6,'Population Data by Age'!$B$6:$H$6,0))</f>
        <v>12000</v>
      </c>
      <c r="AA51" s="78">
        <f>INDEX('Population Data by Age'!$B$7:$H$10366,MATCH(CONCATENATE('Tabular Pop Data by Age'!$C51,'Tabular Pop Data by Age'!AA$7),'Population Data by Age'!$B$7:$B$10366,0),MATCH('Tabular Pop Data by Age'!$C$6,'Population Data by Age'!$B$6:$H$6,0))</f>
        <v>11000</v>
      </c>
      <c r="AB51" s="78">
        <f>INDEX('Population Data by Age'!$B$7:$H$10366,MATCH(CONCATENATE('Tabular Pop Data by Age'!$C51,'Tabular Pop Data by Age'!AB$7),'Population Data by Age'!$B$7:$B$10366,0),MATCH('Tabular Pop Data by Age'!$C$6,'Population Data by Age'!$B$6:$H$6,0))</f>
        <v>9100</v>
      </c>
      <c r="AC51" s="78">
        <f>INDEX('Population Data by Age'!$B$7:$H$10366,MATCH(CONCATENATE('Tabular Pop Data by Age'!$C51,'Tabular Pop Data by Age'!AC$7),'Population Data by Age'!$B$7:$B$10366,0),MATCH('Tabular Pop Data by Age'!$C$6,'Population Data by Age'!$B$6:$H$6,0))</f>
        <v>8500</v>
      </c>
      <c r="AD51" s="78">
        <f>INDEX('Population Data by Age'!$B$7:$H$10366,MATCH(CONCATENATE('Tabular Pop Data by Age'!$C51,'Tabular Pop Data by Age'!AD$7),'Population Data by Age'!$B$7:$B$10366,0),MATCH('Tabular Pop Data by Age'!$C$6,'Population Data by Age'!$B$6:$H$6,0))</f>
        <v>6400</v>
      </c>
      <c r="AE51" s="78">
        <f>INDEX('Population Data by Age'!$B$7:$H$10366,MATCH(CONCATENATE('Tabular Pop Data by Age'!$C51,'Tabular Pop Data by Age'!AE$7),'Population Data by Age'!$B$7:$B$10366,0),MATCH('Tabular Pop Data by Age'!$C$6,'Population Data by Age'!$B$6:$H$6,0))</f>
        <v>5700</v>
      </c>
      <c r="AF51" s="78">
        <f>INDEX('Population Data by Age'!$B$7:$H$10366,MATCH(CONCATENATE('Tabular Pop Data by Age'!$C51,'Tabular Pop Data by Age'!AF$7),'Population Data by Age'!$B$7:$B$10366,0),MATCH('Tabular Pop Data by Age'!$C$6,'Population Data by Age'!$B$6:$H$6,0))</f>
        <v>3800</v>
      </c>
      <c r="AG51" s="78">
        <f>INDEX('Population Data by Age'!$B$7:$H$10366,MATCH(CONCATENATE('Tabular Pop Data by Age'!$C51,'Tabular Pop Data by Age'!AG$7),'Population Data by Age'!$B$7:$B$10366,0),MATCH('Tabular Pop Data by Age'!$C$6,'Population Data by Age'!$B$6:$H$6,0))</f>
        <v>3300</v>
      </c>
      <c r="AH51" s="78">
        <f>INDEX('Population Data by Age'!$B$7:$H$10366,MATCH(CONCATENATE('Tabular Pop Data by Age'!$C51,'Tabular Pop Data by Age'!AH$7),'Population Data by Age'!$B$7:$B$10366,0),MATCH('Tabular Pop Data by Age'!$C$6,'Population Data by Age'!$B$6:$H$6,0))</f>
        <v>2500</v>
      </c>
      <c r="AI51" s="78">
        <f>INDEX('Population Data by Age'!$B$7:$H$10366,MATCH(CONCATENATE('Tabular Pop Data by Age'!$C51,'Tabular Pop Data by Age'!AI$7),'Population Data by Age'!$B$7:$B$10366,0),MATCH('Tabular Pop Data by Age'!$C$6,'Population Data by Age'!$B$6:$H$6,0))</f>
        <v>2000</v>
      </c>
      <c r="AJ51" s="78">
        <f>INDEX('Population Data by Age'!$B$7:$H$10366,MATCH(CONCATENATE('Tabular Pop Data by Age'!$C51,'Tabular Pop Data by Age'!AJ$7),'Population Data by Age'!$B$7:$B$10366,0),MATCH('Tabular Pop Data by Age'!$C$6,'Population Data by Age'!$B$6:$H$6,0))</f>
        <v>1900</v>
      </c>
      <c r="AK51" s="78">
        <f>INDEX('Population Data by Age'!$B$7:$H$10366,MATCH(CONCATENATE('Tabular Pop Data by Age'!$C51,'Tabular Pop Data by Age'!AK$7),'Population Data by Age'!$B$7:$B$10366,0),MATCH('Tabular Pop Data by Age'!$C$6,'Population Data by Age'!$B$6:$H$6,0))</f>
        <v>1300</v>
      </c>
      <c r="AL51" s="78">
        <f>INDEX('Population Data by Age'!$B$7:$H$10366,MATCH(CONCATENATE('Tabular Pop Data by Age'!$C51,'Tabular Pop Data by Age'!AL$7),'Population Data by Age'!$B$7:$B$10366,0),MATCH('Tabular Pop Data by Age'!$C$6,'Population Data by Age'!$B$6:$H$6,0))</f>
        <v>431000</v>
      </c>
      <c r="AM51" s="78">
        <f>INDEX('Population Data by Age'!$B$7:$H$10366,MATCH(CONCATENATE('Tabular Pop Data by Age'!$C51,'Tabular Pop Data by Age'!AM$7),'Population Data by Age'!$B$7:$B$10366,0),MATCH('Tabular Pop Data by Age'!$C$6,'Population Data by Age'!$B$6:$H$6,0))</f>
        <v>439000</v>
      </c>
      <c r="AN51" s="78">
        <f>INDEX('Population Data by Age'!$B$7:$H$10366,MATCH(CONCATENATE('Tabular Pop Data by Age'!$C51,'Tabular Pop Data by Age'!AN$7),'Population Data by Age'!$B$7:$B$10366,0),MATCH('Tabular Pop Data by Age'!$C$6,'Population Data by Age'!$B$6:$H$6,0))</f>
        <v>870000</v>
      </c>
      <c r="AO51" s="78">
        <f>INDEX('Population Data by Age'!$B$7:$H$10366,MATCH(CONCATENATE('Tabular Pop Data by Age'!$C51,'Tabular Pop Data by Age'!AO$7),'Population Data by Age'!$B$7:$B$10366,0),MATCH('Tabular Pop Data by Age'!$C$6,'Population Data by Age'!$B$6:$H$6,0))</f>
        <v>0</v>
      </c>
      <c r="AP51" s="79">
        <f t="shared" si="0"/>
        <v>124000</v>
      </c>
      <c r="AQ51" s="79">
        <f t="shared" si="1"/>
        <v>114000</v>
      </c>
      <c r="AR51" s="79">
        <f t="shared" si="2"/>
        <v>102000</v>
      </c>
      <c r="AS51" s="79">
        <f t="shared" si="3"/>
        <v>90000</v>
      </c>
      <c r="AT51" s="79">
        <f t="shared" si="4"/>
        <v>79000</v>
      </c>
      <c r="AU51" s="79">
        <f t="shared" si="5"/>
        <v>71000</v>
      </c>
      <c r="AV51" s="79">
        <f t="shared" si="6"/>
        <v>63000</v>
      </c>
      <c r="AW51" s="79">
        <f t="shared" si="7"/>
        <v>54000</v>
      </c>
      <c r="AX51" s="79">
        <f t="shared" si="8"/>
        <v>42000</v>
      </c>
      <c r="AY51" s="79">
        <f t="shared" si="9"/>
        <v>34000</v>
      </c>
      <c r="AZ51" s="79">
        <f t="shared" si="10"/>
        <v>28000</v>
      </c>
      <c r="BA51" s="79">
        <f t="shared" si="11"/>
        <v>23000</v>
      </c>
      <c r="BB51" s="79">
        <f t="shared" si="12"/>
        <v>17600</v>
      </c>
      <c r="BC51" s="79">
        <f t="shared" si="13"/>
        <v>12100</v>
      </c>
      <c r="BD51" s="79">
        <f t="shared" si="14"/>
        <v>7100</v>
      </c>
      <c r="BE51" s="79">
        <f t="shared" si="15"/>
        <v>4500</v>
      </c>
      <c r="BF51" s="79">
        <f t="shared" si="16"/>
        <v>3200</v>
      </c>
    </row>
    <row r="52" spans="1:58" x14ac:dyDescent="0.25">
      <c r="A52" s="138" t="s">
        <v>1195</v>
      </c>
      <c r="B52" t="s">
        <v>461</v>
      </c>
      <c r="C52" t="s">
        <v>28</v>
      </c>
      <c r="D52" s="78">
        <f>INDEX('Population Data by Age'!$B$7:$H$10366,MATCH(CONCATENATE('Tabular Pop Data by Age'!$C52,'Tabular Pop Data by Age'!D$7),'Population Data by Age'!$B$7:$B$10366,0),MATCH('Tabular Pop Data by Age'!$C$6,'Population Data by Age'!$B$6:$H$6,0))</f>
        <v>7836000</v>
      </c>
      <c r="E52" s="78">
        <f>INDEX('Population Data by Age'!$B$7:$H$10366,MATCH(CONCATENATE('Tabular Pop Data by Age'!$C52,'Tabular Pop Data by Age'!E$7),'Population Data by Age'!$B$7:$B$10366,0),MATCH('Tabular Pop Data by Age'!$C$6,'Population Data by Age'!$B$6:$H$6,0))</f>
        <v>7992000</v>
      </c>
      <c r="F52" s="78">
        <f>INDEX('Population Data by Age'!$B$7:$H$10366,MATCH(CONCATENATE('Tabular Pop Data by Age'!$C52,'Tabular Pop Data by Age'!F$7),'Population Data by Age'!$B$7:$B$10366,0),MATCH('Tabular Pop Data by Age'!$C$6,'Population Data by Age'!$B$6:$H$6,0))</f>
        <v>6771000</v>
      </c>
      <c r="G52" s="78">
        <f>INDEX('Population Data by Age'!$B$7:$H$10366,MATCH(CONCATENATE('Tabular Pop Data by Age'!$C52,'Tabular Pop Data by Age'!G$7),'Population Data by Age'!$B$7:$B$10366,0),MATCH('Tabular Pop Data by Age'!$C$6,'Population Data by Age'!$B$6:$H$6,0))</f>
        <v>6888000</v>
      </c>
      <c r="H52" s="78">
        <f>INDEX('Population Data by Age'!$B$7:$H$10366,MATCH(CONCATENATE('Tabular Pop Data by Age'!$C52,'Tabular Pop Data by Age'!H$7),'Population Data by Age'!$B$7:$B$10366,0),MATCH('Tabular Pop Data by Age'!$C$6,'Population Data by Age'!$B$6:$H$6,0))</f>
        <v>5722000</v>
      </c>
      <c r="I52" s="78">
        <f>INDEX('Population Data by Age'!$B$7:$H$10366,MATCH(CONCATENATE('Tabular Pop Data by Age'!$C52,'Tabular Pop Data by Age'!I$7),'Population Data by Age'!$B$7:$B$10366,0),MATCH('Tabular Pop Data by Age'!$C$6,'Population Data by Age'!$B$6:$H$6,0))</f>
        <v>5806000</v>
      </c>
      <c r="J52" s="78">
        <f>INDEX('Population Data by Age'!$B$7:$H$10366,MATCH(CONCATENATE('Tabular Pop Data by Age'!$C52,'Tabular Pop Data by Age'!J$7),'Population Data by Age'!$B$7:$B$10366,0),MATCH('Tabular Pop Data by Age'!$C$6,'Population Data by Age'!$B$6:$H$6,0))</f>
        <v>4712000</v>
      </c>
      <c r="K52" s="78">
        <f>INDEX('Population Data by Age'!$B$7:$H$10366,MATCH(CONCATENATE('Tabular Pop Data by Age'!$C52,'Tabular Pop Data by Age'!K$7),'Population Data by Age'!$B$7:$B$10366,0),MATCH('Tabular Pop Data by Age'!$C$6,'Population Data by Age'!$B$6:$H$6,0))</f>
        <v>4761000</v>
      </c>
      <c r="L52" s="78">
        <f>INDEX('Population Data by Age'!$B$7:$H$10366,MATCH(CONCATENATE('Tabular Pop Data by Age'!$C52,'Tabular Pop Data by Age'!L$7),'Population Data by Age'!$B$7:$B$10366,0),MATCH('Tabular Pop Data by Age'!$C$6,'Population Data by Age'!$B$6:$H$6,0))</f>
        <v>3861000</v>
      </c>
      <c r="M52" s="78">
        <f>INDEX('Population Data by Age'!$B$7:$H$10366,MATCH(CONCATENATE('Tabular Pop Data by Age'!$C52,'Tabular Pop Data by Age'!M$7),'Population Data by Age'!$B$7:$B$10366,0),MATCH('Tabular Pop Data by Age'!$C$6,'Population Data by Age'!$B$6:$H$6,0))</f>
        <v>3869000</v>
      </c>
      <c r="N52" s="78">
        <f>INDEX('Population Data by Age'!$B$7:$H$10366,MATCH(CONCATENATE('Tabular Pop Data by Age'!$C52,'Tabular Pop Data by Age'!N$7),'Population Data by Age'!$B$7:$B$10366,0),MATCH('Tabular Pop Data by Age'!$C$6,'Population Data by Age'!$B$6:$H$6,0))</f>
        <v>3223000</v>
      </c>
      <c r="O52" s="78">
        <f>INDEX('Population Data by Age'!$B$7:$H$10366,MATCH(CONCATENATE('Tabular Pop Data by Age'!$C52,'Tabular Pop Data by Age'!O$7),'Population Data by Age'!$B$7:$B$10366,0),MATCH('Tabular Pop Data by Age'!$C$6,'Population Data by Age'!$B$6:$H$6,0))</f>
        <v>3216000</v>
      </c>
      <c r="P52" s="78">
        <f>INDEX('Population Data by Age'!$B$7:$H$10366,MATCH(CONCATENATE('Tabular Pop Data by Age'!$C52,'Tabular Pop Data by Age'!P$7),'Population Data by Age'!$B$7:$B$10366,0),MATCH('Tabular Pop Data by Age'!$C$6,'Population Data by Age'!$B$6:$H$6,0))</f>
        <v>2681000</v>
      </c>
      <c r="Q52" s="78">
        <f>INDEX('Population Data by Age'!$B$7:$H$10366,MATCH(CONCATENATE('Tabular Pop Data by Age'!$C52,'Tabular Pop Data by Age'!Q$7),'Population Data by Age'!$B$7:$B$10366,0),MATCH('Tabular Pop Data by Age'!$C$6,'Population Data by Age'!$B$6:$H$6,0))</f>
        <v>2660000</v>
      </c>
      <c r="R52" s="78">
        <f>INDEX('Population Data by Age'!$B$7:$H$10366,MATCH(CONCATENATE('Tabular Pop Data by Age'!$C52,'Tabular Pop Data by Age'!R$7),'Population Data by Age'!$B$7:$B$10366,0),MATCH('Tabular Pop Data by Age'!$C$6,'Population Data by Age'!$B$6:$H$6,0))</f>
        <v>2225000</v>
      </c>
      <c r="S52" s="78">
        <f>INDEX('Population Data by Age'!$B$7:$H$10366,MATCH(CONCATENATE('Tabular Pop Data by Age'!$C52,'Tabular Pop Data by Age'!S$7),'Population Data by Age'!$B$7:$B$10366,0),MATCH('Tabular Pop Data by Age'!$C$6,'Population Data by Age'!$B$6:$H$6,0))</f>
        <v>2196000</v>
      </c>
      <c r="T52" s="78">
        <f>INDEX('Population Data by Age'!$B$7:$H$10366,MATCH(CONCATENATE('Tabular Pop Data by Age'!$C52,'Tabular Pop Data by Age'!T$7),'Population Data by Age'!$B$7:$B$10366,0),MATCH('Tabular Pop Data by Age'!$C$6,'Population Data by Age'!$B$6:$H$6,0))</f>
        <v>1833000</v>
      </c>
      <c r="U52" s="78">
        <f>INDEX('Population Data by Age'!$B$7:$H$10366,MATCH(CONCATENATE('Tabular Pop Data by Age'!$C52,'Tabular Pop Data by Age'!U$7),'Population Data by Age'!$B$7:$B$10366,0),MATCH('Tabular Pop Data by Age'!$C$6,'Population Data by Age'!$B$6:$H$6,0))</f>
        <v>1796000</v>
      </c>
      <c r="V52" s="78">
        <f>INDEX('Population Data by Age'!$B$7:$H$10366,MATCH(CONCATENATE('Tabular Pop Data by Age'!$C52,'Tabular Pop Data by Age'!V$7),'Population Data by Age'!$B$7:$B$10366,0),MATCH('Tabular Pop Data by Age'!$C$6,'Population Data by Age'!$B$6:$H$6,0))</f>
        <v>1509000</v>
      </c>
      <c r="W52" s="78">
        <f>INDEX('Population Data by Age'!$B$7:$H$10366,MATCH(CONCATENATE('Tabular Pop Data by Age'!$C52,'Tabular Pop Data by Age'!W$7),'Population Data by Age'!$B$7:$B$10366,0),MATCH('Tabular Pop Data by Age'!$C$6,'Population Data by Age'!$B$6:$H$6,0))</f>
        <v>1468000</v>
      </c>
      <c r="X52" s="78">
        <f>INDEX('Population Data by Age'!$B$7:$H$10366,MATCH(CONCATENATE('Tabular Pop Data by Age'!$C52,'Tabular Pop Data by Age'!X$7),'Population Data by Age'!$B$7:$B$10366,0),MATCH('Tabular Pop Data by Age'!$C$6,'Population Data by Age'!$B$6:$H$6,0))</f>
        <v>1235000</v>
      </c>
      <c r="Y52" s="78">
        <f>INDEX('Population Data by Age'!$B$7:$H$10366,MATCH(CONCATENATE('Tabular Pop Data by Age'!$C52,'Tabular Pop Data by Age'!Y$7),'Population Data by Age'!$B$7:$B$10366,0),MATCH('Tabular Pop Data by Age'!$C$6,'Population Data by Age'!$B$6:$H$6,0))</f>
        <v>1186000</v>
      </c>
      <c r="Z52" s="78">
        <f>INDEX('Population Data by Age'!$B$7:$H$10366,MATCH(CONCATENATE('Tabular Pop Data by Age'!$C52,'Tabular Pop Data by Age'!Z$7),'Population Data by Age'!$B$7:$B$10366,0),MATCH('Tabular Pop Data by Age'!$C$6,'Population Data by Age'!$B$6:$H$6,0))</f>
        <v>991000</v>
      </c>
      <c r="AA52" s="78">
        <f>INDEX('Population Data by Age'!$B$7:$H$10366,MATCH(CONCATENATE('Tabular Pop Data by Age'!$C52,'Tabular Pop Data by Age'!AA$7),'Population Data by Age'!$B$7:$B$10366,0),MATCH('Tabular Pop Data by Age'!$C$6,'Population Data by Age'!$B$6:$H$6,0))</f>
        <v>934000</v>
      </c>
      <c r="AB52" s="78">
        <f>INDEX('Population Data by Age'!$B$7:$H$10366,MATCH(CONCATENATE('Tabular Pop Data by Age'!$C52,'Tabular Pop Data by Age'!AB$7),'Population Data by Age'!$B$7:$B$10366,0),MATCH('Tabular Pop Data by Age'!$C$6,'Population Data by Age'!$B$6:$H$6,0))</f>
        <v>774000</v>
      </c>
      <c r="AC52" s="78">
        <f>INDEX('Population Data by Age'!$B$7:$H$10366,MATCH(CONCATENATE('Tabular Pop Data by Age'!$C52,'Tabular Pop Data by Age'!AC$7),'Population Data by Age'!$B$7:$B$10366,0),MATCH('Tabular Pop Data by Age'!$C$6,'Population Data by Age'!$B$6:$H$6,0))</f>
        <v>712000</v>
      </c>
      <c r="AD52" s="78">
        <f>INDEX('Population Data by Age'!$B$7:$H$10366,MATCH(CONCATENATE('Tabular Pop Data by Age'!$C52,'Tabular Pop Data by Age'!AD$7),'Population Data by Age'!$B$7:$B$10366,0),MATCH('Tabular Pop Data by Age'!$C$6,'Population Data by Age'!$B$6:$H$6,0))</f>
        <v>581000</v>
      </c>
      <c r="AE52" s="78">
        <f>INDEX('Population Data by Age'!$B$7:$H$10366,MATCH(CONCATENATE('Tabular Pop Data by Age'!$C52,'Tabular Pop Data by Age'!AE$7),'Population Data by Age'!$B$7:$B$10366,0),MATCH('Tabular Pop Data by Age'!$C$6,'Population Data by Age'!$B$6:$H$6,0))</f>
        <v>518000</v>
      </c>
      <c r="AF52" s="78">
        <f>INDEX('Population Data by Age'!$B$7:$H$10366,MATCH(CONCATENATE('Tabular Pop Data by Age'!$C52,'Tabular Pop Data by Age'!AF$7),'Population Data by Age'!$B$7:$B$10366,0),MATCH('Tabular Pop Data by Age'!$C$6,'Population Data by Age'!$B$6:$H$6,0))</f>
        <v>429000</v>
      </c>
      <c r="AG52" s="78">
        <f>INDEX('Population Data by Age'!$B$7:$H$10366,MATCH(CONCATENATE('Tabular Pop Data by Age'!$C52,'Tabular Pop Data by Age'!AG$7),'Population Data by Age'!$B$7:$B$10366,0),MATCH('Tabular Pop Data by Age'!$C$6,'Population Data by Age'!$B$6:$H$6,0))</f>
        <v>360000</v>
      </c>
      <c r="AH52" s="78">
        <f>INDEX('Population Data by Age'!$B$7:$H$10366,MATCH(CONCATENATE('Tabular Pop Data by Age'!$C52,'Tabular Pop Data by Age'!AH$7),'Population Data by Age'!$B$7:$B$10366,0),MATCH('Tabular Pop Data by Age'!$C$6,'Population Data by Age'!$B$6:$H$6,0))</f>
        <v>269000</v>
      </c>
      <c r="AI52" s="78">
        <f>INDEX('Population Data by Age'!$B$7:$H$10366,MATCH(CONCATENATE('Tabular Pop Data by Age'!$C52,'Tabular Pop Data by Age'!AI$7),'Population Data by Age'!$B$7:$B$10366,0),MATCH('Tabular Pop Data by Age'!$C$6,'Population Data by Age'!$B$6:$H$6,0))</f>
        <v>211000</v>
      </c>
      <c r="AJ52" s="78">
        <f>INDEX('Population Data by Age'!$B$7:$H$10366,MATCH(CONCATENATE('Tabular Pop Data by Age'!$C52,'Tabular Pop Data by Age'!AJ$7),'Population Data by Age'!$B$7:$B$10366,0),MATCH('Tabular Pop Data by Age'!$C$6,'Population Data by Age'!$B$6:$H$6,0))</f>
        <v>198000</v>
      </c>
      <c r="AK52" s="78">
        <f>INDEX('Population Data by Age'!$B$7:$H$10366,MATCH(CONCATENATE('Tabular Pop Data by Age'!$C52,'Tabular Pop Data by Age'!AK$7),'Population Data by Age'!$B$7:$B$10366,0),MATCH('Tabular Pop Data by Age'!$C$6,'Population Data by Age'!$B$6:$H$6,0))</f>
        <v>137000</v>
      </c>
      <c r="AL52" s="78">
        <f>INDEX('Population Data by Age'!$B$7:$H$10366,MATCH(CONCATENATE('Tabular Pop Data by Age'!$C52,'Tabular Pop Data by Age'!AL$7),'Population Data by Age'!$B$7:$B$10366,0),MATCH('Tabular Pop Data by Age'!$C$6,'Population Data by Age'!$B$6:$H$6,0))</f>
        <v>44851000</v>
      </c>
      <c r="AM52" s="78">
        <f>INDEX('Population Data by Age'!$B$7:$H$10366,MATCH(CONCATENATE('Tabular Pop Data by Age'!$C52,'Tabular Pop Data by Age'!AM$7),'Population Data by Age'!$B$7:$B$10366,0),MATCH('Tabular Pop Data by Age'!$C$6,'Population Data by Age'!$B$6:$H$6,0))</f>
        <v>44710000</v>
      </c>
      <c r="AN52" s="78">
        <f>INDEX('Population Data by Age'!$B$7:$H$10366,MATCH(CONCATENATE('Tabular Pop Data by Age'!$C52,'Tabular Pop Data by Age'!AN$7),'Population Data by Age'!$B$7:$B$10366,0),MATCH('Tabular Pop Data by Age'!$C$6,'Population Data by Age'!$B$6:$H$6,0))</f>
        <v>89561000</v>
      </c>
      <c r="AO52" s="78">
        <f>INDEX('Population Data by Age'!$B$7:$H$10366,MATCH(CONCATENATE('Tabular Pop Data by Age'!$C52,'Tabular Pop Data by Age'!AO$7),'Population Data by Age'!$B$7:$B$10366,0),MATCH('Tabular Pop Data by Age'!$C$6,'Population Data by Age'!$B$6:$H$6,0))</f>
        <v>0</v>
      </c>
      <c r="AP52" s="79">
        <f t="shared" si="0"/>
        <v>15828000</v>
      </c>
      <c r="AQ52" s="79">
        <f t="shared" si="1"/>
        <v>13659000</v>
      </c>
      <c r="AR52" s="79">
        <f t="shared" si="2"/>
        <v>11528000</v>
      </c>
      <c r="AS52" s="79">
        <f t="shared" si="3"/>
        <v>9473000</v>
      </c>
      <c r="AT52" s="79">
        <f t="shared" si="4"/>
        <v>7730000</v>
      </c>
      <c r="AU52" s="79">
        <f t="shared" si="5"/>
        <v>6439000</v>
      </c>
      <c r="AV52" s="79">
        <f t="shared" si="6"/>
        <v>5341000</v>
      </c>
      <c r="AW52" s="79">
        <f t="shared" si="7"/>
        <v>4421000</v>
      </c>
      <c r="AX52" s="79">
        <f t="shared" si="8"/>
        <v>3629000</v>
      </c>
      <c r="AY52" s="79">
        <f t="shared" si="9"/>
        <v>2977000</v>
      </c>
      <c r="AZ52" s="79">
        <f t="shared" si="10"/>
        <v>2421000</v>
      </c>
      <c r="BA52" s="79">
        <f t="shared" si="11"/>
        <v>1925000</v>
      </c>
      <c r="BB52" s="79">
        <f t="shared" si="12"/>
        <v>1486000</v>
      </c>
      <c r="BC52" s="79">
        <f t="shared" si="13"/>
        <v>1099000</v>
      </c>
      <c r="BD52" s="79">
        <f t="shared" si="14"/>
        <v>789000</v>
      </c>
      <c r="BE52" s="79">
        <f t="shared" si="15"/>
        <v>480000</v>
      </c>
      <c r="BF52" s="79">
        <f t="shared" si="16"/>
        <v>335000</v>
      </c>
    </row>
    <row r="53" spans="1:58" x14ac:dyDescent="0.25">
      <c r="A53" s="138" t="s">
        <v>1195</v>
      </c>
      <c r="B53" t="s">
        <v>462</v>
      </c>
      <c r="C53" t="s">
        <v>29</v>
      </c>
      <c r="D53" s="78">
        <f>INDEX('Population Data by Age'!$B$7:$H$10366,MATCH(CONCATENATE('Tabular Pop Data by Age'!$C53,'Tabular Pop Data by Age'!D$7),'Population Data by Age'!$B$7:$B$10366,0),MATCH('Tabular Pop Data by Age'!$C$6,'Population Data by Age'!$B$6:$H$6,0))</f>
        <v>407000</v>
      </c>
      <c r="E53" s="78">
        <f>INDEX('Population Data by Age'!$B$7:$H$10366,MATCH(CONCATENATE('Tabular Pop Data by Age'!$C53,'Tabular Pop Data by Age'!E$7),'Population Data by Age'!$B$7:$B$10366,0),MATCH('Tabular Pop Data by Age'!$C$6,'Population Data by Age'!$B$6:$H$6,0))</f>
        <v>415000</v>
      </c>
      <c r="F53" s="78">
        <f>INDEX('Population Data by Age'!$B$7:$H$10366,MATCH(CONCATENATE('Tabular Pop Data by Age'!$C53,'Tabular Pop Data by Age'!F$7),'Population Data by Age'!$B$7:$B$10366,0),MATCH('Tabular Pop Data by Age'!$C$6,'Population Data by Age'!$B$6:$H$6,0))</f>
        <v>382000</v>
      </c>
      <c r="G53" s="78">
        <f>INDEX('Population Data by Age'!$B$7:$H$10366,MATCH(CONCATENATE('Tabular Pop Data by Age'!$C53,'Tabular Pop Data by Age'!G$7),'Population Data by Age'!$B$7:$B$10366,0),MATCH('Tabular Pop Data by Age'!$C$6,'Population Data by Age'!$B$6:$H$6,0))</f>
        <v>389000</v>
      </c>
      <c r="H53" s="78">
        <f>INDEX('Population Data by Age'!$B$7:$H$10366,MATCH(CONCATENATE('Tabular Pop Data by Age'!$C53,'Tabular Pop Data by Age'!H$7),'Population Data by Age'!$B$7:$B$10366,0),MATCH('Tabular Pop Data by Age'!$C$6,'Population Data by Age'!$B$6:$H$6,0))</f>
        <v>340000</v>
      </c>
      <c r="I53" s="78">
        <f>INDEX('Population Data by Age'!$B$7:$H$10366,MATCH(CONCATENATE('Tabular Pop Data by Age'!$C53,'Tabular Pop Data by Age'!I$7),'Population Data by Age'!$B$7:$B$10366,0),MATCH('Tabular Pop Data by Age'!$C$6,'Population Data by Age'!$B$6:$H$6,0))</f>
        <v>345000</v>
      </c>
      <c r="J53" s="78">
        <f>INDEX('Population Data by Age'!$B$7:$H$10366,MATCH(CONCATENATE('Tabular Pop Data by Age'!$C53,'Tabular Pop Data by Age'!J$7),'Population Data by Age'!$B$7:$B$10366,0),MATCH('Tabular Pop Data by Age'!$C$6,'Population Data by Age'!$B$6:$H$6,0))</f>
        <v>285000</v>
      </c>
      <c r="K53" s="78">
        <f>INDEX('Population Data by Age'!$B$7:$H$10366,MATCH(CONCATENATE('Tabular Pop Data by Age'!$C53,'Tabular Pop Data by Age'!K$7),'Population Data by Age'!$B$7:$B$10366,0),MATCH('Tabular Pop Data by Age'!$C$6,'Population Data by Age'!$B$6:$H$6,0))</f>
        <v>288000</v>
      </c>
      <c r="L53" s="78">
        <f>INDEX('Population Data by Age'!$B$7:$H$10366,MATCH(CONCATENATE('Tabular Pop Data by Age'!$C53,'Tabular Pop Data by Age'!L$7),'Population Data by Age'!$B$7:$B$10366,0),MATCH('Tabular Pop Data by Age'!$C$6,'Population Data by Age'!$B$6:$H$6,0))</f>
        <v>237000</v>
      </c>
      <c r="M53" s="78">
        <f>INDEX('Population Data by Age'!$B$7:$H$10366,MATCH(CONCATENATE('Tabular Pop Data by Age'!$C53,'Tabular Pop Data by Age'!M$7),'Population Data by Age'!$B$7:$B$10366,0),MATCH('Tabular Pop Data by Age'!$C$6,'Population Data by Age'!$B$6:$H$6,0))</f>
        <v>239000</v>
      </c>
      <c r="N53" s="78">
        <f>INDEX('Population Data by Age'!$B$7:$H$10366,MATCH(CONCATENATE('Tabular Pop Data by Age'!$C53,'Tabular Pop Data by Age'!N$7),'Population Data by Age'!$B$7:$B$10366,0),MATCH('Tabular Pop Data by Age'!$C$6,'Population Data by Age'!$B$6:$H$6,0))</f>
        <v>199000</v>
      </c>
      <c r="O53" s="78">
        <f>INDEX('Population Data by Age'!$B$7:$H$10366,MATCH(CONCATENATE('Tabular Pop Data by Age'!$C53,'Tabular Pop Data by Age'!O$7),'Population Data by Age'!$B$7:$B$10366,0),MATCH('Tabular Pop Data by Age'!$C$6,'Population Data by Age'!$B$6:$H$6,0))</f>
        <v>199000</v>
      </c>
      <c r="P53" s="78">
        <f>INDEX('Population Data by Age'!$B$7:$H$10366,MATCH(CONCATENATE('Tabular Pop Data by Age'!$C53,'Tabular Pop Data by Age'!P$7),'Population Data by Age'!$B$7:$B$10366,0),MATCH('Tabular Pop Data by Age'!$C$6,'Population Data by Age'!$B$6:$H$6,0))</f>
        <v>177000</v>
      </c>
      <c r="Q53" s="78">
        <f>INDEX('Population Data by Age'!$B$7:$H$10366,MATCH(CONCATENATE('Tabular Pop Data by Age'!$C53,'Tabular Pop Data by Age'!Q$7),'Population Data by Age'!$B$7:$B$10366,0),MATCH('Tabular Pop Data by Age'!$C$6,'Population Data by Age'!$B$6:$H$6,0))</f>
        <v>177000</v>
      </c>
      <c r="R53" s="78">
        <f>INDEX('Population Data by Age'!$B$7:$H$10366,MATCH(CONCATENATE('Tabular Pop Data by Age'!$C53,'Tabular Pop Data by Age'!R$7),'Population Data by Age'!$B$7:$B$10366,0),MATCH('Tabular Pop Data by Age'!$C$6,'Population Data by Age'!$B$6:$H$6,0))</f>
        <v>163000</v>
      </c>
      <c r="S53" s="78">
        <f>INDEX('Population Data by Age'!$B$7:$H$10366,MATCH(CONCATENATE('Tabular Pop Data by Age'!$C53,'Tabular Pop Data by Age'!S$7),'Population Data by Age'!$B$7:$B$10366,0),MATCH('Tabular Pop Data by Age'!$C$6,'Population Data by Age'!$B$6:$H$6,0))</f>
        <v>163000</v>
      </c>
      <c r="T53" s="78">
        <f>INDEX('Population Data by Age'!$B$7:$H$10366,MATCH(CONCATENATE('Tabular Pop Data by Age'!$C53,'Tabular Pop Data by Age'!T$7),'Population Data by Age'!$B$7:$B$10366,0),MATCH('Tabular Pop Data by Age'!$C$6,'Population Data by Age'!$B$6:$H$6,0))</f>
        <v>147000</v>
      </c>
      <c r="U53" s="78">
        <f>INDEX('Population Data by Age'!$B$7:$H$10366,MATCH(CONCATENATE('Tabular Pop Data by Age'!$C53,'Tabular Pop Data by Age'!U$7),'Population Data by Age'!$B$7:$B$10366,0),MATCH('Tabular Pop Data by Age'!$C$6,'Population Data by Age'!$B$6:$H$6,0))</f>
        <v>147000</v>
      </c>
      <c r="V53" s="78">
        <f>INDEX('Population Data by Age'!$B$7:$H$10366,MATCH(CONCATENATE('Tabular Pop Data by Age'!$C53,'Tabular Pop Data by Age'!V$7),'Population Data by Age'!$B$7:$B$10366,0),MATCH('Tabular Pop Data by Age'!$C$6,'Population Data by Age'!$B$6:$H$6,0))</f>
        <v>121000</v>
      </c>
      <c r="W53" s="78">
        <f>INDEX('Population Data by Age'!$B$7:$H$10366,MATCH(CONCATENATE('Tabular Pop Data by Age'!$C53,'Tabular Pop Data by Age'!W$7),'Population Data by Age'!$B$7:$B$10366,0),MATCH('Tabular Pop Data by Age'!$C$6,'Population Data by Age'!$B$6:$H$6,0))</f>
        <v>121000</v>
      </c>
      <c r="X53" s="78">
        <f>INDEX('Population Data by Age'!$B$7:$H$10366,MATCH(CONCATENATE('Tabular Pop Data by Age'!$C53,'Tabular Pop Data by Age'!X$7),'Population Data by Age'!$B$7:$B$10366,0),MATCH('Tabular Pop Data by Age'!$C$6,'Population Data by Age'!$B$6:$H$6,0))</f>
        <v>95000</v>
      </c>
      <c r="Y53" s="78">
        <f>INDEX('Population Data by Age'!$B$7:$H$10366,MATCH(CONCATENATE('Tabular Pop Data by Age'!$C53,'Tabular Pop Data by Age'!Y$7),'Population Data by Age'!$B$7:$B$10366,0),MATCH('Tabular Pop Data by Age'!$C$6,'Population Data by Age'!$B$6:$H$6,0))</f>
        <v>94000</v>
      </c>
      <c r="Z53" s="78">
        <f>INDEX('Population Data by Age'!$B$7:$H$10366,MATCH(CONCATENATE('Tabular Pop Data by Age'!$C53,'Tabular Pop Data by Age'!Z$7),'Population Data by Age'!$B$7:$B$10366,0),MATCH('Tabular Pop Data by Age'!$C$6,'Population Data by Age'!$B$6:$H$6,0))</f>
        <v>71000</v>
      </c>
      <c r="AA53" s="78">
        <f>INDEX('Population Data by Age'!$B$7:$H$10366,MATCH(CONCATENATE('Tabular Pop Data by Age'!$C53,'Tabular Pop Data by Age'!AA$7),'Population Data by Age'!$B$7:$B$10366,0),MATCH('Tabular Pop Data by Age'!$C$6,'Population Data by Age'!$B$6:$H$6,0))</f>
        <v>68000</v>
      </c>
      <c r="AB53" s="78">
        <f>INDEX('Population Data by Age'!$B$7:$H$10366,MATCH(CONCATENATE('Tabular Pop Data by Age'!$C53,'Tabular Pop Data by Age'!AB$7),'Population Data by Age'!$B$7:$B$10366,0),MATCH('Tabular Pop Data by Age'!$C$6,'Population Data by Age'!$B$6:$H$6,0))</f>
        <v>51000</v>
      </c>
      <c r="AC53" s="78">
        <f>INDEX('Population Data by Age'!$B$7:$H$10366,MATCH(CONCATENATE('Tabular Pop Data by Age'!$C53,'Tabular Pop Data by Age'!AC$7),'Population Data by Age'!$B$7:$B$10366,0),MATCH('Tabular Pop Data by Age'!$C$6,'Population Data by Age'!$B$6:$H$6,0))</f>
        <v>46000</v>
      </c>
      <c r="AD53" s="78">
        <f>INDEX('Population Data by Age'!$B$7:$H$10366,MATCH(CONCATENATE('Tabular Pop Data by Age'!$C53,'Tabular Pop Data by Age'!AD$7),'Population Data by Age'!$B$7:$B$10366,0),MATCH('Tabular Pop Data by Age'!$C$6,'Population Data by Age'!$B$6:$H$6,0))</f>
        <v>37000</v>
      </c>
      <c r="AE53" s="78">
        <f>INDEX('Population Data by Age'!$B$7:$H$10366,MATCH(CONCATENATE('Tabular Pop Data by Age'!$C53,'Tabular Pop Data by Age'!AE$7),'Population Data by Age'!$B$7:$B$10366,0),MATCH('Tabular Pop Data by Age'!$C$6,'Population Data by Age'!$B$6:$H$6,0))</f>
        <v>31000</v>
      </c>
      <c r="AF53" s="78">
        <f>INDEX('Population Data by Age'!$B$7:$H$10366,MATCH(CONCATENATE('Tabular Pop Data by Age'!$C53,'Tabular Pop Data by Age'!AF$7),'Population Data by Age'!$B$7:$B$10366,0),MATCH('Tabular Pop Data by Age'!$C$6,'Population Data by Age'!$B$6:$H$6,0))</f>
        <v>25000</v>
      </c>
      <c r="AG53" s="78">
        <f>INDEX('Population Data by Age'!$B$7:$H$10366,MATCH(CONCATENATE('Tabular Pop Data by Age'!$C53,'Tabular Pop Data by Age'!AG$7),'Population Data by Age'!$B$7:$B$10366,0),MATCH('Tabular Pop Data by Age'!$C$6,'Population Data by Age'!$B$6:$H$6,0))</f>
        <v>19000</v>
      </c>
      <c r="AH53" s="78">
        <f>INDEX('Population Data by Age'!$B$7:$H$10366,MATCH(CONCATENATE('Tabular Pop Data by Age'!$C53,'Tabular Pop Data by Age'!AH$7),'Population Data by Age'!$B$7:$B$10366,0),MATCH('Tabular Pop Data by Age'!$C$6,'Population Data by Age'!$B$6:$H$6,0))</f>
        <v>15000</v>
      </c>
      <c r="AI53" s="78">
        <f>INDEX('Population Data by Age'!$B$7:$H$10366,MATCH(CONCATENATE('Tabular Pop Data by Age'!$C53,'Tabular Pop Data by Age'!AI$7),'Population Data by Age'!$B$7:$B$10366,0),MATCH('Tabular Pop Data by Age'!$C$6,'Population Data by Age'!$B$6:$H$6,0))</f>
        <v>10000</v>
      </c>
      <c r="AJ53" s="78">
        <f>INDEX('Population Data by Age'!$B$7:$H$10366,MATCH(CONCATENATE('Tabular Pop Data by Age'!$C53,'Tabular Pop Data by Age'!AJ$7),'Population Data by Age'!$B$7:$B$10366,0),MATCH('Tabular Pop Data by Age'!$C$6,'Population Data by Age'!$B$6:$H$6,0))</f>
        <v>10000</v>
      </c>
      <c r="AK53" s="78">
        <f>INDEX('Population Data by Age'!$B$7:$H$10366,MATCH(CONCATENATE('Tabular Pop Data by Age'!$C53,'Tabular Pop Data by Age'!AK$7),'Population Data by Age'!$B$7:$B$10366,0),MATCH('Tabular Pop Data by Age'!$C$6,'Population Data by Age'!$B$6:$H$6,0))</f>
        <v>5600</v>
      </c>
      <c r="AL53" s="78">
        <f>INDEX('Population Data by Age'!$B$7:$H$10366,MATCH(CONCATENATE('Tabular Pop Data by Age'!$C53,'Tabular Pop Data by Age'!AL$7),'Population Data by Age'!$B$7:$B$10366,0),MATCH('Tabular Pop Data by Age'!$C$6,'Population Data by Age'!$B$6:$H$6,0))</f>
        <v>2761000</v>
      </c>
      <c r="AM53" s="78">
        <f>INDEX('Population Data by Age'!$B$7:$H$10366,MATCH(CONCATENATE('Tabular Pop Data by Age'!$C53,'Tabular Pop Data by Age'!AM$7),'Population Data by Age'!$B$7:$B$10366,0),MATCH('Tabular Pop Data by Age'!$C$6,'Population Data by Age'!$B$6:$H$6,0))</f>
        <v>2757000</v>
      </c>
      <c r="AN53" s="78">
        <f>INDEX('Population Data by Age'!$B$7:$H$10366,MATCH(CONCATENATE('Tabular Pop Data by Age'!$C53,'Tabular Pop Data by Age'!AN$7),'Population Data by Age'!$B$7:$B$10366,0),MATCH('Tabular Pop Data by Age'!$C$6,'Population Data by Age'!$B$6:$H$6,0))</f>
        <v>5518000</v>
      </c>
      <c r="AO53" s="78">
        <f>INDEX('Population Data by Age'!$B$7:$H$10366,MATCH(CONCATENATE('Tabular Pop Data by Age'!$C53,'Tabular Pop Data by Age'!AO$7),'Population Data by Age'!$B$7:$B$10366,0),MATCH('Tabular Pop Data by Age'!$C$6,'Population Data by Age'!$B$6:$H$6,0))</f>
        <v>0</v>
      </c>
      <c r="AP53" s="79">
        <f t="shared" si="0"/>
        <v>822000</v>
      </c>
      <c r="AQ53" s="79">
        <f t="shared" si="1"/>
        <v>771000</v>
      </c>
      <c r="AR53" s="79">
        <f t="shared" si="2"/>
        <v>685000</v>
      </c>
      <c r="AS53" s="79">
        <f t="shared" si="3"/>
        <v>573000</v>
      </c>
      <c r="AT53" s="79">
        <f t="shared" si="4"/>
        <v>476000</v>
      </c>
      <c r="AU53" s="79">
        <f t="shared" si="5"/>
        <v>398000</v>
      </c>
      <c r="AV53" s="79">
        <f t="shared" si="6"/>
        <v>354000</v>
      </c>
      <c r="AW53" s="79">
        <f t="shared" si="7"/>
        <v>326000</v>
      </c>
      <c r="AX53" s="79">
        <f t="shared" si="8"/>
        <v>294000</v>
      </c>
      <c r="AY53" s="79">
        <f t="shared" si="9"/>
        <v>242000</v>
      </c>
      <c r="AZ53" s="79">
        <f t="shared" si="10"/>
        <v>189000</v>
      </c>
      <c r="BA53" s="79">
        <f t="shared" si="11"/>
        <v>139000</v>
      </c>
      <c r="BB53" s="79">
        <f t="shared" si="12"/>
        <v>97000</v>
      </c>
      <c r="BC53" s="79">
        <f t="shared" si="13"/>
        <v>68000</v>
      </c>
      <c r="BD53" s="79">
        <f t="shared" si="14"/>
        <v>44000</v>
      </c>
      <c r="BE53" s="79">
        <f t="shared" si="15"/>
        <v>25000</v>
      </c>
      <c r="BF53" s="79">
        <f t="shared" si="16"/>
        <v>15600</v>
      </c>
    </row>
    <row r="54" spans="1:58" x14ac:dyDescent="0.25">
      <c r="A54" s="138" t="s">
        <v>1195</v>
      </c>
      <c r="B54" t="s">
        <v>463</v>
      </c>
      <c r="C54" t="s">
        <v>31</v>
      </c>
      <c r="D54" s="78">
        <f>INDEX('Population Data by Age'!$B$7:$H$10366,MATCH(CONCATENATE('Tabular Pop Data by Age'!$C54,'Tabular Pop Data by Age'!D$7),'Population Data by Age'!$B$7:$B$10366,0),MATCH('Tabular Pop Data by Age'!$C$6,'Population Data by Age'!$B$6:$H$6,0))</f>
        <v>170000</v>
      </c>
      <c r="E54" s="78">
        <f>INDEX('Population Data by Age'!$B$7:$H$10366,MATCH(CONCATENATE('Tabular Pop Data by Age'!$C54,'Tabular Pop Data by Age'!E$7),'Population Data by Age'!$B$7:$B$10366,0),MATCH('Tabular Pop Data by Age'!$C$6,'Population Data by Age'!$B$6:$H$6,0))</f>
        <v>178000</v>
      </c>
      <c r="F54" s="78">
        <f>INDEX('Population Data by Age'!$B$7:$H$10366,MATCH(CONCATENATE('Tabular Pop Data by Age'!$C54,'Tabular Pop Data by Age'!F$7),'Population Data by Age'!$B$7:$B$10366,0),MATCH('Tabular Pop Data by Age'!$C$6,'Population Data by Age'!$B$6:$H$6,0))</f>
        <v>175000</v>
      </c>
      <c r="G54" s="78">
        <f>INDEX('Population Data by Age'!$B$7:$H$10366,MATCH(CONCATENATE('Tabular Pop Data by Age'!$C54,'Tabular Pop Data by Age'!G$7),'Population Data by Age'!$B$7:$B$10366,0),MATCH('Tabular Pop Data by Age'!$C$6,'Population Data by Age'!$B$6:$H$6,0))</f>
        <v>183000</v>
      </c>
      <c r="H54" s="78">
        <f>INDEX('Population Data by Age'!$B$7:$H$10366,MATCH(CONCATENATE('Tabular Pop Data by Age'!$C54,'Tabular Pop Data by Age'!H$7),'Population Data by Age'!$B$7:$B$10366,0),MATCH('Tabular Pop Data by Age'!$C$6,'Population Data by Age'!$B$6:$H$6,0))</f>
        <v>174000</v>
      </c>
      <c r="I54" s="78">
        <f>INDEX('Population Data by Age'!$B$7:$H$10366,MATCH(CONCATENATE('Tabular Pop Data by Age'!$C54,'Tabular Pop Data by Age'!I$7),'Population Data by Age'!$B$7:$B$10366,0),MATCH('Tabular Pop Data by Age'!$C$6,'Population Data by Age'!$B$6:$H$6,0))</f>
        <v>182000</v>
      </c>
      <c r="J54" s="78">
        <f>INDEX('Population Data by Age'!$B$7:$H$10366,MATCH(CONCATENATE('Tabular Pop Data by Age'!$C54,'Tabular Pop Data by Age'!J$7),'Population Data by Age'!$B$7:$B$10366,0),MATCH('Tabular Pop Data by Age'!$C$6,'Population Data by Age'!$B$6:$H$6,0))</f>
        <v>178000</v>
      </c>
      <c r="K54" s="78">
        <f>INDEX('Population Data by Age'!$B$7:$H$10366,MATCH(CONCATENATE('Tabular Pop Data by Age'!$C54,'Tabular Pop Data by Age'!K$7),'Population Data by Age'!$B$7:$B$10366,0),MATCH('Tabular Pop Data by Age'!$C$6,'Population Data by Age'!$B$6:$H$6,0))</f>
        <v>186000</v>
      </c>
      <c r="L54" s="78">
        <f>INDEX('Population Data by Age'!$B$7:$H$10366,MATCH(CONCATENATE('Tabular Pop Data by Age'!$C54,'Tabular Pop Data by Age'!L$7),'Population Data by Age'!$B$7:$B$10366,0),MATCH('Tabular Pop Data by Age'!$C$6,'Population Data by Age'!$B$6:$H$6,0))</f>
        <v>196000</v>
      </c>
      <c r="M54" s="78">
        <f>INDEX('Population Data by Age'!$B$7:$H$10366,MATCH(CONCATENATE('Tabular Pop Data by Age'!$C54,'Tabular Pop Data by Age'!M$7),'Population Data by Age'!$B$7:$B$10366,0),MATCH('Tabular Pop Data by Age'!$C$6,'Population Data by Age'!$B$6:$H$6,0))</f>
        <v>204000</v>
      </c>
      <c r="N54" s="78">
        <f>INDEX('Population Data by Age'!$B$7:$H$10366,MATCH(CONCATENATE('Tabular Pop Data by Age'!$C54,'Tabular Pop Data by Age'!N$7),'Population Data by Age'!$B$7:$B$10366,0),MATCH('Tabular Pop Data by Age'!$C$6,'Population Data by Age'!$B$6:$H$6,0))</f>
        <v>209000</v>
      </c>
      <c r="O54" s="78">
        <f>INDEX('Population Data by Age'!$B$7:$H$10366,MATCH(CONCATENATE('Tabular Pop Data by Age'!$C54,'Tabular Pop Data by Age'!O$7),'Population Data by Age'!$B$7:$B$10366,0),MATCH('Tabular Pop Data by Age'!$C$6,'Population Data by Age'!$B$6:$H$6,0))</f>
        <v>216000</v>
      </c>
      <c r="P54" s="78">
        <f>INDEX('Population Data by Age'!$B$7:$H$10366,MATCH(CONCATENATE('Tabular Pop Data by Age'!$C54,'Tabular Pop Data by Age'!P$7),'Population Data by Age'!$B$7:$B$10366,0),MATCH('Tabular Pop Data by Age'!$C$6,'Population Data by Age'!$B$6:$H$6,0))</f>
        <v>213000</v>
      </c>
      <c r="Q54" s="78">
        <f>INDEX('Population Data by Age'!$B$7:$H$10366,MATCH(CONCATENATE('Tabular Pop Data by Age'!$C54,'Tabular Pop Data by Age'!Q$7),'Population Data by Age'!$B$7:$B$10366,0),MATCH('Tabular Pop Data by Age'!$C$6,'Population Data by Age'!$B$6:$H$6,0))</f>
        <v>218000</v>
      </c>
      <c r="R54" s="78">
        <f>INDEX('Population Data by Age'!$B$7:$H$10366,MATCH(CONCATENATE('Tabular Pop Data by Age'!$C54,'Tabular Pop Data by Age'!R$7),'Population Data by Age'!$B$7:$B$10366,0),MATCH('Tabular Pop Data by Age'!$C$6,'Population Data by Age'!$B$6:$H$6,0))</f>
        <v>196000</v>
      </c>
      <c r="S54" s="78">
        <f>INDEX('Population Data by Age'!$B$7:$H$10366,MATCH(CONCATENATE('Tabular Pop Data by Age'!$C54,'Tabular Pop Data by Age'!S$7),'Population Data by Age'!$B$7:$B$10366,0),MATCH('Tabular Pop Data by Age'!$C$6,'Population Data by Age'!$B$6:$H$6,0))</f>
        <v>199000</v>
      </c>
      <c r="T54" s="78">
        <f>INDEX('Population Data by Age'!$B$7:$H$10366,MATCH(CONCATENATE('Tabular Pop Data by Age'!$C54,'Tabular Pop Data by Age'!T$7),'Population Data by Age'!$B$7:$B$10366,0),MATCH('Tabular Pop Data by Age'!$C$6,'Population Data by Age'!$B$6:$H$6,0))</f>
        <v>174000</v>
      </c>
      <c r="U54" s="78">
        <f>INDEX('Population Data by Age'!$B$7:$H$10366,MATCH(CONCATENATE('Tabular Pop Data by Age'!$C54,'Tabular Pop Data by Age'!U$7),'Population Data by Age'!$B$7:$B$10366,0),MATCH('Tabular Pop Data by Age'!$C$6,'Population Data by Age'!$B$6:$H$6,0))</f>
        <v>174000</v>
      </c>
      <c r="V54" s="78">
        <f>INDEX('Population Data by Age'!$B$7:$H$10366,MATCH(CONCATENATE('Tabular Pop Data by Age'!$C54,'Tabular Pop Data by Age'!V$7),'Population Data by Age'!$B$7:$B$10366,0),MATCH('Tabular Pop Data by Age'!$C$6,'Population Data by Age'!$B$6:$H$6,0))</f>
        <v>153000</v>
      </c>
      <c r="W54" s="78">
        <f>INDEX('Population Data by Age'!$B$7:$H$10366,MATCH(CONCATENATE('Tabular Pop Data by Age'!$C54,'Tabular Pop Data by Age'!W$7),'Population Data by Age'!$B$7:$B$10366,0),MATCH('Tabular Pop Data by Age'!$C$6,'Population Data by Age'!$B$6:$H$6,0))</f>
        <v>149000</v>
      </c>
      <c r="X54" s="78">
        <f>INDEX('Population Data by Age'!$B$7:$H$10366,MATCH(CONCATENATE('Tabular Pop Data by Age'!$C54,'Tabular Pop Data by Age'!X$7),'Population Data by Age'!$B$7:$B$10366,0),MATCH('Tabular Pop Data by Age'!$C$6,'Population Data by Age'!$B$6:$H$6,0))</f>
        <v>155000</v>
      </c>
      <c r="Y54" s="78">
        <f>INDEX('Population Data by Age'!$B$7:$H$10366,MATCH(CONCATENATE('Tabular Pop Data by Age'!$C54,'Tabular Pop Data by Age'!Y$7),'Population Data by Age'!$B$7:$B$10366,0),MATCH('Tabular Pop Data by Age'!$C$6,'Population Data by Age'!$B$6:$H$6,0))</f>
        <v>150000</v>
      </c>
      <c r="Z54" s="78">
        <f>INDEX('Population Data by Age'!$B$7:$H$10366,MATCH(CONCATENATE('Tabular Pop Data by Age'!$C54,'Tabular Pop Data by Age'!Z$7),'Population Data by Age'!$B$7:$B$10366,0),MATCH('Tabular Pop Data by Age'!$C$6,'Population Data by Age'!$B$6:$H$6,0))</f>
        <v>152000</v>
      </c>
      <c r="AA54" s="78">
        <f>INDEX('Population Data by Age'!$B$7:$H$10366,MATCH(CONCATENATE('Tabular Pop Data by Age'!$C54,'Tabular Pop Data by Age'!AA$7),'Population Data by Age'!$B$7:$B$10366,0),MATCH('Tabular Pop Data by Age'!$C$6,'Population Data by Age'!$B$6:$H$6,0))</f>
        <v>146000</v>
      </c>
      <c r="AB54" s="78">
        <f>INDEX('Population Data by Age'!$B$7:$H$10366,MATCH(CONCATENATE('Tabular Pop Data by Age'!$C54,'Tabular Pop Data by Age'!AB$7),'Population Data by Age'!$B$7:$B$10366,0),MATCH('Tabular Pop Data by Age'!$C$6,'Population Data by Age'!$B$6:$H$6,0))</f>
        <v>125000</v>
      </c>
      <c r="AC54" s="78">
        <f>INDEX('Population Data by Age'!$B$7:$H$10366,MATCH(CONCATENATE('Tabular Pop Data by Age'!$C54,'Tabular Pop Data by Age'!AC$7),'Population Data by Age'!$B$7:$B$10366,0),MATCH('Tabular Pop Data by Age'!$C$6,'Population Data by Age'!$B$6:$H$6,0))</f>
        <v>119000</v>
      </c>
      <c r="AD54" s="78">
        <f>INDEX('Population Data by Age'!$B$7:$H$10366,MATCH(CONCATENATE('Tabular Pop Data by Age'!$C54,'Tabular Pop Data by Age'!AD$7),'Population Data by Age'!$B$7:$B$10366,0),MATCH('Tabular Pop Data by Age'!$C$6,'Population Data by Age'!$B$6:$H$6,0))</f>
        <v>93000</v>
      </c>
      <c r="AE54" s="78">
        <f>INDEX('Population Data by Age'!$B$7:$H$10366,MATCH(CONCATENATE('Tabular Pop Data by Age'!$C54,'Tabular Pop Data by Age'!AE$7),'Population Data by Age'!$B$7:$B$10366,0),MATCH('Tabular Pop Data by Age'!$C$6,'Population Data by Age'!$B$6:$H$6,0))</f>
        <v>86000</v>
      </c>
      <c r="AF54" s="78">
        <f>INDEX('Population Data by Age'!$B$7:$H$10366,MATCH(CONCATENATE('Tabular Pop Data by Age'!$C54,'Tabular Pop Data by Age'!AF$7),'Population Data by Age'!$B$7:$B$10366,0),MATCH('Tabular Pop Data by Age'!$C$6,'Population Data by Age'!$B$6:$H$6,0))</f>
        <v>73000</v>
      </c>
      <c r="AG54" s="78">
        <f>INDEX('Population Data by Age'!$B$7:$H$10366,MATCH(CONCATENATE('Tabular Pop Data by Age'!$C54,'Tabular Pop Data by Age'!AG$7),'Population Data by Age'!$B$7:$B$10366,0),MATCH('Tabular Pop Data by Age'!$C$6,'Population Data by Age'!$B$6:$H$6,0))</f>
        <v>66000</v>
      </c>
      <c r="AH54" s="78">
        <f>INDEX('Population Data by Age'!$B$7:$H$10366,MATCH(CONCATENATE('Tabular Pop Data by Age'!$C54,'Tabular Pop Data by Age'!AH$7),'Population Data by Age'!$B$7:$B$10366,0),MATCH('Tabular Pop Data by Age'!$C$6,'Population Data by Age'!$B$6:$H$6,0))</f>
        <v>50000</v>
      </c>
      <c r="AI54" s="78">
        <f>INDEX('Population Data by Age'!$B$7:$H$10366,MATCH(CONCATENATE('Tabular Pop Data by Age'!$C54,'Tabular Pop Data by Age'!AI$7),'Population Data by Age'!$B$7:$B$10366,0),MATCH('Tabular Pop Data by Age'!$C$6,'Population Data by Age'!$B$6:$H$6,0))</f>
        <v>43000</v>
      </c>
      <c r="AJ54" s="78">
        <f>INDEX('Population Data by Age'!$B$7:$H$10366,MATCH(CONCATENATE('Tabular Pop Data by Age'!$C54,'Tabular Pop Data by Age'!AJ$7),'Population Data by Age'!$B$7:$B$10366,0),MATCH('Tabular Pop Data by Age'!$C$6,'Population Data by Age'!$B$6:$H$6,0))</f>
        <v>65000</v>
      </c>
      <c r="AK54" s="78">
        <f>INDEX('Population Data by Age'!$B$7:$H$10366,MATCH(CONCATENATE('Tabular Pop Data by Age'!$C54,'Tabular Pop Data by Age'!AK$7),'Population Data by Age'!$B$7:$B$10366,0),MATCH('Tabular Pop Data by Age'!$C$6,'Population Data by Age'!$B$6:$H$6,0))</f>
        <v>48000</v>
      </c>
      <c r="AL54" s="78">
        <f>INDEX('Population Data by Age'!$B$7:$H$10366,MATCH(CONCATENATE('Tabular Pop Data by Age'!$C54,'Tabular Pop Data by Age'!AL$7),'Population Data by Age'!$B$7:$B$10366,0),MATCH('Tabular Pop Data by Age'!$C$6,'Population Data by Age'!$B$6:$H$6,0))</f>
        <v>2549000</v>
      </c>
      <c r="AM54" s="78">
        <f>INDEX('Population Data by Age'!$B$7:$H$10366,MATCH(CONCATENATE('Tabular Pop Data by Age'!$C54,'Tabular Pop Data by Age'!AM$7),'Population Data by Age'!$B$7:$B$10366,0),MATCH('Tabular Pop Data by Age'!$C$6,'Population Data by Age'!$B$6:$H$6,0))</f>
        <v>2545000</v>
      </c>
      <c r="AN54" s="78">
        <f>INDEX('Population Data by Age'!$B$7:$H$10366,MATCH(CONCATENATE('Tabular Pop Data by Age'!$C54,'Tabular Pop Data by Age'!AN$7),'Population Data by Age'!$B$7:$B$10366,0),MATCH('Tabular Pop Data by Age'!$C$6,'Population Data by Age'!$B$6:$H$6,0))</f>
        <v>5094000</v>
      </c>
      <c r="AO54" s="78">
        <f>INDEX('Population Data by Age'!$B$7:$H$10366,MATCH(CONCATENATE('Tabular Pop Data by Age'!$C54,'Tabular Pop Data by Age'!AO$7),'Population Data by Age'!$B$7:$B$10366,0),MATCH('Tabular Pop Data by Age'!$C$6,'Population Data by Age'!$B$6:$H$6,0))</f>
        <v>0</v>
      </c>
      <c r="AP54" s="79">
        <f t="shared" si="0"/>
        <v>348000</v>
      </c>
      <c r="AQ54" s="79">
        <f t="shared" si="1"/>
        <v>358000</v>
      </c>
      <c r="AR54" s="79">
        <f t="shared" si="2"/>
        <v>356000</v>
      </c>
      <c r="AS54" s="79">
        <f t="shared" si="3"/>
        <v>364000</v>
      </c>
      <c r="AT54" s="79">
        <f t="shared" si="4"/>
        <v>400000</v>
      </c>
      <c r="AU54" s="79">
        <f t="shared" si="5"/>
        <v>425000</v>
      </c>
      <c r="AV54" s="79">
        <f t="shared" si="6"/>
        <v>431000</v>
      </c>
      <c r="AW54" s="79">
        <f t="shared" si="7"/>
        <v>395000</v>
      </c>
      <c r="AX54" s="79">
        <f t="shared" si="8"/>
        <v>348000</v>
      </c>
      <c r="AY54" s="79">
        <f t="shared" si="9"/>
        <v>302000</v>
      </c>
      <c r="AZ54" s="79">
        <f t="shared" si="10"/>
        <v>305000</v>
      </c>
      <c r="BA54" s="79">
        <f t="shared" si="11"/>
        <v>298000</v>
      </c>
      <c r="BB54" s="79">
        <f t="shared" si="12"/>
        <v>244000</v>
      </c>
      <c r="BC54" s="79">
        <f t="shared" si="13"/>
        <v>179000</v>
      </c>
      <c r="BD54" s="79">
        <f t="shared" si="14"/>
        <v>139000</v>
      </c>
      <c r="BE54" s="79">
        <f t="shared" si="15"/>
        <v>93000</v>
      </c>
      <c r="BF54" s="79">
        <f t="shared" si="16"/>
        <v>113000</v>
      </c>
    </row>
    <row r="55" spans="1:58" x14ac:dyDescent="0.25">
      <c r="A55" s="138" t="s">
        <v>1195</v>
      </c>
      <c r="B55" t="s">
        <v>464</v>
      </c>
      <c r="C55" t="s">
        <v>26</v>
      </c>
      <c r="D55" s="78">
        <f>INDEX('Population Data by Age'!$B$7:$H$10366,MATCH(CONCATENATE('Tabular Pop Data by Age'!$C55,'Tabular Pop Data by Age'!D$7),'Population Data by Age'!$B$7:$B$10366,0),MATCH('Tabular Pop Data by Age'!$C$6,'Population Data by Age'!$B$6:$H$6,0))</f>
        <v>2053000</v>
      </c>
      <c r="E55" s="78">
        <f>INDEX('Population Data by Age'!$B$7:$H$10366,MATCH(CONCATENATE('Tabular Pop Data by Age'!$C55,'Tabular Pop Data by Age'!E$7),'Population Data by Age'!$B$7:$B$10366,0),MATCH('Tabular Pop Data by Age'!$C$6,'Population Data by Age'!$B$6:$H$6,0))</f>
        <v>2078000</v>
      </c>
      <c r="F55" s="78">
        <f>INDEX('Population Data by Age'!$B$7:$H$10366,MATCH(CONCATENATE('Tabular Pop Data by Age'!$C55,'Tabular Pop Data by Age'!F$7),'Population Data by Age'!$B$7:$B$10366,0),MATCH('Tabular Pop Data by Age'!$C$6,'Population Data by Age'!$B$6:$H$6,0))</f>
        <v>1801000</v>
      </c>
      <c r="G55" s="78">
        <f>INDEX('Population Data by Age'!$B$7:$H$10366,MATCH(CONCATENATE('Tabular Pop Data by Age'!$C55,'Tabular Pop Data by Age'!G$7),'Population Data by Age'!$B$7:$B$10366,0),MATCH('Tabular Pop Data by Age'!$C$6,'Population Data by Age'!$B$6:$H$6,0))</f>
        <v>1818000</v>
      </c>
      <c r="H55" s="78">
        <f>INDEX('Population Data by Age'!$B$7:$H$10366,MATCH(CONCATENATE('Tabular Pop Data by Age'!$C55,'Tabular Pop Data by Age'!H$7),'Population Data by Age'!$B$7:$B$10366,0),MATCH('Tabular Pop Data by Age'!$C$6,'Population Data by Age'!$B$6:$H$6,0))</f>
        <v>1594000</v>
      </c>
      <c r="I55" s="78">
        <f>INDEX('Population Data by Age'!$B$7:$H$10366,MATCH(CONCATENATE('Tabular Pop Data by Age'!$C55,'Tabular Pop Data by Age'!I$7),'Population Data by Age'!$B$7:$B$10366,0),MATCH('Tabular Pop Data by Age'!$C$6,'Population Data by Age'!$B$6:$H$6,0))</f>
        <v>1605000</v>
      </c>
      <c r="J55" s="78">
        <f>INDEX('Population Data by Age'!$B$7:$H$10366,MATCH(CONCATENATE('Tabular Pop Data by Age'!$C55,'Tabular Pop Data by Age'!J$7),'Population Data by Age'!$B$7:$B$10366,0),MATCH('Tabular Pop Data by Age'!$C$6,'Population Data by Age'!$B$6:$H$6,0))</f>
        <v>1452000</v>
      </c>
      <c r="K55" s="78">
        <f>INDEX('Population Data by Age'!$B$7:$H$10366,MATCH(CONCATENATE('Tabular Pop Data by Age'!$C55,'Tabular Pop Data by Age'!K$7),'Population Data by Age'!$B$7:$B$10366,0),MATCH('Tabular Pop Data by Age'!$C$6,'Population Data by Age'!$B$6:$H$6,0))</f>
        <v>1453000</v>
      </c>
      <c r="L55" s="78">
        <f>INDEX('Population Data by Age'!$B$7:$H$10366,MATCH(CONCATENATE('Tabular Pop Data by Age'!$C55,'Tabular Pop Data by Age'!L$7),'Population Data by Age'!$B$7:$B$10366,0),MATCH('Tabular Pop Data by Age'!$C$6,'Population Data by Age'!$B$6:$H$6,0))</f>
        <v>1274000</v>
      </c>
      <c r="M55" s="78">
        <f>INDEX('Population Data by Age'!$B$7:$H$10366,MATCH(CONCATENATE('Tabular Pop Data by Age'!$C55,'Tabular Pop Data by Age'!M$7),'Population Data by Age'!$B$7:$B$10366,0),MATCH('Tabular Pop Data by Age'!$C$6,'Population Data by Age'!$B$6:$H$6,0))</f>
        <v>1264000</v>
      </c>
      <c r="N55" s="78">
        <f>INDEX('Population Data by Age'!$B$7:$H$10366,MATCH(CONCATENATE('Tabular Pop Data by Age'!$C55,'Tabular Pop Data by Age'!N$7),'Population Data by Age'!$B$7:$B$10366,0),MATCH('Tabular Pop Data by Age'!$C$6,'Population Data by Age'!$B$6:$H$6,0))</f>
        <v>1066000</v>
      </c>
      <c r="O55" s="78">
        <f>INDEX('Population Data by Age'!$B$7:$H$10366,MATCH(CONCATENATE('Tabular Pop Data by Age'!$C55,'Tabular Pop Data by Age'!O$7),'Population Data by Age'!$B$7:$B$10366,0),MATCH('Tabular Pop Data by Age'!$C$6,'Population Data by Age'!$B$6:$H$6,0))</f>
        <v>1057000</v>
      </c>
      <c r="P55" s="78">
        <f>INDEX('Population Data by Age'!$B$7:$H$10366,MATCH(CONCATENATE('Tabular Pop Data by Age'!$C55,'Tabular Pop Data by Age'!P$7),'Population Data by Age'!$B$7:$B$10366,0),MATCH('Tabular Pop Data by Age'!$C$6,'Population Data by Age'!$B$6:$H$6,0))</f>
        <v>874000</v>
      </c>
      <c r="Q55" s="78">
        <f>INDEX('Population Data by Age'!$B$7:$H$10366,MATCH(CONCATENATE('Tabular Pop Data by Age'!$C55,'Tabular Pop Data by Age'!Q$7),'Population Data by Age'!$B$7:$B$10366,0),MATCH('Tabular Pop Data by Age'!$C$6,'Population Data by Age'!$B$6:$H$6,0))</f>
        <v>867000</v>
      </c>
      <c r="R55" s="78">
        <f>INDEX('Population Data by Age'!$B$7:$H$10366,MATCH(CONCATENATE('Tabular Pop Data by Age'!$C55,'Tabular Pop Data by Age'!R$7),'Population Data by Age'!$B$7:$B$10366,0),MATCH('Tabular Pop Data by Age'!$C$6,'Population Data by Age'!$B$6:$H$6,0))</f>
        <v>715000</v>
      </c>
      <c r="S55" s="78">
        <f>INDEX('Population Data by Age'!$B$7:$H$10366,MATCH(CONCATENATE('Tabular Pop Data by Age'!$C55,'Tabular Pop Data by Age'!S$7),'Population Data by Age'!$B$7:$B$10366,0),MATCH('Tabular Pop Data by Age'!$C$6,'Population Data by Age'!$B$6:$H$6,0))</f>
        <v>716000</v>
      </c>
      <c r="T55" s="78">
        <f>INDEX('Population Data by Age'!$B$7:$H$10366,MATCH(CONCATENATE('Tabular Pop Data by Age'!$C55,'Tabular Pop Data by Age'!T$7),'Population Data by Age'!$B$7:$B$10366,0),MATCH('Tabular Pop Data by Age'!$C$6,'Population Data by Age'!$B$6:$H$6,0))</f>
        <v>584000</v>
      </c>
      <c r="U55" s="78">
        <f>INDEX('Population Data by Age'!$B$7:$H$10366,MATCH(CONCATENATE('Tabular Pop Data by Age'!$C55,'Tabular Pop Data by Age'!U$7),'Population Data by Age'!$B$7:$B$10366,0),MATCH('Tabular Pop Data by Age'!$C$6,'Population Data by Age'!$B$6:$H$6,0))</f>
        <v>601000</v>
      </c>
      <c r="V55" s="78">
        <f>INDEX('Population Data by Age'!$B$7:$H$10366,MATCH(CONCATENATE('Tabular Pop Data by Age'!$C55,'Tabular Pop Data by Age'!V$7),'Population Data by Age'!$B$7:$B$10366,0),MATCH('Tabular Pop Data by Age'!$C$6,'Population Data by Age'!$B$6:$H$6,0))</f>
        <v>451000</v>
      </c>
      <c r="W55" s="78">
        <f>INDEX('Population Data by Age'!$B$7:$H$10366,MATCH(CONCATENATE('Tabular Pop Data by Age'!$C55,'Tabular Pop Data by Age'!W$7),'Population Data by Age'!$B$7:$B$10366,0),MATCH('Tabular Pop Data by Age'!$C$6,'Population Data by Age'!$B$6:$H$6,0))</f>
        <v>481000</v>
      </c>
      <c r="X55" s="78">
        <f>INDEX('Population Data by Age'!$B$7:$H$10366,MATCH(CONCATENATE('Tabular Pop Data by Age'!$C55,'Tabular Pop Data by Age'!X$7),'Population Data by Age'!$B$7:$B$10366,0),MATCH('Tabular Pop Data by Age'!$C$6,'Population Data by Age'!$B$6:$H$6,0))</f>
        <v>351000</v>
      </c>
      <c r="Y55" s="78">
        <f>INDEX('Population Data by Age'!$B$7:$H$10366,MATCH(CONCATENATE('Tabular Pop Data by Age'!$C55,'Tabular Pop Data by Age'!Y$7),'Population Data by Age'!$B$7:$B$10366,0),MATCH('Tabular Pop Data by Age'!$C$6,'Population Data by Age'!$B$6:$H$6,0))</f>
        <v>388000</v>
      </c>
      <c r="Z55" s="78">
        <f>INDEX('Population Data by Age'!$B$7:$H$10366,MATCH(CONCATENATE('Tabular Pop Data by Age'!$C55,'Tabular Pop Data by Age'!Z$7),'Population Data by Age'!$B$7:$B$10366,0),MATCH('Tabular Pop Data by Age'!$C$6,'Population Data by Age'!$B$6:$H$6,0))</f>
        <v>281000</v>
      </c>
      <c r="AA55" s="78">
        <f>INDEX('Population Data by Age'!$B$7:$H$10366,MATCH(CONCATENATE('Tabular Pop Data by Age'!$C55,'Tabular Pop Data by Age'!AA$7),'Population Data by Age'!$B$7:$B$10366,0),MATCH('Tabular Pop Data by Age'!$C$6,'Population Data by Age'!$B$6:$H$6,0))</f>
        <v>318000</v>
      </c>
      <c r="AB55" s="78">
        <f>INDEX('Population Data by Age'!$B$7:$H$10366,MATCH(CONCATENATE('Tabular Pop Data by Age'!$C55,'Tabular Pop Data by Age'!AB$7),'Population Data by Age'!$B$7:$B$10366,0),MATCH('Tabular Pop Data by Age'!$C$6,'Population Data by Age'!$B$6:$H$6,0))</f>
        <v>221000</v>
      </c>
      <c r="AC55" s="78">
        <f>INDEX('Population Data by Age'!$B$7:$H$10366,MATCH(CONCATENATE('Tabular Pop Data by Age'!$C55,'Tabular Pop Data by Age'!AC$7),'Population Data by Age'!$B$7:$B$10366,0),MATCH('Tabular Pop Data by Age'!$C$6,'Population Data by Age'!$B$6:$H$6,0))</f>
        <v>253000</v>
      </c>
      <c r="AD55" s="78">
        <f>INDEX('Population Data by Age'!$B$7:$H$10366,MATCH(CONCATENATE('Tabular Pop Data by Age'!$C55,'Tabular Pop Data by Age'!AD$7),'Population Data by Age'!$B$7:$B$10366,0),MATCH('Tabular Pop Data by Age'!$C$6,'Population Data by Age'!$B$6:$H$6,0))</f>
        <v>162000</v>
      </c>
      <c r="AE55" s="78">
        <f>INDEX('Population Data by Age'!$B$7:$H$10366,MATCH(CONCATENATE('Tabular Pop Data by Age'!$C55,'Tabular Pop Data by Age'!AE$7),'Population Data by Age'!$B$7:$B$10366,0),MATCH('Tabular Pop Data by Age'!$C$6,'Population Data by Age'!$B$6:$H$6,0))</f>
        <v>185000</v>
      </c>
      <c r="AF55" s="78">
        <f>INDEX('Population Data by Age'!$B$7:$H$10366,MATCH(CONCATENATE('Tabular Pop Data by Age'!$C55,'Tabular Pop Data by Age'!AF$7),'Population Data by Age'!$B$7:$B$10366,0),MATCH('Tabular Pop Data by Age'!$C$6,'Population Data by Age'!$B$6:$H$6,0))</f>
        <v>99000</v>
      </c>
      <c r="AG55" s="78">
        <f>INDEX('Population Data by Age'!$B$7:$H$10366,MATCH(CONCATENATE('Tabular Pop Data by Age'!$C55,'Tabular Pop Data by Age'!AG$7),'Population Data by Age'!$B$7:$B$10366,0),MATCH('Tabular Pop Data by Age'!$C$6,'Population Data by Age'!$B$6:$H$6,0))</f>
        <v>115000</v>
      </c>
      <c r="AH55" s="78">
        <f>INDEX('Population Data by Age'!$B$7:$H$10366,MATCH(CONCATENATE('Tabular Pop Data by Age'!$C55,'Tabular Pop Data by Age'!AH$7),'Population Data by Age'!$B$7:$B$10366,0),MATCH('Tabular Pop Data by Age'!$C$6,'Population Data by Age'!$B$6:$H$6,0))</f>
        <v>61000</v>
      </c>
      <c r="AI55" s="78">
        <f>INDEX('Population Data by Age'!$B$7:$H$10366,MATCH(CONCATENATE('Tabular Pop Data by Age'!$C55,'Tabular Pop Data by Age'!AI$7),'Population Data by Age'!$B$7:$B$10366,0),MATCH('Tabular Pop Data by Age'!$C$6,'Population Data by Age'!$B$6:$H$6,0))</f>
        <v>66000</v>
      </c>
      <c r="AJ55" s="78">
        <f>INDEX('Population Data by Age'!$B$7:$H$10366,MATCH(CONCATENATE('Tabular Pop Data by Age'!$C55,'Tabular Pop Data by Age'!AJ$7),'Population Data by Age'!$B$7:$B$10366,0),MATCH('Tabular Pop Data by Age'!$C$6,'Population Data by Age'!$B$6:$H$6,0))</f>
        <v>37000</v>
      </c>
      <c r="AK55" s="78">
        <f>INDEX('Population Data by Age'!$B$7:$H$10366,MATCH(CONCATENATE('Tabular Pop Data by Age'!$C55,'Tabular Pop Data by Age'!AK$7),'Population Data by Age'!$B$7:$B$10366,0),MATCH('Tabular Pop Data by Age'!$C$6,'Population Data by Age'!$B$6:$H$6,0))</f>
        <v>34000</v>
      </c>
      <c r="AL55" s="78">
        <f>INDEX('Population Data by Age'!$B$7:$H$10366,MATCH(CONCATENATE('Tabular Pop Data by Age'!$C55,'Tabular Pop Data by Age'!AL$7),'Population Data by Age'!$B$7:$B$10366,0),MATCH('Tabular Pop Data by Age'!$C$6,'Population Data by Age'!$B$6:$H$6,0))</f>
        <v>13078000</v>
      </c>
      <c r="AM55" s="78">
        <f>INDEX('Population Data by Age'!$B$7:$H$10366,MATCH(CONCATENATE('Tabular Pop Data by Age'!$C55,'Tabular Pop Data by Age'!AM$7),'Population Data by Age'!$B$7:$B$10366,0),MATCH('Tabular Pop Data by Age'!$C$6,'Population Data by Age'!$B$6:$H$6,0))</f>
        <v>13300000</v>
      </c>
      <c r="AN55" s="78">
        <f>INDEX('Population Data by Age'!$B$7:$H$10366,MATCH(CONCATENATE('Tabular Pop Data by Age'!$C55,'Tabular Pop Data by Age'!AN$7),'Population Data by Age'!$B$7:$B$10366,0),MATCH('Tabular Pop Data by Age'!$C$6,'Population Data by Age'!$B$6:$H$6,0))</f>
        <v>26378000</v>
      </c>
      <c r="AO55" s="78">
        <f>INDEX('Population Data by Age'!$B$7:$H$10366,MATCH(CONCATENATE('Tabular Pop Data by Age'!$C55,'Tabular Pop Data by Age'!AO$7),'Population Data by Age'!$B$7:$B$10366,0),MATCH('Tabular Pop Data by Age'!$C$6,'Population Data by Age'!$B$6:$H$6,0))</f>
        <v>0</v>
      </c>
      <c r="AP55" s="79">
        <f t="shared" si="0"/>
        <v>4131000</v>
      </c>
      <c r="AQ55" s="79">
        <f t="shared" si="1"/>
        <v>3619000</v>
      </c>
      <c r="AR55" s="79">
        <f t="shared" si="2"/>
        <v>3199000</v>
      </c>
      <c r="AS55" s="79">
        <f t="shared" si="3"/>
        <v>2905000</v>
      </c>
      <c r="AT55" s="79">
        <f t="shared" si="4"/>
        <v>2538000</v>
      </c>
      <c r="AU55" s="79">
        <f t="shared" si="5"/>
        <v>2123000</v>
      </c>
      <c r="AV55" s="79">
        <f t="shared" si="6"/>
        <v>1741000</v>
      </c>
      <c r="AW55" s="79">
        <f t="shared" si="7"/>
        <v>1431000</v>
      </c>
      <c r="AX55" s="79">
        <f t="shared" si="8"/>
        <v>1185000</v>
      </c>
      <c r="AY55" s="79">
        <f t="shared" si="9"/>
        <v>932000</v>
      </c>
      <c r="AZ55" s="79">
        <f t="shared" si="10"/>
        <v>739000</v>
      </c>
      <c r="BA55" s="79">
        <f t="shared" si="11"/>
        <v>599000</v>
      </c>
      <c r="BB55" s="79">
        <f t="shared" si="12"/>
        <v>474000</v>
      </c>
      <c r="BC55" s="79">
        <f t="shared" si="13"/>
        <v>347000</v>
      </c>
      <c r="BD55" s="79">
        <f t="shared" si="14"/>
        <v>214000</v>
      </c>
      <c r="BE55" s="79">
        <f t="shared" si="15"/>
        <v>127000</v>
      </c>
      <c r="BF55" s="79">
        <f t="shared" si="16"/>
        <v>71000</v>
      </c>
    </row>
    <row r="56" spans="1:58" x14ac:dyDescent="0.25">
      <c r="A56" s="138" t="s">
        <v>1195</v>
      </c>
      <c r="B56" t="s">
        <v>465</v>
      </c>
      <c r="C56" t="s">
        <v>55</v>
      </c>
      <c r="D56" s="78">
        <f>INDEX('Population Data by Age'!$B$7:$H$10366,MATCH(CONCATENATE('Tabular Pop Data by Age'!$C56,'Tabular Pop Data by Age'!D$7),'Population Data by Age'!$B$7:$B$10366,0),MATCH('Tabular Pop Data by Age'!$C$6,'Population Data by Age'!$B$6:$H$6,0))</f>
        <v>88000</v>
      </c>
      <c r="E56" s="78">
        <f>INDEX('Population Data by Age'!$B$7:$H$10366,MATCH(CONCATENATE('Tabular Pop Data by Age'!$C56,'Tabular Pop Data by Age'!E$7),'Population Data by Age'!$B$7:$B$10366,0),MATCH('Tabular Pop Data by Age'!$C$6,'Population Data by Age'!$B$6:$H$6,0))</f>
        <v>94000</v>
      </c>
      <c r="F56" s="78">
        <f>INDEX('Population Data by Age'!$B$7:$H$10366,MATCH(CONCATENATE('Tabular Pop Data by Age'!$C56,'Tabular Pop Data by Age'!F$7),'Population Data by Age'!$B$7:$B$10366,0),MATCH('Tabular Pop Data by Age'!$C$6,'Population Data by Age'!$B$6:$H$6,0))</f>
        <v>96000</v>
      </c>
      <c r="G56" s="78">
        <f>INDEX('Population Data by Age'!$B$7:$H$10366,MATCH(CONCATENATE('Tabular Pop Data by Age'!$C56,'Tabular Pop Data by Age'!G$7),'Population Data by Age'!$B$7:$B$10366,0),MATCH('Tabular Pop Data by Age'!$C$6,'Population Data by Age'!$B$6:$H$6,0))</f>
        <v>103000</v>
      </c>
      <c r="H56" s="78">
        <f>INDEX('Population Data by Age'!$B$7:$H$10366,MATCH(CONCATENATE('Tabular Pop Data by Age'!$C56,'Tabular Pop Data by Age'!H$7),'Population Data by Age'!$B$7:$B$10366,0),MATCH('Tabular Pop Data by Age'!$C$6,'Population Data by Age'!$B$6:$H$6,0))</f>
        <v>102000</v>
      </c>
      <c r="I56" s="78">
        <f>INDEX('Population Data by Age'!$B$7:$H$10366,MATCH(CONCATENATE('Tabular Pop Data by Age'!$C56,'Tabular Pop Data by Age'!I$7),'Population Data by Age'!$B$7:$B$10366,0),MATCH('Tabular Pop Data by Age'!$C$6,'Population Data by Age'!$B$6:$H$6,0))</f>
        <v>107000</v>
      </c>
      <c r="J56" s="78">
        <f>INDEX('Population Data by Age'!$B$7:$H$10366,MATCH(CONCATENATE('Tabular Pop Data by Age'!$C56,'Tabular Pop Data by Age'!J$7),'Population Data by Age'!$B$7:$B$10366,0),MATCH('Tabular Pop Data by Age'!$C$6,'Population Data by Age'!$B$6:$H$6,0))</f>
        <v>94000</v>
      </c>
      <c r="K56" s="78">
        <f>INDEX('Population Data by Age'!$B$7:$H$10366,MATCH(CONCATENATE('Tabular Pop Data by Age'!$C56,'Tabular Pop Data by Age'!K$7),'Population Data by Age'!$B$7:$B$10366,0),MATCH('Tabular Pop Data by Age'!$C$6,'Population Data by Age'!$B$6:$H$6,0))</f>
        <v>100000</v>
      </c>
      <c r="L56" s="78">
        <f>INDEX('Population Data by Age'!$B$7:$H$10366,MATCH(CONCATENATE('Tabular Pop Data by Age'!$C56,'Tabular Pop Data by Age'!L$7),'Population Data by Age'!$B$7:$B$10366,0),MATCH('Tabular Pop Data by Age'!$C$6,'Population Data by Age'!$B$6:$H$6,0))</f>
        <v>114000</v>
      </c>
      <c r="M56" s="78">
        <f>INDEX('Population Data by Age'!$B$7:$H$10366,MATCH(CONCATENATE('Tabular Pop Data by Age'!$C56,'Tabular Pop Data by Age'!M$7),'Population Data by Age'!$B$7:$B$10366,0),MATCH('Tabular Pop Data by Age'!$C$6,'Population Data by Age'!$B$6:$H$6,0))</f>
        <v>120000</v>
      </c>
      <c r="N56" s="78">
        <f>INDEX('Population Data by Age'!$B$7:$H$10366,MATCH(CONCATENATE('Tabular Pop Data by Age'!$C56,'Tabular Pop Data by Age'!N$7),'Population Data by Age'!$B$7:$B$10366,0),MATCH('Tabular Pop Data by Age'!$C$6,'Population Data by Age'!$B$6:$H$6,0))</f>
        <v>114000</v>
      </c>
      <c r="O56" s="78">
        <f>INDEX('Population Data by Age'!$B$7:$H$10366,MATCH(CONCATENATE('Tabular Pop Data by Age'!$C56,'Tabular Pop Data by Age'!O$7),'Population Data by Age'!$B$7:$B$10366,0),MATCH('Tabular Pop Data by Age'!$C$6,'Population Data by Age'!$B$6:$H$6,0))</f>
        <v>119000</v>
      </c>
      <c r="P56" s="78">
        <f>INDEX('Population Data by Age'!$B$7:$H$10366,MATCH(CONCATENATE('Tabular Pop Data by Age'!$C56,'Tabular Pop Data by Age'!P$7),'Population Data by Age'!$B$7:$B$10366,0),MATCH('Tabular Pop Data by Age'!$C$6,'Population Data by Age'!$B$6:$H$6,0))</f>
        <v>125000</v>
      </c>
      <c r="Q56" s="78">
        <f>INDEX('Population Data by Age'!$B$7:$H$10366,MATCH(CONCATENATE('Tabular Pop Data by Age'!$C56,'Tabular Pop Data by Age'!Q$7),'Population Data by Age'!$B$7:$B$10366,0),MATCH('Tabular Pop Data by Age'!$C$6,'Population Data by Age'!$B$6:$H$6,0))</f>
        <v>129000</v>
      </c>
      <c r="R56" s="78">
        <f>INDEX('Population Data by Age'!$B$7:$H$10366,MATCH(CONCATENATE('Tabular Pop Data by Age'!$C56,'Tabular Pop Data by Age'!R$7),'Population Data by Age'!$B$7:$B$10366,0),MATCH('Tabular Pop Data by Age'!$C$6,'Population Data by Age'!$B$6:$H$6,0))</f>
        <v>137000</v>
      </c>
      <c r="S56" s="78">
        <f>INDEX('Population Data by Age'!$B$7:$H$10366,MATCH(CONCATENATE('Tabular Pop Data by Age'!$C56,'Tabular Pop Data by Age'!S$7),'Population Data by Age'!$B$7:$B$10366,0),MATCH('Tabular Pop Data by Age'!$C$6,'Population Data by Age'!$B$6:$H$6,0))</f>
        <v>141000</v>
      </c>
      <c r="T56" s="78">
        <f>INDEX('Population Data by Age'!$B$7:$H$10366,MATCH(CONCATENATE('Tabular Pop Data by Age'!$C56,'Tabular Pop Data by Age'!T$7),'Population Data by Age'!$B$7:$B$10366,0),MATCH('Tabular Pop Data by Age'!$C$6,'Population Data by Age'!$B$6:$H$6,0))</f>
        <v>140000</v>
      </c>
      <c r="U56" s="78">
        <f>INDEX('Population Data by Age'!$B$7:$H$10366,MATCH(CONCATENATE('Tabular Pop Data by Age'!$C56,'Tabular Pop Data by Age'!U$7),'Population Data by Age'!$B$7:$B$10366,0),MATCH('Tabular Pop Data by Age'!$C$6,'Population Data by Age'!$B$6:$H$6,0))</f>
        <v>144000</v>
      </c>
      <c r="V56" s="78">
        <f>INDEX('Population Data by Age'!$B$7:$H$10366,MATCH(CONCATENATE('Tabular Pop Data by Age'!$C56,'Tabular Pop Data by Age'!V$7),'Population Data by Age'!$B$7:$B$10366,0),MATCH('Tabular Pop Data by Age'!$C$6,'Population Data by Age'!$B$6:$H$6,0))</f>
        <v>132000</v>
      </c>
      <c r="W56" s="78">
        <f>INDEX('Population Data by Age'!$B$7:$H$10366,MATCH(CONCATENATE('Tabular Pop Data by Age'!$C56,'Tabular Pop Data by Age'!W$7),'Population Data by Age'!$B$7:$B$10366,0),MATCH('Tabular Pop Data by Age'!$C$6,'Population Data by Age'!$B$6:$H$6,0))</f>
        <v>133000</v>
      </c>
      <c r="X56" s="78">
        <f>INDEX('Population Data by Age'!$B$7:$H$10366,MATCH(CONCATENATE('Tabular Pop Data by Age'!$C56,'Tabular Pop Data by Age'!X$7),'Population Data by Age'!$B$7:$B$10366,0),MATCH('Tabular Pop Data by Age'!$C$6,'Population Data by Age'!$B$6:$H$6,0))</f>
        <v>140000</v>
      </c>
      <c r="Y56" s="78">
        <f>INDEX('Population Data by Age'!$B$7:$H$10366,MATCH(CONCATENATE('Tabular Pop Data by Age'!$C56,'Tabular Pop Data by Age'!Y$7),'Population Data by Age'!$B$7:$B$10366,0),MATCH('Tabular Pop Data by Age'!$C$6,'Population Data by Age'!$B$6:$H$6,0))</f>
        <v>137000</v>
      </c>
      <c r="Z56" s="78">
        <f>INDEX('Population Data by Age'!$B$7:$H$10366,MATCH(CONCATENATE('Tabular Pop Data by Age'!$C56,'Tabular Pop Data by Age'!Z$7),'Population Data by Age'!$B$7:$B$10366,0),MATCH('Tabular Pop Data by Age'!$C$6,'Population Data by Age'!$B$6:$H$6,0))</f>
        <v>153000</v>
      </c>
      <c r="AA56" s="78">
        <f>INDEX('Population Data by Age'!$B$7:$H$10366,MATCH(CONCATENATE('Tabular Pop Data by Age'!$C56,'Tabular Pop Data by Age'!AA$7),'Population Data by Age'!$B$7:$B$10366,0),MATCH('Tabular Pop Data by Age'!$C$6,'Population Data by Age'!$B$6:$H$6,0))</f>
        <v>144000</v>
      </c>
      <c r="AB56" s="78">
        <f>INDEX('Population Data by Age'!$B$7:$H$10366,MATCH(CONCATENATE('Tabular Pop Data by Age'!$C56,'Tabular Pop Data by Age'!AB$7),'Population Data by Age'!$B$7:$B$10366,0),MATCH('Tabular Pop Data by Age'!$C$6,'Population Data by Age'!$B$6:$H$6,0))</f>
        <v>150000</v>
      </c>
      <c r="AC56" s="78">
        <f>INDEX('Population Data by Age'!$B$7:$H$10366,MATCH(CONCATENATE('Tabular Pop Data by Age'!$C56,'Tabular Pop Data by Age'!AC$7),'Population Data by Age'!$B$7:$B$10366,0),MATCH('Tabular Pop Data by Age'!$C$6,'Population Data by Age'!$B$6:$H$6,0))</f>
        <v>136000</v>
      </c>
      <c r="AD56" s="78">
        <f>INDEX('Population Data by Age'!$B$7:$H$10366,MATCH(CONCATENATE('Tabular Pop Data by Age'!$C56,'Tabular Pop Data by Age'!AD$7),'Population Data by Age'!$B$7:$B$10366,0),MATCH('Tabular Pop Data by Age'!$C$6,'Population Data by Age'!$B$6:$H$6,0))</f>
        <v>145000</v>
      </c>
      <c r="AE56" s="78">
        <f>INDEX('Population Data by Age'!$B$7:$H$10366,MATCH(CONCATENATE('Tabular Pop Data by Age'!$C56,'Tabular Pop Data by Age'!AE$7),'Population Data by Age'!$B$7:$B$10366,0),MATCH('Tabular Pop Data by Age'!$C$6,'Population Data by Age'!$B$6:$H$6,0))</f>
        <v>128000</v>
      </c>
      <c r="AF56" s="78">
        <f>INDEX('Population Data by Age'!$B$7:$H$10366,MATCH(CONCATENATE('Tabular Pop Data by Age'!$C56,'Tabular Pop Data by Age'!AF$7),'Population Data by Age'!$B$7:$B$10366,0),MATCH('Tabular Pop Data by Age'!$C$6,'Population Data by Age'!$B$6:$H$6,0))</f>
        <v>116000</v>
      </c>
      <c r="AG56" s="78">
        <f>INDEX('Population Data by Age'!$B$7:$H$10366,MATCH(CONCATENATE('Tabular Pop Data by Age'!$C56,'Tabular Pop Data by Age'!AG$7),'Population Data by Age'!$B$7:$B$10366,0),MATCH('Tabular Pop Data by Age'!$C$6,'Population Data by Age'!$B$6:$H$6,0))</f>
        <v>88000</v>
      </c>
      <c r="AH56" s="78">
        <f>INDEX('Population Data by Age'!$B$7:$H$10366,MATCH(CONCATENATE('Tabular Pop Data by Age'!$C56,'Tabular Pop Data by Age'!AH$7),'Population Data by Age'!$B$7:$B$10366,0),MATCH('Tabular Pop Data by Age'!$C$6,'Population Data by Age'!$B$6:$H$6,0))</f>
        <v>94000</v>
      </c>
      <c r="AI56" s="78">
        <f>INDEX('Population Data by Age'!$B$7:$H$10366,MATCH(CONCATENATE('Tabular Pop Data by Age'!$C56,'Tabular Pop Data by Age'!AI$7),'Population Data by Age'!$B$7:$B$10366,0),MATCH('Tabular Pop Data by Age'!$C$6,'Population Data by Age'!$B$6:$H$6,0))</f>
        <v>60000</v>
      </c>
      <c r="AJ56" s="78">
        <f>INDEX('Population Data by Age'!$B$7:$H$10366,MATCH(CONCATENATE('Tabular Pop Data by Age'!$C56,'Tabular Pop Data by Age'!AJ$7),'Population Data by Age'!$B$7:$B$10366,0),MATCH('Tabular Pop Data by Age'!$C$6,'Population Data by Age'!$B$6:$H$6,0))</f>
        <v>159000</v>
      </c>
      <c r="AK56" s="78">
        <f>INDEX('Population Data by Age'!$B$7:$H$10366,MATCH(CONCATENATE('Tabular Pop Data by Age'!$C56,'Tabular Pop Data by Age'!AK$7),'Population Data by Age'!$B$7:$B$10366,0),MATCH('Tabular Pop Data by Age'!$C$6,'Population Data by Age'!$B$6:$H$6,0))</f>
        <v>72000</v>
      </c>
      <c r="AL56" s="78">
        <f>INDEX('Population Data by Age'!$B$7:$H$10366,MATCH(CONCATENATE('Tabular Pop Data by Age'!$C56,'Tabular Pop Data by Age'!AL$7),'Population Data by Age'!$B$7:$B$10366,0),MATCH('Tabular Pop Data by Age'!$C$6,'Population Data by Age'!$B$6:$H$6,0))</f>
        <v>2099000</v>
      </c>
      <c r="AM56" s="78">
        <f>INDEX('Population Data by Age'!$B$7:$H$10366,MATCH(CONCATENATE('Tabular Pop Data by Age'!$C56,'Tabular Pop Data by Age'!AM$7),'Population Data by Age'!$B$7:$B$10366,0),MATCH('Tabular Pop Data by Age'!$C$6,'Population Data by Age'!$B$6:$H$6,0))</f>
        <v>1954000</v>
      </c>
      <c r="AN56" s="78">
        <f>INDEX('Population Data by Age'!$B$7:$H$10366,MATCH(CONCATENATE('Tabular Pop Data by Age'!$C56,'Tabular Pop Data by Age'!AN$7),'Population Data by Age'!$B$7:$B$10366,0),MATCH('Tabular Pop Data by Age'!$C$6,'Population Data by Age'!$B$6:$H$6,0))</f>
        <v>4052000</v>
      </c>
      <c r="AO56" s="78">
        <f>INDEX('Population Data by Age'!$B$7:$H$10366,MATCH(CONCATENATE('Tabular Pop Data by Age'!$C56,'Tabular Pop Data by Age'!AO$7),'Population Data by Age'!$B$7:$B$10366,0),MATCH('Tabular Pop Data by Age'!$C$6,'Population Data by Age'!$B$6:$H$6,0))</f>
        <v>0</v>
      </c>
      <c r="AP56" s="79">
        <f t="shared" si="0"/>
        <v>182000</v>
      </c>
      <c r="AQ56" s="79">
        <f t="shared" si="1"/>
        <v>199000</v>
      </c>
      <c r="AR56" s="79">
        <f t="shared" si="2"/>
        <v>209000</v>
      </c>
      <c r="AS56" s="79">
        <f t="shared" si="3"/>
        <v>194000</v>
      </c>
      <c r="AT56" s="79">
        <f t="shared" si="4"/>
        <v>234000</v>
      </c>
      <c r="AU56" s="79">
        <f t="shared" si="5"/>
        <v>233000</v>
      </c>
      <c r="AV56" s="79">
        <f t="shared" si="6"/>
        <v>254000</v>
      </c>
      <c r="AW56" s="79">
        <f t="shared" si="7"/>
        <v>278000</v>
      </c>
      <c r="AX56" s="79">
        <f t="shared" si="8"/>
        <v>284000</v>
      </c>
      <c r="AY56" s="79">
        <f t="shared" si="9"/>
        <v>265000</v>
      </c>
      <c r="AZ56" s="79">
        <f t="shared" si="10"/>
        <v>277000</v>
      </c>
      <c r="BA56" s="79">
        <f t="shared" si="11"/>
        <v>297000</v>
      </c>
      <c r="BB56" s="79">
        <f t="shared" si="12"/>
        <v>286000</v>
      </c>
      <c r="BC56" s="79">
        <f t="shared" si="13"/>
        <v>273000</v>
      </c>
      <c r="BD56" s="79">
        <f t="shared" si="14"/>
        <v>204000</v>
      </c>
      <c r="BE56" s="79">
        <f t="shared" si="15"/>
        <v>154000</v>
      </c>
      <c r="BF56" s="79">
        <f t="shared" si="16"/>
        <v>231000</v>
      </c>
    </row>
    <row r="57" spans="1:58" x14ac:dyDescent="0.25">
      <c r="A57" s="138" t="s">
        <v>1195</v>
      </c>
      <c r="B57" t="s">
        <v>221</v>
      </c>
      <c r="C57" t="s">
        <v>161</v>
      </c>
      <c r="D57" s="78">
        <f>INDEX('Population Data by Age'!$B$7:$H$10366,MATCH(CONCATENATE('Tabular Pop Data by Age'!$C57,'Tabular Pop Data by Age'!D$7),'Population Data by Age'!$B$7:$B$10366,0),MATCH('Tabular Pop Data by Age'!$C$6,'Population Data by Age'!$B$6:$H$6,0))</f>
        <v>278000</v>
      </c>
      <c r="E57" s="78">
        <f>INDEX('Population Data by Age'!$B$7:$H$10366,MATCH(CONCATENATE('Tabular Pop Data by Age'!$C57,'Tabular Pop Data by Age'!E$7),'Population Data by Age'!$B$7:$B$10366,0),MATCH('Tabular Pop Data by Age'!$C$6,'Population Data by Age'!$B$6:$H$6,0))</f>
        <v>294000</v>
      </c>
      <c r="F57" s="78">
        <f>INDEX('Population Data by Age'!$B$7:$H$10366,MATCH(CONCATENATE('Tabular Pop Data by Age'!$C57,'Tabular Pop Data by Age'!F$7),'Population Data by Age'!$B$7:$B$10366,0),MATCH('Tabular Pop Data by Age'!$C$6,'Population Data by Age'!$B$6:$H$6,0))</f>
        <v>305000</v>
      </c>
      <c r="G57" s="78">
        <f>INDEX('Population Data by Age'!$B$7:$H$10366,MATCH(CONCATENATE('Tabular Pop Data by Age'!$C57,'Tabular Pop Data by Age'!G$7),'Population Data by Age'!$B$7:$B$10366,0),MATCH('Tabular Pop Data by Age'!$C$6,'Population Data by Age'!$B$6:$H$6,0))</f>
        <v>323000</v>
      </c>
      <c r="H57" s="78">
        <f>INDEX('Population Data by Age'!$B$7:$H$10366,MATCH(CONCATENATE('Tabular Pop Data by Age'!$C57,'Tabular Pop Data by Age'!H$7),'Population Data by Age'!$B$7:$B$10366,0),MATCH('Tabular Pop Data by Age'!$C$6,'Population Data by Age'!$B$6:$H$6,0))</f>
        <v>293000</v>
      </c>
      <c r="I57" s="78">
        <f>INDEX('Population Data by Age'!$B$7:$H$10366,MATCH(CONCATENATE('Tabular Pop Data by Age'!$C57,'Tabular Pop Data by Age'!I$7),'Population Data by Age'!$B$7:$B$10366,0),MATCH('Tabular Pop Data by Age'!$C$6,'Population Data by Age'!$B$6:$H$6,0))</f>
        <v>310000</v>
      </c>
      <c r="J57" s="78">
        <f>INDEX('Population Data by Age'!$B$7:$H$10366,MATCH(CONCATENATE('Tabular Pop Data by Age'!$C57,'Tabular Pop Data by Age'!J$7),'Population Data by Age'!$B$7:$B$10366,0),MATCH('Tabular Pop Data by Age'!$C$6,'Population Data by Age'!$B$6:$H$6,0))</f>
        <v>312000</v>
      </c>
      <c r="K57" s="78">
        <f>INDEX('Population Data by Age'!$B$7:$H$10366,MATCH(CONCATENATE('Tabular Pop Data by Age'!$C57,'Tabular Pop Data by Age'!K$7),'Population Data by Age'!$B$7:$B$10366,0),MATCH('Tabular Pop Data by Age'!$C$6,'Population Data by Age'!$B$6:$H$6,0))</f>
        <v>331000</v>
      </c>
      <c r="L57" s="78">
        <f>INDEX('Population Data by Age'!$B$7:$H$10366,MATCH(CONCATENATE('Tabular Pop Data by Age'!$C57,'Tabular Pop Data by Age'!L$7),'Population Data by Age'!$B$7:$B$10366,0),MATCH('Tabular Pop Data by Age'!$C$6,'Population Data by Age'!$B$6:$H$6,0))</f>
        <v>341000</v>
      </c>
      <c r="M57" s="78">
        <f>INDEX('Population Data by Age'!$B$7:$H$10366,MATCH(CONCATENATE('Tabular Pop Data by Age'!$C57,'Tabular Pop Data by Age'!M$7),'Population Data by Age'!$B$7:$B$10366,0),MATCH('Tabular Pop Data by Age'!$C$6,'Population Data by Age'!$B$6:$H$6,0))</f>
        <v>360000</v>
      </c>
      <c r="N57" s="78">
        <f>INDEX('Population Data by Age'!$B$7:$H$10366,MATCH(CONCATENATE('Tabular Pop Data by Age'!$C57,'Tabular Pop Data by Age'!N$7),'Population Data by Age'!$B$7:$B$10366,0),MATCH('Tabular Pop Data by Age'!$C$6,'Population Data by Age'!$B$6:$H$6,0))</f>
        <v>347000</v>
      </c>
      <c r="O57" s="78">
        <f>INDEX('Population Data by Age'!$B$7:$H$10366,MATCH(CONCATENATE('Tabular Pop Data by Age'!$C57,'Tabular Pop Data by Age'!O$7),'Population Data by Age'!$B$7:$B$10366,0),MATCH('Tabular Pop Data by Age'!$C$6,'Population Data by Age'!$B$6:$H$6,0))</f>
        <v>372000</v>
      </c>
      <c r="P57" s="78">
        <f>INDEX('Population Data by Age'!$B$7:$H$10366,MATCH(CONCATENATE('Tabular Pop Data by Age'!$C57,'Tabular Pop Data by Age'!P$7),'Population Data by Age'!$B$7:$B$10366,0),MATCH('Tabular Pop Data by Age'!$C$6,'Population Data by Age'!$B$6:$H$6,0))</f>
        <v>408000</v>
      </c>
      <c r="Q57" s="78">
        <f>INDEX('Population Data by Age'!$B$7:$H$10366,MATCH(CONCATENATE('Tabular Pop Data by Age'!$C57,'Tabular Pop Data by Age'!Q$7),'Population Data by Age'!$B$7:$B$10366,0),MATCH('Tabular Pop Data by Age'!$C$6,'Population Data by Age'!$B$6:$H$6,0))</f>
        <v>423000</v>
      </c>
      <c r="R57" s="78">
        <f>INDEX('Population Data by Age'!$B$7:$H$10366,MATCH(CONCATENATE('Tabular Pop Data by Age'!$C57,'Tabular Pop Data by Age'!R$7),'Population Data by Age'!$B$7:$B$10366,0),MATCH('Tabular Pop Data by Age'!$C$6,'Population Data by Age'!$B$6:$H$6,0))</f>
        <v>340000</v>
      </c>
      <c r="S57" s="78">
        <f>INDEX('Population Data by Age'!$B$7:$H$10366,MATCH(CONCATENATE('Tabular Pop Data by Age'!$C57,'Tabular Pop Data by Age'!S$7),'Population Data by Age'!$B$7:$B$10366,0),MATCH('Tabular Pop Data by Age'!$C$6,'Population Data by Age'!$B$6:$H$6,0))</f>
        <v>352000</v>
      </c>
      <c r="T57" s="78">
        <f>INDEX('Population Data by Age'!$B$7:$H$10366,MATCH(CONCATENATE('Tabular Pop Data by Age'!$C57,'Tabular Pop Data by Age'!T$7),'Population Data by Age'!$B$7:$B$10366,0),MATCH('Tabular Pop Data by Age'!$C$6,'Population Data by Age'!$B$6:$H$6,0))</f>
        <v>305000</v>
      </c>
      <c r="U57" s="78">
        <f>INDEX('Population Data by Age'!$B$7:$H$10366,MATCH(CONCATENATE('Tabular Pop Data by Age'!$C57,'Tabular Pop Data by Age'!U$7),'Population Data by Age'!$B$7:$B$10366,0),MATCH('Tabular Pop Data by Age'!$C$6,'Population Data by Age'!$B$6:$H$6,0))</f>
        <v>313000</v>
      </c>
      <c r="V57" s="78">
        <f>INDEX('Population Data by Age'!$B$7:$H$10366,MATCH(CONCATENATE('Tabular Pop Data by Age'!$C57,'Tabular Pop Data by Age'!V$7),'Population Data by Age'!$B$7:$B$10366,0),MATCH('Tabular Pop Data by Age'!$C$6,'Population Data by Age'!$B$6:$H$6,0))</f>
        <v>470000</v>
      </c>
      <c r="W57" s="78">
        <f>INDEX('Population Data by Age'!$B$7:$H$10366,MATCH(CONCATENATE('Tabular Pop Data by Age'!$C57,'Tabular Pop Data by Age'!W$7),'Population Data by Age'!$B$7:$B$10366,0),MATCH('Tabular Pop Data by Age'!$C$6,'Population Data by Age'!$B$6:$H$6,0))</f>
        <v>474000</v>
      </c>
      <c r="X57" s="78">
        <f>INDEX('Population Data by Age'!$B$7:$H$10366,MATCH(CONCATENATE('Tabular Pop Data by Age'!$C57,'Tabular Pop Data by Age'!X$7),'Population Data by Age'!$B$7:$B$10366,0),MATCH('Tabular Pop Data by Age'!$C$6,'Population Data by Age'!$B$6:$H$6,0))</f>
        <v>509000</v>
      </c>
      <c r="Y57" s="78">
        <f>INDEX('Population Data by Age'!$B$7:$H$10366,MATCH(CONCATENATE('Tabular Pop Data by Age'!$C57,'Tabular Pop Data by Age'!Y$7),'Population Data by Age'!$B$7:$B$10366,0),MATCH('Tabular Pop Data by Age'!$C$6,'Population Data by Age'!$B$6:$H$6,0))</f>
        <v>489000</v>
      </c>
      <c r="Z57" s="78">
        <f>INDEX('Population Data by Age'!$B$7:$H$10366,MATCH(CONCATENATE('Tabular Pop Data by Age'!$C57,'Tabular Pop Data by Age'!Z$7),'Population Data by Age'!$B$7:$B$10366,0),MATCH('Tabular Pop Data by Age'!$C$6,'Population Data by Age'!$B$6:$H$6,0))</f>
        <v>498000</v>
      </c>
      <c r="AA57" s="78">
        <f>INDEX('Population Data by Age'!$B$7:$H$10366,MATCH(CONCATENATE('Tabular Pop Data by Age'!$C57,'Tabular Pop Data by Age'!AA$7),'Population Data by Age'!$B$7:$B$10366,0),MATCH('Tabular Pop Data by Age'!$C$6,'Population Data by Age'!$B$6:$H$6,0))</f>
        <v>470000</v>
      </c>
      <c r="AB57" s="78">
        <f>INDEX('Population Data by Age'!$B$7:$H$10366,MATCH(CONCATENATE('Tabular Pop Data by Age'!$C57,'Tabular Pop Data by Age'!AB$7),'Population Data by Age'!$B$7:$B$10366,0),MATCH('Tabular Pop Data by Age'!$C$6,'Population Data by Age'!$B$6:$H$6,0))</f>
        <v>315000</v>
      </c>
      <c r="AC57" s="78">
        <f>INDEX('Population Data by Age'!$B$7:$H$10366,MATCH(CONCATENATE('Tabular Pop Data by Age'!$C57,'Tabular Pop Data by Age'!AC$7),'Population Data by Age'!$B$7:$B$10366,0),MATCH('Tabular Pop Data by Age'!$C$6,'Population Data by Age'!$B$6:$H$6,0))</f>
        <v>292000</v>
      </c>
      <c r="AD57" s="78">
        <f>INDEX('Population Data by Age'!$B$7:$H$10366,MATCH(CONCATENATE('Tabular Pop Data by Age'!$C57,'Tabular Pop Data by Age'!AD$7),'Population Data by Age'!$B$7:$B$10366,0),MATCH('Tabular Pop Data by Age'!$C$6,'Population Data by Age'!$B$6:$H$6,0))</f>
        <v>301000</v>
      </c>
      <c r="AE57" s="78">
        <f>INDEX('Population Data by Age'!$B$7:$H$10366,MATCH(CONCATENATE('Tabular Pop Data by Age'!$C57,'Tabular Pop Data by Age'!AE$7),'Population Data by Age'!$B$7:$B$10366,0),MATCH('Tabular Pop Data by Age'!$C$6,'Population Data by Age'!$B$6:$H$6,0))</f>
        <v>266000</v>
      </c>
      <c r="AF57" s="78">
        <f>INDEX('Population Data by Age'!$B$7:$H$10366,MATCH(CONCATENATE('Tabular Pop Data by Age'!$C57,'Tabular Pop Data by Age'!AF$7),'Population Data by Age'!$B$7:$B$10366,0),MATCH('Tabular Pop Data by Age'!$C$6,'Population Data by Age'!$B$6:$H$6,0))</f>
        <v>239000</v>
      </c>
      <c r="AG57" s="78">
        <f>INDEX('Population Data by Age'!$B$7:$H$10366,MATCH(CONCATENATE('Tabular Pop Data by Age'!$C57,'Tabular Pop Data by Age'!AG$7),'Population Data by Age'!$B$7:$B$10366,0),MATCH('Tabular Pop Data by Age'!$C$6,'Population Data by Age'!$B$6:$H$6,0))</f>
        <v>210000</v>
      </c>
      <c r="AH57" s="78">
        <f>INDEX('Population Data by Age'!$B$7:$H$10366,MATCH(CONCATENATE('Tabular Pop Data by Age'!$C57,'Tabular Pop Data by Age'!AH$7),'Population Data by Age'!$B$7:$B$10366,0),MATCH('Tabular Pop Data by Age'!$C$6,'Population Data by Age'!$B$6:$H$6,0))</f>
        <v>193000</v>
      </c>
      <c r="AI57" s="78">
        <f>INDEX('Population Data by Age'!$B$7:$H$10366,MATCH(CONCATENATE('Tabular Pop Data by Age'!$C57,'Tabular Pop Data by Age'!AI$7),'Population Data by Age'!$B$7:$B$10366,0),MATCH('Tabular Pop Data by Age'!$C$6,'Population Data by Age'!$B$6:$H$6,0))</f>
        <v>162000</v>
      </c>
      <c r="AJ57" s="78">
        <f>INDEX('Population Data by Age'!$B$7:$H$10366,MATCH(CONCATENATE('Tabular Pop Data by Age'!$C57,'Tabular Pop Data by Age'!AJ$7),'Population Data by Age'!$B$7:$B$10366,0),MATCH('Tabular Pop Data by Age'!$C$6,'Population Data by Age'!$B$6:$H$6,0))</f>
        <v>248000</v>
      </c>
      <c r="AK57" s="78">
        <f>INDEX('Population Data by Age'!$B$7:$H$10366,MATCH(CONCATENATE('Tabular Pop Data by Age'!$C57,'Tabular Pop Data by Age'!AK$7),'Population Data by Age'!$B$7:$B$10366,0),MATCH('Tabular Pop Data by Age'!$C$6,'Population Data by Age'!$B$6:$H$6,0))</f>
        <v>181000</v>
      </c>
      <c r="AL57" s="78">
        <f>INDEX('Population Data by Age'!$B$7:$H$10366,MATCH(CONCATENATE('Tabular Pop Data by Age'!$C57,'Tabular Pop Data by Age'!AL$7),'Population Data by Age'!$B$7:$B$10366,0),MATCH('Tabular Pop Data by Age'!$C$6,'Population Data by Age'!$B$6:$H$6,0))</f>
        <v>5703000</v>
      </c>
      <c r="AM57" s="78">
        <f>INDEX('Population Data by Age'!$B$7:$H$10366,MATCH(CONCATENATE('Tabular Pop Data by Age'!$C57,'Tabular Pop Data by Age'!AM$7),'Population Data by Age'!$B$7:$B$10366,0),MATCH('Tabular Pop Data by Age'!$C$6,'Population Data by Age'!$B$6:$H$6,0))</f>
        <v>5623000</v>
      </c>
      <c r="AN57" s="78">
        <f>INDEX('Population Data by Age'!$B$7:$H$10366,MATCH(CONCATENATE('Tabular Pop Data by Age'!$C57,'Tabular Pop Data by Age'!AN$7),'Population Data by Age'!$B$7:$B$10366,0),MATCH('Tabular Pop Data by Age'!$C$6,'Population Data by Age'!$B$6:$H$6,0))</f>
        <v>11327000</v>
      </c>
      <c r="AO57" s="78">
        <f>INDEX('Population Data by Age'!$B$7:$H$10366,MATCH(CONCATENATE('Tabular Pop Data by Age'!$C57,'Tabular Pop Data by Age'!AO$7),'Population Data by Age'!$B$7:$B$10366,0),MATCH('Tabular Pop Data by Age'!$C$6,'Population Data by Age'!$B$6:$H$6,0))</f>
        <v>0</v>
      </c>
      <c r="AP57" s="79">
        <f t="shared" si="0"/>
        <v>572000</v>
      </c>
      <c r="AQ57" s="79">
        <f t="shared" si="1"/>
        <v>628000</v>
      </c>
      <c r="AR57" s="79">
        <f t="shared" si="2"/>
        <v>603000</v>
      </c>
      <c r="AS57" s="79">
        <f t="shared" si="3"/>
        <v>643000</v>
      </c>
      <c r="AT57" s="79">
        <f t="shared" si="4"/>
        <v>701000</v>
      </c>
      <c r="AU57" s="79">
        <f t="shared" si="5"/>
        <v>719000</v>
      </c>
      <c r="AV57" s="79">
        <f t="shared" si="6"/>
        <v>831000</v>
      </c>
      <c r="AW57" s="79">
        <f t="shared" si="7"/>
        <v>692000</v>
      </c>
      <c r="AX57" s="79">
        <f t="shared" si="8"/>
        <v>618000</v>
      </c>
      <c r="AY57" s="79">
        <f t="shared" si="9"/>
        <v>944000</v>
      </c>
      <c r="AZ57" s="79">
        <f t="shared" si="10"/>
        <v>998000</v>
      </c>
      <c r="BA57" s="79">
        <f t="shared" si="11"/>
        <v>968000</v>
      </c>
      <c r="BB57" s="79">
        <f t="shared" si="12"/>
        <v>607000</v>
      </c>
      <c r="BC57" s="79">
        <f t="shared" si="13"/>
        <v>567000</v>
      </c>
      <c r="BD57" s="79">
        <f t="shared" si="14"/>
        <v>449000</v>
      </c>
      <c r="BE57" s="79">
        <f t="shared" si="15"/>
        <v>355000</v>
      </c>
      <c r="BF57" s="79">
        <f t="shared" si="16"/>
        <v>429000</v>
      </c>
    </row>
    <row r="58" spans="1:58" x14ac:dyDescent="0.25">
      <c r="A58" s="138" t="s">
        <v>1195</v>
      </c>
      <c r="B58" t="s">
        <v>466</v>
      </c>
      <c r="C58" t="s">
        <v>467</v>
      </c>
      <c r="D58" s="78">
        <f>INDEX('Population Data by Age'!$B$7:$H$10366,MATCH(CONCATENATE('Tabular Pop Data by Age'!$C58,'Tabular Pop Data by Age'!D$7),'Population Data by Age'!$B$7:$B$10366,0),MATCH('Tabular Pop Data by Age'!$C$6,'Population Data by Age'!$B$6:$H$6,0))</f>
        <v>4300</v>
      </c>
      <c r="E58" s="78">
        <f>INDEX('Population Data by Age'!$B$7:$H$10366,MATCH(CONCATENATE('Tabular Pop Data by Age'!$C58,'Tabular Pop Data by Age'!E$7),'Population Data by Age'!$B$7:$B$10366,0),MATCH('Tabular Pop Data by Age'!$C$6,'Population Data by Age'!$B$6:$H$6,0))</f>
        <v>4500</v>
      </c>
      <c r="F58" s="78">
        <f>INDEX('Population Data by Age'!$B$7:$H$10366,MATCH(CONCATENATE('Tabular Pop Data by Age'!$C58,'Tabular Pop Data by Age'!F$7),'Population Data by Age'!$B$7:$B$10366,0),MATCH('Tabular Pop Data by Age'!$C$6,'Population Data by Age'!$B$6:$H$6,0))</f>
        <v>5000</v>
      </c>
      <c r="G58" s="78">
        <f>INDEX('Population Data by Age'!$B$7:$H$10366,MATCH(CONCATENATE('Tabular Pop Data by Age'!$C58,'Tabular Pop Data by Age'!G$7),'Population Data by Age'!$B$7:$B$10366,0),MATCH('Tabular Pop Data by Age'!$C$6,'Population Data by Age'!$B$6:$H$6,0))</f>
        <v>5200</v>
      </c>
      <c r="H58" s="78">
        <f>INDEX('Population Data by Age'!$B$7:$H$10366,MATCH(CONCATENATE('Tabular Pop Data by Age'!$C58,'Tabular Pop Data by Age'!H$7),'Population Data by Age'!$B$7:$B$10366,0),MATCH('Tabular Pop Data by Age'!$C$6,'Population Data by Age'!$B$6:$H$6,0))</f>
        <v>5100</v>
      </c>
      <c r="I58" s="78">
        <f>INDEX('Population Data by Age'!$B$7:$H$10366,MATCH(CONCATENATE('Tabular Pop Data by Age'!$C58,'Tabular Pop Data by Age'!I$7),'Population Data by Age'!$B$7:$B$10366,0),MATCH('Tabular Pop Data by Age'!$C$6,'Population Data by Age'!$B$6:$H$6,0))</f>
        <v>5300</v>
      </c>
      <c r="J58" s="78">
        <f>INDEX('Population Data by Age'!$B$7:$H$10366,MATCH(CONCATENATE('Tabular Pop Data by Age'!$C58,'Tabular Pop Data by Age'!J$7),'Population Data by Age'!$B$7:$B$10366,0),MATCH('Tabular Pop Data by Age'!$C$6,'Population Data by Age'!$B$6:$H$6,0))</f>
        <v>5300</v>
      </c>
      <c r="K58" s="78">
        <f>INDEX('Population Data by Age'!$B$7:$H$10366,MATCH(CONCATENATE('Tabular Pop Data by Age'!$C58,'Tabular Pop Data by Age'!K$7),'Population Data by Age'!$B$7:$B$10366,0),MATCH('Tabular Pop Data by Age'!$C$6,'Population Data by Age'!$B$6:$H$6,0))</f>
        <v>5600</v>
      </c>
      <c r="L58" s="78">
        <f>INDEX('Population Data by Age'!$B$7:$H$10366,MATCH(CONCATENATE('Tabular Pop Data by Age'!$C58,'Tabular Pop Data by Age'!L$7),'Population Data by Age'!$B$7:$B$10366,0),MATCH('Tabular Pop Data by Age'!$C$6,'Population Data by Age'!$B$6:$H$6,0))</f>
        <v>4600</v>
      </c>
      <c r="M58" s="78">
        <f>INDEX('Population Data by Age'!$B$7:$H$10366,MATCH(CONCATENATE('Tabular Pop Data by Age'!$C58,'Tabular Pop Data by Age'!M$7),'Population Data by Age'!$B$7:$B$10366,0),MATCH('Tabular Pop Data by Age'!$C$6,'Population Data by Age'!$B$6:$H$6,0))</f>
        <v>4800</v>
      </c>
      <c r="N58" s="78">
        <f>INDEX('Population Data by Age'!$B$7:$H$10366,MATCH(CONCATENATE('Tabular Pop Data by Age'!$C58,'Tabular Pop Data by Age'!N$7),'Population Data by Age'!$B$7:$B$10366,0),MATCH('Tabular Pop Data by Age'!$C$6,'Population Data by Age'!$B$6:$H$6,0))</f>
        <v>5000</v>
      </c>
      <c r="O58" s="78">
        <f>INDEX('Population Data by Age'!$B$7:$H$10366,MATCH(CONCATENATE('Tabular Pop Data by Age'!$C58,'Tabular Pop Data by Age'!O$7),'Population Data by Age'!$B$7:$B$10366,0),MATCH('Tabular Pop Data by Age'!$C$6,'Population Data by Age'!$B$6:$H$6,0))</f>
        <v>4900</v>
      </c>
      <c r="P58" s="78">
        <f>INDEX('Population Data by Age'!$B$7:$H$10366,MATCH(CONCATENATE('Tabular Pop Data by Age'!$C58,'Tabular Pop Data by Age'!P$7),'Population Data by Age'!$B$7:$B$10366,0),MATCH('Tabular Pop Data by Age'!$C$6,'Population Data by Age'!$B$6:$H$6,0))</f>
        <v>5000</v>
      </c>
      <c r="Q58" s="78">
        <f>INDEX('Population Data by Age'!$B$7:$H$10366,MATCH(CONCATENATE('Tabular Pop Data by Age'!$C58,'Tabular Pop Data by Age'!Q$7),'Population Data by Age'!$B$7:$B$10366,0),MATCH('Tabular Pop Data by Age'!$C$6,'Population Data by Age'!$B$6:$H$6,0))</f>
        <v>4200</v>
      </c>
      <c r="R58" s="78">
        <f>INDEX('Population Data by Age'!$B$7:$H$10366,MATCH(CONCATENATE('Tabular Pop Data by Age'!$C58,'Tabular Pop Data by Age'!R$7),'Population Data by Age'!$B$7:$B$10366,0),MATCH('Tabular Pop Data by Age'!$C$6,'Population Data by Age'!$B$6:$H$6,0))</f>
        <v>5200</v>
      </c>
      <c r="S58" s="78">
        <f>INDEX('Population Data by Age'!$B$7:$H$10366,MATCH(CONCATENATE('Tabular Pop Data by Age'!$C58,'Tabular Pop Data by Age'!S$7),'Population Data by Age'!$B$7:$B$10366,0),MATCH('Tabular Pop Data by Age'!$C$6,'Population Data by Age'!$B$6:$H$6,0))</f>
        <v>4100</v>
      </c>
      <c r="T58" s="78">
        <f>INDEX('Population Data by Age'!$B$7:$H$10366,MATCH(CONCATENATE('Tabular Pop Data by Age'!$C58,'Tabular Pop Data by Age'!T$7),'Population Data by Age'!$B$7:$B$10366,0),MATCH('Tabular Pop Data by Age'!$C$6,'Population Data by Age'!$B$6:$H$6,0))</f>
        <v>5200</v>
      </c>
      <c r="U58" s="78">
        <f>INDEX('Population Data by Age'!$B$7:$H$10366,MATCH(CONCATENATE('Tabular Pop Data by Age'!$C58,'Tabular Pop Data by Age'!U$7),'Population Data by Age'!$B$7:$B$10366,0),MATCH('Tabular Pop Data by Age'!$C$6,'Population Data by Age'!$B$6:$H$6,0))</f>
        <v>3900</v>
      </c>
      <c r="V58" s="78">
        <f>INDEX('Population Data by Age'!$B$7:$H$10366,MATCH(CONCATENATE('Tabular Pop Data by Age'!$C58,'Tabular Pop Data by Age'!V$7),'Population Data by Age'!$B$7:$B$10366,0),MATCH('Tabular Pop Data by Age'!$C$6,'Population Data by Age'!$B$6:$H$6,0))</f>
        <v>6100</v>
      </c>
      <c r="W58" s="78">
        <f>INDEX('Population Data by Age'!$B$7:$H$10366,MATCH(CONCATENATE('Tabular Pop Data by Age'!$C58,'Tabular Pop Data by Age'!W$7),'Population Data by Age'!$B$7:$B$10366,0),MATCH('Tabular Pop Data by Age'!$C$6,'Population Data by Age'!$B$6:$H$6,0))</f>
        <v>4800</v>
      </c>
      <c r="X58" s="78">
        <f>INDEX('Population Data by Age'!$B$7:$H$10366,MATCH(CONCATENATE('Tabular Pop Data by Age'!$C58,'Tabular Pop Data by Age'!X$7),'Population Data by Age'!$B$7:$B$10366,0),MATCH('Tabular Pop Data by Age'!$C$6,'Population Data by Age'!$B$6:$H$6,0))</f>
        <v>6400</v>
      </c>
      <c r="Y58" s="78">
        <f>INDEX('Population Data by Age'!$B$7:$H$10366,MATCH(CONCATENATE('Tabular Pop Data by Age'!$C58,'Tabular Pop Data by Age'!Y$7),'Population Data by Age'!$B$7:$B$10366,0),MATCH('Tabular Pop Data by Age'!$C$6,'Population Data by Age'!$B$6:$H$6,0))</f>
        <v>5100</v>
      </c>
      <c r="Z58" s="78">
        <f>INDEX('Population Data by Age'!$B$7:$H$10366,MATCH(CONCATENATE('Tabular Pop Data by Age'!$C58,'Tabular Pop Data by Age'!Z$7),'Population Data by Age'!$B$7:$B$10366,0),MATCH('Tabular Pop Data by Age'!$C$6,'Population Data by Age'!$B$6:$H$6,0))</f>
        <v>7100</v>
      </c>
      <c r="AA58" s="78">
        <f>INDEX('Population Data by Age'!$B$7:$H$10366,MATCH(CONCATENATE('Tabular Pop Data by Age'!$C58,'Tabular Pop Data by Age'!AA$7),'Population Data by Age'!$B$7:$B$10366,0),MATCH('Tabular Pop Data by Age'!$C$6,'Population Data by Age'!$B$6:$H$6,0))</f>
        <v>5500</v>
      </c>
      <c r="AB58" s="78">
        <f>INDEX('Population Data by Age'!$B$7:$H$10366,MATCH(CONCATENATE('Tabular Pop Data by Age'!$C58,'Tabular Pop Data by Age'!AB$7),'Population Data by Age'!$B$7:$B$10366,0),MATCH('Tabular Pop Data by Age'!$C$6,'Population Data by Age'!$B$6:$H$6,0))</f>
        <v>6300</v>
      </c>
      <c r="AC58" s="78">
        <f>INDEX('Population Data by Age'!$B$7:$H$10366,MATCH(CONCATENATE('Tabular Pop Data by Age'!$C58,'Tabular Pop Data by Age'!AC$7),'Population Data by Age'!$B$7:$B$10366,0),MATCH('Tabular Pop Data by Age'!$C$6,'Population Data by Age'!$B$6:$H$6,0))</f>
        <v>4800</v>
      </c>
      <c r="AD58" s="78">
        <f>INDEX('Population Data by Age'!$B$7:$H$10366,MATCH(CONCATENATE('Tabular Pop Data by Age'!$C58,'Tabular Pop Data by Age'!AD$7),'Population Data by Age'!$B$7:$B$10366,0),MATCH('Tabular Pop Data by Age'!$C$6,'Population Data by Age'!$B$6:$H$6,0))</f>
        <v>5300</v>
      </c>
      <c r="AE58" s="78">
        <f>INDEX('Population Data by Age'!$B$7:$H$10366,MATCH(CONCATENATE('Tabular Pop Data by Age'!$C58,'Tabular Pop Data by Age'!AE$7),'Population Data by Age'!$B$7:$B$10366,0),MATCH('Tabular Pop Data by Age'!$C$6,'Population Data by Age'!$B$6:$H$6,0))</f>
        <v>4000</v>
      </c>
      <c r="AF58" s="78">
        <f>INDEX('Population Data by Age'!$B$7:$H$10366,MATCH(CONCATENATE('Tabular Pop Data by Age'!$C58,'Tabular Pop Data by Age'!AF$7),'Population Data by Age'!$B$7:$B$10366,0),MATCH('Tabular Pop Data by Age'!$C$6,'Population Data by Age'!$B$6:$H$6,0))</f>
        <v>4400</v>
      </c>
      <c r="AG58" s="78">
        <f>INDEX('Population Data by Age'!$B$7:$H$10366,MATCH(CONCATENATE('Tabular Pop Data by Age'!$C58,'Tabular Pop Data by Age'!AG$7),'Population Data by Age'!$B$7:$B$10366,0),MATCH('Tabular Pop Data by Age'!$C$6,'Population Data by Age'!$B$6:$H$6,0))</f>
        <v>3300</v>
      </c>
      <c r="AH58" s="78">
        <f>INDEX('Population Data by Age'!$B$7:$H$10366,MATCH(CONCATENATE('Tabular Pop Data by Age'!$C58,'Tabular Pop Data by Age'!AH$7),'Population Data by Age'!$B$7:$B$10366,0),MATCH('Tabular Pop Data by Age'!$C$6,'Population Data by Age'!$B$6:$H$6,0))</f>
        <v>3100</v>
      </c>
      <c r="AI58" s="78">
        <f>INDEX('Population Data by Age'!$B$7:$H$10366,MATCH(CONCATENATE('Tabular Pop Data by Age'!$C58,'Tabular Pop Data by Age'!AI$7),'Population Data by Age'!$B$7:$B$10366,0),MATCH('Tabular Pop Data by Age'!$C$6,'Population Data by Age'!$B$6:$H$6,0))</f>
        <v>2100</v>
      </c>
      <c r="AJ58" s="78">
        <f>INDEX('Population Data by Age'!$B$7:$H$10366,MATCH(CONCATENATE('Tabular Pop Data by Age'!$C58,'Tabular Pop Data by Age'!AJ$7),'Population Data by Age'!$B$7:$B$10366,0),MATCH('Tabular Pop Data by Age'!$C$6,'Population Data by Age'!$B$6:$H$6,0))</f>
        <v>4000</v>
      </c>
      <c r="AK58" s="78">
        <f>INDEX('Population Data by Age'!$B$7:$H$10366,MATCH(CONCATENATE('Tabular Pop Data by Age'!$C58,'Tabular Pop Data by Age'!AK$7),'Population Data by Age'!$B$7:$B$10366,0),MATCH('Tabular Pop Data by Age'!$C$6,'Population Data by Age'!$B$6:$H$6,0))</f>
        <v>2400</v>
      </c>
      <c r="AL58" s="78">
        <f>INDEX('Population Data by Age'!$B$7:$H$10366,MATCH(CONCATENATE('Tabular Pop Data by Age'!$C58,'Tabular Pop Data by Age'!AL$7),'Population Data by Age'!$B$7:$B$10366,0),MATCH('Tabular Pop Data by Age'!$C$6,'Population Data by Age'!$B$6:$H$6,0))</f>
        <v>87000</v>
      </c>
      <c r="AM58" s="78">
        <f>INDEX('Population Data by Age'!$B$7:$H$10366,MATCH(CONCATENATE('Tabular Pop Data by Age'!$C58,'Tabular Pop Data by Age'!AM$7),'Population Data by Age'!$B$7:$B$10366,0),MATCH('Tabular Pop Data by Age'!$C$6,'Population Data by Age'!$B$6:$H$6,0))</f>
        <v>74000</v>
      </c>
      <c r="AN58" s="78">
        <f>INDEX('Population Data by Age'!$B$7:$H$10366,MATCH(CONCATENATE('Tabular Pop Data by Age'!$C58,'Tabular Pop Data by Age'!AN$7),'Population Data by Age'!$B$7:$B$10366,0),MATCH('Tabular Pop Data by Age'!$C$6,'Population Data by Age'!$B$6:$H$6,0))</f>
        <v>162000</v>
      </c>
      <c r="AO58" s="78">
        <f>INDEX('Population Data by Age'!$B$7:$H$10366,MATCH(CONCATENATE('Tabular Pop Data by Age'!$C58,'Tabular Pop Data by Age'!AO$7),'Population Data by Age'!$B$7:$B$10366,0),MATCH('Tabular Pop Data by Age'!$C$6,'Population Data by Age'!$B$6:$H$6,0))</f>
        <v>0</v>
      </c>
      <c r="AP58" s="79">
        <f t="shared" si="0"/>
        <v>8800</v>
      </c>
      <c r="AQ58" s="79">
        <f t="shared" si="1"/>
        <v>10200</v>
      </c>
      <c r="AR58" s="79">
        <f t="shared" si="2"/>
        <v>10400</v>
      </c>
      <c r="AS58" s="79">
        <f t="shared" si="3"/>
        <v>10900</v>
      </c>
      <c r="AT58" s="79">
        <f t="shared" si="4"/>
        <v>9400</v>
      </c>
      <c r="AU58" s="79">
        <f t="shared" si="5"/>
        <v>9900</v>
      </c>
      <c r="AV58" s="79">
        <f t="shared" si="6"/>
        <v>9200</v>
      </c>
      <c r="AW58" s="79">
        <f t="shared" si="7"/>
        <v>9300</v>
      </c>
      <c r="AX58" s="79">
        <f t="shared" si="8"/>
        <v>9100</v>
      </c>
      <c r="AY58" s="79">
        <f t="shared" si="9"/>
        <v>10900</v>
      </c>
      <c r="AZ58" s="79">
        <f t="shared" si="10"/>
        <v>11500</v>
      </c>
      <c r="BA58" s="79">
        <f t="shared" si="11"/>
        <v>12600</v>
      </c>
      <c r="BB58" s="79">
        <f t="shared" si="12"/>
        <v>11100</v>
      </c>
      <c r="BC58" s="79">
        <f t="shared" si="13"/>
        <v>9300</v>
      </c>
      <c r="BD58" s="79">
        <f t="shared" si="14"/>
        <v>7700</v>
      </c>
      <c r="BE58" s="79">
        <f t="shared" si="15"/>
        <v>5200</v>
      </c>
      <c r="BF58" s="79">
        <f t="shared" si="16"/>
        <v>6400</v>
      </c>
    </row>
    <row r="59" spans="1:58" x14ac:dyDescent="0.25">
      <c r="A59" s="138" t="s">
        <v>1195</v>
      </c>
      <c r="B59" t="s">
        <v>468</v>
      </c>
      <c r="C59" t="s">
        <v>32</v>
      </c>
      <c r="D59" s="78">
        <f>INDEX('Population Data by Age'!$B$7:$H$10366,MATCH(CONCATENATE('Tabular Pop Data by Age'!$C59,'Tabular Pop Data by Age'!D$7),'Population Data by Age'!$B$7:$B$10366,0),MATCH('Tabular Pop Data by Age'!$C$6,'Population Data by Age'!$B$6:$H$6,0))</f>
        <v>31000</v>
      </c>
      <c r="E59" s="78">
        <f>INDEX('Population Data by Age'!$B$7:$H$10366,MATCH(CONCATENATE('Tabular Pop Data by Age'!$C59,'Tabular Pop Data by Age'!E$7),'Population Data by Age'!$B$7:$B$10366,0),MATCH('Tabular Pop Data by Age'!$C$6,'Population Data by Age'!$B$6:$H$6,0))</f>
        <v>33000</v>
      </c>
      <c r="F59" s="78">
        <f>INDEX('Population Data by Age'!$B$7:$H$10366,MATCH(CONCATENATE('Tabular Pop Data by Age'!$C59,'Tabular Pop Data by Age'!F$7),'Population Data by Age'!$B$7:$B$10366,0),MATCH('Tabular Pop Data by Age'!$C$6,'Population Data by Age'!$B$6:$H$6,0))</f>
        <v>33000</v>
      </c>
      <c r="G59" s="78">
        <f>INDEX('Population Data by Age'!$B$7:$H$10366,MATCH(CONCATENATE('Tabular Pop Data by Age'!$C59,'Tabular Pop Data by Age'!G$7),'Population Data by Age'!$B$7:$B$10366,0),MATCH('Tabular Pop Data by Age'!$C$6,'Population Data by Age'!$B$6:$H$6,0))</f>
        <v>35000</v>
      </c>
      <c r="H59" s="78">
        <f>INDEX('Population Data by Age'!$B$7:$H$10366,MATCH(CONCATENATE('Tabular Pop Data by Age'!$C59,'Tabular Pop Data by Age'!H$7),'Population Data by Age'!$B$7:$B$10366,0),MATCH('Tabular Pop Data by Age'!$C$6,'Population Data by Age'!$B$6:$H$6,0))</f>
        <v>33000</v>
      </c>
      <c r="I59" s="78">
        <f>INDEX('Population Data by Age'!$B$7:$H$10366,MATCH(CONCATENATE('Tabular Pop Data by Age'!$C59,'Tabular Pop Data by Age'!I$7),'Population Data by Age'!$B$7:$B$10366,0),MATCH('Tabular Pop Data by Age'!$C$6,'Population Data by Age'!$B$6:$H$6,0))</f>
        <v>35000</v>
      </c>
      <c r="J59" s="78">
        <f>INDEX('Population Data by Age'!$B$7:$H$10366,MATCH(CONCATENATE('Tabular Pop Data by Age'!$C59,'Tabular Pop Data by Age'!J$7),'Population Data by Age'!$B$7:$B$10366,0),MATCH('Tabular Pop Data by Age'!$C$6,'Population Data by Age'!$B$6:$H$6,0))</f>
        <v>35000</v>
      </c>
      <c r="K59" s="78">
        <f>INDEX('Population Data by Age'!$B$7:$H$10366,MATCH(CONCATENATE('Tabular Pop Data by Age'!$C59,'Tabular Pop Data by Age'!K$7),'Population Data by Age'!$B$7:$B$10366,0),MATCH('Tabular Pop Data by Age'!$C$6,'Population Data by Age'!$B$6:$H$6,0))</f>
        <v>38000</v>
      </c>
      <c r="L59" s="78">
        <f>INDEX('Population Data by Age'!$B$7:$H$10366,MATCH(CONCATENATE('Tabular Pop Data by Age'!$C59,'Tabular Pop Data by Age'!L$7),'Population Data by Age'!$B$7:$B$10366,0),MATCH('Tabular Pop Data by Age'!$C$6,'Population Data by Age'!$B$6:$H$6,0))</f>
        <v>44000</v>
      </c>
      <c r="M59" s="78">
        <f>INDEX('Population Data by Age'!$B$7:$H$10366,MATCH(CONCATENATE('Tabular Pop Data by Age'!$C59,'Tabular Pop Data by Age'!M$7),'Population Data by Age'!$B$7:$B$10366,0),MATCH('Tabular Pop Data by Age'!$C$6,'Population Data by Age'!$B$6:$H$6,0))</f>
        <v>50000</v>
      </c>
      <c r="N59" s="78">
        <f>INDEX('Population Data by Age'!$B$7:$H$10366,MATCH(CONCATENATE('Tabular Pop Data by Age'!$C59,'Tabular Pop Data by Age'!N$7),'Population Data by Age'!$B$7:$B$10366,0),MATCH('Tabular Pop Data by Age'!$C$6,'Population Data by Age'!$B$6:$H$6,0))</f>
        <v>46000</v>
      </c>
      <c r="O59" s="78">
        <f>INDEX('Population Data by Age'!$B$7:$H$10366,MATCH(CONCATENATE('Tabular Pop Data by Age'!$C59,'Tabular Pop Data by Age'!O$7),'Population Data by Age'!$B$7:$B$10366,0),MATCH('Tabular Pop Data by Age'!$C$6,'Population Data by Age'!$B$6:$H$6,0))</f>
        <v>52000</v>
      </c>
      <c r="P59" s="78">
        <f>INDEX('Population Data by Age'!$B$7:$H$10366,MATCH(CONCATENATE('Tabular Pop Data by Age'!$C59,'Tabular Pop Data by Age'!P$7),'Population Data by Age'!$B$7:$B$10366,0),MATCH('Tabular Pop Data by Age'!$C$6,'Population Data by Age'!$B$6:$H$6,0))</f>
        <v>47000</v>
      </c>
      <c r="Q59" s="78">
        <f>INDEX('Population Data by Age'!$B$7:$H$10366,MATCH(CONCATENATE('Tabular Pop Data by Age'!$C59,'Tabular Pop Data by Age'!Q$7),'Population Data by Age'!$B$7:$B$10366,0),MATCH('Tabular Pop Data by Age'!$C$6,'Population Data by Age'!$B$6:$H$6,0))</f>
        <v>50000</v>
      </c>
      <c r="R59" s="78">
        <f>INDEX('Population Data by Age'!$B$7:$H$10366,MATCH(CONCATENATE('Tabular Pop Data by Age'!$C59,'Tabular Pop Data by Age'!R$7),'Population Data by Age'!$B$7:$B$10366,0),MATCH('Tabular Pop Data by Age'!$C$6,'Population Data by Age'!$B$6:$H$6,0))</f>
        <v>47000</v>
      </c>
      <c r="S59" s="78">
        <f>INDEX('Population Data by Age'!$B$7:$H$10366,MATCH(CONCATENATE('Tabular Pop Data by Age'!$C59,'Tabular Pop Data by Age'!S$7),'Population Data by Age'!$B$7:$B$10366,0),MATCH('Tabular Pop Data by Age'!$C$6,'Population Data by Age'!$B$6:$H$6,0))</f>
        <v>45000</v>
      </c>
      <c r="T59" s="78">
        <f>INDEX('Population Data by Age'!$B$7:$H$10366,MATCH(CONCATENATE('Tabular Pop Data by Age'!$C59,'Tabular Pop Data by Age'!T$7),'Population Data by Age'!$B$7:$B$10366,0),MATCH('Tabular Pop Data by Age'!$C$6,'Population Data by Age'!$B$6:$H$6,0))</f>
        <v>45000</v>
      </c>
      <c r="U59" s="78">
        <f>INDEX('Population Data by Age'!$B$7:$H$10366,MATCH(CONCATENATE('Tabular Pop Data by Age'!$C59,'Tabular Pop Data by Age'!U$7),'Population Data by Age'!$B$7:$B$10366,0),MATCH('Tabular Pop Data by Age'!$C$6,'Population Data by Age'!$B$6:$H$6,0))</f>
        <v>42000</v>
      </c>
      <c r="V59" s="78">
        <f>INDEX('Population Data by Age'!$B$7:$H$10366,MATCH(CONCATENATE('Tabular Pop Data by Age'!$C59,'Tabular Pop Data by Age'!V$7),'Population Data by Age'!$B$7:$B$10366,0),MATCH('Tabular Pop Data by Age'!$C$6,'Population Data by Age'!$B$6:$H$6,0))</f>
        <v>40000</v>
      </c>
      <c r="W59" s="78">
        <f>INDEX('Population Data by Age'!$B$7:$H$10366,MATCH(CONCATENATE('Tabular Pop Data by Age'!$C59,'Tabular Pop Data by Age'!W$7),'Population Data by Age'!$B$7:$B$10366,0),MATCH('Tabular Pop Data by Age'!$C$6,'Population Data by Age'!$B$6:$H$6,0))</f>
        <v>39000</v>
      </c>
      <c r="X59" s="78">
        <f>INDEX('Population Data by Age'!$B$7:$H$10366,MATCH(CONCATENATE('Tabular Pop Data by Age'!$C59,'Tabular Pop Data by Age'!X$7),'Population Data by Age'!$B$7:$B$10366,0),MATCH('Tabular Pop Data by Age'!$C$6,'Population Data by Age'!$B$6:$H$6,0))</f>
        <v>39000</v>
      </c>
      <c r="Y59" s="78">
        <f>INDEX('Population Data by Age'!$B$7:$H$10366,MATCH(CONCATENATE('Tabular Pop Data by Age'!$C59,'Tabular Pop Data by Age'!Y$7),'Population Data by Age'!$B$7:$B$10366,0),MATCH('Tabular Pop Data by Age'!$C$6,'Population Data by Age'!$B$6:$H$6,0))</f>
        <v>37000</v>
      </c>
      <c r="Z59" s="78">
        <f>INDEX('Population Data by Age'!$B$7:$H$10366,MATCH(CONCATENATE('Tabular Pop Data by Age'!$C59,'Tabular Pop Data by Age'!Z$7),'Population Data by Age'!$B$7:$B$10366,0),MATCH('Tabular Pop Data by Age'!$C$6,'Population Data by Age'!$B$6:$H$6,0))</f>
        <v>36000</v>
      </c>
      <c r="AA59" s="78">
        <f>INDEX('Population Data by Age'!$B$7:$H$10366,MATCH(CONCATENATE('Tabular Pop Data by Age'!$C59,'Tabular Pop Data by Age'!AA$7),'Population Data by Age'!$B$7:$B$10366,0),MATCH('Tabular Pop Data by Age'!$C$6,'Population Data by Age'!$B$6:$H$6,0))</f>
        <v>36000</v>
      </c>
      <c r="AB59" s="78">
        <f>INDEX('Population Data by Age'!$B$7:$H$10366,MATCH(CONCATENATE('Tabular Pop Data by Age'!$C59,'Tabular Pop Data by Age'!AB$7),'Population Data by Age'!$B$7:$B$10366,0),MATCH('Tabular Pop Data by Age'!$C$6,'Population Data by Age'!$B$6:$H$6,0))</f>
        <v>33000</v>
      </c>
      <c r="AC59" s="78">
        <f>INDEX('Population Data by Age'!$B$7:$H$10366,MATCH(CONCATENATE('Tabular Pop Data by Age'!$C59,'Tabular Pop Data by Age'!AC$7),'Population Data by Age'!$B$7:$B$10366,0),MATCH('Tabular Pop Data by Age'!$C$6,'Population Data by Age'!$B$6:$H$6,0))</f>
        <v>31000</v>
      </c>
      <c r="AD59" s="78">
        <f>INDEX('Population Data by Age'!$B$7:$H$10366,MATCH(CONCATENATE('Tabular Pop Data by Age'!$C59,'Tabular Pop Data by Age'!AD$7),'Population Data by Age'!$B$7:$B$10366,0),MATCH('Tabular Pop Data by Age'!$C$6,'Population Data by Age'!$B$6:$H$6,0))</f>
        <v>28000</v>
      </c>
      <c r="AE59" s="78">
        <f>INDEX('Population Data by Age'!$B$7:$H$10366,MATCH(CONCATENATE('Tabular Pop Data by Age'!$C59,'Tabular Pop Data by Age'!AE$7),'Population Data by Age'!$B$7:$B$10366,0),MATCH('Tabular Pop Data by Age'!$C$6,'Population Data by Age'!$B$6:$H$6,0))</f>
        <v>27000</v>
      </c>
      <c r="AF59" s="78">
        <f>INDEX('Population Data by Age'!$B$7:$H$10366,MATCH(CONCATENATE('Tabular Pop Data by Age'!$C59,'Tabular Pop Data by Age'!AF$7),'Population Data by Age'!$B$7:$B$10366,0),MATCH('Tabular Pop Data by Age'!$C$6,'Population Data by Age'!$B$6:$H$6,0))</f>
        <v>24000</v>
      </c>
      <c r="AG59" s="78">
        <f>INDEX('Population Data by Age'!$B$7:$H$10366,MATCH(CONCATENATE('Tabular Pop Data by Age'!$C59,'Tabular Pop Data by Age'!AG$7),'Population Data by Age'!$B$7:$B$10366,0),MATCH('Tabular Pop Data by Age'!$C$6,'Population Data by Age'!$B$6:$H$6,0))</f>
        <v>22000</v>
      </c>
      <c r="AH59" s="78">
        <f>INDEX('Population Data by Age'!$B$7:$H$10366,MATCH(CONCATENATE('Tabular Pop Data by Age'!$C59,'Tabular Pop Data by Age'!AH$7),'Population Data by Age'!$B$7:$B$10366,0),MATCH('Tabular Pop Data by Age'!$C$6,'Population Data by Age'!$B$6:$H$6,0))</f>
        <v>18000</v>
      </c>
      <c r="AI59" s="78">
        <f>INDEX('Population Data by Age'!$B$7:$H$10366,MATCH(CONCATENATE('Tabular Pop Data by Age'!$C59,'Tabular Pop Data by Age'!AI$7),'Population Data by Age'!$B$7:$B$10366,0),MATCH('Tabular Pop Data by Age'!$C$6,'Population Data by Age'!$B$6:$H$6,0))</f>
        <v>15000</v>
      </c>
      <c r="AJ59" s="78">
        <f>INDEX('Population Data by Age'!$B$7:$H$10366,MATCH(CONCATENATE('Tabular Pop Data by Age'!$C59,'Tabular Pop Data by Age'!AJ$7),'Population Data by Age'!$B$7:$B$10366,0),MATCH('Tabular Pop Data by Age'!$C$6,'Population Data by Age'!$B$6:$H$6,0))</f>
        <v>24000</v>
      </c>
      <c r="AK59" s="78">
        <f>INDEX('Population Data by Age'!$B$7:$H$10366,MATCH(CONCATENATE('Tabular Pop Data by Age'!$C59,'Tabular Pop Data by Age'!AK$7),'Population Data by Age'!$B$7:$B$10366,0),MATCH('Tabular Pop Data by Age'!$C$6,'Population Data by Age'!$B$6:$H$6,0))</f>
        <v>16000</v>
      </c>
      <c r="AL59" s="78">
        <f>INDEX('Population Data by Age'!$B$7:$H$10366,MATCH(CONCATENATE('Tabular Pop Data by Age'!$C59,'Tabular Pop Data by Age'!AL$7),'Population Data by Age'!$B$7:$B$10366,0),MATCH('Tabular Pop Data by Age'!$C$6,'Population Data by Age'!$B$6:$H$6,0))</f>
        <v>604000</v>
      </c>
      <c r="AM59" s="78">
        <f>INDEX('Population Data by Age'!$B$7:$H$10366,MATCH(CONCATENATE('Tabular Pop Data by Age'!$C59,'Tabular Pop Data by Age'!AM$7),'Population Data by Age'!$B$7:$B$10366,0),MATCH('Tabular Pop Data by Age'!$C$6,'Population Data by Age'!$B$6:$H$6,0))</f>
        <v>604000</v>
      </c>
      <c r="AN59" s="78">
        <f>INDEX('Population Data by Age'!$B$7:$H$10366,MATCH(CONCATENATE('Tabular Pop Data by Age'!$C59,'Tabular Pop Data by Age'!AN$7),'Population Data by Age'!$B$7:$B$10366,0),MATCH('Tabular Pop Data by Age'!$C$6,'Population Data by Age'!$B$6:$H$6,0))</f>
        <v>1207000</v>
      </c>
      <c r="AO59" s="78">
        <f>INDEX('Population Data by Age'!$B$7:$H$10366,MATCH(CONCATENATE('Tabular Pop Data by Age'!$C59,'Tabular Pop Data by Age'!AO$7),'Population Data by Age'!$B$7:$B$10366,0),MATCH('Tabular Pop Data by Age'!$C$6,'Population Data by Age'!$B$6:$H$6,0))</f>
        <v>0</v>
      </c>
      <c r="AP59" s="79">
        <f t="shared" si="0"/>
        <v>64000</v>
      </c>
      <c r="AQ59" s="79">
        <f t="shared" si="1"/>
        <v>68000</v>
      </c>
      <c r="AR59" s="79">
        <f t="shared" si="2"/>
        <v>68000</v>
      </c>
      <c r="AS59" s="79">
        <f t="shared" si="3"/>
        <v>73000</v>
      </c>
      <c r="AT59" s="79">
        <f t="shared" si="4"/>
        <v>94000</v>
      </c>
      <c r="AU59" s="79">
        <f t="shared" si="5"/>
        <v>98000</v>
      </c>
      <c r="AV59" s="79">
        <f t="shared" si="6"/>
        <v>97000</v>
      </c>
      <c r="AW59" s="79">
        <f t="shared" si="7"/>
        <v>92000</v>
      </c>
      <c r="AX59" s="79">
        <f t="shared" si="8"/>
        <v>87000</v>
      </c>
      <c r="AY59" s="79">
        <f t="shared" si="9"/>
        <v>79000</v>
      </c>
      <c r="AZ59" s="79">
        <f t="shared" si="10"/>
        <v>76000</v>
      </c>
      <c r="BA59" s="79">
        <f t="shared" si="11"/>
        <v>72000</v>
      </c>
      <c r="BB59" s="79">
        <f t="shared" si="12"/>
        <v>64000</v>
      </c>
      <c r="BC59" s="79">
        <f t="shared" si="13"/>
        <v>55000</v>
      </c>
      <c r="BD59" s="79">
        <f t="shared" si="14"/>
        <v>46000</v>
      </c>
      <c r="BE59" s="79">
        <f t="shared" si="15"/>
        <v>33000</v>
      </c>
      <c r="BF59" s="79">
        <f t="shared" si="16"/>
        <v>40000</v>
      </c>
    </row>
    <row r="60" spans="1:58" x14ac:dyDescent="0.25">
      <c r="A60" s="138" t="s">
        <v>1195</v>
      </c>
      <c r="B60" t="s">
        <v>469</v>
      </c>
      <c r="C60" t="s">
        <v>33</v>
      </c>
      <c r="D60" s="78">
        <f>INDEX('Population Data by Age'!$B$7:$H$10366,MATCH(CONCATENATE('Tabular Pop Data by Age'!$C60,'Tabular Pop Data by Age'!D$7),'Population Data by Age'!$B$7:$B$10366,0),MATCH('Tabular Pop Data by Age'!$C$6,'Population Data by Age'!$B$6:$H$6,0))</f>
        <v>270000</v>
      </c>
      <c r="E60" s="78">
        <f>INDEX('Population Data by Age'!$B$7:$H$10366,MATCH(CONCATENATE('Tabular Pop Data by Age'!$C60,'Tabular Pop Data by Age'!E$7),'Population Data by Age'!$B$7:$B$10366,0),MATCH('Tabular Pop Data by Age'!$C$6,'Population Data by Age'!$B$6:$H$6,0))</f>
        <v>285000</v>
      </c>
      <c r="F60" s="78">
        <f>INDEX('Population Data by Age'!$B$7:$H$10366,MATCH(CONCATENATE('Tabular Pop Data by Age'!$C60,'Tabular Pop Data by Age'!F$7),'Population Data by Age'!$B$7:$B$10366,0),MATCH('Tabular Pop Data by Age'!$C$6,'Population Data by Age'!$B$6:$H$6,0))</f>
        <v>268000</v>
      </c>
      <c r="G60" s="78">
        <f>INDEX('Population Data by Age'!$B$7:$H$10366,MATCH(CONCATENATE('Tabular Pop Data by Age'!$C60,'Tabular Pop Data by Age'!G$7),'Population Data by Age'!$B$7:$B$10366,0),MATCH('Tabular Pop Data by Age'!$C$6,'Population Data by Age'!$B$6:$H$6,0))</f>
        <v>283000</v>
      </c>
      <c r="H60" s="78">
        <f>INDEX('Population Data by Age'!$B$7:$H$10366,MATCH(CONCATENATE('Tabular Pop Data by Age'!$C60,'Tabular Pop Data by Age'!H$7),'Population Data by Age'!$B$7:$B$10366,0),MATCH('Tabular Pop Data by Age'!$C$6,'Population Data by Age'!$B$6:$H$6,0))</f>
        <v>277000</v>
      </c>
      <c r="I60" s="78">
        <f>INDEX('Population Data by Age'!$B$7:$H$10366,MATCH(CONCATENATE('Tabular Pop Data by Age'!$C60,'Tabular Pop Data by Age'!I$7),'Population Data by Age'!$B$7:$B$10366,0),MATCH('Tabular Pop Data by Age'!$C$6,'Population Data by Age'!$B$6:$H$6,0))</f>
        <v>292000</v>
      </c>
      <c r="J60" s="78">
        <f>INDEX('Population Data by Age'!$B$7:$H$10366,MATCH(CONCATENATE('Tabular Pop Data by Age'!$C60,'Tabular Pop Data by Age'!J$7),'Population Data by Age'!$B$7:$B$10366,0),MATCH('Tabular Pop Data by Age'!$C$6,'Population Data by Age'!$B$6:$H$6,0))</f>
        <v>236000</v>
      </c>
      <c r="K60" s="78">
        <f>INDEX('Population Data by Age'!$B$7:$H$10366,MATCH(CONCATENATE('Tabular Pop Data by Age'!$C60,'Tabular Pop Data by Age'!K$7),'Population Data by Age'!$B$7:$B$10366,0),MATCH('Tabular Pop Data by Age'!$C$6,'Population Data by Age'!$B$6:$H$6,0))</f>
        <v>248000</v>
      </c>
      <c r="L60" s="78">
        <f>INDEX('Population Data by Age'!$B$7:$H$10366,MATCH(CONCATENATE('Tabular Pop Data by Age'!$C60,'Tabular Pop Data by Age'!L$7),'Population Data by Age'!$B$7:$B$10366,0),MATCH('Tabular Pop Data by Age'!$C$6,'Population Data by Age'!$B$6:$H$6,0))</f>
        <v>229000</v>
      </c>
      <c r="M60" s="78">
        <f>INDEX('Population Data by Age'!$B$7:$H$10366,MATCH(CONCATENATE('Tabular Pop Data by Age'!$C60,'Tabular Pop Data by Age'!M$7),'Population Data by Age'!$B$7:$B$10366,0),MATCH('Tabular Pop Data by Age'!$C$6,'Population Data by Age'!$B$6:$H$6,0))</f>
        <v>239000</v>
      </c>
      <c r="N60" s="78">
        <f>INDEX('Population Data by Age'!$B$7:$H$10366,MATCH(CONCATENATE('Tabular Pop Data by Age'!$C60,'Tabular Pop Data by Age'!N$7),'Population Data by Age'!$B$7:$B$10366,0),MATCH('Tabular Pop Data by Age'!$C$6,'Population Data by Age'!$B$6:$H$6,0))</f>
        <v>308000</v>
      </c>
      <c r="O60" s="78">
        <f>INDEX('Population Data by Age'!$B$7:$H$10366,MATCH(CONCATENATE('Tabular Pop Data by Age'!$C60,'Tabular Pop Data by Age'!O$7),'Population Data by Age'!$B$7:$B$10366,0),MATCH('Tabular Pop Data by Age'!$C$6,'Population Data by Age'!$B$6:$H$6,0))</f>
        <v>321000</v>
      </c>
      <c r="P60" s="78">
        <f>INDEX('Population Data by Age'!$B$7:$H$10366,MATCH(CONCATENATE('Tabular Pop Data by Age'!$C60,'Tabular Pop Data by Age'!P$7),'Population Data by Age'!$B$7:$B$10366,0),MATCH('Tabular Pop Data by Age'!$C$6,'Population Data by Age'!$B$6:$H$6,0))</f>
        <v>346000</v>
      </c>
      <c r="Q60" s="78">
        <f>INDEX('Population Data by Age'!$B$7:$H$10366,MATCH(CONCATENATE('Tabular Pop Data by Age'!$C60,'Tabular Pop Data by Age'!Q$7),'Population Data by Age'!$B$7:$B$10366,0),MATCH('Tabular Pop Data by Age'!$C$6,'Population Data by Age'!$B$6:$H$6,0))</f>
        <v>365000</v>
      </c>
      <c r="R60" s="78">
        <f>INDEX('Population Data by Age'!$B$7:$H$10366,MATCH(CONCATENATE('Tabular Pop Data by Age'!$C60,'Tabular Pop Data by Age'!R$7),'Population Data by Age'!$B$7:$B$10366,0),MATCH('Tabular Pop Data by Age'!$C$6,'Population Data by Age'!$B$6:$H$6,0))</f>
        <v>366000</v>
      </c>
      <c r="S60" s="78">
        <f>INDEX('Population Data by Age'!$B$7:$H$10366,MATCH(CONCATENATE('Tabular Pop Data by Age'!$C60,'Tabular Pop Data by Age'!S$7),'Population Data by Age'!$B$7:$B$10366,0),MATCH('Tabular Pop Data by Age'!$C$6,'Population Data by Age'!$B$6:$H$6,0))</f>
        <v>389000</v>
      </c>
      <c r="T60" s="78">
        <f>INDEX('Population Data by Age'!$B$7:$H$10366,MATCH(CONCATENATE('Tabular Pop Data by Age'!$C60,'Tabular Pop Data by Age'!T$7),'Population Data by Age'!$B$7:$B$10366,0),MATCH('Tabular Pop Data by Age'!$C$6,'Population Data by Age'!$B$6:$H$6,0))</f>
        <v>450000</v>
      </c>
      <c r="U60" s="78">
        <f>INDEX('Population Data by Age'!$B$7:$H$10366,MATCH(CONCATENATE('Tabular Pop Data by Age'!$C60,'Tabular Pop Data by Age'!U$7),'Population Data by Age'!$B$7:$B$10366,0),MATCH('Tabular Pop Data by Age'!$C$6,'Population Data by Age'!$B$6:$H$6,0))</f>
        <v>474000</v>
      </c>
      <c r="V60" s="78">
        <f>INDEX('Population Data by Age'!$B$7:$H$10366,MATCH(CONCATENATE('Tabular Pop Data by Age'!$C60,'Tabular Pop Data by Age'!V$7),'Population Data by Age'!$B$7:$B$10366,0),MATCH('Tabular Pop Data by Age'!$C$6,'Population Data by Age'!$B$6:$H$6,0))</f>
        <v>421000</v>
      </c>
      <c r="W60" s="78">
        <f>INDEX('Population Data by Age'!$B$7:$H$10366,MATCH(CONCATENATE('Tabular Pop Data by Age'!$C60,'Tabular Pop Data by Age'!W$7),'Population Data by Age'!$B$7:$B$10366,0),MATCH('Tabular Pop Data by Age'!$C$6,'Population Data by Age'!$B$6:$H$6,0))</f>
        <v>441000</v>
      </c>
      <c r="X60" s="78">
        <f>INDEX('Population Data by Age'!$B$7:$H$10366,MATCH(CONCATENATE('Tabular Pop Data by Age'!$C60,'Tabular Pop Data by Age'!X$7),'Population Data by Age'!$B$7:$B$10366,0),MATCH('Tabular Pop Data by Age'!$C$6,'Population Data by Age'!$B$6:$H$6,0))</f>
        <v>338000</v>
      </c>
      <c r="Y60" s="78">
        <f>INDEX('Population Data by Age'!$B$7:$H$10366,MATCH(CONCATENATE('Tabular Pop Data by Age'!$C60,'Tabular Pop Data by Age'!Y$7),'Population Data by Age'!$B$7:$B$10366,0),MATCH('Tabular Pop Data by Age'!$C$6,'Population Data by Age'!$B$6:$H$6,0))</f>
        <v>351000</v>
      </c>
      <c r="Z60" s="78">
        <f>INDEX('Population Data by Age'!$B$7:$H$10366,MATCH(CONCATENATE('Tabular Pop Data by Age'!$C60,'Tabular Pop Data by Age'!Z$7),'Population Data by Age'!$B$7:$B$10366,0),MATCH('Tabular Pop Data by Age'!$C$6,'Population Data by Age'!$B$6:$H$6,0))</f>
        <v>326000</v>
      </c>
      <c r="AA60" s="78">
        <f>INDEX('Population Data by Age'!$B$7:$H$10366,MATCH(CONCATENATE('Tabular Pop Data by Age'!$C60,'Tabular Pop Data by Age'!AA$7),'Population Data by Age'!$B$7:$B$10366,0),MATCH('Tabular Pop Data by Age'!$C$6,'Population Data by Age'!$B$6:$H$6,0))</f>
        <v>327000</v>
      </c>
      <c r="AB60" s="78">
        <f>INDEX('Population Data by Age'!$B$7:$H$10366,MATCH(CONCATENATE('Tabular Pop Data by Age'!$C60,'Tabular Pop Data by Age'!AB$7),'Population Data by Age'!$B$7:$B$10366,0),MATCH('Tabular Pop Data by Age'!$C$6,'Population Data by Age'!$B$6:$H$6,0))</f>
        <v>328000</v>
      </c>
      <c r="AC60" s="78">
        <f>INDEX('Population Data by Age'!$B$7:$H$10366,MATCH(CONCATENATE('Tabular Pop Data by Age'!$C60,'Tabular Pop Data by Age'!AC$7),'Population Data by Age'!$B$7:$B$10366,0),MATCH('Tabular Pop Data by Age'!$C$6,'Population Data by Age'!$B$6:$H$6,0))</f>
        <v>311000</v>
      </c>
      <c r="AD60" s="78">
        <f>INDEX('Population Data by Age'!$B$7:$H$10366,MATCH(CONCATENATE('Tabular Pop Data by Age'!$C60,'Tabular Pop Data by Age'!AD$7),'Population Data by Age'!$B$7:$B$10366,0),MATCH('Tabular Pop Data by Age'!$C$6,'Population Data by Age'!$B$6:$H$6,0))</f>
        <v>361000</v>
      </c>
      <c r="AE60" s="78">
        <f>INDEX('Population Data by Age'!$B$7:$H$10366,MATCH(CONCATENATE('Tabular Pop Data by Age'!$C60,'Tabular Pop Data by Age'!AE$7),'Population Data by Age'!$B$7:$B$10366,0),MATCH('Tabular Pop Data by Age'!$C$6,'Population Data by Age'!$B$6:$H$6,0))</f>
        <v>315000</v>
      </c>
      <c r="AF60" s="78">
        <f>INDEX('Population Data by Age'!$B$7:$H$10366,MATCH(CONCATENATE('Tabular Pop Data by Age'!$C60,'Tabular Pop Data by Age'!AF$7),'Population Data by Age'!$B$7:$B$10366,0),MATCH('Tabular Pop Data by Age'!$C$6,'Population Data by Age'!$B$6:$H$6,0))</f>
        <v>340000</v>
      </c>
      <c r="AG60" s="78">
        <f>INDEX('Population Data by Age'!$B$7:$H$10366,MATCH(CONCATENATE('Tabular Pop Data by Age'!$C60,'Tabular Pop Data by Age'!AG$7),'Population Data by Age'!$B$7:$B$10366,0),MATCH('Tabular Pop Data by Age'!$C$6,'Population Data by Age'!$B$6:$H$6,0))</f>
        <v>269000</v>
      </c>
      <c r="AH60" s="78">
        <f>INDEX('Population Data by Age'!$B$7:$H$10366,MATCH(CONCATENATE('Tabular Pop Data by Age'!$C60,'Tabular Pop Data by Age'!AH$7),'Population Data by Age'!$B$7:$B$10366,0),MATCH('Tabular Pop Data by Age'!$C$6,'Population Data by Age'!$B$6:$H$6,0))</f>
        <v>244000</v>
      </c>
      <c r="AI60" s="78">
        <f>INDEX('Population Data by Age'!$B$7:$H$10366,MATCH(CONCATENATE('Tabular Pop Data by Age'!$C60,'Tabular Pop Data by Age'!AI$7),'Population Data by Age'!$B$7:$B$10366,0),MATCH('Tabular Pop Data by Age'!$C$6,'Population Data by Age'!$B$6:$H$6,0))</f>
        <v>171000</v>
      </c>
      <c r="AJ60" s="78">
        <f>INDEX('Population Data by Age'!$B$7:$H$10366,MATCH(CONCATENATE('Tabular Pop Data by Age'!$C60,'Tabular Pop Data by Age'!AJ$7),'Population Data by Age'!$B$7:$B$10366,0),MATCH('Tabular Pop Data by Age'!$C$6,'Population Data by Age'!$B$6:$H$6,0))</f>
        <v>290000</v>
      </c>
      <c r="AK60" s="78">
        <f>INDEX('Population Data by Age'!$B$7:$H$10366,MATCH(CONCATENATE('Tabular Pop Data by Age'!$C60,'Tabular Pop Data by Age'!AK$7),'Population Data by Age'!$B$7:$B$10366,0),MATCH('Tabular Pop Data by Age'!$C$6,'Population Data by Age'!$B$6:$H$6,0))</f>
        <v>152000</v>
      </c>
      <c r="AL60" s="78">
        <f>INDEX('Population Data by Age'!$B$7:$H$10366,MATCH(CONCATENATE('Tabular Pop Data by Age'!$C60,'Tabular Pop Data by Age'!AL$7),'Population Data by Age'!$B$7:$B$10366,0),MATCH('Tabular Pop Data by Age'!$C$6,'Population Data by Age'!$B$6:$H$6,0))</f>
        <v>5397000</v>
      </c>
      <c r="AM60" s="78">
        <f>INDEX('Population Data by Age'!$B$7:$H$10366,MATCH(CONCATENATE('Tabular Pop Data by Age'!$C60,'Tabular Pop Data by Age'!AM$7),'Population Data by Age'!$B$7:$B$10366,0),MATCH('Tabular Pop Data by Age'!$C$6,'Population Data by Age'!$B$6:$H$6,0))</f>
        <v>5234000</v>
      </c>
      <c r="AN60" s="78">
        <f>INDEX('Population Data by Age'!$B$7:$H$10366,MATCH(CONCATENATE('Tabular Pop Data by Age'!$C60,'Tabular Pop Data by Age'!AN$7),'Population Data by Age'!$B$7:$B$10366,0),MATCH('Tabular Pop Data by Age'!$C$6,'Population Data by Age'!$B$6:$H$6,0))</f>
        <v>10631000</v>
      </c>
      <c r="AO60" s="78">
        <f>INDEX('Population Data by Age'!$B$7:$H$10366,MATCH(CONCATENATE('Tabular Pop Data by Age'!$C60,'Tabular Pop Data by Age'!AO$7),'Population Data by Age'!$B$7:$B$10366,0),MATCH('Tabular Pop Data by Age'!$C$6,'Population Data by Age'!$B$6:$H$6,0))</f>
        <v>0</v>
      </c>
      <c r="AP60" s="79">
        <f t="shared" si="0"/>
        <v>555000</v>
      </c>
      <c r="AQ60" s="79">
        <f t="shared" si="1"/>
        <v>551000</v>
      </c>
      <c r="AR60" s="79">
        <f t="shared" si="2"/>
        <v>569000</v>
      </c>
      <c r="AS60" s="79">
        <f t="shared" si="3"/>
        <v>484000</v>
      </c>
      <c r="AT60" s="79">
        <f t="shared" si="4"/>
        <v>468000</v>
      </c>
      <c r="AU60" s="79">
        <f t="shared" si="5"/>
        <v>629000</v>
      </c>
      <c r="AV60" s="79">
        <f t="shared" si="6"/>
        <v>711000</v>
      </c>
      <c r="AW60" s="79">
        <f t="shared" si="7"/>
        <v>755000</v>
      </c>
      <c r="AX60" s="79">
        <f t="shared" si="8"/>
        <v>924000</v>
      </c>
      <c r="AY60" s="79">
        <f t="shared" si="9"/>
        <v>862000</v>
      </c>
      <c r="AZ60" s="79">
        <f t="shared" si="10"/>
        <v>689000</v>
      </c>
      <c r="BA60" s="79">
        <f t="shared" si="11"/>
        <v>653000</v>
      </c>
      <c r="BB60" s="79">
        <f t="shared" si="12"/>
        <v>639000</v>
      </c>
      <c r="BC60" s="79">
        <f t="shared" si="13"/>
        <v>676000</v>
      </c>
      <c r="BD60" s="79">
        <f t="shared" si="14"/>
        <v>609000</v>
      </c>
      <c r="BE60" s="79">
        <f t="shared" si="15"/>
        <v>415000</v>
      </c>
      <c r="BF60" s="79">
        <f t="shared" si="16"/>
        <v>442000</v>
      </c>
    </row>
    <row r="61" spans="1:58" x14ac:dyDescent="0.25">
      <c r="A61" s="138" t="s">
        <v>1195</v>
      </c>
      <c r="B61" t="s">
        <v>470</v>
      </c>
      <c r="C61" t="s">
        <v>36</v>
      </c>
      <c r="D61" s="78">
        <f>INDEX('Population Data by Age'!$B$7:$H$10366,MATCH(CONCATENATE('Tabular Pop Data by Age'!$C61,'Tabular Pop Data by Age'!D$7),'Population Data by Age'!$B$7:$B$10366,0),MATCH('Tabular Pop Data by Age'!$C$6,'Population Data by Age'!$B$6:$H$6,0))</f>
        <v>151000</v>
      </c>
      <c r="E61" s="78">
        <f>INDEX('Population Data by Age'!$B$7:$H$10366,MATCH(CONCATENATE('Tabular Pop Data by Age'!$C61,'Tabular Pop Data by Age'!E$7),'Population Data by Age'!$B$7:$B$10366,0),MATCH('Tabular Pop Data by Age'!$C$6,'Population Data by Age'!$B$6:$H$6,0))</f>
        <v>160000</v>
      </c>
      <c r="F61" s="78">
        <f>INDEX('Population Data by Age'!$B$7:$H$10366,MATCH(CONCATENATE('Tabular Pop Data by Age'!$C61,'Tabular Pop Data by Age'!F$7),'Population Data by Age'!$B$7:$B$10366,0),MATCH('Tabular Pop Data by Age'!$C$6,'Population Data by Age'!$B$6:$H$6,0))</f>
        <v>146000</v>
      </c>
      <c r="G61" s="78">
        <f>INDEX('Population Data by Age'!$B$7:$H$10366,MATCH(CONCATENATE('Tabular Pop Data by Age'!$C61,'Tabular Pop Data by Age'!G$7),'Population Data by Age'!$B$7:$B$10366,0),MATCH('Tabular Pop Data by Age'!$C$6,'Population Data by Age'!$B$6:$H$6,0))</f>
        <v>154000</v>
      </c>
      <c r="H61" s="78">
        <f>INDEX('Population Data by Age'!$B$7:$H$10366,MATCH(CONCATENATE('Tabular Pop Data by Age'!$C61,'Tabular Pop Data by Age'!H$7),'Population Data by Age'!$B$7:$B$10366,0),MATCH('Tabular Pop Data by Age'!$C$6,'Population Data by Age'!$B$6:$H$6,0))</f>
        <v>165000</v>
      </c>
      <c r="I61" s="78">
        <f>INDEX('Population Data by Age'!$B$7:$H$10366,MATCH(CONCATENATE('Tabular Pop Data by Age'!$C61,'Tabular Pop Data by Age'!I$7),'Population Data by Age'!$B$7:$B$10366,0),MATCH('Tabular Pop Data by Age'!$C$6,'Population Data by Age'!$B$6:$H$6,0))</f>
        <v>175000</v>
      </c>
      <c r="J61" s="78">
        <f>INDEX('Population Data by Age'!$B$7:$H$10366,MATCH(CONCATENATE('Tabular Pop Data by Age'!$C61,'Tabular Pop Data by Age'!J$7),'Population Data by Age'!$B$7:$B$10366,0),MATCH('Tabular Pop Data by Age'!$C$6,'Population Data by Age'!$B$6:$H$6,0))</f>
        <v>168000</v>
      </c>
      <c r="K61" s="78">
        <f>INDEX('Population Data by Age'!$B$7:$H$10366,MATCH(CONCATENATE('Tabular Pop Data by Age'!$C61,'Tabular Pop Data by Age'!K$7),'Population Data by Age'!$B$7:$B$10366,0),MATCH('Tabular Pop Data by Age'!$C$6,'Population Data by Age'!$B$6:$H$6,0))</f>
        <v>174000</v>
      </c>
      <c r="L61" s="78">
        <f>INDEX('Population Data by Age'!$B$7:$H$10366,MATCH(CONCATENATE('Tabular Pop Data by Age'!$C61,'Tabular Pop Data by Age'!L$7),'Population Data by Age'!$B$7:$B$10366,0),MATCH('Tabular Pop Data by Age'!$C$6,'Population Data by Age'!$B$6:$H$6,0))</f>
        <v>184000</v>
      </c>
      <c r="M61" s="78">
        <f>INDEX('Population Data by Age'!$B$7:$H$10366,MATCH(CONCATENATE('Tabular Pop Data by Age'!$C61,'Tabular Pop Data by Age'!M$7),'Population Data by Age'!$B$7:$B$10366,0),MATCH('Tabular Pop Data by Age'!$C$6,'Population Data by Age'!$B$6:$H$6,0))</f>
        <v>193000</v>
      </c>
      <c r="N61" s="78">
        <f>INDEX('Population Data by Age'!$B$7:$H$10366,MATCH(CONCATENATE('Tabular Pop Data by Age'!$C61,'Tabular Pop Data by Age'!N$7),'Population Data by Age'!$B$7:$B$10366,0),MATCH('Tabular Pop Data by Age'!$C$6,'Population Data by Age'!$B$6:$H$6,0))</f>
        <v>198000</v>
      </c>
      <c r="O61" s="78">
        <f>INDEX('Population Data by Age'!$B$7:$H$10366,MATCH(CONCATENATE('Tabular Pop Data by Age'!$C61,'Tabular Pop Data by Age'!O$7),'Population Data by Age'!$B$7:$B$10366,0),MATCH('Tabular Pop Data by Age'!$C$6,'Population Data by Age'!$B$6:$H$6,0))</f>
        <v>207000</v>
      </c>
      <c r="P61" s="78">
        <f>INDEX('Population Data by Age'!$B$7:$H$10366,MATCH(CONCATENATE('Tabular Pop Data by Age'!$C61,'Tabular Pop Data by Age'!P$7),'Population Data by Age'!$B$7:$B$10366,0),MATCH('Tabular Pop Data by Age'!$C$6,'Population Data by Age'!$B$6:$H$6,0))</f>
        <v>176000</v>
      </c>
      <c r="Q61" s="78">
        <f>INDEX('Population Data by Age'!$B$7:$H$10366,MATCH(CONCATENATE('Tabular Pop Data by Age'!$C61,'Tabular Pop Data by Age'!Q$7),'Population Data by Age'!$B$7:$B$10366,0),MATCH('Tabular Pop Data by Age'!$C$6,'Population Data by Age'!$B$6:$H$6,0))</f>
        <v>182000</v>
      </c>
      <c r="R61" s="78">
        <f>INDEX('Population Data by Age'!$B$7:$H$10366,MATCH(CONCATENATE('Tabular Pop Data by Age'!$C61,'Tabular Pop Data by Age'!R$7),'Population Data by Age'!$B$7:$B$10366,0),MATCH('Tabular Pop Data by Age'!$C$6,'Population Data by Age'!$B$6:$H$6,0))</f>
        <v>159000</v>
      </c>
      <c r="S61" s="78">
        <f>INDEX('Population Data by Age'!$B$7:$H$10366,MATCH(CONCATENATE('Tabular Pop Data by Age'!$C61,'Tabular Pop Data by Age'!S$7),'Population Data by Age'!$B$7:$B$10366,0),MATCH('Tabular Pop Data by Age'!$C$6,'Population Data by Age'!$B$6:$H$6,0))</f>
        <v>161000</v>
      </c>
      <c r="T61" s="78">
        <f>INDEX('Population Data by Age'!$B$7:$H$10366,MATCH(CONCATENATE('Tabular Pop Data by Age'!$C61,'Tabular Pop Data by Age'!T$7),'Population Data by Age'!$B$7:$B$10366,0),MATCH('Tabular Pop Data by Age'!$C$6,'Population Data by Age'!$B$6:$H$6,0))</f>
        <v>182000</v>
      </c>
      <c r="U61" s="78">
        <f>INDEX('Population Data by Age'!$B$7:$H$10366,MATCH(CONCATENATE('Tabular Pop Data by Age'!$C61,'Tabular Pop Data by Age'!U$7),'Population Data by Age'!$B$7:$B$10366,0),MATCH('Tabular Pop Data by Age'!$C$6,'Population Data by Age'!$B$6:$H$6,0))</f>
        <v>182000</v>
      </c>
      <c r="V61" s="78">
        <f>INDEX('Population Data by Age'!$B$7:$H$10366,MATCH(CONCATENATE('Tabular Pop Data by Age'!$C61,'Tabular Pop Data by Age'!V$7),'Population Data by Age'!$B$7:$B$10366,0),MATCH('Tabular Pop Data by Age'!$C$6,'Population Data by Age'!$B$6:$H$6,0))</f>
        <v>191000</v>
      </c>
      <c r="W61" s="78">
        <f>INDEX('Population Data by Age'!$B$7:$H$10366,MATCH(CONCATENATE('Tabular Pop Data by Age'!$C61,'Tabular Pop Data by Age'!W$7),'Population Data by Age'!$B$7:$B$10366,0),MATCH('Tabular Pop Data by Age'!$C$6,'Population Data by Age'!$B$6:$H$6,0))</f>
        <v>189000</v>
      </c>
      <c r="X61" s="78">
        <f>INDEX('Population Data by Age'!$B$7:$H$10366,MATCH(CONCATENATE('Tabular Pop Data by Age'!$C61,'Tabular Pop Data by Age'!X$7),'Population Data by Age'!$B$7:$B$10366,0),MATCH('Tabular Pop Data by Age'!$C$6,'Population Data by Age'!$B$6:$H$6,0))</f>
        <v>210000</v>
      </c>
      <c r="Y61" s="78">
        <f>INDEX('Population Data by Age'!$B$7:$H$10366,MATCH(CONCATENATE('Tabular Pop Data by Age'!$C61,'Tabular Pop Data by Age'!Y$7),'Population Data by Age'!$B$7:$B$10366,0),MATCH('Tabular Pop Data by Age'!$C$6,'Population Data by Age'!$B$6:$H$6,0))</f>
        <v>216000</v>
      </c>
      <c r="Z61" s="78">
        <f>INDEX('Population Data by Age'!$B$7:$H$10366,MATCH(CONCATENATE('Tabular Pop Data by Age'!$C61,'Tabular Pop Data by Age'!Z$7),'Population Data by Age'!$B$7:$B$10366,0),MATCH('Tabular Pop Data by Age'!$C$6,'Population Data by Age'!$B$6:$H$6,0))</f>
        <v>196000</v>
      </c>
      <c r="AA61" s="78">
        <f>INDEX('Population Data by Age'!$B$7:$H$10366,MATCH(CONCATENATE('Tabular Pop Data by Age'!$C61,'Tabular Pop Data by Age'!AA$7),'Population Data by Age'!$B$7:$B$10366,0),MATCH('Tabular Pop Data by Age'!$C$6,'Population Data by Age'!$B$6:$H$6,0))</f>
        <v>195000</v>
      </c>
      <c r="AB61" s="78">
        <f>INDEX('Population Data by Age'!$B$7:$H$10366,MATCH(CONCATENATE('Tabular Pop Data by Age'!$C61,'Tabular Pop Data by Age'!AB$7),'Population Data by Age'!$B$7:$B$10366,0),MATCH('Tabular Pop Data by Age'!$C$6,'Population Data by Age'!$B$6:$H$6,0))</f>
        <v>177000</v>
      </c>
      <c r="AC61" s="78">
        <f>INDEX('Population Data by Age'!$B$7:$H$10366,MATCH(CONCATENATE('Tabular Pop Data by Age'!$C61,'Tabular Pop Data by Age'!AC$7),'Population Data by Age'!$B$7:$B$10366,0),MATCH('Tabular Pop Data by Age'!$C$6,'Population Data by Age'!$B$6:$H$6,0))</f>
        <v>172000</v>
      </c>
      <c r="AD61" s="78">
        <f>INDEX('Population Data by Age'!$B$7:$H$10366,MATCH(CONCATENATE('Tabular Pop Data by Age'!$C61,'Tabular Pop Data by Age'!AD$7),'Population Data by Age'!$B$7:$B$10366,0),MATCH('Tabular Pop Data by Age'!$C$6,'Population Data by Age'!$B$6:$H$6,0))</f>
        <v>160000</v>
      </c>
      <c r="AE61" s="78">
        <f>INDEX('Population Data by Age'!$B$7:$H$10366,MATCH(CONCATENATE('Tabular Pop Data by Age'!$C61,'Tabular Pop Data by Age'!AE$7),'Population Data by Age'!$B$7:$B$10366,0),MATCH('Tabular Pop Data by Age'!$C$6,'Population Data by Age'!$B$6:$H$6,0))</f>
        <v>151000</v>
      </c>
      <c r="AF61" s="78">
        <f>INDEX('Population Data by Age'!$B$7:$H$10366,MATCH(CONCATENATE('Tabular Pop Data by Age'!$C61,'Tabular Pop Data by Age'!AF$7),'Population Data by Age'!$B$7:$B$10366,0),MATCH('Tabular Pop Data by Age'!$C$6,'Population Data by Age'!$B$6:$H$6,0))</f>
        <v>181000</v>
      </c>
      <c r="AG61" s="78">
        <f>INDEX('Population Data by Age'!$B$7:$H$10366,MATCH(CONCATENATE('Tabular Pop Data by Age'!$C61,'Tabular Pop Data by Age'!AG$7),'Population Data by Age'!$B$7:$B$10366,0),MATCH('Tabular Pop Data by Age'!$C$6,'Population Data by Age'!$B$6:$H$6,0))</f>
        <v>173000</v>
      </c>
      <c r="AH61" s="78">
        <f>INDEX('Population Data by Age'!$B$7:$H$10366,MATCH(CONCATENATE('Tabular Pop Data by Age'!$C61,'Tabular Pop Data by Age'!AH$7),'Population Data by Age'!$B$7:$B$10366,0),MATCH('Tabular Pop Data by Age'!$C$6,'Population Data by Age'!$B$6:$H$6,0))</f>
        <v>127000</v>
      </c>
      <c r="AI61" s="78">
        <f>INDEX('Population Data by Age'!$B$7:$H$10366,MATCH(CONCATENATE('Tabular Pop Data by Age'!$C61,'Tabular Pop Data by Age'!AI$7),'Population Data by Age'!$B$7:$B$10366,0),MATCH('Tabular Pop Data by Age'!$C$6,'Population Data by Age'!$B$6:$H$6,0))</f>
        <v>110000</v>
      </c>
      <c r="AJ61" s="78">
        <f>INDEX('Population Data by Age'!$B$7:$H$10366,MATCH(CONCATENATE('Tabular Pop Data by Age'!$C61,'Tabular Pop Data by Age'!AJ$7),'Population Data by Age'!$B$7:$B$10366,0),MATCH('Tabular Pop Data by Age'!$C$6,'Population Data by Age'!$B$6:$H$6,0))</f>
        <v>166000</v>
      </c>
      <c r="AK61" s="78">
        <f>INDEX('Population Data by Age'!$B$7:$H$10366,MATCH(CONCATENATE('Tabular Pop Data by Age'!$C61,'Tabular Pop Data by Age'!AK$7),'Population Data by Age'!$B$7:$B$10366,0),MATCH('Tabular Pop Data by Age'!$C$6,'Population Data by Age'!$B$6:$H$6,0))</f>
        <v>109000</v>
      </c>
      <c r="AL61" s="78">
        <f>INDEX('Population Data by Age'!$B$7:$H$10366,MATCH(CONCATENATE('Tabular Pop Data by Age'!$C61,'Tabular Pop Data by Age'!AL$7),'Population Data by Age'!$B$7:$B$10366,0),MATCH('Tabular Pop Data by Age'!$C$6,'Population Data by Age'!$B$6:$H$6,0))</f>
        <v>2937000</v>
      </c>
      <c r="AM61" s="78">
        <f>INDEX('Population Data by Age'!$B$7:$H$10366,MATCH(CONCATENATE('Tabular Pop Data by Age'!$C61,'Tabular Pop Data by Age'!AM$7),'Population Data by Age'!$B$7:$B$10366,0),MATCH('Tabular Pop Data by Age'!$C$6,'Population Data by Age'!$B$6:$H$6,0))</f>
        <v>2903000</v>
      </c>
      <c r="AN61" s="78">
        <f>INDEX('Population Data by Age'!$B$7:$H$10366,MATCH(CONCATENATE('Tabular Pop Data by Age'!$C61,'Tabular Pop Data by Age'!AN$7),'Population Data by Age'!$B$7:$B$10366,0),MATCH('Tabular Pop Data by Age'!$C$6,'Population Data by Age'!$B$6:$H$6,0))</f>
        <v>5840000</v>
      </c>
      <c r="AO61" s="78">
        <f>INDEX('Population Data by Age'!$B$7:$H$10366,MATCH(CONCATENATE('Tabular Pop Data by Age'!$C61,'Tabular Pop Data by Age'!AO$7),'Population Data by Age'!$B$7:$B$10366,0),MATCH('Tabular Pop Data by Age'!$C$6,'Population Data by Age'!$B$6:$H$6,0))</f>
        <v>0</v>
      </c>
      <c r="AP61" s="79">
        <f t="shared" si="0"/>
        <v>311000</v>
      </c>
      <c r="AQ61" s="79">
        <f t="shared" si="1"/>
        <v>300000</v>
      </c>
      <c r="AR61" s="79">
        <f t="shared" si="2"/>
        <v>340000</v>
      </c>
      <c r="AS61" s="79">
        <f t="shared" si="3"/>
        <v>342000</v>
      </c>
      <c r="AT61" s="79">
        <f t="shared" si="4"/>
        <v>377000</v>
      </c>
      <c r="AU61" s="79">
        <f t="shared" si="5"/>
        <v>405000</v>
      </c>
      <c r="AV61" s="79">
        <f t="shared" si="6"/>
        <v>358000</v>
      </c>
      <c r="AW61" s="79">
        <f t="shared" si="7"/>
        <v>320000</v>
      </c>
      <c r="AX61" s="79">
        <f t="shared" si="8"/>
        <v>364000</v>
      </c>
      <c r="AY61" s="79">
        <f t="shared" si="9"/>
        <v>380000</v>
      </c>
      <c r="AZ61" s="79">
        <f t="shared" si="10"/>
        <v>426000</v>
      </c>
      <c r="BA61" s="79">
        <f t="shared" si="11"/>
        <v>391000</v>
      </c>
      <c r="BB61" s="79">
        <f t="shared" si="12"/>
        <v>349000</v>
      </c>
      <c r="BC61" s="79">
        <f t="shared" si="13"/>
        <v>311000</v>
      </c>
      <c r="BD61" s="79">
        <f t="shared" si="14"/>
        <v>354000</v>
      </c>
      <c r="BE61" s="79">
        <f t="shared" si="15"/>
        <v>237000</v>
      </c>
      <c r="BF61" s="79">
        <f t="shared" si="16"/>
        <v>275000</v>
      </c>
    </row>
    <row r="62" spans="1:58" x14ac:dyDescent="0.25">
      <c r="A62" s="138" t="s">
        <v>1195</v>
      </c>
      <c r="B62" t="s">
        <v>231</v>
      </c>
      <c r="C62" t="s">
        <v>35</v>
      </c>
      <c r="D62" s="78">
        <f>INDEX('Population Data by Age'!$B$7:$H$10366,MATCH(CONCATENATE('Tabular Pop Data by Age'!$C62,'Tabular Pop Data by Age'!D$7),'Population Data by Age'!$B$7:$B$10366,0),MATCH('Tabular Pop Data by Age'!$C$6,'Population Data by Age'!$B$6:$H$6,0))</f>
        <v>49000</v>
      </c>
      <c r="E62" s="78">
        <f>INDEX('Population Data by Age'!$B$7:$H$10366,MATCH(CONCATENATE('Tabular Pop Data by Age'!$C62,'Tabular Pop Data by Age'!E$7),'Population Data by Age'!$B$7:$B$10366,0),MATCH('Tabular Pop Data by Age'!$C$6,'Population Data by Age'!$B$6:$H$6,0))</f>
        <v>50000</v>
      </c>
      <c r="F62" s="78">
        <f>INDEX('Population Data by Age'!$B$7:$H$10366,MATCH(CONCATENATE('Tabular Pop Data by Age'!$C62,'Tabular Pop Data by Age'!F$7),'Population Data by Age'!$B$7:$B$10366,0),MATCH('Tabular Pop Data by Age'!$C$6,'Population Data by Age'!$B$6:$H$6,0))</f>
        <v>48000</v>
      </c>
      <c r="G62" s="78">
        <f>INDEX('Population Data by Age'!$B$7:$H$10366,MATCH(CONCATENATE('Tabular Pop Data by Age'!$C62,'Tabular Pop Data by Age'!G$7),'Population Data by Age'!$B$7:$B$10366,0),MATCH('Tabular Pop Data by Age'!$C$6,'Population Data by Age'!$B$6:$H$6,0))</f>
        <v>50000</v>
      </c>
      <c r="H62" s="78">
        <f>INDEX('Population Data by Age'!$B$7:$H$10366,MATCH(CONCATENATE('Tabular Pop Data by Age'!$C62,'Tabular Pop Data by Age'!H$7),'Population Data by Age'!$B$7:$B$10366,0),MATCH('Tabular Pop Data by Age'!$C$6,'Population Data by Age'!$B$6:$H$6,0))</f>
        <v>40000</v>
      </c>
      <c r="I62" s="78">
        <f>INDEX('Population Data by Age'!$B$7:$H$10366,MATCH(CONCATENATE('Tabular Pop Data by Age'!$C62,'Tabular Pop Data by Age'!I$7),'Population Data by Age'!$B$7:$B$10366,0),MATCH('Tabular Pop Data by Age'!$C$6,'Population Data by Age'!$B$6:$H$6,0))</f>
        <v>49000</v>
      </c>
      <c r="J62" s="78">
        <f>INDEX('Population Data by Age'!$B$7:$H$10366,MATCH(CONCATENATE('Tabular Pop Data by Age'!$C62,'Tabular Pop Data by Age'!J$7),'Population Data by Age'!$B$7:$B$10366,0),MATCH('Tabular Pop Data by Age'!$C$6,'Population Data by Age'!$B$6:$H$6,0))</f>
        <v>41000</v>
      </c>
      <c r="K62" s="78">
        <f>INDEX('Population Data by Age'!$B$7:$H$10366,MATCH(CONCATENATE('Tabular Pop Data by Age'!$C62,'Tabular Pop Data by Age'!K$7),'Population Data by Age'!$B$7:$B$10366,0),MATCH('Tabular Pop Data by Age'!$C$6,'Population Data by Age'!$B$6:$H$6,0))</f>
        <v>50000</v>
      </c>
      <c r="L62" s="78">
        <f>INDEX('Population Data by Age'!$B$7:$H$10366,MATCH(CONCATENATE('Tabular Pop Data by Age'!$C62,'Tabular Pop Data by Age'!L$7),'Population Data by Age'!$B$7:$B$10366,0),MATCH('Tabular Pop Data by Age'!$C$6,'Population Data by Age'!$B$6:$H$6,0))</f>
        <v>41000</v>
      </c>
      <c r="M62" s="78">
        <f>INDEX('Population Data by Age'!$B$7:$H$10366,MATCH(CONCATENATE('Tabular Pop Data by Age'!$C62,'Tabular Pop Data by Age'!M$7),'Population Data by Age'!$B$7:$B$10366,0),MATCH('Tabular Pop Data by Age'!$C$6,'Population Data by Age'!$B$6:$H$6,0))</f>
        <v>49000</v>
      </c>
      <c r="N62" s="78">
        <f>INDEX('Population Data by Age'!$B$7:$H$10366,MATCH(CONCATENATE('Tabular Pop Data by Age'!$C62,'Tabular Pop Data by Age'!N$7),'Population Data by Age'!$B$7:$B$10366,0),MATCH('Tabular Pop Data by Age'!$C$6,'Population Data by Age'!$B$6:$H$6,0))</f>
        <v>40000</v>
      </c>
      <c r="O62" s="78">
        <f>INDEX('Population Data by Age'!$B$7:$H$10366,MATCH(CONCATENATE('Tabular Pop Data by Age'!$C62,'Tabular Pop Data by Age'!O$7),'Population Data by Age'!$B$7:$B$10366,0),MATCH('Tabular Pop Data by Age'!$C$6,'Population Data by Age'!$B$6:$H$6,0))</f>
        <v>47000</v>
      </c>
      <c r="P62" s="78">
        <f>INDEX('Population Data by Age'!$B$7:$H$10366,MATCH(CONCATENATE('Tabular Pop Data by Age'!$C62,'Tabular Pop Data by Age'!P$7),'Population Data by Age'!$B$7:$B$10366,0),MATCH('Tabular Pop Data by Age'!$C$6,'Population Data by Age'!$B$6:$H$6,0))</f>
        <v>41000</v>
      </c>
      <c r="Q62" s="78">
        <f>INDEX('Population Data by Age'!$B$7:$H$10366,MATCH(CONCATENATE('Tabular Pop Data by Age'!$C62,'Tabular Pop Data by Age'!Q$7),'Population Data by Age'!$B$7:$B$10366,0),MATCH('Tabular Pop Data by Age'!$C$6,'Population Data by Age'!$B$6:$H$6,0))</f>
        <v>45000</v>
      </c>
      <c r="R62" s="78">
        <f>INDEX('Population Data by Age'!$B$7:$H$10366,MATCH(CONCATENATE('Tabular Pop Data by Age'!$C62,'Tabular Pop Data by Age'!R$7),'Population Data by Age'!$B$7:$B$10366,0),MATCH('Tabular Pop Data by Age'!$C$6,'Population Data by Age'!$B$6:$H$6,0))</f>
        <v>37000</v>
      </c>
      <c r="S62" s="78">
        <f>INDEX('Population Data by Age'!$B$7:$H$10366,MATCH(CONCATENATE('Tabular Pop Data by Age'!$C62,'Tabular Pop Data by Age'!S$7),'Population Data by Age'!$B$7:$B$10366,0),MATCH('Tabular Pop Data by Age'!$C$6,'Population Data by Age'!$B$6:$H$6,0))</f>
        <v>39000</v>
      </c>
      <c r="T62" s="78">
        <f>INDEX('Population Data by Age'!$B$7:$H$10366,MATCH(CONCATENATE('Tabular Pop Data by Age'!$C62,'Tabular Pop Data by Age'!T$7),'Population Data by Age'!$B$7:$B$10366,0),MATCH('Tabular Pop Data by Age'!$C$6,'Population Data by Age'!$B$6:$H$6,0))</f>
        <v>31000</v>
      </c>
      <c r="U62" s="78">
        <f>INDEX('Population Data by Age'!$B$7:$H$10366,MATCH(CONCATENATE('Tabular Pop Data by Age'!$C62,'Tabular Pop Data by Age'!U$7),'Population Data by Age'!$B$7:$B$10366,0),MATCH('Tabular Pop Data by Age'!$C$6,'Population Data by Age'!$B$6:$H$6,0))</f>
        <v>35000</v>
      </c>
      <c r="V62" s="78">
        <f>INDEX('Population Data by Age'!$B$7:$H$10366,MATCH(CONCATENATE('Tabular Pop Data by Age'!$C62,'Tabular Pop Data by Age'!V$7),'Population Data by Age'!$B$7:$B$10366,0),MATCH('Tabular Pop Data by Age'!$C$6,'Population Data by Age'!$B$6:$H$6,0))</f>
        <v>25000</v>
      </c>
      <c r="W62" s="78">
        <f>INDEX('Population Data by Age'!$B$7:$H$10366,MATCH(CONCATENATE('Tabular Pop Data by Age'!$C62,'Tabular Pop Data by Age'!W$7),'Population Data by Age'!$B$7:$B$10366,0),MATCH('Tabular Pop Data by Age'!$C$6,'Population Data by Age'!$B$6:$H$6,0))</f>
        <v>29000</v>
      </c>
      <c r="X62" s="78">
        <f>INDEX('Population Data by Age'!$B$7:$H$10366,MATCH(CONCATENATE('Tabular Pop Data by Age'!$C62,'Tabular Pop Data by Age'!X$7),'Population Data by Age'!$B$7:$B$10366,0),MATCH('Tabular Pop Data by Age'!$C$6,'Population Data by Age'!$B$6:$H$6,0))</f>
        <v>21000</v>
      </c>
      <c r="Y62" s="78">
        <f>INDEX('Population Data by Age'!$B$7:$H$10366,MATCH(CONCATENATE('Tabular Pop Data by Age'!$C62,'Tabular Pop Data by Age'!Y$7),'Population Data by Age'!$B$7:$B$10366,0),MATCH('Tabular Pop Data by Age'!$C$6,'Population Data by Age'!$B$6:$H$6,0))</f>
        <v>22000</v>
      </c>
      <c r="Z62" s="78">
        <f>INDEX('Population Data by Age'!$B$7:$H$10366,MATCH(CONCATENATE('Tabular Pop Data by Age'!$C62,'Tabular Pop Data by Age'!Z$7),'Population Data by Age'!$B$7:$B$10366,0),MATCH('Tabular Pop Data by Age'!$C$6,'Population Data by Age'!$B$6:$H$6,0))</f>
        <v>17000</v>
      </c>
      <c r="AA62" s="78">
        <f>INDEX('Population Data by Age'!$B$7:$H$10366,MATCH(CONCATENATE('Tabular Pop Data by Age'!$C62,'Tabular Pop Data by Age'!AA$7),'Population Data by Age'!$B$7:$B$10366,0),MATCH('Tabular Pop Data by Age'!$C$6,'Population Data by Age'!$B$6:$H$6,0))</f>
        <v>19000</v>
      </c>
      <c r="AB62" s="78">
        <f>INDEX('Population Data by Age'!$B$7:$H$10366,MATCH(CONCATENATE('Tabular Pop Data by Age'!$C62,'Tabular Pop Data by Age'!AB$7),'Population Data by Age'!$B$7:$B$10366,0),MATCH('Tabular Pop Data by Age'!$C$6,'Population Data by Age'!$B$6:$H$6,0))</f>
        <v>13000</v>
      </c>
      <c r="AC62" s="78">
        <f>INDEX('Population Data by Age'!$B$7:$H$10366,MATCH(CONCATENATE('Tabular Pop Data by Age'!$C62,'Tabular Pop Data by Age'!AC$7),'Population Data by Age'!$B$7:$B$10366,0),MATCH('Tabular Pop Data by Age'!$C$6,'Population Data by Age'!$B$6:$H$6,0))</f>
        <v>13000</v>
      </c>
      <c r="AD62" s="78">
        <f>INDEX('Population Data by Age'!$B$7:$H$10366,MATCH(CONCATENATE('Tabular Pop Data by Age'!$C62,'Tabular Pop Data by Age'!AD$7),'Population Data by Age'!$B$7:$B$10366,0),MATCH('Tabular Pop Data by Age'!$C$6,'Population Data by Age'!$B$6:$H$6,0))</f>
        <v>9200</v>
      </c>
      <c r="AE62" s="78">
        <f>INDEX('Population Data by Age'!$B$7:$H$10366,MATCH(CONCATENATE('Tabular Pop Data by Age'!$C62,'Tabular Pop Data by Age'!AE$7),'Population Data by Age'!$B$7:$B$10366,0),MATCH('Tabular Pop Data by Age'!$C$6,'Population Data by Age'!$B$6:$H$6,0))</f>
        <v>8800</v>
      </c>
      <c r="AF62" s="78">
        <f>INDEX('Population Data by Age'!$B$7:$H$10366,MATCH(CONCATENATE('Tabular Pop Data by Age'!$C62,'Tabular Pop Data by Age'!AF$7),'Population Data by Age'!$B$7:$B$10366,0),MATCH('Tabular Pop Data by Age'!$C$6,'Population Data by Age'!$B$6:$H$6,0))</f>
        <v>7100</v>
      </c>
      <c r="AG62" s="78">
        <f>INDEX('Population Data by Age'!$B$7:$H$10366,MATCH(CONCATENATE('Tabular Pop Data by Age'!$C62,'Tabular Pop Data by Age'!AG$7),'Population Data by Age'!$B$7:$B$10366,0),MATCH('Tabular Pop Data by Age'!$C$6,'Population Data by Age'!$B$6:$H$6,0))</f>
        <v>6800</v>
      </c>
      <c r="AH62" s="78">
        <f>INDEX('Population Data by Age'!$B$7:$H$10366,MATCH(CONCATENATE('Tabular Pop Data by Age'!$C62,'Tabular Pop Data by Age'!AH$7),'Population Data by Age'!$B$7:$B$10366,0),MATCH('Tabular Pop Data by Age'!$C$6,'Population Data by Age'!$B$6:$H$6,0))</f>
        <v>4400</v>
      </c>
      <c r="AI62" s="78">
        <f>INDEX('Population Data by Age'!$B$7:$H$10366,MATCH(CONCATENATE('Tabular Pop Data by Age'!$C62,'Tabular Pop Data by Age'!AI$7),'Population Data by Age'!$B$7:$B$10366,0),MATCH('Tabular Pop Data by Age'!$C$6,'Population Data by Age'!$B$6:$H$6,0))</f>
        <v>4000</v>
      </c>
      <c r="AJ62" s="78">
        <f>INDEX('Population Data by Age'!$B$7:$H$10366,MATCH(CONCATENATE('Tabular Pop Data by Age'!$C62,'Tabular Pop Data by Age'!AJ$7),'Population Data by Age'!$B$7:$B$10366,0),MATCH('Tabular Pop Data by Age'!$C$6,'Population Data by Age'!$B$6:$H$6,0))</f>
        <v>3400</v>
      </c>
      <c r="AK62" s="78">
        <f>INDEX('Population Data by Age'!$B$7:$H$10366,MATCH(CONCATENATE('Tabular Pop Data by Age'!$C62,'Tabular Pop Data by Age'!AK$7),'Population Data by Age'!$B$7:$B$10366,0),MATCH('Tabular Pop Data by Age'!$C$6,'Population Data by Age'!$B$6:$H$6,0))</f>
        <v>2700</v>
      </c>
      <c r="AL62" s="78">
        <f>INDEX('Population Data by Age'!$B$7:$H$10366,MATCH(CONCATENATE('Tabular Pop Data by Age'!$C62,'Tabular Pop Data by Age'!AL$7),'Population Data by Age'!$B$7:$B$10366,0),MATCH('Tabular Pop Data by Age'!$C$6,'Population Data by Age'!$B$6:$H$6,0))</f>
        <v>469000</v>
      </c>
      <c r="AM62" s="78">
        <f>INDEX('Population Data by Age'!$B$7:$H$10366,MATCH(CONCATENATE('Tabular Pop Data by Age'!$C62,'Tabular Pop Data by Age'!AM$7),'Population Data by Age'!$B$7:$B$10366,0),MATCH('Tabular Pop Data by Age'!$C$6,'Population Data by Age'!$B$6:$H$6,0))</f>
        <v>519000</v>
      </c>
      <c r="AN62" s="78">
        <f>INDEX('Population Data by Age'!$B$7:$H$10366,MATCH(CONCATENATE('Tabular Pop Data by Age'!$C62,'Tabular Pop Data by Age'!AN$7),'Population Data by Age'!$B$7:$B$10366,0),MATCH('Tabular Pop Data by Age'!$C$6,'Population Data by Age'!$B$6:$H$6,0))</f>
        <v>988000</v>
      </c>
      <c r="AO62" s="78">
        <f>INDEX('Population Data by Age'!$B$7:$H$10366,MATCH(CONCATENATE('Tabular Pop Data by Age'!$C62,'Tabular Pop Data by Age'!AO$7),'Population Data by Age'!$B$7:$B$10366,0),MATCH('Tabular Pop Data by Age'!$C$6,'Population Data by Age'!$B$6:$H$6,0))</f>
        <v>0</v>
      </c>
      <c r="AP62" s="79">
        <f t="shared" si="0"/>
        <v>99000</v>
      </c>
      <c r="AQ62" s="79">
        <f t="shared" si="1"/>
        <v>98000</v>
      </c>
      <c r="AR62" s="79">
        <f t="shared" si="2"/>
        <v>89000</v>
      </c>
      <c r="AS62" s="79">
        <f t="shared" si="3"/>
        <v>91000</v>
      </c>
      <c r="AT62" s="79">
        <f t="shared" si="4"/>
        <v>90000</v>
      </c>
      <c r="AU62" s="79">
        <f t="shared" si="5"/>
        <v>87000</v>
      </c>
      <c r="AV62" s="79">
        <f t="shared" si="6"/>
        <v>86000</v>
      </c>
      <c r="AW62" s="79">
        <f t="shared" si="7"/>
        <v>76000</v>
      </c>
      <c r="AX62" s="79">
        <f t="shared" si="8"/>
        <v>66000</v>
      </c>
      <c r="AY62" s="79">
        <f t="shared" si="9"/>
        <v>54000</v>
      </c>
      <c r="AZ62" s="79">
        <f t="shared" si="10"/>
        <v>43000</v>
      </c>
      <c r="BA62" s="79">
        <f t="shared" si="11"/>
        <v>36000</v>
      </c>
      <c r="BB62" s="79">
        <f t="shared" si="12"/>
        <v>26000</v>
      </c>
      <c r="BC62" s="79">
        <f t="shared" si="13"/>
        <v>18000</v>
      </c>
      <c r="BD62" s="79">
        <f t="shared" si="14"/>
        <v>13900</v>
      </c>
      <c r="BE62" s="79">
        <f t="shared" si="15"/>
        <v>8400</v>
      </c>
      <c r="BF62" s="79">
        <f t="shared" si="16"/>
        <v>6100</v>
      </c>
    </row>
    <row r="63" spans="1:58" x14ac:dyDescent="0.25">
      <c r="A63" s="138" t="s">
        <v>1195</v>
      </c>
      <c r="B63" t="s">
        <v>471</v>
      </c>
      <c r="C63" t="s">
        <v>472</v>
      </c>
      <c r="D63" s="78">
        <f>INDEX('Population Data by Age'!$B$7:$H$10366,MATCH(CONCATENATE('Tabular Pop Data by Age'!$C63,'Tabular Pop Data by Age'!D$7),'Population Data by Age'!$B$7:$B$10366,0),MATCH('Tabular Pop Data by Age'!$C$6,'Population Data by Age'!$B$6:$H$6,0))</f>
        <v>0</v>
      </c>
      <c r="E63" s="78">
        <f>INDEX('Population Data by Age'!$B$7:$H$10366,MATCH(CONCATENATE('Tabular Pop Data by Age'!$C63,'Tabular Pop Data by Age'!E$7),'Population Data by Age'!$B$7:$B$10366,0),MATCH('Tabular Pop Data by Age'!$C$6,'Population Data by Age'!$B$6:$H$6,0))</f>
        <v>0</v>
      </c>
      <c r="F63" s="78">
        <f>INDEX('Population Data by Age'!$B$7:$H$10366,MATCH(CONCATENATE('Tabular Pop Data by Age'!$C63,'Tabular Pop Data by Age'!F$7),'Population Data by Age'!$B$7:$B$10366,0),MATCH('Tabular Pop Data by Age'!$C$6,'Population Data by Age'!$B$6:$H$6,0))</f>
        <v>0</v>
      </c>
      <c r="G63" s="78">
        <f>INDEX('Population Data by Age'!$B$7:$H$10366,MATCH(CONCATENATE('Tabular Pop Data by Age'!$C63,'Tabular Pop Data by Age'!G$7),'Population Data by Age'!$B$7:$B$10366,0),MATCH('Tabular Pop Data by Age'!$C$6,'Population Data by Age'!$B$6:$H$6,0))</f>
        <v>0</v>
      </c>
      <c r="H63" s="78">
        <f>INDEX('Population Data by Age'!$B$7:$H$10366,MATCH(CONCATENATE('Tabular Pop Data by Age'!$C63,'Tabular Pop Data by Age'!H$7),'Population Data by Age'!$B$7:$B$10366,0),MATCH('Tabular Pop Data by Age'!$C$6,'Population Data by Age'!$B$6:$H$6,0))</f>
        <v>0</v>
      </c>
      <c r="I63" s="78">
        <f>INDEX('Population Data by Age'!$B$7:$H$10366,MATCH(CONCATENATE('Tabular Pop Data by Age'!$C63,'Tabular Pop Data by Age'!I$7),'Population Data by Age'!$B$7:$B$10366,0),MATCH('Tabular Pop Data by Age'!$C$6,'Population Data by Age'!$B$6:$H$6,0))</f>
        <v>0</v>
      </c>
      <c r="J63" s="78">
        <f>INDEX('Population Data by Age'!$B$7:$H$10366,MATCH(CONCATENATE('Tabular Pop Data by Age'!$C63,'Tabular Pop Data by Age'!J$7),'Population Data by Age'!$B$7:$B$10366,0),MATCH('Tabular Pop Data by Age'!$C$6,'Population Data by Age'!$B$6:$H$6,0))</f>
        <v>0</v>
      </c>
      <c r="K63" s="78">
        <f>INDEX('Population Data by Age'!$B$7:$H$10366,MATCH(CONCATENATE('Tabular Pop Data by Age'!$C63,'Tabular Pop Data by Age'!K$7),'Population Data by Age'!$B$7:$B$10366,0),MATCH('Tabular Pop Data by Age'!$C$6,'Population Data by Age'!$B$6:$H$6,0))</f>
        <v>0</v>
      </c>
      <c r="L63" s="78">
        <f>INDEX('Population Data by Age'!$B$7:$H$10366,MATCH(CONCATENATE('Tabular Pop Data by Age'!$C63,'Tabular Pop Data by Age'!L$7),'Population Data by Age'!$B$7:$B$10366,0),MATCH('Tabular Pop Data by Age'!$C$6,'Population Data by Age'!$B$6:$H$6,0))</f>
        <v>0</v>
      </c>
      <c r="M63" s="78">
        <f>INDEX('Population Data by Age'!$B$7:$H$10366,MATCH(CONCATENATE('Tabular Pop Data by Age'!$C63,'Tabular Pop Data by Age'!M$7),'Population Data by Age'!$B$7:$B$10366,0),MATCH('Tabular Pop Data by Age'!$C$6,'Population Data by Age'!$B$6:$H$6,0))</f>
        <v>0</v>
      </c>
      <c r="N63" s="78">
        <f>INDEX('Population Data by Age'!$B$7:$H$10366,MATCH(CONCATENATE('Tabular Pop Data by Age'!$C63,'Tabular Pop Data by Age'!N$7),'Population Data by Age'!$B$7:$B$10366,0),MATCH('Tabular Pop Data by Age'!$C$6,'Population Data by Age'!$B$6:$H$6,0))</f>
        <v>0</v>
      </c>
      <c r="O63" s="78">
        <f>INDEX('Population Data by Age'!$B$7:$H$10366,MATCH(CONCATENATE('Tabular Pop Data by Age'!$C63,'Tabular Pop Data by Age'!O$7),'Population Data by Age'!$B$7:$B$10366,0),MATCH('Tabular Pop Data by Age'!$C$6,'Population Data by Age'!$B$6:$H$6,0))</f>
        <v>0</v>
      </c>
      <c r="P63" s="78">
        <f>INDEX('Population Data by Age'!$B$7:$H$10366,MATCH(CONCATENATE('Tabular Pop Data by Age'!$C63,'Tabular Pop Data by Age'!P$7),'Population Data by Age'!$B$7:$B$10366,0),MATCH('Tabular Pop Data by Age'!$C$6,'Population Data by Age'!$B$6:$H$6,0))</f>
        <v>0</v>
      </c>
      <c r="Q63" s="78">
        <f>INDEX('Population Data by Age'!$B$7:$H$10366,MATCH(CONCATENATE('Tabular Pop Data by Age'!$C63,'Tabular Pop Data by Age'!Q$7),'Population Data by Age'!$B$7:$B$10366,0),MATCH('Tabular Pop Data by Age'!$C$6,'Population Data by Age'!$B$6:$H$6,0))</f>
        <v>0</v>
      </c>
      <c r="R63" s="78">
        <f>INDEX('Population Data by Age'!$B$7:$H$10366,MATCH(CONCATENATE('Tabular Pop Data by Age'!$C63,'Tabular Pop Data by Age'!R$7),'Population Data by Age'!$B$7:$B$10366,0),MATCH('Tabular Pop Data by Age'!$C$6,'Population Data by Age'!$B$6:$H$6,0))</f>
        <v>0</v>
      </c>
      <c r="S63" s="78">
        <f>INDEX('Population Data by Age'!$B$7:$H$10366,MATCH(CONCATENATE('Tabular Pop Data by Age'!$C63,'Tabular Pop Data by Age'!S$7),'Population Data by Age'!$B$7:$B$10366,0),MATCH('Tabular Pop Data by Age'!$C$6,'Population Data by Age'!$B$6:$H$6,0))</f>
        <v>0</v>
      </c>
      <c r="T63" s="78">
        <f>INDEX('Population Data by Age'!$B$7:$H$10366,MATCH(CONCATENATE('Tabular Pop Data by Age'!$C63,'Tabular Pop Data by Age'!T$7),'Population Data by Age'!$B$7:$B$10366,0),MATCH('Tabular Pop Data by Age'!$C$6,'Population Data by Age'!$B$6:$H$6,0))</f>
        <v>0</v>
      </c>
      <c r="U63" s="78">
        <f>INDEX('Population Data by Age'!$B$7:$H$10366,MATCH(CONCATENATE('Tabular Pop Data by Age'!$C63,'Tabular Pop Data by Age'!U$7),'Population Data by Age'!$B$7:$B$10366,0),MATCH('Tabular Pop Data by Age'!$C$6,'Population Data by Age'!$B$6:$H$6,0))</f>
        <v>0</v>
      </c>
      <c r="V63" s="78">
        <f>INDEX('Population Data by Age'!$B$7:$H$10366,MATCH(CONCATENATE('Tabular Pop Data by Age'!$C63,'Tabular Pop Data by Age'!V$7),'Population Data by Age'!$B$7:$B$10366,0),MATCH('Tabular Pop Data by Age'!$C$6,'Population Data by Age'!$B$6:$H$6,0))</f>
        <v>0</v>
      </c>
      <c r="W63" s="78">
        <f>INDEX('Population Data by Age'!$B$7:$H$10366,MATCH(CONCATENATE('Tabular Pop Data by Age'!$C63,'Tabular Pop Data by Age'!W$7),'Population Data by Age'!$B$7:$B$10366,0),MATCH('Tabular Pop Data by Age'!$C$6,'Population Data by Age'!$B$6:$H$6,0))</f>
        <v>0</v>
      </c>
      <c r="X63" s="78">
        <f>INDEX('Population Data by Age'!$B$7:$H$10366,MATCH(CONCATENATE('Tabular Pop Data by Age'!$C63,'Tabular Pop Data by Age'!X$7),'Population Data by Age'!$B$7:$B$10366,0),MATCH('Tabular Pop Data by Age'!$C$6,'Population Data by Age'!$B$6:$H$6,0))</f>
        <v>0</v>
      </c>
      <c r="Y63" s="78">
        <f>INDEX('Population Data by Age'!$B$7:$H$10366,MATCH(CONCATENATE('Tabular Pop Data by Age'!$C63,'Tabular Pop Data by Age'!Y$7),'Population Data by Age'!$B$7:$B$10366,0),MATCH('Tabular Pop Data by Age'!$C$6,'Population Data by Age'!$B$6:$H$6,0))</f>
        <v>0</v>
      </c>
      <c r="Z63" s="78">
        <f>INDEX('Population Data by Age'!$B$7:$H$10366,MATCH(CONCATENATE('Tabular Pop Data by Age'!$C63,'Tabular Pop Data by Age'!Z$7),'Population Data by Age'!$B$7:$B$10366,0),MATCH('Tabular Pop Data by Age'!$C$6,'Population Data by Age'!$B$6:$H$6,0))</f>
        <v>0</v>
      </c>
      <c r="AA63" s="78">
        <f>INDEX('Population Data by Age'!$B$7:$H$10366,MATCH(CONCATENATE('Tabular Pop Data by Age'!$C63,'Tabular Pop Data by Age'!AA$7),'Population Data by Age'!$B$7:$B$10366,0),MATCH('Tabular Pop Data by Age'!$C$6,'Population Data by Age'!$B$6:$H$6,0))</f>
        <v>0</v>
      </c>
      <c r="AB63" s="78">
        <f>INDEX('Population Data by Age'!$B$7:$H$10366,MATCH(CONCATENATE('Tabular Pop Data by Age'!$C63,'Tabular Pop Data by Age'!AB$7),'Population Data by Age'!$B$7:$B$10366,0),MATCH('Tabular Pop Data by Age'!$C$6,'Population Data by Age'!$B$6:$H$6,0))</f>
        <v>0</v>
      </c>
      <c r="AC63" s="78">
        <f>INDEX('Population Data by Age'!$B$7:$H$10366,MATCH(CONCATENATE('Tabular Pop Data by Age'!$C63,'Tabular Pop Data by Age'!AC$7),'Population Data by Age'!$B$7:$B$10366,0),MATCH('Tabular Pop Data by Age'!$C$6,'Population Data by Age'!$B$6:$H$6,0))</f>
        <v>0</v>
      </c>
      <c r="AD63" s="78">
        <f>INDEX('Population Data by Age'!$B$7:$H$10366,MATCH(CONCATENATE('Tabular Pop Data by Age'!$C63,'Tabular Pop Data by Age'!AD$7),'Population Data by Age'!$B$7:$B$10366,0),MATCH('Tabular Pop Data by Age'!$C$6,'Population Data by Age'!$B$6:$H$6,0))</f>
        <v>0</v>
      </c>
      <c r="AE63" s="78">
        <f>INDEX('Population Data by Age'!$B$7:$H$10366,MATCH(CONCATENATE('Tabular Pop Data by Age'!$C63,'Tabular Pop Data by Age'!AE$7),'Population Data by Age'!$B$7:$B$10366,0),MATCH('Tabular Pop Data by Age'!$C$6,'Population Data by Age'!$B$6:$H$6,0))</f>
        <v>0</v>
      </c>
      <c r="AF63" s="78">
        <f>INDEX('Population Data by Age'!$B$7:$H$10366,MATCH(CONCATENATE('Tabular Pop Data by Age'!$C63,'Tabular Pop Data by Age'!AF$7),'Population Data by Age'!$B$7:$B$10366,0),MATCH('Tabular Pop Data by Age'!$C$6,'Population Data by Age'!$B$6:$H$6,0))</f>
        <v>0</v>
      </c>
      <c r="AG63" s="78">
        <f>INDEX('Population Data by Age'!$B$7:$H$10366,MATCH(CONCATENATE('Tabular Pop Data by Age'!$C63,'Tabular Pop Data by Age'!AG$7),'Population Data by Age'!$B$7:$B$10366,0),MATCH('Tabular Pop Data by Age'!$C$6,'Population Data by Age'!$B$6:$H$6,0))</f>
        <v>0</v>
      </c>
      <c r="AH63" s="78">
        <f>INDEX('Population Data by Age'!$B$7:$H$10366,MATCH(CONCATENATE('Tabular Pop Data by Age'!$C63,'Tabular Pop Data by Age'!AH$7),'Population Data by Age'!$B$7:$B$10366,0),MATCH('Tabular Pop Data by Age'!$C$6,'Population Data by Age'!$B$6:$H$6,0))</f>
        <v>0</v>
      </c>
      <c r="AI63" s="78">
        <f>INDEX('Population Data by Age'!$B$7:$H$10366,MATCH(CONCATENATE('Tabular Pop Data by Age'!$C63,'Tabular Pop Data by Age'!AI$7),'Population Data by Age'!$B$7:$B$10366,0),MATCH('Tabular Pop Data by Age'!$C$6,'Population Data by Age'!$B$6:$H$6,0))</f>
        <v>0</v>
      </c>
      <c r="AJ63" s="78">
        <f>INDEX('Population Data by Age'!$B$7:$H$10366,MATCH(CONCATENATE('Tabular Pop Data by Age'!$C63,'Tabular Pop Data by Age'!AJ$7),'Population Data by Age'!$B$7:$B$10366,0),MATCH('Tabular Pop Data by Age'!$C$6,'Population Data by Age'!$B$6:$H$6,0))</f>
        <v>0</v>
      </c>
      <c r="AK63" s="78">
        <f>INDEX('Population Data by Age'!$B$7:$H$10366,MATCH(CONCATENATE('Tabular Pop Data by Age'!$C63,'Tabular Pop Data by Age'!AK$7),'Population Data by Age'!$B$7:$B$10366,0),MATCH('Tabular Pop Data by Age'!$C$6,'Population Data by Age'!$B$6:$H$6,0))</f>
        <v>0</v>
      </c>
      <c r="AL63" s="78">
        <f>INDEX('Population Data by Age'!$B$7:$H$10366,MATCH(CONCATENATE('Tabular Pop Data by Age'!$C63,'Tabular Pop Data by Age'!AL$7),'Population Data by Age'!$B$7:$B$10366,0),MATCH('Tabular Pop Data by Age'!$C$6,'Population Data by Age'!$B$6:$H$6,0))</f>
        <v>0</v>
      </c>
      <c r="AM63" s="78">
        <f>INDEX('Population Data by Age'!$B$7:$H$10366,MATCH(CONCATENATE('Tabular Pop Data by Age'!$C63,'Tabular Pop Data by Age'!AM$7),'Population Data by Age'!$B$7:$B$10366,0),MATCH('Tabular Pop Data by Age'!$C$6,'Population Data by Age'!$B$6:$H$6,0))</f>
        <v>0</v>
      </c>
      <c r="AN63" s="78">
        <f>INDEX('Population Data by Age'!$B$7:$H$10366,MATCH(CONCATENATE('Tabular Pop Data by Age'!$C63,'Tabular Pop Data by Age'!AN$7),'Population Data by Age'!$B$7:$B$10366,0),MATCH('Tabular Pop Data by Age'!$C$6,'Population Data by Age'!$B$6:$H$6,0))</f>
        <v>72000</v>
      </c>
      <c r="AO63" s="78">
        <f>INDEX('Population Data by Age'!$B$7:$H$10366,MATCH(CONCATENATE('Tabular Pop Data by Age'!$C63,'Tabular Pop Data by Age'!AO$7),'Population Data by Age'!$B$7:$B$10366,0),MATCH('Tabular Pop Data by Age'!$C$6,'Population Data by Age'!$B$6:$H$6,0))</f>
        <v>0</v>
      </c>
      <c r="AP63" s="79">
        <f t="shared" si="0"/>
        <v>0</v>
      </c>
      <c r="AQ63" s="79">
        <f t="shared" si="1"/>
        <v>0</v>
      </c>
      <c r="AR63" s="79">
        <f t="shared" si="2"/>
        <v>0</v>
      </c>
      <c r="AS63" s="79">
        <f t="shared" si="3"/>
        <v>0</v>
      </c>
      <c r="AT63" s="79">
        <f t="shared" si="4"/>
        <v>0</v>
      </c>
      <c r="AU63" s="79">
        <f t="shared" si="5"/>
        <v>0</v>
      </c>
      <c r="AV63" s="79">
        <f t="shared" si="6"/>
        <v>0</v>
      </c>
      <c r="AW63" s="79">
        <f t="shared" si="7"/>
        <v>0</v>
      </c>
      <c r="AX63" s="79">
        <f t="shared" si="8"/>
        <v>0</v>
      </c>
      <c r="AY63" s="79">
        <f t="shared" si="9"/>
        <v>0</v>
      </c>
      <c r="AZ63" s="79">
        <f t="shared" si="10"/>
        <v>0</v>
      </c>
      <c r="BA63" s="79">
        <f t="shared" si="11"/>
        <v>0</v>
      </c>
      <c r="BB63" s="79">
        <f t="shared" si="12"/>
        <v>0</v>
      </c>
      <c r="BC63" s="79">
        <f t="shared" si="13"/>
        <v>0</v>
      </c>
      <c r="BD63" s="79">
        <f t="shared" si="14"/>
        <v>0</v>
      </c>
      <c r="BE63" s="79">
        <f t="shared" si="15"/>
        <v>0</v>
      </c>
      <c r="BF63" s="79">
        <f t="shared" si="16"/>
        <v>0</v>
      </c>
    </row>
    <row r="64" spans="1:58" x14ac:dyDescent="0.25">
      <c r="A64" s="138" t="s">
        <v>1195</v>
      </c>
      <c r="B64" t="s">
        <v>473</v>
      </c>
      <c r="C64" t="s">
        <v>474</v>
      </c>
      <c r="D64" s="78">
        <f>INDEX('Population Data by Age'!$B$7:$H$10366,MATCH(CONCATENATE('Tabular Pop Data by Age'!$C64,'Tabular Pop Data by Age'!D$7),'Population Data by Age'!$B$7:$B$10366,0),MATCH('Tabular Pop Data by Age'!$C$6,'Population Data by Age'!$B$6:$H$6,0))</f>
        <v>491000</v>
      </c>
      <c r="E64" s="78">
        <f>INDEX('Population Data by Age'!$B$7:$H$10366,MATCH(CONCATENATE('Tabular Pop Data by Age'!$C64,'Tabular Pop Data by Age'!E$7),'Population Data by Age'!$B$7:$B$10366,0),MATCH('Tabular Pop Data by Age'!$C$6,'Population Data by Age'!$B$6:$H$6,0))</f>
        <v>512000</v>
      </c>
      <c r="F64" s="78">
        <f>INDEX('Population Data by Age'!$B$7:$H$10366,MATCH(CONCATENATE('Tabular Pop Data by Age'!$C64,'Tabular Pop Data by Age'!F$7),'Population Data by Age'!$B$7:$B$10366,0),MATCH('Tabular Pop Data by Age'!$C$6,'Population Data by Age'!$B$6:$H$6,0))</f>
        <v>488000</v>
      </c>
      <c r="G64" s="78">
        <f>INDEX('Population Data by Age'!$B$7:$H$10366,MATCH(CONCATENATE('Tabular Pop Data by Age'!$C64,'Tabular Pop Data by Age'!G$7),'Population Data by Age'!$B$7:$B$10366,0),MATCH('Tabular Pop Data by Age'!$C$6,'Population Data by Age'!$B$6:$H$6,0))</f>
        <v>508000</v>
      </c>
      <c r="H64" s="78">
        <f>INDEX('Population Data by Age'!$B$7:$H$10366,MATCH(CONCATENATE('Tabular Pop Data by Age'!$C64,'Tabular Pop Data by Age'!H$7),'Population Data by Age'!$B$7:$B$10366,0),MATCH('Tabular Pop Data by Age'!$C$6,'Population Data by Age'!$B$6:$H$6,0))</f>
        <v>479000</v>
      </c>
      <c r="I64" s="78">
        <f>INDEX('Population Data by Age'!$B$7:$H$10366,MATCH(CONCATENATE('Tabular Pop Data by Age'!$C64,'Tabular Pop Data by Age'!I$7),'Population Data by Age'!$B$7:$B$10366,0),MATCH('Tabular Pop Data by Age'!$C$6,'Population Data by Age'!$B$6:$H$6,0))</f>
        <v>498000</v>
      </c>
      <c r="J64" s="78">
        <f>INDEX('Population Data by Age'!$B$7:$H$10366,MATCH(CONCATENATE('Tabular Pop Data by Age'!$C64,'Tabular Pop Data by Age'!J$7),'Population Data by Age'!$B$7:$B$10366,0),MATCH('Tabular Pop Data by Age'!$C$6,'Population Data by Age'!$B$6:$H$6,0))</f>
        <v>470000</v>
      </c>
      <c r="K64" s="78">
        <f>INDEX('Population Data by Age'!$B$7:$H$10366,MATCH(CONCATENATE('Tabular Pop Data by Age'!$C64,'Tabular Pop Data by Age'!K$7),'Population Data by Age'!$B$7:$B$10366,0),MATCH('Tabular Pop Data by Age'!$C$6,'Population Data by Age'!$B$6:$H$6,0))</f>
        <v>489000</v>
      </c>
      <c r="L64" s="78">
        <f>INDEX('Population Data by Age'!$B$7:$H$10366,MATCH(CONCATENATE('Tabular Pop Data by Age'!$C64,'Tabular Pop Data by Age'!L$7),'Population Data by Age'!$B$7:$B$10366,0),MATCH('Tabular Pop Data by Age'!$C$6,'Population Data by Age'!$B$6:$H$6,0))</f>
        <v>462000</v>
      </c>
      <c r="M64" s="78">
        <f>INDEX('Population Data by Age'!$B$7:$H$10366,MATCH(CONCATENATE('Tabular Pop Data by Age'!$C64,'Tabular Pop Data by Age'!M$7),'Population Data by Age'!$B$7:$B$10366,0),MATCH('Tabular Pop Data by Age'!$C$6,'Population Data by Age'!$B$6:$H$6,0))</f>
        <v>477000</v>
      </c>
      <c r="N64" s="78">
        <f>INDEX('Population Data by Age'!$B$7:$H$10366,MATCH(CONCATENATE('Tabular Pop Data by Age'!$C64,'Tabular Pop Data by Age'!N$7),'Population Data by Age'!$B$7:$B$10366,0),MATCH('Tabular Pop Data by Age'!$C$6,'Population Data by Age'!$B$6:$H$6,0))</f>
        <v>456000</v>
      </c>
      <c r="O64" s="78">
        <f>INDEX('Population Data by Age'!$B$7:$H$10366,MATCH(CONCATENATE('Tabular Pop Data by Age'!$C64,'Tabular Pop Data by Age'!O$7),'Population Data by Age'!$B$7:$B$10366,0),MATCH('Tabular Pop Data by Age'!$C$6,'Population Data by Age'!$B$6:$H$6,0))</f>
        <v>458000</v>
      </c>
      <c r="P64" s="78">
        <f>INDEX('Population Data by Age'!$B$7:$H$10366,MATCH(CONCATENATE('Tabular Pop Data by Age'!$C64,'Tabular Pop Data by Age'!P$7),'Population Data by Age'!$B$7:$B$10366,0),MATCH('Tabular Pop Data by Age'!$C$6,'Population Data by Age'!$B$6:$H$6,0))</f>
        <v>416000</v>
      </c>
      <c r="Q64" s="78">
        <f>INDEX('Population Data by Age'!$B$7:$H$10366,MATCH(CONCATENATE('Tabular Pop Data by Age'!$C64,'Tabular Pop Data by Age'!Q$7),'Population Data by Age'!$B$7:$B$10366,0),MATCH('Tabular Pop Data by Age'!$C$6,'Population Data by Age'!$B$6:$H$6,0))</f>
        <v>410000</v>
      </c>
      <c r="R64" s="78">
        <f>INDEX('Population Data by Age'!$B$7:$H$10366,MATCH(CONCATENATE('Tabular Pop Data by Age'!$C64,'Tabular Pop Data by Age'!R$7),'Population Data by Age'!$B$7:$B$10366,0),MATCH('Tabular Pop Data by Age'!$C$6,'Population Data by Age'!$B$6:$H$6,0))</f>
        <v>366000</v>
      </c>
      <c r="S64" s="78">
        <f>INDEX('Population Data by Age'!$B$7:$H$10366,MATCH(CONCATENATE('Tabular Pop Data by Age'!$C64,'Tabular Pop Data by Age'!S$7),'Population Data by Age'!$B$7:$B$10366,0),MATCH('Tabular Pop Data by Age'!$C$6,'Population Data by Age'!$B$6:$H$6,0))</f>
        <v>372000</v>
      </c>
      <c r="T64" s="78">
        <f>INDEX('Population Data by Age'!$B$7:$H$10366,MATCH(CONCATENATE('Tabular Pop Data by Age'!$C64,'Tabular Pop Data by Age'!T$7),'Population Data by Age'!$B$7:$B$10366,0),MATCH('Tabular Pop Data by Age'!$C$6,'Population Data by Age'!$B$6:$H$6,0))</f>
        <v>337000</v>
      </c>
      <c r="U64" s="78">
        <f>INDEX('Population Data by Age'!$B$7:$H$10366,MATCH(CONCATENATE('Tabular Pop Data by Age'!$C64,'Tabular Pop Data by Age'!U$7),'Population Data by Age'!$B$7:$B$10366,0),MATCH('Tabular Pop Data by Age'!$C$6,'Population Data by Age'!$B$6:$H$6,0))</f>
        <v>332000</v>
      </c>
      <c r="V64" s="78">
        <f>INDEX('Population Data by Age'!$B$7:$H$10366,MATCH(CONCATENATE('Tabular Pop Data by Age'!$C64,'Tabular Pop Data by Age'!V$7),'Population Data by Age'!$B$7:$B$10366,0),MATCH('Tabular Pop Data by Age'!$C$6,'Population Data by Age'!$B$6:$H$6,0))</f>
        <v>308000</v>
      </c>
      <c r="W64" s="78">
        <f>INDEX('Population Data by Age'!$B$7:$H$10366,MATCH(CONCATENATE('Tabular Pop Data by Age'!$C64,'Tabular Pop Data by Age'!W$7),'Population Data by Age'!$B$7:$B$10366,0),MATCH('Tabular Pop Data by Age'!$C$6,'Population Data by Age'!$B$6:$H$6,0))</f>
        <v>299000</v>
      </c>
      <c r="X64" s="78">
        <f>INDEX('Population Data by Age'!$B$7:$H$10366,MATCH(CONCATENATE('Tabular Pop Data by Age'!$C64,'Tabular Pop Data by Age'!X$7),'Population Data by Age'!$B$7:$B$10366,0),MATCH('Tabular Pop Data by Age'!$C$6,'Population Data by Age'!$B$6:$H$6,0))</f>
        <v>277000</v>
      </c>
      <c r="Y64" s="78">
        <f>INDEX('Population Data by Age'!$B$7:$H$10366,MATCH(CONCATENATE('Tabular Pop Data by Age'!$C64,'Tabular Pop Data by Age'!Y$7),'Population Data by Age'!$B$7:$B$10366,0),MATCH('Tabular Pop Data by Age'!$C$6,'Population Data by Age'!$B$6:$H$6,0))</f>
        <v>264000</v>
      </c>
      <c r="Z64" s="78">
        <f>INDEX('Population Data by Age'!$B$7:$H$10366,MATCH(CONCATENATE('Tabular Pop Data by Age'!$C64,'Tabular Pop Data by Age'!Z$7),'Population Data by Age'!$B$7:$B$10366,0),MATCH('Tabular Pop Data by Age'!$C$6,'Population Data by Age'!$B$6:$H$6,0))</f>
        <v>243000</v>
      </c>
      <c r="AA64" s="78">
        <f>INDEX('Population Data by Age'!$B$7:$H$10366,MATCH(CONCATENATE('Tabular Pop Data by Age'!$C64,'Tabular Pop Data by Age'!AA$7),'Population Data by Age'!$B$7:$B$10366,0),MATCH('Tabular Pop Data by Age'!$C$6,'Population Data by Age'!$B$6:$H$6,0))</f>
        <v>230000</v>
      </c>
      <c r="AB64" s="78">
        <f>INDEX('Population Data by Age'!$B$7:$H$10366,MATCH(CONCATENATE('Tabular Pop Data by Age'!$C64,'Tabular Pop Data by Age'!AB$7),'Population Data by Age'!$B$7:$B$10366,0),MATCH('Tabular Pop Data by Age'!$C$6,'Population Data by Age'!$B$6:$H$6,0))</f>
        <v>200000</v>
      </c>
      <c r="AC64" s="78">
        <f>INDEX('Population Data by Age'!$B$7:$H$10366,MATCH(CONCATENATE('Tabular Pop Data by Age'!$C64,'Tabular Pop Data by Age'!AC$7),'Population Data by Age'!$B$7:$B$10366,0),MATCH('Tabular Pop Data by Age'!$C$6,'Population Data by Age'!$B$6:$H$6,0))</f>
        <v>189000</v>
      </c>
      <c r="AD64" s="78">
        <f>INDEX('Population Data by Age'!$B$7:$H$10366,MATCH(CONCATENATE('Tabular Pop Data by Age'!$C64,'Tabular Pop Data by Age'!AD$7),'Population Data by Age'!$B$7:$B$10366,0),MATCH('Tabular Pop Data by Age'!$C$6,'Population Data by Age'!$B$6:$H$6,0))</f>
        <v>152000</v>
      </c>
      <c r="AE64" s="78">
        <f>INDEX('Population Data by Age'!$B$7:$H$10366,MATCH(CONCATENATE('Tabular Pop Data by Age'!$C64,'Tabular Pop Data by Age'!AE$7),'Population Data by Age'!$B$7:$B$10366,0),MATCH('Tabular Pop Data by Age'!$C$6,'Population Data by Age'!$B$6:$H$6,0))</f>
        <v>141000</v>
      </c>
      <c r="AF64" s="78">
        <f>INDEX('Population Data by Age'!$B$7:$H$10366,MATCH(CONCATENATE('Tabular Pop Data by Age'!$C64,'Tabular Pop Data by Age'!AF$7),'Population Data by Age'!$B$7:$B$10366,0),MATCH('Tabular Pop Data by Age'!$C$6,'Population Data by Age'!$B$6:$H$6,0))</f>
        <v>108000</v>
      </c>
      <c r="AG64" s="78">
        <f>INDEX('Population Data by Age'!$B$7:$H$10366,MATCH(CONCATENATE('Tabular Pop Data by Age'!$C64,'Tabular Pop Data by Age'!AG$7),'Population Data by Age'!$B$7:$B$10366,0),MATCH('Tabular Pop Data by Age'!$C$6,'Population Data by Age'!$B$6:$H$6,0))</f>
        <v>96000</v>
      </c>
      <c r="AH64" s="78">
        <f>INDEX('Population Data by Age'!$B$7:$H$10366,MATCH(CONCATENATE('Tabular Pop Data by Age'!$C64,'Tabular Pop Data by Age'!AH$7),'Population Data by Age'!$B$7:$B$10366,0),MATCH('Tabular Pop Data by Age'!$C$6,'Population Data by Age'!$B$6:$H$6,0))</f>
        <v>74000</v>
      </c>
      <c r="AI64" s="78">
        <f>INDEX('Population Data by Age'!$B$7:$H$10366,MATCH(CONCATENATE('Tabular Pop Data by Age'!$C64,'Tabular Pop Data by Age'!AI$7),'Population Data by Age'!$B$7:$B$10366,0),MATCH('Tabular Pop Data by Age'!$C$6,'Population Data by Age'!$B$6:$H$6,0))</f>
        <v>64000</v>
      </c>
      <c r="AJ64" s="78">
        <f>INDEX('Population Data by Age'!$B$7:$H$10366,MATCH(CONCATENATE('Tabular Pop Data by Age'!$C64,'Tabular Pop Data by Age'!AJ$7),'Population Data by Age'!$B$7:$B$10366,0),MATCH('Tabular Pop Data by Age'!$C$6,'Population Data by Age'!$B$6:$H$6,0))</f>
        <v>102000</v>
      </c>
      <c r="AK64" s="78">
        <f>INDEX('Population Data by Age'!$B$7:$H$10366,MATCH(CONCATENATE('Tabular Pop Data by Age'!$C64,'Tabular Pop Data by Age'!AK$7),'Population Data by Age'!$B$7:$B$10366,0),MATCH('Tabular Pop Data by Age'!$C$6,'Population Data by Age'!$B$6:$H$6,0))</f>
        <v>80000</v>
      </c>
      <c r="AL64" s="78">
        <f>INDEX('Population Data by Age'!$B$7:$H$10366,MATCH(CONCATENATE('Tabular Pop Data by Age'!$C64,'Tabular Pop Data by Age'!AL$7),'Population Data by Age'!$B$7:$B$10366,0),MATCH('Tabular Pop Data by Age'!$C$6,'Population Data by Age'!$B$6:$H$6,0))</f>
        <v>5430000</v>
      </c>
      <c r="AM64" s="78">
        <f>INDEX('Population Data by Age'!$B$7:$H$10366,MATCH(CONCATENATE('Tabular Pop Data by Age'!$C64,'Tabular Pop Data by Age'!AM$7),'Population Data by Age'!$B$7:$B$10366,0),MATCH('Tabular Pop Data by Age'!$C$6,'Population Data by Age'!$B$6:$H$6,0))</f>
        <v>5418000</v>
      </c>
      <c r="AN64" s="78">
        <f>INDEX('Population Data by Age'!$B$7:$H$10366,MATCH(CONCATENATE('Tabular Pop Data by Age'!$C64,'Tabular Pop Data by Age'!AN$7),'Population Data by Age'!$B$7:$B$10366,0),MATCH('Tabular Pop Data by Age'!$C$6,'Population Data by Age'!$B$6:$H$6,0))</f>
        <v>10848000</v>
      </c>
      <c r="AO64" s="78">
        <f>INDEX('Population Data by Age'!$B$7:$H$10366,MATCH(CONCATENATE('Tabular Pop Data by Age'!$C64,'Tabular Pop Data by Age'!AO$7),'Population Data by Age'!$B$7:$B$10366,0),MATCH('Tabular Pop Data by Age'!$C$6,'Population Data by Age'!$B$6:$H$6,0))</f>
        <v>0</v>
      </c>
      <c r="AP64" s="79">
        <f t="shared" si="0"/>
        <v>1003000</v>
      </c>
      <c r="AQ64" s="79">
        <f t="shared" si="1"/>
        <v>996000</v>
      </c>
      <c r="AR64" s="79">
        <f t="shared" si="2"/>
        <v>977000</v>
      </c>
      <c r="AS64" s="79">
        <f t="shared" si="3"/>
        <v>959000</v>
      </c>
      <c r="AT64" s="79">
        <f t="shared" si="4"/>
        <v>939000</v>
      </c>
      <c r="AU64" s="79">
        <f t="shared" si="5"/>
        <v>914000</v>
      </c>
      <c r="AV64" s="79">
        <f t="shared" si="6"/>
        <v>826000</v>
      </c>
      <c r="AW64" s="79">
        <f t="shared" si="7"/>
        <v>738000</v>
      </c>
      <c r="AX64" s="79">
        <f t="shared" si="8"/>
        <v>669000</v>
      </c>
      <c r="AY64" s="79">
        <f t="shared" si="9"/>
        <v>607000</v>
      </c>
      <c r="AZ64" s="79">
        <f t="shared" si="10"/>
        <v>541000</v>
      </c>
      <c r="BA64" s="79">
        <f t="shared" si="11"/>
        <v>473000</v>
      </c>
      <c r="BB64" s="79">
        <f t="shared" si="12"/>
        <v>389000</v>
      </c>
      <c r="BC64" s="79">
        <f t="shared" si="13"/>
        <v>293000</v>
      </c>
      <c r="BD64" s="79">
        <f t="shared" si="14"/>
        <v>204000</v>
      </c>
      <c r="BE64" s="79">
        <f t="shared" si="15"/>
        <v>138000</v>
      </c>
      <c r="BF64" s="79">
        <f t="shared" si="16"/>
        <v>182000</v>
      </c>
    </row>
    <row r="65" spans="1:58" x14ac:dyDescent="0.25">
      <c r="A65" s="138" t="s">
        <v>1195</v>
      </c>
      <c r="B65" t="s">
        <v>483</v>
      </c>
      <c r="C65" t="s">
        <v>38</v>
      </c>
      <c r="D65" s="78">
        <f>INDEX('Population Data by Age'!$B$7:$H$10366,MATCH(CONCATENATE('Tabular Pop Data by Age'!$C65,'Tabular Pop Data by Age'!D$7),'Population Data by Age'!$B$7:$B$10366,0),MATCH('Tabular Pop Data by Age'!$C$6,'Population Data by Age'!$B$6:$H$6,0))</f>
        <v>815000</v>
      </c>
      <c r="E65" s="78">
        <f>INDEX('Population Data by Age'!$B$7:$H$10366,MATCH(CONCATENATE('Tabular Pop Data by Age'!$C65,'Tabular Pop Data by Age'!E$7),'Population Data by Age'!$B$7:$B$10366,0),MATCH('Tabular Pop Data by Age'!$C$6,'Population Data by Age'!$B$6:$H$6,0))</f>
        <v>852000</v>
      </c>
      <c r="F65" s="78">
        <f>INDEX('Population Data by Age'!$B$7:$H$10366,MATCH(CONCATENATE('Tabular Pop Data by Age'!$C65,'Tabular Pop Data by Age'!F$7),'Population Data by Age'!$B$7:$B$10366,0),MATCH('Tabular Pop Data by Age'!$C$6,'Population Data by Age'!$B$6:$H$6,0))</f>
        <v>788000</v>
      </c>
      <c r="G65" s="78">
        <f>INDEX('Population Data by Age'!$B$7:$H$10366,MATCH(CONCATENATE('Tabular Pop Data by Age'!$C65,'Tabular Pop Data by Age'!G$7),'Population Data by Age'!$B$7:$B$10366,0),MATCH('Tabular Pop Data by Age'!$C$6,'Population Data by Age'!$B$6:$H$6,0))</f>
        <v>823000</v>
      </c>
      <c r="H65" s="78">
        <f>INDEX('Population Data by Age'!$B$7:$H$10366,MATCH(CONCATENATE('Tabular Pop Data by Age'!$C65,'Tabular Pop Data by Age'!H$7),'Population Data by Age'!$B$7:$B$10366,0),MATCH('Tabular Pop Data by Age'!$C$6,'Population Data by Age'!$B$6:$H$6,0))</f>
        <v>761000</v>
      </c>
      <c r="I65" s="78">
        <f>INDEX('Population Data by Age'!$B$7:$H$10366,MATCH(CONCATENATE('Tabular Pop Data by Age'!$C65,'Tabular Pop Data by Age'!I$7),'Population Data by Age'!$B$7:$B$10366,0),MATCH('Tabular Pop Data by Age'!$C$6,'Population Data by Age'!$B$6:$H$6,0))</f>
        <v>794000</v>
      </c>
      <c r="J65" s="78">
        <f>INDEX('Population Data by Age'!$B$7:$H$10366,MATCH(CONCATENATE('Tabular Pop Data by Age'!$C65,'Tabular Pop Data by Age'!J$7),'Population Data by Age'!$B$7:$B$10366,0),MATCH('Tabular Pop Data by Age'!$C$6,'Population Data by Age'!$B$6:$H$6,0))</f>
        <v>766000</v>
      </c>
      <c r="K65" s="78">
        <f>INDEX('Population Data by Age'!$B$7:$H$10366,MATCH(CONCATENATE('Tabular Pop Data by Age'!$C65,'Tabular Pop Data by Age'!K$7),'Population Data by Age'!$B$7:$B$10366,0),MATCH('Tabular Pop Data by Age'!$C$6,'Population Data by Age'!$B$6:$H$6,0))</f>
        <v>795000</v>
      </c>
      <c r="L65" s="78">
        <f>INDEX('Population Data by Age'!$B$7:$H$10366,MATCH(CONCATENATE('Tabular Pop Data by Age'!$C65,'Tabular Pop Data by Age'!L$7),'Population Data by Age'!$B$7:$B$10366,0),MATCH('Tabular Pop Data by Age'!$C$6,'Population Data by Age'!$B$6:$H$6,0))</f>
        <v>771000</v>
      </c>
      <c r="M65" s="78">
        <f>INDEX('Population Data by Age'!$B$7:$H$10366,MATCH(CONCATENATE('Tabular Pop Data by Age'!$C65,'Tabular Pop Data by Age'!M$7),'Population Data by Age'!$B$7:$B$10366,0),MATCH('Tabular Pop Data by Age'!$C$6,'Population Data by Age'!$B$6:$H$6,0))</f>
        <v>796000</v>
      </c>
      <c r="N65" s="78">
        <f>INDEX('Population Data by Age'!$B$7:$H$10366,MATCH(CONCATENATE('Tabular Pop Data by Age'!$C65,'Tabular Pop Data by Age'!N$7),'Population Data by Age'!$B$7:$B$10366,0),MATCH('Tabular Pop Data by Age'!$C$6,'Population Data by Age'!$B$6:$H$6,0))</f>
        <v>728000</v>
      </c>
      <c r="O65" s="78">
        <f>INDEX('Population Data by Age'!$B$7:$H$10366,MATCH(CONCATENATE('Tabular Pop Data by Age'!$C65,'Tabular Pop Data by Age'!O$7),'Population Data by Age'!$B$7:$B$10366,0),MATCH('Tabular Pop Data by Age'!$C$6,'Population Data by Age'!$B$6:$H$6,0))</f>
        <v>742000</v>
      </c>
      <c r="P65" s="78">
        <f>INDEX('Population Data by Age'!$B$7:$H$10366,MATCH(CONCATENATE('Tabular Pop Data by Age'!$C65,'Tabular Pop Data by Age'!P$7),'Population Data by Age'!$B$7:$B$10366,0),MATCH('Tabular Pop Data by Age'!$C$6,'Population Data by Age'!$B$6:$H$6,0))</f>
        <v>679000</v>
      </c>
      <c r="Q65" s="78">
        <f>INDEX('Population Data by Age'!$B$7:$H$10366,MATCH(CONCATENATE('Tabular Pop Data by Age'!$C65,'Tabular Pop Data by Age'!Q$7),'Population Data by Age'!$B$7:$B$10366,0),MATCH('Tabular Pop Data by Age'!$C$6,'Population Data by Age'!$B$6:$H$6,0))</f>
        <v>684000</v>
      </c>
      <c r="R65" s="78">
        <f>INDEX('Population Data by Age'!$B$7:$H$10366,MATCH(CONCATENATE('Tabular Pop Data by Age'!$C65,'Tabular Pop Data by Age'!R$7),'Population Data by Age'!$B$7:$B$10366,0),MATCH('Tabular Pop Data by Age'!$C$6,'Population Data by Age'!$B$6:$H$6,0))</f>
        <v>615000</v>
      </c>
      <c r="S65" s="78">
        <f>INDEX('Population Data by Age'!$B$7:$H$10366,MATCH(CONCATENATE('Tabular Pop Data by Age'!$C65,'Tabular Pop Data by Age'!S$7),'Population Data by Age'!$B$7:$B$10366,0),MATCH('Tabular Pop Data by Age'!$C$6,'Population Data by Age'!$B$6:$H$6,0))</f>
        <v>614000</v>
      </c>
      <c r="T65" s="78">
        <f>INDEX('Population Data by Age'!$B$7:$H$10366,MATCH(CONCATENATE('Tabular Pop Data by Age'!$C65,'Tabular Pop Data by Age'!T$7),'Population Data by Age'!$B$7:$B$10366,0),MATCH('Tabular Pop Data by Age'!$C$6,'Population Data by Age'!$B$6:$H$6,0))</f>
        <v>554000</v>
      </c>
      <c r="U65" s="78">
        <f>INDEX('Population Data by Age'!$B$7:$H$10366,MATCH(CONCATENATE('Tabular Pop Data by Age'!$C65,'Tabular Pop Data by Age'!U$7),'Population Data by Age'!$B$7:$B$10366,0),MATCH('Tabular Pop Data by Age'!$C$6,'Population Data by Age'!$B$6:$H$6,0))</f>
        <v>545000</v>
      </c>
      <c r="V65" s="78">
        <f>INDEX('Population Data by Age'!$B$7:$H$10366,MATCH(CONCATENATE('Tabular Pop Data by Age'!$C65,'Tabular Pop Data by Age'!V$7),'Population Data by Age'!$B$7:$B$10366,0),MATCH('Tabular Pop Data by Age'!$C$6,'Population Data by Age'!$B$6:$H$6,0))</f>
        <v>502000</v>
      </c>
      <c r="W65" s="78">
        <f>INDEX('Population Data by Age'!$B$7:$H$10366,MATCH(CONCATENATE('Tabular Pop Data by Age'!$C65,'Tabular Pop Data by Age'!W$7),'Population Data by Age'!$B$7:$B$10366,0),MATCH('Tabular Pop Data by Age'!$C$6,'Population Data by Age'!$B$6:$H$6,0))</f>
        <v>487000</v>
      </c>
      <c r="X65" s="78">
        <f>INDEX('Population Data by Age'!$B$7:$H$10366,MATCH(CONCATENATE('Tabular Pop Data by Age'!$C65,'Tabular Pop Data by Age'!X$7),'Population Data by Age'!$B$7:$B$10366,0),MATCH('Tabular Pop Data by Age'!$C$6,'Population Data by Age'!$B$6:$H$6,0))</f>
        <v>440000</v>
      </c>
      <c r="Y65" s="78">
        <f>INDEX('Population Data by Age'!$B$7:$H$10366,MATCH(CONCATENATE('Tabular Pop Data by Age'!$C65,'Tabular Pop Data by Age'!Y$7),'Population Data by Age'!$B$7:$B$10366,0),MATCH('Tabular Pop Data by Age'!$C$6,'Population Data by Age'!$B$6:$H$6,0))</f>
        <v>424000</v>
      </c>
      <c r="Z65" s="78">
        <f>INDEX('Population Data by Age'!$B$7:$H$10366,MATCH(CONCATENATE('Tabular Pop Data by Age'!$C65,'Tabular Pop Data by Age'!Z$7),'Population Data by Age'!$B$7:$B$10366,0),MATCH('Tabular Pop Data by Age'!$C$6,'Population Data by Age'!$B$6:$H$6,0))</f>
        <v>372000</v>
      </c>
      <c r="AA65" s="78">
        <f>INDEX('Population Data by Age'!$B$7:$H$10366,MATCH(CONCATENATE('Tabular Pop Data by Age'!$C65,'Tabular Pop Data by Age'!AA$7),'Population Data by Age'!$B$7:$B$10366,0),MATCH('Tabular Pop Data by Age'!$C$6,'Population Data by Age'!$B$6:$H$6,0))</f>
        <v>355000</v>
      </c>
      <c r="AB65" s="78">
        <f>INDEX('Population Data by Age'!$B$7:$H$10366,MATCH(CONCATENATE('Tabular Pop Data by Age'!$C65,'Tabular Pop Data by Age'!AB$7),'Population Data by Age'!$B$7:$B$10366,0),MATCH('Tabular Pop Data by Age'!$C$6,'Population Data by Age'!$B$6:$H$6,0))</f>
        <v>310000</v>
      </c>
      <c r="AC65" s="78">
        <f>INDEX('Population Data by Age'!$B$7:$H$10366,MATCH(CONCATENATE('Tabular Pop Data by Age'!$C65,'Tabular Pop Data by Age'!AC$7),'Population Data by Age'!$B$7:$B$10366,0),MATCH('Tabular Pop Data by Age'!$C$6,'Population Data by Age'!$B$6:$H$6,0))</f>
        <v>291000</v>
      </c>
      <c r="AD65" s="78">
        <f>INDEX('Population Data by Age'!$B$7:$H$10366,MATCH(CONCATENATE('Tabular Pop Data by Age'!$C65,'Tabular Pop Data by Age'!AD$7),'Population Data by Age'!$B$7:$B$10366,0),MATCH('Tabular Pop Data by Age'!$C$6,'Population Data by Age'!$B$6:$H$6,0))</f>
        <v>253000</v>
      </c>
      <c r="AE65" s="78">
        <f>INDEX('Population Data by Age'!$B$7:$H$10366,MATCH(CONCATENATE('Tabular Pop Data by Age'!$C65,'Tabular Pop Data by Age'!AE$7),'Population Data by Age'!$B$7:$B$10366,0),MATCH('Tabular Pop Data by Age'!$C$6,'Population Data by Age'!$B$6:$H$6,0))</f>
        <v>233000</v>
      </c>
      <c r="AF65" s="78">
        <f>INDEX('Population Data by Age'!$B$7:$H$10366,MATCH(CONCATENATE('Tabular Pop Data by Age'!$C65,'Tabular Pop Data by Age'!AF$7),'Population Data by Age'!$B$7:$B$10366,0),MATCH('Tabular Pop Data by Age'!$C$6,'Population Data by Age'!$B$6:$H$6,0))</f>
        <v>173000</v>
      </c>
      <c r="AG65" s="78">
        <f>INDEX('Population Data by Age'!$B$7:$H$10366,MATCH(CONCATENATE('Tabular Pop Data by Age'!$C65,'Tabular Pop Data by Age'!AG$7),'Population Data by Age'!$B$7:$B$10366,0),MATCH('Tabular Pop Data by Age'!$C$6,'Population Data by Age'!$B$6:$H$6,0))</f>
        <v>155000</v>
      </c>
      <c r="AH65" s="78">
        <f>INDEX('Population Data by Age'!$B$7:$H$10366,MATCH(CONCATENATE('Tabular Pop Data by Age'!$C65,'Tabular Pop Data by Age'!AH$7),'Population Data by Age'!$B$7:$B$10366,0),MATCH('Tabular Pop Data by Age'!$C$6,'Population Data by Age'!$B$6:$H$6,0))</f>
        <v>130000</v>
      </c>
      <c r="AI65" s="78">
        <f>INDEX('Population Data by Age'!$B$7:$H$10366,MATCH(CONCATENATE('Tabular Pop Data by Age'!$C65,'Tabular Pop Data by Age'!AI$7),'Population Data by Age'!$B$7:$B$10366,0),MATCH('Tabular Pop Data by Age'!$C$6,'Population Data by Age'!$B$6:$H$6,0))</f>
        <v>112000</v>
      </c>
      <c r="AJ65" s="78">
        <f>INDEX('Population Data by Age'!$B$7:$H$10366,MATCH(CONCATENATE('Tabular Pop Data by Age'!$C65,'Tabular Pop Data by Age'!AJ$7),'Population Data by Age'!$B$7:$B$10366,0),MATCH('Tabular Pop Data by Age'!$C$6,'Population Data by Age'!$B$6:$H$6,0))</f>
        <v>163000</v>
      </c>
      <c r="AK65" s="78">
        <f>INDEX('Population Data by Age'!$B$7:$H$10366,MATCH(CONCATENATE('Tabular Pop Data by Age'!$C65,'Tabular Pop Data by Age'!AK$7),'Population Data by Age'!$B$7:$B$10366,0),MATCH('Tabular Pop Data by Age'!$C$6,'Population Data by Age'!$B$6:$H$6,0))</f>
        <v>120000</v>
      </c>
      <c r="AL65" s="78">
        <f>INDEX('Population Data by Age'!$B$7:$H$10366,MATCH(CONCATENATE('Tabular Pop Data by Age'!$C65,'Tabular Pop Data by Age'!AL$7),'Population Data by Age'!$B$7:$B$10366,0),MATCH('Tabular Pop Data by Age'!$C$6,'Population Data by Age'!$B$6:$H$6,0))</f>
        <v>8819000</v>
      </c>
      <c r="AM65" s="78">
        <f>INDEX('Population Data by Age'!$B$7:$H$10366,MATCH(CONCATENATE('Tabular Pop Data by Age'!$C65,'Tabular Pop Data by Age'!AM$7),'Population Data by Age'!$B$7:$B$10366,0),MATCH('Tabular Pop Data by Age'!$C$6,'Population Data by Age'!$B$6:$H$6,0))</f>
        <v>8824000</v>
      </c>
      <c r="AN65" s="78">
        <f>INDEX('Population Data by Age'!$B$7:$H$10366,MATCH(CONCATENATE('Tabular Pop Data by Age'!$C65,'Tabular Pop Data by Age'!AN$7),'Population Data by Age'!$B$7:$B$10366,0),MATCH('Tabular Pop Data by Age'!$C$6,'Population Data by Age'!$B$6:$H$6,0))</f>
        <v>17643000</v>
      </c>
      <c r="AO65" s="78">
        <f>INDEX('Population Data by Age'!$B$7:$H$10366,MATCH(CONCATENATE('Tabular Pop Data by Age'!$C65,'Tabular Pop Data by Age'!AO$7),'Population Data by Age'!$B$7:$B$10366,0),MATCH('Tabular Pop Data by Age'!$C$6,'Population Data by Age'!$B$6:$H$6,0))</f>
        <v>0</v>
      </c>
      <c r="AP65" s="79">
        <f t="shared" si="0"/>
        <v>1667000</v>
      </c>
      <c r="AQ65" s="79">
        <f t="shared" si="1"/>
        <v>1611000</v>
      </c>
      <c r="AR65" s="79">
        <f t="shared" si="2"/>
        <v>1555000</v>
      </c>
      <c r="AS65" s="79">
        <f t="shared" si="3"/>
        <v>1561000</v>
      </c>
      <c r="AT65" s="79">
        <f t="shared" si="4"/>
        <v>1567000</v>
      </c>
      <c r="AU65" s="79">
        <f t="shared" si="5"/>
        <v>1470000</v>
      </c>
      <c r="AV65" s="79">
        <f t="shared" si="6"/>
        <v>1363000</v>
      </c>
      <c r="AW65" s="79">
        <f t="shared" si="7"/>
        <v>1229000</v>
      </c>
      <c r="AX65" s="79">
        <f t="shared" si="8"/>
        <v>1099000</v>
      </c>
      <c r="AY65" s="79">
        <f t="shared" si="9"/>
        <v>989000</v>
      </c>
      <c r="AZ65" s="79">
        <f t="shared" si="10"/>
        <v>864000</v>
      </c>
      <c r="BA65" s="79">
        <f t="shared" si="11"/>
        <v>727000</v>
      </c>
      <c r="BB65" s="79">
        <f t="shared" si="12"/>
        <v>601000</v>
      </c>
      <c r="BC65" s="79">
        <f t="shared" si="13"/>
        <v>486000</v>
      </c>
      <c r="BD65" s="79">
        <f t="shared" si="14"/>
        <v>328000</v>
      </c>
      <c r="BE65" s="79">
        <f t="shared" si="15"/>
        <v>242000</v>
      </c>
      <c r="BF65" s="79">
        <f t="shared" si="16"/>
        <v>283000</v>
      </c>
    </row>
    <row r="66" spans="1:58" x14ac:dyDescent="0.25">
      <c r="A66" s="138" t="s">
        <v>1195</v>
      </c>
      <c r="B66" t="s">
        <v>484</v>
      </c>
      <c r="C66" t="s">
        <v>39</v>
      </c>
      <c r="D66" s="78">
        <f>INDEX('Population Data by Age'!$B$7:$H$10366,MATCH(CONCATENATE('Tabular Pop Data by Age'!$C66,'Tabular Pop Data by Age'!D$7),'Population Data by Age'!$B$7:$B$10366,0),MATCH('Tabular Pop Data by Age'!$C$6,'Population Data by Age'!$B$6:$H$6,0))</f>
        <v>6169000</v>
      </c>
      <c r="E66" s="78">
        <f>INDEX('Population Data by Age'!$B$7:$H$10366,MATCH(CONCATENATE('Tabular Pop Data by Age'!$C66,'Tabular Pop Data by Age'!E$7),'Population Data by Age'!$B$7:$B$10366,0),MATCH('Tabular Pop Data by Age'!$C$6,'Population Data by Age'!$B$6:$H$6,0))</f>
        <v>6529000</v>
      </c>
      <c r="F66" s="78">
        <f>INDEX('Population Data by Age'!$B$7:$H$10366,MATCH(CONCATENATE('Tabular Pop Data by Age'!$C66,'Tabular Pop Data by Age'!F$7),'Population Data by Age'!$B$7:$B$10366,0),MATCH('Tabular Pop Data by Age'!$C$6,'Population Data by Age'!$B$6:$H$6,0))</f>
        <v>5977000</v>
      </c>
      <c r="G66" s="78">
        <f>INDEX('Population Data by Age'!$B$7:$H$10366,MATCH(CONCATENATE('Tabular Pop Data by Age'!$C66,'Tabular Pop Data by Age'!G$7),'Population Data by Age'!$B$7:$B$10366,0),MATCH('Tabular Pop Data by Age'!$C$6,'Population Data by Age'!$B$6:$H$6,0))</f>
        <v>6355000</v>
      </c>
      <c r="H66" s="78">
        <f>INDEX('Population Data by Age'!$B$7:$H$10366,MATCH(CONCATENATE('Tabular Pop Data by Age'!$C66,'Tabular Pop Data by Age'!H$7),'Population Data by Age'!$B$7:$B$10366,0),MATCH('Tabular Pop Data by Age'!$C$6,'Population Data by Age'!$B$6:$H$6,0))</f>
        <v>4698000</v>
      </c>
      <c r="I66" s="78">
        <f>INDEX('Population Data by Age'!$B$7:$H$10366,MATCH(CONCATENATE('Tabular Pop Data by Age'!$C66,'Tabular Pop Data by Age'!I$7),'Population Data by Age'!$B$7:$B$10366,0),MATCH('Tabular Pop Data by Age'!$C$6,'Population Data by Age'!$B$6:$H$6,0))</f>
        <v>4986000</v>
      </c>
      <c r="J66" s="78">
        <f>INDEX('Population Data by Age'!$B$7:$H$10366,MATCH(CONCATENATE('Tabular Pop Data by Age'!$C66,'Tabular Pop Data by Age'!J$7),'Population Data by Age'!$B$7:$B$10366,0),MATCH('Tabular Pop Data by Age'!$C$6,'Population Data by Age'!$B$6:$H$6,0))</f>
        <v>4225000</v>
      </c>
      <c r="K66" s="78">
        <f>INDEX('Population Data by Age'!$B$7:$H$10366,MATCH(CONCATENATE('Tabular Pop Data by Age'!$C66,'Tabular Pop Data by Age'!K$7),'Population Data by Age'!$B$7:$B$10366,0),MATCH('Tabular Pop Data by Age'!$C$6,'Population Data by Age'!$B$6:$H$6,0))</f>
        <v>4476000</v>
      </c>
      <c r="L66" s="78">
        <f>INDEX('Population Data by Age'!$B$7:$H$10366,MATCH(CONCATENATE('Tabular Pop Data by Age'!$C66,'Tabular Pop Data by Age'!L$7),'Population Data by Age'!$B$7:$B$10366,0),MATCH('Tabular Pop Data by Age'!$C$6,'Population Data by Age'!$B$6:$H$6,0))</f>
        <v>4105000</v>
      </c>
      <c r="M66" s="78">
        <f>INDEX('Population Data by Age'!$B$7:$H$10366,MATCH(CONCATENATE('Tabular Pop Data by Age'!$C66,'Tabular Pop Data by Age'!M$7),'Population Data by Age'!$B$7:$B$10366,0),MATCH('Tabular Pop Data by Age'!$C$6,'Population Data by Age'!$B$6:$H$6,0))</f>
        <v>4311000</v>
      </c>
      <c r="N66" s="78">
        <f>INDEX('Population Data by Age'!$B$7:$H$10366,MATCH(CONCATENATE('Tabular Pop Data by Age'!$C66,'Tabular Pop Data by Age'!N$7),'Population Data by Age'!$B$7:$B$10366,0),MATCH('Tabular Pop Data by Age'!$C$6,'Population Data by Age'!$B$6:$H$6,0))</f>
        <v>3998000</v>
      </c>
      <c r="O66" s="78">
        <f>INDEX('Population Data by Age'!$B$7:$H$10366,MATCH(CONCATENATE('Tabular Pop Data by Age'!$C66,'Tabular Pop Data by Age'!O$7),'Population Data by Age'!$B$7:$B$10366,0),MATCH('Tabular Pop Data by Age'!$C$6,'Population Data by Age'!$B$6:$H$6,0))</f>
        <v>4096000</v>
      </c>
      <c r="P66" s="78">
        <f>INDEX('Population Data by Age'!$B$7:$H$10366,MATCH(CONCATENATE('Tabular Pop Data by Age'!$C66,'Tabular Pop Data by Age'!P$7),'Population Data by Age'!$B$7:$B$10366,0),MATCH('Tabular Pop Data by Age'!$C$6,'Population Data by Age'!$B$6:$H$6,0))</f>
        <v>3999000</v>
      </c>
      <c r="Q66" s="78">
        <f>INDEX('Population Data by Age'!$B$7:$H$10366,MATCH(CONCATENATE('Tabular Pop Data by Age'!$C66,'Tabular Pop Data by Age'!Q$7),'Population Data by Age'!$B$7:$B$10366,0),MATCH('Tabular Pop Data by Age'!$C$6,'Population Data by Age'!$B$6:$H$6,0))</f>
        <v>4066000</v>
      </c>
      <c r="R66" s="78">
        <f>INDEX('Population Data by Age'!$B$7:$H$10366,MATCH(CONCATENATE('Tabular Pop Data by Age'!$C66,'Tabular Pop Data by Age'!R$7),'Population Data by Age'!$B$7:$B$10366,0),MATCH('Tabular Pop Data by Age'!$C$6,'Population Data by Age'!$B$6:$H$6,0))</f>
        <v>3512000</v>
      </c>
      <c r="S66" s="78">
        <f>INDEX('Population Data by Age'!$B$7:$H$10366,MATCH(CONCATENATE('Tabular Pop Data by Age'!$C66,'Tabular Pop Data by Age'!S$7),'Population Data by Age'!$B$7:$B$10366,0),MATCH('Tabular Pop Data by Age'!$C$6,'Population Data by Age'!$B$6:$H$6,0))</f>
        <v>3621000</v>
      </c>
      <c r="T66" s="78">
        <f>INDEX('Population Data by Age'!$B$7:$H$10366,MATCH(CONCATENATE('Tabular Pop Data by Age'!$C66,'Tabular Pop Data by Age'!T$7),'Population Data by Age'!$B$7:$B$10366,0),MATCH('Tabular Pop Data by Age'!$C$6,'Population Data by Age'!$B$6:$H$6,0))</f>
        <v>2979000</v>
      </c>
      <c r="U66" s="78">
        <f>INDEX('Population Data by Age'!$B$7:$H$10366,MATCH(CONCATENATE('Tabular Pop Data by Age'!$C66,'Tabular Pop Data by Age'!U$7),'Population Data by Age'!$B$7:$B$10366,0),MATCH('Tabular Pop Data by Age'!$C$6,'Population Data by Age'!$B$6:$H$6,0))</f>
        <v>3061000</v>
      </c>
      <c r="V66" s="78">
        <f>INDEX('Population Data by Age'!$B$7:$H$10366,MATCH(CONCATENATE('Tabular Pop Data by Age'!$C66,'Tabular Pop Data by Age'!V$7),'Population Data by Age'!$B$7:$B$10366,0),MATCH('Tabular Pop Data by Age'!$C$6,'Population Data by Age'!$B$6:$H$6,0))</f>
        <v>2481000</v>
      </c>
      <c r="W66" s="78">
        <f>INDEX('Population Data by Age'!$B$7:$H$10366,MATCH(CONCATENATE('Tabular Pop Data by Age'!$C66,'Tabular Pop Data by Age'!W$7),'Population Data by Age'!$B$7:$B$10366,0),MATCH('Tabular Pop Data by Age'!$C$6,'Population Data by Age'!$B$6:$H$6,0))</f>
        <v>2427000</v>
      </c>
      <c r="X66" s="78">
        <f>INDEX('Population Data by Age'!$B$7:$H$10366,MATCH(CONCATENATE('Tabular Pop Data by Age'!$C66,'Tabular Pop Data by Age'!X$7),'Population Data by Age'!$B$7:$B$10366,0),MATCH('Tabular Pop Data by Age'!$C$6,'Population Data by Age'!$B$6:$H$6,0))</f>
        <v>2144000</v>
      </c>
      <c r="Y66" s="78">
        <f>INDEX('Population Data by Age'!$B$7:$H$10366,MATCH(CONCATENATE('Tabular Pop Data by Age'!$C66,'Tabular Pop Data by Age'!Y$7),'Population Data by Age'!$B$7:$B$10366,0),MATCH('Tabular Pop Data by Age'!$C$6,'Population Data by Age'!$B$6:$H$6,0))</f>
        <v>2070000</v>
      </c>
      <c r="Z66" s="78">
        <f>INDEX('Population Data by Age'!$B$7:$H$10366,MATCH(CONCATENATE('Tabular Pop Data by Age'!$C66,'Tabular Pop Data by Age'!Z$7),'Population Data by Age'!$B$7:$B$10366,0),MATCH('Tabular Pop Data by Age'!$C$6,'Population Data by Age'!$B$6:$H$6,0))</f>
        <v>1828000</v>
      </c>
      <c r="AA66" s="78">
        <f>INDEX('Population Data by Age'!$B$7:$H$10366,MATCH(CONCATENATE('Tabular Pop Data by Age'!$C66,'Tabular Pop Data by Age'!AA$7),'Population Data by Age'!$B$7:$B$10366,0),MATCH('Tabular Pop Data by Age'!$C$6,'Population Data by Age'!$B$6:$H$6,0))</f>
        <v>1803000</v>
      </c>
      <c r="AB66" s="78">
        <f>INDEX('Population Data by Age'!$B$7:$H$10366,MATCH(CONCATENATE('Tabular Pop Data by Age'!$C66,'Tabular Pop Data by Age'!AB$7),'Population Data by Age'!$B$7:$B$10366,0),MATCH('Tabular Pop Data by Age'!$C$6,'Population Data by Age'!$B$6:$H$6,0))</f>
        <v>1510000</v>
      </c>
      <c r="AC66" s="78">
        <f>INDEX('Population Data by Age'!$B$7:$H$10366,MATCH(CONCATENATE('Tabular Pop Data by Age'!$C66,'Tabular Pop Data by Age'!AC$7),'Population Data by Age'!$B$7:$B$10366,0),MATCH('Tabular Pop Data by Age'!$C$6,'Population Data by Age'!$B$6:$H$6,0))</f>
        <v>1452000</v>
      </c>
      <c r="AD66" s="78">
        <f>INDEX('Population Data by Age'!$B$7:$H$10366,MATCH(CONCATENATE('Tabular Pop Data by Age'!$C66,'Tabular Pop Data by Age'!AD$7),'Population Data by Age'!$B$7:$B$10366,0),MATCH('Tabular Pop Data by Age'!$C$6,'Population Data by Age'!$B$6:$H$6,0))</f>
        <v>1121000</v>
      </c>
      <c r="AE66" s="78">
        <f>INDEX('Population Data by Age'!$B$7:$H$10366,MATCH(CONCATENATE('Tabular Pop Data by Age'!$C66,'Tabular Pop Data by Age'!AE$7),'Population Data by Age'!$B$7:$B$10366,0),MATCH('Tabular Pop Data by Age'!$C$6,'Population Data by Age'!$B$6:$H$6,0))</f>
        <v>1040000</v>
      </c>
      <c r="AF66" s="78">
        <f>INDEX('Population Data by Age'!$B$7:$H$10366,MATCH(CONCATENATE('Tabular Pop Data by Age'!$C66,'Tabular Pop Data by Age'!AF$7),'Population Data by Age'!$B$7:$B$10366,0),MATCH('Tabular Pop Data by Age'!$C$6,'Population Data by Age'!$B$6:$H$6,0))</f>
        <v>908000</v>
      </c>
      <c r="AG66" s="78">
        <f>INDEX('Population Data by Age'!$B$7:$H$10366,MATCH(CONCATENATE('Tabular Pop Data by Age'!$C66,'Tabular Pop Data by Age'!AG$7),'Population Data by Age'!$B$7:$B$10366,0),MATCH('Tabular Pop Data by Age'!$C$6,'Population Data by Age'!$B$6:$H$6,0))</f>
        <v>758000</v>
      </c>
      <c r="AH66" s="78">
        <f>INDEX('Population Data by Age'!$B$7:$H$10366,MATCH(CONCATENATE('Tabular Pop Data by Age'!$C66,'Tabular Pop Data by Age'!AH$7),'Population Data by Age'!$B$7:$B$10366,0),MATCH('Tabular Pop Data by Age'!$C$6,'Population Data by Age'!$B$6:$H$6,0))</f>
        <v>500000</v>
      </c>
      <c r="AI66" s="78">
        <f>INDEX('Population Data by Age'!$B$7:$H$10366,MATCH(CONCATENATE('Tabular Pop Data by Age'!$C66,'Tabular Pop Data by Age'!AI$7),'Population Data by Age'!$B$7:$B$10366,0),MATCH('Tabular Pop Data by Age'!$C$6,'Population Data by Age'!$B$6:$H$6,0))</f>
        <v>365000</v>
      </c>
      <c r="AJ66" s="78">
        <f>INDEX('Population Data by Age'!$B$7:$H$10366,MATCH(CONCATENATE('Tabular Pop Data by Age'!$C66,'Tabular Pop Data by Age'!AJ$7),'Population Data by Age'!$B$7:$B$10366,0),MATCH('Tabular Pop Data by Age'!$C$6,'Population Data by Age'!$B$6:$H$6,0))</f>
        <v>477000</v>
      </c>
      <c r="AK66" s="78">
        <f>INDEX('Population Data by Age'!$B$7:$H$10366,MATCH(CONCATENATE('Tabular Pop Data by Age'!$C66,'Tabular Pop Data by Age'!AK$7),'Population Data by Age'!$B$7:$B$10366,0),MATCH('Tabular Pop Data by Age'!$C$6,'Population Data by Age'!$B$6:$H$6,0))</f>
        <v>287000</v>
      </c>
      <c r="AL66" s="78">
        <f>INDEX('Population Data by Age'!$B$7:$H$10366,MATCH(CONCATENATE('Tabular Pop Data by Age'!$C66,'Tabular Pop Data by Age'!AL$7),'Population Data by Age'!$B$7:$B$10366,0),MATCH('Tabular Pop Data by Age'!$C$6,'Population Data by Age'!$B$6:$H$6,0))</f>
        <v>50632000</v>
      </c>
      <c r="AM66" s="78">
        <f>INDEX('Population Data by Age'!$B$7:$H$10366,MATCH(CONCATENATE('Tabular Pop Data by Age'!$C66,'Tabular Pop Data by Age'!AM$7),'Population Data by Age'!$B$7:$B$10366,0),MATCH('Tabular Pop Data by Age'!$C$6,'Population Data by Age'!$B$6:$H$6,0))</f>
        <v>51703000</v>
      </c>
      <c r="AN66" s="78">
        <f>INDEX('Population Data by Age'!$B$7:$H$10366,MATCH(CONCATENATE('Tabular Pop Data by Age'!$C66,'Tabular Pop Data by Age'!AN$7),'Population Data by Age'!$B$7:$B$10366,0),MATCH('Tabular Pop Data by Age'!$C$6,'Population Data by Age'!$B$6:$H$6,0))</f>
        <v>102334000</v>
      </c>
      <c r="AO66" s="78">
        <f>INDEX('Population Data by Age'!$B$7:$H$10366,MATCH(CONCATENATE('Tabular Pop Data by Age'!$C66,'Tabular Pop Data by Age'!AO$7),'Population Data by Age'!$B$7:$B$10366,0),MATCH('Tabular Pop Data by Age'!$C$6,'Population Data by Age'!$B$6:$H$6,0))</f>
        <v>0</v>
      </c>
      <c r="AP66" s="79">
        <f t="shared" ref="AP66:AP117" si="17">SUM(D66:E66)</f>
        <v>12698000</v>
      </c>
      <c r="AQ66" s="79">
        <f t="shared" ref="AQ66:AQ117" si="18">SUM(F66:G66)</f>
        <v>12332000</v>
      </c>
      <c r="AR66" s="79">
        <f t="shared" ref="AR66:AR117" si="19">SUM(H66:I66)</f>
        <v>9684000</v>
      </c>
      <c r="AS66" s="79">
        <f t="shared" ref="AS66:AS117" si="20">SUM(J66:K66)</f>
        <v>8701000</v>
      </c>
      <c r="AT66" s="79">
        <f t="shared" ref="AT66:AT117" si="21">SUM(L66+M66)</f>
        <v>8416000</v>
      </c>
      <c r="AU66" s="79">
        <f t="shared" ref="AU66:AU117" si="22">SUM(N66:O66)</f>
        <v>8094000</v>
      </c>
      <c r="AV66" s="79">
        <f t="shared" ref="AV66:AV117" si="23">SUM(P66:Q66)</f>
        <v>8065000</v>
      </c>
      <c r="AW66" s="79">
        <f t="shared" ref="AW66:AW117" si="24">SUM(R66:S66)</f>
        <v>7133000</v>
      </c>
      <c r="AX66" s="79">
        <f t="shared" ref="AX66:AX117" si="25">SUM(T66:U66)</f>
        <v>6040000</v>
      </c>
      <c r="AY66" s="79">
        <f t="shared" ref="AY66:AY117" si="26">SUM(V66:W66)</f>
        <v>4908000</v>
      </c>
      <c r="AZ66" s="79">
        <f t="shared" ref="AZ66:AZ117" si="27">SUM(X66:Y66)</f>
        <v>4214000</v>
      </c>
      <c r="BA66" s="79">
        <f t="shared" ref="BA66:BA117" si="28">SUM(Z66:AA66)</f>
        <v>3631000</v>
      </c>
      <c r="BB66" s="79">
        <f t="shared" ref="BB66:BB117" si="29">SUM(AB66:AC66)</f>
        <v>2962000</v>
      </c>
      <c r="BC66" s="79">
        <f t="shared" ref="BC66:BC117" si="30">SUM(AD66:AE66)</f>
        <v>2161000</v>
      </c>
      <c r="BD66" s="79">
        <f t="shared" ref="BD66:BD117" si="31">SUM(AF66:AG66)</f>
        <v>1666000</v>
      </c>
      <c r="BE66" s="79">
        <f t="shared" ref="BE66:BE117" si="32">SUM(AH66:AI66)</f>
        <v>865000</v>
      </c>
      <c r="BF66" s="79">
        <f t="shared" ref="BF66:BF117" si="33">SUM(AJ66:AK66)</f>
        <v>764000</v>
      </c>
    </row>
    <row r="67" spans="1:58" x14ac:dyDescent="0.25">
      <c r="A67" s="138" t="s">
        <v>1195</v>
      </c>
      <c r="B67" t="s">
        <v>222</v>
      </c>
      <c r="C67" t="s">
        <v>164</v>
      </c>
      <c r="D67" s="78">
        <f>INDEX('Population Data by Age'!$B$7:$H$10366,MATCH(CONCATENATE('Tabular Pop Data by Age'!$C67,'Tabular Pop Data by Age'!D$7),'Population Data by Age'!$B$7:$B$10366,0),MATCH('Tabular Pop Data by Age'!$C$6,'Population Data by Age'!$B$6:$H$6,0))</f>
        <v>281000</v>
      </c>
      <c r="E67" s="78">
        <f>INDEX('Population Data by Age'!$B$7:$H$10366,MATCH(CONCATENATE('Tabular Pop Data by Age'!$C67,'Tabular Pop Data by Age'!E$7),'Population Data by Age'!$B$7:$B$10366,0),MATCH('Tabular Pop Data by Age'!$C$6,'Population Data by Age'!$B$6:$H$6,0))</f>
        <v>295000</v>
      </c>
      <c r="F67" s="78">
        <f>INDEX('Population Data by Age'!$B$7:$H$10366,MATCH(CONCATENATE('Tabular Pop Data by Age'!$C67,'Tabular Pop Data by Age'!F$7),'Population Data by Age'!$B$7:$B$10366,0),MATCH('Tabular Pop Data by Age'!$C$6,'Population Data by Age'!$B$6:$H$6,0))</f>
        <v>279000</v>
      </c>
      <c r="G67" s="78">
        <f>INDEX('Population Data by Age'!$B$7:$H$10366,MATCH(CONCATENATE('Tabular Pop Data by Age'!$C67,'Tabular Pop Data by Age'!G$7),'Population Data by Age'!$B$7:$B$10366,0),MATCH('Tabular Pop Data by Age'!$C$6,'Population Data by Age'!$B$6:$H$6,0))</f>
        <v>292000</v>
      </c>
      <c r="H67" s="78">
        <f>INDEX('Population Data by Age'!$B$7:$H$10366,MATCH(CONCATENATE('Tabular Pop Data by Age'!$C67,'Tabular Pop Data by Age'!H$7),'Population Data by Age'!$B$7:$B$10366,0),MATCH('Tabular Pop Data by Age'!$C$6,'Population Data by Age'!$B$6:$H$6,0))</f>
        <v>283000</v>
      </c>
      <c r="I67" s="78">
        <f>INDEX('Population Data by Age'!$B$7:$H$10366,MATCH(CONCATENATE('Tabular Pop Data by Age'!$C67,'Tabular Pop Data by Age'!I$7),'Population Data by Age'!$B$7:$B$10366,0),MATCH('Tabular Pop Data by Age'!$C$6,'Population Data by Age'!$B$6:$H$6,0))</f>
        <v>295000</v>
      </c>
      <c r="J67" s="78">
        <f>INDEX('Population Data by Age'!$B$7:$H$10366,MATCH(CONCATENATE('Tabular Pop Data by Age'!$C67,'Tabular Pop Data by Age'!J$7),'Population Data by Age'!$B$7:$B$10366,0),MATCH('Tabular Pop Data by Age'!$C$6,'Population Data by Age'!$B$6:$H$6,0))</f>
        <v>292000</v>
      </c>
      <c r="K67" s="78">
        <f>INDEX('Population Data by Age'!$B$7:$H$10366,MATCH(CONCATENATE('Tabular Pop Data by Age'!$C67,'Tabular Pop Data by Age'!K$7),'Population Data by Age'!$B$7:$B$10366,0),MATCH('Tabular Pop Data by Age'!$C$6,'Population Data by Age'!$B$6:$H$6,0))</f>
        <v>296000</v>
      </c>
      <c r="L67" s="78">
        <f>INDEX('Population Data by Age'!$B$7:$H$10366,MATCH(CONCATENATE('Tabular Pop Data by Age'!$C67,'Tabular Pop Data by Age'!L$7),'Population Data by Age'!$B$7:$B$10366,0),MATCH('Tabular Pop Data by Age'!$C$6,'Population Data by Age'!$B$6:$H$6,0))</f>
        <v>322000</v>
      </c>
      <c r="M67" s="78">
        <f>INDEX('Population Data by Age'!$B$7:$H$10366,MATCH(CONCATENATE('Tabular Pop Data by Age'!$C67,'Tabular Pop Data by Age'!M$7),'Population Data by Age'!$B$7:$B$10366,0),MATCH('Tabular Pop Data by Age'!$C$6,'Population Data by Age'!$B$6:$H$6,0))</f>
        <v>311000</v>
      </c>
      <c r="N67" s="78">
        <f>INDEX('Population Data by Age'!$B$7:$H$10366,MATCH(CONCATENATE('Tabular Pop Data by Age'!$C67,'Tabular Pop Data by Age'!N$7),'Population Data by Age'!$B$7:$B$10366,0),MATCH('Tabular Pop Data by Age'!$C$6,'Population Data by Age'!$B$6:$H$6,0))</f>
        <v>307000</v>
      </c>
      <c r="O67" s="78">
        <f>INDEX('Population Data by Age'!$B$7:$H$10366,MATCH(CONCATENATE('Tabular Pop Data by Age'!$C67,'Tabular Pop Data by Age'!O$7),'Population Data by Age'!$B$7:$B$10366,0),MATCH('Tabular Pop Data by Age'!$C$6,'Population Data by Age'!$B$6:$H$6,0))</f>
        <v>276000</v>
      </c>
      <c r="P67" s="78">
        <f>INDEX('Population Data by Age'!$B$7:$H$10366,MATCH(CONCATENATE('Tabular Pop Data by Age'!$C67,'Tabular Pop Data by Age'!P$7),'Population Data by Age'!$B$7:$B$10366,0),MATCH('Tabular Pop Data by Age'!$C$6,'Population Data by Age'!$B$6:$H$6,0))</f>
        <v>260000</v>
      </c>
      <c r="Q67" s="78">
        <f>INDEX('Population Data by Age'!$B$7:$H$10366,MATCH(CONCATENATE('Tabular Pop Data by Age'!$C67,'Tabular Pop Data by Age'!Q$7),'Population Data by Age'!$B$7:$B$10366,0),MATCH('Tabular Pop Data by Age'!$C$6,'Population Data by Age'!$B$6:$H$6,0))</f>
        <v>214000</v>
      </c>
      <c r="R67" s="78">
        <f>INDEX('Population Data by Age'!$B$7:$H$10366,MATCH(CONCATENATE('Tabular Pop Data by Age'!$C67,'Tabular Pop Data by Age'!R$7),'Population Data by Age'!$B$7:$B$10366,0),MATCH('Tabular Pop Data by Age'!$C$6,'Population Data by Age'!$B$6:$H$6,0))</f>
        <v>230000</v>
      </c>
      <c r="S67" s="78">
        <f>INDEX('Population Data by Age'!$B$7:$H$10366,MATCH(CONCATENATE('Tabular Pop Data by Age'!$C67,'Tabular Pop Data by Age'!S$7),'Population Data by Age'!$B$7:$B$10366,0),MATCH('Tabular Pop Data by Age'!$C$6,'Population Data by Age'!$B$6:$H$6,0))</f>
        <v>178000</v>
      </c>
      <c r="T67" s="78">
        <f>INDEX('Population Data by Age'!$B$7:$H$10366,MATCH(CONCATENATE('Tabular Pop Data by Age'!$C67,'Tabular Pop Data by Age'!T$7),'Population Data by Age'!$B$7:$B$10366,0),MATCH('Tabular Pop Data by Age'!$C$6,'Population Data by Age'!$B$6:$H$6,0))</f>
        <v>217000</v>
      </c>
      <c r="U67" s="78">
        <f>INDEX('Population Data by Age'!$B$7:$H$10366,MATCH(CONCATENATE('Tabular Pop Data by Age'!$C67,'Tabular Pop Data by Age'!U$7),'Population Data by Age'!$B$7:$B$10366,0),MATCH('Tabular Pop Data by Age'!$C$6,'Population Data by Age'!$B$6:$H$6,0))</f>
        <v>165000</v>
      </c>
      <c r="V67" s="78">
        <f>INDEX('Population Data by Age'!$B$7:$H$10366,MATCH(CONCATENATE('Tabular Pop Data by Age'!$C67,'Tabular Pop Data by Age'!V$7),'Population Data by Age'!$B$7:$B$10366,0),MATCH('Tabular Pop Data by Age'!$C$6,'Population Data by Age'!$B$6:$H$6,0))</f>
        <v>196000</v>
      </c>
      <c r="W67" s="78">
        <f>INDEX('Population Data by Age'!$B$7:$H$10366,MATCH(CONCATENATE('Tabular Pop Data by Age'!$C67,'Tabular Pop Data by Age'!W$7),'Population Data by Age'!$B$7:$B$10366,0),MATCH('Tabular Pop Data by Age'!$C$6,'Population Data by Age'!$B$6:$H$6,0))</f>
        <v>147000</v>
      </c>
      <c r="X67" s="78">
        <f>INDEX('Population Data by Age'!$B$7:$H$10366,MATCH(CONCATENATE('Tabular Pop Data by Age'!$C67,'Tabular Pop Data by Age'!X$7),'Population Data by Age'!$B$7:$B$10366,0),MATCH('Tabular Pop Data by Age'!$C$6,'Population Data by Age'!$B$6:$H$6,0))</f>
        <v>174000</v>
      </c>
      <c r="Y67" s="78">
        <f>INDEX('Population Data by Age'!$B$7:$H$10366,MATCH(CONCATENATE('Tabular Pop Data by Age'!$C67,'Tabular Pop Data by Age'!Y$7),'Population Data by Age'!$B$7:$B$10366,0),MATCH('Tabular Pop Data by Age'!$C$6,'Population Data by Age'!$B$6:$H$6,0))</f>
        <v>129000</v>
      </c>
      <c r="Z67" s="78">
        <f>INDEX('Population Data by Age'!$B$7:$H$10366,MATCH(CONCATENATE('Tabular Pop Data by Age'!$C67,'Tabular Pop Data by Age'!Z$7),'Population Data by Age'!$B$7:$B$10366,0),MATCH('Tabular Pop Data by Age'!$C$6,'Population Data by Age'!$B$6:$H$6,0))</f>
        <v>153000</v>
      </c>
      <c r="AA67" s="78">
        <f>INDEX('Population Data by Age'!$B$7:$H$10366,MATCH(CONCATENATE('Tabular Pop Data by Age'!$C67,'Tabular Pop Data by Age'!AA$7),'Population Data by Age'!$B$7:$B$10366,0),MATCH('Tabular Pop Data by Age'!$C$6,'Population Data by Age'!$B$6:$H$6,0))</f>
        <v>112000</v>
      </c>
      <c r="AB67" s="78">
        <f>INDEX('Population Data by Age'!$B$7:$H$10366,MATCH(CONCATENATE('Tabular Pop Data by Age'!$C67,'Tabular Pop Data by Age'!AB$7),'Population Data by Age'!$B$7:$B$10366,0),MATCH('Tabular Pop Data by Age'!$C$6,'Population Data by Age'!$B$6:$H$6,0))</f>
        <v>128000</v>
      </c>
      <c r="AC67" s="78">
        <f>INDEX('Population Data by Age'!$B$7:$H$10366,MATCH(CONCATENATE('Tabular Pop Data by Age'!$C67,'Tabular Pop Data by Age'!AC$7),'Population Data by Age'!$B$7:$B$10366,0),MATCH('Tabular Pop Data by Age'!$C$6,'Population Data by Age'!$B$6:$H$6,0))</f>
        <v>93000</v>
      </c>
      <c r="AD67" s="78">
        <f>INDEX('Population Data by Age'!$B$7:$H$10366,MATCH(CONCATENATE('Tabular Pop Data by Age'!$C67,'Tabular Pop Data by Age'!AD$7),'Population Data by Age'!$B$7:$B$10366,0),MATCH('Tabular Pop Data by Age'!$C$6,'Population Data by Age'!$B$6:$H$6,0))</f>
        <v>109000</v>
      </c>
      <c r="AE67" s="78">
        <f>INDEX('Population Data by Age'!$B$7:$H$10366,MATCH(CONCATENATE('Tabular Pop Data by Age'!$C67,'Tabular Pop Data by Age'!AE$7),'Population Data by Age'!$B$7:$B$10366,0),MATCH('Tabular Pop Data by Age'!$C$6,'Population Data by Age'!$B$6:$H$6,0))</f>
        <v>76000</v>
      </c>
      <c r="AF67" s="78">
        <f>INDEX('Population Data by Age'!$B$7:$H$10366,MATCH(CONCATENATE('Tabular Pop Data by Age'!$C67,'Tabular Pop Data by Age'!AF$7),'Population Data by Age'!$B$7:$B$10366,0),MATCH('Tabular Pop Data by Age'!$C$6,'Population Data by Age'!$B$6:$H$6,0))</f>
        <v>81000</v>
      </c>
      <c r="AG67" s="78">
        <f>INDEX('Population Data by Age'!$B$7:$H$10366,MATCH(CONCATENATE('Tabular Pop Data by Age'!$C67,'Tabular Pop Data by Age'!AG$7),'Population Data by Age'!$B$7:$B$10366,0),MATCH('Tabular Pop Data by Age'!$C$6,'Population Data by Age'!$B$6:$H$6,0))</f>
        <v>58000</v>
      </c>
      <c r="AH67" s="78">
        <f>INDEX('Population Data by Age'!$B$7:$H$10366,MATCH(CONCATENATE('Tabular Pop Data by Age'!$C67,'Tabular Pop Data by Age'!AH$7),'Population Data by Age'!$B$7:$B$10366,0),MATCH('Tabular Pop Data by Age'!$C$6,'Population Data by Age'!$B$6:$H$6,0))</f>
        <v>63000</v>
      </c>
      <c r="AI67" s="78">
        <f>INDEX('Population Data by Age'!$B$7:$H$10366,MATCH(CONCATENATE('Tabular Pop Data by Age'!$C67,'Tabular Pop Data by Age'!AI$7),'Population Data by Age'!$B$7:$B$10366,0),MATCH('Tabular Pop Data by Age'!$C$6,'Population Data by Age'!$B$6:$H$6,0))</f>
        <v>46000</v>
      </c>
      <c r="AJ67" s="78">
        <f>INDEX('Population Data by Age'!$B$7:$H$10366,MATCH(CONCATENATE('Tabular Pop Data by Age'!$C67,'Tabular Pop Data by Age'!AJ$7),'Population Data by Age'!$B$7:$B$10366,0),MATCH('Tabular Pop Data by Age'!$C$6,'Population Data by Age'!$B$6:$H$6,0))</f>
        <v>75000</v>
      </c>
      <c r="AK67" s="78">
        <f>INDEX('Population Data by Age'!$B$7:$H$10366,MATCH(CONCATENATE('Tabular Pop Data by Age'!$C67,'Tabular Pop Data by Age'!AK$7),'Population Data by Age'!$B$7:$B$10366,0),MATCH('Tabular Pop Data by Age'!$C$6,'Population Data by Age'!$B$6:$H$6,0))</f>
        <v>52000</v>
      </c>
      <c r="AL67" s="78">
        <f>INDEX('Population Data by Age'!$B$7:$H$10366,MATCH(CONCATENATE('Tabular Pop Data by Age'!$C67,'Tabular Pop Data by Age'!AL$7),'Population Data by Age'!$B$7:$B$10366,0),MATCH('Tabular Pop Data by Age'!$C$6,'Population Data by Age'!$B$6:$H$6,0))</f>
        <v>3450000</v>
      </c>
      <c r="AM67" s="78">
        <f>INDEX('Population Data by Age'!$B$7:$H$10366,MATCH(CONCATENATE('Tabular Pop Data by Age'!$C67,'Tabular Pop Data by Age'!AM$7),'Population Data by Age'!$B$7:$B$10366,0),MATCH('Tabular Pop Data by Age'!$C$6,'Population Data by Age'!$B$6:$H$6,0))</f>
        <v>3036000</v>
      </c>
      <c r="AN67" s="78">
        <f>INDEX('Population Data by Age'!$B$7:$H$10366,MATCH(CONCATENATE('Tabular Pop Data by Age'!$C67,'Tabular Pop Data by Age'!AN$7),'Population Data by Age'!$B$7:$B$10366,0),MATCH('Tabular Pop Data by Age'!$C$6,'Population Data by Age'!$B$6:$H$6,0))</f>
        <v>6486000</v>
      </c>
      <c r="AO67" s="78">
        <f>INDEX('Population Data by Age'!$B$7:$H$10366,MATCH(CONCATENATE('Tabular Pop Data by Age'!$C67,'Tabular Pop Data by Age'!AO$7),'Population Data by Age'!$B$7:$B$10366,0),MATCH('Tabular Pop Data by Age'!$C$6,'Population Data by Age'!$B$6:$H$6,0))</f>
        <v>0</v>
      </c>
      <c r="AP67" s="79">
        <f t="shared" si="17"/>
        <v>576000</v>
      </c>
      <c r="AQ67" s="79">
        <f t="shared" si="18"/>
        <v>571000</v>
      </c>
      <c r="AR67" s="79">
        <f t="shared" si="19"/>
        <v>578000</v>
      </c>
      <c r="AS67" s="79">
        <f t="shared" si="20"/>
        <v>588000</v>
      </c>
      <c r="AT67" s="79">
        <f t="shared" si="21"/>
        <v>633000</v>
      </c>
      <c r="AU67" s="79">
        <f t="shared" si="22"/>
        <v>583000</v>
      </c>
      <c r="AV67" s="79">
        <f t="shared" si="23"/>
        <v>474000</v>
      </c>
      <c r="AW67" s="79">
        <f t="shared" si="24"/>
        <v>408000</v>
      </c>
      <c r="AX67" s="79">
        <f t="shared" si="25"/>
        <v>382000</v>
      </c>
      <c r="AY67" s="79">
        <f t="shared" si="26"/>
        <v>343000</v>
      </c>
      <c r="AZ67" s="79">
        <f t="shared" si="27"/>
        <v>303000</v>
      </c>
      <c r="BA67" s="79">
        <f t="shared" si="28"/>
        <v>265000</v>
      </c>
      <c r="BB67" s="79">
        <f t="shared" si="29"/>
        <v>221000</v>
      </c>
      <c r="BC67" s="79">
        <f t="shared" si="30"/>
        <v>185000</v>
      </c>
      <c r="BD67" s="79">
        <f t="shared" si="31"/>
        <v>139000</v>
      </c>
      <c r="BE67" s="79">
        <f t="shared" si="32"/>
        <v>109000</v>
      </c>
      <c r="BF67" s="79">
        <f t="shared" si="33"/>
        <v>127000</v>
      </c>
    </row>
    <row r="68" spans="1:58" x14ac:dyDescent="0.25">
      <c r="A68" s="138" t="s">
        <v>1195</v>
      </c>
      <c r="B68" t="s">
        <v>191</v>
      </c>
      <c r="C68" t="s">
        <v>174</v>
      </c>
      <c r="D68" s="78">
        <f>INDEX('Population Data by Age'!$B$7:$H$10366,MATCH(CONCATENATE('Tabular Pop Data by Age'!$C68,'Tabular Pop Data by Age'!D$7),'Population Data by Age'!$B$7:$B$10366,0),MATCH('Tabular Pop Data by Age'!$C$6,'Population Data by Age'!$B$6:$H$6,0))</f>
        <v>99000</v>
      </c>
      <c r="E68" s="78">
        <f>INDEX('Population Data by Age'!$B$7:$H$10366,MATCH(CONCATENATE('Tabular Pop Data by Age'!$C68,'Tabular Pop Data by Age'!E$7),'Population Data by Age'!$B$7:$B$10366,0),MATCH('Tabular Pop Data by Age'!$C$6,'Population Data by Age'!$B$6:$H$6,0))</f>
        <v>101000</v>
      </c>
      <c r="F68" s="78">
        <f>INDEX('Population Data by Age'!$B$7:$H$10366,MATCH(CONCATENATE('Tabular Pop Data by Age'!$C68,'Tabular Pop Data by Age'!F$7),'Population Data by Age'!$B$7:$B$10366,0),MATCH('Tabular Pop Data by Age'!$C$6,'Population Data by Age'!$B$6:$H$6,0))</f>
        <v>85000</v>
      </c>
      <c r="G68" s="78">
        <f>INDEX('Population Data by Age'!$B$7:$H$10366,MATCH(CONCATENATE('Tabular Pop Data by Age'!$C68,'Tabular Pop Data by Age'!G$7),'Population Data by Age'!$B$7:$B$10366,0),MATCH('Tabular Pop Data by Age'!$C$6,'Population Data by Age'!$B$6:$H$6,0))</f>
        <v>87000</v>
      </c>
      <c r="H68" s="78">
        <f>INDEX('Population Data by Age'!$B$7:$H$10366,MATCH(CONCATENATE('Tabular Pop Data by Age'!$C68,'Tabular Pop Data by Age'!H$7),'Population Data by Age'!$B$7:$B$10366,0),MATCH('Tabular Pop Data by Age'!$C$6,'Population Data by Age'!$B$6:$H$6,0))</f>
        <v>71000</v>
      </c>
      <c r="I68" s="78">
        <f>INDEX('Population Data by Age'!$B$7:$H$10366,MATCH(CONCATENATE('Tabular Pop Data by Age'!$C68,'Tabular Pop Data by Age'!I$7),'Population Data by Age'!$B$7:$B$10366,0),MATCH('Tabular Pop Data by Age'!$C$6,'Population Data by Age'!$B$6:$H$6,0))</f>
        <v>73000</v>
      </c>
      <c r="J68" s="78">
        <f>INDEX('Population Data by Age'!$B$7:$H$10366,MATCH(CONCATENATE('Tabular Pop Data by Age'!$C68,'Tabular Pop Data by Age'!J$7),'Population Data by Age'!$B$7:$B$10366,0),MATCH('Tabular Pop Data by Age'!$C$6,'Population Data by Age'!$B$6:$H$6,0))</f>
        <v>60000</v>
      </c>
      <c r="K68" s="78">
        <f>INDEX('Population Data by Age'!$B$7:$H$10366,MATCH(CONCATENATE('Tabular Pop Data by Age'!$C68,'Tabular Pop Data by Age'!K$7),'Population Data by Age'!$B$7:$B$10366,0),MATCH('Tabular Pop Data by Age'!$C$6,'Population Data by Age'!$B$6:$H$6,0))</f>
        <v>61000</v>
      </c>
      <c r="L68" s="78">
        <f>INDEX('Population Data by Age'!$B$7:$H$10366,MATCH(CONCATENATE('Tabular Pop Data by Age'!$C68,'Tabular Pop Data by Age'!L$7),'Population Data by Age'!$B$7:$B$10366,0),MATCH('Tabular Pop Data by Age'!$C$6,'Population Data by Age'!$B$6:$H$6,0))</f>
        <v>58000</v>
      </c>
      <c r="M68" s="78">
        <f>INDEX('Population Data by Age'!$B$7:$H$10366,MATCH(CONCATENATE('Tabular Pop Data by Age'!$C68,'Tabular Pop Data by Age'!M$7),'Population Data by Age'!$B$7:$B$10366,0),MATCH('Tabular Pop Data by Age'!$C$6,'Population Data by Age'!$B$6:$H$6,0))</f>
        <v>80000</v>
      </c>
      <c r="N68" s="78">
        <f>INDEX('Population Data by Age'!$B$7:$H$10366,MATCH(CONCATENATE('Tabular Pop Data by Age'!$C68,'Tabular Pop Data by Age'!N$7),'Population Data by Age'!$B$7:$B$10366,0),MATCH('Tabular Pop Data by Age'!$C$6,'Population Data by Age'!$B$6:$H$6,0))</f>
        <v>56000</v>
      </c>
      <c r="O68" s="78">
        <f>INDEX('Population Data by Age'!$B$7:$H$10366,MATCH(CONCATENATE('Tabular Pop Data by Age'!$C68,'Tabular Pop Data by Age'!O$7),'Population Data by Age'!$B$7:$B$10366,0),MATCH('Tabular Pop Data by Age'!$C$6,'Population Data by Age'!$B$6:$H$6,0))</f>
        <v>92000</v>
      </c>
      <c r="P68" s="78">
        <f>INDEX('Population Data by Age'!$B$7:$H$10366,MATCH(CONCATENATE('Tabular Pop Data by Age'!$C68,'Tabular Pop Data by Age'!P$7),'Population Data by Age'!$B$7:$B$10366,0),MATCH('Tabular Pop Data by Age'!$C$6,'Population Data by Age'!$B$6:$H$6,0))</f>
        <v>53000</v>
      </c>
      <c r="Q68" s="78">
        <f>INDEX('Population Data by Age'!$B$7:$H$10366,MATCH(CONCATENATE('Tabular Pop Data by Age'!$C68,'Tabular Pop Data by Age'!Q$7),'Population Data by Age'!$B$7:$B$10366,0),MATCH('Tabular Pop Data by Age'!$C$6,'Population Data by Age'!$B$6:$H$6,0))</f>
        <v>91000</v>
      </c>
      <c r="R68" s="78">
        <f>INDEX('Population Data by Age'!$B$7:$H$10366,MATCH(CONCATENATE('Tabular Pop Data by Age'!$C68,'Tabular Pop Data by Age'!R$7),'Population Data by Age'!$B$7:$B$10366,0),MATCH('Tabular Pop Data by Age'!$C$6,'Population Data by Age'!$B$6:$H$6,0))</f>
        <v>39000</v>
      </c>
      <c r="S68" s="78">
        <f>INDEX('Population Data by Age'!$B$7:$H$10366,MATCH(CONCATENATE('Tabular Pop Data by Age'!$C68,'Tabular Pop Data by Age'!S$7),'Population Data by Age'!$B$7:$B$10366,0),MATCH('Tabular Pop Data by Age'!$C$6,'Population Data by Age'!$B$6:$H$6,0))</f>
        <v>66000</v>
      </c>
      <c r="T68" s="78">
        <f>INDEX('Population Data by Age'!$B$7:$H$10366,MATCH(CONCATENATE('Tabular Pop Data by Age'!$C68,'Tabular Pop Data by Age'!T$7),'Population Data by Age'!$B$7:$B$10366,0),MATCH('Tabular Pop Data by Age'!$C$6,'Population Data by Age'!$B$6:$H$6,0))</f>
        <v>27000</v>
      </c>
      <c r="U68" s="78">
        <f>INDEX('Population Data by Age'!$B$7:$H$10366,MATCH(CONCATENATE('Tabular Pop Data by Age'!$C68,'Tabular Pop Data by Age'!U$7),'Population Data by Age'!$B$7:$B$10366,0),MATCH('Tabular Pop Data by Age'!$C$6,'Population Data by Age'!$B$6:$H$6,0))</f>
        <v>42000</v>
      </c>
      <c r="V68" s="78">
        <f>INDEX('Population Data by Age'!$B$7:$H$10366,MATCH(CONCATENATE('Tabular Pop Data by Age'!$C68,'Tabular Pop Data by Age'!V$7),'Population Data by Age'!$B$7:$B$10366,0),MATCH('Tabular Pop Data by Age'!$C$6,'Population Data by Age'!$B$6:$H$6,0))</f>
        <v>20000</v>
      </c>
      <c r="W68" s="78">
        <f>INDEX('Population Data by Age'!$B$7:$H$10366,MATCH(CONCATENATE('Tabular Pop Data by Age'!$C68,'Tabular Pop Data by Age'!W$7),'Population Data by Age'!$B$7:$B$10366,0),MATCH('Tabular Pop Data by Age'!$C$6,'Population Data by Age'!$B$6:$H$6,0))</f>
        <v>27000</v>
      </c>
      <c r="X68" s="78">
        <f>INDEX('Population Data by Age'!$B$7:$H$10366,MATCH(CONCATENATE('Tabular Pop Data by Age'!$C68,'Tabular Pop Data by Age'!X$7),'Population Data by Age'!$B$7:$B$10366,0),MATCH('Tabular Pop Data by Age'!$C$6,'Population Data by Age'!$B$6:$H$6,0))</f>
        <v>17000</v>
      </c>
      <c r="Y68" s="78">
        <f>INDEX('Population Data by Age'!$B$7:$H$10366,MATCH(CONCATENATE('Tabular Pop Data by Age'!$C68,'Tabular Pop Data by Age'!Y$7),'Population Data by Age'!$B$7:$B$10366,0),MATCH('Tabular Pop Data by Age'!$C$6,'Population Data by Age'!$B$6:$H$6,0))</f>
        <v>20000</v>
      </c>
      <c r="Z68" s="78">
        <f>INDEX('Population Data by Age'!$B$7:$H$10366,MATCH(CONCATENATE('Tabular Pop Data by Age'!$C68,'Tabular Pop Data by Age'!Z$7),'Population Data by Age'!$B$7:$B$10366,0),MATCH('Tabular Pop Data by Age'!$C$6,'Population Data by Age'!$B$6:$H$6,0))</f>
        <v>12000</v>
      </c>
      <c r="AA68" s="78">
        <f>INDEX('Population Data by Age'!$B$7:$H$10366,MATCH(CONCATENATE('Tabular Pop Data by Age'!$C68,'Tabular Pop Data by Age'!AA$7),'Population Data by Age'!$B$7:$B$10366,0),MATCH('Tabular Pop Data by Age'!$C$6,'Population Data by Age'!$B$6:$H$6,0))</f>
        <v>13000</v>
      </c>
      <c r="AB68" s="78">
        <f>INDEX('Population Data by Age'!$B$7:$H$10366,MATCH(CONCATENATE('Tabular Pop Data by Age'!$C68,'Tabular Pop Data by Age'!AB$7),'Population Data by Age'!$B$7:$B$10366,0),MATCH('Tabular Pop Data by Age'!$C$6,'Population Data by Age'!$B$6:$H$6,0))</f>
        <v>9800</v>
      </c>
      <c r="AC68" s="78">
        <f>INDEX('Population Data by Age'!$B$7:$H$10366,MATCH(CONCATENATE('Tabular Pop Data by Age'!$C68,'Tabular Pop Data by Age'!AC$7),'Population Data by Age'!$B$7:$B$10366,0),MATCH('Tabular Pop Data by Age'!$C$6,'Population Data by Age'!$B$6:$H$6,0))</f>
        <v>9900</v>
      </c>
      <c r="AD68" s="78">
        <f>INDEX('Population Data by Age'!$B$7:$H$10366,MATCH(CONCATENATE('Tabular Pop Data by Age'!$C68,'Tabular Pop Data by Age'!AD$7),'Population Data by Age'!$B$7:$B$10366,0),MATCH('Tabular Pop Data by Age'!$C$6,'Population Data by Age'!$B$6:$H$6,0))</f>
        <v>7700</v>
      </c>
      <c r="AE68" s="78">
        <f>INDEX('Population Data by Age'!$B$7:$H$10366,MATCH(CONCATENATE('Tabular Pop Data by Age'!$C68,'Tabular Pop Data by Age'!AE$7),'Population Data by Age'!$B$7:$B$10366,0),MATCH('Tabular Pop Data by Age'!$C$6,'Population Data by Age'!$B$6:$H$6,0))</f>
        <v>7500</v>
      </c>
      <c r="AF68" s="78">
        <f>INDEX('Population Data by Age'!$B$7:$H$10366,MATCH(CONCATENATE('Tabular Pop Data by Age'!$C68,'Tabular Pop Data by Age'!AF$7),'Population Data by Age'!$B$7:$B$10366,0),MATCH('Tabular Pop Data by Age'!$C$6,'Population Data by Age'!$B$6:$H$6,0))</f>
        <v>4700</v>
      </c>
      <c r="AG68" s="78">
        <f>INDEX('Population Data by Age'!$B$7:$H$10366,MATCH(CONCATENATE('Tabular Pop Data by Age'!$C68,'Tabular Pop Data by Age'!AG$7),'Population Data by Age'!$B$7:$B$10366,0),MATCH('Tabular Pop Data by Age'!$C$6,'Population Data by Age'!$B$6:$H$6,0))</f>
        <v>4400</v>
      </c>
      <c r="AH68" s="78">
        <f>INDEX('Population Data by Age'!$B$7:$H$10366,MATCH(CONCATENATE('Tabular Pop Data by Age'!$C68,'Tabular Pop Data by Age'!AH$7),'Population Data by Age'!$B$7:$B$10366,0),MATCH('Tabular Pop Data by Age'!$C$6,'Population Data by Age'!$B$6:$H$6,0))</f>
        <v>3000</v>
      </c>
      <c r="AI68" s="78">
        <f>INDEX('Population Data by Age'!$B$7:$H$10366,MATCH(CONCATENATE('Tabular Pop Data by Age'!$C68,'Tabular Pop Data by Age'!AI$7),'Population Data by Age'!$B$7:$B$10366,0),MATCH('Tabular Pop Data by Age'!$C$6,'Population Data by Age'!$B$6:$H$6,0))</f>
        <v>2600</v>
      </c>
      <c r="AJ68" s="78">
        <f>INDEX('Population Data by Age'!$B$7:$H$10366,MATCH(CONCATENATE('Tabular Pop Data by Age'!$C68,'Tabular Pop Data by Age'!AJ$7),'Population Data by Age'!$B$7:$B$10366,0),MATCH('Tabular Pop Data by Age'!$C$6,'Population Data by Age'!$B$6:$H$6,0))</f>
        <v>1900</v>
      </c>
      <c r="AK68" s="78">
        <f>INDEX('Population Data by Age'!$B$7:$H$10366,MATCH(CONCATENATE('Tabular Pop Data by Age'!$C68,'Tabular Pop Data by Age'!AK$7),'Population Data by Age'!$B$7:$B$10366,0),MATCH('Tabular Pop Data by Age'!$C$6,'Population Data by Age'!$B$6:$H$6,0))</f>
        <v>1500</v>
      </c>
      <c r="AL68" s="78">
        <f>INDEX('Population Data by Age'!$B$7:$H$10366,MATCH(CONCATENATE('Tabular Pop Data by Age'!$C68,'Tabular Pop Data by Age'!AL$7),'Population Data by Age'!$B$7:$B$10366,0),MATCH('Tabular Pop Data by Age'!$C$6,'Population Data by Age'!$B$6:$H$6,0))</f>
        <v>623000</v>
      </c>
      <c r="AM68" s="78">
        <f>INDEX('Population Data by Age'!$B$7:$H$10366,MATCH(CONCATENATE('Tabular Pop Data by Age'!$C68,'Tabular Pop Data by Age'!AM$7),'Population Data by Age'!$B$7:$B$10366,0),MATCH('Tabular Pop Data by Age'!$C$6,'Population Data by Age'!$B$6:$H$6,0))</f>
        <v>780000</v>
      </c>
      <c r="AN68" s="78">
        <f>INDEX('Population Data by Age'!$B$7:$H$10366,MATCH(CONCATENATE('Tabular Pop Data by Age'!$C68,'Tabular Pop Data by Age'!AN$7),'Population Data by Age'!$B$7:$B$10366,0),MATCH('Tabular Pop Data by Age'!$C$6,'Population Data by Age'!$B$6:$H$6,0))</f>
        <v>1403000</v>
      </c>
      <c r="AO68" s="78">
        <f>INDEX('Population Data by Age'!$B$7:$H$10366,MATCH(CONCATENATE('Tabular Pop Data by Age'!$C68,'Tabular Pop Data by Age'!AO$7),'Population Data by Age'!$B$7:$B$10366,0),MATCH('Tabular Pop Data by Age'!$C$6,'Population Data by Age'!$B$6:$H$6,0))</f>
        <v>0</v>
      </c>
      <c r="AP68" s="79">
        <f t="shared" si="17"/>
        <v>200000</v>
      </c>
      <c r="AQ68" s="79">
        <f t="shared" si="18"/>
        <v>172000</v>
      </c>
      <c r="AR68" s="79">
        <f t="shared" si="19"/>
        <v>144000</v>
      </c>
      <c r="AS68" s="79">
        <f t="shared" si="20"/>
        <v>121000</v>
      </c>
      <c r="AT68" s="79">
        <f t="shared" si="21"/>
        <v>138000</v>
      </c>
      <c r="AU68" s="79">
        <f t="shared" si="22"/>
        <v>148000</v>
      </c>
      <c r="AV68" s="79">
        <f t="shared" si="23"/>
        <v>144000</v>
      </c>
      <c r="AW68" s="79">
        <f t="shared" si="24"/>
        <v>105000</v>
      </c>
      <c r="AX68" s="79">
        <f t="shared" si="25"/>
        <v>69000</v>
      </c>
      <c r="AY68" s="79">
        <f t="shared" si="26"/>
        <v>47000</v>
      </c>
      <c r="AZ68" s="79">
        <f t="shared" si="27"/>
        <v>37000</v>
      </c>
      <c r="BA68" s="79">
        <f t="shared" si="28"/>
        <v>25000</v>
      </c>
      <c r="BB68" s="79">
        <f t="shared" si="29"/>
        <v>19700</v>
      </c>
      <c r="BC68" s="79">
        <f t="shared" si="30"/>
        <v>15200</v>
      </c>
      <c r="BD68" s="79">
        <f t="shared" si="31"/>
        <v>9100</v>
      </c>
      <c r="BE68" s="79">
        <f t="shared" si="32"/>
        <v>5600</v>
      </c>
      <c r="BF68" s="79">
        <f t="shared" si="33"/>
        <v>3400</v>
      </c>
    </row>
    <row r="69" spans="1:58" x14ac:dyDescent="0.25">
      <c r="A69" s="138" t="s">
        <v>1195</v>
      </c>
      <c r="B69" t="s">
        <v>192</v>
      </c>
      <c r="C69" t="s">
        <v>168</v>
      </c>
      <c r="D69" s="78">
        <f>INDEX('Population Data by Age'!$B$7:$H$10366,MATCH(CONCATENATE('Tabular Pop Data by Age'!$C69,'Tabular Pop Data by Age'!D$7),'Population Data by Age'!$B$7:$B$10366,0),MATCH('Tabular Pop Data by Age'!$C$6,'Population Data by Age'!$B$6:$H$6,0))</f>
        <v>0</v>
      </c>
      <c r="E69" s="78">
        <f>INDEX('Population Data by Age'!$B$7:$H$10366,MATCH(CONCATENATE('Tabular Pop Data by Age'!$C69,'Tabular Pop Data by Age'!E$7),'Population Data by Age'!$B$7:$B$10366,0),MATCH('Tabular Pop Data by Age'!$C$6,'Population Data by Age'!$B$6:$H$6,0))</f>
        <v>0</v>
      </c>
      <c r="F69" s="78">
        <f>INDEX('Population Data by Age'!$B$7:$H$10366,MATCH(CONCATENATE('Tabular Pop Data by Age'!$C69,'Tabular Pop Data by Age'!F$7),'Population Data by Age'!$B$7:$B$10366,0),MATCH('Tabular Pop Data by Age'!$C$6,'Population Data by Age'!$B$6:$H$6,0))</f>
        <v>0</v>
      </c>
      <c r="G69" s="78">
        <f>INDEX('Population Data by Age'!$B$7:$H$10366,MATCH(CONCATENATE('Tabular Pop Data by Age'!$C69,'Tabular Pop Data by Age'!G$7),'Population Data by Age'!$B$7:$B$10366,0),MATCH('Tabular Pop Data by Age'!$C$6,'Population Data by Age'!$B$6:$H$6,0))</f>
        <v>0</v>
      </c>
      <c r="H69" s="78">
        <f>INDEX('Population Data by Age'!$B$7:$H$10366,MATCH(CONCATENATE('Tabular Pop Data by Age'!$C69,'Tabular Pop Data by Age'!H$7),'Population Data by Age'!$B$7:$B$10366,0),MATCH('Tabular Pop Data by Age'!$C$6,'Population Data by Age'!$B$6:$H$6,0))</f>
        <v>0</v>
      </c>
      <c r="I69" s="78">
        <f>INDEX('Population Data by Age'!$B$7:$H$10366,MATCH(CONCATENATE('Tabular Pop Data by Age'!$C69,'Tabular Pop Data by Age'!I$7),'Population Data by Age'!$B$7:$B$10366,0),MATCH('Tabular Pop Data by Age'!$C$6,'Population Data by Age'!$B$6:$H$6,0))</f>
        <v>0</v>
      </c>
      <c r="J69" s="78">
        <f>INDEX('Population Data by Age'!$B$7:$H$10366,MATCH(CONCATENATE('Tabular Pop Data by Age'!$C69,'Tabular Pop Data by Age'!J$7),'Population Data by Age'!$B$7:$B$10366,0),MATCH('Tabular Pop Data by Age'!$C$6,'Population Data by Age'!$B$6:$H$6,0))</f>
        <v>0</v>
      </c>
      <c r="K69" s="78">
        <f>INDEX('Population Data by Age'!$B$7:$H$10366,MATCH(CONCATENATE('Tabular Pop Data by Age'!$C69,'Tabular Pop Data by Age'!K$7),'Population Data by Age'!$B$7:$B$10366,0),MATCH('Tabular Pop Data by Age'!$C$6,'Population Data by Age'!$B$6:$H$6,0))</f>
        <v>0</v>
      </c>
      <c r="L69" s="78">
        <f>INDEX('Population Data by Age'!$B$7:$H$10366,MATCH(CONCATENATE('Tabular Pop Data by Age'!$C69,'Tabular Pop Data by Age'!L$7),'Population Data by Age'!$B$7:$B$10366,0),MATCH('Tabular Pop Data by Age'!$C$6,'Population Data by Age'!$B$6:$H$6,0))</f>
        <v>0</v>
      </c>
      <c r="M69" s="78">
        <f>INDEX('Population Data by Age'!$B$7:$H$10366,MATCH(CONCATENATE('Tabular Pop Data by Age'!$C69,'Tabular Pop Data by Age'!M$7),'Population Data by Age'!$B$7:$B$10366,0),MATCH('Tabular Pop Data by Age'!$C$6,'Population Data by Age'!$B$6:$H$6,0))</f>
        <v>0</v>
      </c>
      <c r="N69" s="78">
        <f>INDEX('Population Data by Age'!$B$7:$H$10366,MATCH(CONCATENATE('Tabular Pop Data by Age'!$C69,'Tabular Pop Data by Age'!N$7),'Population Data by Age'!$B$7:$B$10366,0),MATCH('Tabular Pop Data by Age'!$C$6,'Population Data by Age'!$B$6:$H$6,0))</f>
        <v>0</v>
      </c>
      <c r="O69" s="78">
        <f>INDEX('Population Data by Age'!$B$7:$H$10366,MATCH(CONCATENATE('Tabular Pop Data by Age'!$C69,'Tabular Pop Data by Age'!O$7),'Population Data by Age'!$B$7:$B$10366,0),MATCH('Tabular Pop Data by Age'!$C$6,'Population Data by Age'!$B$6:$H$6,0))</f>
        <v>0</v>
      </c>
      <c r="P69" s="78">
        <f>INDEX('Population Data by Age'!$B$7:$H$10366,MATCH(CONCATENATE('Tabular Pop Data by Age'!$C69,'Tabular Pop Data by Age'!P$7),'Population Data by Age'!$B$7:$B$10366,0),MATCH('Tabular Pop Data by Age'!$C$6,'Population Data by Age'!$B$6:$H$6,0))</f>
        <v>0</v>
      </c>
      <c r="Q69" s="78">
        <f>INDEX('Population Data by Age'!$B$7:$H$10366,MATCH(CONCATENATE('Tabular Pop Data by Age'!$C69,'Tabular Pop Data by Age'!Q$7),'Population Data by Age'!$B$7:$B$10366,0),MATCH('Tabular Pop Data by Age'!$C$6,'Population Data by Age'!$B$6:$H$6,0))</f>
        <v>0</v>
      </c>
      <c r="R69" s="78">
        <f>INDEX('Population Data by Age'!$B$7:$H$10366,MATCH(CONCATENATE('Tabular Pop Data by Age'!$C69,'Tabular Pop Data by Age'!R$7),'Population Data by Age'!$B$7:$B$10366,0),MATCH('Tabular Pop Data by Age'!$C$6,'Population Data by Age'!$B$6:$H$6,0))</f>
        <v>0</v>
      </c>
      <c r="S69" s="78">
        <f>INDEX('Population Data by Age'!$B$7:$H$10366,MATCH(CONCATENATE('Tabular Pop Data by Age'!$C69,'Tabular Pop Data by Age'!S$7),'Population Data by Age'!$B$7:$B$10366,0),MATCH('Tabular Pop Data by Age'!$C$6,'Population Data by Age'!$B$6:$H$6,0))</f>
        <v>0</v>
      </c>
      <c r="T69" s="78">
        <f>INDEX('Population Data by Age'!$B$7:$H$10366,MATCH(CONCATENATE('Tabular Pop Data by Age'!$C69,'Tabular Pop Data by Age'!T$7),'Population Data by Age'!$B$7:$B$10366,0),MATCH('Tabular Pop Data by Age'!$C$6,'Population Data by Age'!$B$6:$H$6,0))</f>
        <v>0</v>
      </c>
      <c r="U69" s="78">
        <f>INDEX('Population Data by Age'!$B$7:$H$10366,MATCH(CONCATENATE('Tabular Pop Data by Age'!$C69,'Tabular Pop Data by Age'!U$7),'Population Data by Age'!$B$7:$B$10366,0),MATCH('Tabular Pop Data by Age'!$C$6,'Population Data by Age'!$B$6:$H$6,0))</f>
        <v>0</v>
      </c>
      <c r="V69" s="78">
        <f>INDEX('Population Data by Age'!$B$7:$H$10366,MATCH(CONCATENATE('Tabular Pop Data by Age'!$C69,'Tabular Pop Data by Age'!V$7),'Population Data by Age'!$B$7:$B$10366,0),MATCH('Tabular Pop Data by Age'!$C$6,'Population Data by Age'!$B$6:$H$6,0))</f>
        <v>0</v>
      </c>
      <c r="W69" s="78">
        <f>INDEX('Population Data by Age'!$B$7:$H$10366,MATCH(CONCATENATE('Tabular Pop Data by Age'!$C69,'Tabular Pop Data by Age'!W$7),'Population Data by Age'!$B$7:$B$10366,0),MATCH('Tabular Pop Data by Age'!$C$6,'Population Data by Age'!$B$6:$H$6,0))</f>
        <v>0</v>
      </c>
      <c r="X69" s="78">
        <f>INDEX('Population Data by Age'!$B$7:$H$10366,MATCH(CONCATENATE('Tabular Pop Data by Age'!$C69,'Tabular Pop Data by Age'!X$7),'Population Data by Age'!$B$7:$B$10366,0),MATCH('Tabular Pop Data by Age'!$C$6,'Population Data by Age'!$B$6:$H$6,0))</f>
        <v>0</v>
      </c>
      <c r="Y69" s="78">
        <f>INDEX('Population Data by Age'!$B$7:$H$10366,MATCH(CONCATENATE('Tabular Pop Data by Age'!$C69,'Tabular Pop Data by Age'!Y$7),'Population Data by Age'!$B$7:$B$10366,0),MATCH('Tabular Pop Data by Age'!$C$6,'Population Data by Age'!$B$6:$H$6,0))</f>
        <v>0</v>
      </c>
      <c r="Z69" s="78">
        <f>INDEX('Population Data by Age'!$B$7:$H$10366,MATCH(CONCATENATE('Tabular Pop Data by Age'!$C69,'Tabular Pop Data by Age'!Z$7),'Population Data by Age'!$B$7:$B$10366,0),MATCH('Tabular Pop Data by Age'!$C$6,'Population Data by Age'!$B$6:$H$6,0))</f>
        <v>0</v>
      </c>
      <c r="AA69" s="78">
        <f>INDEX('Population Data by Age'!$B$7:$H$10366,MATCH(CONCATENATE('Tabular Pop Data by Age'!$C69,'Tabular Pop Data by Age'!AA$7),'Population Data by Age'!$B$7:$B$10366,0),MATCH('Tabular Pop Data by Age'!$C$6,'Population Data by Age'!$B$6:$H$6,0))</f>
        <v>0</v>
      </c>
      <c r="AB69" s="78">
        <f>INDEX('Population Data by Age'!$B$7:$H$10366,MATCH(CONCATENATE('Tabular Pop Data by Age'!$C69,'Tabular Pop Data by Age'!AB$7),'Population Data by Age'!$B$7:$B$10366,0),MATCH('Tabular Pop Data by Age'!$C$6,'Population Data by Age'!$B$6:$H$6,0))</f>
        <v>0</v>
      </c>
      <c r="AC69" s="78">
        <f>INDEX('Population Data by Age'!$B$7:$H$10366,MATCH(CONCATENATE('Tabular Pop Data by Age'!$C69,'Tabular Pop Data by Age'!AC$7),'Population Data by Age'!$B$7:$B$10366,0),MATCH('Tabular Pop Data by Age'!$C$6,'Population Data by Age'!$B$6:$H$6,0))</f>
        <v>0</v>
      </c>
      <c r="AD69" s="78">
        <f>INDEX('Population Data by Age'!$B$7:$H$10366,MATCH(CONCATENATE('Tabular Pop Data by Age'!$C69,'Tabular Pop Data by Age'!AD$7),'Population Data by Age'!$B$7:$B$10366,0),MATCH('Tabular Pop Data by Age'!$C$6,'Population Data by Age'!$B$6:$H$6,0))</f>
        <v>0</v>
      </c>
      <c r="AE69" s="78">
        <f>INDEX('Population Data by Age'!$B$7:$H$10366,MATCH(CONCATENATE('Tabular Pop Data by Age'!$C69,'Tabular Pop Data by Age'!AE$7),'Population Data by Age'!$B$7:$B$10366,0),MATCH('Tabular Pop Data by Age'!$C$6,'Population Data by Age'!$B$6:$H$6,0))</f>
        <v>0</v>
      </c>
      <c r="AF69" s="78">
        <f>INDEX('Population Data by Age'!$B$7:$H$10366,MATCH(CONCATENATE('Tabular Pop Data by Age'!$C69,'Tabular Pop Data by Age'!AF$7),'Population Data by Age'!$B$7:$B$10366,0),MATCH('Tabular Pop Data by Age'!$C$6,'Population Data by Age'!$B$6:$H$6,0))</f>
        <v>0</v>
      </c>
      <c r="AG69" s="78">
        <f>INDEX('Population Data by Age'!$B$7:$H$10366,MATCH(CONCATENATE('Tabular Pop Data by Age'!$C69,'Tabular Pop Data by Age'!AG$7),'Population Data by Age'!$B$7:$B$10366,0),MATCH('Tabular Pop Data by Age'!$C$6,'Population Data by Age'!$B$6:$H$6,0))</f>
        <v>0</v>
      </c>
      <c r="AH69" s="78">
        <f>INDEX('Population Data by Age'!$B$7:$H$10366,MATCH(CONCATENATE('Tabular Pop Data by Age'!$C69,'Tabular Pop Data by Age'!AH$7),'Population Data by Age'!$B$7:$B$10366,0),MATCH('Tabular Pop Data by Age'!$C$6,'Population Data by Age'!$B$6:$H$6,0))</f>
        <v>0</v>
      </c>
      <c r="AI69" s="78">
        <f>INDEX('Population Data by Age'!$B$7:$H$10366,MATCH(CONCATENATE('Tabular Pop Data by Age'!$C69,'Tabular Pop Data by Age'!AI$7),'Population Data by Age'!$B$7:$B$10366,0),MATCH('Tabular Pop Data by Age'!$C$6,'Population Data by Age'!$B$6:$H$6,0))</f>
        <v>0</v>
      </c>
      <c r="AJ69" s="78">
        <f>INDEX('Population Data by Age'!$B$7:$H$10366,MATCH(CONCATENATE('Tabular Pop Data by Age'!$C69,'Tabular Pop Data by Age'!AJ$7),'Population Data by Age'!$B$7:$B$10366,0),MATCH('Tabular Pop Data by Age'!$C$6,'Population Data by Age'!$B$6:$H$6,0))</f>
        <v>0</v>
      </c>
      <c r="AK69" s="78">
        <f>INDEX('Population Data by Age'!$B$7:$H$10366,MATCH(CONCATENATE('Tabular Pop Data by Age'!$C69,'Tabular Pop Data by Age'!AK$7),'Population Data by Age'!$B$7:$B$10366,0),MATCH('Tabular Pop Data by Age'!$C$6,'Population Data by Age'!$B$6:$H$6,0))</f>
        <v>0</v>
      </c>
      <c r="AL69" s="78">
        <f>INDEX('Population Data by Age'!$B$7:$H$10366,MATCH(CONCATENATE('Tabular Pop Data by Age'!$C69,'Tabular Pop Data by Age'!AL$7),'Population Data by Age'!$B$7:$B$10366,0),MATCH('Tabular Pop Data by Age'!$C$6,'Population Data by Age'!$B$6:$H$6,0))</f>
        <v>0</v>
      </c>
      <c r="AM69" s="78">
        <f>INDEX('Population Data by Age'!$B$7:$H$10366,MATCH(CONCATENATE('Tabular Pop Data by Age'!$C69,'Tabular Pop Data by Age'!AM$7),'Population Data by Age'!$B$7:$B$10366,0),MATCH('Tabular Pop Data by Age'!$C$6,'Population Data by Age'!$B$6:$H$6,0))</f>
        <v>0</v>
      </c>
      <c r="AN69" s="85">
        <v>6081196</v>
      </c>
      <c r="AO69" s="78">
        <f>INDEX('Population Data by Age'!$B$7:$H$10366,MATCH(CONCATENATE('Tabular Pop Data by Age'!$C69,'Tabular Pop Data by Age'!AO$7),'Population Data by Age'!$B$7:$B$10366,0),MATCH('Tabular Pop Data by Age'!$C$6,'Population Data by Age'!$B$6:$H$6,0))</f>
        <v>0</v>
      </c>
      <c r="AP69" s="79">
        <f t="shared" si="17"/>
        <v>0</v>
      </c>
      <c r="AQ69" s="79">
        <f t="shared" si="18"/>
        <v>0</v>
      </c>
      <c r="AR69" s="79">
        <f t="shared" si="19"/>
        <v>0</v>
      </c>
      <c r="AS69" s="79">
        <f t="shared" si="20"/>
        <v>0</v>
      </c>
      <c r="AT69" s="79">
        <f t="shared" si="21"/>
        <v>0</v>
      </c>
      <c r="AU69" s="79">
        <f t="shared" si="22"/>
        <v>0</v>
      </c>
      <c r="AV69" s="79">
        <f t="shared" si="23"/>
        <v>0</v>
      </c>
      <c r="AW69" s="79">
        <f t="shared" si="24"/>
        <v>0</v>
      </c>
      <c r="AX69" s="79">
        <f t="shared" si="25"/>
        <v>0</v>
      </c>
      <c r="AY69" s="79">
        <f t="shared" si="26"/>
        <v>0</v>
      </c>
      <c r="AZ69" s="79">
        <f t="shared" si="27"/>
        <v>0</v>
      </c>
      <c r="BA69" s="79">
        <f t="shared" si="28"/>
        <v>0</v>
      </c>
      <c r="BB69" s="79">
        <f t="shared" si="29"/>
        <v>0</v>
      </c>
      <c r="BC69" s="79">
        <f t="shared" si="30"/>
        <v>0</v>
      </c>
      <c r="BD69" s="79">
        <f t="shared" si="31"/>
        <v>0</v>
      </c>
      <c r="BE69" s="79">
        <f t="shared" si="32"/>
        <v>0</v>
      </c>
      <c r="BF69" s="79">
        <f t="shared" si="33"/>
        <v>0</v>
      </c>
    </row>
    <row r="70" spans="1:58" x14ac:dyDescent="0.25">
      <c r="A70" s="138" t="s">
        <v>1195</v>
      </c>
      <c r="B70" t="s">
        <v>485</v>
      </c>
      <c r="C70" t="s">
        <v>41</v>
      </c>
      <c r="D70" s="78">
        <f>INDEX('Population Data by Age'!$B$7:$H$10366,MATCH(CONCATENATE('Tabular Pop Data by Age'!$C70,'Tabular Pop Data by Age'!D$7),'Population Data by Age'!$B$7:$B$10366,0),MATCH('Tabular Pop Data by Age'!$C$6,'Population Data by Age'!$B$6:$H$6,0))</f>
        <v>33000</v>
      </c>
      <c r="E70" s="78">
        <f>INDEX('Population Data by Age'!$B$7:$H$10366,MATCH(CONCATENATE('Tabular Pop Data by Age'!$C70,'Tabular Pop Data by Age'!E$7),'Population Data by Age'!$B$7:$B$10366,0),MATCH('Tabular Pop Data by Age'!$C$6,'Population Data by Age'!$B$6:$H$6,0))</f>
        <v>35000</v>
      </c>
      <c r="F70" s="78">
        <f>INDEX('Population Data by Age'!$B$7:$H$10366,MATCH(CONCATENATE('Tabular Pop Data by Age'!$C70,'Tabular Pop Data by Age'!F$7),'Population Data by Age'!$B$7:$B$10366,0),MATCH('Tabular Pop Data by Age'!$C$6,'Population Data by Age'!$B$6:$H$6,0))</f>
        <v>36000</v>
      </c>
      <c r="G70" s="78">
        <f>INDEX('Population Data by Age'!$B$7:$H$10366,MATCH(CONCATENATE('Tabular Pop Data by Age'!$C70,'Tabular Pop Data by Age'!G$7),'Population Data by Age'!$B$7:$B$10366,0),MATCH('Tabular Pop Data by Age'!$C$6,'Population Data by Age'!$B$6:$H$6,0))</f>
        <v>38000</v>
      </c>
      <c r="H70" s="78">
        <f>INDEX('Population Data by Age'!$B$7:$H$10366,MATCH(CONCATENATE('Tabular Pop Data by Age'!$C70,'Tabular Pop Data by Age'!H$7),'Population Data by Age'!$B$7:$B$10366,0),MATCH('Tabular Pop Data by Age'!$C$6,'Population Data by Age'!$B$6:$H$6,0))</f>
        <v>36000</v>
      </c>
      <c r="I70" s="78">
        <f>INDEX('Population Data by Age'!$B$7:$H$10366,MATCH(CONCATENATE('Tabular Pop Data by Age'!$C70,'Tabular Pop Data by Age'!I$7),'Population Data by Age'!$B$7:$B$10366,0),MATCH('Tabular Pop Data by Age'!$C$6,'Population Data by Age'!$B$6:$H$6,0))</f>
        <v>38000</v>
      </c>
      <c r="J70" s="78">
        <f>INDEX('Population Data by Age'!$B$7:$H$10366,MATCH(CONCATENATE('Tabular Pop Data by Age'!$C70,'Tabular Pop Data by Age'!J$7),'Population Data by Age'!$B$7:$B$10366,0),MATCH('Tabular Pop Data by Age'!$C$6,'Population Data by Age'!$B$6:$H$6,0))</f>
        <v>30000</v>
      </c>
      <c r="K70" s="78">
        <f>INDEX('Population Data by Age'!$B$7:$H$10366,MATCH(CONCATENATE('Tabular Pop Data by Age'!$C70,'Tabular Pop Data by Age'!K$7),'Population Data by Age'!$B$7:$B$10366,0),MATCH('Tabular Pop Data by Age'!$C$6,'Population Data by Age'!$B$6:$H$6,0))</f>
        <v>32000</v>
      </c>
      <c r="L70" s="78">
        <f>INDEX('Population Data by Age'!$B$7:$H$10366,MATCH(CONCATENATE('Tabular Pop Data by Age'!$C70,'Tabular Pop Data by Age'!L$7),'Population Data by Age'!$B$7:$B$10366,0),MATCH('Tabular Pop Data by Age'!$C$6,'Population Data by Age'!$B$6:$H$6,0))</f>
        <v>28000</v>
      </c>
      <c r="M70" s="78">
        <f>INDEX('Population Data by Age'!$B$7:$H$10366,MATCH(CONCATENATE('Tabular Pop Data by Age'!$C70,'Tabular Pop Data by Age'!M$7),'Population Data by Age'!$B$7:$B$10366,0),MATCH('Tabular Pop Data by Age'!$C$6,'Population Data by Age'!$B$6:$H$6,0))</f>
        <v>29000</v>
      </c>
      <c r="N70" s="78">
        <f>INDEX('Population Data by Age'!$B$7:$H$10366,MATCH(CONCATENATE('Tabular Pop Data by Age'!$C70,'Tabular Pop Data by Age'!N$7),'Population Data by Age'!$B$7:$B$10366,0),MATCH('Tabular Pop Data by Age'!$C$6,'Population Data by Age'!$B$6:$H$6,0))</f>
        <v>41000</v>
      </c>
      <c r="O70" s="78">
        <f>INDEX('Population Data by Age'!$B$7:$H$10366,MATCH(CONCATENATE('Tabular Pop Data by Age'!$C70,'Tabular Pop Data by Age'!O$7),'Population Data by Age'!$B$7:$B$10366,0),MATCH('Tabular Pop Data by Age'!$C$6,'Population Data by Age'!$B$6:$H$6,0))</f>
        <v>46000</v>
      </c>
      <c r="P70" s="78">
        <f>INDEX('Population Data by Age'!$B$7:$H$10366,MATCH(CONCATENATE('Tabular Pop Data by Age'!$C70,'Tabular Pop Data by Age'!P$7),'Population Data by Age'!$B$7:$B$10366,0),MATCH('Tabular Pop Data by Age'!$C$6,'Population Data by Age'!$B$6:$H$6,0))</f>
        <v>47000</v>
      </c>
      <c r="Q70" s="78">
        <f>INDEX('Population Data by Age'!$B$7:$H$10366,MATCH(CONCATENATE('Tabular Pop Data by Age'!$C70,'Tabular Pop Data by Age'!Q$7),'Population Data by Age'!$B$7:$B$10366,0),MATCH('Tabular Pop Data by Age'!$C$6,'Population Data by Age'!$B$6:$H$6,0))</f>
        <v>53000</v>
      </c>
      <c r="R70" s="78">
        <f>INDEX('Population Data by Age'!$B$7:$H$10366,MATCH(CONCATENATE('Tabular Pop Data by Age'!$C70,'Tabular Pop Data by Age'!R$7),'Population Data by Age'!$B$7:$B$10366,0),MATCH('Tabular Pop Data by Age'!$C$6,'Population Data by Age'!$B$6:$H$6,0))</f>
        <v>44000</v>
      </c>
      <c r="S70" s="78">
        <f>INDEX('Population Data by Age'!$B$7:$H$10366,MATCH(CONCATENATE('Tabular Pop Data by Age'!$C70,'Tabular Pop Data by Age'!S$7),'Population Data by Age'!$B$7:$B$10366,0),MATCH('Tabular Pop Data by Age'!$C$6,'Population Data by Age'!$B$6:$H$6,0))</f>
        <v>47000</v>
      </c>
      <c r="T70" s="78">
        <f>INDEX('Population Data by Age'!$B$7:$H$10366,MATCH(CONCATENATE('Tabular Pop Data by Age'!$C70,'Tabular Pop Data by Age'!T$7),'Population Data by Age'!$B$7:$B$10366,0),MATCH('Tabular Pop Data by Age'!$C$6,'Population Data by Age'!$B$6:$H$6,0))</f>
        <v>42000</v>
      </c>
      <c r="U70" s="78">
        <f>INDEX('Population Data by Age'!$B$7:$H$10366,MATCH(CONCATENATE('Tabular Pop Data by Age'!$C70,'Tabular Pop Data by Age'!U$7),'Population Data by Age'!$B$7:$B$10366,0),MATCH('Tabular Pop Data by Age'!$C$6,'Population Data by Age'!$B$6:$H$6,0))</f>
        <v>45000</v>
      </c>
      <c r="V70" s="78">
        <f>INDEX('Population Data by Age'!$B$7:$H$10366,MATCH(CONCATENATE('Tabular Pop Data by Age'!$C70,'Tabular Pop Data by Age'!V$7),'Population Data by Age'!$B$7:$B$10366,0),MATCH('Tabular Pop Data by Age'!$C$6,'Population Data by Age'!$B$6:$H$6,0))</f>
        <v>47000</v>
      </c>
      <c r="W70" s="78">
        <f>INDEX('Population Data by Age'!$B$7:$H$10366,MATCH(CONCATENATE('Tabular Pop Data by Age'!$C70,'Tabular Pop Data by Age'!W$7),'Population Data by Age'!$B$7:$B$10366,0),MATCH('Tabular Pop Data by Age'!$C$6,'Population Data by Age'!$B$6:$H$6,0))</f>
        <v>49000</v>
      </c>
      <c r="X70" s="78">
        <f>INDEX('Population Data by Age'!$B$7:$H$10366,MATCH(CONCATENATE('Tabular Pop Data by Age'!$C70,'Tabular Pop Data by Age'!X$7),'Population Data by Age'!$B$7:$B$10366,0),MATCH('Tabular Pop Data by Age'!$C$6,'Population Data by Age'!$B$6:$H$6,0))</f>
        <v>39000</v>
      </c>
      <c r="Y70" s="78">
        <f>INDEX('Population Data by Age'!$B$7:$H$10366,MATCH(CONCATENATE('Tabular Pop Data by Age'!$C70,'Tabular Pop Data by Age'!Y$7),'Population Data by Age'!$B$7:$B$10366,0),MATCH('Tabular Pop Data by Age'!$C$6,'Population Data by Age'!$B$6:$H$6,0))</f>
        <v>37000</v>
      </c>
      <c r="Z70" s="78">
        <f>INDEX('Population Data by Age'!$B$7:$H$10366,MATCH(CONCATENATE('Tabular Pop Data by Age'!$C70,'Tabular Pop Data by Age'!Z$7),'Population Data by Age'!$B$7:$B$10366,0),MATCH('Tabular Pop Data by Age'!$C$6,'Population Data by Age'!$B$6:$H$6,0))</f>
        <v>46000</v>
      </c>
      <c r="AA70" s="78">
        <f>INDEX('Population Data by Age'!$B$7:$H$10366,MATCH(CONCATENATE('Tabular Pop Data by Age'!$C70,'Tabular Pop Data by Age'!AA$7),'Population Data by Age'!$B$7:$B$10366,0),MATCH('Tabular Pop Data by Age'!$C$6,'Population Data by Age'!$B$6:$H$6,0))</f>
        <v>42000</v>
      </c>
      <c r="AB70" s="78">
        <f>INDEX('Population Data by Age'!$B$7:$H$10366,MATCH(CONCATENATE('Tabular Pop Data by Age'!$C70,'Tabular Pop Data by Age'!AB$7),'Population Data by Age'!$B$7:$B$10366,0),MATCH('Tabular Pop Data by Age'!$C$6,'Population Data by Age'!$B$6:$H$6,0))</f>
        <v>47000</v>
      </c>
      <c r="AC70" s="78">
        <f>INDEX('Population Data by Age'!$B$7:$H$10366,MATCH(CONCATENATE('Tabular Pop Data by Age'!$C70,'Tabular Pop Data by Age'!AC$7),'Population Data by Age'!$B$7:$B$10366,0),MATCH('Tabular Pop Data by Age'!$C$6,'Population Data by Age'!$B$6:$H$6,0))</f>
        <v>38000</v>
      </c>
      <c r="AD70" s="78">
        <f>INDEX('Population Data by Age'!$B$7:$H$10366,MATCH(CONCATENATE('Tabular Pop Data by Age'!$C70,'Tabular Pop Data by Age'!AD$7),'Population Data by Age'!$B$7:$B$10366,0),MATCH('Tabular Pop Data by Age'!$C$6,'Population Data by Age'!$B$6:$H$6,0))</f>
        <v>49000</v>
      </c>
      <c r="AE70" s="78">
        <f>INDEX('Population Data by Age'!$B$7:$H$10366,MATCH(CONCATENATE('Tabular Pop Data by Age'!$C70,'Tabular Pop Data by Age'!AE$7),'Population Data by Age'!$B$7:$B$10366,0),MATCH('Tabular Pop Data by Age'!$C$6,'Population Data by Age'!$B$6:$H$6,0))</f>
        <v>34000</v>
      </c>
      <c r="AF70" s="78">
        <f>INDEX('Population Data by Age'!$B$7:$H$10366,MATCH(CONCATENATE('Tabular Pop Data by Age'!$C70,'Tabular Pop Data by Age'!AF$7),'Population Data by Age'!$B$7:$B$10366,0),MATCH('Tabular Pop Data by Age'!$C$6,'Population Data by Age'!$B$6:$H$6,0))</f>
        <v>32000</v>
      </c>
      <c r="AG70" s="78">
        <f>INDEX('Population Data by Age'!$B$7:$H$10366,MATCH(CONCATENATE('Tabular Pop Data by Age'!$C70,'Tabular Pop Data by Age'!AG$7),'Population Data by Age'!$B$7:$B$10366,0),MATCH('Tabular Pop Data by Age'!$C$6,'Population Data by Age'!$B$6:$H$6,0))</f>
        <v>20000</v>
      </c>
      <c r="AH70" s="78">
        <f>INDEX('Population Data by Age'!$B$7:$H$10366,MATCH(CONCATENATE('Tabular Pop Data by Age'!$C70,'Tabular Pop Data by Age'!AH$7),'Population Data by Age'!$B$7:$B$10366,0),MATCH('Tabular Pop Data by Age'!$C$6,'Population Data by Age'!$B$6:$H$6,0))</f>
        <v>36000</v>
      </c>
      <c r="AI70" s="78">
        <f>INDEX('Population Data by Age'!$B$7:$H$10366,MATCH(CONCATENATE('Tabular Pop Data by Age'!$C70,'Tabular Pop Data by Age'!AI$7),'Population Data by Age'!$B$7:$B$10366,0),MATCH('Tabular Pop Data by Age'!$C$6,'Population Data by Age'!$B$6:$H$6,0))</f>
        <v>18000</v>
      </c>
      <c r="AJ70" s="78">
        <f>INDEX('Population Data by Age'!$B$7:$H$10366,MATCH(CONCATENATE('Tabular Pop Data by Age'!$C70,'Tabular Pop Data by Age'!AJ$7),'Population Data by Age'!$B$7:$B$10366,0),MATCH('Tabular Pop Data by Age'!$C$6,'Population Data by Age'!$B$6:$H$6,0))</f>
        <v>58000</v>
      </c>
      <c r="AK70" s="78">
        <f>INDEX('Population Data by Age'!$B$7:$H$10366,MATCH(CONCATENATE('Tabular Pop Data by Age'!$C70,'Tabular Pop Data by Age'!AK$7),'Population Data by Age'!$B$7:$B$10366,0),MATCH('Tabular Pop Data by Age'!$C$6,'Population Data by Age'!$B$6:$H$6,0))</f>
        <v>20000</v>
      </c>
      <c r="AL70" s="78">
        <f>INDEX('Population Data by Age'!$B$7:$H$10366,MATCH(CONCATENATE('Tabular Pop Data by Age'!$C70,'Tabular Pop Data by Age'!AL$7),'Population Data by Age'!$B$7:$B$10366,0),MATCH('Tabular Pop Data by Age'!$C$6,'Population Data by Age'!$B$6:$H$6,0))</f>
        <v>691000</v>
      </c>
      <c r="AM70" s="78">
        <f>INDEX('Population Data by Age'!$B$7:$H$10366,MATCH(CONCATENATE('Tabular Pop Data by Age'!$C70,'Tabular Pop Data by Age'!AM$7),'Population Data by Age'!$B$7:$B$10366,0),MATCH('Tabular Pop Data by Age'!$C$6,'Population Data by Age'!$B$6:$H$6,0))</f>
        <v>622000</v>
      </c>
      <c r="AN70" s="78">
        <f>INDEX('Population Data by Age'!$B$7:$H$10366,MATCH(CONCATENATE('Tabular Pop Data by Age'!$C70,'Tabular Pop Data by Age'!AN$7),'Population Data by Age'!$B$7:$B$10366,0),MATCH('Tabular Pop Data by Age'!$C$6,'Population Data by Age'!$B$6:$H$6,0))</f>
        <v>1313000</v>
      </c>
      <c r="AO70" s="78">
        <f>INDEX('Population Data by Age'!$B$7:$H$10366,MATCH(CONCATENATE('Tabular Pop Data by Age'!$C70,'Tabular Pop Data by Age'!AO$7),'Population Data by Age'!$B$7:$B$10366,0),MATCH('Tabular Pop Data by Age'!$C$6,'Population Data by Age'!$B$6:$H$6,0))</f>
        <v>0</v>
      </c>
      <c r="AP70" s="79">
        <f t="shared" si="17"/>
        <v>68000</v>
      </c>
      <c r="AQ70" s="79">
        <f t="shared" si="18"/>
        <v>74000</v>
      </c>
      <c r="AR70" s="79">
        <f t="shared" si="19"/>
        <v>74000</v>
      </c>
      <c r="AS70" s="79">
        <f t="shared" si="20"/>
        <v>62000</v>
      </c>
      <c r="AT70" s="79">
        <f t="shared" si="21"/>
        <v>57000</v>
      </c>
      <c r="AU70" s="79">
        <f t="shared" si="22"/>
        <v>87000</v>
      </c>
      <c r="AV70" s="79">
        <f t="shared" si="23"/>
        <v>100000</v>
      </c>
      <c r="AW70" s="79">
        <f t="shared" si="24"/>
        <v>91000</v>
      </c>
      <c r="AX70" s="79">
        <f t="shared" si="25"/>
        <v>87000</v>
      </c>
      <c r="AY70" s="79">
        <f t="shared" si="26"/>
        <v>96000</v>
      </c>
      <c r="AZ70" s="79">
        <f t="shared" si="27"/>
        <v>76000</v>
      </c>
      <c r="BA70" s="79">
        <f t="shared" si="28"/>
        <v>88000</v>
      </c>
      <c r="BB70" s="79">
        <f t="shared" si="29"/>
        <v>85000</v>
      </c>
      <c r="BC70" s="79">
        <f t="shared" si="30"/>
        <v>83000</v>
      </c>
      <c r="BD70" s="79">
        <f t="shared" si="31"/>
        <v>52000</v>
      </c>
      <c r="BE70" s="79">
        <f t="shared" si="32"/>
        <v>54000</v>
      </c>
      <c r="BF70" s="79">
        <f t="shared" si="33"/>
        <v>78000</v>
      </c>
    </row>
    <row r="71" spans="1:58" x14ac:dyDescent="0.25">
      <c r="A71" s="138" t="s">
        <v>1195</v>
      </c>
      <c r="B71" t="s">
        <v>486</v>
      </c>
      <c r="C71" t="s">
        <v>134</v>
      </c>
      <c r="D71" s="78">
        <f>INDEX('Population Data by Age'!$B$7:$H$10366,MATCH(CONCATENATE('Tabular Pop Data by Age'!$C71,'Tabular Pop Data by Age'!D$7),'Population Data by Age'!$B$7:$B$10366,0),MATCH('Tabular Pop Data by Age'!$C$6,'Population Data by Age'!$B$6:$H$6,0))</f>
        <v>71000</v>
      </c>
      <c r="E71" s="78">
        <f>INDEX('Population Data by Age'!$B$7:$H$10366,MATCH(CONCATENATE('Tabular Pop Data by Age'!$C71,'Tabular Pop Data by Age'!E$7),'Population Data by Age'!$B$7:$B$10366,0),MATCH('Tabular Pop Data by Age'!$C$6,'Population Data by Age'!$B$6:$H$6,0))</f>
        <v>73000</v>
      </c>
      <c r="F71" s="78">
        <f>INDEX('Population Data by Age'!$B$7:$H$10366,MATCH(CONCATENATE('Tabular Pop Data by Age'!$C71,'Tabular Pop Data by Age'!F$7),'Population Data by Age'!$B$7:$B$10366,0),MATCH('Tabular Pop Data by Age'!$C$6,'Population Data by Age'!$B$6:$H$6,0))</f>
        <v>71000</v>
      </c>
      <c r="G71" s="78">
        <f>INDEX('Population Data by Age'!$B$7:$H$10366,MATCH(CONCATENATE('Tabular Pop Data by Age'!$C71,'Tabular Pop Data by Age'!G$7),'Population Data by Age'!$B$7:$B$10366,0),MATCH('Tabular Pop Data by Age'!$C$6,'Population Data by Age'!$B$6:$H$6,0))</f>
        <v>72000</v>
      </c>
      <c r="H71" s="78">
        <f>INDEX('Population Data by Age'!$B$7:$H$10366,MATCH(CONCATENATE('Tabular Pop Data by Age'!$C71,'Tabular Pop Data by Age'!H$7),'Population Data by Age'!$B$7:$B$10366,0),MATCH('Tabular Pop Data by Age'!$C$6,'Population Data by Age'!$B$6:$H$6,0))</f>
        <v>74000</v>
      </c>
      <c r="I71" s="78">
        <f>INDEX('Population Data by Age'!$B$7:$H$10366,MATCH(CONCATENATE('Tabular Pop Data by Age'!$C71,'Tabular Pop Data by Age'!I$7),'Population Data by Age'!$B$7:$B$10366,0),MATCH('Tabular Pop Data by Age'!$C$6,'Population Data by Age'!$B$6:$H$6,0))</f>
        <v>74000</v>
      </c>
      <c r="J71" s="78">
        <f>INDEX('Population Data by Age'!$B$7:$H$10366,MATCH(CONCATENATE('Tabular Pop Data by Age'!$C71,'Tabular Pop Data by Age'!J$7),'Population Data by Age'!$B$7:$B$10366,0),MATCH('Tabular Pop Data by Age'!$C$6,'Population Data by Age'!$B$6:$H$6,0))</f>
        <v>64000</v>
      </c>
      <c r="K71" s="78">
        <f>INDEX('Population Data by Age'!$B$7:$H$10366,MATCH(CONCATENATE('Tabular Pop Data by Age'!$C71,'Tabular Pop Data by Age'!K$7),'Population Data by Age'!$B$7:$B$10366,0),MATCH('Tabular Pop Data by Age'!$C$6,'Population Data by Age'!$B$6:$H$6,0))</f>
        <v>65000</v>
      </c>
      <c r="L71" s="78">
        <f>INDEX('Population Data by Age'!$B$7:$H$10366,MATCH(CONCATENATE('Tabular Pop Data by Age'!$C71,'Tabular Pop Data by Age'!L$7),'Population Data by Age'!$B$7:$B$10366,0),MATCH('Tabular Pop Data by Age'!$C$6,'Population Data by Age'!$B$6:$H$6,0))</f>
        <v>54000</v>
      </c>
      <c r="M71" s="78">
        <f>INDEX('Population Data by Age'!$B$7:$H$10366,MATCH(CONCATENATE('Tabular Pop Data by Age'!$C71,'Tabular Pop Data by Age'!M$7),'Population Data by Age'!$B$7:$B$10366,0),MATCH('Tabular Pop Data by Age'!$C$6,'Population Data by Age'!$B$6:$H$6,0))</f>
        <v>59000</v>
      </c>
      <c r="N71" s="78">
        <f>INDEX('Population Data by Age'!$B$7:$H$10366,MATCH(CONCATENATE('Tabular Pop Data by Age'!$C71,'Tabular Pop Data by Age'!N$7),'Population Data by Age'!$B$7:$B$10366,0),MATCH('Tabular Pop Data by Age'!$C$6,'Population Data by Age'!$B$6:$H$6,0))</f>
        <v>48000</v>
      </c>
      <c r="O71" s="78">
        <f>INDEX('Population Data by Age'!$B$7:$H$10366,MATCH(CONCATENATE('Tabular Pop Data by Age'!$C71,'Tabular Pop Data by Age'!O$7),'Population Data by Age'!$B$7:$B$10366,0),MATCH('Tabular Pop Data by Age'!$C$6,'Population Data by Age'!$B$6:$H$6,0))</f>
        <v>52000</v>
      </c>
      <c r="P71" s="78">
        <f>INDEX('Population Data by Age'!$B$7:$H$10366,MATCH(CONCATENATE('Tabular Pop Data by Age'!$C71,'Tabular Pop Data by Age'!P$7),'Population Data by Age'!$B$7:$B$10366,0),MATCH('Tabular Pop Data by Age'!$C$6,'Population Data by Age'!$B$6:$H$6,0))</f>
        <v>44000</v>
      </c>
      <c r="Q71" s="78">
        <f>INDEX('Population Data by Age'!$B$7:$H$10366,MATCH(CONCATENATE('Tabular Pop Data by Age'!$C71,'Tabular Pop Data by Age'!Q$7),'Population Data by Age'!$B$7:$B$10366,0),MATCH('Tabular Pop Data by Age'!$C$6,'Population Data by Age'!$B$6:$H$6,0))</f>
        <v>38000</v>
      </c>
      <c r="R71" s="78">
        <f>INDEX('Population Data by Age'!$B$7:$H$10366,MATCH(CONCATENATE('Tabular Pop Data by Age'!$C71,'Tabular Pop Data by Age'!R$7),'Population Data by Age'!$B$7:$B$10366,0),MATCH('Tabular Pop Data by Age'!$C$6,'Population Data by Age'!$B$6:$H$6,0))</f>
        <v>45000</v>
      </c>
      <c r="S71" s="78">
        <f>INDEX('Population Data by Age'!$B$7:$H$10366,MATCH(CONCATENATE('Tabular Pop Data by Age'!$C71,'Tabular Pop Data by Age'!S$7),'Population Data by Age'!$B$7:$B$10366,0),MATCH('Tabular Pop Data by Age'!$C$6,'Population Data by Age'!$B$6:$H$6,0))</f>
        <v>34000</v>
      </c>
      <c r="T71" s="78">
        <f>INDEX('Population Data by Age'!$B$7:$H$10366,MATCH(CONCATENATE('Tabular Pop Data by Age'!$C71,'Tabular Pop Data by Age'!T$7),'Population Data by Age'!$B$7:$B$10366,0),MATCH('Tabular Pop Data by Age'!$C$6,'Population Data by Age'!$B$6:$H$6,0))</f>
        <v>34000</v>
      </c>
      <c r="U71" s="78">
        <f>INDEX('Population Data by Age'!$B$7:$H$10366,MATCH(CONCATENATE('Tabular Pop Data by Age'!$C71,'Tabular Pop Data by Age'!U$7),'Population Data by Age'!$B$7:$B$10366,0),MATCH('Tabular Pop Data by Age'!$C$6,'Population Data by Age'!$B$6:$H$6,0))</f>
        <v>26000</v>
      </c>
      <c r="V71" s="78">
        <f>INDEX('Population Data by Age'!$B$7:$H$10366,MATCH(CONCATENATE('Tabular Pop Data by Age'!$C71,'Tabular Pop Data by Age'!V$7),'Population Data by Age'!$B$7:$B$10366,0),MATCH('Tabular Pop Data by Age'!$C$6,'Population Data by Age'!$B$6:$H$6,0))</f>
        <v>22000</v>
      </c>
      <c r="W71" s="78">
        <f>INDEX('Population Data by Age'!$B$7:$H$10366,MATCH(CONCATENATE('Tabular Pop Data by Age'!$C71,'Tabular Pop Data by Age'!W$7),'Population Data by Age'!$B$7:$B$10366,0),MATCH('Tabular Pop Data by Age'!$C$6,'Population Data by Age'!$B$6:$H$6,0))</f>
        <v>22000</v>
      </c>
      <c r="X71" s="78">
        <f>INDEX('Population Data by Age'!$B$7:$H$10366,MATCH(CONCATENATE('Tabular Pop Data by Age'!$C71,'Tabular Pop Data by Age'!X$7),'Population Data by Age'!$B$7:$B$10366,0),MATCH('Tabular Pop Data by Age'!$C$6,'Population Data by Age'!$B$6:$H$6,0))</f>
        <v>13000</v>
      </c>
      <c r="Y71" s="78">
        <f>INDEX('Population Data by Age'!$B$7:$H$10366,MATCH(CONCATENATE('Tabular Pop Data by Age'!$C71,'Tabular Pop Data by Age'!Y$7),'Population Data by Age'!$B$7:$B$10366,0),MATCH('Tabular Pop Data by Age'!$C$6,'Population Data by Age'!$B$6:$H$6,0))</f>
        <v>17000</v>
      </c>
      <c r="Z71" s="78">
        <f>INDEX('Population Data by Age'!$B$7:$H$10366,MATCH(CONCATENATE('Tabular Pop Data by Age'!$C71,'Tabular Pop Data by Age'!Z$7),'Population Data by Age'!$B$7:$B$10366,0),MATCH('Tabular Pop Data by Age'!$C$6,'Population Data by Age'!$B$6:$H$6,0))</f>
        <v>10000</v>
      </c>
      <c r="AA71" s="78">
        <f>INDEX('Population Data by Age'!$B$7:$H$10366,MATCH(CONCATENATE('Tabular Pop Data by Age'!$C71,'Tabular Pop Data by Age'!AA$7),'Population Data by Age'!$B$7:$B$10366,0),MATCH('Tabular Pop Data by Age'!$C$6,'Population Data by Age'!$B$6:$H$6,0))</f>
        <v>12000</v>
      </c>
      <c r="AB71" s="78">
        <f>INDEX('Population Data by Age'!$B$7:$H$10366,MATCH(CONCATENATE('Tabular Pop Data by Age'!$C71,'Tabular Pop Data by Age'!AB$7),'Population Data by Age'!$B$7:$B$10366,0),MATCH('Tabular Pop Data by Age'!$C$6,'Population Data by Age'!$B$6:$H$6,0))</f>
        <v>9700</v>
      </c>
      <c r="AC71" s="78">
        <f>INDEX('Population Data by Age'!$B$7:$H$10366,MATCH(CONCATENATE('Tabular Pop Data by Age'!$C71,'Tabular Pop Data by Age'!AC$7),'Population Data by Age'!$B$7:$B$10366,0),MATCH('Tabular Pop Data by Age'!$C$6,'Population Data by Age'!$B$6:$H$6,0))</f>
        <v>10000</v>
      </c>
      <c r="AD71" s="78">
        <f>INDEX('Population Data by Age'!$B$7:$H$10366,MATCH(CONCATENATE('Tabular Pop Data by Age'!$C71,'Tabular Pop Data by Age'!AD$7),'Population Data by Age'!$B$7:$B$10366,0),MATCH('Tabular Pop Data by Age'!$C$6,'Population Data by Age'!$B$6:$H$6,0))</f>
        <v>9500</v>
      </c>
      <c r="AE71" s="78">
        <f>INDEX('Population Data by Age'!$B$7:$H$10366,MATCH(CONCATENATE('Tabular Pop Data by Age'!$C71,'Tabular Pop Data by Age'!AE$7),'Population Data by Age'!$B$7:$B$10366,0),MATCH('Tabular Pop Data by Age'!$C$6,'Population Data by Age'!$B$6:$H$6,0))</f>
        <v>7400</v>
      </c>
      <c r="AF71" s="78">
        <f>INDEX('Population Data by Age'!$B$7:$H$10366,MATCH(CONCATENATE('Tabular Pop Data by Age'!$C71,'Tabular Pop Data by Age'!AF$7),'Population Data by Age'!$B$7:$B$10366,0),MATCH('Tabular Pop Data by Age'!$C$6,'Population Data by Age'!$B$6:$H$6,0))</f>
        <v>8500</v>
      </c>
      <c r="AG71" s="78">
        <f>INDEX('Population Data by Age'!$B$7:$H$10366,MATCH(CONCATENATE('Tabular Pop Data by Age'!$C71,'Tabular Pop Data by Age'!AG$7),'Population Data by Age'!$B$7:$B$10366,0),MATCH('Tabular Pop Data by Age'!$C$6,'Population Data by Age'!$B$6:$H$6,0))</f>
        <v>5100</v>
      </c>
      <c r="AH71" s="78">
        <f>INDEX('Population Data by Age'!$B$7:$H$10366,MATCH(CONCATENATE('Tabular Pop Data by Age'!$C71,'Tabular Pop Data by Age'!AH$7),'Population Data by Age'!$B$7:$B$10366,0),MATCH('Tabular Pop Data by Age'!$C$6,'Population Data by Age'!$B$6:$H$6,0))</f>
        <v>6100</v>
      </c>
      <c r="AI71" s="78">
        <f>INDEX('Population Data by Age'!$B$7:$H$10366,MATCH(CONCATENATE('Tabular Pop Data by Age'!$C71,'Tabular Pop Data by Age'!AI$7),'Population Data by Age'!$B$7:$B$10366,0),MATCH('Tabular Pop Data by Age'!$C$6,'Population Data by Age'!$B$6:$H$6,0))</f>
        <v>2900</v>
      </c>
      <c r="AJ71" s="78">
        <f>INDEX('Population Data by Age'!$B$7:$H$10366,MATCH(CONCATENATE('Tabular Pop Data by Age'!$C71,'Tabular Pop Data by Age'!AJ$7),'Population Data by Age'!$B$7:$B$10366,0),MATCH('Tabular Pop Data by Age'!$C$6,'Population Data by Age'!$B$6:$H$6,0))</f>
        <v>5600</v>
      </c>
      <c r="AK71" s="78">
        <f>INDEX('Population Data by Age'!$B$7:$H$10366,MATCH(CONCATENATE('Tabular Pop Data by Age'!$C71,'Tabular Pop Data by Age'!AK$7),'Population Data by Age'!$B$7:$B$10366,0),MATCH('Tabular Pop Data by Age'!$C$6,'Population Data by Age'!$B$6:$H$6,0))</f>
        <v>1500</v>
      </c>
      <c r="AL71" s="78">
        <f>INDEX('Population Data by Age'!$B$7:$H$10366,MATCH(CONCATENATE('Tabular Pop Data by Age'!$C71,'Tabular Pop Data by Age'!AL$7),'Population Data by Age'!$B$7:$B$10366,0),MATCH('Tabular Pop Data by Age'!$C$6,'Population Data by Age'!$B$6:$H$6,0))</f>
        <v>590000</v>
      </c>
      <c r="AM71" s="78">
        <f>INDEX('Population Data by Age'!$B$7:$H$10366,MATCH(CONCATENATE('Tabular Pop Data by Age'!$C71,'Tabular Pop Data by Age'!AM$7),'Population Data by Age'!$B$7:$B$10366,0),MATCH('Tabular Pop Data by Age'!$C$6,'Population Data by Age'!$B$6:$H$6,0))</f>
        <v>570000</v>
      </c>
      <c r="AN71" s="78">
        <f>INDEX('Population Data by Age'!$B$7:$H$10366,MATCH(CONCATENATE('Tabular Pop Data by Age'!$C71,'Tabular Pop Data by Age'!AN$7),'Population Data by Age'!$B$7:$B$10366,0),MATCH('Tabular Pop Data by Age'!$C$6,'Population Data by Age'!$B$6:$H$6,0))</f>
        <v>1160000</v>
      </c>
      <c r="AO71" s="78">
        <f>INDEX('Population Data by Age'!$B$7:$H$10366,MATCH(CONCATENATE('Tabular Pop Data by Age'!$C71,'Tabular Pop Data by Age'!AO$7),'Population Data by Age'!$B$7:$B$10366,0),MATCH('Tabular Pop Data by Age'!$C$6,'Population Data by Age'!$B$6:$H$6,0))</f>
        <v>0</v>
      </c>
      <c r="AP71" s="79">
        <f t="shared" si="17"/>
        <v>144000</v>
      </c>
      <c r="AQ71" s="79">
        <f t="shared" si="18"/>
        <v>143000</v>
      </c>
      <c r="AR71" s="79">
        <f t="shared" si="19"/>
        <v>148000</v>
      </c>
      <c r="AS71" s="79">
        <f t="shared" si="20"/>
        <v>129000</v>
      </c>
      <c r="AT71" s="79">
        <f t="shared" si="21"/>
        <v>113000</v>
      </c>
      <c r="AU71" s="79">
        <f t="shared" si="22"/>
        <v>100000</v>
      </c>
      <c r="AV71" s="79">
        <f t="shared" si="23"/>
        <v>82000</v>
      </c>
      <c r="AW71" s="79">
        <f t="shared" si="24"/>
        <v>79000</v>
      </c>
      <c r="AX71" s="79">
        <f t="shared" si="25"/>
        <v>60000</v>
      </c>
      <c r="AY71" s="79">
        <f t="shared" si="26"/>
        <v>44000</v>
      </c>
      <c r="AZ71" s="79">
        <f t="shared" si="27"/>
        <v>30000</v>
      </c>
      <c r="BA71" s="79">
        <f t="shared" si="28"/>
        <v>22000</v>
      </c>
      <c r="BB71" s="79">
        <f t="shared" si="29"/>
        <v>19700</v>
      </c>
      <c r="BC71" s="79">
        <f t="shared" si="30"/>
        <v>16900</v>
      </c>
      <c r="BD71" s="79">
        <f t="shared" si="31"/>
        <v>13600</v>
      </c>
      <c r="BE71" s="79">
        <f t="shared" si="32"/>
        <v>9000</v>
      </c>
      <c r="BF71" s="79">
        <f t="shared" si="33"/>
        <v>7100</v>
      </c>
    </row>
    <row r="72" spans="1:58" x14ac:dyDescent="0.25">
      <c r="A72" s="138" t="s">
        <v>1195</v>
      </c>
      <c r="B72" t="s">
        <v>194</v>
      </c>
      <c r="C72" t="s">
        <v>42</v>
      </c>
      <c r="D72" s="78">
        <f>INDEX('Population Data by Age'!$B$7:$H$10366,MATCH(CONCATENATE('Tabular Pop Data by Age'!$C72,'Tabular Pop Data by Age'!D$7),'Population Data by Age'!$B$7:$B$10366,0),MATCH('Tabular Pop Data by Age'!$C$6,'Population Data by Age'!$B$6:$H$6,0))</f>
        <v>8271000</v>
      </c>
      <c r="E72" s="78">
        <f>INDEX('Population Data by Age'!$B$7:$H$10366,MATCH(CONCATENATE('Tabular Pop Data by Age'!$C72,'Tabular Pop Data by Age'!E$7),'Population Data by Age'!$B$7:$B$10366,0),MATCH('Tabular Pop Data by Age'!$C$6,'Population Data by Age'!$B$6:$H$6,0))</f>
        <v>8520000</v>
      </c>
      <c r="F72" s="78">
        <f>INDEX('Population Data by Age'!$B$7:$H$10366,MATCH(CONCATENATE('Tabular Pop Data by Age'!$C72,'Tabular Pop Data by Age'!F$7),'Population Data by Age'!$B$7:$B$10366,0),MATCH('Tabular Pop Data by Age'!$C$6,'Population Data by Age'!$B$6:$H$6,0))</f>
        <v>7526000</v>
      </c>
      <c r="G72" s="78">
        <f>INDEX('Population Data by Age'!$B$7:$H$10366,MATCH(CONCATENATE('Tabular Pop Data by Age'!$C72,'Tabular Pop Data by Age'!G$7),'Population Data by Age'!$B$7:$B$10366,0),MATCH('Tabular Pop Data by Age'!$C$6,'Population Data by Age'!$B$6:$H$6,0))</f>
        <v>7721000</v>
      </c>
      <c r="H72" s="78">
        <f>INDEX('Population Data by Age'!$B$7:$H$10366,MATCH(CONCATENATE('Tabular Pop Data by Age'!$C72,'Tabular Pop Data by Age'!H$7),'Population Data by Age'!$B$7:$B$10366,0),MATCH('Tabular Pop Data by Age'!$C$6,'Population Data by Age'!$B$6:$H$6,0))</f>
        <v>6854000</v>
      </c>
      <c r="I72" s="78">
        <f>INDEX('Population Data by Age'!$B$7:$H$10366,MATCH(CONCATENATE('Tabular Pop Data by Age'!$C72,'Tabular Pop Data by Age'!I$7),'Population Data by Age'!$B$7:$B$10366,0),MATCH('Tabular Pop Data by Age'!$C$6,'Population Data by Age'!$B$6:$H$6,0))</f>
        <v>6999000</v>
      </c>
      <c r="J72" s="78">
        <f>INDEX('Population Data by Age'!$B$7:$H$10366,MATCH(CONCATENATE('Tabular Pop Data by Age'!$C72,'Tabular Pop Data by Age'!J$7),'Population Data by Age'!$B$7:$B$10366,0),MATCH('Tabular Pop Data by Age'!$C$6,'Population Data by Age'!$B$6:$H$6,0))</f>
        <v>6433000</v>
      </c>
      <c r="K72" s="78">
        <f>INDEX('Population Data by Age'!$B$7:$H$10366,MATCH(CONCATENATE('Tabular Pop Data by Age'!$C72,'Tabular Pop Data by Age'!K$7),'Population Data by Age'!$B$7:$B$10366,0),MATCH('Tabular Pop Data by Age'!$C$6,'Population Data by Age'!$B$6:$H$6,0))</f>
        <v>6543000</v>
      </c>
      <c r="L72" s="78">
        <f>INDEX('Population Data by Age'!$B$7:$H$10366,MATCH(CONCATENATE('Tabular Pop Data by Age'!$C72,'Tabular Pop Data by Age'!L$7),'Population Data by Age'!$B$7:$B$10366,0),MATCH('Tabular Pop Data by Age'!$C$6,'Population Data by Age'!$B$6:$H$6,0))</f>
        <v>5816000</v>
      </c>
      <c r="M72" s="78">
        <f>INDEX('Population Data by Age'!$B$7:$H$10366,MATCH(CONCATENATE('Tabular Pop Data by Age'!$C72,'Tabular Pop Data by Age'!M$7),'Population Data by Age'!$B$7:$B$10366,0),MATCH('Tabular Pop Data by Age'!$C$6,'Population Data by Age'!$B$6:$H$6,0))</f>
        <v>5931000</v>
      </c>
      <c r="N72" s="78">
        <f>INDEX('Population Data by Age'!$B$7:$H$10366,MATCH(CONCATENATE('Tabular Pop Data by Age'!$C72,'Tabular Pop Data by Age'!N$7),'Population Data by Age'!$B$7:$B$10366,0),MATCH('Tabular Pop Data by Age'!$C$6,'Population Data by Age'!$B$6:$H$6,0))</f>
        <v>4802000</v>
      </c>
      <c r="O72" s="78">
        <f>INDEX('Population Data by Age'!$B$7:$H$10366,MATCH(CONCATENATE('Tabular Pop Data by Age'!$C72,'Tabular Pop Data by Age'!O$7),'Population Data by Age'!$B$7:$B$10366,0),MATCH('Tabular Pop Data by Age'!$C$6,'Population Data by Age'!$B$6:$H$6,0))</f>
        <v>4890000</v>
      </c>
      <c r="P72" s="78">
        <f>INDEX('Population Data by Age'!$B$7:$H$10366,MATCH(CONCATENATE('Tabular Pop Data by Age'!$C72,'Tabular Pop Data by Age'!P$7),'Population Data by Age'!$B$7:$B$10366,0),MATCH('Tabular Pop Data by Age'!$C$6,'Population Data by Age'!$B$6:$H$6,0))</f>
        <v>3758000</v>
      </c>
      <c r="Q72" s="78">
        <f>INDEX('Population Data by Age'!$B$7:$H$10366,MATCH(CONCATENATE('Tabular Pop Data by Age'!$C72,'Tabular Pop Data by Age'!Q$7),'Population Data by Age'!$B$7:$B$10366,0),MATCH('Tabular Pop Data by Age'!$C$6,'Population Data by Age'!$B$6:$H$6,0))</f>
        <v>3761000</v>
      </c>
      <c r="R72" s="78">
        <f>INDEX('Population Data by Age'!$B$7:$H$10366,MATCH(CONCATENATE('Tabular Pop Data by Age'!$C72,'Tabular Pop Data by Age'!R$7),'Population Data by Age'!$B$7:$B$10366,0),MATCH('Tabular Pop Data by Age'!$C$6,'Population Data by Age'!$B$6:$H$6,0))</f>
        <v>3183000</v>
      </c>
      <c r="S72" s="78">
        <f>INDEX('Population Data by Age'!$B$7:$H$10366,MATCH(CONCATENATE('Tabular Pop Data by Age'!$C72,'Tabular Pop Data by Age'!S$7),'Population Data by Age'!$B$7:$B$10366,0),MATCH('Tabular Pop Data by Age'!$C$6,'Population Data by Age'!$B$6:$H$6,0))</f>
        <v>3091000</v>
      </c>
      <c r="T72" s="78">
        <f>INDEX('Population Data by Age'!$B$7:$H$10366,MATCH(CONCATENATE('Tabular Pop Data by Age'!$C72,'Tabular Pop Data by Age'!T$7),'Population Data by Age'!$B$7:$B$10366,0),MATCH('Tabular Pop Data by Age'!$C$6,'Population Data by Age'!$B$6:$H$6,0))</f>
        <v>2488000</v>
      </c>
      <c r="U72" s="78">
        <f>INDEX('Population Data by Age'!$B$7:$H$10366,MATCH(CONCATENATE('Tabular Pop Data by Age'!$C72,'Tabular Pop Data by Age'!U$7),'Population Data by Age'!$B$7:$B$10366,0),MATCH('Tabular Pop Data by Age'!$C$6,'Population Data by Age'!$B$6:$H$6,0))</f>
        <v>2446000</v>
      </c>
      <c r="V72" s="78">
        <f>INDEX('Population Data by Age'!$B$7:$H$10366,MATCH(CONCATENATE('Tabular Pop Data by Age'!$C72,'Tabular Pop Data by Age'!V$7),'Population Data by Age'!$B$7:$B$10366,0),MATCH('Tabular Pop Data by Age'!$C$6,'Population Data by Age'!$B$6:$H$6,0))</f>
        <v>2033000</v>
      </c>
      <c r="W72" s="78">
        <f>INDEX('Population Data by Age'!$B$7:$H$10366,MATCH(CONCATENATE('Tabular Pop Data by Age'!$C72,'Tabular Pop Data by Age'!W$7),'Population Data by Age'!$B$7:$B$10366,0),MATCH('Tabular Pop Data by Age'!$C$6,'Population Data by Age'!$B$6:$H$6,0))</f>
        <v>2071000</v>
      </c>
      <c r="X72" s="78">
        <f>INDEX('Population Data by Age'!$B$7:$H$10366,MATCH(CONCATENATE('Tabular Pop Data by Age'!$C72,'Tabular Pop Data by Age'!X$7),'Population Data by Age'!$B$7:$B$10366,0),MATCH('Tabular Pop Data by Age'!$C$6,'Population Data by Age'!$B$6:$H$6,0))</f>
        <v>1661000</v>
      </c>
      <c r="Y72" s="78">
        <f>INDEX('Population Data by Age'!$B$7:$H$10366,MATCH(CONCATENATE('Tabular Pop Data by Age'!$C72,'Tabular Pop Data by Age'!Y$7),'Population Data by Age'!$B$7:$B$10366,0),MATCH('Tabular Pop Data by Age'!$C$6,'Population Data by Age'!$B$6:$H$6,0))</f>
        <v>1568000</v>
      </c>
      <c r="Z72" s="78">
        <f>INDEX('Population Data by Age'!$B$7:$H$10366,MATCH(CONCATENATE('Tabular Pop Data by Age'!$C72,'Tabular Pop Data by Age'!Z$7),'Population Data by Age'!$B$7:$B$10366,0),MATCH('Tabular Pop Data by Age'!$C$6,'Population Data by Age'!$B$6:$H$6,0))</f>
        <v>1316000</v>
      </c>
      <c r="AA72" s="78">
        <f>INDEX('Population Data by Age'!$B$7:$H$10366,MATCH(CONCATENATE('Tabular Pop Data by Age'!$C72,'Tabular Pop Data by Age'!AA$7),'Population Data by Age'!$B$7:$B$10366,0),MATCH('Tabular Pop Data by Age'!$C$6,'Population Data by Age'!$B$6:$H$6,0))</f>
        <v>1159000</v>
      </c>
      <c r="AB72" s="78">
        <f>INDEX('Population Data by Age'!$B$7:$H$10366,MATCH(CONCATENATE('Tabular Pop Data by Age'!$C72,'Tabular Pop Data by Age'!AB$7),'Population Data by Age'!$B$7:$B$10366,0),MATCH('Tabular Pop Data by Age'!$C$6,'Population Data by Age'!$B$6:$H$6,0))</f>
        <v>1110000</v>
      </c>
      <c r="AC72" s="78">
        <f>INDEX('Population Data by Age'!$B$7:$H$10366,MATCH(CONCATENATE('Tabular Pop Data by Age'!$C72,'Tabular Pop Data by Age'!AC$7),'Population Data by Age'!$B$7:$B$10366,0),MATCH('Tabular Pop Data by Age'!$C$6,'Population Data by Age'!$B$6:$H$6,0))</f>
        <v>947000</v>
      </c>
      <c r="AD72" s="78">
        <f>INDEX('Population Data by Age'!$B$7:$H$10366,MATCH(CONCATENATE('Tabular Pop Data by Age'!$C72,'Tabular Pop Data by Age'!AD$7),'Population Data by Age'!$B$7:$B$10366,0),MATCH('Tabular Pop Data by Age'!$C$6,'Population Data by Age'!$B$6:$H$6,0))</f>
        <v>833000</v>
      </c>
      <c r="AE72" s="78">
        <f>INDEX('Population Data by Age'!$B$7:$H$10366,MATCH(CONCATENATE('Tabular Pop Data by Age'!$C72,'Tabular Pop Data by Age'!AE$7),'Population Data by Age'!$B$7:$B$10366,0),MATCH('Tabular Pop Data by Age'!$C$6,'Population Data by Age'!$B$6:$H$6,0))</f>
        <v>736000</v>
      </c>
      <c r="AF72" s="78">
        <f>INDEX('Population Data by Age'!$B$7:$H$10366,MATCH(CONCATENATE('Tabular Pop Data by Age'!$C72,'Tabular Pop Data by Age'!AF$7),'Population Data by Age'!$B$7:$B$10366,0),MATCH('Tabular Pop Data by Age'!$C$6,'Population Data by Age'!$B$6:$H$6,0))</f>
        <v>649000</v>
      </c>
      <c r="AG72" s="78">
        <f>INDEX('Population Data by Age'!$B$7:$H$10366,MATCH(CONCATENATE('Tabular Pop Data by Age'!$C72,'Tabular Pop Data by Age'!AG$7),'Population Data by Age'!$B$7:$B$10366,0),MATCH('Tabular Pop Data by Age'!$C$6,'Population Data by Age'!$B$6:$H$6,0))</f>
        <v>540000</v>
      </c>
      <c r="AH72" s="78">
        <f>INDEX('Population Data by Age'!$B$7:$H$10366,MATCH(CONCATENATE('Tabular Pop Data by Age'!$C72,'Tabular Pop Data by Age'!AH$7),'Population Data by Age'!$B$7:$B$10366,0),MATCH('Tabular Pop Data by Age'!$C$6,'Population Data by Age'!$B$6:$H$6,0))</f>
        <v>401000</v>
      </c>
      <c r="AI72" s="78">
        <f>INDEX('Population Data by Age'!$B$7:$H$10366,MATCH(CONCATENATE('Tabular Pop Data by Age'!$C72,'Tabular Pop Data by Age'!AI$7),'Population Data by Age'!$B$7:$B$10366,0),MATCH('Tabular Pop Data by Age'!$C$6,'Population Data by Age'!$B$6:$H$6,0))</f>
        <v>340000</v>
      </c>
      <c r="AJ72" s="78">
        <f>INDEX('Population Data by Age'!$B$7:$H$10366,MATCH(CONCATENATE('Tabular Pop Data by Age'!$C72,'Tabular Pop Data by Age'!AJ$7),'Population Data by Age'!$B$7:$B$10366,0),MATCH('Tabular Pop Data by Age'!$C$6,'Population Data by Age'!$B$6:$H$6,0))</f>
        <v>314000</v>
      </c>
      <c r="AK72" s="78">
        <f>INDEX('Population Data by Age'!$B$7:$H$10366,MATCH(CONCATENATE('Tabular Pop Data by Age'!$C72,'Tabular Pop Data by Age'!AK$7),'Population Data by Age'!$B$7:$B$10366,0),MATCH('Tabular Pop Data by Age'!$C$6,'Population Data by Age'!$B$6:$H$6,0))</f>
        <v>255000</v>
      </c>
      <c r="AL72" s="78">
        <f>INDEX('Population Data by Age'!$B$7:$H$10366,MATCH(CONCATENATE('Tabular Pop Data by Age'!$C72,'Tabular Pop Data by Age'!AL$7),'Population Data by Age'!$B$7:$B$10366,0),MATCH('Tabular Pop Data by Age'!$C$6,'Population Data by Age'!$B$6:$H$6,0))</f>
        <v>57447000</v>
      </c>
      <c r="AM72" s="78">
        <f>INDEX('Population Data by Age'!$B$7:$H$10366,MATCH(CONCATENATE('Tabular Pop Data by Age'!$C72,'Tabular Pop Data by Age'!AM$7),'Population Data by Age'!$B$7:$B$10366,0),MATCH('Tabular Pop Data by Age'!$C$6,'Population Data by Age'!$B$6:$H$6,0))</f>
        <v>57517000</v>
      </c>
      <c r="AN72" s="78">
        <f>INDEX('Population Data by Age'!$B$7:$H$10366,MATCH(CONCATENATE('Tabular Pop Data by Age'!$C72,'Tabular Pop Data by Age'!AN$7),'Population Data by Age'!$B$7:$B$10366,0),MATCH('Tabular Pop Data by Age'!$C$6,'Population Data by Age'!$B$6:$H$6,0))</f>
        <v>114964000</v>
      </c>
      <c r="AO72" s="78">
        <f>INDEX('Population Data by Age'!$B$7:$H$10366,MATCH(CONCATENATE('Tabular Pop Data by Age'!$C72,'Tabular Pop Data by Age'!AO$7),'Population Data by Age'!$B$7:$B$10366,0),MATCH('Tabular Pop Data by Age'!$C$6,'Population Data by Age'!$B$6:$H$6,0))</f>
        <v>0</v>
      </c>
      <c r="AP72" s="79">
        <f t="shared" si="17"/>
        <v>16791000</v>
      </c>
      <c r="AQ72" s="79">
        <f t="shared" si="18"/>
        <v>15247000</v>
      </c>
      <c r="AR72" s="79">
        <f t="shared" si="19"/>
        <v>13853000</v>
      </c>
      <c r="AS72" s="79">
        <f t="shared" si="20"/>
        <v>12976000</v>
      </c>
      <c r="AT72" s="79">
        <f t="shared" si="21"/>
        <v>11747000</v>
      </c>
      <c r="AU72" s="79">
        <f t="shared" si="22"/>
        <v>9692000</v>
      </c>
      <c r="AV72" s="79">
        <f t="shared" si="23"/>
        <v>7519000</v>
      </c>
      <c r="AW72" s="79">
        <f t="shared" si="24"/>
        <v>6274000</v>
      </c>
      <c r="AX72" s="79">
        <f t="shared" si="25"/>
        <v>4934000</v>
      </c>
      <c r="AY72" s="79">
        <f t="shared" si="26"/>
        <v>4104000</v>
      </c>
      <c r="AZ72" s="79">
        <f t="shared" si="27"/>
        <v>3229000</v>
      </c>
      <c r="BA72" s="79">
        <f t="shared" si="28"/>
        <v>2475000</v>
      </c>
      <c r="BB72" s="79">
        <f t="shared" si="29"/>
        <v>2057000</v>
      </c>
      <c r="BC72" s="79">
        <f t="shared" si="30"/>
        <v>1569000</v>
      </c>
      <c r="BD72" s="79">
        <f t="shared" si="31"/>
        <v>1189000</v>
      </c>
      <c r="BE72" s="79">
        <f t="shared" si="32"/>
        <v>741000</v>
      </c>
      <c r="BF72" s="79">
        <f t="shared" si="33"/>
        <v>569000</v>
      </c>
    </row>
    <row r="73" spans="1:58" x14ac:dyDescent="0.25">
      <c r="A73" s="138" t="s">
        <v>1195</v>
      </c>
      <c r="B73" t="s">
        <v>497</v>
      </c>
      <c r="C73" t="s">
        <v>498</v>
      </c>
      <c r="D73" s="78">
        <f>INDEX('Population Data by Age'!$B$7:$H$10366,MATCH(CONCATENATE('Tabular Pop Data by Age'!$C73,'Tabular Pop Data by Age'!D$7),'Population Data by Age'!$B$7:$B$10366,0),MATCH('Tabular Pop Data by Age'!$C$6,'Population Data by Age'!$B$6:$H$6,0))</f>
        <v>0</v>
      </c>
      <c r="E73" s="78">
        <f>INDEX('Population Data by Age'!$B$7:$H$10366,MATCH(CONCATENATE('Tabular Pop Data by Age'!$C73,'Tabular Pop Data by Age'!E$7),'Population Data by Age'!$B$7:$B$10366,0),MATCH('Tabular Pop Data by Age'!$C$6,'Population Data by Age'!$B$6:$H$6,0))</f>
        <v>0</v>
      </c>
      <c r="F73" s="78">
        <f>INDEX('Population Data by Age'!$B$7:$H$10366,MATCH(CONCATENATE('Tabular Pop Data by Age'!$C73,'Tabular Pop Data by Age'!F$7),'Population Data by Age'!$B$7:$B$10366,0),MATCH('Tabular Pop Data by Age'!$C$6,'Population Data by Age'!$B$6:$H$6,0))</f>
        <v>0</v>
      </c>
      <c r="G73" s="78">
        <f>INDEX('Population Data by Age'!$B$7:$H$10366,MATCH(CONCATENATE('Tabular Pop Data by Age'!$C73,'Tabular Pop Data by Age'!G$7),'Population Data by Age'!$B$7:$B$10366,0),MATCH('Tabular Pop Data by Age'!$C$6,'Population Data by Age'!$B$6:$H$6,0))</f>
        <v>0</v>
      </c>
      <c r="H73" s="78">
        <f>INDEX('Population Data by Age'!$B$7:$H$10366,MATCH(CONCATENATE('Tabular Pop Data by Age'!$C73,'Tabular Pop Data by Age'!H$7),'Population Data by Age'!$B$7:$B$10366,0),MATCH('Tabular Pop Data by Age'!$C$6,'Population Data by Age'!$B$6:$H$6,0))</f>
        <v>0</v>
      </c>
      <c r="I73" s="78">
        <f>INDEX('Population Data by Age'!$B$7:$H$10366,MATCH(CONCATENATE('Tabular Pop Data by Age'!$C73,'Tabular Pop Data by Age'!I$7),'Population Data by Age'!$B$7:$B$10366,0),MATCH('Tabular Pop Data by Age'!$C$6,'Population Data by Age'!$B$6:$H$6,0))</f>
        <v>0</v>
      </c>
      <c r="J73" s="78">
        <f>INDEX('Population Data by Age'!$B$7:$H$10366,MATCH(CONCATENATE('Tabular Pop Data by Age'!$C73,'Tabular Pop Data by Age'!J$7),'Population Data by Age'!$B$7:$B$10366,0),MATCH('Tabular Pop Data by Age'!$C$6,'Population Data by Age'!$B$6:$H$6,0))</f>
        <v>0</v>
      </c>
      <c r="K73" s="78">
        <f>INDEX('Population Data by Age'!$B$7:$H$10366,MATCH(CONCATENATE('Tabular Pop Data by Age'!$C73,'Tabular Pop Data by Age'!K$7),'Population Data by Age'!$B$7:$B$10366,0),MATCH('Tabular Pop Data by Age'!$C$6,'Population Data by Age'!$B$6:$H$6,0))</f>
        <v>0</v>
      </c>
      <c r="L73" s="78">
        <f>INDEX('Population Data by Age'!$B$7:$H$10366,MATCH(CONCATENATE('Tabular Pop Data by Age'!$C73,'Tabular Pop Data by Age'!L$7),'Population Data by Age'!$B$7:$B$10366,0),MATCH('Tabular Pop Data by Age'!$C$6,'Population Data by Age'!$B$6:$H$6,0))</f>
        <v>0</v>
      </c>
      <c r="M73" s="78">
        <f>INDEX('Population Data by Age'!$B$7:$H$10366,MATCH(CONCATENATE('Tabular Pop Data by Age'!$C73,'Tabular Pop Data by Age'!M$7),'Population Data by Age'!$B$7:$B$10366,0),MATCH('Tabular Pop Data by Age'!$C$6,'Population Data by Age'!$B$6:$H$6,0))</f>
        <v>0</v>
      </c>
      <c r="N73" s="78">
        <f>INDEX('Population Data by Age'!$B$7:$H$10366,MATCH(CONCATENATE('Tabular Pop Data by Age'!$C73,'Tabular Pop Data by Age'!N$7),'Population Data by Age'!$B$7:$B$10366,0),MATCH('Tabular Pop Data by Age'!$C$6,'Population Data by Age'!$B$6:$H$6,0))</f>
        <v>0</v>
      </c>
      <c r="O73" s="78">
        <f>INDEX('Population Data by Age'!$B$7:$H$10366,MATCH(CONCATENATE('Tabular Pop Data by Age'!$C73,'Tabular Pop Data by Age'!O$7),'Population Data by Age'!$B$7:$B$10366,0),MATCH('Tabular Pop Data by Age'!$C$6,'Population Data by Age'!$B$6:$H$6,0))</f>
        <v>0</v>
      </c>
      <c r="P73" s="78">
        <f>INDEX('Population Data by Age'!$B$7:$H$10366,MATCH(CONCATENATE('Tabular Pop Data by Age'!$C73,'Tabular Pop Data by Age'!P$7),'Population Data by Age'!$B$7:$B$10366,0),MATCH('Tabular Pop Data by Age'!$C$6,'Population Data by Age'!$B$6:$H$6,0))</f>
        <v>0</v>
      </c>
      <c r="Q73" s="78">
        <f>INDEX('Population Data by Age'!$B$7:$H$10366,MATCH(CONCATENATE('Tabular Pop Data by Age'!$C73,'Tabular Pop Data by Age'!Q$7),'Population Data by Age'!$B$7:$B$10366,0),MATCH('Tabular Pop Data by Age'!$C$6,'Population Data by Age'!$B$6:$H$6,0))</f>
        <v>0</v>
      </c>
      <c r="R73" s="78">
        <f>INDEX('Population Data by Age'!$B$7:$H$10366,MATCH(CONCATENATE('Tabular Pop Data by Age'!$C73,'Tabular Pop Data by Age'!R$7),'Population Data by Age'!$B$7:$B$10366,0),MATCH('Tabular Pop Data by Age'!$C$6,'Population Data by Age'!$B$6:$H$6,0))</f>
        <v>0</v>
      </c>
      <c r="S73" s="78">
        <f>INDEX('Population Data by Age'!$B$7:$H$10366,MATCH(CONCATENATE('Tabular Pop Data by Age'!$C73,'Tabular Pop Data by Age'!S$7),'Population Data by Age'!$B$7:$B$10366,0),MATCH('Tabular Pop Data by Age'!$C$6,'Population Data by Age'!$B$6:$H$6,0))</f>
        <v>0</v>
      </c>
      <c r="T73" s="78">
        <f>INDEX('Population Data by Age'!$B$7:$H$10366,MATCH(CONCATENATE('Tabular Pop Data by Age'!$C73,'Tabular Pop Data by Age'!T$7),'Population Data by Age'!$B$7:$B$10366,0),MATCH('Tabular Pop Data by Age'!$C$6,'Population Data by Age'!$B$6:$H$6,0))</f>
        <v>0</v>
      </c>
      <c r="U73" s="78">
        <f>INDEX('Population Data by Age'!$B$7:$H$10366,MATCH(CONCATENATE('Tabular Pop Data by Age'!$C73,'Tabular Pop Data by Age'!U$7),'Population Data by Age'!$B$7:$B$10366,0),MATCH('Tabular Pop Data by Age'!$C$6,'Population Data by Age'!$B$6:$H$6,0))</f>
        <v>0</v>
      </c>
      <c r="V73" s="78">
        <f>INDEX('Population Data by Age'!$B$7:$H$10366,MATCH(CONCATENATE('Tabular Pop Data by Age'!$C73,'Tabular Pop Data by Age'!V$7),'Population Data by Age'!$B$7:$B$10366,0),MATCH('Tabular Pop Data by Age'!$C$6,'Population Data by Age'!$B$6:$H$6,0))</f>
        <v>0</v>
      </c>
      <c r="W73" s="78">
        <f>INDEX('Population Data by Age'!$B$7:$H$10366,MATCH(CONCATENATE('Tabular Pop Data by Age'!$C73,'Tabular Pop Data by Age'!W$7),'Population Data by Age'!$B$7:$B$10366,0),MATCH('Tabular Pop Data by Age'!$C$6,'Population Data by Age'!$B$6:$H$6,0))</f>
        <v>0</v>
      </c>
      <c r="X73" s="78">
        <f>INDEX('Population Data by Age'!$B$7:$H$10366,MATCH(CONCATENATE('Tabular Pop Data by Age'!$C73,'Tabular Pop Data by Age'!X$7),'Population Data by Age'!$B$7:$B$10366,0),MATCH('Tabular Pop Data by Age'!$C$6,'Population Data by Age'!$B$6:$H$6,0))</f>
        <v>0</v>
      </c>
      <c r="Y73" s="78">
        <f>INDEX('Population Data by Age'!$B$7:$H$10366,MATCH(CONCATENATE('Tabular Pop Data by Age'!$C73,'Tabular Pop Data by Age'!Y$7),'Population Data by Age'!$B$7:$B$10366,0),MATCH('Tabular Pop Data by Age'!$C$6,'Population Data by Age'!$B$6:$H$6,0))</f>
        <v>0</v>
      </c>
      <c r="Z73" s="78">
        <f>INDEX('Population Data by Age'!$B$7:$H$10366,MATCH(CONCATENATE('Tabular Pop Data by Age'!$C73,'Tabular Pop Data by Age'!Z$7),'Population Data by Age'!$B$7:$B$10366,0),MATCH('Tabular Pop Data by Age'!$C$6,'Population Data by Age'!$B$6:$H$6,0))</f>
        <v>0</v>
      </c>
      <c r="AA73" s="78">
        <f>INDEX('Population Data by Age'!$B$7:$H$10366,MATCH(CONCATENATE('Tabular Pop Data by Age'!$C73,'Tabular Pop Data by Age'!AA$7),'Population Data by Age'!$B$7:$B$10366,0),MATCH('Tabular Pop Data by Age'!$C$6,'Population Data by Age'!$B$6:$H$6,0))</f>
        <v>0</v>
      </c>
      <c r="AB73" s="78">
        <f>INDEX('Population Data by Age'!$B$7:$H$10366,MATCH(CONCATENATE('Tabular Pop Data by Age'!$C73,'Tabular Pop Data by Age'!AB$7),'Population Data by Age'!$B$7:$B$10366,0),MATCH('Tabular Pop Data by Age'!$C$6,'Population Data by Age'!$B$6:$H$6,0))</f>
        <v>0</v>
      </c>
      <c r="AC73" s="78">
        <f>INDEX('Population Data by Age'!$B$7:$H$10366,MATCH(CONCATENATE('Tabular Pop Data by Age'!$C73,'Tabular Pop Data by Age'!AC$7),'Population Data by Age'!$B$7:$B$10366,0),MATCH('Tabular Pop Data by Age'!$C$6,'Population Data by Age'!$B$6:$H$6,0))</f>
        <v>0</v>
      </c>
      <c r="AD73" s="78">
        <f>INDEX('Population Data by Age'!$B$7:$H$10366,MATCH(CONCATENATE('Tabular Pop Data by Age'!$C73,'Tabular Pop Data by Age'!AD$7),'Population Data by Age'!$B$7:$B$10366,0),MATCH('Tabular Pop Data by Age'!$C$6,'Population Data by Age'!$B$6:$H$6,0))</f>
        <v>0</v>
      </c>
      <c r="AE73" s="78">
        <f>INDEX('Population Data by Age'!$B$7:$H$10366,MATCH(CONCATENATE('Tabular Pop Data by Age'!$C73,'Tabular Pop Data by Age'!AE$7),'Population Data by Age'!$B$7:$B$10366,0),MATCH('Tabular Pop Data by Age'!$C$6,'Population Data by Age'!$B$6:$H$6,0))</f>
        <v>0</v>
      </c>
      <c r="AF73" s="78">
        <f>INDEX('Population Data by Age'!$B$7:$H$10366,MATCH(CONCATENATE('Tabular Pop Data by Age'!$C73,'Tabular Pop Data by Age'!AF$7),'Population Data by Age'!$B$7:$B$10366,0),MATCH('Tabular Pop Data by Age'!$C$6,'Population Data by Age'!$B$6:$H$6,0))</f>
        <v>0</v>
      </c>
      <c r="AG73" s="78">
        <f>INDEX('Population Data by Age'!$B$7:$H$10366,MATCH(CONCATENATE('Tabular Pop Data by Age'!$C73,'Tabular Pop Data by Age'!AG$7),'Population Data by Age'!$B$7:$B$10366,0),MATCH('Tabular Pop Data by Age'!$C$6,'Population Data by Age'!$B$6:$H$6,0))</f>
        <v>0</v>
      </c>
      <c r="AH73" s="78">
        <f>INDEX('Population Data by Age'!$B$7:$H$10366,MATCH(CONCATENATE('Tabular Pop Data by Age'!$C73,'Tabular Pop Data by Age'!AH$7),'Population Data by Age'!$B$7:$B$10366,0),MATCH('Tabular Pop Data by Age'!$C$6,'Population Data by Age'!$B$6:$H$6,0))</f>
        <v>0</v>
      </c>
      <c r="AI73" s="78">
        <f>INDEX('Population Data by Age'!$B$7:$H$10366,MATCH(CONCATENATE('Tabular Pop Data by Age'!$C73,'Tabular Pop Data by Age'!AI$7),'Population Data by Age'!$B$7:$B$10366,0),MATCH('Tabular Pop Data by Age'!$C$6,'Population Data by Age'!$B$6:$H$6,0))</f>
        <v>0</v>
      </c>
      <c r="AJ73" s="78">
        <f>INDEX('Population Data by Age'!$B$7:$H$10366,MATCH(CONCATENATE('Tabular Pop Data by Age'!$C73,'Tabular Pop Data by Age'!AJ$7),'Population Data by Age'!$B$7:$B$10366,0),MATCH('Tabular Pop Data by Age'!$C$6,'Population Data by Age'!$B$6:$H$6,0))</f>
        <v>0</v>
      </c>
      <c r="AK73" s="78">
        <f>INDEX('Population Data by Age'!$B$7:$H$10366,MATCH(CONCATENATE('Tabular Pop Data by Age'!$C73,'Tabular Pop Data by Age'!AK$7),'Population Data by Age'!$B$7:$B$10366,0),MATCH('Tabular Pop Data by Age'!$C$6,'Population Data by Age'!$B$6:$H$6,0))</f>
        <v>0</v>
      </c>
      <c r="AL73" s="78">
        <f>INDEX('Population Data by Age'!$B$7:$H$10366,MATCH(CONCATENATE('Tabular Pop Data by Age'!$C73,'Tabular Pop Data by Age'!AL$7),'Population Data by Age'!$B$7:$B$10366,0),MATCH('Tabular Pop Data by Age'!$C$6,'Population Data by Age'!$B$6:$H$6,0))</f>
        <v>0</v>
      </c>
      <c r="AM73" s="78">
        <f>INDEX('Population Data by Age'!$B$7:$H$10366,MATCH(CONCATENATE('Tabular Pop Data by Age'!$C73,'Tabular Pop Data by Age'!AM$7),'Population Data by Age'!$B$7:$B$10366,0),MATCH('Tabular Pop Data by Age'!$C$6,'Population Data by Age'!$B$6:$H$6,0))</f>
        <v>0</v>
      </c>
      <c r="AN73" s="78">
        <f>INDEX('Population Data by Age'!$B$7:$H$10366,MATCH(CONCATENATE('Tabular Pop Data by Age'!$C73,'Tabular Pop Data by Age'!AN$7),'Population Data by Age'!$B$7:$B$10366,0),MATCH('Tabular Pop Data by Age'!$C$6,'Population Data by Age'!$B$6:$H$6,0))</f>
        <v>49000</v>
      </c>
      <c r="AO73" s="78">
        <f>INDEX('Population Data by Age'!$B$7:$H$10366,MATCH(CONCATENATE('Tabular Pop Data by Age'!$C73,'Tabular Pop Data by Age'!AO$7),'Population Data by Age'!$B$7:$B$10366,0),MATCH('Tabular Pop Data by Age'!$C$6,'Population Data by Age'!$B$6:$H$6,0))</f>
        <v>0</v>
      </c>
      <c r="AP73" s="79">
        <f t="shared" si="17"/>
        <v>0</v>
      </c>
      <c r="AQ73" s="79">
        <f t="shared" si="18"/>
        <v>0</v>
      </c>
      <c r="AR73" s="79">
        <f t="shared" si="19"/>
        <v>0</v>
      </c>
      <c r="AS73" s="79">
        <f t="shared" si="20"/>
        <v>0</v>
      </c>
      <c r="AT73" s="79">
        <f t="shared" si="21"/>
        <v>0</v>
      </c>
      <c r="AU73" s="79">
        <f t="shared" si="22"/>
        <v>0</v>
      </c>
      <c r="AV73" s="79">
        <f t="shared" si="23"/>
        <v>0</v>
      </c>
      <c r="AW73" s="79">
        <f t="shared" si="24"/>
        <v>0</v>
      </c>
      <c r="AX73" s="79">
        <f t="shared" si="25"/>
        <v>0</v>
      </c>
      <c r="AY73" s="79">
        <f t="shared" si="26"/>
        <v>0</v>
      </c>
      <c r="AZ73" s="79">
        <f t="shared" si="27"/>
        <v>0</v>
      </c>
      <c r="BA73" s="79">
        <f t="shared" si="28"/>
        <v>0</v>
      </c>
      <c r="BB73" s="79">
        <f t="shared" si="29"/>
        <v>0</v>
      </c>
      <c r="BC73" s="79">
        <f t="shared" si="30"/>
        <v>0</v>
      </c>
      <c r="BD73" s="79">
        <f t="shared" si="31"/>
        <v>0</v>
      </c>
      <c r="BE73" s="79">
        <f t="shared" si="32"/>
        <v>0</v>
      </c>
      <c r="BF73" s="79">
        <f t="shared" si="33"/>
        <v>0</v>
      </c>
    </row>
    <row r="74" spans="1:58" x14ac:dyDescent="0.25">
      <c r="A74" s="138" t="s">
        <v>1195</v>
      </c>
      <c r="B74" t="s">
        <v>248</v>
      </c>
      <c r="C74" t="s">
        <v>44</v>
      </c>
      <c r="D74" s="78">
        <f>INDEX('Population Data by Age'!$B$7:$H$10366,MATCH(CONCATENATE('Tabular Pop Data by Age'!$C74,'Tabular Pop Data by Age'!D$7),'Population Data by Age'!$B$7:$B$10366,0),MATCH('Tabular Pop Data by Age'!$C$6,'Population Data by Age'!$B$6:$H$6,0))</f>
        <v>43000</v>
      </c>
      <c r="E74" s="78">
        <f>INDEX('Population Data by Age'!$B$7:$H$10366,MATCH(CONCATENATE('Tabular Pop Data by Age'!$C74,'Tabular Pop Data by Age'!E$7),'Population Data by Age'!$B$7:$B$10366,0),MATCH('Tabular Pop Data by Age'!$C$6,'Population Data by Age'!$B$6:$H$6,0))</f>
        <v>46000</v>
      </c>
      <c r="F74" s="78">
        <f>INDEX('Population Data by Age'!$B$7:$H$10366,MATCH(CONCATENATE('Tabular Pop Data by Age'!$C74,'Tabular Pop Data by Age'!F$7),'Population Data by Age'!$B$7:$B$10366,0),MATCH('Tabular Pop Data by Age'!$C$6,'Population Data by Age'!$B$6:$H$6,0))</f>
        <v>43000</v>
      </c>
      <c r="G74" s="78">
        <f>INDEX('Population Data by Age'!$B$7:$H$10366,MATCH(CONCATENATE('Tabular Pop Data by Age'!$C74,'Tabular Pop Data by Age'!G$7),'Population Data by Age'!$B$7:$B$10366,0),MATCH('Tabular Pop Data by Age'!$C$6,'Population Data by Age'!$B$6:$H$6,0))</f>
        <v>45000</v>
      </c>
      <c r="H74" s="78">
        <f>INDEX('Population Data by Age'!$B$7:$H$10366,MATCH(CONCATENATE('Tabular Pop Data by Age'!$C74,'Tabular Pop Data by Age'!H$7),'Population Data by Age'!$B$7:$B$10366,0),MATCH('Tabular Pop Data by Age'!$C$6,'Population Data by Age'!$B$6:$H$6,0))</f>
        <v>41000</v>
      </c>
      <c r="I74" s="78">
        <f>INDEX('Population Data by Age'!$B$7:$H$10366,MATCH(CONCATENATE('Tabular Pop Data by Age'!$C74,'Tabular Pop Data by Age'!I$7),'Population Data by Age'!$B$7:$B$10366,0),MATCH('Tabular Pop Data by Age'!$C$6,'Population Data by Age'!$B$6:$H$6,0))</f>
        <v>42000</v>
      </c>
      <c r="J74" s="78">
        <f>INDEX('Population Data by Age'!$B$7:$H$10366,MATCH(CONCATENATE('Tabular Pop Data by Age'!$C74,'Tabular Pop Data by Age'!J$7),'Population Data by Age'!$B$7:$B$10366,0),MATCH('Tabular Pop Data by Age'!$C$6,'Population Data by Age'!$B$6:$H$6,0))</f>
        <v>37000</v>
      </c>
      <c r="K74" s="78">
        <f>INDEX('Population Data by Age'!$B$7:$H$10366,MATCH(CONCATENATE('Tabular Pop Data by Age'!$C74,'Tabular Pop Data by Age'!K$7),'Population Data by Age'!$B$7:$B$10366,0),MATCH('Tabular Pop Data by Age'!$C$6,'Population Data by Age'!$B$6:$H$6,0))</f>
        <v>39000</v>
      </c>
      <c r="L74" s="78">
        <f>INDEX('Population Data by Age'!$B$7:$H$10366,MATCH(CONCATENATE('Tabular Pop Data by Age'!$C74,'Tabular Pop Data by Age'!L$7),'Population Data by Age'!$B$7:$B$10366,0),MATCH('Tabular Pop Data by Age'!$C$6,'Population Data by Age'!$B$6:$H$6,0))</f>
        <v>35000</v>
      </c>
      <c r="M74" s="78">
        <f>INDEX('Population Data by Age'!$B$7:$H$10366,MATCH(CONCATENATE('Tabular Pop Data by Age'!$C74,'Tabular Pop Data by Age'!M$7),'Population Data by Age'!$B$7:$B$10366,0),MATCH('Tabular Pop Data by Age'!$C$6,'Population Data by Age'!$B$6:$H$6,0))</f>
        <v>37000</v>
      </c>
      <c r="N74" s="78">
        <f>INDEX('Population Data by Age'!$B$7:$H$10366,MATCH(CONCATENATE('Tabular Pop Data by Age'!$C74,'Tabular Pop Data by Age'!N$7),'Population Data by Age'!$B$7:$B$10366,0),MATCH('Tabular Pop Data by Age'!$C$6,'Population Data by Age'!$B$6:$H$6,0))</f>
        <v>34000</v>
      </c>
      <c r="O74" s="78">
        <f>INDEX('Population Data by Age'!$B$7:$H$10366,MATCH(CONCATENATE('Tabular Pop Data by Age'!$C74,'Tabular Pop Data by Age'!O$7),'Population Data by Age'!$B$7:$B$10366,0),MATCH('Tabular Pop Data by Age'!$C$6,'Population Data by Age'!$B$6:$H$6,0))</f>
        <v>36000</v>
      </c>
      <c r="P74" s="78">
        <f>INDEX('Population Data by Age'!$B$7:$H$10366,MATCH(CONCATENATE('Tabular Pop Data by Age'!$C74,'Tabular Pop Data by Age'!P$7),'Population Data by Age'!$B$7:$B$10366,0),MATCH('Tabular Pop Data by Age'!$C$6,'Population Data by Age'!$B$6:$H$6,0))</f>
        <v>33000</v>
      </c>
      <c r="Q74" s="78">
        <f>INDEX('Population Data by Age'!$B$7:$H$10366,MATCH(CONCATENATE('Tabular Pop Data by Age'!$C74,'Tabular Pop Data by Age'!Q$7),'Population Data by Age'!$B$7:$B$10366,0),MATCH('Tabular Pop Data by Age'!$C$6,'Population Data by Age'!$B$6:$H$6,0))</f>
        <v>34000</v>
      </c>
      <c r="R74" s="78">
        <f>INDEX('Population Data by Age'!$B$7:$H$10366,MATCH(CONCATENATE('Tabular Pop Data by Age'!$C74,'Tabular Pop Data by Age'!R$7),'Population Data by Age'!$B$7:$B$10366,0),MATCH('Tabular Pop Data by Age'!$C$6,'Population Data by Age'!$B$6:$H$6,0))</f>
        <v>33000</v>
      </c>
      <c r="S74" s="78">
        <f>INDEX('Population Data by Age'!$B$7:$H$10366,MATCH(CONCATENATE('Tabular Pop Data by Age'!$C74,'Tabular Pop Data by Age'!S$7),'Population Data by Age'!$B$7:$B$10366,0),MATCH('Tabular Pop Data by Age'!$C$6,'Population Data by Age'!$B$6:$H$6,0))</f>
        <v>35000</v>
      </c>
      <c r="T74" s="78">
        <f>INDEX('Population Data by Age'!$B$7:$H$10366,MATCH(CONCATENATE('Tabular Pop Data by Age'!$C74,'Tabular Pop Data by Age'!T$7),'Population Data by Age'!$B$7:$B$10366,0),MATCH('Tabular Pop Data by Age'!$C$6,'Population Data by Age'!$B$6:$H$6,0))</f>
        <v>28000</v>
      </c>
      <c r="U74" s="78">
        <f>INDEX('Population Data by Age'!$B$7:$H$10366,MATCH(CONCATENATE('Tabular Pop Data by Age'!$C74,'Tabular Pop Data by Age'!U$7),'Population Data by Age'!$B$7:$B$10366,0),MATCH('Tabular Pop Data by Age'!$C$6,'Population Data by Age'!$B$6:$H$6,0))</f>
        <v>29000</v>
      </c>
      <c r="V74" s="78">
        <f>INDEX('Population Data by Age'!$B$7:$H$10366,MATCH(CONCATENATE('Tabular Pop Data by Age'!$C74,'Tabular Pop Data by Age'!V$7),'Population Data by Age'!$B$7:$B$10366,0),MATCH('Tabular Pop Data by Age'!$C$6,'Population Data by Age'!$B$6:$H$6,0))</f>
        <v>24000</v>
      </c>
      <c r="W74" s="78">
        <f>INDEX('Population Data by Age'!$B$7:$H$10366,MATCH(CONCATENATE('Tabular Pop Data by Age'!$C74,'Tabular Pop Data by Age'!W$7),'Population Data by Age'!$B$7:$B$10366,0),MATCH('Tabular Pop Data by Age'!$C$6,'Population Data by Age'!$B$6:$H$6,0))</f>
        <v>25000</v>
      </c>
      <c r="X74" s="78">
        <f>INDEX('Population Data by Age'!$B$7:$H$10366,MATCH(CONCATENATE('Tabular Pop Data by Age'!$C74,'Tabular Pop Data by Age'!X$7),'Population Data by Age'!$B$7:$B$10366,0),MATCH('Tabular Pop Data by Age'!$C$6,'Population Data by Age'!$B$6:$H$6,0))</f>
        <v>23000</v>
      </c>
      <c r="Y74" s="78">
        <f>INDEX('Population Data by Age'!$B$7:$H$10366,MATCH(CONCATENATE('Tabular Pop Data by Age'!$C74,'Tabular Pop Data by Age'!Y$7),'Population Data by Age'!$B$7:$B$10366,0),MATCH('Tabular Pop Data by Age'!$C$6,'Population Data by Age'!$B$6:$H$6,0))</f>
        <v>24000</v>
      </c>
      <c r="Z74" s="78">
        <f>INDEX('Population Data by Age'!$B$7:$H$10366,MATCH(CONCATENATE('Tabular Pop Data by Age'!$C74,'Tabular Pop Data by Age'!Z$7),'Population Data by Age'!$B$7:$B$10366,0),MATCH('Tabular Pop Data by Age'!$C$6,'Population Data by Age'!$B$6:$H$6,0))</f>
        <v>22000</v>
      </c>
      <c r="AA74" s="78">
        <f>INDEX('Population Data by Age'!$B$7:$H$10366,MATCH(CONCATENATE('Tabular Pop Data by Age'!$C74,'Tabular Pop Data by Age'!AA$7),'Population Data by Age'!$B$7:$B$10366,0),MATCH('Tabular Pop Data by Age'!$C$6,'Population Data by Age'!$B$6:$H$6,0))</f>
        <v>22000</v>
      </c>
      <c r="AB74" s="78">
        <f>INDEX('Population Data by Age'!$B$7:$H$10366,MATCH(CONCATENATE('Tabular Pop Data by Age'!$C74,'Tabular Pop Data by Age'!AB$7),'Population Data by Age'!$B$7:$B$10366,0),MATCH('Tabular Pop Data by Age'!$C$6,'Population Data by Age'!$B$6:$H$6,0))</f>
        <v>18000</v>
      </c>
      <c r="AC74" s="78">
        <f>INDEX('Population Data by Age'!$B$7:$H$10366,MATCH(CONCATENATE('Tabular Pop Data by Age'!$C74,'Tabular Pop Data by Age'!AC$7),'Population Data by Age'!$B$7:$B$10366,0),MATCH('Tabular Pop Data by Age'!$C$6,'Population Data by Age'!$B$6:$H$6,0))</f>
        <v>17000</v>
      </c>
      <c r="AD74" s="78">
        <f>INDEX('Population Data by Age'!$B$7:$H$10366,MATCH(CONCATENATE('Tabular Pop Data by Age'!$C74,'Tabular Pop Data by Age'!AD$7),'Population Data by Age'!$B$7:$B$10366,0),MATCH('Tabular Pop Data by Age'!$C$6,'Population Data by Age'!$B$6:$H$6,0))</f>
        <v>12000</v>
      </c>
      <c r="AE74" s="78">
        <f>INDEX('Population Data by Age'!$B$7:$H$10366,MATCH(CONCATENATE('Tabular Pop Data by Age'!$C74,'Tabular Pop Data by Age'!AE$7),'Population Data by Age'!$B$7:$B$10366,0),MATCH('Tabular Pop Data by Age'!$C$6,'Population Data by Age'!$B$6:$H$6,0))</f>
        <v>11000</v>
      </c>
      <c r="AF74" s="78">
        <f>INDEX('Population Data by Age'!$B$7:$H$10366,MATCH(CONCATENATE('Tabular Pop Data by Age'!$C74,'Tabular Pop Data by Age'!AF$7),'Population Data by Age'!$B$7:$B$10366,0),MATCH('Tabular Pop Data by Age'!$C$6,'Population Data by Age'!$B$6:$H$6,0))</f>
        <v>8500</v>
      </c>
      <c r="AG74" s="78">
        <f>INDEX('Population Data by Age'!$B$7:$H$10366,MATCH(CONCATENATE('Tabular Pop Data by Age'!$C74,'Tabular Pop Data by Age'!AG$7),'Population Data by Age'!$B$7:$B$10366,0),MATCH('Tabular Pop Data by Age'!$C$6,'Population Data by Age'!$B$6:$H$6,0))</f>
        <v>6900</v>
      </c>
      <c r="AH74" s="78">
        <f>INDEX('Population Data by Age'!$B$7:$H$10366,MATCH(CONCATENATE('Tabular Pop Data by Age'!$C74,'Tabular Pop Data by Age'!AH$7),'Population Data by Age'!$B$7:$B$10366,0),MATCH('Tabular Pop Data by Age'!$C$6,'Population Data by Age'!$B$6:$H$6,0))</f>
        <v>5000</v>
      </c>
      <c r="AI74" s="78">
        <f>INDEX('Population Data by Age'!$B$7:$H$10366,MATCH(CONCATENATE('Tabular Pop Data by Age'!$C74,'Tabular Pop Data by Age'!AI$7),'Population Data by Age'!$B$7:$B$10366,0),MATCH('Tabular Pop Data by Age'!$C$6,'Population Data by Age'!$B$6:$H$6,0))</f>
        <v>3300</v>
      </c>
      <c r="AJ74" s="78">
        <f>INDEX('Population Data by Age'!$B$7:$H$10366,MATCH(CONCATENATE('Tabular Pop Data by Age'!$C74,'Tabular Pop Data by Age'!AJ$7),'Population Data by Age'!$B$7:$B$10366,0),MATCH('Tabular Pop Data by Age'!$C$6,'Population Data by Age'!$B$6:$H$6,0))</f>
        <v>3300</v>
      </c>
      <c r="AK74" s="78">
        <f>INDEX('Population Data by Age'!$B$7:$H$10366,MATCH(CONCATENATE('Tabular Pop Data by Age'!$C74,'Tabular Pop Data by Age'!AK$7),'Population Data by Age'!$B$7:$B$10366,0),MATCH('Tabular Pop Data by Age'!$C$6,'Population Data by Age'!$B$6:$H$6,0))</f>
        <v>2300</v>
      </c>
      <c r="AL74" s="78">
        <f>INDEX('Population Data by Age'!$B$7:$H$10366,MATCH(CONCATENATE('Tabular Pop Data by Age'!$C74,'Tabular Pop Data by Age'!AL$7),'Population Data by Age'!$B$7:$B$10366,0),MATCH('Tabular Pop Data by Age'!$C$6,'Population Data by Age'!$B$6:$H$6,0))</f>
        <v>442000</v>
      </c>
      <c r="AM74" s="78">
        <f>INDEX('Population Data by Age'!$B$7:$H$10366,MATCH(CONCATENATE('Tabular Pop Data by Age'!$C74,'Tabular Pop Data by Age'!AM$7),'Population Data by Age'!$B$7:$B$10366,0),MATCH('Tabular Pop Data by Age'!$C$6,'Population Data by Age'!$B$6:$H$6,0))</f>
        <v>454000</v>
      </c>
      <c r="AN74" s="78">
        <f>INDEX('Population Data by Age'!$B$7:$H$10366,MATCH(CONCATENATE('Tabular Pop Data by Age'!$C74,'Tabular Pop Data by Age'!AN$7),'Population Data by Age'!$B$7:$B$10366,0),MATCH('Tabular Pop Data by Age'!$C$6,'Population Data by Age'!$B$6:$H$6,0))</f>
        <v>896000</v>
      </c>
      <c r="AO74" s="78">
        <f>INDEX('Population Data by Age'!$B$7:$H$10366,MATCH(CONCATENATE('Tabular Pop Data by Age'!$C74,'Tabular Pop Data by Age'!AO$7),'Population Data by Age'!$B$7:$B$10366,0),MATCH('Tabular Pop Data by Age'!$C$6,'Population Data by Age'!$B$6:$H$6,0))</f>
        <v>0</v>
      </c>
      <c r="AP74" s="79">
        <f t="shared" si="17"/>
        <v>89000</v>
      </c>
      <c r="AQ74" s="79">
        <f t="shared" si="18"/>
        <v>88000</v>
      </c>
      <c r="AR74" s="79">
        <f t="shared" si="19"/>
        <v>83000</v>
      </c>
      <c r="AS74" s="79">
        <f t="shared" si="20"/>
        <v>76000</v>
      </c>
      <c r="AT74" s="79">
        <f t="shared" si="21"/>
        <v>72000</v>
      </c>
      <c r="AU74" s="79">
        <f t="shared" si="22"/>
        <v>70000</v>
      </c>
      <c r="AV74" s="79">
        <f t="shared" si="23"/>
        <v>67000</v>
      </c>
      <c r="AW74" s="79">
        <f t="shared" si="24"/>
        <v>68000</v>
      </c>
      <c r="AX74" s="79">
        <f t="shared" si="25"/>
        <v>57000</v>
      </c>
      <c r="AY74" s="79">
        <f t="shared" si="26"/>
        <v>49000</v>
      </c>
      <c r="AZ74" s="79">
        <f t="shared" si="27"/>
        <v>47000</v>
      </c>
      <c r="BA74" s="79">
        <f t="shared" si="28"/>
        <v>44000</v>
      </c>
      <c r="BB74" s="79">
        <f t="shared" si="29"/>
        <v>35000</v>
      </c>
      <c r="BC74" s="79">
        <f t="shared" si="30"/>
        <v>23000</v>
      </c>
      <c r="BD74" s="79">
        <f t="shared" si="31"/>
        <v>15400</v>
      </c>
      <c r="BE74" s="79">
        <f t="shared" si="32"/>
        <v>8300</v>
      </c>
      <c r="BF74" s="79">
        <f t="shared" si="33"/>
        <v>5600</v>
      </c>
    </row>
    <row r="75" spans="1:58" x14ac:dyDescent="0.25">
      <c r="A75" s="138" t="s">
        <v>1195</v>
      </c>
      <c r="B75" t="s">
        <v>499</v>
      </c>
      <c r="C75" t="s">
        <v>43</v>
      </c>
      <c r="D75" s="78">
        <f>INDEX('Population Data by Age'!$B$7:$H$10366,MATCH(CONCATENATE('Tabular Pop Data by Age'!$C75,'Tabular Pop Data by Age'!D$7),'Population Data by Age'!$B$7:$B$10366,0),MATCH('Tabular Pop Data by Age'!$C$6,'Population Data by Age'!$B$6:$H$6,0))</f>
        <v>129000</v>
      </c>
      <c r="E75" s="78">
        <f>INDEX('Population Data by Age'!$B$7:$H$10366,MATCH(CONCATENATE('Tabular Pop Data by Age'!$C75,'Tabular Pop Data by Age'!E$7),'Population Data by Age'!$B$7:$B$10366,0),MATCH('Tabular Pop Data by Age'!$C$6,'Population Data by Age'!$B$6:$H$6,0))</f>
        <v>135000</v>
      </c>
      <c r="F75" s="78">
        <f>INDEX('Population Data by Age'!$B$7:$H$10366,MATCH(CONCATENATE('Tabular Pop Data by Age'!$C75,'Tabular Pop Data by Age'!F$7),'Population Data by Age'!$B$7:$B$10366,0),MATCH('Tabular Pop Data by Age'!$C$6,'Population Data by Age'!$B$6:$H$6,0))</f>
        <v>149000</v>
      </c>
      <c r="G75" s="78">
        <f>INDEX('Population Data by Age'!$B$7:$H$10366,MATCH(CONCATENATE('Tabular Pop Data by Age'!$C75,'Tabular Pop Data by Age'!G$7),'Population Data by Age'!$B$7:$B$10366,0),MATCH('Tabular Pop Data by Age'!$C$6,'Population Data by Age'!$B$6:$H$6,0))</f>
        <v>156000</v>
      </c>
      <c r="H75" s="78">
        <f>INDEX('Population Data by Age'!$B$7:$H$10366,MATCH(CONCATENATE('Tabular Pop Data by Age'!$C75,'Tabular Pop Data by Age'!H$7),'Population Data by Age'!$B$7:$B$10366,0),MATCH('Tabular Pop Data by Age'!$C$6,'Population Data by Age'!$B$6:$H$6,0))</f>
        <v>152000</v>
      </c>
      <c r="I75" s="78">
        <f>INDEX('Population Data by Age'!$B$7:$H$10366,MATCH(CONCATENATE('Tabular Pop Data by Age'!$C75,'Tabular Pop Data by Age'!I$7),'Population Data by Age'!$B$7:$B$10366,0),MATCH('Tabular Pop Data by Age'!$C$6,'Population Data by Age'!$B$6:$H$6,0))</f>
        <v>159000</v>
      </c>
      <c r="J75" s="78">
        <f>INDEX('Population Data by Age'!$B$7:$H$10366,MATCH(CONCATENATE('Tabular Pop Data by Age'!$C75,'Tabular Pop Data by Age'!J$7),'Population Data by Age'!$B$7:$B$10366,0),MATCH('Tabular Pop Data by Age'!$C$6,'Population Data by Age'!$B$6:$H$6,0))</f>
        <v>145000</v>
      </c>
      <c r="K75" s="78">
        <f>INDEX('Population Data by Age'!$B$7:$H$10366,MATCH(CONCATENATE('Tabular Pop Data by Age'!$C75,'Tabular Pop Data by Age'!K$7),'Population Data by Age'!$B$7:$B$10366,0),MATCH('Tabular Pop Data by Age'!$C$6,'Population Data by Age'!$B$6:$H$6,0))</f>
        <v>152000</v>
      </c>
      <c r="L75" s="78">
        <f>INDEX('Population Data by Age'!$B$7:$H$10366,MATCH(CONCATENATE('Tabular Pop Data by Age'!$C75,'Tabular Pop Data by Age'!L$7),'Population Data by Age'!$B$7:$B$10366,0),MATCH('Tabular Pop Data by Age'!$C$6,'Population Data by Age'!$B$6:$H$6,0))</f>
        <v>153000</v>
      </c>
      <c r="M75" s="78">
        <f>INDEX('Population Data by Age'!$B$7:$H$10366,MATCH(CONCATENATE('Tabular Pop Data by Age'!$C75,'Tabular Pop Data by Age'!M$7),'Population Data by Age'!$B$7:$B$10366,0),MATCH('Tabular Pop Data by Age'!$C$6,'Population Data by Age'!$B$6:$H$6,0))</f>
        <v>161000</v>
      </c>
      <c r="N75" s="78">
        <f>INDEX('Population Data by Age'!$B$7:$H$10366,MATCH(CONCATENATE('Tabular Pop Data by Age'!$C75,'Tabular Pop Data by Age'!N$7),'Population Data by Age'!$B$7:$B$10366,0),MATCH('Tabular Pop Data by Age'!$C$6,'Population Data by Age'!$B$6:$H$6,0))</f>
        <v>176000</v>
      </c>
      <c r="O75" s="78">
        <f>INDEX('Population Data by Age'!$B$7:$H$10366,MATCH(CONCATENATE('Tabular Pop Data by Age'!$C75,'Tabular Pop Data by Age'!O$7),'Population Data by Age'!$B$7:$B$10366,0),MATCH('Tabular Pop Data by Age'!$C$6,'Population Data by Age'!$B$6:$H$6,0))</f>
        <v>184000</v>
      </c>
      <c r="P75" s="78">
        <f>INDEX('Population Data by Age'!$B$7:$H$10366,MATCH(CONCATENATE('Tabular Pop Data by Age'!$C75,'Tabular Pop Data by Age'!P$7),'Population Data by Age'!$B$7:$B$10366,0),MATCH('Tabular Pop Data by Age'!$C$6,'Population Data by Age'!$B$6:$H$6,0))</f>
        <v>169000</v>
      </c>
      <c r="Q75" s="78">
        <f>INDEX('Population Data by Age'!$B$7:$H$10366,MATCH(CONCATENATE('Tabular Pop Data by Age'!$C75,'Tabular Pop Data by Age'!Q$7),'Population Data by Age'!$B$7:$B$10366,0),MATCH('Tabular Pop Data by Age'!$C$6,'Population Data by Age'!$B$6:$H$6,0))</f>
        <v>179000</v>
      </c>
      <c r="R75" s="78">
        <f>INDEX('Population Data by Age'!$B$7:$H$10366,MATCH(CONCATENATE('Tabular Pop Data by Age'!$C75,'Tabular Pop Data by Age'!R$7),'Population Data by Age'!$B$7:$B$10366,0),MATCH('Tabular Pop Data by Age'!$C$6,'Population Data by Age'!$B$6:$H$6,0))</f>
        <v>175000</v>
      </c>
      <c r="S75" s="78">
        <f>INDEX('Population Data by Age'!$B$7:$H$10366,MATCH(CONCATENATE('Tabular Pop Data by Age'!$C75,'Tabular Pop Data by Age'!S$7),'Population Data by Age'!$B$7:$B$10366,0),MATCH('Tabular Pop Data by Age'!$C$6,'Population Data by Age'!$B$6:$H$6,0))</f>
        <v>185000</v>
      </c>
      <c r="T75" s="78">
        <f>INDEX('Population Data by Age'!$B$7:$H$10366,MATCH(CONCATENATE('Tabular Pop Data by Age'!$C75,'Tabular Pop Data by Age'!T$7),'Population Data by Age'!$B$7:$B$10366,0),MATCH('Tabular Pop Data by Age'!$C$6,'Population Data by Age'!$B$6:$H$6,0))</f>
        <v>169000</v>
      </c>
      <c r="U75" s="78">
        <f>INDEX('Population Data by Age'!$B$7:$H$10366,MATCH(CONCATENATE('Tabular Pop Data by Age'!$C75,'Tabular Pop Data by Age'!U$7),'Population Data by Age'!$B$7:$B$10366,0),MATCH('Tabular Pop Data by Age'!$C$6,'Population Data by Age'!$B$6:$H$6,0))</f>
        <v>177000</v>
      </c>
      <c r="V75" s="78">
        <f>INDEX('Population Data by Age'!$B$7:$H$10366,MATCH(CONCATENATE('Tabular Pop Data by Age'!$C75,'Tabular Pop Data by Age'!V$7),'Population Data by Age'!$B$7:$B$10366,0),MATCH('Tabular Pop Data by Age'!$C$6,'Population Data by Age'!$B$6:$H$6,0))</f>
        <v>154000</v>
      </c>
      <c r="W75" s="78">
        <f>INDEX('Population Data by Age'!$B$7:$H$10366,MATCH(CONCATENATE('Tabular Pop Data by Age'!$C75,'Tabular Pop Data by Age'!W$7),'Population Data by Age'!$B$7:$B$10366,0),MATCH('Tabular Pop Data by Age'!$C$6,'Population Data by Age'!$B$6:$H$6,0))</f>
        <v>160000</v>
      </c>
      <c r="X75" s="78">
        <f>INDEX('Population Data by Age'!$B$7:$H$10366,MATCH(CONCATENATE('Tabular Pop Data by Age'!$C75,'Tabular Pop Data by Age'!X$7),'Population Data by Age'!$B$7:$B$10366,0),MATCH('Tabular Pop Data by Age'!$C$6,'Population Data by Age'!$B$6:$H$6,0))</f>
        <v>175000</v>
      </c>
      <c r="Y75" s="78">
        <f>INDEX('Population Data by Age'!$B$7:$H$10366,MATCH(CONCATENATE('Tabular Pop Data by Age'!$C75,'Tabular Pop Data by Age'!Y$7),'Population Data by Age'!$B$7:$B$10366,0),MATCH('Tabular Pop Data by Age'!$C$6,'Population Data by Age'!$B$6:$H$6,0))</f>
        <v>176000</v>
      </c>
      <c r="Z75" s="78">
        <f>INDEX('Population Data by Age'!$B$7:$H$10366,MATCH(CONCATENATE('Tabular Pop Data by Age'!$C75,'Tabular Pop Data by Age'!Z$7),'Population Data by Age'!$B$7:$B$10366,0),MATCH('Tabular Pop Data by Age'!$C$6,'Population Data by Age'!$B$6:$H$6,0))</f>
        <v>186000</v>
      </c>
      <c r="AA75" s="78">
        <f>INDEX('Population Data by Age'!$B$7:$H$10366,MATCH(CONCATENATE('Tabular Pop Data by Age'!$C75,'Tabular Pop Data by Age'!AA$7),'Population Data by Age'!$B$7:$B$10366,0),MATCH('Tabular Pop Data by Age'!$C$6,'Population Data by Age'!$B$6:$H$6,0))</f>
        <v>184000</v>
      </c>
      <c r="AB75" s="78">
        <f>INDEX('Population Data by Age'!$B$7:$H$10366,MATCH(CONCATENATE('Tabular Pop Data by Age'!$C75,'Tabular Pop Data by Age'!AB$7),'Population Data by Age'!$B$7:$B$10366,0),MATCH('Tabular Pop Data by Age'!$C$6,'Population Data by Age'!$B$6:$H$6,0))</f>
        <v>182000</v>
      </c>
      <c r="AC75" s="78">
        <f>INDEX('Population Data by Age'!$B$7:$H$10366,MATCH(CONCATENATE('Tabular Pop Data by Age'!$C75,'Tabular Pop Data by Age'!AC$7),'Population Data by Age'!$B$7:$B$10366,0),MATCH('Tabular Pop Data by Age'!$C$6,'Population Data by Age'!$B$6:$H$6,0))</f>
        <v>175000</v>
      </c>
      <c r="AD75" s="78">
        <f>INDEX('Population Data by Age'!$B$7:$H$10366,MATCH(CONCATENATE('Tabular Pop Data by Age'!$C75,'Tabular Pop Data by Age'!AD$7),'Population Data by Age'!$B$7:$B$10366,0),MATCH('Tabular Pop Data by Age'!$C$6,'Population Data by Age'!$B$6:$H$6,0))</f>
        <v>186000</v>
      </c>
      <c r="AE75" s="78">
        <f>INDEX('Population Data by Age'!$B$7:$H$10366,MATCH(CONCATENATE('Tabular Pop Data by Age'!$C75,'Tabular Pop Data by Age'!AE$7),'Population Data by Age'!$B$7:$B$10366,0),MATCH('Tabular Pop Data by Age'!$C$6,'Population Data by Age'!$B$6:$H$6,0))</f>
        <v>171000</v>
      </c>
      <c r="AF75" s="78">
        <f>INDEX('Population Data by Age'!$B$7:$H$10366,MATCH(CONCATENATE('Tabular Pop Data by Age'!$C75,'Tabular Pop Data by Age'!AF$7),'Population Data by Age'!$B$7:$B$10366,0),MATCH('Tabular Pop Data by Age'!$C$6,'Population Data by Age'!$B$6:$H$6,0))</f>
        <v>190000</v>
      </c>
      <c r="AG75" s="78">
        <f>INDEX('Population Data by Age'!$B$7:$H$10366,MATCH(CONCATENATE('Tabular Pop Data by Age'!$C75,'Tabular Pop Data by Age'!AG$7),'Population Data by Age'!$B$7:$B$10366,0),MATCH('Tabular Pop Data by Age'!$C$6,'Population Data by Age'!$B$6:$H$6,0))</f>
        <v>168000</v>
      </c>
      <c r="AH75" s="78">
        <f>INDEX('Population Data by Age'!$B$7:$H$10366,MATCH(CONCATENATE('Tabular Pop Data by Age'!$C75,'Tabular Pop Data by Age'!AH$7),'Population Data by Age'!$B$7:$B$10366,0),MATCH('Tabular Pop Data by Age'!$C$6,'Population Data by Age'!$B$6:$H$6,0))</f>
        <v>125000</v>
      </c>
      <c r="AI75" s="78">
        <f>INDEX('Population Data by Age'!$B$7:$H$10366,MATCH(CONCATENATE('Tabular Pop Data by Age'!$C75,'Tabular Pop Data by Age'!AI$7),'Population Data by Age'!$B$7:$B$10366,0),MATCH('Tabular Pop Data by Age'!$C$6,'Population Data by Age'!$B$6:$H$6,0))</f>
        <v>100000</v>
      </c>
      <c r="AJ75" s="78">
        <f>INDEX('Population Data by Age'!$B$7:$H$10366,MATCH(CONCATENATE('Tabular Pop Data by Age'!$C75,'Tabular Pop Data by Age'!AJ$7),'Population Data by Age'!$B$7:$B$10366,0),MATCH('Tabular Pop Data by Age'!$C$6,'Population Data by Age'!$B$6:$H$6,0))</f>
        <v>199000</v>
      </c>
      <c r="AK75" s="78">
        <f>INDEX('Population Data by Age'!$B$7:$H$10366,MATCH(CONCATENATE('Tabular Pop Data by Age'!$C75,'Tabular Pop Data by Age'!AK$7),'Population Data by Age'!$B$7:$B$10366,0),MATCH('Tabular Pop Data by Age'!$C$6,'Population Data by Age'!$B$6:$H$6,0))</f>
        <v>113000</v>
      </c>
      <c r="AL75" s="78">
        <f>INDEX('Population Data by Age'!$B$7:$H$10366,MATCH(CONCATENATE('Tabular Pop Data by Age'!$C75,'Tabular Pop Data by Age'!AL$7),'Population Data by Age'!$B$7:$B$10366,0),MATCH('Tabular Pop Data by Age'!$C$6,'Population Data by Age'!$B$6:$H$6,0))</f>
        <v>2812000</v>
      </c>
      <c r="AM75" s="78">
        <f>INDEX('Population Data by Age'!$B$7:$H$10366,MATCH(CONCATENATE('Tabular Pop Data by Age'!$C75,'Tabular Pop Data by Age'!AM$7),'Population Data by Age'!$B$7:$B$10366,0),MATCH('Tabular Pop Data by Age'!$C$6,'Population Data by Age'!$B$6:$H$6,0))</f>
        <v>2736000</v>
      </c>
      <c r="AN75" s="78">
        <f>INDEX('Population Data by Age'!$B$7:$H$10366,MATCH(CONCATENATE('Tabular Pop Data by Age'!$C75,'Tabular Pop Data by Age'!AN$7),'Population Data by Age'!$B$7:$B$10366,0),MATCH('Tabular Pop Data by Age'!$C$6,'Population Data by Age'!$B$6:$H$6,0))</f>
        <v>5548000</v>
      </c>
      <c r="AO75" s="78">
        <f>INDEX('Population Data by Age'!$B$7:$H$10366,MATCH(CONCATENATE('Tabular Pop Data by Age'!$C75,'Tabular Pop Data by Age'!AO$7),'Population Data by Age'!$B$7:$B$10366,0),MATCH('Tabular Pop Data by Age'!$C$6,'Population Data by Age'!$B$6:$H$6,0))</f>
        <v>0</v>
      </c>
      <c r="AP75" s="79">
        <f t="shared" si="17"/>
        <v>264000</v>
      </c>
      <c r="AQ75" s="79">
        <f t="shared" si="18"/>
        <v>305000</v>
      </c>
      <c r="AR75" s="79">
        <f t="shared" si="19"/>
        <v>311000</v>
      </c>
      <c r="AS75" s="79">
        <f t="shared" si="20"/>
        <v>297000</v>
      </c>
      <c r="AT75" s="79">
        <f t="shared" si="21"/>
        <v>314000</v>
      </c>
      <c r="AU75" s="79">
        <f t="shared" si="22"/>
        <v>360000</v>
      </c>
      <c r="AV75" s="79">
        <f t="shared" si="23"/>
        <v>348000</v>
      </c>
      <c r="AW75" s="79">
        <f t="shared" si="24"/>
        <v>360000</v>
      </c>
      <c r="AX75" s="79">
        <f t="shared" si="25"/>
        <v>346000</v>
      </c>
      <c r="AY75" s="79">
        <f t="shared" si="26"/>
        <v>314000</v>
      </c>
      <c r="AZ75" s="79">
        <f t="shared" si="27"/>
        <v>351000</v>
      </c>
      <c r="BA75" s="79">
        <f t="shared" si="28"/>
        <v>370000</v>
      </c>
      <c r="BB75" s="79">
        <f t="shared" si="29"/>
        <v>357000</v>
      </c>
      <c r="BC75" s="79">
        <f t="shared" si="30"/>
        <v>357000</v>
      </c>
      <c r="BD75" s="79">
        <f t="shared" si="31"/>
        <v>358000</v>
      </c>
      <c r="BE75" s="79">
        <f t="shared" si="32"/>
        <v>225000</v>
      </c>
      <c r="BF75" s="79">
        <f t="shared" si="33"/>
        <v>312000</v>
      </c>
    </row>
    <row r="76" spans="1:58" x14ac:dyDescent="0.25">
      <c r="A76" s="138" t="s">
        <v>1195</v>
      </c>
      <c r="B76" t="s">
        <v>502</v>
      </c>
      <c r="C76" t="s">
        <v>45</v>
      </c>
      <c r="D76" s="78">
        <f>INDEX('Population Data by Age'!$B$7:$H$10366,MATCH(CONCATENATE('Tabular Pop Data by Age'!$C76,'Tabular Pop Data by Age'!D$7),'Population Data by Age'!$B$7:$B$10366,0),MATCH('Tabular Pop Data by Age'!$C$6,'Population Data by Age'!$B$6:$H$6,0))</f>
        <v>1828000</v>
      </c>
      <c r="E76" s="78">
        <f>INDEX('Population Data by Age'!$B$7:$H$10366,MATCH(CONCATENATE('Tabular Pop Data by Age'!$C76,'Tabular Pop Data by Age'!E$7),'Population Data by Age'!$B$7:$B$10366,0),MATCH('Tabular Pop Data by Age'!$C$6,'Population Data by Age'!$B$6:$H$6,0))</f>
        <v>1912000</v>
      </c>
      <c r="F76" s="78">
        <f>INDEX('Population Data by Age'!$B$7:$H$10366,MATCH(CONCATENATE('Tabular Pop Data by Age'!$C76,'Tabular Pop Data by Age'!F$7),'Population Data by Age'!$B$7:$B$10366,0),MATCH('Tabular Pop Data by Age'!$C$6,'Population Data by Age'!$B$6:$H$6,0))</f>
        <v>1975000</v>
      </c>
      <c r="G76" s="78">
        <f>INDEX('Population Data by Age'!$B$7:$H$10366,MATCH(CONCATENATE('Tabular Pop Data by Age'!$C76,'Tabular Pop Data by Age'!G$7),'Population Data by Age'!$B$7:$B$10366,0),MATCH('Tabular Pop Data by Age'!$C$6,'Population Data by Age'!$B$6:$H$6,0))</f>
        <v>2062000</v>
      </c>
      <c r="H76" s="78">
        <f>INDEX('Population Data by Age'!$B$7:$H$10366,MATCH(CONCATENATE('Tabular Pop Data by Age'!$C76,'Tabular Pop Data by Age'!H$7),'Population Data by Age'!$B$7:$B$10366,0),MATCH('Tabular Pop Data by Age'!$C$6,'Population Data by Age'!$B$6:$H$6,0))</f>
        <v>2016000</v>
      </c>
      <c r="I76" s="78">
        <f>INDEX('Population Data by Age'!$B$7:$H$10366,MATCH(CONCATENATE('Tabular Pop Data by Age'!$C76,'Tabular Pop Data by Age'!I$7),'Population Data by Age'!$B$7:$B$10366,0),MATCH('Tabular Pop Data by Age'!$C$6,'Population Data by Age'!$B$6:$H$6,0))</f>
        <v>2113000</v>
      </c>
      <c r="J76" s="78">
        <f>INDEX('Population Data by Age'!$B$7:$H$10366,MATCH(CONCATENATE('Tabular Pop Data by Age'!$C76,'Tabular Pop Data by Age'!J$7),'Population Data by Age'!$B$7:$B$10366,0),MATCH('Tabular Pop Data by Age'!$C$6,'Population Data by Age'!$B$6:$H$6,0))</f>
        <v>1965000</v>
      </c>
      <c r="K76" s="78">
        <f>INDEX('Population Data by Age'!$B$7:$H$10366,MATCH(CONCATENATE('Tabular Pop Data by Age'!$C76,'Tabular Pop Data by Age'!K$7),'Population Data by Age'!$B$7:$B$10366,0),MATCH('Tabular Pop Data by Age'!$C$6,'Population Data by Age'!$B$6:$H$6,0))</f>
        <v>2052000</v>
      </c>
      <c r="L76" s="78">
        <f>INDEX('Population Data by Age'!$B$7:$H$10366,MATCH(CONCATENATE('Tabular Pop Data by Age'!$C76,'Tabular Pop Data by Age'!L$7),'Population Data by Age'!$B$7:$B$10366,0),MATCH('Tabular Pop Data by Age'!$C$6,'Population Data by Age'!$B$6:$H$6,0))</f>
        <v>1889000</v>
      </c>
      <c r="M76" s="78">
        <f>INDEX('Population Data by Age'!$B$7:$H$10366,MATCH(CONCATENATE('Tabular Pop Data by Age'!$C76,'Tabular Pop Data by Age'!M$7),'Population Data by Age'!$B$7:$B$10366,0),MATCH('Tabular Pop Data by Age'!$C$6,'Population Data by Age'!$B$6:$H$6,0))</f>
        <v>1931000</v>
      </c>
      <c r="N76" s="78">
        <f>INDEX('Population Data by Age'!$B$7:$H$10366,MATCH(CONCATENATE('Tabular Pop Data by Age'!$C76,'Tabular Pop Data by Age'!N$7),'Population Data by Age'!$B$7:$B$10366,0),MATCH('Tabular Pop Data by Age'!$C$6,'Population Data by Age'!$B$6:$H$6,0))</f>
        <v>1913000</v>
      </c>
      <c r="O76" s="78">
        <f>INDEX('Population Data by Age'!$B$7:$H$10366,MATCH(CONCATENATE('Tabular Pop Data by Age'!$C76,'Tabular Pop Data by Age'!O$7),'Population Data by Age'!$B$7:$B$10366,0),MATCH('Tabular Pop Data by Age'!$C$6,'Population Data by Age'!$B$6:$H$6,0))</f>
        <v>1883000</v>
      </c>
      <c r="P76" s="78">
        <f>INDEX('Population Data by Age'!$B$7:$H$10366,MATCH(CONCATENATE('Tabular Pop Data by Age'!$C76,'Tabular Pop Data by Age'!P$7),'Population Data by Age'!$B$7:$B$10366,0),MATCH('Tabular Pop Data by Age'!$C$6,'Population Data by Age'!$B$6:$H$6,0))</f>
        <v>2076000</v>
      </c>
      <c r="Q76" s="78">
        <f>INDEX('Population Data by Age'!$B$7:$H$10366,MATCH(CONCATENATE('Tabular Pop Data by Age'!$C76,'Tabular Pop Data by Age'!Q$7),'Population Data by Age'!$B$7:$B$10366,0),MATCH('Tabular Pop Data by Age'!$C$6,'Population Data by Age'!$B$6:$H$6,0))</f>
        <v>1996000</v>
      </c>
      <c r="R76" s="78">
        <f>INDEX('Population Data by Age'!$B$7:$H$10366,MATCH(CONCATENATE('Tabular Pop Data by Age'!$C76,'Tabular Pop Data by Age'!R$7),'Population Data by Age'!$B$7:$B$10366,0),MATCH('Tabular Pop Data by Age'!$C$6,'Population Data by Age'!$B$6:$H$6,0))</f>
        <v>2143000</v>
      </c>
      <c r="S76" s="78">
        <f>INDEX('Population Data by Age'!$B$7:$H$10366,MATCH(CONCATENATE('Tabular Pop Data by Age'!$C76,'Tabular Pop Data by Age'!S$7),'Population Data by Age'!$B$7:$B$10366,0),MATCH('Tabular Pop Data by Age'!$C$6,'Population Data by Age'!$B$6:$H$6,0))</f>
        <v>2062000</v>
      </c>
      <c r="T76" s="78">
        <f>INDEX('Population Data by Age'!$B$7:$H$10366,MATCH(CONCATENATE('Tabular Pop Data by Age'!$C76,'Tabular Pop Data by Age'!T$7),'Population Data by Age'!$B$7:$B$10366,0),MATCH('Tabular Pop Data by Age'!$C$6,'Population Data by Age'!$B$6:$H$6,0))</f>
        <v>2066000</v>
      </c>
      <c r="U76" s="78">
        <f>INDEX('Population Data by Age'!$B$7:$H$10366,MATCH(CONCATENATE('Tabular Pop Data by Age'!$C76,'Tabular Pop Data by Age'!U$7),'Population Data by Age'!$B$7:$B$10366,0),MATCH('Tabular Pop Data by Age'!$C$6,'Population Data by Age'!$B$6:$H$6,0))</f>
        <v>2008000</v>
      </c>
      <c r="V76" s="78">
        <f>INDEX('Population Data by Age'!$B$7:$H$10366,MATCH(CONCATENATE('Tabular Pop Data by Age'!$C76,'Tabular Pop Data by Age'!V$7),'Population Data by Age'!$B$7:$B$10366,0),MATCH('Tabular Pop Data by Age'!$C$6,'Population Data by Age'!$B$6:$H$6,0))</f>
        <v>2287000</v>
      </c>
      <c r="W76" s="78">
        <f>INDEX('Population Data by Age'!$B$7:$H$10366,MATCH(CONCATENATE('Tabular Pop Data by Age'!$C76,'Tabular Pop Data by Age'!W$7),'Population Data by Age'!$B$7:$B$10366,0),MATCH('Tabular Pop Data by Age'!$C$6,'Population Data by Age'!$B$6:$H$6,0))</f>
        <v>2241000</v>
      </c>
      <c r="X76" s="78">
        <f>INDEX('Population Data by Age'!$B$7:$H$10366,MATCH(CONCATENATE('Tabular Pop Data by Age'!$C76,'Tabular Pop Data by Age'!X$7),'Population Data by Age'!$B$7:$B$10366,0),MATCH('Tabular Pop Data by Age'!$C$6,'Population Data by Age'!$B$6:$H$6,0))</f>
        <v>2291000</v>
      </c>
      <c r="Y76" s="78">
        <f>INDEX('Population Data by Age'!$B$7:$H$10366,MATCH(CONCATENATE('Tabular Pop Data by Age'!$C76,'Tabular Pop Data by Age'!Y$7),'Population Data by Age'!$B$7:$B$10366,0),MATCH('Tabular Pop Data by Age'!$C$6,'Population Data by Age'!$B$6:$H$6,0))</f>
        <v>2218000</v>
      </c>
      <c r="Z76" s="78">
        <f>INDEX('Population Data by Age'!$B$7:$H$10366,MATCH(CONCATENATE('Tabular Pop Data by Age'!$C76,'Tabular Pop Data by Age'!Z$7),'Population Data by Age'!$B$7:$B$10366,0),MATCH('Tabular Pop Data by Age'!$C$6,'Population Data by Age'!$B$6:$H$6,0))</f>
        <v>2265000</v>
      </c>
      <c r="AA76" s="78">
        <f>INDEX('Population Data by Age'!$B$7:$H$10366,MATCH(CONCATENATE('Tabular Pop Data by Age'!$C76,'Tabular Pop Data by Age'!AA$7),'Population Data by Age'!$B$7:$B$10366,0),MATCH('Tabular Pop Data by Age'!$C$6,'Population Data by Age'!$B$6:$H$6,0))</f>
        <v>2148000</v>
      </c>
      <c r="AB76" s="78">
        <f>INDEX('Population Data by Age'!$B$7:$H$10366,MATCH(CONCATENATE('Tabular Pop Data by Age'!$C76,'Tabular Pop Data by Age'!AB$7),'Population Data by Age'!$B$7:$B$10366,0),MATCH('Tabular Pop Data by Age'!$C$6,'Population Data by Age'!$B$6:$H$6,0))</f>
        <v>2139000</v>
      </c>
      <c r="AC76" s="78">
        <f>INDEX('Population Data by Age'!$B$7:$H$10366,MATCH(CONCATENATE('Tabular Pop Data by Age'!$C76,'Tabular Pop Data by Age'!AC$7),'Population Data by Age'!$B$7:$B$10366,0),MATCH('Tabular Pop Data by Age'!$C$6,'Population Data by Age'!$B$6:$H$6,0))</f>
        <v>1966000</v>
      </c>
      <c r="AD76" s="78">
        <f>INDEX('Population Data by Age'!$B$7:$H$10366,MATCH(CONCATENATE('Tabular Pop Data by Age'!$C76,'Tabular Pop Data by Age'!AD$7),'Population Data by Age'!$B$7:$B$10366,0),MATCH('Tabular Pop Data by Age'!$C$6,'Population Data by Age'!$B$6:$H$6,0))</f>
        <v>2072000</v>
      </c>
      <c r="AE76" s="78">
        <f>INDEX('Population Data by Age'!$B$7:$H$10366,MATCH(CONCATENATE('Tabular Pop Data by Age'!$C76,'Tabular Pop Data by Age'!AE$7),'Population Data by Age'!$B$7:$B$10366,0),MATCH('Tabular Pop Data by Age'!$C$6,'Population Data by Age'!$B$6:$H$6,0))</f>
        <v>1845000</v>
      </c>
      <c r="AF76" s="78">
        <f>INDEX('Population Data by Age'!$B$7:$H$10366,MATCH(CONCATENATE('Tabular Pop Data by Age'!$C76,'Tabular Pop Data by Age'!AF$7),'Population Data by Age'!$B$7:$B$10366,0),MATCH('Tabular Pop Data by Age'!$C$6,'Population Data by Age'!$B$6:$H$6,0))</f>
        <v>1959000</v>
      </c>
      <c r="AG76" s="78">
        <f>INDEX('Population Data by Age'!$B$7:$H$10366,MATCH(CONCATENATE('Tabular Pop Data by Age'!$C76,'Tabular Pop Data by Age'!AG$7),'Population Data by Age'!$B$7:$B$10366,0),MATCH('Tabular Pop Data by Age'!$C$6,'Population Data by Age'!$B$6:$H$6,0))</f>
        <v>1681000</v>
      </c>
      <c r="AH76" s="78">
        <f>INDEX('Population Data by Age'!$B$7:$H$10366,MATCH(CONCATENATE('Tabular Pop Data by Age'!$C76,'Tabular Pop Data by Age'!AH$7),'Population Data by Age'!$B$7:$B$10366,0),MATCH('Tabular Pop Data by Age'!$C$6,'Population Data by Age'!$B$6:$H$6,0))</f>
        <v>1263000</v>
      </c>
      <c r="AI76" s="78">
        <f>INDEX('Population Data by Age'!$B$7:$H$10366,MATCH(CONCATENATE('Tabular Pop Data by Age'!$C76,'Tabular Pop Data by Age'!AI$7),'Population Data by Age'!$B$7:$B$10366,0),MATCH('Tabular Pop Data by Age'!$C$6,'Population Data by Age'!$B$6:$H$6,0))</f>
        <v>1014000</v>
      </c>
      <c r="AJ76" s="78">
        <f>INDEX('Population Data by Age'!$B$7:$H$10366,MATCH(CONCATENATE('Tabular Pop Data by Age'!$C76,'Tabular Pop Data by Age'!AJ$7),'Population Data by Age'!$B$7:$B$10366,0),MATCH('Tabular Pop Data by Age'!$C$6,'Population Data by Age'!$B$6:$H$6,0))</f>
        <v>2655000</v>
      </c>
      <c r="AK76" s="78">
        <f>INDEX('Population Data by Age'!$B$7:$H$10366,MATCH(CONCATENATE('Tabular Pop Data by Age'!$C76,'Tabular Pop Data by Age'!AK$7),'Population Data by Age'!$B$7:$B$10366,0),MATCH('Tabular Pop Data by Age'!$C$6,'Population Data by Age'!$B$6:$H$6,0))</f>
        <v>1506000</v>
      </c>
      <c r="AL76" s="78">
        <f>INDEX('Population Data by Age'!$B$7:$H$10366,MATCH(CONCATENATE('Tabular Pop Data by Age'!$C76,'Tabular Pop Data by Age'!AL$7),'Population Data by Age'!$B$7:$B$10366,0),MATCH('Tabular Pop Data by Age'!$C$6,'Population Data by Age'!$B$6:$H$6,0))</f>
        <v>34804000</v>
      </c>
      <c r="AM76" s="78">
        <f>INDEX('Population Data by Age'!$B$7:$H$10366,MATCH(CONCATENATE('Tabular Pop Data by Age'!$C76,'Tabular Pop Data by Age'!AM$7),'Population Data by Age'!$B$7:$B$10366,0),MATCH('Tabular Pop Data by Age'!$C$6,'Population Data by Age'!$B$6:$H$6,0))</f>
        <v>32639000</v>
      </c>
      <c r="AN76" s="78">
        <f>INDEX('Population Data by Age'!$B$7:$H$10366,MATCH(CONCATENATE('Tabular Pop Data by Age'!$C76,'Tabular Pop Data by Age'!AN$7),'Population Data by Age'!$B$7:$B$10366,0),MATCH('Tabular Pop Data by Age'!$C$6,'Population Data by Age'!$B$6:$H$6,0))</f>
        <v>67443000</v>
      </c>
      <c r="AO76" s="78">
        <f>INDEX('Population Data by Age'!$B$7:$H$10366,MATCH(CONCATENATE('Tabular Pop Data by Age'!$C76,'Tabular Pop Data by Age'!AO$7),'Population Data by Age'!$B$7:$B$10366,0),MATCH('Tabular Pop Data by Age'!$C$6,'Population Data by Age'!$B$6:$H$6,0))</f>
        <v>0</v>
      </c>
      <c r="AP76" s="79">
        <f t="shared" si="17"/>
        <v>3740000</v>
      </c>
      <c r="AQ76" s="79">
        <f t="shared" si="18"/>
        <v>4037000</v>
      </c>
      <c r="AR76" s="79">
        <f t="shared" si="19"/>
        <v>4129000</v>
      </c>
      <c r="AS76" s="79">
        <f t="shared" si="20"/>
        <v>4017000</v>
      </c>
      <c r="AT76" s="79">
        <f t="shared" si="21"/>
        <v>3820000</v>
      </c>
      <c r="AU76" s="79">
        <f t="shared" si="22"/>
        <v>3796000</v>
      </c>
      <c r="AV76" s="79">
        <f t="shared" si="23"/>
        <v>4072000</v>
      </c>
      <c r="AW76" s="79">
        <f t="shared" si="24"/>
        <v>4205000</v>
      </c>
      <c r="AX76" s="79">
        <f t="shared" si="25"/>
        <v>4074000</v>
      </c>
      <c r="AY76" s="79">
        <f t="shared" si="26"/>
        <v>4528000</v>
      </c>
      <c r="AZ76" s="79">
        <f t="shared" si="27"/>
        <v>4509000</v>
      </c>
      <c r="BA76" s="79">
        <f t="shared" si="28"/>
        <v>4413000</v>
      </c>
      <c r="BB76" s="79">
        <f t="shared" si="29"/>
        <v>4105000</v>
      </c>
      <c r="BC76" s="79">
        <f t="shared" si="30"/>
        <v>3917000</v>
      </c>
      <c r="BD76" s="79">
        <f t="shared" si="31"/>
        <v>3640000</v>
      </c>
      <c r="BE76" s="79">
        <f t="shared" si="32"/>
        <v>2277000</v>
      </c>
      <c r="BF76" s="79">
        <f t="shared" si="33"/>
        <v>4161000</v>
      </c>
    </row>
    <row r="77" spans="1:58" x14ac:dyDescent="0.25">
      <c r="A77" s="138" t="s">
        <v>1195</v>
      </c>
      <c r="B77" t="s">
        <v>503</v>
      </c>
      <c r="C77" t="s">
        <v>504</v>
      </c>
      <c r="D77" s="78">
        <f>INDEX('Population Data by Age'!$B$7:$H$10366,MATCH(CONCATENATE('Tabular Pop Data by Age'!$C77,'Tabular Pop Data by Age'!D$7),'Population Data by Age'!$B$7:$B$10366,0),MATCH('Tabular Pop Data by Age'!$C$6,'Population Data by Age'!$B$6:$H$6,0))</f>
        <v>9800</v>
      </c>
      <c r="E77" s="78">
        <f>INDEX('Population Data by Age'!$B$7:$H$10366,MATCH(CONCATENATE('Tabular Pop Data by Age'!$C77,'Tabular Pop Data by Age'!E$7),'Population Data by Age'!$B$7:$B$10366,0),MATCH('Tabular Pop Data by Age'!$C$6,'Population Data by Age'!$B$6:$H$6,0))</f>
        <v>10000</v>
      </c>
      <c r="F77" s="78">
        <f>INDEX('Population Data by Age'!$B$7:$H$10366,MATCH(CONCATENATE('Tabular Pop Data by Age'!$C77,'Tabular Pop Data by Age'!F$7),'Population Data by Age'!$B$7:$B$10366,0),MATCH('Tabular Pop Data by Age'!$C$6,'Population Data by Age'!$B$6:$H$6,0))</f>
        <v>9400</v>
      </c>
      <c r="G77" s="78">
        <f>INDEX('Population Data by Age'!$B$7:$H$10366,MATCH(CONCATENATE('Tabular Pop Data by Age'!$C77,'Tabular Pop Data by Age'!G$7),'Population Data by Age'!$B$7:$B$10366,0),MATCH('Tabular Pop Data by Age'!$C$6,'Population Data by Age'!$B$6:$H$6,0))</f>
        <v>10000</v>
      </c>
      <c r="H77" s="78">
        <f>INDEX('Population Data by Age'!$B$7:$H$10366,MATCH(CONCATENATE('Tabular Pop Data by Age'!$C77,'Tabular Pop Data by Age'!H$7),'Population Data by Age'!$B$7:$B$10366,0),MATCH('Tabular Pop Data by Age'!$C$6,'Population Data by Age'!$B$6:$H$6,0))</f>
        <v>11000</v>
      </c>
      <c r="I77" s="78">
        <f>INDEX('Population Data by Age'!$B$7:$H$10366,MATCH(CONCATENATE('Tabular Pop Data by Age'!$C77,'Tabular Pop Data by Age'!I$7),'Population Data by Age'!$B$7:$B$10366,0),MATCH('Tabular Pop Data by Age'!$C$6,'Population Data by Age'!$B$6:$H$6,0))</f>
        <v>12000</v>
      </c>
      <c r="J77" s="78">
        <f>INDEX('Population Data by Age'!$B$7:$H$10366,MATCH(CONCATENATE('Tabular Pop Data by Age'!$C77,'Tabular Pop Data by Age'!J$7),'Population Data by Age'!$B$7:$B$10366,0),MATCH('Tabular Pop Data by Age'!$C$6,'Population Data by Age'!$B$6:$H$6,0))</f>
        <v>10000</v>
      </c>
      <c r="K77" s="78">
        <f>INDEX('Population Data by Age'!$B$7:$H$10366,MATCH(CONCATENATE('Tabular Pop Data by Age'!$C77,'Tabular Pop Data by Age'!K$7),'Population Data by Age'!$B$7:$B$10366,0),MATCH('Tabular Pop Data by Age'!$C$6,'Population Data by Age'!$B$6:$H$6,0))</f>
        <v>11000</v>
      </c>
      <c r="L77" s="78">
        <f>INDEX('Population Data by Age'!$B$7:$H$10366,MATCH(CONCATENATE('Tabular Pop Data by Age'!$C77,'Tabular Pop Data by Age'!L$7),'Population Data by Age'!$B$7:$B$10366,0),MATCH('Tabular Pop Data by Age'!$C$6,'Population Data by Age'!$B$6:$H$6,0))</f>
        <v>11000</v>
      </c>
      <c r="M77" s="78">
        <f>INDEX('Population Data by Age'!$B$7:$H$10366,MATCH(CONCATENATE('Tabular Pop Data by Age'!$C77,'Tabular Pop Data by Age'!M$7),'Population Data by Age'!$B$7:$B$10366,0),MATCH('Tabular Pop Data by Age'!$C$6,'Population Data by Age'!$B$6:$H$6,0))</f>
        <v>11000</v>
      </c>
      <c r="N77" s="78">
        <f>INDEX('Population Data by Age'!$B$7:$H$10366,MATCH(CONCATENATE('Tabular Pop Data by Age'!$C77,'Tabular Pop Data by Age'!N$7),'Population Data by Age'!$B$7:$B$10366,0),MATCH('Tabular Pop Data by Age'!$C$6,'Population Data by Age'!$B$6:$H$6,0))</f>
        <v>9400</v>
      </c>
      <c r="O77" s="78">
        <f>INDEX('Population Data by Age'!$B$7:$H$10366,MATCH(CONCATENATE('Tabular Pop Data by Age'!$C77,'Tabular Pop Data by Age'!O$7),'Population Data by Age'!$B$7:$B$10366,0),MATCH('Tabular Pop Data by Age'!$C$6,'Population Data by Age'!$B$6:$H$6,0))</f>
        <v>9600</v>
      </c>
      <c r="P77" s="78">
        <f>INDEX('Population Data by Age'!$B$7:$H$10366,MATCH(CONCATENATE('Tabular Pop Data by Age'!$C77,'Tabular Pop Data by Age'!P$7),'Population Data by Age'!$B$7:$B$10366,0),MATCH('Tabular Pop Data by Age'!$C$6,'Population Data by Age'!$B$6:$H$6,0))</f>
        <v>12000</v>
      </c>
      <c r="Q77" s="78">
        <f>INDEX('Population Data by Age'!$B$7:$H$10366,MATCH(CONCATENATE('Tabular Pop Data by Age'!$C77,'Tabular Pop Data by Age'!Q$7),'Population Data by Age'!$B$7:$B$10366,0),MATCH('Tabular Pop Data by Age'!$C$6,'Population Data by Age'!$B$6:$H$6,0))</f>
        <v>11000</v>
      </c>
      <c r="R77" s="78">
        <f>INDEX('Population Data by Age'!$B$7:$H$10366,MATCH(CONCATENATE('Tabular Pop Data by Age'!$C77,'Tabular Pop Data by Age'!R$7),'Population Data by Age'!$B$7:$B$10366,0),MATCH('Tabular Pop Data by Age'!$C$6,'Population Data by Age'!$B$6:$H$6,0))</f>
        <v>11000</v>
      </c>
      <c r="S77" s="78">
        <f>INDEX('Population Data by Age'!$B$7:$H$10366,MATCH(CONCATENATE('Tabular Pop Data by Age'!$C77,'Tabular Pop Data by Age'!S$7),'Population Data by Age'!$B$7:$B$10366,0),MATCH('Tabular Pop Data by Age'!$C$6,'Population Data by Age'!$B$6:$H$6,0))</f>
        <v>10000</v>
      </c>
      <c r="T77" s="78">
        <f>INDEX('Population Data by Age'!$B$7:$H$10366,MATCH(CONCATENATE('Tabular Pop Data by Age'!$C77,'Tabular Pop Data by Age'!T$7),'Population Data by Age'!$B$7:$B$10366,0),MATCH('Tabular Pop Data by Age'!$C$6,'Population Data by Age'!$B$6:$H$6,0))</f>
        <v>9300</v>
      </c>
      <c r="U77" s="78">
        <f>INDEX('Population Data by Age'!$B$7:$H$10366,MATCH(CONCATENATE('Tabular Pop Data by Age'!$C77,'Tabular Pop Data by Age'!U$7),'Population Data by Age'!$B$7:$B$10366,0),MATCH('Tabular Pop Data by Age'!$C$6,'Population Data by Age'!$B$6:$H$6,0))</f>
        <v>9700</v>
      </c>
      <c r="V77" s="78">
        <f>INDEX('Population Data by Age'!$B$7:$H$10366,MATCH(CONCATENATE('Tabular Pop Data by Age'!$C77,'Tabular Pop Data by Age'!V$7),'Population Data by Age'!$B$7:$B$10366,0),MATCH('Tabular Pop Data by Age'!$C$6,'Population Data by Age'!$B$6:$H$6,0))</f>
        <v>10000</v>
      </c>
      <c r="W77" s="78">
        <f>INDEX('Population Data by Age'!$B$7:$H$10366,MATCH(CONCATENATE('Tabular Pop Data by Age'!$C77,'Tabular Pop Data by Age'!W$7),'Population Data by Age'!$B$7:$B$10366,0),MATCH('Tabular Pop Data by Age'!$C$6,'Population Data by Age'!$B$6:$H$6,0))</f>
        <v>10000</v>
      </c>
      <c r="X77" s="78">
        <f>INDEX('Population Data by Age'!$B$7:$H$10366,MATCH(CONCATENATE('Tabular Pop Data by Age'!$C77,'Tabular Pop Data by Age'!X$7),'Population Data by Age'!$B$7:$B$10366,0),MATCH('Tabular Pop Data by Age'!$C$6,'Population Data by Age'!$B$6:$H$6,0))</f>
        <v>9000</v>
      </c>
      <c r="Y77" s="78">
        <f>INDEX('Population Data by Age'!$B$7:$H$10366,MATCH(CONCATENATE('Tabular Pop Data by Age'!$C77,'Tabular Pop Data by Age'!Y$7),'Population Data by Age'!$B$7:$B$10366,0),MATCH('Tabular Pop Data by Age'!$C$6,'Population Data by Age'!$B$6:$H$6,0))</f>
        <v>9900</v>
      </c>
      <c r="Z77" s="78">
        <f>INDEX('Population Data by Age'!$B$7:$H$10366,MATCH(CONCATENATE('Tabular Pop Data by Age'!$C77,'Tabular Pop Data by Age'!Z$7),'Population Data by Age'!$B$7:$B$10366,0),MATCH('Tabular Pop Data by Age'!$C$6,'Population Data by Age'!$B$6:$H$6,0))</f>
        <v>8300</v>
      </c>
      <c r="AA77" s="78">
        <f>INDEX('Population Data by Age'!$B$7:$H$10366,MATCH(CONCATENATE('Tabular Pop Data by Age'!$C77,'Tabular Pop Data by Age'!AA$7),'Population Data by Age'!$B$7:$B$10366,0),MATCH('Tabular Pop Data by Age'!$C$6,'Population Data by Age'!$B$6:$H$6,0))</f>
        <v>8400</v>
      </c>
      <c r="AB77" s="78">
        <f>INDEX('Population Data by Age'!$B$7:$H$10366,MATCH(CONCATENATE('Tabular Pop Data by Age'!$C77,'Tabular Pop Data by Age'!AB$7),'Population Data by Age'!$B$7:$B$10366,0),MATCH('Tabular Pop Data by Age'!$C$6,'Population Data by Age'!$B$6:$H$6,0))</f>
        <v>6000</v>
      </c>
      <c r="AC77" s="78">
        <f>INDEX('Population Data by Age'!$B$7:$H$10366,MATCH(CONCATENATE('Tabular Pop Data by Age'!$C77,'Tabular Pop Data by Age'!AC$7),'Population Data by Age'!$B$7:$B$10366,0),MATCH('Tabular Pop Data by Age'!$C$6,'Population Data by Age'!$B$6:$H$6,0))</f>
        <v>6600</v>
      </c>
      <c r="AD77" s="78">
        <f>INDEX('Population Data by Age'!$B$7:$H$10366,MATCH(CONCATENATE('Tabular Pop Data by Age'!$C77,'Tabular Pop Data by Age'!AD$7),'Population Data by Age'!$B$7:$B$10366,0),MATCH('Tabular Pop Data by Age'!$C$6,'Population Data by Age'!$B$6:$H$6,0))</f>
        <v>5200</v>
      </c>
      <c r="AE77" s="78">
        <f>INDEX('Population Data by Age'!$B$7:$H$10366,MATCH(CONCATENATE('Tabular Pop Data by Age'!$C77,'Tabular Pop Data by Age'!AE$7),'Population Data by Age'!$B$7:$B$10366,0),MATCH('Tabular Pop Data by Age'!$C$6,'Population Data by Age'!$B$6:$H$6,0))</f>
        <v>5200</v>
      </c>
      <c r="AF77" s="78">
        <f>INDEX('Population Data by Age'!$B$7:$H$10366,MATCH(CONCATENATE('Tabular Pop Data by Age'!$C77,'Tabular Pop Data by Age'!AF$7),'Population Data by Age'!$B$7:$B$10366,0),MATCH('Tabular Pop Data by Age'!$C$6,'Population Data by Age'!$B$6:$H$6,0))</f>
        <v>2900</v>
      </c>
      <c r="AG77" s="78">
        <f>INDEX('Population Data by Age'!$B$7:$H$10366,MATCH(CONCATENATE('Tabular Pop Data by Age'!$C77,'Tabular Pop Data by Age'!AG$7),'Population Data by Age'!$B$7:$B$10366,0),MATCH('Tabular Pop Data by Age'!$C$6,'Population Data by Age'!$B$6:$H$6,0))</f>
        <v>3000</v>
      </c>
      <c r="AH77" s="78">
        <f>INDEX('Population Data by Age'!$B$7:$H$10366,MATCH(CONCATENATE('Tabular Pop Data by Age'!$C77,'Tabular Pop Data by Age'!AH$7),'Population Data by Age'!$B$7:$B$10366,0),MATCH('Tabular Pop Data by Age'!$C$6,'Population Data by Age'!$B$6:$H$6,0))</f>
        <v>2600</v>
      </c>
      <c r="AI77" s="78">
        <f>INDEX('Population Data by Age'!$B$7:$H$10366,MATCH(CONCATENATE('Tabular Pop Data by Age'!$C77,'Tabular Pop Data by Age'!AI$7),'Population Data by Age'!$B$7:$B$10366,0),MATCH('Tabular Pop Data by Age'!$C$6,'Population Data by Age'!$B$6:$H$6,0))</f>
        <v>2400</v>
      </c>
      <c r="AJ77" s="78">
        <f>INDEX('Population Data by Age'!$B$7:$H$10366,MATCH(CONCATENATE('Tabular Pop Data by Age'!$C77,'Tabular Pop Data by Age'!AJ$7),'Population Data by Age'!$B$7:$B$10366,0),MATCH('Tabular Pop Data by Age'!$C$6,'Population Data by Age'!$B$6:$H$6,0))</f>
        <v>2500</v>
      </c>
      <c r="AK77" s="78">
        <f>INDEX('Population Data by Age'!$B$7:$H$10366,MATCH(CONCATENATE('Tabular Pop Data by Age'!$C77,'Tabular Pop Data by Age'!AK$7),'Population Data by Age'!$B$7:$B$10366,0),MATCH('Tabular Pop Data by Age'!$C$6,'Population Data by Age'!$B$6:$H$6,0))</f>
        <v>1800</v>
      </c>
      <c r="AL77" s="78">
        <f>INDEX('Population Data by Age'!$B$7:$H$10366,MATCH(CONCATENATE('Tabular Pop Data by Age'!$C77,'Tabular Pop Data by Age'!AL$7),'Population Data by Age'!$B$7:$B$10366,0),MATCH('Tabular Pop Data by Age'!$C$6,'Population Data by Age'!$B$6:$H$6,0))</f>
        <v>139000</v>
      </c>
      <c r="AM77" s="78">
        <f>INDEX('Population Data by Age'!$B$7:$H$10366,MATCH(CONCATENATE('Tabular Pop Data by Age'!$C77,'Tabular Pop Data by Age'!AM$7),'Population Data by Age'!$B$7:$B$10366,0),MATCH('Tabular Pop Data by Age'!$C$6,'Population Data by Age'!$B$6:$H$6,0))</f>
        <v>142000</v>
      </c>
      <c r="AN77" s="78">
        <f>INDEX('Population Data by Age'!$B$7:$H$10366,MATCH(CONCATENATE('Tabular Pop Data by Age'!$C77,'Tabular Pop Data by Age'!AN$7),'Population Data by Age'!$B$7:$B$10366,0),MATCH('Tabular Pop Data by Age'!$C$6,'Population Data by Age'!$B$6:$H$6,0))</f>
        <v>281000</v>
      </c>
      <c r="AO77" s="78">
        <f>INDEX('Population Data by Age'!$B$7:$H$10366,MATCH(CONCATENATE('Tabular Pop Data by Age'!$C77,'Tabular Pop Data by Age'!AO$7),'Population Data by Age'!$B$7:$B$10366,0),MATCH('Tabular Pop Data by Age'!$C$6,'Population Data by Age'!$B$6:$H$6,0))</f>
        <v>0</v>
      </c>
      <c r="AP77" s="79">
        <f t="shared" si="17"/>
        <v>19800</v>
      </c>
      <c r="AQ77" s="79">
        <f t="shared" si="18"/>
        <v>19400</v>
      </c>
      <c r="AR77" s="79">
        <f t="shared" si="19"/>
        <v>23000</v>
      </c>
      <c r="AS77" s="79">
        <f t="shared" si="20"/>
        <v>21000</v>
      </c>
      <c r="AT77" s="79">
        <f t="shared" si="21"/>
        <v>22000</v>
      </c>
      <c r="AU77" s="79">
        <f t="shared" si="22"/>
        <v>19000</v>
      </c>
      <c r="AV77" s="79">
        <f t="shared" si="23"/>
        <v>23000</v>
      </c>
      <c r="AW77" s="79">
        <f t="shared" si="24"/>
        <v>21000</v>
      </c>
      <c r="AX77" s="79">
        <f t="shared" si="25"/>
        <v>19000</v>
      </c>
      <c r="AY77" s="79">
        <f t="shared" si="26"/>
        <v>20000</v>
      </c>
      <c r="AZ77" s="79">
        <f t="shared" si="27"/>
        <v>18900</v>
      </c>
      <c r="BA77" s="79">
        <f t="shared" si="28"/>
        <v>16700</v>
      </c>
      <c r="BB77" s="79">
        <f t="shared" si="29"/>
        <v>12600</v>
      </c>
      <c r="BC77" s="79">
        <f t="shared" si="30"/>
        <v>10400</v>
      </c>
      <c r="BD77" s="79">
        <f t="shared" si="31"/>
        <v>5900</v>
      </c>
      <c r="BE77" s="79">
        <f t="shared" si="32"/>
        <v>5000</v>
      </c>
      <c r="BF77" s="79">
        <f t="shared" si="33"/>
        <v>4300</v>
      </c>
    </row>
    <row r="78" spans="1:58" x14ac:dyDescent="0.25">
      <c r="A78" s="138" t="s">
        <v>1195</v>
      </c>
      <c r="B78" t="s">
        <v>195</v>
      </c>
      <c r="C78" t="s">
        <v>46</v>
      </c>
      <c r="D78" s="78">
        <f>INDEX('Population Data by Age'!$B$7:$H$10366,MATCH(CONCATENATE('Tabular Pop Data by Age'!$C78,'Tabular Pop Data by Age'!D$7),'Population Data by Age'!$B$7:$B$10366,0),MATCH('Tabular Pop Data by Age'!$C$6,'Population Data by Age'!$B$6:$H$6,0))</f>
        <v>158000</v>
      </c>
      <c r="E78" s="78">
        <f>INDEX('Population Data by Age'!$B$7:$H$10366,MATCH(CONCATENATE('Tabular Pop Data by Age'!$C78,'Tabular Pop Data by Age'!E$7),'Population Data by Age'!$B$7:$B$10366,0),MATCH('Tabular Pop Data by Age'!$C$6,'Population Data by Age'!$B$6:$H$6,0))</f>
        <v>162000</v>
      </c>
      <c r="F78" s="78">
        <f>INDEX('Population Data by Age'!$B$7:$H$10366,MATCH(CONCATENATE('Tabular Pop Data by Age'!$C78,'Tabular Pop Data by Age'!F$7),'Population Data by Age'!$B$7:$B$10366,0),MATCH('Tabular Pop Data by Age'!$C$6,'Population Data by Age'!$B$6:$H$6,0))</f>
        <v>139000</v>
      </c>
      <c r="G78" s="78">
        <f>INDEX('Population Data by Age'!$B$7:$H$10366,MATCH(CONCATENATE('Tabular Pop Data by Age'!$C78,'Tabular Pop Data by Age'!G$7),'Population Data by Age'!$B$7:$B$10366,0),MATCH('Tabular Pop Data by Age'!$C$6,'Population Data by Age'!$B$6:$H$6,0))</f>
        <v>141000</v>
      </c>
      <c r="H78" s="78">
        <f>INDEX('Population Data by Age'!$B$7:$H$10366,MATCH(CONCATENATE('Tabular Pop Data by Age'!$C78,'Tabular Pop Data by Age'!H$7),'Population Data by Age'!$B$7:$B$10366,0),MATCH('Tabular Pop Data by Age'!$C$6,'Population Data by Age'!$B$6:$H$6,0))</f>
        <v>114000</v>
      </c>
      <c r="I78" s="78">
        <f>INDEX('Population Data by Age'!$B$7:$H$10366,MATCH(CONCATENATE('Tabular Pop Data by Age'!$C78,'Tabular Pop Data by Age'!I$7),'Population Data by Age'!$B$7:$B$10366,0),MATCH('Tabular Pop Data by Age'!$C$6,'Population Data by Age'!$B$6:$H$6,0))</f>
        <v>116000</v>
      </c>
      <c r="J78" s="78">
        <f>INDEX('Population Data by Age'!$B$7:$H$10366,MATCH(CONCATENATE('Tabular Pop Data by Age'!$C78,'Tabular Pop Data by Age'!J$7),'Population Data by Age'!$B$7:$B$10366,0),MATCH('Tabular Pop Data by Age'!$C$6,'Population Data by Age'!$B$6:$H$6,0))</f>
        <v>96000</v>
      </c>
      <c r="K78" s="78">
        <f>INDEX('Population Data by Age'!$B$7:$H$10366,MATCH(CONCATENATE('Tabular Pop Data by Age'!$C78,'Tabular Pop Data by Age'!K$7),'Population Data by Age'!$B$7:$B$10366,0),MATCH('Tabular Pop Data by Age'!$C$6,'Population Data by Age'!$B$6:$H$6,0))</f>
        <v>97000</v>
      </c>
      <c r="L78" s="78">
        <f>INDEX('Population Data by Age'!$B$7:$H$10366,MATCH(CONCATENATE('Tabular Pop Data by Age'!$C78,'Tabular Pop Data by Age'!L$7),'Population Data by Age'!$B$7:$B$10366,0),MATCH('Tabular Pop Data by Age'!$C$6,'Population Data by Age'!$B$6:$H$6,0))</f>
        <v>89000</v>
      </c>
      <c r="M78" s="78">
        <f>INDEX('Population Data by Age'!$B$7:$H$10366,MATCH(CONCATENATE('Tabular Pop Data by Age'!$C78,'Tabular Pop Data by Age'!M$7),'Population Data by Age'!$B$7:$B$10366,0),MATCH('Tabular Pop Data by Age'!$C$6,'Population Data by Age'!$B$6:$H$6,0))</f>
        <v>90000</v>
      </c>
      <c r="N78" s="78">
        <f>INDEX('Population Data by Age'!$B$7:$H$10366,MATCH(CONCATENATE('Tabular Pop Data by Age'!$C78,'Tabular Pop Data by Age'!N$7),'Population Data by Age'!$B$7:$B$10366,0),MATCH('Tabular Pop Data by Age'!$C$6,'Population Data by Age'!$B$6:$H$6,0))</f>
        <v>93000</v>
      </c>
      <c r="O78" s="78">
        <f>INDEX('Population Data by Age'!$B$7:$H$10366,MATCH(CONCATENATE('Tabular Pop Data by Age'!$C78,'Tabular Pop Data by Age'!O$7),'Population Data by Age'!$B$7:$B$10366,0),MATCH('Tabular Pop Data by Age'!$C$6,'Population Data by Age'!$B$6:$H$6,0))</f>
        <v>95000</v>
      </c>
      <c r="P78" s="78">
        <f>INDEX('Population Data by Age'!$B$7:$H$10366,MATCH(CONCATENATE('Tabular Pop Data by Age'!$C78,'Tabular Pop Data by Age'!P$7),'Population Data by Age'!$B$7:$B$10366,0),MATCH('Tabular Pop Data by Age'!$C$6,'Population Data by Age'!$B$6:$H$6,0))</f>
        <v>93000</v>
      </c>
      <c r="Q78" s="78">
        <f>INDEX('Population Data by Age'!$B$7:$H$10366,MATCH(CONCATENATE('Tabular Pop Data by Age'!$C78,'Tabular Pop Data by Age'!Q$7),'Population Data by Age'!$B$7:$B$10366,0),MATCH('Tabular Pop Data by Age'!$C$6,'Population Data by Age'!$B$6:$H$6,0))</f>
        <v>96000</v>
      </c>
      <c r="R78" s="78">
        <f>INDEX('Population Data by Age'!$B$7:$H$10366,MATCH(CONCATENATE('Tabular Pop Data by Age'!$C78,'Tabular Pop Data by Age'!R$7),'Population Data by Age'!$B$7:$B$10366,0),MATCH('Tabular Pop Data by Age'!$C$6,'Population Data by Age'!$B$6:$H$6,0))</f>
        <v>76000</v>
      </c>
      <c r="S78" s="78">
        <f>INDEX('Population Data by Age'!$B$7:$H$10366,MATCH(CONCATENATE('Tabular Pop Data by Age'!$C78,'Tabular Pop Data by Age'!S$7),'Population Data by Age'!$B$7:$B$10366,0),MATCH('Tabular Pop Data by Age'!$C$6,'Population Data by Age'!$B$6:$H$6,0))</f>
        <v>85000</v>
      </c>
      <c r="T78" s="78">
        <f>INDEX('Population Data by Age'!$B$7:$H$10366,MATCH(CONCATENATE('Tabular Pop Data by Age'!$C78,'Tabular Pop Data by Age'!T$7),'Population Data by Age'!$B$7:$B$10366,0),MATCH('Tabular Pop Data by Age'!$C$6,'Population Data by Age'!$B$6:$H$6,0))</f>
        <v>58000</v>
      </c>
      <c r="U78" s="78">
        <f>INDEX('Population Data by Age'!$B$7:$H$10366,MATCH(CONCATENATE('Tabular Pop Data by Age'!$C78,'Tabular Pop Data by Age'!U$7),'Population Data by Age'!$B$7:$B$10366,0),MATCH('Tabular Pop Data by Age'!$C$6,'Population Data by Age'!$B$6:$H$6,0))</f>
        <v>71000</v>
      </c>
      <c r="V78" s="78">
        <f>INDEX('Population Data by Age'!$B$7:$H$10366,MATCH(CONCATENATE('Tabular Pop Data by Age'!$C78,'Tabular Pop Data by Age'!V$7),'Population Data by Age'!$B$7:$B$10366,0),MATCH('Tabular Pop Data by Age'!$C$6,'Population Data by Age'!$B$6:$H$6,0))</f>
        <v>47000</v>
      </c>
      <c r="W78" s="78">
        <f>INDEX('Population Data by Age'!$B$7:$H$10366,MATCH(CONCATENATE('Tabular Pop Data by Age'!$C78,'Tabular Pop Data by Age'!W$7),'Population Data by Age'!$B$7:$B$10366,0),MATCH('Tabular Pop Data by Age'!$C$6,'Population Data by Age'!$B$6:$H$6,0))</f>
        <v>57000</v>
      </c>
      <c r="X78" s="78">
        <f>INDEX('Population Data by Age'!$B$7:$H$10366,MATCH(CONCATENATE('Tabular Pop Data by Age'!$C78,'Tabular Pop Data by Age'!X$7),'Population Data by Age'!$B$7:$B$10366,0),MATCH('Tabular Pop Data by Age'!$C$6,'Population Data by Age'!$B$6:$H$6,0))</f>
        <v>37000</v>
      </c>
      <c r="Y78" s="78">
        <f>INDEX('Population Data by Age'!$B$7:$H$10366,MATCH(CONCATENATE('Tabular Pop Data by Age'!$C78,'Tabular Pop Data by Age'!Y$7),'Population Data by Age'!$B$7:$B$10366,0),MATCH('Tabular Pop Data by Age'!$C$6,'Population Data by Age'!$B$6:$H$6,0))</f>
        <v>41000</v>
      </c>
      <c r="Z78" s="78">
        <f>INDEX('Population Data by Age'!$B$7:$H$10366,MATCH(CONCATENATE('Tabular Pop Data by Age'!$C78,'Tabular Pop Data by Age'!Z$7),'Population Data by Age'!$B$7:$B$10366,0),MATCH('Tabular Pop Data by Age'!$C$6,'Population Data by Age'!$B$6:$H$6,0))</f>
        <v>28000</v>
      </c>
      <c r="AA78" s="78">
        <f>INDEX('Population Data by Age'!$B$7:$H$10366,MATCH(CONCATENATE('Tabular Pop Data by Age'!$C78,'Tabular Pop Data by Age'!AA$7),'Population Data by Age'!$B$7:$B$10366,0),MATCH('Tabular Pop Data by Age'!$C$6,'Population Data by Age'!$B$6:$H$6,0))</f>
        <v>28000</v>
      </c>
      <c r="AB78" s="78">
        <f>INDEX('Population Data by Age'!$B$7:$H$10366,MATCH(CONCATENATE('Tabular Pop Data by Age'!$C78,'Tabular Pop Data by Age'!AB$7),'Population Data by Age'!$B$7:$B$10366,0),MATCH('Tabular Pop Data by Age'!$C$6,'Population Data by Age'!$B$6:$H$6,0))</f>
        <v>21000</v>
      </c>
      <c r="AC78" s="78">
        <f>INDEX('Population Data by Age'!$B$7:$H$10366,MATCH(CONCATENATE('Tabular Pop Data by Age'!$C78,'Tabular Pop Data by Age'!AC$7),'Population Data by Age'!$B$7:$B$10366,0),MATCH('Tabular Pop Data by Age'!$C$6,'Population Data by Age'!$B$6:$H$6,0))</f>
        <v>20000</v>
      </c>
      <c r="AD78" s="78">
        <f>INDEX('Population Data by Age'!$B$7:$H$10366,MATCH(CONCATENATE('Tabular Pop Data by Age'!$C78,'Tabular Pop Data by Age'!AD$7),'Population Data by Age'!$B$7:$B$10366,0),MATCH('Tabular Pop Data by Age'!$C$6,'Population Data by Age'!$B$6:$H$6,0))</f>
        <v>16000</v>
      </c>
      <c r="AE78" s="78">
        <f>INDEX('Population Data by Age'!$B$7:$H$10366,MATCH(CONCATENATE('Tabular Pop Data by Age'!$C78,'Tabular Pop Data by Age'!AE$7),'Population Data by Age'!$B$7:$B$10366,0),MATCH('Tabular Pop Data by Age'!$C$6,'Population Data by Age'!$B$6:$H$6,0))</f>
        <v>15000</v>
      </c>
      <c r="AF78" s="78">
        <f>INDEX('Population Data by Age'!$B$7:$H$10366,MATCH(CONCATENATE('Tabular Pop Data by Age'!$C78,'Tabular Pop Data by Age'!AF$7),'Population Data by Age'!$B$7:$B$10366,0),MATCH('Tabular Pop Data by Age'!$C$6,'Population Data by Age'!$B$6:$H$6,0))</f>
        <v>12000</v>
      </c>
      <c r="AG78" s="78">
        <f>INDEX('Population Data by Age'!$B$7:$H$10366,MATCH(CONCATENATE('Tabular Pop Data by Age'!$C78,'Tabular Pop Data by Age'!AG$7),'Population Data by Age'!$B$7:$B$10366,0),MATCH('Tabular Pop Data by Age'!$C$6,'Population Data by Age'!$B$6:$H$6,0))</f>
        <v>10000</v>
      </c>
      <c r="AH78" s="78">
        <f>INDEX('Population Data by Age'!$B$7:$H$10366,MATCH(CONCATENATE('Tabular Pop Data by Age'!$C78,'Tabular Pop Data by Age'!AH$7),'Population Data by Age'!$B$7:$B$10366,0),MATCH('Tabular Pop Data by Age'!$C$6,'Population Data by Age'!$B$6:$H$6,0))</f>
        <v>8600</v>
      </c>
      <c r="AI78" s="78">
        <f>INDEX('Population Data by Age'!$B$7:$H$10366,MATCH(CONCATENATE('Tabular Pop Data by Age'!$C78,'Tabular Pop Data by Age'!AI$7),'Population Data by Age'!$B$7:$B$10366,0),MATCH('Tabular Pop Data by Age'!$C$6,'Population Data by Age'!$B$6:$H$6,0))</f>
        <v>6000</v>
      </c>
      <c r="AJ78" s="78">
        <f>INDEX('Population Data by Age'!$B$7:$H$10366,MATCH(CONCATENATE('Tabular Pop Data by Age'!$C78,'Tabular Pop Data by Age'!AJ$7),'Population Data by Age'!$B$7:$B$10366,0),MATCH('Tabular Pop Data by Age'!$C$6,'Population Data by Age'!$B$6:$H$6,0))</f>
        <v>7100</v>
      </c>
      <c r="AK78" s="78">
        <f>INDEX('Population Data by Age'!$B$7:$H$10366,MATCH(CONCATENATE('Tabular Pop Data by Age'!$C78,'Tabular Pop Data by Age'!AK$7),'Population Data by Age'!$B$7:$B$10366,0),MATCH('Tabular Pop Data by Age'!$C$6,'Population Data by Age'!$B$6:$H$6,0))</f>
        <v>4100</v>
      </c>
      <c r="AL78" s="78">
        <f>INDEX('Population Data by Age'!$B$7:$H$10366,MATCH(CONCATENATE('Tabular Pop Data by Age'!$C78,'Tabular Pop Data by Age'!AL$7),'Population Data by Age'!$B$7:$B$10366,0),MATCH('Tabular Pop Data by Age'!$C$6,'Population Data by Age'!$B$6:$H$6,0))</f>
        <v>1093000</v>
      </c>
      <c r="AM78" s="78">
        <f>INDEX('Population Data by Age'!$B$7:$H$10366,MATCH(CONCATENATE('Tabular Pop Data by Age'!$C78,'Tabular Pop Data by Age'!AM$7),'Population Data by Age'!$B$7:$B$10366,0),MATCH('Tabular Pop Data by Age'!$C$6,'Population Data by Age'!$B$6:$H$6,0))</f>
        <v>1133000</v>
      </c>
      <c r="AN78" s="78">
        <f>INDEX('Population Data by Age'!$B$7:$H$10366,MATCH(CONCATENATE('Tabular Pop Data by Age'!$C78,'Tabular Pop Data by Age'!AN$7),'Population Data by Age'!$B$7:$B$10366,0),MATCH('Tabular Pop Data by Age'!$C$6,'Population Data by Age'!$B$6:$H$6,0))</f>
        <v>2226000</v>
      </c>
      <c r="AO78" s="78">
        <f>INDEX('Population Data by Age'!$B$7:$H$10366,MATCH(CONCATENATE('Tabular Pop Data by Age'!$C78,'Tabular Pop Data by Age'!AO$7),'Population Data by Age'!$B$7:$B$10366,0),MATCH('Tabular Pop Data by Age'!$C$6,'Population Data by Age'!$B$6:$H$6,0))</f>
        <v>0</v>
      </c>
      <c r="AP78" s="79">
        <f t="shared" si="17"/>
        <v>320000</v>
      </c>
      <c r="AQ78" s="79">
        <f t="shared" si="18"/>
        <v>280000</v>
      </c>
      <c r="AR78" s="79">
        <f t="shared" si="19"/>
        <v>230000</v>
      </c>
      <c r="AS78" s="79">
        <f t="shared" si="20"/>
        <v>193000</v>
      </c>
      <c r="AT78" s="79">
        <f t="shared" si="21"/>
        <v>179000</v>
      </c>
      <c r="AU78" s="79">
        <f t="shared" si="22"/>
        <v>188000</v>
      </c>
      <c r="AV78" s="79">
        <f t="shared" si="23"/>
        <v>189000</v>
      </c>
      <c r="AW78" s="79">
        <f t="shared" si="24"/>
        <v>161000</v>
      </c>
      <c r="AX78" s="79">
        <f t="shared" si="25"/>
        <v>129000</v>
      </c>
      <c r="AY78" s="79">
        <f t="shared" si="26"/>
        <v>104000</v>
      </c>
      <c r="AZ78" s="79">
        <f t="shared" si="27"/>
        <v>78000</v>
      </c>
      <c r="BA78" s="79">
        <f t="shared" si="28"/>
        <v>56000</v>
      </c>
      <c r="BB78" s="79">
        <f t="shared" si="29"/>
        <v>41000</v>
      </c>
      <c r="BC78" s="79">
        <f t="shared" si="30"/>
        <v>31000</v>
      </c>
      <c r="BD78" s="79">
        <f t="shared" si="31"/>
        <v>22000</v>
      </c>
      <c r="BE78" s="79">
        <f t="shared" si="32"/>
        <v>14600</v>
      </c>
      <c r="BF78" s="79">
        <f t="shared" si="33"/>
        <v>11200</v>
      </c>
    </row>
    <row r="79" spans="1:58" x14ac:dyDescent="0.25">
      <c r="A79" s="138" t="s">
        <v>1195</v>
      </c>
      <c r="B79" t="s">
        <v>505</v>
      </c>
      <c r="C79" t="s">
        <v>50</v>
      </c>
      <c r="D79" s="78">
        <f>INDEX('Population Data by Age'!$B$7:$H$10366,MATCH(CONCATENATE('Tabular Pop Data by Age'!$C79,'Tabular Pop Data by Age'!D$7),'Population Data by Age'!$B$7:$B$10366,0),MATCH('Tabular Pop Data by Age'!$C$6,'Population Data by Age'!$B$6:$H$6,0))</f>
        <v>203000</v>
      </c>
      <c r="E79" s="78">
        <f>INDEX('Population Data by Age'!$B$7:$H$10366,MATCH(CONCATENATE('Tabular Pop Data by Age'!$C79,'Tabular Pop Data by Age'!E$7),'Population Data by Age'!$B$7:$B$10366,0),MATCH('Tabular Pop Data by Age'!$C$6,'Population Data by Age'!$B$6:$H$6,0))</f>
        <v>207000</v>
      </c>
      <c r="F79" s="78">
        <f>INDEX('Population Data by Age'!$B$7:$H$10366,MATCH(CONCATENATE('Tabular Pop Data by Age'!$C79,'Tabular Pop Data by Age'!F$7),'Population Data by Age'!$B$7:$B$10366,0),MATCH('Tabular Pop Data by Age'!$C$6,'Population Data by Age'!$B$6:$H$6,0))</f>
        <v>175000</v>
      </c>
      <c r="G79" s="78">
        <f>INDEX('Population Data by Age'!$B$7:$H$10366,MATCH(CONCATENATE('Tabular Pop Data by Age'!$C79,'Tabular Pop Data by Age'!G$7),'Population Data by Age'!$B$7:$B$10366,0),MATCH('Tabular Pop Data by Age'!$C$6,'Population Data by Age'!$B$6:$H$6,0))</f>
        <v>178000</v>
      </c>
      <c r="H79" s="78">
        <f>INDEX('Population Data by Age'!$B$7:$H$10366,MATCH(CONCATENATE('Tabular Pop Data by Age'!$C79,'Tabular Pop Data by Age'!H$7),'Population Data by Age'!$B$7:$B$10366,0),MATCH('Tabular Pop Data by Age'!$C$6,'Population Data by Age'!$B$6:$H$6,0))</f>
        <v>149000</v>
      </c>
      <c r="I79" s="78">
        <f>INDEX('Population Data by Age'!$B$7:$H$10366,MATCH(CONCATENATE('Tabular Pop Data by Age'!$C79,'Tabular Pop Data by Age'!I$7),'Population Data by Age'!$B$7:$B$10366,0),MATCH('Tabular Pop Data by Age'!$C$6,'Population Data by Age'!$B$6:$H$6,0))</f>
        <v>151000</v>
      </c>
      <c r="J79" s="78">
        <f>INDEX('Population Data by Age'!$B$7:$H$10366,MATCH(CONCATENATE('Tabular Pop Data by Age'!$C79,'Tabular Pop Data by Age'!J$7),'Population Data by Age'!$B$7:$B$10366,0),MATCH('Tabular Pop Data by Age'!$C$6,'Population Data by Age'!$B$6:$H$6,0))</f>
        <v>128000</v>
      </c>
      <c r="K79" s="78">
        <f>INDEX('Population Data by Age'!$B$7:$H$10366,MATCH(CONCATENATE('Tabular Pop Data by Age'!$C79,'Tabular Pop Data by Age'!K$7),'Population Data by Age'!$B$7:$B$10366,0),MATCH('Tabular Pop Data by Age'!$C$6,'Population Data by Age'!$B$6:$H$6,0))</f>
        <v>129000</v>
      </c>
      <c r="L79" s="78">
        <f>INDEX('Population Data by Age'!$B$7:$H$10366,MATCH(CONCATENATE('Tabular Pop Data by Age'!$C79,'Tabular Pop Data by Age'!L$7),'Population Data by Age'!$B$7:$B$10366,0),MATCH('Tabular Pop Data by Age'!$C$6,'Population Data by Age'!$B$6:$H$6,0))</f>
        <v>115000</v>
      </c>
      <c r="M79" s="78">
        <f>INDEX('Population Data by Age'!$B$7:$H$10366,MATCH(CONCATENATE('Tabular Pop Data by Age'!$C79,'Tabular Pop Data by Age'!M$7),'Population Data by Age'!$B$7:$B$10366,0),MATCH('Tabular Pop Data by Age'!$C$6,'Population Data by Age'!$B$6:$H$6,0))</f>
        <v>113000</v>
      </c>
      <c r="N79" s="78">
        <f>INDEX('Population Data by Age'!$B$7:$H$10366,MATCH(CONCATENATE('Tabular Pop Data by Age'!$C79,'Tabular Pop Data by Age'!N$7),'Population Data by Age'!$B$7:$B$10366,0),MATCH('Tabular Pop Data by Age'!$C$6,'Population Data by Age'!$B$6:$H$6,0))</f>
        <v>102000</v>
      </c>
      <c r="O79" s="78">
        <f>INDEX('Population Data by Age'!$B$7:$H$10366,MATCH(CONCATENATE('Tabular Pop Data by Age'!$C79,'Tabular Pop Data by Age'!O$7),'Population Data by Age'!$B$7:$B$10366,0),MATCH('Tabular Pop Data by Age'!$C$6,'Population Data by Age'!$B$6:$H$6,0))</f>
        <v>99000</v>
      </c>
      <c r="P79" s="78">
        <f>INDEX('Population Data by Age'!$B$7:$H$10366,MATCH(CONCATENATE('Tabular Pop Data by Age'!$C79,'Tabular Pop Data by Age'!P$7),'Population Data by Age'!$B$7:$B$10366,0),MATCH('Tabular Pop Data by Age'!$C$6,'Population Data by Age'!$B$6:$H$6,0))</f>
        <v>82000</v>
      </c>
      <c r="Q79" s="78">
        <f>INDEX('Population Data by Age'!$B$7:$H$10366,MATCH(CONCATENATE('Tabular Pop Data by Age'!$C79,'Tabular Pop Data by Age'!Q$7),'Population Data by Age'!$B$7:$B$10366,0),MATCH('Tabular Pop Data by Age'!$C$6,'Population Data by Age'!$B$6:$H$6,0))</f>
        <v>78000</v>
      </c>
      <c r="R79" s="78">
        <f>INDEX('Population Data by Age'!$B$7:$H$10366,MATCH(CONCATENATE('Tabular Pop Data by Age'!$C79,'Tabular Pop Data by Age'!R$7),'Population Data by Age'!$B$7:$B$10366,0),MATCH('Tabular Pop Data by Age'!$C$6,'Population Data by Age'!$B$6:$H$6,0))</f>
        <v>64000</v>
      </c>
      <c r="S79" s="78">
        <f>INDEX('Population Data by Age'!$B$7:$H$10366,MATCH(CONCATENATE('Tabular Pop Data by Age'!$C79,'Tabular Pop Data by Age'!S$7),'Population Data by Age'!$B$7:$B$10366,0),MATCH('Tabular Pop Data by Age'!$C$6,'Population Data by Age'!$B$6:$H$6,0))</f>
        <v>59000</v>
      </c>
      <c r="T79" s="78">
        <f>INDEX('Population Data by Age'!$B$7:$H$10366,MATCH(CONCATENATE('Tabular Pop Data by Age'!$C79,'Tabular Pop Data by Age'!T$7),'Population Data by Age'!$B$7:$B$10366,0),MATCH('Tabular Pop Data by Age'!$C$6,'Population Data by Age'!$B$6:$H$6,0))</f>
        <v>51000</v>
      </c>
      <c r="U79" s="78">
        <f>INDEX('Population Data by Age'!$B$7:$H$10366,MATCH(CONCATENATE('Tabular Pop Data by Age'!$C79,'Tabular Pop Data by Age'!U$7),'Population Data by Age'!$B$7:$B$10366,0),MATCH('Tabular Pop Data by Age'!$C$6,'Population Data by Age'!$B$6:$H$6,0))</f>
        <v>46000</v>
      </c>
      <c r="V79" s="78">
        <f>INDEX('Population Data by Age'!$B$7:$H$10366,MATCH(CONCATENATE('Tabular Pop Data by Age'!$C79,'Tabular Pop Data by Age'!V$7),'Population Data by Age'!$B$7:$B$10366,0),MATCH('Tabular Pop Data by Age'!$C$6,'Population Data by Age'!$B$6:$H$6,0))</f>
        <v>40000</v>
      </c>
      <c r="W79" s="78">
        <f>INDEX('Population Data by Age'!$B$7:$H$10366,MATCH(CONCATENATE('Tabular Pop Data by Age'!$C79,'Tabular Pop Data by Age'!W$7),'Population Data by Age'!$B$7:$B$10366,0),MATCH('Tabular Pop Data by Age'!$C$6,'Population Data by Age'!$B$6:$H$6,0))</f>
        <v>37000</v>
      </c>
      <c r="X79" s="78">
        <f>INDEX('Population Data by Age'!$B$7:$H$10366,MATCH(CONCATENATE('Tabular Pop Data by Age'!$C79,'Tabular Pop Data by Age'!X$7),'Population Data by Age'!$B$7:$B$10366,0),MATCH('Tabular Pop Data by Age'!$C$6,'Population Data by Age'!$B$6:$H$6,0))</f>
        <v>35000</v>
      </c>
      <c r="Y79" s="78">
        <f>INDEX('Population Data by Age'!$B$7:$H$10366,MATCH(CONCATENATE('Tabular Pop Data by Age'!$C79,'Tabular Pop Data by Age'!Y$7),'Population Data by Age'!$B$7:$B$10366,0),MATCH('Tabular Pop Data by Age'!$C$6,'Population Data by Age'!$B$6:$H$6,0))</f>
        <v>31000</v>
      </c>
      <c r="Z79" s="78">
        <f>INDEX('Population Data by Age'!$B$7:$H$10366,MATCH(CONCATENATE('Tabular Pop Data by Age'!$C79,'Tabular Pop Data by Age'!Z$7),'Population Data by Age'!$B$7:$B$10366,0),MATCH('Tabular Pop Data by Age'!$C$6,'Population Data by Age'!$B$6:$H$6,0))</f>
        <v>26000</v>
      </c>
      <c r="AA79" s="78">
        <f>INDEX('Population Data by Age'!$B$7:$H$10366,MATCH(CONCATENATE('Tabular Pop Data by Age'!$C79,'Tabular Pop Data by Age'!AA$7),'Population Data by Age'!$B$7:$B$10366,0),MATCH('Tabular Pop Data by Age'!$C$6,'Population Data by Age'!$B$6:$H$6,0))</f>
        <v>24000</v>
      </c>
      <c r="AB79" s="78">
        <f>INDEX('Population Data by Age'!$B$7:$H$10366,MATCH(CONCATENATE('Tabular Pop Data by Age'!$C79,'Tabular Pop Data by Age'!AB$7),'Population Data by Age'!$B$7:$B$10366,0),MATCH('Tabular Pop Data by Age'!$C$6,'Population Data by Age'!$B$6:$H$6,0))</f>
        <v>17000</v>
      </c>
      <c r="AC79" s="78">
        <f>INDEX('Population Data by Age'!$B$7:$H$10366,MATCH(CONCATENATE('Tabular Pop Data by Age'!$C79,'Tabular Pop Data by Age'!AC$7),'Population Data by Age'!$B$7:$B$10366,0),MATCH('Tabular Pop Data by Age'!$C$6,'Population Data by Age'!$B$6:$H$6,0))</f>
        <v>17000</v>
      </c>
      <c r="AD79" s="78">
        <f>INDEX('Population Data by Age'!$B$7:$H$10366,MATCH(CONCATENATE('Tabular Pop Data by Age'!$C79,'Tabular Pop Data by Age'!AD$7),'Population Data by Age'!$B$7:$B$10366,0),MATCH('Tabular Pop Data by Age'!$C$6,'Population Data by Age'!$B$6:$H$6,0))</f>
        <v>13000</v>
      </c>
      <c r="AE79" s="78">
        <f>INDEX('Population Data by Age'!$B$7:$H$10366,MATCH(CONCATENATE('Tabular Pop Data by Age'!$C79,'Tabular Pop Data by Age'!AE$7),'Population Data by Age'!$B$7:$B$10366,0),MATCH('Tabular Pop Data by Age'!$C$6,'Population Data by Age'!$B$6:$H$6,0))</f>
        <v>12000</v>
      </c>
      <c r="AF79" s="78">
        <f>INDEX('Population Data by Age'!$B$7:$H$10366,MATCH(CONCATENATE('Tabular Pop Data by Age'!$C79,'Tabular Pop Data by Age'!AF$7),'Population Data by Age'!$B$7:$B$10366,0),MATCH('Tabular Pop Data by Age'!$C$6,'Population Data by Age'!$B$6:$H$6,0))</f>
        <v>9700</v>
      </c>
      <c r="AG79" s="78">
        <f>INDEX('Population Data by Age'!$B$7:$H$10366,MATCH(CONCATENATE('Tabular Pop Data by Age'!$C79,'Tabular Pop Data by Age'!AG$7),'Population Data by Age'!$B$7:$B$10366,0),MATCH('Tabular Pop Data by Age'!$C$6,'Population Data by Age'!$B$6:$H$6,0))</f>
        <v>9300</v>
      </c>
      <c r="AH79" s="78">
        <f>INDEX('Population Data by Age'!$B$7:$H$10366,MATCH(CONCATENATE('Tabular Pop Data by Age'!$C79,'Tabular Pop Data by Age'!AH$7),'Population Data by Age'!$B$7:$B$10366,0),MATCH('Tabular Pop Data by Age'!$C$6,'Population Data by Age'!$B$6:$H$6,0))</f>
        <v>5700</v>
      </c>
      <c r="AI79" s="78">
        <f>INDEX('Population Data by Age'!$B$7:$H$10366,MATCH(CONCATENATE('Tabular Pop Data by Age'!$C79,'Tabular Pop Data by Age'!AI$7),'Population Data by Age'!$B$7:$B$10366,0),MATCH('Tabular Pop Data by Age'!$C$6,'Population Data by Age'!$B$6:$H$6,0))</f>
        <v>5300</v>
      </c>
      <c r="AJ79" s="78">
        <f>INDEX('Population Data by Age'!$B$7:$H$10366,MATCH(CONCATENATE('Tabular Pop Data by Age'!$C79,'Tabular Pop Data by Age'!AJ$7),'Population Data by Age'!$B$7:$B$10366,0),MATCH('Tabular Pop Data by Age'!$C$6,'Population Data by Age'!$B$6:$H$6,0))</f>
        <v>3200</v>
      </c>
      <c r="AK79" s="78">
        <f>INDEX('Population Data by Age'!$B$7:$H$10366,MATCH(CONCATENATE('Tabular Pop Data by Age'!$C79,'Tabular Pop Data by Age'!AK$7),'Population Data by Age'!$B$7:$B$10366,0),MATCH('Tabular Pop Data by Age'!$C$6,'Population Data by Age'!$B$6:$H$6,0))</f>
        <v>2700</v>
      </c>
      <c r="AL79" s="78">
        <f>INDEX('Population Data by Age'!$B$7:$H$10366,MATCH(CONCATENATE('Tabular Pop Data by Age'!$C79,'Tabular Pop Data by Age'!AL$7),'Population Data by Age'!$B$7:$B$10366,0),MATCH('Tabular Pop Data by Age'!$C$6,'Population Data by Age'!$B$6:$H$6,0))</f>
        <v>1218000</v>
      </c>
      <c r="AM79" s="78">
        <f>INDEX('Population Data by Age'!$B$7:$H$10366,MATCH(CONCATENATE('Tabular Pop Data by Age'!$C79,'Tabular Pop Data by Age'!AM$7),'Population Data by Age'!$B$7:$B$10366,0),MATCH('Tabular Pop Data by Age'!$C$6,'Population Data by Age'!$B$6:$H$6,0))</f>
        <v>1199000</v>
      </c>
      <c r="AN79" s="78">
        <f>INDEX('Population Data by Age'!$B$7:$H$10366,MATCH(CONCATENATE('Tabular Pop Data by Age'!$C79,'Tabular Pop Data by Age'!AN$7),'Population Data by Age'!$B$7:$B$10366,0),MATCH('Tabular Pop Data by Age'!$C$6,'Population Data by Age'!$B$6:$H$6,0))</f>
        <v>2417000</v>
      </c>
      <c r="AO79" s="78">
        <f>INDEX('Population Data by Age'!$B$7:$H$10366,MATCH(CONCATENATE('Tabular Pop Data by Age'!$C79,'Tabular Pop Data by Age'!AO$7),'Population Data by Age'!$B$7:$B$10366,0),MATCH('Tabular Pop Data by Age'!$C$6,'Population Data by Age'!$B$6:$H$6,0))</f>
        <v>0</v>
      </c>
      <c r="AP79" s="79">
        <f t="shared" si="17"/>
        <v>410000</v>
      </c>
      <c r="AQ79" s="79">
        <f t="shared" si="18"/>
        <v>353000</v>
      </c>
      <c r="AR79" s="79">
        <f t="shared" si="19"/>
        <v>300000</v>
      </c>
      <c r="AS79" s="79">
        <f t="shared" si="20"/>
        <v>257000</v>
      </c>
      <c r="AT79" s="79">
        <f t="shared" si="21"/>
        <v>228000</v>
      </c>
      <c r="AU79" s="79">
        <f t="shared" si="22"/>
        <v>201000</v>
      </c>
      <c r="AV79" s="79">
        <f t="shared" si="23"/>
        <v>160000</v>
      </c>
      <c r="AW79" s="79">
        <f t="shared" si="24"/>
        <v>123000</v>
      </c>
      <c r="AX79" s="79">
        <f t="shared" si="25"/>
        <v>97000</v>
      </c>
      <c r="AY79" s="79">
        <f t="shared" si="26"/>
        <v>77000</v>
      </c>
      <c r="AZ79" s="79">
        <f t="shared" si="27"/>
        <v>66000</v>
      </c>
      <c r="BA79" s="79">
        <f t="shared" si="28"/>
        <v>50000</v>
      </c>
      <c r="BB79" s="79">
        <f t="shared" si="29"/>
        <v>34000</v>
      </c>
      <c r="BC79" s="79">
        <f t="shared" si="30"/>
        <v>25000</v>
      </c>
      <c r="BD79" s="79">
        <f t="shared" si="31"/>
        <v>19000</v>
      </c>
      <c r="BE79" s="79">
        <f t="shared" si="32"/>
        <v>11000</v>
      </c>
      <c r="BF79" s="79">
        <f t="shared" si="33"/>
        <v>5900</v>
      </c>
    </row>
    <row r="80" spans="1:58" x14ac:dyDescent="0.25">
      <c r="A80" s="138" t="s">
        <v>1195</v>
      </c>
      <c r="B80" t="s">
        <v>236</v>
      </c>
      <c r="C80" t="s">
        <v>48</v>
      </c>
      <c r="D80" s="78">
        <f>INDEX('Population Data by Age'!$B$7:$H$10366,MATCH(CONCATENATE('Tabular Pop Data by Age'!$C80,'Tabular Pop Data by Age'!D$7),'Population Data by Age'!$B$7:$B$10366,0),MATCH('Tabular Pop Data by Age'!$C$6,'Population Data by Age'!$B$6:$H$6,0))</f>
        <v>121000</v>
      </c>
      <c r="E80" s="78">
        <f>INDEX('Population Data by Age'!$B$7:$H$10366,MATCH(CONCATENATE('Tabular Pop Data by Age'!$C80,'Tabular Pop Data by Age'!E$7),'Population Data by Age'!$B$7:$B$10366,0),MATCH('Tabular Pop Data by Age'!$C$6,'Population Data by Age'!$B$6:$H$6,0))</f>
        <v>129000</v>
      </c>
      <c r="F80" s="78">
        <f>INDEX('Population Data by Age'!$B$7:$H$10366,MATCH(CONCATENATE('Tabular Pop Data by Age'!$C80,'Tabular Pop Data by Age'!F$7),'Population Data by Age'!$B$7:$B$10366,0),MATCH('Tabular Pop Data by Age'!$C$6,'Population Data by Age'!$B$6:$H$6,0))</f>
        <v>127000</v>
      </c>
      <c r="G80" s="78">
        <f>INDEX('Population Data by Age'!$B$7:$H$10366,MATCH(CONCATENATE('Tabular Pop Data by Age'!$C80,'Tabular Pop Data by Age'!G$7),'Population Data by Age'!$B$7:$B$10366,0),MATCH('Tabular Pop Data by Age'!$C$6,'Population Data by Age'!$B$6:$H$6,0))</f>
        <v>137000</v>
      </c>
      <c r="H80" s="78">
        <f>INDEX('Population Data by Age'!$B$7:$H$10366,MATCH(CONCATENATE('Tabular Pop Data by Age'!$C80,'Tabular Pop Data by Age'!H$7),'Population Data by Age'!$B$7:$B$10366,0),MATCH('Tabular Pop Data by Age'!$C$6,'Population Data by Age'!$B$6:$H$6,0))</f>
        <v>112000</v>
      </c>
      <c r="I80" s="78">
        <f>INDEX('Population Data by Age'!$B$7:$H$10366,MATCH(CONCATENATE('Tabular Pop Data by Age'!$C80,'Tabular Pop Data by Age'!I$7),'Population Data by Age'!$B$7:$B$10366,0),MATCH('Tabular Pop Data by Age'!$C$6,'Population Data by Age'!$B$6:$H$6,0))</f>
        <v>124000</v>
      </c>
      <c r="J80" s="78">
        <f>INDEX('Population Data by Age'!$B$7:$H$10366,MATCH(CONCATENATE('Tabular Pop Data by Age'!$C80,'Tabular Pop Data by Age'!J$7),'Population Data by Age'!$B$7:$B$10366,0),MATCH('Tabular Pop Data by Age'!$C$6,'Population Data by Age'!$B$6:$H$6,0))</f>
        <v>95000</v>
      </c>
      <c r="K80" s="78">
        <f>INDEX('Population Data by Age'!$B$7:$H$10366,MATCH(CONCATENATE('Tabular Pop Data by Age'!$C80,'Tabular Pop Data by Age'!K$7),'Population Data by Age'!$B$7:$B$10366,0),MATCH('Tabular Pop Data by Age'!$C$6,'Population Data by Age'!$B$6:$H$6,0))</f>
        <v>107000</v>
      </c>
      <c r="L80" s="78">
        <f>INDEX('Population Data by Age'!$B$7:$H$10366,MATCH(CONCATENATE('Tabular Pop Data by Age'!$C80,'Tabular Pop Data by Age'!L$7),'Population Data by Age'!$B$7:$B$10366,0),MATCH('Tabular Pop Data by Age'!$C$6,'Population Data by Age'!$B$6:$H$6,0))</f>
        <v>103000</v>
      </c>
      <c r="M80" s="78">
        <f>INDEX('Population Data by Age'!$B$7:$H$10366,MATCH(CONCATENATE('Tabular Pop Data by Age'!$C80,'Tabular Pop Data by Age'!M$7),'Population Data by Age'!$B$7:$B$10366,0),MATCH('Tabular Pop Data by Age'!$C$6,'Population Data by Age'!$B$6:$H$6,0))</f>
        <v>115000</v>
      </c>
      <c r="N80" s="78">
        <f>INDEX('Population Data by Age'!$B$7:$H$10366,MATCH(CONCATENATE('Tabular Pop Data by Age'!$C80,'Tabular Pop Data by Age'!N$7),'Population Data by Age'!$B$7:$B$10366,0),MATCH('Tabular Pop Data by Age'!$C$6,'Population Data by Age'!$B$6:$H$6,0))</f>
        <v>123000</v>
      </c>
      <c r="O80" s="78">
        <f>INDEX('Population Data by Age'!$B$7:$H$10366,MATCH(CONCATENATE('Tabular Pop Data by Age'!$C80,'Tabular Pop Data by Age'!O$7),'Population Data by Age'!$B$7:$B$10366,0),MATCH('Tabular Pop Data by Age'!$C$6,'Population Data by Age'!$B$6:$H$6,0))</f>
        <v>126000</v>
      </c>
      <c r="P80" s="78">
        <f>INDEX('Population Data by Age'!$B$7:$H$10366,MATCH(CONCATENATE('Tabular Pop Data by Age'!$C80,'Tabular Pop Data by Age'!P$7),'Population Data by Age'!$B$7:$B$10366,0),MATCH('Tabular Pop Data by Age'!$C$6,'Population Data by Age'!$B$6:$H$6,0))</f>
        <v>135000</v>
      </c>
      <c r="Q80" s="78">
        <f>INDEX('Population Data by Age'!$B$7:$H$10366,MATCH(CONCATENATE('Tabular Pop Data by Age'!$C80,'Tabular Pop Data by Age'!Q$7),'Population Data by Age'!$B$7:$B$10366,0),MATCH('Tabular Pop Data by Age'!$C$6,'Population Data by Age'!$B$6:$H$6,0))</f>
        <v>134000</v>
      </c>
      <c r="R80" s="78">
        <f>INDEX('Population Data by Age'!$B$7:$H$10366,MATCH(CONCATENATE('Tabular Pop Data by Age'!$C80,'Tabular Pop Data by Age'!R$7),'Population Data by Age'!$B$7:$B$10366,0),MATCH('Tabular Pop Data by Age'!$C$6,'Population Data by Age'!$B$6:$H$6,0))</f>
        <v>130000</v>
      </c>
      <c r="S80" s="78">
        <f>INDEX('Population Data by Age'!$B$7:$H$10366,MATCH(CONCATENATE('Tabular Pop Data by Age'!$C80,'Tabular Pop Data by Age'!S$7),'Population Data by Age'!$B$7:$B$10366,0),MATCH('Tabular Pop Data by Age'!$C$6,'Population Data by Age'!$B$6:$H$6,0))</f>
        <v>126000</v>
      </c>
      <c r="T80" s="78">
        <f>INDEX('Population Data by Age'!$B$7:$H$10366,MATCH(CONCATENATE('Tabular Pop Data by Age'!$C80,'Tabular Pop Data by Age'!T$7),'Population Data by Age'!$B$7:$B$10366,0),MATCH('Tabular Pop Data by Age'!$C$6,'Population Data by Age'!$B$6:$H$6,0))</f>
        <v>126000</v>
      </c>
      <c r="U80" s="78">
        <f>INDEX('Population Data by Age'!$B$7:$H$10366,MATCH(CONCATENATE('Tabular Pop Data by Age'!$C80,'Tabular Pop Data by Age'!U$7),'Population Data by Age'!$B$7:$B$10366,0),MATCH('Tabular Pop Data by Age'!$C$6,'Population Data by Age'!$B$6:$H$6,0))</f>
        <v>119000</v>
      </c>
      <c r="V80" s="78">
        <f>INDEX('Population Data by Age'!$B$7:$H$10366,MATCH(CONCATENATE('Tabular Pop Data by Age'!$C80,'Tabular Pop Data by Age'!V$7),'Population Data by Age'!$B$7:$B$10366,0),MATCH('Tabular Pop Data by Age'!$C$6,'Population Data by Age'!$B$6:$H$6,0))</f>
        <v>122000</v>
      </c>
      <c r="W80" s="78">
        <f>INDEX('Population Data by Age'!$B$7:$H$10366,MATCH(CONCATENATE('Tabular Pop Data by Age'!$C80,'Tabular Pop Data by Age'!W$7),'Population Data by Age'!$B$7:$B$10366,0),MATCH('Tabular Pop Data by Age'!$C$6,'Population Data by Age'!$B$6:$H$6,0))</f>
        <v>114000</v>
      </c>
      <c r="X80" s="78">
        <f>INDEX('Population Data by Age'!$B$7:$H$10366,MATCH(CONCATENATE('Tabular Pop Data by Age'!$C80,'Tabular Pop Data by Age'!X$7),'Population Data by Age'!$B$7:$B$10366,0),MATCH('Tabular Pop Data by Age'!$C$6,'Population Data by Age'!$B$6:$H$6,0))</f>
        <v>121000</v>
      </c>
      <c r="Y80" s="78">
        <f>INDEX('Population Data by Age'!$B$7:$H$10366,MATCH(CONCATENATE('Tabular Pop Data by Age'!$C80,'Tabular Pop Data by Age'!Y$7),'Population Data by Age'!$B$7:$B$10366,0),MATCH('Tabular Pop Data by Age'!$C$6,'Population Data by Age'!$B$6:$H$6,0))</f>
        <v>107000</v>
      </c>
      <c r="Z80" s="78">
        <f>INDEX('Population Data by Age'!$B$7:$H$10366,MATCH(CONCATENATE('Tabular Pop Data by Age'!$C80,'Tabular Pop Data by Age'!Z$7),'Population Data by Age'!$B$7:$B$10366,0),MATCH('Tabular Pop Data by Age'!$C$6,'Population Data by Age'!$B$6:$H$6,0))</f>
        <v>141000</v>
      </c>
      <c r="AA80" s="78">
        <f>INDEX('Population Data by Age'!$B$7:$H$10366,MATCH(CONCATENATE('Tabular Pop Data by Age'!$C80,'Tabular Pop Data by Age'!AA$7),'Population Data by Age'!$B$7:$B$10366,0),MATCH('Tabular Pop Data by Age'!$C$6,'Population Data by Age'!$B$6:$H$6,0))</f>
        <v>118000</v>
      </c>
      <c r="AB80" s="78">
        <f>INDEX('Population Data by Age'!$B$7:$H$10366,MATCH(CONCATENATE('Tabular Pop Data by Age'!$C80,'Tabular Pop Data by Age'!AB$7),'Population Data by Age'!$B$7:$B$10366,0),MATCH('Tabular Pop Data by Age'!$C$6,'Population Data by Age'!$B$6:$H$6,0))</f>
        <v>130000</v>
      </c>
      <c r="AC80" s="78">
        <f>INDEX('Population Data by Age'!$B$7:$H$10366,MATCH(CONCATENATE('Tabular Pop Data by Age'!$C80,'Tabular Pop Data by Age'!AC$7),'Population Data by Age'!$B$7:$B$10366,0),MATCH('Tabular Pop Data by Age'!$C$6,'Population Data by Age'!$B$6:$H$6,0))</f>
        <v>102000</v>
      </c>
      <c r="AD80" s="78">
        <f>INDEX('Population Data by Age'!$B$7:$H$10366,MATCH(CONCATENATE('Tabular Pop Data by Age'!$C80,'Tabular Pop Data by Age'!AD$7),'Population Data by Age'!$B$7:$B$10366,0),MATCH('Tabular Pop Data by Age'!$C$6,'Population Data by Age'!$B$6:$H$6,0))</f>
        <v>115000</v>
      </c>
      <c r="AE80" s="78">
        <f>INDEX('Population Data by Age'!$B$7:$H$10366,MATCH(CONCATENATE('Tabular Pop Data by Age'!$C80,'Tabular Pop Data by Age'!AE$7),'Population Data by Age'!$B$7:$B$10366,0),MATCH('Tabular Pop Data by Age'!$C$6,'Population Data by Age'!$B$6:$H$6,0))</f>
        <v>81000</v>
      </c>
      <c r="AF80" s="78">
        <f>INDEX('Population Data by Age'!$B$7:$H$10366,MATCH(CONCATENATE('Tabular Pop Data by Age'!$C80,'Tabular Pop Data by Age'!AF$7),'Population Data by Age'!$B$7:$B$10366,0),MATCH('Tabular Pop Data by Age'!$C$6,'Population Data by Age'!$B$6:$H$6,0))</f>
        <v>86000</v>
      </c>
      <c r="AG80" s="78">
        <f>INDEX('Population Data by Age'!$B$7:$H$10366,MATCH(CONCATENATE('Tabular Pop Data by Age'!$C80,'Tabular Pop Data by Age'!AG$7),'Population Data by Age'!$B$7:$B$10366,0),MATCH('Tabular Pop Data by Age'!$C$6,'Population Data by Age'!$B$6:$H$6,0))</f>
        <v>54000</v>
      </c>
      <c r="AH80" s="78">
        <f>INDEX('Population Data by Age'!$B$7:$H$10366,MATCH(CONCATENATE('Tabular Pop Data by Age'!$C80,'Tabular Pop Data by Age'!AH$7),'Population Data by Age'!$B$7:$B$10366,0),MATCH('Tabular Pop Data by Age'!$C$6,'Population Data by Age'!$B$6:$H$6,0))</f>
        <v>59000</v>
      </c>
      <c r="AI80" s="78">
        <f>INDEX('Population Data by Age'!$B$7:$H$10366,MATCH(CONCATENATE('Tabular Pop Data by Age'!$C80,'Tabular Pop Data by Age'!AI$7),'Population Data by Age'!$B$7:$B$10366,0),MATCH('Tabular Pop Data by Age'!$C$6,'Population Data by Age'!$B$6:$H$6,0))</f>
        <v>32000</v>
      </c>
      <c r="AJ80" s="78">
        <f>INDEX('Population Data by Age'!$B$7:$H$10366,MATCH(CONCATENATE('Tabular Pop Data by Age'!$C80,'Tabular Pop Data by Age'!AJ$7),'Population Data by Age'!$B$7:$B$10366,0),MATCH('Tabular Pop Data by Age'!$C$6,'Population Data by Age'!$B$6:$H$6,0))</f>
        <v>96000</v>
      </c>
      <c r="AK80" s="78">
        <f>INDEX('Population Data by Age'!$B$7:$H$10366,MATCH(CONCATENATE('Tabular Pop Data by Age'!$C80,'Tabular Pop Data by Age'!AK$7),'Population Data by Age'!$B$7:$B$10366,0),MATCH('Tabular Pop Data by Age'!$C$6,'Population Data by Age'!$B$6:$H$6,0))</f>
        <v>42000</v>
      </c>
      <c r="AL80" s="78">
        <f>INDEX('Population Data by Age'!$B$7:$H$10366,MATCH(CONCATENATE('Tabular Pop Data by Age'!$C80,'Tabular Pop Data by Age'!AL$7),'Population Data by Age'!$B$7:$B$10366,0),MATCH('Tabular Pop Data by Age'!$C$6,'Population Data by Age'!$B$6:$H$6,0))</f>
        <v>1943000</v>
      </c>
      <c r="AM80" s="78">
        <f>INDEX('Population Data by Age'!$B$7:$H$10366,MATCH(CONCATENATE('Tabular Pop Data by Age'!$C80,'Tabular Pop Data by Age'!AM$7),'Population Data by Age'!$B$7:$B$10366,0),MATCH('Tabular Pop Data by Age'!$C$6,'Population Data by Age'!$B$6:$H$6,0))</f>
        <v>1769000</v>
      </c>
      <c r="AN80" s="78">
        <f>INDEX('Population Data by Age'!$B$7:$H$10366,MATCH(CONCATENATE('Tabular Pop Data by Age'!$C80,'Tabular Pop Data by Age'!AN$7),'Population Data by Age'!$B$7:$B$10366,0),MATCH('Tabular Pop Data by Age'!$C$6,'Population Data by Age'!$B$6:$H$6,0))</f>
        <v>3711000</v>
      </c>
      <c r="AO80" s="78">
        <f>INDEX('Population Data by Age'!$B$7:$H$10366,MATCH(CONCATENATE('Tabular Pop Data by Age'!$C80,'Tabular Pop Data by Age'!AO$7),'Population Data by Age'!$B$7:$B$10366,0),MATCH('Tabular Pop Data by Age'!$C$6,'Population Data by Age'!$B$6:$H$6,0))</f>
        <v>0</v>
      </c>
      <c r="AP80" s="79">
        <f t="shared" si="17"/>
        <v>250000</v>
      </c>
      <c r="AQ80" s="79">
        <f t="shared" si="18"/>
        <v>264000</v>
      </c>
      <c r="AR80" s="79">
        <f t="shared" si="19"/>
        <v>236000</v>
      </c>
      <c r="AS80" s="79">
        <f t="shared" si="20"/>
        <v>202000</v>
      </c>
      <c r="AT80" s="79">
        <f t="shared" si="21"/>
        <v>218000</v>
      </c>
      <c r="AU80" s="79">
        <f t="shared" si="22"/>
        <v>249000</v>
      </c>
      <c r="AV80" s="79">
        <f t="shared" si="23"/>
        <v>269000</v>
      </c>
      <c r="AW80" s="79">
        <f t="shared" si="24"/>
        <v>256000</v>
      </c>
      <c r="AX80" s="79">
        <f t="shared" si="25"/>
        <v>245000</v>
      </c>
      <c r="AY80" s="79">
        <f t="shared" si="26"/>
        <v>236000</v>
      </c>
      <c r="AZ80" s="79">
        <f t="shared" si="27"/>
        <v>228000</v>
      </c>
      <c r="BA80" s="79">
        <f t="shared" si="28"/>
        <v>259000</v>
      </c>
      <c r="BB80" s="79">
        <f t="shared" si="29"/>
        <v>232000</v>
      </c>
      <c r="BC80" s="79">
        <f t="shared" si="30"/>
        <v>196000</v>
      </c>
      <c r="BD80" s="79">
        <f t="shared" si="31"/>
        <v>140000</v>
      </c>
      <c r="BE80" s="79">
        <f t="shared" si="32"/>
        <v>91000</v>
      </c>
      <c r="BF80" s="79">
        <f t="shared" si="33"/>
        <v>138000</v>
      </c>
    </row>
    <row r="81" spans="1:58" x14ac:dyDescent="0.25">
      <c r="A81" s="138" t="s">
        <v>1195</v>
      </c>
      <c r="B81" t="s">
        <v>506</v>
      </c>
      <c r="C81" t="s">
        <v>34</v>
      </c>
      <c r="D81" s="78">
        <f>INDEX('Population Data by Age'!$B$7:$H$10366,MATCH(CONCATENATE('Tabular Pop Data by Age'!$C81,'Tabular Pop Data by Age'!D$7),'Population Data by Age'!$B$7:$B$10366,0),MATCH('Tabular Pop Data by Age'!$C$6,'Population Data by Age'!$B$6:$H$6,0))</f>
        <v>1950000</v>
      </c>
      <c r="E81" s="78">
        <f>INDEX('Population Data by Age'!$B$7:$H$10366,MATCH(CONCATENATE('Tabular Pop Data by Age'!$C81,'Tabular Pop Data by Age'!E$7),'Population Data by Age'!$B$7:$B$10366,0),MATCH('Tabular Pop Data by Age'!$C$6,'Population Data by Age'!$B$6:$H$6,0))</f>
        <v>2055000</v>
      </c>
      <c r="F81" s="78">
        <f>INDEX('Population Data by Age'!$B$7:$H$10366,MATCH(CONCATENATE('Tabular Pop Data by Age'!$C81,'Tabular Pop Data by Age'!F$7),'Population Data by Age'!$B$7:$B$10366,0),MATCH('Tabular Pop Data by Age'!$C$6,'Population Data by Age'!$B$6:$H$6,0))</f>
        <v>1827000</v>
      </c>
      <c r="G81" s="78">
        <f>INDEX('Population Data by Age'!$B$7:$H$10366,MATCH(CONCATENATE('Tabular Pop Data by Age'!$C81,'Tabular Pop Data by Age'!G$7),'Population Data by Age'!$B$7:$B$10366,0),MATCH('Tabular Pop Data by Age'!$C$6,'Population Data by Age'!$B$6:$H$6,0))</f>
        <v>1944000</v>
      </c>
      <c r="H81" s="78">
        <f>INDEX('Population Data by Age'!$B$7:$H$10366,MATCH(CONCATENATE('Tabular Pop Data by Age'!$C81,'Tabular Pop Data by Age'!H$7),'Population Data by Age'!$B$7:$B$10366,0),MATCH('Tabular Pop Data by Age'!$C$6,'Population Data by Age'!$B$6:$H$6,0))</f>
        <v>1808000</v>
      </c>
      <c r="I81" s="78">
        <f>INDEX('Population Data by Age'!$B$7:$H$10366,MATCH(CONCATENATE('Tabular Pop Data by Age'!$C81,'Tabular Pop Data by Age'!I$7),'Population Data by Age'!$B$7:$B$10366,0),MATCH('Tabular Pop Data by Age'!$C$6,'Population Data by Age'!$B$6:$H$6,0))</f>
        <v>1953000</v>
      </c>
      <c r="J81" s="78">
        <f>INDEX('Population Data by Age'!$B$7:$H$10366,MATCH(CONCATENATE('Tabular Pop Data by Age'!$C81,'Tabular Pop Data by Age'!J$7),'Population Data by Age'!$B$7:$B$10366,0),MATCH('Tabular Pop Data by Age'!$C$6,'Population Data by Age'!$B$6:$H$6,0))</f>
        <v>1943000</v>
      </c>
      <c r="K81" s="78">
        <f>INDEX('Population Data by Age'!$B$7:$H$10366,MATCH(CONCATENATE('Tabular Pop Data by Age'!$C81,'Tabular Pop Data by Age'!K$7),'Population Data by Age'!$B$7:$B$10366,0),MATCH('Tabular Pop Data by Age'!$C$6,'Population Data by Age'!$B$6:$H$6,0))</f>
        <v>2122000</v>
      </c>
      <c r="L81" s="78">
        <f>INDEX('Population Data by Age'!$B$7:$H$10366,MATCH(CONCATENATE('Tabular Pop Data by Age'!$C81,'Tabular Pop Data by Age'!L$7),'Population Data by Age'!$B$7:$B$10366,0),MATCH('Tabular Pop Data by Age'!$C$6,'Population Data by Age'!$B$6:$H$6,0))</f>
        <v>2142000</v>
      </c>
      <c r="M81" s="78">
        <f>INDEX('Population Data by Age'!$B$7:$H$10366,MATCH(CONCATENATE('Tabular Pop Data by Age'!$C81,'Tabular Pop Data by Age'!M$7),'Population Data by Age'!$B$7:$B$10366,0),MATCH('Tabular Pop Data by Age'!$C$6,'Population Data by Age'!$B$6:$H$6,0))</f>
        <v>2351000</v>
      </c>
      <c r="N81" s="78">
        <f>INDEX('Population Data by Age'!$B$7:$H$10366,MATCH(CONCATENATE('Tabular Pop Data by Age'!$C81,'Tabular Pop Data by Age'!N$7),'Population Data by Age'!$B$7:$B$10366,0),MATCH('Tabular Pop Data by Age'!$C$6,'Population Data by Age'!$B$6:$H$6,0))</f>
        <v>2272000</v>
      </c>
      <c r="O81" s="78">
        <f>INDEX('Population Data by Age'!$B$7:$H$10366,MATCH(CONCATENATE('Tabular Pop Data by Age'!$C81,'Tabular Pop Data by Age'!O$7),'Population Data by Age'!$B$7:$B$10366,0),MATCH('Tabular Pop Data by Age'!$C$6,'Population Data by Age'!$B$6:$H$6,0))</f>
        <v>2489000</v>
      </c>
      <c r="P81" s="78">
        <f>INDEX('Population Data by Age'!$B$7:$H$10366,MATCH(CONCATENATE('Tabular Pop Data by Age'!$C81,'Tabular Pop Data by Age'!P$7),'Population Data by Age'!$B$7:$B$10366,0),MATCH('Tabular Pop Data by Age'!$C$6,'Population Data by Age'!$B$6:$H$6,0))</f>
        <v>2584000</v>
      </c>
      <c r="Q81" s="78">
        <f>INDEX('Population Data by Age'!$B$7:$H$10366,MATCH(CONCATENATE('Tabular Pop Data by Age'!$C81,'Tabular Pop Data by Age'!Q$7),'Population Data by Age'!$B$7:$B$10366,0),MATCH('Tabular Pop Data by Age'!$C$6,'Population Data by Age'!$B$6:$H$6,0))</f>
        <v>2786000</v>
      </c>
      <c r="R81" s="78">
        <f>INDEX('Population Data by Age'!$B$7:$H$10366,MATCH(CONCATENATE('Tabular Pop Data by Age'!$C81,'Tabular Pop Data by Age'!R$7),'Population Data by Age'!$B$7:$B$10366,0),MATCH('Tabular Pop Data by Age'!$C$6,'Population Data by Age'!$B$6:$H$6,0))</f>
        <v>2621000</v>
      </c>
      <c r="S81" s="78">
        <f>INDEX('Population Data by Age'!$B$7:$H$10366,MATCH(CONCATENATE('Tabular Pop Data by Age'!$C81,'Tabular Pop Data by Age'!S$7),'Population Data by Age'!$B$7:$B$10366,0),MATCH('Tabular Pop Data by Age'!$C$6,'Population Data by Age'!$B$6:$H$6,0))</f>
        <v>2738000</v>
      </c>
      <c r="T81" s="78">
        <f>INDEX('Population Data by Age'!$B$7:$H$10366,MATCH(CONCATENATE('Tabular Pop Data by Age'!$C81,'Tabular Pop Data by Age'!T$7),'Population Data by Age'!$B$7:$B$10366,0),MATCH('Tabular Pop Data by Age'!$C$6,'Population Data by Age'!$B$6:$H$6,0))</f>
        <v>2475000</v>
      </c>
      <c r="U81" s="78">
        <f>INDEX('Population Data by Age'!$B$7:$H$10366,MATCH(CONCATENATE('Tabular Pop Data by Age'!$C81,'Tabular Pop Data by Age'!U$7),'Population Data by Age'!$B$7:$B$10366,0),MATCH('Tabular Pop Data by Age'!$C$6,'Population Data by Age'!$B$6:$H$6,0))</f>
        <v>2518000</v>
      </c>
      <c r="V81" s="78">
        <f>INDEX('Population Data by Age'!$B$7:$H$10366,MATCH(CONCATENATE('Tabular Pop Data by Age'!$C81,'Tabular Pop Data by Age'!V$7),'Population Data by Age'!$B$7:$B$10366,0),MATCH('Tabular Pop Data by Age'!$C$6,'Population Data by Age'!$B$6:$H$6,0))</f>
        <v>2542000</v>
      </c>
      <c r="W81" s="78">
        <f>INDEX('Population Data by Age'!$B$7:$H$10366,MATCH(CONCATENATE('Tabular Pop Data by Age'!$C81,'Tabular Pop Data by Age'!W$7),'Population Data by Age'!$B$7:$B$10366,0),MATCH('Tabular Pop Data by Age'!$C$6,'Population Data by Age'!$B$6:$H$6,0))</f>
        <v>2573000</v>
      </c>
      <c r="X81" s="78">
        <f>INDEX('Population Data by Age'!$B$7:$H$10366,MATCH(CONCATENATE('Tabular Pop Data by Age'!$C81,'Tabular Pop Data by Age'!X$7),'Population Data by Age'!$B$7:$B$10366,0),MATCH('Tabular Pop Data by Age'!$C$6,'Population Data by Age'!$B$6:$H$6,0))</f>
        <v>3284000</v>
      </c>
      <c r="Y81" s="78">
        <f>INDEX('Population Data by Age'!$B$7:$H$10366,MATCH(CONCATENATE('Tabular Pop Data by Age'!$C81,'Tabular Pop Data by Age'!Y$7),'Population Data by Age'!$B$7:$B$10366,0),MATCH('Tabular Pop Data by Age'!$C$6,'Population Data by Age'!$B$6:$H$6,0))</f>
        <v>3309000</v>
      </c>
      <c r="Z81" s="78">
        <f>INDEX('Population Data by Age'!$B$7:$H$10366,MATCH(CONCATENATE('Tabular Pop Data by Age'!$C81,'Tabular Pop Data by Age'!Z$7),'Population Data by Age'!$B$7:$B$10366,0),MATCH('Tabular Pop Data by Age'!$C$6,'Population Data by Age'!$B$6:$H$6,0))</f>
        <v>3369000</v>
      </c>
      <c r="AA81" s="78">
        <f>INDEX('Population Data by Age'!$B$7:$H$10366,MATCH(CONCATENATE('Tabular Pop Data by Age'!$C81,'Tabular Pop Data by Age'!AA$7),'Population Data by Age'!$B$7:$B$10366,0),MATCH('Tabular Pop Data by Age'!$C$6,'Population Data by Age'!$B$6:$H$6,0))</f>
        <v>3348000</v>
      </c>
      <c r="AB81" s="78">
        <f>INDEX('Population Data by Age'!$B$7:$H$10366,MATCH(CONCATENATE('Tabular Pop Data by Age'!$C81,'Tabular Pop Data by Age'!AB$7),'Population Data by Age'!$B$7:$B$10366,0),MATCH('Tabular Pop Data by Age'!$C$6,'Population Data by Age'!$B$6:$H$6,0))</f>
        <v>2927000</v>
      </c>
      <c r="AC81" s="78">
        <f>INDEX('Population Data by Age'!$B$7:$H$10366,MATCH(CONCATENATE('Tabular Pop Data by Age'!$C81,'Tabular Pop Data by Age'!AC$7),'Population Data by Age'!$B$7:$B$10366,0),MATCH('Tabular Pop Data by Age'!$C$6,'Population Data by Age'!$B$6:$H$6,0))</f>
        <v>2817000</v>
      </c>
      <c r="AD81" s="78">
        <f>INDEX('Population Data by Age'!$B$7:$H$10366,MATCH(CONCATENATE('Tabular Pop Data by Age'!$C81,'Tabular Pop Data by Age'!AD$7),'Population Data by Age'!$B$7:$B$10366,0),MATCH('Tabular Pop Data by Age'!$C$6,'Population Data by Age'!$B$6:$H$6,0))</f>
        <v>2499000</v>
      </c>
      <c r="AE81" s="78">
        <f>INDEX('Population Data by Age'!$B$7:$H$10366,MATCH(CONCATENATE('Tabular Pop Data by Age'!$C81,'Tabular Pop Data by Age'!AE$7),'Population Data by Age'!$B$7:$B$10366,0),MATCH('Tabular Pop Data by Age'!$C$6,'Population Data by Age'!$B$6:$H$6,0))</f>
        <v>2261000</v>
      </c>
      <c r="AF81" s="78">
        <f>INDEX('Population Data by Age'!$B$7:$H$10366,MATCH(CONCATENATE('Tabular Pop Data by Age'!$C81,'Tabular Pop Data by Age'!AF$7),'Population Data by Age'!$B$7:$B$10366,0),MATCH('Tabular Pop Data by Age'!$C$6,'Population Data by Age'!$B$6:$H$6,0))</f>
        <v>2016000</v>
      </c>
      <c r="AG81" s="78">
        <f>INDEX('Population Data by Age'!$B$7:$H$10366,MATCH(CONCATENATE('Tabular Pop Data by Age'!$C81,'Tabular Pop Data by Age'!AG$7),'Population Data by Age'!$B$7:$B$10366,0),MATCH('Tabular Pop Data by Age'!$C$6,'Population Data by Age'!$B$6:$H$6,0))</f>
        <v>1767000</v>
      </c>
      <c r="AH81" s="78">
        <f>INDEX('Population Data by Age'!$B$7:$H$10366,MATCH(CONCATENATE('Tabular Pop Data by Age'!$C81,'Tabular Pop Data by Age'!AH$7),'Population Data by Age'!$B$7:$B$10366,0),MATCH('Tabular Pop Data by Age'!$C$6,'Population Data by Age'!$B$6:$H$6,0))</f>
        <v>1979000</v>
      </c>
      <c r="AI81" s="78">
        <f>INDEX('Population Data by Age'!$B$7:$H$10366,MATCH(CONCATENATE('Tabular Pop Data by Age'!$C81,'Tabular Pop Data by Age'!AI$7),'Population Data by Age'!$B$7:$B$10366,0),MATCH('Tabular Pop Data by Age'!$C$6,'Population Data by Age'!$B$6:$H$6,0))</f>
        <v>1610000</v>
      </c>
      <c r="AJ81" s="78">
        <f>INDEX('Population Data by Age'!$B$7:$H$10366,MATCH(CONCATENATE('Tabular Pop Data by Age'!$C81,'Tabular Pop Data by Age'!AJ$7),'Population Data by Age'!$B$7:$B$10366,0),MATCH('Tabular Pop Data by Age'!$C$6,'Population Data by Age'!$B$6:$H$6,0))</f>
        <v>3570000</v>
      </c>
      <c r="AK81" s="78">
        <f>INDEX('Population Data by Age'!$B$7:$H$10366,MATCH(CONCATENATE('Tabular Pop Data by Age'!$C81,'Tabular Pop Data by Age'!AK$7),'Population Data by Age'!$B$7:$B$10366,0),MATCH('Tabular Pop Data by Age'!$C$6,'Population Data by Age'!$B$6:$H$6,0))</f>
        <v>2228000</v>
      </c>
      <c r="AL81" s="78">
        <f>INDEX('Population Data by Age'!$B$7:$H$10366,MATCH(CONCATENATE('Tabular Pop Data by Age'!$C81,'Tabular Pop Data by Age'!AL$7),'Population Data by Age'!$B$7:$B$10366,0),MATCH('Tabular Pop Data by Age'!$C$6,'Population Data by Age'!$B$6:$H$6,0))</f>
        <v>41809000</v>
      </c>
      <c r="AM81" s="78">
        <f>INDEX('Population Data by Age'!$B$7:$H$10366,MATCH(CONCATENATE('Tabular Pop Data by Age'!$C81,'Tabular Pop Data by Age'!AM$7),'Population Data by Age'!$B$7:$B$10366,0),MATCH('Tabular Pop Data by Age'!$C$6,'Population Data by Age'!$B$6:$H$6,0))</f>
        <v>40869000</v>
      </c>
      <c r="AN81" s="78">
        <f>INDEX('Population Data by Age'!$B$7:$H$10366,MATCH(CONCATENATE('Tabular Pop Data by Age'!$C81,'Tabular Pop Data by Age'!AN$7),'Population Data by Age'!$B$7:$B$10366,0),MATCH('Tabular Pop Data by Age'!$C$6,'Population Data by Age'!$B$6:$H$6,0))</f>
        <v>82678000</v>
      </c>
      <c r="AO81" s="78">
        <f>INDEX('Population Data by Age'!$B$7:$H$10366,MATCH(CONCATENATE('Tabular Pop Data by Age'!$C81,'Tabular Pop Data by Age'!AO$7),'Population Data by Age'!$B$7:$B$10366,0),MATCH('Tabular Pop Data by Age'!$C$6,'Population Data by Age'!$B$6:$H$6,0))</f>
        <v>0</v>
      </c>
      <c r="AP81" s="79">
        <f t="shared" si="17"/>
        <v>4005000</v>
      </c>
      <c r="AQ81" s="79">
        <f t="shared" si="18"/>
        <v>3771000</v>
      </c>
      <c r="AR81" s="79">
        <f t="shared" si="19"/>
        <v>3761000</v>
      </c>
      <c r="AS81" s="79">
        <f t="shared" si="20"/>
        <v>4065000</v>
      </c>
      <c r="AT81" s="79">
        <f t="shared" si="21"/>
        <v>4493000</v>
      </c>
      <c r="AU81" s="79">
        <f t="shared" si="22"/>
        <v>4761000</v>
      </c>
      <c r="AV81" s="79">
        <f t="shared" si="23"/>
        <v>5370000</v>
      </c>
      <c r="AW81" s="79">
        <f t="shared" si="24"/>
        <v>5359000</v>
      </c>
      <c r="AX81" s="79">
        <f t="shared" si="25"/>
        <v>4993000</v>
      </c>
      <c r="AY81" s="79">
        <f t="shared" si="26"/>
        <v>5115000</v>
      </c>
      <c r="AZ81" s="79">
        <f t="shared" si="27"/>
        <v>6593000</v>
      </c>
      <c r="BA81" s="79">
        <f t="shared" si="28"/>
        <v>6717000</v>
      </c>
      <c r="BB81" s="79">
        <f t="shared" si="29"/>
        <v>5744000</v>
      </c>
      <c r="BC81" s="79">
        <f t="shared" si="30"/>
        <v>4760000</v>
      </c>
      <c r="BD81" s="79">
        <f t="shared" si="31"/>
        <v>3783000</v>
      </c>
      <c r="BE81" s="79">
        <f t="shared" si="32"/>
        <v>3589000</v>
      </c>
      <c r="BF81" s="79">
        <f t="shared" si="33"/>
        <v>5798000</v>
      </c>
    </row>
    <row r="82" spans="1:58" x14ac:dyDescent="0.25">
      <c r="A82" s="138" t="s">
        <v>1195</v>
      </c>
      <c r="B82" t="s">
        <v>196</v>
      </c>
      <c r="C82" t="s">
        <v>162</v>
      </c>
      <c r="D82" s="78">
        <f>INDEX('Population Data by Age'!$B$7:$H$10366,MATCH(CONCATENATE('Tabular Pop Data by Age'!$C82,'Tabular Pop Data by Age'!D$7),'Population Data by Age'!$B$7:$B$10366,0),MATCH('Tabular Pop Data by Age'!$C$6,'Population Data by Age'!$B$6:$H$6,0))</f>
        <v>2040000</v>
      </c>
      <c r="E82" s="78">
        <f>INDEX('Population Data by Age'!$B$7:$H$10366,MATCH(CONCATENATE('Tabular Pop Data by Age'!$C82,'Tabular Pop Data by Age'!E$7),'Population Data by Age'!$B$7:$B$10366,0),MATCH('Tabular Pop Data by Age'!$C$6,'Population Data by Age'!$B$6:$H$6,0))</f>
        <v>2129000</v>
      </c>
      <c r="F82" s="78">
        <f>INDEX('Population Data by Age'!$B$7:$H$10366,MATCH(CONCATENATE('Tabular Pop Data by Age'!$C82,'Tabular Pop Data by Age'!F$7),'Population Data by Age'!$B$7:$B$10366,0),MATCH('Tabular Pop Data by Age'!$C$6,'Population Data by Age'!$B$6:$H$6,0))</f>
        <v>1903000</v>
      </c>
      <c r="G82" s="78">
        <f>INDEX('Population Data by Age'!$B$7:$H$10366,MATCH(CONCATENATE('Tabular Pop Data by Age'!$C82,'Tabular Pop Data by Age'!G$7),'Population Data by Age'!$B$7:$B$10366,0),MATCH('Tabular Pop Data by Age'!$C$6,'Population Data by Age'!$B$6:$H$6,0))</f>
        <v>1985000</v>
      </c>
      <c r="H82" s="78">
        <f>INDEX('Population Data by Age'!$B$7:$H$10366,MATCH(CONCATENATE('Tabular Pop Data by Age'!$C82,'Tabular Pop Data by Age'!H$7),'Population Data by Age'!$B$7:$B$10366,0),MATCH('Tabular Pop Data by Age'!$C$6,'Population Data by Age'!$B$6:$H$6,0))</f>
        <v>1703000</v>
      </c>
      <c r="I82" s="78">
        <f>INDEX('Population Data by Age'!$B$7:$H$10366,MATCH(CONCATENATE('Tabular Pop Data by Age'!$C82,'Tabular Pop Data by Age'!I$7),'Population Data by Age'!$B$7:$B$10366,0),MATCH('Tabular Pop Data by Age'!$C$6,'Population Data by Age'!$B$6:$H$6,0))</f>
        <v>1776000</v>
      </c>
      <c r="J82" s="78">
        <f>INDEX('Population Data by Age'!$B$7:$H$10366,MATCH(CONCATENATE('Tabular Pop Data by Age'!$C82,'Tabular Pop Data by Age'!J$7),'Population Data by Age'!$B$7:$B$10366,0),MATCH('Tabular Pop Data by Age'!$C$6,'Population Data by Age'!$B$6:$H$6,0))</f>
        <v>1534000</v>
      </c>
      <c r="K82" s="78">
        <f>INDEX('Population Data by Age'!$B$7:$H$10366,MATCH(CONCATENATE('Tabular Pop Data by Age'!$C82,'Tabular Pop Data by Age'!K$7),'Population Data by Age'!$B$7:$B$10366,0),MATCH('Tabular Pop Data by Age'!$C$6,'Population Data by Age'!$B$6:$H$6,0))</f>
        <v>1603000</v>
      </c>
      <c r="L82" s="78">
        <f>INDEX('Population Data by Age'!$B$7:$H$10366,MATCH(CONCATENATE('Tabular Pop Data by Age'!$C82,'Tabular Pop Data by Age'!L$7),'Population Data by Age'!$B$7:$B$10366,0),MATCH('Tabular Pop Data by Age'!$C$6,'Population Data by Age'!$B$6:$H$6,0))</f>
        <v>1398000</v>
      </c>
      <c r="M82" s="78">
        <f>INDEX('Population Data by Age'!$B$7:$H$10366,MATCH(CONCATENATE('Tabular Pop Data by Age'!$C82,'Tabular Pop Data by Age'!M$7),'Population Data by Age'!$B$7:$B$10366,0),MATCH('Tabular Pop Data by Age'!$C$6,'Population Data by Age'!$B$6:$H$6,0))</f>
        <v>1462000</v>
      </c>
      <c r="N82" s="78">
        <f>INDEX('Population Data by Age'!$B$7:$H$10366,MATCH(CONCATENATE('Tabular Pop Data by Age'!$C82,'Tabular Pop Data by Age'!N$7),'Population Data by Age'!$B$7:$B$10366,0),MATCH('Tabular Pop Data by Age'!$C$6,'Population Data by Age'!$B$6:$H$6,0))</f>
        <v>1240000</v>
      </c>
      <c r="O82" s="78">
        <f>INDEX('Population Data by Age'!$B$7:$H$10366,MATCH(CONCATENATE('Tabular Pop Data by Age'!$C82,'Tabular Pop Data by Age'!O$7),'Population Data by Age'!$B$7:$B$10366,0),MATCH('Tabular Pop Data by Age'!$C$6,'Population Data by Age'!$B$6:$H$6,0))</f>
        <v>1299000</v>
      </c>
      <c r="P82" s="78">
        <f>INDEX('Population Data by Age'!$B$7:$H$10366,MATCH(CONCATENATE('Tabular Pop Data by Age'!$C82,'Tabular Pop Data by Age'!P$7),'Population Data by Age'!$B$7:$B$10366,0),MATCH('Tabular Pop Data by Age'!$C$6,'Population Data by Age'!$B$6:$H$6,0))</f>
        <v>1108000</v>
      </c>
      <c r="Q82" s="78">
        <f>INDEX('Population Data by Age'!$B$7:$H$10366,MATCH(CONCATENATE('Tabular Pop Data by Age'!$C82,'Tabular Pop Data by Age'!Q$7),'Population Data by Age'!$B$7:$B$10366,0),MATCH('Tabular Pop Data by Age'!$C$6,'Population Data by Age'!$B$6:$H$6,0))</f>
        <v>1159000</v>
      </c>
      <c r="R82" s="78">
        <f>INDEX('Population Data by Age'!$B$7:$H$10366,MATCH(CONCATENATE('Tabular Pop Data by Age'!$C82,'Tabular Pop Data by Age'!R$7),'Population Data by Age'!$B$7:$B$10366,0),MATCH('Tabular Pop Data by Age'!$C$6,'Population Data by Age'!$B$6:$H$6,0))</f>
        <v>945000</v>
      </c>
      <c r="S82" s="78">
        <f>INDEX('Population Data by Age'!$B$7:$H$10366,MATCH(CONCATENATE('Tabular Pop Data by Age'!$C82,'Tabular Pop Data by Age'!S$7),'Population Data by Age'!$B$7:$B$10366,0),MATCH('Tabular Pop Data by Age'!$C$6,'Population Data by Age'!$B$6:$H$6,0))</f>
        <v>979000</v>
      </c>
      <c r="T82" s="78">
        <f>INDEX('Population Data by Age'!$B$7:$H$10366,MATCH(CONCATENATE('Tabular Pop Data by Age'!$C82,'Tabular Pop Data by Age'!T$7),'Population Data by Age'!$B$7:$B$10366,0),MATCH('Tabular Pop Data by Age'!$C$6,'Population Data by Age'!$B$6:$H$6,0))</f>
        <v>803000</v>
      </c>
      <c r="U82" s="78">
        <f>INDEX('Population Data by Age'!$B$7:$H$10366,MATCH(CONCATENATE('Tabular Pop Data by Age'!$C82,'Tabular Pop Data by Age'!U$7),'Population Data by Age'!$B$7:$B$10366,0),MATCH('Tabular Pop Data by Age'!$C$6,'Population Data by Age'!$B$6:$H$6,0))</f>
        <v>823000</v>
      </c>
      <c r="V82" s="78">
        <f>INDEX('Population Data by Age'!$B$7:$H$10366,MATCH(CONCATENATE('Tabular Pop Data by Age'!$C82,'Tabular Pop Data by Age'!V$7),'Population Data by Age'!$B$7:$B$10366,0),MATCH('Tabular Pop Data by Age'!$C$6,'Population Data by Age'!$B$6:$H$6,0))</f>
        <v>699000</v>
      </c>
      <c r="W82" s="78">
        <f>INDEX('Population Data by Age'!$B$7:$H$10366,MATCH(CONCATENATE('Tabular Pop Data by Age'!$C82,'Tabular Pop Data by Age'!W$7),'Population Data by Age'!$B$7:$B$10366,0),MATCH('Tabular Pop Data by Age'!$C$6,'Population Data by Age'!$B$6:$H$6,0))</f>
        <v>706000</v>
      </c>
      <c r="X82" s="78">
        <f>INDEX('Population Data by Age'!$B$7:$H$10366,MATCH(CONCATENATE('Tabular Pop Data by Age'!$C82,'Tabular Pop Data by Age'!X$7),'Population Data by Age'!$B$7:$B$10366,0),MATCH('Tabular Pop Data by Age'!$C$6,'Population Data by Age'!$B$6:$H$6,0))</f>
        <v>596000</v>
      </c>
      <c r="Y82" s="78">
        <f>INDEX('Population Data by Age'!$B$7:$H$10366,MATCH(CONCATENATE('Tabular Pop Data by Age'!$C82,'Tabular Pop Data by Age'!Y$7),'Population Data by Age'!$B$7:$B$10366,0),MATCH('Tabular Pop Data by Age'!$C$6,'Population Data by Age'!$B$6:$H$6,0))</f>
        <v>594000</v>
      </c>
      <c r="Z82" s="78">
        <f>INDEX('Population Data by Age'!$B$7:$H$10366,MATCH(CONCATENATE('Tabular Pop Data by Age'!$C82,'Tabular Pop Data by Age'!Z$7),'Population Data by Age'!$B$7:$B$10366,0),MATCH('Tabular Pop Data by Age'!$C$6,'Population Data by Age'!$B$6:$H$6,0))</f>
        <v>480000</v>
      </c>
      <c r="AA82" s="78">
        <f>INDEX('Population Data by Age'!$B$7:$H$10366,MATCH(CONCATENATE('Tabular Pop Data by Age'!$C82,'Tabular Pop Data by Age'!AA$7),'Population Data by Age'!$B$7:$B$10366,0),MATCH('Tabular Pop Data by Age'!$C$6,'Population Data by Age'!$B$6:$H$6,0))</f>
        <v>466000</v>
      </c>
      <c r="AB82" s="78">
        <f>INDEX('Population Data by Age'!$B$7:$H$10366,MATCH(CONCATENATE('Tabular Pop Data by Age'!$C82,'Tabular Pop Data by Age'!AB$7),'Population Data by Age'!$B$7:$B$10366,0),MATCH('Tabular Pop Data by Age'!$C$6,'Population Data by Age'!$B$6:$H$6,0))</f>
        <v>346000</v>
      </c>
      <c r="AC82" s="78">
        <f>INDEX('Population Data by Age'!$B$7:$H$10366,MATCH(CONCATENATE('Tabular Pop Data by Age'!$C82,'Tabular Pop Data by Age'!AC$7),'Population Data by Age'!$B$7:$B$10366,0),MATCH('Tabular Pop Data by Age'!$C$6,'Population Data by Age'!$B$6:$H$6,0))</f>
        <v>321000</v>
      </c>
      <c r="AD82" s="78">
        <f>INDEX('Population Data by Age'!$B$7:$H$10366,MATCH(CONCATENATE('Tabular Pop Data by Age'!$C82,'Tabular Pop Data by Age'!AD$7),'Population Data by Age'!$B$7:$B$10366,0),MATCH('Tabular Pop Data by Age'!$C$6,'Population Data by Age'!$B$6:$H$6,0))</f>
        <v>224000</v>
      </c>
      <c r="AE82" s="78">
        <f>INDEX('Population Data by Age'!$B$7:$H$10366,MATCH(CONCATENATE('Tabular Pop Data by Age'!$C82,'Tabular Pop Data by Age'!AE$7),'Population Data by Age'!$B$7:$B$10366,0),MATCH('Tabular Pop Data by Age'!$C$6,'Population Data by Age'!$B$6:$H$6,0))</f>
        <v>200000</v>
      </c>
      <c r="AF82" s="78">
        <f>INDEX('Population Data by Age'!$B$7:$H$10366,MATCH(CONCATENATE('Tabular Pop Data by Age'!$C82,'Tabular Pop Data by Age'!AF$7),'Population Data by Age'!$B$7:$B$10366,0),MATCH('Tabular Pop Data by Age'!$C$6,'Population Data by Age'!$B$6:$H$6,0))</f>
        <v>160000</v>
      </c>
      <c r="AG82" s="78">
        <f>INDEX('Population Data by Age'!$B$7:$H$10366,MATCH(CONCATENATE('Tabular Pop Data by Age'!$C82,'Tabular Pop Data by Age'!AG$7),'Population Data by Age'!$B$7:$B$10366,0),MATCH('Tabular Pop Data by Age'!$C$6,'Population Data by Age'!$B$6:$H$6,0))</f>
        <v>138000</v>
      </c>
      <c r="AH82" s="78">
        <f>INDEX('Population Data by Age'!$B$7:$H$10366,MATCH(CONCATENATE('Tabular Pop Data by Age'!$C82,'Tabular Pop Data by Age'!AH$7),'Population Data by Age'!$B$7:$B$10366,0),MATCH('Tabular Pop Data by Age'!$C$6,'Population Data by Age'!$B$6:$H$6,0))</f>
        <v>89000</v>
      </c>
      <c r="AI82" s="78">
        <f>INDEX('Population Data by Age'!$B$7:$H$10366,MATCH(CONCATENATE('Tabular Pop Data by Age'!$C82,'Tabular Pop Data by Age'!AI$7),'Population Data by Age'!$B$7:$B$10366,0),MATCH('Tabular Pop Data by Age'!$C$6,'Population Data by Age'!$B$6:$H$6,0))</f>
        <v>70000</v>
      </c>
      <c r="AJ82" s="78">
        <f>INDEX('Population Data by Age'!$B$7:$H$10366,MATCH(CONCATENATE('Tabular Pop Data by Age'!$C82,'Tabular Pop Data by Age'!AJ$7),'Population Data by Age'!$B$7:$B$10366,0),MATCH('Tabular Pop Data by Age'!$C$6,'Population Data by Age'!$B$6:$H$6,0))</f>
        <v>55000</v>
      </c>
      <c r="AK82" s="78">
        <f>INDEX('Population Data by Age'!$B$7:$H$10366,MATCH(CONCATENATE('Tabular Pop Data by Age'!$C82,'Tabular Pop Data by Age'!AK$7),'Population Data by Age'!$B$7:$B$10366,0),MATCH('Tabular Pop Data by Age'!$C$6,'Population Data by Age'!$B$6:$H$6,0))</f>
        <v>41000</v>
      </c>
      <c r="AL82" s="78">
        <f>INDEX('Population Data by Age'!$B$7:$H$10366,MATCH(CONCATENATE('Tabular Pop Data by Age'!$C82,'Tabular Pop Data by Age'!AL$7),'Population Data by Age'!$B$7:$B$10366,0),MATCH('Tabular Pop Data by Age'!$C$6,'Population Data by Age'!$B$6:$H$6,0))</f>
        <v>15323000</v>
      </c>
      <c r="AM82" s="78">
        <f>INDEX('Population Data by Age'!$B$7:$H$10366,MATCH(CONCATENATE('Tabular Pop Data by Age'!$C82,'Tabular Pop Data by Age'!AM$7),'Population Data by Age'!$B$7:$B$10366,0),MATCH('Tabular Pop Data by Age'!$C$6,'Population Data by Age'!$B$6:$H$6,0))</f>
        <v>15750000</v>
      </c>
      <c r="AN82" s="78">
        <f>INDEX('Population Data by Age'!$B$7:$H$10366,MATCH(CONCATENATE('Tabular Pop Data by Age'!$C82,'Tabular Pop Data by Age'!AN$7),'Population Data by Age'!$B$7:$B$10366,0),MATCH('Tabular Pop Data by Age'!$C$6,'Population Data by Age'!$B$6:$H$6,0))</f>
        <v>31073000</v>
      </c>
      <c r="AO82" s="78">
        <f>INDEX('Population Data by Age'!$B$7:$H$10366,MATCH(CONCATENATE('Tabular Pop Data by Age'!$C82,'Tabular Pop Data by Age'!AO$7),'Population Data by Age'!$B$7:$B$10366,0),MATCH('Tabular Pop Data by Age'!$C$6,'Population Data by Age'!$B$6:$H$6,0))</f>
        <v>0</v>
      </c>
      <c r="AP82" s="79">
        <f t="shared" si="17"/>
        <v>4169000</v>
      </c>
      <c r="AQ82" s="79">
        <f t="shared" si="18"/>
        <v>3888000</v>
      </c>
      <c r="AR82" s="79">
        <f t="shared" si="19"/>
        <v>3479000</v>
      </c>
      <c r="AS82" s="79">
        <f t="shared" si="20"/>
        <v>3137000</v>
      </c>
      <c r="AT82" s="79">
        <f t="shared" si="21"/>
        <v>2860000</v>
      </c>
      <c r="AU82" s="79">
        <f t="shared" si="22"/>
        <v>2539000</v>
      </c>
      <c r="AV82" s="79">
        <f t="shared" si="23"/>
        <v>2267000</v>
      </c>
      <c r="AW82" s="79">
        <f t="shared" si="24"/>
        <v>1924000</v>
      </c>
      <c r="AX82" s="79">
        <f t="shared" si="25"/>
        <v>1626000</v>
      </c>
      <c r="AY82" s="79">
        <f t="shared" si="26"/>
        <v>1405000</v>
      </c>
      <c r="AZ82" s="79">
        <f t="shared" si="27"/>
        <v>1190000</v>
      </c>
      <c r="BA82" s="79">
        <f t="shared" si="28"/>
        <v>946000</v>
      </c>
      <c r="BB82" s="79">
        <f t="shared" si="29"/>
        <v>667000</v>
      </c>
      <c r="BC82" s="79">
        <f t="shared" si="30"/>
        <v>424000</v>
      </c>
      <c r="BD82" s="79">
        <f t="shared" si="31"/>
        <v>298000</v>
      </c>
      <c r="BE82" s="79">
        <f t="shared" si="32"/>
        <v>159000</v>
      </c>
      <c r="BF82" s="79">
        <f t="shared" si="33"/>
        <v>96000</v>
      </c>
    </row>
    <row r="83" spans="1:58" x14ac:dyDescent="0.25">
      <c r="A83" s="138" t="s">
        <v>1195</v>
      </c>
      <c r="B83" t="s">
        <v>507</v>
      </c>
      <c r="C83" t="s">
        <v>508</v>
      </c>
      <c r="D83" s="78">
        <f>INDEX('Population Data by Age'!$B$7:$H$10366,MATCH(CONCATENATE('Tabular Pop Data by Age'!$C83,'Tabular Pop Data by Age'!D$7),'Population Data by Age'!$B$7:$B$10366,0),MATCH('Tabular Pop Data by Age'!$C$6,'Population Data by Age'!$B$6:$H$6,0))</f>
        <v>0</v>
      </c>
      <c r="E83" s="78">
        <f>INDEX('Population Data by Age'!$B$7:$H$10366,MATCH(CONCATENATE('Tabular Pop Data by Age'!$C83,'Tabular Pop Data by Age'!E$7),'Population Data by Age'!$B$7:$B$10366,0),MATCH('Tabular Pop Data by Age'!$C$6,'Population Data by Age'!$B$6:$H$6,0))</f>
        <v>0</v>
      </c>
      <c r="F83" s="78">
        <f>INDEX('Population Data by Age'!$B$7:$H$10366,MATCH(CONCATENATE('Tabular Pop Data by Age'!$C83,'Tabular Pop Data by Age'!F$7),'Population Data by Age'!$B$7:$B$10366,0),MATCH('Tabular Pop Data by Age'!$C$6,'Population Data by Age'!$B$6:$H$6,0))</f>
        <v>0</v>
      </c>
      <c r="G83" s="78">
        <f>INDEX('Population Data by Age'!$B$7:$H$10366,MATCH(CONCATENATE('Tabular Pop Data by Age'!$C83,'Tabular Pop Data by Age'!G$7),'Population Data by Age'!$B$7:$B$10366,0),MATCH('Tabular Pop Data by Age'!$C$6,'Population Data by Age'!$B$6:$H$6,0))</f>
        <v>0</v>
      </c>
      <c r="H83" s="78">
        <f>INDEX('Population Data by Age'!$B$7:$H$10366,MATCH(CONCATENATE('Tabular Pop Data by Age'!$C83,'Tabular Pop Data by Age'!H$7),'Population Data by Age'!$B$7:$B$10366,0),MATCH('Tabular Pop Data by Age'!$C$6,'Population Data by Age'!$B$6:$H$6,0))</f>
        <v>0</v>
      </c>
      <c r="I83" s="78">
        <f>INDEX('Population Data by Age'!$B$7:$H$10366,MATCH(CONCATENATE('Tabular Pop Data by Age'!$C83,'Tabular Pop Data by Age'!I$7),'Population Data by Age'!$B$7:$B$10366,0),MATCH('Tabular Pop Data by Age'!$C$6,'Population Data by Age'!$B$6:$H$6,0))</f>
        <v>0</v>
      </c>
      <c r="J83" s="78">
        <f>INDEX('Population Data by Age'!$B$7:$H$10366,MATCH(CONCATENATE('Tabular Pop Data by Age'!$C83,'Tabular Pop Data by Age'!J$7),'Population Data by Age'!$B$7:$B$10366,0),MATCH('Tabular Pop Data by Age'!$C$6,'Population Data by Age'!$B$6:$H$6,0))</f>
        <v>0</v>
      </c>
      <c r="K83" s="78">
        <f>INDEX('Population Data by Age'!$B$7:$H$10366,MATCH(CONCATENATE('Tabular Pop Data by Age'!$C83,'Tabular Pop Data by Age'!K$7),'Population Data by Age'!$B$7:$B$10366,0),MATCH('Tabular Pop Data by Age'!$C$6,'Population Data by Age'!$B$6:$H$6,0))</f>
        <v>0</v>
      </c>
      <c r="L83" s="78">
        <f>INDEX('Population Data by Age'!$B$7:$H$10366,MATCH(CONCATENATE('Tabular Pop Data by Age'!$C83,'Tabular Pop Data by Age'!L$7),'Population Data by Age'!$B$7:$B$10366,0),MATCH('Tabular Pop Data by Age'!$C$6,'Population Data by Age'!$B$6:$H$6,0))</f>
        <v>0</v>
      </c>
      <c r="M83" s="78">
        <f>INDEX('Population Data by Age'!$B$7:$H$10366,MATCH(CONCATENATE('Tabular Pop Data by Age'!$C83,'Tabular Pop Data by Age'!M$7),'Population Data by Age'!$B$7:$B$10366,0),MATCH('Tabular Pop Data by Age'!$C$6,'Population Data by Age'!$B$6:$H$6,0))</f>
        <v>0</v>
      </c>
      <c r="N83" s="78">
        <f>INDEX('Population Data by Age'!$B$7:$H$10366,MATCH(CONCATENATE('Tabular Pop Data by Age'!$C83,'Tabular Pop Data by Age'!N$7),'Population Data by Age'!$B$7:$B$10366,0),MATCH('Tabular Pop Data by Age'!$C$6,'Population Data by Age'!$B$6:$H$6,0))</f>
        <v>0</v>
      </c>
      <c r="O83" s="78">
        <f>INDEX('Population Data by Age'!$B$7:$H$10366,MATCH(CONCATENATE('Tabular Pop Data by Age'!$C83,'Tabular Pop Data by Age'!O$7),'Population Data by Age'!$B$7:$B$10366,0),MATCH('Tabular Pop Data by Age'!$C$6,'Population Data by Age'!$B$6:$H$6,0))</f>
        <v>0</v>
      </c>
      <c r="P83" s="78">
        <f>INDEX('Population Data by Age'!$B$7:$H$10366,MATCH(CONCATENATE('Tabular Pop Data by Age'!$C83,'Tabular Pop Data by Age'!P$7),'Population Data by Age'!$B$7:$B$10366,0),MATCH('Tabular Pop Data by Age'!$C$6,'Population Data by Age'!$B$6:$H$6,0))</f>
        <v>0</v>
      </c>
      <c r="Q83" s="78">
        <f>INDEX('Population Data by Age'!$B$7:$H$10366,MATCH(CONCATENATE('Tabular Pop Data by Age'!$C83,'Tabular Pop Data by Age'!Q$7),'Population Data by Age'!$B$7:$B$10366,0),MATCH('Tabular Pop Data by Age'!$C$6,'Population Data by Age'!$B$6:$H$6,0))</f>
        <v>0</v>
      </c>
      <c r="R83" s="78">
        <f>INDEX('Population Data by Age'!$B$7:$H$10366,MATCH(CONCATENATE('Tabular Pop Data by Age'!$C83,'Tabular Pop Data by Age'!R$7),'Population Data by Age'!$B$7:$B$10366,0),MATCH('Tabular Pop Data by Age'!$C$6,'Population Data by Age'!$B$6:$H$6,0))</f>
        <v>0</v>
      </c>
      <c r="S83" s="78">
        <f>INDEX('Population Data by Age'!$B$7:$H$10366,MATCH(CONCATENATE('Tabular Pop Data by Age'!$C83,'Tabular Pop Data by Age'!S$7),'Population Data by Age'!$B$7:$B$10366,0),MATCH('Tabular Pop Data by Age'!$C$6,'Population Data by Age'!$B$6:$H$6,0))</f>
        <v>0</v>
      </c>
      <c r="T83" s="78">
        <f>INDEX('Population Data by Age'!$B$7:$H$10366,MATCH(CONCATENATE('Tabular Pop Data by Age'!$C83,'Tabular Pop Data by Age'!T$7),'Population Data by Age'!$B$7:$B$10366,0),MATCH('Tabular Pop Data by Age'!$C$6,'Population Data by Age'!$B$6:$H$6,0))</f>
        <v>0</v>
      </c>
      <c r="U83" s="78">
        <f>INDEX('Population Data by Age'!$B$7:$H$10366,MATCH(CONCATENATE('Tabular Pop Data by Age'!$C83,'Tabular Pop Data by Age'!U$7),'Population Data by Age'!$B$7:$B$10366,0),MATCH('Tabular Pop Data by Age'!$C$6,'Population Data by Age'!$B$6:$H$6,0))</f>
        <v>0</v>
      </c>
      <c r="V83" s="78">
        <f>INDEX('Population Data by Age'!$B$7:$H$10366,MATCH(CONCATENATE('Tabular Pop Data by Age'!$C83,'Tabular Pop Data by Age'!V$7),'Population Data by Age'!$B$7:$B$10366,0),MATCH('Tabular Pop Data by Age'!$C$6,'Population Data by Age'!$B$6:$H$6,0))</f>
        <v>0</v>
      </c>
      <c r="W83" s="78">
        <f>INDEX('Population Data by Age'!$B$7:$H$10366,MATCH(CONCATENATE('Tabular Pop Data by Age'!$C83,'Tabular Pop Data by Age'!W$7),'Population Data by Age'!$B$7:$B$10366,0),MATCH('Tabular Pop Data by Age'!$C$6,'Population Data by Age'!$B$6:$H$6,0))</f>
        <v>0</v>
      </c>
      <c r="X83" s="78">
        <f>INDEX('Population Data by Age'!$B$7:$H$10366,MATCH(CONCATENATE('Tabular Pop Data by Age'!$C83,'Tabular Pop Data by Age'!X$7),'Population Data by Age'!$B$7:$B$10366,0),MATCH('Tabular Pop Data by Age'!$C$6,'Population Data by Age'!$B$6:$H$6,0))</f>
        <v>0</v>
      </c>
      <c r="Y83" s="78">
        <f>INDEX('Population Data by Age'!$B$7:$H$10366,MATCH(CONCATENATE('Tabular Pop Data by Age'!$C83,'Tabular Pop Data by Age'!Y$7),'Population Data by Age'!$B$7:$B$10366,0),MATCH('Tabular Pop Data by Age'!$C$6,'Population Data by Age'!$B$6:$H$6,0))</f>
        <v>0</v>
      </c>
      <c r="Z83" s="78">
        <f>INDEX('Population Data by Age'!$B$7:$H$10366,MATCH(CONCATENATE('Tabular Pop Data by Age'!$C83,'Tabular Pop Data by Age'!Z$7),'Population Data by Age'!$B$7:$B$10366,0),MATCH('Tabular Pop Data by Age'!$C$6,'Population Data by Age'!$B$6:$H$6,0))</f>
        <v>0</v>
      </c>
      <c r="AA83" s="78">
        <f>INDEX('Population Data by Age'!$B$7:$H$10366,MATCH(CONCATENATE('Tabular Pop Data by Age'!$C83,'Tabular Pop Data by Age'!AA$7),'Population Data by Age'!$B$7:$B$10366,0),MATCH('Tabular Pop Data by Age'!$C$6,'Population Data by Age'!$B$6:$H$6,0))</f>
        <v>0</v>
      </c>
      <c r="AB83" s="78">
        <f>INDEX('Population Data by Age'!$B$7:$H$10366,MATCH(CONCATENATE('Tabular Pop Data by Age'!$C83,'Tabular Pop Data by Age'!AB$7),'Population Data by Age'!$B$7:$B$10366,0),MATCH('Tabular Pop Data by Age'!$C$6,'Population Data by Age'!$B$6:$H$6,0))</f>
        <v>0</v>
      </c>
      <c r="AC83" s="78">
        <f>INDEX('Population Data by Age'!$B$7:$H$10366,MATCH(CONCATENATE('Tabular Pop Data by Age'!$C83,'Tabular Pop Data by Age'!AC$7),'Population Data by Age'!$B$7:$B$10366,0),MATCH('Tabular Pop Data by Age'!$C$6,'Population Data by Age'!$B$6:$H$6,0))</f>
        <v>0</v>
      </c>
      <c r="AD83" s="78">
        <f>INDEX('Population Data by Age'!$B$7:$H$10366,MATCH(CONCATENATE('Tabular Pop Data by Age'!$C83,'Tabular Pop Data by Age'!AD$7),'Population Data by Age'!$B$7:$B$10366,0),MATCH('Tabular Pop Data by Age'!$C$6,'Population Data by Age'!$B$6:$H$6,0))</f>
        <v>0</v>
      </c>
      <c r="AE83" s="78">
        <f>INDEX('Population Data by Age'!$B$7:$H$10366,MATCH(CONCATENATE('Tabular Pop Data by Age'!$C83,'Tabular Pop Data by Age'!AE$7),'Population Data by Age'!$B$7:$B$10366,0),MATCH('Tabular Pop Data by Age'!$C$6,'Population Data by Age'!$B$6:$H$6,0))</f>
        <v>0</v>
      </c>
      <c r="AF83" s="78">
        <f>INDEX('Population Data by Age'!$B$7:$H$10366,MATCH(CONCATENATE('Tabular Pop Data by Age'!$C83,'Tabular Pop Data by Age'!AF$7),'Population Data by Age'!$B$7:$B$10366,0),MATCH('Tabular Pop Data by Age'!$C$6,'Population Data by Age'!$B$6:$H$6,0))</f>
        <v>0</v>
      </c>
      <c r="AG83" s="78">
        <f>INDEX('Population Data by Age'!$B$7:$H$10366,MATCH(CONCATENATE('Tabular Pop Data by Age'!$C83,'Tabular Pop Data by Age'!AG$7),'Population Data by Age'!$B$7:$B$10366,0),MATCH('Tabular Pop Data by Age'!$C$6,'Population Data by Age'!$B$6:$H$6,0))</f>
        <v>0</v>
      </c>
      <c r="AH83" s="78">
        <f>INDEX('Population Data by Age'!$B$7:$H$10366,MATCH(CONCATENATE('Tabular Pop Data by Age'!$C83,'Tabular Pop Data by Age'!AH$7),'Population Data by Age'!$B$7:$B$10366,0),MATCH('Tabular Pop Data by Age'!$C$6,'Population Data by Age'!$B$6:$H$6,0))</f>
        <v>0</v>
      </c>
      <c r="AI83" s="78">
        <f>INDEX('Population Data by Age'!$B$7:$H$10366,MATCH(CONCATENATE('Tabular Pop Data by Age'!$C83,'Tabular Pop Data by Age'!AI$7),'Population Data by Age'!$B$7:$B$10366,0),MATCH('Tabular Pop Data by Age'!$C$6,'Population Data by Age'!$B$6:$H$6,0))</f>
        <v>0</v>
      </c>
      <c r="AJ83" s="78">
        <f>INDEX('Population Data by Age'!$B$7:$H$10366,MATCH(CONCATENATE('Tabular Pop Data by Age'!$C83,'Tabular Pop Data by Age'!AJ$7),'Population Data by Age'!$B$7:$B$10366,0),MATCH('Tabular Pop Data by Age'!$C$6,'Population Data by Age'!$B$6:$H$6,0))</f>
        <v>0</v>
      </c>
      <c r="AK83" s="78">
        <f>INDEX('Population Data by Age'!$B$7:$H$10366,MATCH(CONCATENATE('Tabular Pop Data by Age'!$C83,'Tabular Pop Data by Age'!AK$7),'Population Data by Age'!$B$7:$B$10366,0),MATCH('Tabular Pop Data by Age'!$C$6,'Population Data by Age'!$B$6:$H$6,0))</f>
        <v>0</v>
      </c>
      <c r="AL83" s="78">
        <f>INDEX('Population Data by Age'!$B$7:$H$10366,MATCH(CONCATENATE('Tabular Pop Data by Age'!$C83,'Tabular Pop Data by Age'!AL$7),'Population Data by Age'!$B$7:$B$10366,0),MATCH('Tabular Pop Data by Age'!$C$6,'Population Data by Age'!$B$6:$H$6,0))</f>
        <v>0</v>
      </c>
      <c r="AM83" s="78">
        <f>INDEX('Population Data by Age'!$B$7:$H$10366,MATCH(CONCATENATE('Tabular Pop Data by Age'!$C83,'Tabular Pop Data by Age'!AM$7),'Population Data by Age'!$B$7:$B$10366,0),MATCH('Tabular Pop Data by Age'!$C$6,'Population Data by Age'!$B$6:$H$6,0))</f>
        <v>0</v>
      </c>
      <c r="AN83" s="78">
        <f>INDEX('Population Data by Age'!$B$7:$H$10366,MATCH(CONCATENATE('Tabular Pop Data by Age'!$C83,'Tabular Pop Data by Age'!AN$7),'Population Data by Age'!$B$7:$B$10366,0),MATCH('Tabular Pop Data by Age'!$C$6,'Population Data by Age'!$B$6:$H$6,0))</f>
        <v>34000</v>
      </c>
      <c r="AO83" s="78">
        <f>INDEX('Population Data by Age'!$B$7:$H$10366,MATCH(CONCATENATE('Tabular Pop Data by Age'!$C83,'Tabular Pop Data by Age'!AO$7),'Population Data by Age'!$B$7:$B$10366,0),MATCH('Tabular Pop Data by Age'!$C$6,'Population Data by Age'!$B$6:$H$6,0))</f>
        <v>0</v>
      </c>
      <c r="AP83" s="79">
        <f t="shared" si="17"/>
        <v>0</v>
      </c>
      <c r="AQ83" s="79">
        <f t="shared" si="18"/>
        <v>0</v>
      </c>
      <c r="AR83" s="79">
        <f t="shared" si="19"/>
        <v>0</v>
      </c>
      <c r="AS83" s="79">
        <f t="shared" si="20"/>
        <v>0</v>
      </c>
      <c r="AT83" s="79">
        <f t="shared" si="21"/>
        <v>0</v>
      </c>
      <c r="AU83" s="79">
        <f t="shared" si="22"/>
        <v>0</v>
      </c>
      <c r="AV83" s="79">
        <f t="shared" si="23"/>
        <v>0</v>
      </c>
      <c r="AW83" s="79">
        <f t="shared" si="24"/>
        <v>0</v>
      </c>
      <c r="AX83" s="79">
        <f t="shared" si="25"/>
        <v>0</v>
      </c>
      <c r="AY83" s="79">
        <f t="shared" si="26"/>
        <v>0</v>
      </c>
      <c r="AZ83" s="79">
        <f t="shared" si="27"/>
        <v>0</v>
      </c>
      <c r="BA83" s="79">
        <f t="shared" si="28"/>
        <v>0</v>
      </c>
      <c r="BB83" s="79">
        <f t="shared" si="29"/>
        <v>0</v>
      </c>
      <c r="BC83" s="79">
        <f t="shared" si="30"/>
        <v>0</v>
      </c>
      <c r="BD83" s="79">
        <f t="shared" si="31"/>
        <v>0</v>
      </c>
      <c r="BE83" s="79">
        <f t="shared" si="32"/>
        <v>0</v>
      </c>
      <c r="BF83" s="79">
        <f t="shared" si="33"/>
        <v>0</v>
      </c>
    </row>
    <row r="84" spans="1:58" x14ac:dyDescent="0.25">
      <c r="A84" s="138" t="s">
        <v>1195</v>
      </c>
      <c r="B84" t="s">
        <v>509</v>
      </c>
      <c r="C84" t="s">
        <v>51</v>
      </c>
      <c r="D84" s="78">
        <f>INDEX('Population Data by Age'!$B$7:$H$10366,MATCH(CONCATENATE('Tabular Pop Data by Age'!$C84,'Tabular Pop Data by Age'!D$7),'Population Data by Age'!$B$7:$B$10366,0),MATCH('Tabular Pop Data by Age'!$C$6,'Population Data by Age'!$B$6:$H$6,0))</f>
        <v>203000</v>
      </c>
      <c r="E84" s="78">
        <f>INDEX('Population Data by Age'!$B$7:$H$10366,MATCH(CONCATENATE('Tabular Pop Data by Age'!$C84,'Tabular Pop Data by Age'!E$7),'Population Data by Age'!$B$7:$B$10366,0),MATCH('Tabular Pop Data by Age'!$C$6,'Population Data by Age'!$B$6:$H$6,0))</f>
        <v>216000</v>
      </c>
      <c r="F84" s="78">
        <f>INDEX('Population Data by Age'!$B$7:$H$10366,MATCH(CONCATENATE('Tabular Pop Data by Age'!$C84,'Tabular Pop Data by Age'!F$7),'Population Data by Age'!$B$7:$B$10366,0),MATCH('Tabular Pop Data by Age'!$C$6,'Population Data by Age'!$B$6:$H$6,0))</f>
        <v>233000</v>
      </c>
      <c r="G84" s="78">
        <f>INDEX('Population Data by Age'!$B$7:$H$10366,MATCH(CONCATENATE('Tabular Pop Data by Age'!$C84,'Tabular Pop Data by Age'!G$7),'Population Data by Age'!$B$7:$B$10366,0),MATCH('Tabular Pop Data by Age'!$C$6,'Population Data by Age'!$B$6:$H$6,0))</f>
        <v>249000</v>
      </c>
      <c r="H84" s="78">
        <f>INDEX('Population Data by Age'!$B$7:$H$10366,MATCH(CONCATENATE('Tabular Pop Data by Age'!$C84,'Tabular Pop Data by Age'!H$7),'Population Data by Age'!$B$7:$B$10366,0),MATCH('Tabular Pop Data by Age'!$C$6,'Population Data by Age'!$B$6:$H$6,0))</f>
        <v>269000</v>
      </c>
      <c r="I84" s="78">
        <f>INDEX('Population Data by Age'!$B$7:$H$10366,MATCH(CONCATENATE('Tabular Pop Data by Age'!$C84,'Tabular Pop Data by Age'!I$7),'Population Data by Age'!$B$7:$B$10366,0),MATCH('Tabular Pop Data by Age'!$C$6,'Population Data by Age'!$B$6:$H$6,0))</f>
        <v>286000</v>
      </c>
      <c r="J84" s="78">
        <f>INDEX('Population Data by Age'!$B$7:$H$10366,MATCH(CONCATENATE('Tabular Pop Data by Age'!$C84,'Tabular Pop Data by Age'!J$7),'Population Data by Age'!$B$7:$B$10366,0),MATCH('Tabular Pop Data by Age'!$C$6,'Population Data by Age'!$B$6:$H$6,0))</f>
        <v>263000</v>
      </c>
      <c r="K84" s="78">
        <f>INDEX('Population Data by Age'!$B$7:$H$10366,MATCH(CONCATENATE('Tabular Pop Data by Age'!$C84,'Tabular Pop Data by Age'!K$7),'Population Data by Age'!$B$7:$B$10366,0),MATCH('Tabular Pop Data by Age'!$C$6,'Population Data by Age'!$B$6:$H$6,0))</f>
        <v>276000</v>
      </c>
      <c r="L84" s="78">
        <f>INDEX('Population Data by Age'!$B$7:$H$10366,MATCH(CONCATENATE('Tabular Pop Data by Age'!$C84,'Tabular Pop Data by Age'!L$7),'Population Data by Age'!$B$7:$B$10366,0),MATCH('Tabular Pop Data by Age'!$C$6,'Population Data by Age'!$B$6:$H$6,0))</f>
        <v>265000</v>
      </c>
      <c r="M84" s="78">
        <f>INDEX('Population Data by Age'!$B$7:$H$10366,MATCH(CONCATENATE('Tabular Pop Data by Age'!$C84,'Tabular Pop Data by Age'!M$7),'Population Data by Age'!$B$7:$B$10366,0),MATCH('Tabular Pop Data by Age'!$C$6,'Population Data by Age'!$B$6:$H$6,0))</f>
        <v>277000</v>
      </c>
      <c r="N84" s="78">
        <f>INDEX('Population Data by Age'!$B$7:$H$10366,MATCH(CONCATENATE('Tabular Pop Data by Age'!$C84,'Tabular Pop Data by Age'!N$7),'Population Data by Age'!$B$7:$B$10366,0),MATCH('Tabular Pop Data by Age'!$C$6,'Population Data by Age'!$B$6:$H$6,0))</f>
        <v>257000</v>
      </c>
      <c r="O84" s="78">
        <f>INDEX('Population Data by Age'!$B$7:$H$10366,MATCH(CONCATENATE('Tabular Pop Data by Age'!$C84,'Tabular Pop Data by Age'!O$7),'Population Data by Age'!$B$7:$B$10366,0),MATCH('Tabular Pop Data by Age'!$C$6,'Population Data by Age'!$B$6:$H$6,0))</f>
        <v>283000</v>
      </c>
      <c r="P84" s="78">
        <f>INDEX('Population Data by Age'!$B$7:$H$10366,MATCH(CONCATENATE('Tabular Pop Data by Age'!$C84,'Tabular Pop Data by Age'!P$7),'Population Data by Age'!$B$7:$B$10366,0),MATCH('Tabular Pop Data by Age'!$C$6,'Population Data by Age'!$B$6:$H$6,0))</f>
        <v>294000</v>
      </c>
      <c r="Q84" s="78">
        <f>INDEX('Population Data by Age'!$B$7:$H$10366,MATCH(CONCATENATE('Tabular Pop Data by Age'!$C84,'Tabular Pop Data by Age'!Q$7),'Population Data by Age'!$B$7:$B$10366,0),MATCH('Tabular Pop Data by Age'!$C$6,'Population Data by Age'!$B$6:$H$6,0))</f>
        <v>317000</v>
      </c>
      <c r="R84" s="78">
        <f>INDEX('Population Data by Age'!$B$7:$H$10366,MATCH(CONCATENATE('Tabular Pop Data by Age'!$C84,'Tabular Pop Data by Age'!R$7),'Population Data by Age'!$B$7:$B$10366,0),MATCH('Tabular Pop Data by Age'!$C$6,'Population Data by Age'!$B$6:$H$6,0))</f>
        <v>370000</v>
      </c>
      <c r="S84" s="78">
        <f>INDEX('Population Data by Age'!$B$7:$H$10366,MATCH(CONCATENATE('Tabular Pop Data by Age'!$C84,'Tabular Pop Data by Age'!S$7),'Population Data by Age'!$B$7:$B$10366,0),MATCH('Tabular Pop Data by Age'!$C$6,'Population Data by Age'!$B$6:$H$6,0))</f>
        <v>386000</v>
      </c>
      <c r="T84" s="78">
        <f>INDEX('Population Data by Age'!$B$7:$H$10366,MATCH(CONCATENATE('Tabular Pop Data by Age'!$C84,'Tabular Pop Data by Age'!T$7),'Population Data by Age'!$B$7:$B$10366,0),MATCH('Tabular Pop Data by Age'!$C$6,'Population Data by Age'!$B$6:$H$6,0))</f>
        <v>393000</v>
      </c>
      <c r="U84" s="78">
        <f>INDEX('Population Data by Age'!$B$7:$H$10366,MATCH(CONCATENATE('Tabular Pop Data by Age'!$C84,'Tabular Pop Data by Age'!U$7),'Population Data by Age'!$B$7:$B$10366,0),MATCH('Tabular Pop Data by Age'!$C$6,'Population Data by Age'!$B$6:$H$6,0))</f>
        <v>406000</v>
      </c>
      <c r="V84" s="78">
        <f>INDEX('Population Data by Age'!$B$7:$H$10366,MATCH(CONCATENATE('Tabular Pop Data by Age'!$C84,'Tabular Pop Data by Age'!V$7),'Population Data by Age'!$B$7:$B$10366,0),MATCH('Tabular Pop Data by Age'!$C$6,'Population Data by Age'!$B$6:$H$6,0))</f>
        <v>406000</v>
      </c>
      <c r="W84" s="78">
        <f>INDEX('Population Data by Age'!$B$7:$H$10366,MATCH(CONCATENATE('Tabular Pop Data by Age'!$C84,'Tabular Pop Data by Age'!W$7),'Population Data by Age'!$B$7:$B$10366,0),MATCH('Tabular Pop Data by Age'!$C$6,'Population Data by Age'!$B$6:$H$6,0))</f>
        <v>406000</v>
      </c>
      <c r="X84" s="78">
        <f>INDEX('Population Data by Age'!$B$7:$H$10366,MATCH(CONCATENATE('Tabular Pop Data by Age'!$C84,'Tabular Pop Data by Age'!X$7),'Population Data by Age'!$B$7:$B$10366,0),MATCH('Tabular Pop Data by Age'!$C$6,'Population Data by Age'!$B$6:$H$6,0))</f>
        <v>413000</v>
      </c>
      <c r="Y84" s="78">
        <f>INDEX('Population Data by Age'!$B$7:$H$10366,MATCH(CONCATENATE('Tabular Pop Data by Age'!$C84,'Tabular Pop Data by Age'!Y$7),'Population Data by Age'!$B$7:$B$10366,0),MATCH('Tabular Pop Data by Age'!$C$6,'Population Data by Age'!$B$6:$H$6,0))</f>
        <v>402000</v>
      </c>
      <c r="Z84" s="78">
        <f>INDEX('Population Data by Age'!$B$7:$H$10366,MATCH(CONCATENATE('Tabular Pop Data by Age'!$C84,'Tabular Pop Data by Age'!Z$7),'Population Data by Age'!$B$7:$B$10366,0),MATCH('Tabular Pop Data by Age'!$C$6,'Population Data by Age'!$B$6:$H$6,0))</f>
        <v>375000</v>
      </c>
      <c r="AA84" s="78">
        <f>INDEX('Population Data by Age'!$B$7:$H$10366,MATCH(CONCATENATE('Tabular Pop Data by Age'!$C84,'Tabular Pop Data by Age'!AA$7),'Population Data by Age'!$B$7:$B$10366,0),MATCH('Tabular Pop Data by Age'!$C$6,'Population Data by Age'!$B$6:$H$6,0))</f>
        <v>351000</v>
      </c>
      <c r="AB84" s="78">
        <f>INDEX('Population Data by Age'!$B$7:$H$10366,MATCH(CONCATENATE('Tabular Pop Data by Age'!$C84,'Tabular Pop Data by Age'!AB$7),'Population Data by Age'!$B$7:$B$10366,0),MATCH('Tabular Pop Data by Age'!$C$6,'Population Data by Age'!$B$6:$H$6,0))</f>
        <v>365000</v>
      </c>
      <c r="AC84" s="78">
        <f>INDEX('Population Data by Age'!$B$7:$H$10366,MATCH(CONCATENATE('Tabular Pop Data by Age'!$C84,'Tabular Pop Data by Age'!AC$7),'Population Data by Age'!$B$7:$B$10366,0),MATCH('Tabular Pop Data by Age'!$C$6,'Population Data by Age'!$B$6:$H$6,0))</f>
        <v>328000</v>
      </c>
      <c r="AD84" s="78">
        <f>INDEX('Population Data by Age'!$B$7:$H$10366,MATCH(CONCATENATE('Tabular Pop Data by Age'!$C84,'Tabular Pop Data by Age'!AD$7),'Population Data by Age'!$B$7:$B$10366,0),MATCH('Tabular Pop Data by Age'!$C$6,'Population Data by Age'!$B$6:$H$6,0))</f>
        <v>319000</v>
      </c>
      <c r="AE84" s="78">
        <f>INDEX('Population Data by Age'!$B$7:$H$10366,MATCH(CONCATENATE('Tabular Pop Data by Age'!$C84,'Tabular Pop Data by Age'!AE$7),'Population Data by Age'!$B$7:$B$10366,0),MATCH('Tabular Pop Data by Age'!$C$6,'Population Data by Age'!$B$6:$H$6,0))</f>
        <v>275000</v>
      </c>
      <c r="AF84" s="78">
        <f>INDEX('Population Data by Age'!$B$7:$H$10366,MATCH(CONCATENATE('Tabular Pop Data by Age'!$C84,'Tabular Pop Data by Age'!AF$7),'Population Data by Age'!$B$7:$B$10366,0),MATCH('Tabular Pop Data by Age'!$C$6,'Population Data by Age'!$B$6:$H$6,0))</f>
        <v>304000</v>
      </c>
      <c r="AG84" s="78">
        <f>INDEX('Population Data by Age'!$B$7:$H$10366,MATCH(CONCATENATE('Tabular Pop Data by Age'!$C84,'Tabular Pop Data by Age'!AG$7),'Population Data by Age'!$B$7:$B$10366,0),MATCH('Tabular Pop Data by Age'!$C$6,'Population Data by Age'!$B$6:$H$6,0))</f>
        <v>259000</v>
      </c>
      <c r="AH84" s="78">
        <f>INDEX('Population Data by Age'!$B$7:$H$10366,MATCH(CONCATENATE('Tabular Pop Data by Age'!$C84,'Tabular Pop Data by Age'!AH$7),'Population Data by Age'!$B$7:$B$10366,0),MATCH('Tabular Pop Data by Age'!$C$6,'Population Data by Age'!$B$6:$H$6,0))</f>
        <v>229000</v>
      </c>
      <c r="AI84" s="78">
        <f>INDEX('Population Data by Age'!$B$7:$H$10366,MATCH(CONCATENATE('Tabular Pop Data by Age'!$C84,'Tabular Pop Data by Age'!AI$7),'Population Data by Age'!$B$7:$B$10366,0),MATCH('Tabular Pop Data by Age'!$C$6,'Population Data by Age'!$B$6:$H$6,0))</f>
        <v>187000</v>
      </c>
      <c r="AJ84" s="78">
        <f>INDEX('Population Data by Age'!$B$7:$H$10366,MATCH(CONCATENATE('Tabular Pop Data by Age'!$C84,'Tabular Pop Data by Age'!AJ$7),'Population Data by Age'!$B$7:$B$10366,0),MATCH('Tabular Pop Data by Age'!$C$6,'Population Data by Age'!$B$6:$H$6,0))</f>
        <v>473000</v>
      </c>
      <c r="AK84" s="78">
        <f>INDEX('Population Data by Age'!$B$7:$H$10366,MATCH(CONCATENATE('Tabular Pop Data by Age'!$C84,'Tabular Pop Data by Age'!AK$7),'Population Data by Age'!$B$7:$B$10366,0),MATCH('Tabular Pop Data by Age'!$C$6,'Population Data by Age'!$B$6:$H$6,0))</f>
        <v>332000</v>
      </c>
      <c r="AL84" s="78">
        <f>INDEX('Population Data by Age'!$B$7:$H$10366,MATCH(CONCATENATE('Tabular Pop Data by Age'!$C84,'Tabular Pop Data by Age'!AL$7),'Population Data by Age'!$B$7:$B$10366,0),MATCH('Tabular Pop Data by Age'!$C$6,'Population Data by Age'!$B$6:$H$6,0))</f>
        <v>5431000</v>
      </c>
      <c r="AM84" s="78">
        <f>INDEX('Population Data by Age'!$B$7:$H$10366,MATCH(CONCATENATE('Tabular Pop Data by Age'!$C84,'Tabular Pop Data by Age'!AM$7),'Population Data by Age'!$B$7:$B$10366,0),MATCH('Tabular Pop Data by Age'!$C$6,'Population Data by Age'!$B$6:$H$6,0))</f>
        <v>5235000</v>
      </c>
      <c r="AN84" s="78">
        <f>INDEX('Population Data by Age'!$B$7:$H$10366,MATCH(CONCATENATE('Tabular Pop Data by Age'!$C84,'Tabular Pop Data by Age'!AN$7),'Population Data by Age'!$B$7:$B$10366,0),MATCH('Tabular Pop Data by Age'!$C$6,'Population Data by Age'!$B$6:$H$6,0))</f>
        <v>10665000</v>
      </c>
      <c r="AO84" s="78">
        <f>INDEX('Population Data by Age'!$B$7:$H$10366,MATCH(CONCATENATE('Tabular Pop Data by Age'!$C84,'Tabular Pop Data by Age'!AO$7),'Population Data by Age'!$B$7:$B$10366,0),MATCH('Tabular Pop Data by Age'!$C$6,'Population Data by Age'!$B$6:$H$6,0))</f>
        <v>0</v>
      </c>
      <c r="AP84" s="79">
        <f t="shared" si="17"/>
        <v>419000</v>
      </c>
      <c r="AQ84" s="79">
        <f t="shared" si="18"/>
        <v>482000</v>
      </c>
      <c r="AR84" s="79">
        <f t="shared" si="19"/>
        <v>555000</v>
      </c>
      <c r="AS84" s="79">
        <f t="shared" si="20"/>
        <v>539000</v>
      </c>
      <c r="AT84" s="79">
        <f t="shared" si="21"/>
        <v>542000</v>
      </c>
      <c r="AU84" s="79">
        <f t="shared" si="22"/>
        <v>540000</v>
      </c>
      <c r="AV84" s="79">
        <f t="shared" si="23"/>
        <v>611000</v>
      </c>
      <c r="AW84" s="79">
        <f t="shared" si="24"/>
        <v>756000</v>
      </c>
      <c r="AX84" s="79">
        <f t="shared" si="25"/>
        <v>799000</v>
      </c>
      <c r="AY84" s="79">
        <f t="shared" si="26"/>
        <v>812000</v>
      </c>
      <c r="AZ84" s="79">
        <f t="shared" si="27"/>
        <v>815000</v>
      </c>
      <c r="BA84" s="79">
        <f t="shared" si="28"/>
        <v>726000</v>
      </c>
      <c r="BB84" s="79">
        <f t="shared" si="29"/>
        <v>693000</v>
      </c>
      <c r="BC84" s="79">
        <f t="shared" si="30"/>
        <v>594000</v>
      </c>
      <c r="BD84" s="79">
        <f t="shared" si="31"/>
        <v>563000</v>
      </c>
      <c r="BE84" s="79">
        <f t="shared" si="32"/>
        <v>416000</v>
      </c>
      <c r="BF84" s="79">
        <f t="shared" si="33"/>
        <v>805000</v>
      </c>
    </row>
    <row r="85" spans="1:58" x14ac:dyDescent="0.25">
      <c r="A85" s="138" t="s">
        <v>1195</v>
      </c>
      <c r="B85" t="s">
        <v>510</v>
      </c>
      <c r="C85" t="s">
        <v>511</v>
      </c>
      <c r="D85" s="78">
        <f>INDEX('Population Data by Age'!$B$7:$H$10366,MATCH(CONCATENATE('Tabular Pop Data by Age'!$C85,'Tabular Pop Data by Age'!D$7),'Population Data by Age'!$B$7:$B$10366,0),MATCH('Tabular Pop Data by Age'!$C$6,'Population Data by Age'!$B$6:$H$6,0))</f>
        <v>0</v>
      </c>
      <c r="E85" s="78">
        <f>INDEX('Population Data by Age'!$B$7:$H$10366,MATCH(CONCATENATE('Tabular Pop Data by Age'!$C85,'Tabular Pop Data by Age'!E$7),'Population Data by Age'!$B$7:$B$10366,0),MATCH('Tabular Pop Data by Age'!$C$6,'Population Data by Age'!$B$6:$H$6,0))</f>
        <v>0</v>
      </c>
      <c r="F85" s="78">
        <f>INDEX('Population Data by Age'!$B$7:$H$10366,MATCH(CONCATENATE('Tabular Pop Data by Age'!$C85,'Tabular Pop Data by Age'!F$7),'Population Data by Age'!$B$7:$B$10366,0),MATCH('Tabular Pop Data by Age'!$C$6,'Population Data by Age'!$B$6:$H$6,0))</f>
        <v>0</v>
      </c>
      <c r="G85" s="78">
        <f>INDEX('Population Data by Age'!$B$7:$H$10366,MATCH(CONCATENATE('Tabular Pop Data by Age'!$C85,'Tabular Pop Data by Age'!G$7),'Population Data by Age'!$B$7:$B$10366,0),MATCH('Tabular Pop Data by Age'!$C$6,'Population Data by Age'!$B$6:$H$6,0))</f>
        <v>0</v>
      </c>
      <c r="H85" s="78">
        <f>INDEX('Population Data by Age'!$B$7:$H$10366,MATCH(CONCATENATE('Tabular Pop Data by Age'!$C85,'Tabular Pop Data by Age'!H$7),'Population Data by Age'!$B$7:$B$10366,0),MATCH('Tabular Pop Data by Age'!$C$6,'Population Data by Age'!$B$6:$H$6,0))</f>
        <v>0</v>
      </c>
      <c r="I85" s="78">
        <f>INDEX('Population Data by Age'!$B$7:$H$10366,MATCH(CONCATENATE('Tabular Pop Data by Age'!$C85,'Tabular Pop Data by Age'!I$7),'Population Data by Age'!$B$7:$B$10366,0),MATCH('Tabular Pop Data by Age'!$C$6,'Population Data by Age'!$B$6:$H$6,0))</f>
        <v>0</v>
      </c>
      <c r="J85" s="78">
        <f>INDEX('Population Data by Age'!$B$7:$H$10366,MATCH(CONCATENATE('Tabular Pop Data by Age'!$C85,'Tabular Pop Data by Age'!J$7),'Population Data by Age'!$B$7:$B$10366,0),MATCH('Tabular Pop Data by Age'!$C$6,'Population Data by Age'!$B$6:$H$6,0))</f>
        <v>0</v>
      </c>
      <c r="K85" s="78">
        <f>INDEX('Population Data by Age'!$B$7:$H$10366,MATCH(CONCATENATE('Tabular Pop Data by Age'!$C85,'Tabular Pop Data by Age'!K$7),'Population Data by Age'!$B$7:$B$10366,0),MATCH('Tabular Pop Data by Age'!$C$6,'Population Data by Age'!$B$6:$H$6,0))</f>
        <v>0</v>
      </c>
      <c r="L85" s="78">
        <f>INDEX('Population Data by Age'!$B$7:$H$10366,MATCH(CONCATENATE('Tabular Pop Data by Age'!$C85,'Tabular Pop Data by Age'!L$7),'Population Data by Age'!$B$7:$B$10366,0),MATCH('Tabular Pop Data by Age'!$C$6,'Population Data by Age'!$B$6:$H$6,0))</f>
        <v>0</v>
      </c>
      <c r="M85" s="78">
        <f>INDEX('Population Data by Age'!$B$7:$H$10366,MATCH(CONCATENATE('Tabular Pop Data by Age'!$C85,'Tabular Pop Data by Age'!M$7),'Population Data by Age'!$B$7:$B$10366,0),MATCH('Tabular Pop Data by Age'!$C$6,'Population Data by Age'!$B$6:$H$6,0))</f>
        <v>0</v>
      </c>
      <c r="N85" s="78">
        <f>INDEX('Population Data by Age'!$B$7:$H$10366,MATCH(CONCATENATE('Tabular Pop Data by Age'!$C85,'Tabular Pop Data by Age'!N$7),'Population Data by Age'!$B$7:$B$10366,0),MATCH('Tabular Pop Data by Age'!$C$6,'Population Data by Age'!$B$6:$H$6,0))</f>
        <v>0</v>
      </c>
      <c r="O85" s="78">
        <f>INDEX('Population Data by Age'!$B$7:$H$10366,MATCH(CONCATENATE('Tabular Pop Data by Age'!$C85,'Tabular Pop Data by Age'!O$7),'Population Data by Age'!$B$7:$B$10366,0),MATCH('Tabular Pop Data by Age'!$C$6,'Population Data by Age'!$B$6:$H$6,0))</f>
        <v>0</v>
      </c>
      <c r="P85" s="78">
        <f>INDEX('Population Data by Age'!$B$7:$H$10366,MATCH(CONCATENATE('Tabular Pop Data by Age'!$C85,'Tabular Pop Data by Age'!P$7),'Population Data by Age'!$B$7:$B$10366,0),MATCH('Tabular Pop Data by Age'!$C$6,'Population Data by Age'!$B$6:$H$6,0))</f>
        <v>0</v>
      </c>
      <c r="Q85" s="78">
        <f>INDEX('Population Data by Age'!$B$7:$H$10366,MATCH(CONCATENATE('Tabular Pop Data by Age'!$C85,'Tabular Pop Data by Age'!Q$7),'Population Data by Age'!$B$7:$B$10366,0),MATCH('Tabular Pop Data by Age'!$C$6,'Population Data by Age'!$B$6:$H$6,0))</f>
        <v>0</v>
      </c>
      <c r="R85" s="78">
        <f>INDEX('Population Data by Age'!$B$7:$H$10366,MATCH(CONCATENATE('Tabular Pop Data by Age'!$C85,'Tabular Pop Data by Age'!R$7),'Population Data by Age'!$B$7:$B$10366,0),MATCH('Tabular Pop Data by Age'!$C$6,'Population Data by Age'!$B$6:$H$6,0))</f>
        <v>0</v>
      </c>
      <c r="S85" s="78">
        <f>INDEX('Population Data by Age'!$B$7:$H$10366,MATCH(CONCATENATE('Tabular Pop Data by Age'!$C85,'Tabular Pop Data by Age'!S$7),'Population Data by Age'!$B$7:$B$10366,0),MATCH('Tabular Pop Data by Age'!$C$6,'Population Data by Age'!$B$6:$H$6,0))</f>
        <v>0</v>
      </c>
      <c r="T85" s="78">
        <f>INDEX('Population Data by Age'!$B$7:$H$10366,MATCH(CONCATENATE('Tabular Pop Data by Age'!$C85,'Tabular Pop Data by Age'!T$7),'Population Data by Age'!$B$7:$B$10366,0),MATCH('Tabular Pop Data by Age'!$C$6,'Population Data by Age'!$B$6:$H$6,0))</f>
        <v>0</v>
      </c>
      <c r="U85" s="78">
        <f>INDEX('Population Data by Age'!$B$7:$H$10366,MATCH(CONCATENATE('Tabular Pop Data by Age'!$C85,'Tabular Pop Data by Age'!U$7),'Population Data by Age'!$B$7:$B$10366,0),MATCH('Tabular Pop Data by Age'!$C$6,'Population Data by Age'!$B$6:$H$6,0))</f>
        <v>0</v>
      </c>
      <c r="V85" s="78">
        <f>INDEX('Population Data by Age'!$B$7:$H$10366,MATCH(CONCATENATE('Tabular Pop Data by Age'!$C85,'Tabular Pop Data by Age'!V$7),'Population Data by Age'!$B$7:$B$10366,0),MATCH('Tabular Pop Data by Age'!$C$6,'Population Data by Age'!$B$6:$H$6,0))</f>
        <v>0</v>
      </c>
      <c r="W85" s="78">
        <f>INDEX('Population Data by Age'!$B$7:$H$10366,MATCH(CONCATENATE('Tabular Pop Data by Age'!$C85,'Tabular Pop Data by Age'!W$7),'Population Data by Age'!$B$7:$B$10366,0),MATCH('Tabular Pop Data by Age'!$C$6,'Population Data by Age'!$B$6:$H$6,0))</f>
        <v>0</v>
      </c>
      <c r="X85" s="78">
        <f>INDEX('Population Data by Age'!$B$7:$H$10366,MATCH(CONCATENATE('Tabular Pop Data by Age'!$C85,'Tabular Pop Data by Age'!X$7),'Population Data by Age'!$B$7:$B$10366,0),MATCH('Tabular Pop Data by Age'!$C$6,'Population Data by Age'!$B$6:$H$6,0))</f>
        <v>0</v>
      </c>
      <c r="Y85" s="78">
        <f>INDEX('Population Data by Age'!$B$7:$H$10366,MATCH(CONCATENATE('Tabular Pop Data by Age'!$C85,'Tabular Pop Data by Age'!Y$7),'Population Data by Age'!$B$7:$B$10366,0),MATCH('Tabular Pop Data by Age'!$C$6,'Population Data by Age'!$B$6:$H$6,0))</f>
        <v>0</v>
      </c>
      <c r="Z85" s="78">
        <f>INDEX('Population Data by Age'!$B$7:$H$10366,MATCH(CONCATENATE('Tabular Pop Data by Age'!$C85,'Tabular Pop Data by Age'!Z$7),'Population Data by Age'!$B$7:$B$10366,0),MATCH('Tabular Pop Data by Age'!$C$6,'Population Data by Age'!$B$6:$H$6,0))</f>
        <v>0</v>
      </c>
      <c r="AA85" s="78">
        <f>INDEX('Population Data by Age'!$B$7:$H$10366,MATCH(CONCATENATE('Tabular Pop Data by Age'!$C85,'Tabular Pop Data by Age'!AA$7),'Population Data by Age'!$B$7:$B$10366,0),MATCH('Tabular Pop Data by Age'!$C$6,'Population Data by Age'!$B$6:$H$6,0))</f>
        <v>0</v>
      </c>
      <c r="AB85" s="78">
        <f>INDEX('Population Data by Age'!$B$7:$H$10366,MATCH(CONCATENATE('Tabular Pop Data by Age'!$C85,'Tabular Pop Data by Age'!AB$7),'Population Data by Age'!$B$7:$B$10366,0),MATCH('Tabular Pop Data by Age'!$C$6,'Population Data by Age'!$B$6:$H$6,0))</f>
        <v>0</v>
      </c>
      <c r="AC85" s="78">
        <f>INDEX('Population Data by Age'!$B$7:$H$10366,MATCH(CONCATENATE('Tabular Pop Data by Age'!$C85,'Tabular Pop Data by Age'!AC$7),'Population Data by Age'!$B$7:$B$10366,0),MATCH('Tabular Pop Data by Age'!$C$6,'Population Data by Age'!$B$6:$H$6,0))</f>
        <v>0</v>
      </c>
      <c r="AD85" s="78">
        <f>INDEX('Population Data by Age'!$B$7:$H$10366,MATCH(CONCATENATE('Tabular Pop Data by Age'!$C85,'Tabular Pop Data by Age'!AD$7),'Population Data by Age'!$B$7:$B$10366,0),MATCH('Tabular Pop Data by Age'!$C$6,'Population Data by Age'!$B$6:$H$6,0))</f>
        <v>0</v>
      </c>
      <c r="AE85" s="78">
        <f>INDEX('Population Data by Age'!$B$7:$H$10366,MATCH(CONCATENATE('Tabular Pop Data by Age'!$C85,'Tabular Pop Data by Age'!AE$7),'Population Data by Age'!$B$7:$B$10366,0),MATCH('Tabular Pop Data by Age'!$C$6,'Population Data by Age'!$B$6:$H$6,0))</f>
        <v>0</v>
      </c>
      <c r="AF85" s="78">
        <f>INDEX('Population Data by Age'!$B$7:$H$10366,MATCH(CONCATENATE('Tabular Pop Data by Age'!$C85,'Tabular Pop Data by Age'!AF$7),'Population Data by Age'!$B$7:$B$10366,0),MATCH('Tabular Pop Data by Age'!$C$6,'Population Data by Age'!$B$6:$H$6,0))</f>
        <v>0</v>
      </c>
      <c r="AG85" s="78">
        <f>INDEX('Population Data by Age'!$B$7:$H$10366,MATCH(CONCATENATE('Tabular Pop Data by Age'!$C85,'Tabular Pop Data by Age'!AG$7),'Population Data by Age'!$B$7:$B$10366,0),MATCH('Tabular Pop Data by Age'!$C$6,'Population Data by Age'!$B$6:$H$6,0))</f>
        <v>0</v>
      </c>
      <c r="AH85" s="78">
        <f>INDEX('Population Data by Age'!$B$7:$H$10366,MATCH(CONCATENATE('Tabular Pop Data by Age'!$C85,'Tabular Pop Data by Age'!AH$7),'Population Data by Age'!$B$7:$B$10366,0),MATCH('Tabular Pop Data by Age'!$C$6,'Population Data by Age'!$B$6:$H$6,0))</f>
        <v>0</v>
      </c>
      <c r="AI85" s="78">
        <f>INDEX('Population Data by Age'!$B$7:$H$10366,MATCH(CONCATENATE('Tabular Pop Data by Age'!$C85,'Tabular Pop Data by Age'!AI$7),'Population Data by Age'!$B$7:$B$10366,0),MATCH('Tabular Pop Data by Age'!$C$6,'Population Data by Age'!$B$6:$H$6,0))</f>
        <v>0</v>
      </c>
      <c r="AJ85" s="78">
        <f>INDEX('Population Data by Age'!$B$7:$H$10366,MATCH(CONCATENATE('Tabular Pop Data by Age'!$C85,'Tabular Pop Data by Age'!AJ$7),'Population Data by Age'!$B$7:$B$10366,0),MATCH('Tabular Pop Data by Age'!$C$6,'Population Data by Age'!$B$6:$H$6,0))</f>
        <v>0</v>
      </c>
      <c r="AK85" s="78">
        <f>INDEX('Population Data by Age'!$B$7:$H$10366,MATCH(CONCATENATE('Tabular Pop Data by Age'!$C85,'Tabular Pop Data by Age'!AK$7),'Population Data by Age'!$B$7:$B$10366,0),MATCH('Tabular Pop Data by Age'!$C$6,'Population Data by Age'!$B$6:$H$6,0))</f>
        <v>0</v>
      </c>
      <c r="AL85" s="78">
        <f>INDEX('Population Data by Age'!$B$7:$H$10366,MATCH(CONCATENATE('Tabular Pop Data by Age'!$C85,'Tabular Pop Data by Age'!AL$7),'Population Data by Age'!$B$7:$B$10366,0),MATCH('Tabular Pop Data by Age'!$C$6,'Population Data by Age'!$B$6:$H$6,0))</f>
        <v>0</v>
      </c>
      <c r="AM85" s="78">
        <f>INDEX('Population Data by Age'!$B$7:$H$10366,MATCH(CONCATENATE('Tabular Pop Data by Age'!$C85,'Tabular Pop Data by Age'!AM$7),'Population Data by Age'!$B$7:$B$10366,0),MATCH('Tabular Pop Data by Age'!$C$6,'Population Data by Age'!$B$6:$H$6,0))</f>
        <v>0</v>
      </c>
      <c r="AN85" s="85">
        <v>57616</v>
      </c>
      <c r="AO85" s="78">
        <f>INDEX('Population Data by Age'!$B$7:$H$10366,MATCH(CONCATENATE('Tabular Pop Data by Age'!$C85,'Tabular Pop Data by Age'!AO$7),'Population Data by Age'!$B$7:$B$10366,0),MATCH('Tabular Pop Data by Age'!$C$6,'Population Data by Age'!$B$6:$H$6,0))</f>
        <v>0</v>
      </c>
      <c r="AP85" s="79">
        <f t="shared" si="17"/>
        <v>0</v>
      </c>
      <c r="AQ85" s="79">
        <f t="shared" si="18"/>
        <v>0</v>
      </c>
      <c r="AR85" s="79">
        <f t="shared" si="19"/>
        <v>0</v>
      </c>
      <c r="AS85" s="79">
        <f t="shared" si="20"/>
        <v>0</v>
      </c>
      <c r="AT85" s="79">
        <f t="shared" si="21"/>
        <v>0</v>
      </c>
      <c r="AU85" s="79">
        <f t="shared" si="22"/>
        <v>0</v>
      </c>
      <c r="AV85" s="79">
        <f t="shared" si="23"/>
        <v>0</v>
      </c>
      <c r="AW85" s="79">
        <f t="shared" si="24"/>
        <v>0</v>
      </c>
      <c r="AX85" s="79">
        <f t="shared" si="25"/>
        <v>0</v>
      </c>
      <c r="AY85" s="79">
        <f t="shared" si="26"/>
        <v>0</v>
      </c>
      <c r="AZ85" s="79">
        <f t="shared" si="27"/>
        <v>0</v>
      </c>
      <c r="BA85" s="79">
        <f t="shared" si="28"/>
        <v>0</v>
      </c>
      <c r="BB85" s="79">
        <f t="shared" si="29"/>
        <v>0</v>
      </c>
      <c r="BC85" s="79">
        <f t="shared" si="30"/>
        <v>0</v>
      </c>
      <c r="BD85" s="79">
        <f t="shared" si="31"/>
        <v>0</v>
      </c>
      <c r="BE85" s="79">
        <f t="shared" si="32"/>
        <v>0</v>
      </c>
      <c r="BF85" s="79">
        <f t="shared" si="33"/>
        <v>0</v>
      </c>
    </row>
    <row r="86" spans="1:58" x14ac:dyDescent="0.25">
      <c r="A86" s="138" t="s">
        <v>1195</v>
      </c>
      <c r="B86" t="s">
        <v>512</v>
      </c>
      <c r="C86" t="s">
        <v>52</v>
      </c>
      <c r="D86" s="78">
        <f>INDEX('Population Data by Age'!$B$7:$H$10366,MATCH(CONCATENATE('Tabular Pop Data by Age'!$C86,'Tabular Pop Data by Age'!D$7),'Population Data by Age'!$B$7:$B$10366,0),MATCH('Tabular Pop Data by Age'!$C$6,'Population Data by Age'!$B$6:$H$6,0))</f>
        <v>4400</v>
      </c>
      <c r="E86" s="78">
        <f>INDEX('Population Data by Age'!$B$7:$H$10366,MATCH(CONCATENATE('Tabular Pop Data by Age'!$C86,'Tabular Pop Data by Age'!E$7),'Population Data by Age'!$B$7:$B$10366,0),MATCH('Tabular Pop Data by Age'!$C$6,'Population Data by Age'!$B$6:$H$6,0))</f>
        <v>4600</v>
      </c>
      <c r="F86" s="78">
        <f>INDEX('Population Data by Age'!$B$7:$H$10366,MATCH(CONCATENATE('Tabular Pop Data by Age'!$C86,'Tabular Pop Data by Age'!F$7),'Population Data by Age'!$B$7:$B$10366,0),MATCH('Tabular Pop Data by Age'!$C$6,'Population Data by Age'!$B$6:$H$6,0))</f>
        <v>4500</v>
      </c>
      <c r="G86" s="78">
        <f>INDEX('Population Data by Age'!$B$7:$H$10366,MATCH(CONCATENATE('Tabular Pop Data by Age'!$C86,'Tabular Pop Data by Age'!G$7),'Population Data by Age'!$B$7:$B$10366,0),MATCH('Tabular Pop Data by Age'!$C$6,'Population Data by Age'!$B$6:$H$6,0))</f>
        <v>4700</v>
      </c>
      <c r="H86" s="78">
        <f>INDEX('Population Data by Age'!$B$7:$H$10366,MATCH(CONCATENATE('Tabular Pop Data by Age'!$C86,'Tabular Pop Data by Age'!H$7),'Population Data by Age'!$B$7:$B$10366,0),MATCH('Tabular Pop Data by Age'!$C$6,'Population Data by Age'!$B$6:$H$6,0))</f>
        <v>4200</v>
      </c>
      <c r="I86" s="78">
        <f>INDEX('Population Data by Age'!$B$7:$H$10366,MATCH(CONCATENATE('Tabular Pop Data by Age'!$C86,'Tabular Pop Data by Age'!I$7),'Population Data by Age'!$B$7:$B$10366,0),MATCH('Tabular Pop Data by Age'!$C$6,'Population Data by Age'!$B$6:$H$6,0))</f>
        <v>4400</v>
      </c>
      <c r="J86" s="78">
        <f>INDEX('Population Data by Age'!$B$7:$H$10366,MATCH(CONCATENATE('Tabular Pop Data by Age'!$C86,'Tabular Pop Data by Age'!J$7),'Population Data by Age'!$B$7:$B$10366,0),MATCH('Tabular Pop Data by Age'!$C$6,'Population Data by Age'!$B$6:$H$6,0))</f>
        <v>3700</v>
      </c>
      <c r="K86" s="78">
        <f>INDEX('Population Data by Age'!$B$7:$H$10366,MATCH(CONCATENATE('Tabular Pop Data by Age'!$C86,'Tabular Pop Data by Age'!K$7),'Population Data by Age'!$B$7:$B$10366,0),MATCH('Tabular Pop Data by Age'!$C$6,'Population Data by Age'!$B$6:$H$6,0))</f>
        <v>3800</v>
      </c>
      <c r="L86" s="78">
        <f>INDEX('Population Data by Age'!$B$7:$H$10366,MATCH(CONCATENATE('Tabular Pop Data by Age'!$C86,'Tabular Pop Data by Age'!L$7),'Population Data by Age'!$B$7:$B$10366,0),MATCH('Tabular Pop Data by Age'!$C$6,'Population Data by Age'!$B$6:$H$6,0))</f>
        <v>4300</v>
      </c>
      <c r="M86" s="78">
        <f>INDEX('Population Data by Age'!$B$7:$H$10366,MATCH(CONCATENATE('Tabular Pop Data by Age'!$C86,'Tabular Pop Data by Age'!M$7),'Population Data by Age'!$B$7:$B$10366,0),MATCH('Tabular Pop Data by Age'!$C$6,'Population Data by Age'!$B$6:$H$6,0))</f>
        <v>4400</v>
      </c>
      <c r="N86" s="78">
        <f>INDEX('Population Data by Age'!$B$7:$H$10366,MATCH(CONCATENATE('Tabular Pop Data by Age'!$C86,'Tabular Pop Data by Age'!N$7),'Population Data by Age'!$B$7:$B$10366,0),MATCH('Tabular Pop Data by Age'!$C$6,'Population Data by Age'!$B$6:$H$6,0))</f>
        <v>4700</v>
      </c>
      <c r="O86" s="78">
        <f>INDEX('Population Data by Age'!$B$7:$H$10366,MATCH(CONCATENATE('Tabular Pop Data by Age'!$C86,'Tabular Pop Data by Age'!O$7),'Population Data by Age'!$B$7:$B$10366,0),MATCH('Tabular Pop Data by Age'!$C$6,'Population Data by Age'!$B$6:$H$6,0))</f>
        <v>4800</v>
      </c>
      <c r="P86" s="78">
        <f>INDEX('Population Data by Age'!$B$7:$H$10366,MATCH(CONCATENATE('Tabular Pop Data by Age'!$C86,'Tabular Pop Data by Age'!P$7),'Population Data by Age'!$B$7:$B$10366,0),MATCH('Tabular Pop Data by Age'!$C$6,'Population Data by Age'!$B$6:$H$6,0))</f>
        <v>4600</v>
      </c>
      <c r="Q86" s="78">
        <f>INDEX('Population Data by Age'!$B$7:$H$10366,MATCH(CONCATENATE('Tabular Pop Data by Age'!$C86,'Tabular Pop Data by Age'!Q$7),'Population Data by Age'!$B$7:$B$10366,0),MATCH('Tabular Pop Data by Age'!$C$6,'Population Data by Age'!$B$6:$H$6,0))</f>
        <v>4800</v>
      </c>
      <c r="R86" s="78">
        <f>INDEX('Population Data by Age'!$B$7:$H$10366,MATCH(CONCATENATE('Tabular Pop Data by Age'!$C86,'Tabular Pop Data by Age'!R$7),'Population Data by Age'!$B$7:$B$10366,0),MATCH('Tabular Pop Data by Age'!$C$6,'Population Data by Age'!$B$6:$H$6,0))</f>
        <v>4400</v>
      </c>
      <c r="S86" s="78">
        <f>INDEX('Population Data by Age'!$B$7:$H$10366,MATCH(CONCATENATE('Tabular Pop Data by Age'!$C86,'Tabular Pop Data by Age'!S$7),'Population Data by Age'!$B$7:$B$10366,0),MATCH('Tabular Pop Data by Age'!$C$6,'Population Data by Age'!$B$6:$H$6,0))</f>
        <v>4400</v>
      </c>
      <c r="T86" s="78">
        <f>INDEX('Population Data by Age'!$B$7:$H$10366,MATCH(CONCATENATE('Tabular Pop Data by Age'!$C86,'Tabular Pop Data by Age'!T$7),'Population Data by Age'!$B$7:$B$10366,0),MATCH('Tabular Pop Data by Age'!$C$6,'Population Data by Age'!$B$6:$H$6,0))</f>
        <v>3300</v>
      </c>
      <c r="U86" s="78">
        <f>INDEX('Population Data by Age'!$B$7:$H$10366,MATCH(CONCATENATE('Tabular Pop Data by Age'!$C86,'Tabular Pop Data by Age'!U$7),'Population Data by Age'!$B$7:$B$10366,0),MATCH('Tabular Pop Data by Age'!$C$6,'Population Data by Age'!$B$6:$H$6,0))</f>
        <v>3300</v>
      </c>
      <c r="V86" s="78">
        <f>INDEX('Population Data by Age'!$B$7:$H$10366,MATCH(CONCATENATE('Tabular Pop Data by Age'!$C86,'Tabular Pop Data by Age'!V$7),'Population Data by Age'!$B$7:$B$10366,0),MATCH('Tabular Pop Data by Age'!$C$6,'Population Data by Age'!$B$6:$H$6,0))</f>
        <v>3000</v>
      </c>
      <c r="W86" s="78">
        <f>INDEX('Population Data by Age'!$B$7:$H$10366,MATCH(CONCATENATE('Tabular Pop Data by Age'!$C86,'Tabular Pop Data by Age'!W$7),'Population Data by Age'!$B$7:$B$10366,0),MATCH('Tabular Pop Data by Age'!$C$6,'Population Data by Age'!$B$6:$H$6,0))</f>
        <v>3300</v>
      </c>
      <c r="X86" s="78">
        <f>INDEX('Population Data by Age'!$B$7:$H$10366,MATCH(CONCATENATE('Tabular Pop Data by Age'!$C86,'Tabular Pop Data by Age'!X$7),'Population Data by Age'!$B$7:$B$10366,0),MATCH('Tabular Pop Data by Age'!$C$6,'Population Data by Age'!$B$6:$H$6,0))</f>
        <v>2900</v>
      </c>
      <c r="Y86" s="78">
        <f>INDEX('Population Data by Age'!$B$7:$H$10366,MATCH(CONCATENATE('Tabular Pop Data by Age'!$C86,'Tabular Pop Data by Age'!Y$7),'Population Data by Age'!$B$7:$B$10366,0),MATCH('Tabular Pop Data by Age'!$C$6,'Population Data by Age'!$B$6:$H$6,0))</f>
        <v>3100</v>
      </c>
      <c r="Z86" s="78">
        <f>INDEX('Population Data by Age'!$B$7:$H$10366,MATCH(CONCATENATE('Tabular Pop Data by Age'!$C86,'Tabular Pop Data by Age'!Z$7),'Population Data by Age'!$B$7:$B$10366,0),MATCH('Tabular Pop Data by Age'!$C$6,'Population Data by Age'!$B$6:$H$6,0))</f>
        <v>3100</v>
      </c>
      <c r="AA86" s="78">
        <f>INDEX('Population Data by Age'!$B$7:$H$10366,MATCH(CONCATENATE('Tabular Pop Data by Age'!$C86,'Tabular Pop Data by Age'!AA$7),'Population Data by Age'!$B$7:$B$10366,0),MATCH('Tabular Pop Data by Age'!$C$6,'Population Data by Age'!$B$6:$H$6,0))</f>
        <v>3100</v>
      </c>
      <c r="AB86" s="78">
        <f>INDEX('Population Data by Age'!$B$7:$H$10366,MATCH(CONCATENATE('Tabular Pop Data by Age'!$C86,'Tabular Pop Data by Age'!AB$7),'Population Data by Age'!$B$7:$B$10366,0),MATCH('Tabular Pop Data by Age'!$C$6,'Population Data by Age'!$B$6:$H$6,0))</f>
        <v>2900</v>
      </c>
      <c r="AC86" s="78">
        <f>INDEX('Population Data by Age'!$B$7:$H$10366,MATCH(CONCATENATE('Tabular Pop Data by Age'!$C86,'Tabular Pop Data by Age'!AC$7),'Population Data by Age'!$B$7:$B$10366,0),MATCH('Tabular Pop Data by Age'!$C$6,'Population Data by Age'!$B$6:$H$6,0))</f>
        <v>2800</v>
      </c>
      <c r="AD86" s="78">
        <f>INDEX('Population Data by Age'!$B$7:$H$10366,MATCH(CONCATENATE('Tabular Pop Data by Age'!$C86,'Tabular Pop Data by Age'!AD$7),'Population Data by Age'!$B$7:$B$10366,0),MATCH('Tabular Pop Data by Age'!$C$6,'Population Data by Age'!$B$6:$H$6,0))</f>
        <v>1900</v>
      </c>
      <c r="AE86" s="78">
        <f>INDEX('Population Data by Age'!$B$7:$H$10366,MATCH(CONCATENATE('Tabular Pop Data by Age'!$C86,'Tabular Pop Data by Age'!AE$7),'Population Data by Age'!$B$7:$B$10366,0),MATCH('Tabular Pop Data by Age'!$C$6,'Population Data by Age'!$B$6:$H$6,0))</f>
        <v>1900</v>
      </c>
      <c r="AF86" s="78">
        <f>INDEX('Population Data by Age'!$B$7:$H$10366,MATCH(CONCATENATE('Tabular Pop Data by Age'!$C86,'Tabular Pop Data by Age'!AF$7),'Population Data by Age'!$B$7:$B$10366,0),MATCH('Tabular Pop Data by Age'!$C$6,'Population Data by Age'!$B$6:$H$6,0))</f>
        <v>1500</v>
      </c>
      <c r="AG86" s="78">
        <f>INDEX('Population Data by Age'!$B$7:$H$10366,MATCH(CONCATENATE('Tabular Pop Data by Age'!$C86,'Tabular Pop Data by Age'!AG$7),'Population Data by Age'!$B$7:$B$10366,0),MATCH('Tabular Pop Data by Age'!$C$6,'Population Data by Age'!$B$6:$H$6,0))</f>
        <v>1300</v>
      </c>
      <c r="AH86" s="78">
        <f>INDEX('Population Data by Age'!$B$7:$H$10366,MATCH(CONCATENATE('Tabular Pop Data by Age'!$C86,'Tabular Pop Data by Age'!AH$7),'Population Data by Age'!$B$7:$B$10366,0),MATCH('Tabular Pop Data by Age'!$C$6,'Population Data by Age'!$B$6:$H$6,0))</f>
        <v>1200</v>
      </c>
      <c r="AI86" s="78">
        <f>INDEX('Population Data by Age'!$B$7:$H$10366,MATCH(CONCATENATE('Tabular Pop Data by Age'!$C86,'Tabular Pop Data by Age'!AI$7),'Population Data by Age'!$B$7:$B$10366,0),MATCH('Tabular Pop Data by Age'!$C$6,'Population Data by Age'!$B$6:$H$6,0))</f>
        <v>800</v>
      </c>
      <c r="AJ86" s="78">
        <f>INDEX('Population Data by Age'!$B$7:$H$10366,MATCH(CONCATENATE('Tabular Pop Data by Age'!$C86,'Tabular Pop Data by Age'!AJ$7),'Population Data by Age'!$B$7:$B$10366,0),MATCH('Tabular Pop Data by Age'!$C$6,'Population Data by Age'!$B$6:$H$6,0))</f>
        <v>1500</v>
      </c>
      <c r="AK86" s="78">
        <f>INDEX('Population Data by Age'!$B$7:$H$10366,MATCH(CONCATENATE('Tabular Pop Data by Age'!$C86,'Tabular Pop Data by Age'!AK$7),'Population Data by Age'!$B$7:$B$10366,0),MATCH('Tabular Pop Data by Age'!$C$6,'Population Data by Age'!$B$6:$H$6,0))</f>
        <v>900</v>
      </c>
      <c r="AL86" s="78">
        <f>INDEX('Population Data by Age'!$B$7:$H$10366,MATCH(CONCATENATE('Tabular Pop Data by Age'!$C86,'Tabular Pop Data by Age'!AL$7),'Population Data by Age'!$B$7:$B$10366,0),MATCH('Tabular Pop Data by Age'!$C$6,'Population Data by Age'!$B$6:$H$6,0))</f>
        <v>56000</v>
      </c>
      <c r="AM86" s="78">
        <f>INDEX('Population Data by Age'!$B$7:$H$10366,MATCH(CONCATENATE('Tabular Pop Data by Age'!$C86,'Tabular Pop Data by Age'!AM$7),'Population Data by Age'!$B$7:$B$10366,0),MATCH('Tabular Pop Data by Age'!$C$6,'Population Data by Age'!$B$6:$H$6,0))</f>
        <v>57000</v>
      </c>
      <c r="AN86" s="78">
        <f>INDEX('Population Data by Age'!$B$7:$H$10366,MATCH(CONCATENATE('Tabular Pop Data by Age'!$C86,'Tabular Pop Data by Age'!AN$7),'Population Data by Age'!$B$7:$B$10366,0),MATCH('Tabular Pop Data by Age'!$C$6,'Population Data by Age'!$B$6:$H$6,0))</f>
        <v>113000</v>
      </c>
      <c r="AO86" s="78">
        <f>INDEX('Population Data by Age'!$B$7:$H$10366,MATCH(CONCATENATE('Tabular Pop Data by Age'!$C86,'Tabular Pop Data by Age'!AO$7),'Population Data by Age'!$B$7:$B$10366,0),MATCH('Tabular Pop Data by Age'!$C$6,'Population Data by Age'!$B$6:$H$6,0))</f>
        <v>0</v>
      </c>
      <c r="AP86" s="79">
        <f t="shared" si="17"/>
        <v>9000</v>
      </c>
      <c r="AQ86" s="79">
        <f t="shared" si="18"/>
        <v>9200</v>
      </c>
      <c r="AR86" s="79">
        <f t="shared" si="19"/>
        <v>8600</v>
      </c>
      <c r="AS86" s="79">
        <f t="shared" si="20"/>
        <v>7500</v>
      </c>
      <c r="AT86" s="79">
        <f t="shared" si="21"/>
        <v>8700</v>
      </c>
      <c r="AU86" s="79">
        <f t="shared" si="22"/>
        <v>9500</v>
      </c>
      <c r="AV86" s="79">
        <f t="shared" si="23"/>
        <v>9400</v>
      </c>
      <c r="AW86" s="79">
        <f t="shared" si="24"/>
        <v>8800</v>
      </c>
      <c r="AX86" s="79">
        <f t="shared" si="25"/>
        <v>6600</v>
      </c>
      <c r="AY86" s="79">
        <f t="shared" si="26"/>
        <v>6300</v>
      </c>
      <c r="AZ86" s="79">
        <f t="shared" si="27"/>
        <v>6000</v>
      </c>
      <c r="BA86" s="79">
        <f t="shared" si="28"/>
        <v>6200</v>
      </c>
      <c r="BB86" s="79">
        <f t="shared" si="29"/>
        <v>5700</v>
      </c>
      <c r="BC86" s="79">
        <f t="shared" si="30"/>
        <v>3800</v>
      </c>
      <c r="BD86" s="79">
        <f t="shared" si="31"/>
        <v>2800</v>
      </c>
      <c r="BE86" s="79">
        <f t="shared" si="32"/>
        <v>2000</v>
      </c>
      <c r="BF86" s="79">
        <f t="shared" si="33"/>
        <v>2400</v>
      </c>
    </row>
    <row r="87" spans="1:58" x14ac:dyDescent="0.25">
      <c r="A87" s="138" t="s">
        <v>1195</v>
      </c>
      <c r="B87" t="s">
        <v>513</v>
      </c>
      <c r="C87" t="s">
        <v>514</v>
      </c>
      <c r="D87" s="78">
        <f>INDEX('Population Data by Age'!$B$7:$H$10366,MATCH(CONCATENATE('Tabular Pop Data by Age'!$C87,'Tabular Pop Data by Age'!D$7),'Population Data by Age'!$B$7:$B$10366,0),MATCH('Tabular Pop Data by Age'!$C$6,'Population Data by Age'!$B$6:$H$6,0))</f>
        <v>6600</v>
      </c>
      <c r="E87" s="78">
        <f>INDEX('Population Data by Age'!$B$7:$H$10366,MATCH(CONCATENATE('Tabular Pop Data by Age'!$C87,'Tabular Pop Data by Age'!E$7),'Population Data by Age'!$B$7:$B$10366,0),MATCH('Tabular Pop Data by Age'!$C$6,'Population Data by Age'!$B$6:$H$6,0))</f>
        <v>7000</v>
      </c>
      <c r="F87" s="78">
        <f>INDEX('Population Data by Age'!$B$7:$H$10366,MATCH(CONCATENATE('Tabular Pop Data by Age'!$C87,'Tabular Pop Data by Age'!F$7),'Population Data by Age'!$B$7:$B$10366,0),MATCH('Tabular Pop Data by Age'!$C$6,'Population Data by Age'!$B$6:$H$6,0))</f>
        <v>6500</v>
      </c>
      <c r="G87" s="78">
        <f>INDEX('Population Data by Age'!$B$7:$H$10366,MATCH(CONCATENATE('Tabular Pop Data by Age'!$C87,'Tabular Pop Data by Age'!G$7),'Population Data by Age'!$B$7:$B$10366,0),MATCH('Tabular Pop Data by Age'!$C$6,'Population Data by Age'!$B$6:$H$6,0))</f>
        <v>6900</v>
      </c>
      <c r="H87" s="78">
        <f>INDEX('Population Data by Age'!$B$7:$H$10366,MATCH(CONCATENATE('Tabular Pop Data by Age'!$C87,'Tabular Pop Data by Age'!H$7),'Population Data by Age'!$B$7:$B$10366,0),MATCH('Tabular Pop Data by Age'!$C$6,'Population Data by Age'!$B$6:$H$6,0))</f>
        <v>6500</v>
      </c>
      <c r="I87" s="78">
        <f>INDEX('Population Data by Age'!$B$7:$H$10366,MATCH(CONCATENATE('Tabular Pop Data by Age'!$C87,'Tabular Pop Data by Age'!I$7),'Population Data by Age'!$B$7:$B$10366,0),MATCH('Tabular Pop Data by Age'!$C$6,'Population Data by Age'!$B$6:$H$6,0))</f>
        <v>6800</v>
      </c>
      <c r="J87" s="78">
        <f>INDEX('Population Data by Age'!$B$7:$H$10366,MATCH(CONCATENATE('Tabular Pop Data by Age'!$C87,'Tabular Pop Data by Age'!J$7),'Population Data by Age'!$B$7:$B$10366,0),MATCH('Tabular Pop Data by Age'!$C$6,'Population Data by Age'!$B$6:$H$6,0))</f>
        <v>6700</v>
      </c>
      <c r="K87" s="78">
        <f>INDEX('Population Data by Age'!$B$7:$H$10366,MATCH(CONCATENATE('Tabular Pop Data by Age'!$C87,'Tabular Pop Data by Age'!K$7),'Population Data by Age'!$B$7:$B$10366,0),MATCH('Tabular Pop Data by Age'!$C$6,'Population Data by Age'!$B$6:$H$6,0))</f>
        <v>7100</v>
      </c>
      <c r="L87" s="78">
        <f>INDEX('Population Data by Age'!$B$7:$H$10366,MATCH(CONCATENATE('Tabular Pop Data by Age'!$C87,'Tabular Pop Data by Age'!L$7),'Population Data by Age'!$B$7:$B$10366,0),MATCH('Tabular Pop Data by Age'!$C$6,'Population Data by Age'!$B$6:$H$6,0))</f>
        <v>6600</v>
      </c>
      <c r="M87" s="78">
        <f>INDEX('Population Data by Age'!$B$7:$H$10366,MATCH(CONCATENATE('Tabular Pop Data by Age'!$C87,'Tabular Pop Data by Age'!M$7),'Population Data by Age'!$B$7:$B$10366,0),MATCH('Tabular Pop Data by Age'!$C$6,'Population Data by Age'!$B$6:$H$6,0))</f>
        <v>7200</v>
      </c>
      <c r="N87" s="78">
        <f>INDEX('Population Data by Age'!$B$7:$H$10366,MATCH(CONCATENATE('Tabular Pop Data by Age'!$C87,'Tabular Pop Data by Age'!N$7),'Population Data by Age'!$B$7:$B$10366,0),MATCH('Tabular Pop Data by Age'!$C$6,'Population Data by Age'!$B$6:$H$6,0))</f>
        <v>6400</v>
      </c>
      <c r="O87" s="78">
        <f>INDEX('Population Data by Age'!$B$7:$H$10366,MATCH(CONCATENATE('Tabular Pop Data by Age'!$C87,'Tabular Pop Data by Age'!O$7),'Population Data by Age'!$B$7:$B$10366,0),MATCH('Tabular Pop Data by Age'!$C$6,'Population Data by Age'!$B$6:$H$6,0))</f>
        <v>6800</v>
      </c>
      <c r="P87" s="78">
        <f>INDEX('Population Data by Age'!$B$7:$H$10366,MATCH(CONCATENATE('Tabular Pop Data by Age'!$C87,'Tabular Pop Data by Age'!P$7),'Population Data by Age'!$B$7:$B$10366,0),MATCH('Tabular Pop Data by Age'!$C$6,'Population Data by Age'!$B$6:$H$6,0))</f>
        <v>5800</v>
      </c>
      <c r="Q87" s="78">
        <f>INDEX('Population Data by Age'!$B$7:$H$10366,MATCH(CONCATENATE('Tabular Pop Data by Age'!$C87,'Tabular Pop Data by Age'!Q$7),'Population Data by Age'!$B$7:$B$10366,0),MATCH('Tabular Pop Data by Age'!$C$6,'Population Data by Age'!$B$6:$H$6,0))</f>
        <v>5900</v>
      </c>
      <c r="R87" s="78">
        <f>INDEX('Population Data by Age'!$B$7:$H$10366,MATCH(CONCATENATE('Tabular Pop Data by Age'!$C87,'Tabular Pop Data by Age'!R$7),'Population Data by Age'!$B$7:$B$10366,0),MATCH('Tabular Pop Data by Age'!$C$6,'Population Data by Age'!$B$6:$H$6,0))</f>
        <v>5000</v>
      </c>
      <c r="S87" s="78">
        <f>INDEX('Population Data by Age'!$B$7:$H$10366,MATCH(CONCATENATE('Tabular Pop Data by Age'!$C87,'Tabular Pop Data by Age'!S$7),'Population Data by Age'!$B$7:$B$10366,0),MATCH('Tabular Pop Data by Age'!$C$6,'Population Data by Age'!$B$6:$H$6,0))</f>
        <v>5100</v>
      </c>
      <c r="T87" s="78">
        <f>INDEX('Population Data by Age'!$B$7:$H$10366,MATCH(CONCATENATE('Tabular Pop Data by Age'!$C87,'Tabular Pop Data by Age'!T$7),'Population Data by Age'!$B$7:$B$10366,0),MATCH('Tabular Pop Data by Age'!$C$6,'Population Data by Age'!$B$6:$H$6,0))</f>
        <v>4800</v>
      </c>
      <c r="U87" s="78">
        <f>INDEX('Population Data by Age'!$B$7:$H$10366,MATCH(CONCATENATE('Tabular Pop Data by Age'!$C87,'Tabular Pop Data by Age'!U$7),'Population Data by Age'!$B$7:$B$10366,0),MATCH('Tabular Pop Data by Age'!$C$6,'Population Data by Age'!$B$6:$H$6,0))</f>
        <v>4900</v>
      </c>
      <c r="V87" s="78">
        <f>INDEX('Population Data by Age'!$B$7:$H$10366,MATCH(CONCATENATE('Tabular Pop Data by Age'!$C87,'Tabular Pop Data by Age'!V$7),'Population Data by Age'!$B$7:$B$10366,0),MATCH('Tabular Pop Data by Age'!$C$6,'Population Data by Age'!$B$6:$H$6,0))</f>
        <v>5100</v>
      </c>
      <c r="W87" s="78">
        <f>INDEX('Population Data by Age'!$B$7:$H$10366,MATCH(CONCATENATE('Tabular Pop Data by Age'!$C87,'Tabular Pop Data by Age'!W$7),'Population Data by Age'!$B$7:$B$10366,0),MATCH('Tabular Pop Data by Age'!$C$6,'Population Data by Age'!$B$6:$H$6,0))</f>
        <v>5200</v>
      </c>
      <c r="X87" s="78">
        <f>INDEX('Population Data by Age'!$B$7:$H$10366,MATCH(CONCATENATE('Tabular Pop Data by Age'!$C87,'Tabular Pop Data by Age'!X$7),'Population Data by Age'!$B$7:$B$10366,0),MATCH('Tabular Pop Data by Age'!$C$6,'Population Data by Age'!$B$6:$H$6,0))</f>
        <v>5000</v>
      </c>
      <c r="Y87" s="78">
        <f>INDEX('Population Data by Age'!$B$7:$H$10366,MATCH(CONCATENATE('Tabular Pop Data by Age'!$C87,'Tabular Pop Data by Age'!Y$7),'Population Data by Age'!$B$7:$B$10366,0),MATCH('Tabular Pop Data by Age'!$C$6,'Population Data by Age'!$B$6:$H$6,0))</f>
        <v>5300</v>
      </c>
      <c r="Z87" s="78">
        <f>INDEX('Population Data by Age'!$B$7:$H$10366,MATCH(CONCATENATE('Tabular Pop Data by Age'!$C87,'Tabular Pop Data by Age'!Z$7),'Population Data by Age'!$B$7:$B$10366,0),MATCH('Tabular Pop Data by Age'!$C$6,'Population Data by Age'!$B$6:$H$6,0))</f>
        <v>4800</v>
      </c>
      <c r="AA87" s="78">
        <f>INDEX('Population Data by Age'!$B$7:$H$10366,MATCH(CONCATENATE('Tabular Pop Data by Age'!$C87,'Tabular Pop Data by Age'!AA$7),'Population Data by Age'!$B$7:$B$10366,0),MATCH('Tabular Pop Data by Age'!$C$6,'Population Data by Age'!$B$6:$H$6,0))</f>
        <v>5100</v>
      </c>
      <c r="AB87" s="78">
        <f>INDEX('Population Data by Age'!$B$7:$H$10366,MATCH(CONCATENATE('Tabular Pop Data by Age'!$C87,'Tabular Pop Data by Age'!AB$7),'Population Data by Age'!$B$7:$B$10366,0),MATCH('Tabular Pop Data by Age'!$C$6,'Population Data by Age'!$B$6:$H$6,0))</f>
        <v>3900</v>
      </c>
      <c r="AC87" s="78">
        <f>INDEX('Population Data by Age'!$B$7:$H$10366,MATCH(CONCATENATE('Tabular Pop Data by Age'!$C87,'Tabular Pop Data by Age'!AC$7),'Population Data by Age'!$B$7:$B$10366,0),MATCH('Tabular Pop Data by Age'!$C$6,'Population Data by Age'!$B$6:$H$6,0))</f>
        <v>3900</v>
      </c>
      <c r="AD87" s="78">
        <f>INDEX('Population Data by Age'!$B$7:$H$10366,MATCH(CONCATENATE('Tabular Pop Data by Age'!$C87,'Tabular Pop Data by Age'!AD$7),'Population Data by Age'!$B$7:$B$10366,0),MATCH('Tabular Pop Data by Age'!$C$6,'Population Data by Age'!$B$6:$H$6,0))</f>
        <v>3300</v>
      </c>
      <c r="AE87" s="78">
        <f>INDEX('Population Data by Age'!$B$7:$H$10366,MATCH(CONCATENATE('Tabular Pop Data by Age'!$C87,'Tabular Pop Data by Age'!AE$7),'Population Data by Age'!$B$7:$B$10366,0),MATCH('Tabular Pop Data by Age'!$C$6,'Population Data by Age'!$B$6:$H$6,0))</f>
        <v>3100</v>
      </c>
      <c r="AF87" s="78">
        <f>INDEX('Population Data by Age'!$B$7:$H$10366,MATCH(CONCATENATE('Tabular Pop Data by Age'!$C87,'Tabular Pop Data by Age'!AF$7),'Population Data by Age'!$B$7:$B$10366,0),MATCH('Tabular Pop Data by Age'!$C$6,'Population Data by Age'!$B$6:$H$6,0))</f>
        <v>2600</v>
      </c>
      <c r="AG87" s="78">
        <f>INDEX('Population Data by Age'!$B$7:$H$10366,MATCH(CONCATENATE('Tabular Pop Data by Age'!$C87,'Tabular Pop Data by Age'!AG$7),'Population Data by Age'!$B$7:$B$10366,0),MATCH('Tabular Pop Data by Age'!$C$6,'Population Data by Age'!$B$6:$H$6,0))</f>
        <v>2300</v>
      </c>
      <c r="AH87" s="78">
        <f>INDEX('Population Data by Age'!$B$7:$H$10366,MATCH(CONCATENATE('Tabular Pop Data by Age'!$C87,'Tabular Pop Data by Age'!AH$7),'Population Data by Age'!$B$7:$B$10366,0),MATCH('Tabular Pop Data by Age'!$C$6,'Population Data by Age'!$B$6:$H$6,0))</f>
        <v>1600</v>
      </c>
      <c r="AI87" s="78">
        <f>INDEX('Population Data by Age'!$B$7:$H$10366,MATCH(CONCATENATE('Tabular Pop Data by Age'!$C87,'Tabular Pop Data by Age'!AI$7),'Population Data by Age'!$B$7:$B$10366,0),MATCH('Tabular Pop Data by Age'!$C$6,'Population Data by Age'!$B$6:$H$6,0))</f>
        <v>1300</v>
      </c>
      <c r="AJ87" s="78">
        <f>INDEX('Population Data by Age'!$B$7:$H$10366,MATCH(CONCATENATE('Tabular Pop Data by Age'!$C87,'Tabular Pop Data by Age'!AJ$7),'Population Data by Age'!$B$7:$B$10366,0),MATCH('Tabular Pop Data by Age'!$C$6,'Population Data by Age'!$B$6:$H$6,0))</f>
        <v>2300</v>
      </c>
      <c r="AK87" s="78">
        <f>INDEX('Population Data by Age'!$B$7:$H$10366,MATCH(CONCATENATE('Tabular Pop Data by Age'!$C87,'Tabular Pop Data by Age'!AK$7),'Population Data by Age'!$B$7:$B$10366,0),MATCH('Tabular Pop Data by Age'!$C$6,'Population Data by Age'!$B$6:$H$6,0))</f>
        <v>1300</v>
      </c>
      <c r="AL87" s="78">
        <f>INDEX('Population Data by Age'!$B$7:$H$10366,MATCH(CONCATENATE('Tabular Pop Data by Age'!$C87,'Tabular Pop Data by Age'!AL$7),'Population Data by Age'!$B$7:$B$10366,0),MATCH('Tabular Pop Data by Age'!$C$6,'Population Data by Age'!$B$6:$H$6,0))</f>
        <v>84000</v>
      </c>
      <c r="AM87" s="78">
        <f>INDEX('Population Data by Age'!$B$7:$H$10366,MATCH(CONCATENATE('Tabular Pop Data by Age'!$C87,'Tabular Pop Data by Age'!AM$7),'Population Data by Age'!$B$7:$B$10366,0),MATCH('Tabular Pop Data by Age'!$C$6,'Population Data by Age'!$B$6:$H$6,0))</f>
        <v>85000</v>
      </c>
      <c r="AN87" s="78">
        <f>INDEX('Population Data by Age'!$B$7:$H$10366,MATCH(CONCATENATE('Tabular Pop Data by Age'!$C87,'Tabular Pop Data by Age'!AN$7),'Population Data by Age'!$B$7:$B$10366,0),MATCH('Tabular Pop Data by Age'!$C$6,'Population Data by Age'!$B$6:$H$6,0))</f>
        <v>169000</v>
      </c>
      <c r="AO87" s="78">
        <f>INDEX('Population Data by Age'!$B$7:$H$10366,MATCH(CONCATENATE('Tabular Pop Data by Age'!$C87,'Tabular Pop Data by Age'!AO$7),'Population Data by Age'!$B$7:$B$10366,0),MATCH('Tabular Pop Data by Age'!$C$6,'Population Data by Age'!$B$6:$H$6,0))</f>
        <v>0</v>
      </c>
      <c r="AP87" s="79">
        <f t="shared" si="17"/>
        <v>13600</v>
      </c>
      <c r="AQ87" s="79">
        <f t="shared" si="18"/>
        <v>13400</v>
      </c>
      <c r="AR87" s="79">
        <f t="shared" si="19"/>
        <v>13300</v>
      </c>
      <c r="AS87" s="79">
        <f t="shared" si="20"/>
        <v>13800</v>
      </c>
      <c r="AT87" s="79">
        <f t="shared" si="21"/>
        <v>13800</v>
      </c>
      <c r="AU87" s="79">
        <f t="shared" si="22"/>
        <v>13200</v>
      </c>
      <c r="AV87" s="79">
        <f t="shared" si="23"/>
        <v>11700</v>
      </c>
      <c r="AW87" s="79">
        <f t="shared" si="24"/>
        <v>10100</v>
      </c>
      <c r="AX87" s="79">
        <f t="shared" si="25"/>
        <v>9700</v>
      </c>
      <c r="AY87" s="79">
        <f t="shared" si="26"/>
        <v>10300</v>
      </c>
      <c r="AZ87" s="79">
        <f t="shared" si="27"/>
        <v>10300</v>
      </c>
      <c r="BA87" s="79">
        <f t="shared" si="28"/>
        <v>9900</v>
      </c>
      <c r="BB87" s="79">
        <f t="shared" si="29"/>
        <v>7800</v>
      </c>
      <c r="BC87" s="79">
        <f t="shared" si="30"/>
        <v>6400</v>
      </c>
      <c r="BD87" s="79">
        <f t="shared" si="31"/>
        <v>4900</v>
      </c>
      <c r="BE87" s="79">
        <f t="shared" si="32"/>
        <v>2900</v>
      </c>
      <c r="BF87" s="79">
        <f t="shared" si="33"/>
        <v>3600</v>
      </c>
    </row>
    <row r="88" spans="1:58" x14ac:dyDescent="0.25">
      <c r="A88" s="138" t="s">
        <v>1195</v>
      </c>
      <c r="B88" t="s">
        <v>223</v>
      </c>
      <c r="C88" t="s">
        <v>53</v>
      </c>
      <c r="D88" s="78">
        <f>INDEX('Population Data by Age'!$B$7:$H$10366,MATCH(CONCATENATE('Tabular Pop Data by Age'!$C88,'Tabular Pop Data by Age'!D$7),'Population Data by Age'!$B$7:$B$10366,0),MATCH('Tabular Pop Data by Age'!$C$6,'Population Data by Age'!$B$6:$H$6,0))</f>
        <v>1010000</v>
      </c>
      <c r="E88" s="78">
        <f>INDEX('Population Data by Age'!$B$7:$H$10366,MATCH(CONCATENATE('Tabular Pop Data by Age'!$C88,'Tabular Pop Data by Age'!E$7),'Population Data by Age'!$B$7:$B$10366,0),MATCH('Tabular Pop Data by Age'!$C$6,'Population Data by Age'!$B$6:$H$6,0))</f>
        <v>1055000</v>
      </c>
      <c r="F88" s="78">
        <f>INDEX('Population Data by Age'!$B$7:$H$10366,MATCH(CONCATENATE('Tabular Pop Data by Age'!$C88,'Tabular Pop Data by Age'!F$7),'Population Data by Age'!$B$7:$B$10366,0),MATCH('Tabular Pop Data by Age'!$C$6,'Population Data by Age'!$B$6:$H$6,0))</f>
        <v>969000</v>
      </c>
      <c r="G88" s="78">
        <f>INDEX('Population Data by Age'!$B$7:$H$10366,MATCH(CONCATENATE('Tabular Pop Data by Age'!$C88,'Tabular Pop Data by Age'!G$7),'Population Data by Age'!$B$7:$B$10366,0),MATCH('Tabular Pop Data by Age'!$C$6,'Population Data by Age'!$B$6:$H$6,0))</f>
        <v>1013000</v>
      </c>
      <c r="H88" s="78">
        <f>INDEX('Population Data by Age'!$B$7:$H$10366,MATCH(CONCATENATE('Tabular Pop Data by Age'!$C88,'Tabular Pop Data by Age'!H$7),'Population Data by Age'!$B$7:$B$10366,0),MATCH('Tabular Pop Data by Age'!$C$6,'Population Data by Age'!$B$6:$H$6,0))</f>
        <v>942000</v>
      </c>
      <c r="I88" s="78">
        <f>INDEX('Population Data by Age'!$B$7:$H$10366,MATCH(CONCATENATE('Tabular Pop Data by Age'!$C88,'Tabular Pop Data by Age'!I$7),'Population Data by Age'!$B$7:$B$10366,0),MATCH('Tabular Pop Data by Age'!$C$6,'Population Data by Age'!$B$6:$H$6,0))</f>
        <v>984000</v>
      </c>
      <c r="J88" s="78">
        <f>INDEX('Population Data by Age'!$B$7:$H$10366,MATCH(CONCATENATE('Tabular Pop Data by Age'!$C88,'Tabular Pop Data by Age'!J$7),'Population Data by Age'!$B$7:$B$10366,0),MATCH('Tabular Pop Data by Age'!$C$6,'Population Data by Age'!$B$6:$H$6,0))</f>
        <v>954000</v>
      </c>
      <c r="K88" s="78">
        <f>INDEX('Population Data by Age'!$B$7:$H$10366,MATCH(CONCATENATE('Tabular Pop Data by Age'!$C88,'Tabular Pop Data by Age'!K$7),'Population Data by Age'!$B$7:$B$10366,0),MATCH('Tabular Pop Data by Age'!$C$6,'Population Data by Age'!$B$6:$H$6,0))</f>
        <v>992000</v>
      </c>
      <c r="L88" s="78">
        <f>INDEX('Population Data by Age'!$B$7:$H$10366,MATCH(CONCATENATE('Tabular Pop Data by Age'!$C88,'Tabular Pop Data by Age'!L$7),'Population Data by Age'!$B$7:$B$10366,0),MATCH('Tabular Pop Data by Age'!$C$6,'Population Data by Age'!$B$6:$H$6,0))</f>
        <v>889000</v>
      </c>
      <c r="M88" s="78">
        <f>INDEX('Population Data by Age'!$B$7:$H$10366,MATCH(CONCATENATE('Tabular Pop Data by Age'!$C88,'Tabular Pop Data by Age'!M$7),'Population Data by Age'!$B$7:$B$10366,0),MATCH('Tabular Pop Data by Age'!$C$6,'Population Data by Age'!$B$6:$H$6,0))</f>
        <v>913000</v>
      </c>
      <c r="N88" s="78">
        <f>INDEX('Population Data by Age'!$B$7:$H$10366,MATCH(CONCATENATE('Tabular Pop Data by Age'!$C88,'Tabular Pop Data by Age'!N$7),'Population Data by Age'!$B$7:$B$10366,0),MATCH('Tabular Pop Data by Age'!$C$6,'Population Data by Age'!$B$6:$H$6,0))</f>
        <v>804000</v>
      </c>
      <c r="O88" s="78">
        <f>INDEX('Population Data by Age'!$B$7:$H$10366,MATCH(CONCATENATE('Tabular Pop Data by Age'!$C88,'Tabular Pop Data by Age'!O$7),'Population Data by Age'!$B$7:$B$10366,0),MATCH('Tabular Pop Data by Age'!$C$6,'Population Data by Age'!$B$6:$H$6,0))</f>
        <v>807000</v>
      </c>
      <c r="P88" s="78">
        <f>INDEX('Population Data by Age'!$B$7:$H$10366,MATCH(CONCATENATE('Tabular Pop Data by Age'!$C88,'Tabular Pop Data by Age'!P$7),'Population Data by Age'!$B$7:$B$10366,0),MATCH('Tabular Pop Data by Age'!$C$6,'Population Data by Age'!$B$6:$H$6,0))</f>
        <v>687000</v>
      </c>
      <c r="Q88" s="78">
        <f>INDEX('Population Data by Age'!$B$7:$H$10366,MATCH(CONCATENATE('Tabular Pop Data by Age'!$C88,'Tabular Pop Data by Age'!Q$7),'Population Data by Age'!$B$7:$B$10366,0),MATCH('Tabular Pop Data by Age'!$C$6,'Population Data by Age'!$B$6:$H$6,0))</f>
        <v>667000</v>
      </c>
      <c r="R88" s="78">
        <f>INDEX('Population Data by Age'!$B$7:$H$10366,MATCH(CONCATENATE('Tabular Pop Data by Age'!$C88,'Tabular Pop Data by Age'!R$7),'Population Data by Age'!$B$7:$B$10366,0),MATCH('Tabular Pop Data by Age'!$C$6,'Population Data by Age'!$B$6:$H$6,0))</f>
        <v>610000</v>
      </c>
      <c r="S88" s="78">
        <f>INDEX('Population Data by Age'!$B$7:$H$10366,MATCH(CONCATENATE('Tabular Pop Data by Age'!$C88,'Tabular Pop Data by Age'!S$7),'Population Data by Age'!$B$7:$B$10366,0),MATCH('Tabular Pop Data by Age'!$C$6,'Population Data by Age'!$B$6:$H$6,0))</f>
        <v>568000</v>
      </c>
      <c r="T88" s="78">
        <f>INDEX('Population Data by Age'!$B$7:$H$10366,MATCH(CONCATENATE('Tabular Pop Data by Age'!$C88,'Tabular Pop Data by Age'!T$7),'Population Data by Age'!$B$7:$B$10366,0),MATCH('Tabular Pop Data by Age'!$C$6,'Population Data by Age'!$B$6:$H$6,0))</f>
        <v>509000</v>
      </c>
      <c r="U88" s="78">
        <f>INDEX('Population Data by Age'!$B$7:$H$10366,MATCH(CONCATENATE('Tabular Pop Data by Age'!$C88,'Tabular Pop Data by Age'!U$7),'Population Data by Age'!$B$7:$B$10366,0),MATCH('Tabular Pop Data by Age'!$C$6,'Population Data by Age'!$B$6:$H$6,0))</f>
        <v>447000</v>
      </c>
      <c r="V88" s="78">
        <f>INDEX('Population Data by Age'!$B$7:$H$10366,MATCH(CONCATENATE('Tabular Pop Data by Age'!$C88,'Tabular Pop Data by Age'!V$7),'Population Data by Age'!$B$7:$B$10366,0),MATCH('Tabular Pop Data by Age'!$C$6,'Population Data by Age'!$B$6:$H$6,0))</f>
        <v>407000</v>
      </c>
      <c r="W88" s="78">
        <f>INDEX('Population Data by Age'!$B$7:$H$10366,MATCH(CONCATENATE('Tabular Pop Data by Age'!$C88,'Tabular Pop Data by Age'!W$7),'Population Data by Age'!$B$7:$B$10366,0),MATCH('Tabular Pop Data by Age'!$C$6,'Population Data by Age'!$B$6:$H$6,0))</f>
        <v>339000</v>
      </c>
      <c r="X88" s="78">
        <f>INDEX('Population Data by Age'!$B$7:$H$10366,MATCH(CONCATENATE('Tabular Pop Data by Age'!$C88,'Tabular Pop Data by Age'!X$7),'Population Data by Age'!$B$7:$B$10366,0),MATCH('Tabular Pop Data by Age'!$C$6,'Population Data by Age'!$B$6:$H$6,0))</f>
        <v>323000</v>
      </c>
      <c r="Y88" s="78">
        <f>INDEX('Population Data by Age'!$B$7:$H$10366,MATCH(CONCATENATE('Tabular Pop Data by Age'!$C88,'Tabular Pop Data by Age'!Y$7),'Population Data by Age'!$B$7:$B$10366,0),MATCH('Tabular Pop Data by Age'!$C$6,'Population Data by Age'!$B$6:$H$6,0))</f>
        <v>260000</v>
      </c>
      <c r="Z88" s="78">
        <f>INDEX('Population Data by Age'!$B$7:$H$10366,MATCH(CONCATENATE('Tabular Pop Data by Age'!$C88,'Tabular Pop Data by Age'!Z$7),'Population Data by Age'!$B$7:$B$10366,0),MATCH('Tabular Pop Data by Age'!$C$6,'Population Data by Age'!$B$6:$H$6,0))</f>
        <v>262000</v>
      </c>
      <c r="AA88" s="78">
        <f>INDEX('Population Data by Age'!$B$7:$H$10366,MATCH(CONCATENATE('Tabular Pop Data by Age'!$C88,'Tabular Pop Data by Age'!AA$7),'Population Data by Age'!$B$7:$B$10366,0),MATCH('Tabular Pop Data by Age'!$C$6,'Population Data by Age'!$B$6:$H$6,0))</f>
        <v>208000</v>
      </c>
      <c r="AB88" s="78">
        <f>INDEX('Population Data by Age'!$B$7:$H$10366,MATCH(CONCATENATE('Tabular Pop Data by Age'!$C88,'Tabular Pop Data by Age'!AB$7),'Population Data by Age'!$B$7:$B$10366,0),MATCH('Tabular Pop Data by Age'!$C$6,'Population Data by Age'!$B$6:$H$6,0))</f>
        <v>218000</v>
      </c>
      <c r="AC88" s="78">
        <f>INDEX('Population Data by Age'!$B$7:$H$10366,MATCH(CONCATENATE('Tabular Pop Data by Age'!$C88,'Tabular Pop Data by Age'!AC$7),'Population Data by Age'!$B$7:$B$10366,0),MATCH('Tabular Pop Data by Age'!$C$6,'Population Data by Age'!$B$6:$H$6,0))</f>
        <v>174000</v>
      </c>
      <c r="AD88" s="78">
        <f>INDEX('Population Data by Age'!$B$7:$H$10366,MATCH(CONCATENATE('Tabular Pop Data by Age'!$C88,'Tabular Pop Data by Age'!AD$7),'Population Data by Age'!$B$7:$B$10366,0),MATCH('Tabular Pop Data by Age'!$C$6,'Population Data by Age'!$B$6:$H$6,0))</f>
        <v>180000</v>
      </c>
      <c r="AE88" s="78">
        <f>INDEX('Population Data by Age'!$B$7:$H$10366,MATCH(CONCATENATE('Tabular Pop Data by Age'!$C88,'Tabular Pop Data by Age'!AE$7),'Population Data by Age'!$B$7:$B$10366,0),MATCH('Tabular Pop Data by Age'!$C$6,'Population Data by Age'!$B$6:$H$6,0))</f>
        <v>147000</v>
      </c>
      <c r="AF88" s="78">
        <f>INDEX('Population Data by Age'!$B$7:$H$10366,MATCH(CONCATENATE('Tabular Pop Data by Age'!$C88,'Tabular Pop Data by Age'!AF$7),'Population Data by Age'!$B$7:$B$10366,0),MATCH('Tabular Pop Data by Age'!$C$6,'Population Data by Age'!$B$6:$H$6,0))</f>
        <v>123000</v>
      </c>
      <c r="AG88" s="78">
        <f>INDEX('Population Data by Age'!$B$7:$H$10366,MATCH(CONCATENATE('Tabular Pop Data by Age'!$C88,'Tabular Pop Data by Age'!AG$7),'Population Data by Age'!$B$7:$B$10366,0),MATCH('Tabular Pop Data by Age'!$C$6,'Population Data by Age'!$B$6:$H$6,0))</f>
        <v>99000</v>
      </c>
      <c r="AH88" s="78">
        <f>INDEX('Population Data by Age'!$B$7:$H$10366,MATCH(CONCATENATE('Tabular Pop Data by Age'!$C88,'Tabular Pop Data by Age'!AH$7),'Population Data by Age'!$B$7:$B$10366,0),MATCH('Tabular Pop Data by Age'!$C$6,'Population Data by Age'!$B$6:$H$6,0))</f>
        <v>89000</v>
      </c>
      <c r="AI88" s="78">
        <f>INDEX('Population Data by Age'!$B$7:$H$10366,MATCH(CONCATENATE('Tabular Pop Data by Age'!$C88,'Tabular Pop Data by Age'!AI$7),'Population Data by Age'!$B$7:$B$10366,0),MATCH('Tabular Pop Data by Age'!$C$6,'Population Data by Age'!$B$6:$H$6,0))</f>
        <v>72000</v>
      </c>
      <c r="AJ88" s="78">
        <f>INDEX('Population Data by Age'!$B$7:$H$10366,MATCH(CONCATENATE('Tabular Pop Data by Age'!$C88,'Tabular Pop Data by Age'!AJ$7),'Population Data by Age'!$B$7:$B$10366,0),MATCH('Tabular Pop Data by Age'!$C$6,'Population Data by Age'!$B$6:$H$6,0))</f>
        <v>110000</v>
      </c>
      <c r="AK88" s="78">
        <f>INDEX('Population Data by Age'!$B$7:$H$10366,MATCH(CONCATENATE('Tabular Pop Data by Age'!$C88,'Tabular Pop Data by Age'!AK$7),'Population Data by Age'!$B$7:$B$10366,0),MATCH('Tabular Pop Data by Age'!$C$6,'Population Data by Age'!$B$6:$H$6,0))</f>
        <v>84000</v>
      </c>
      <c r="AL88" s="78">
        <f>INDEX('Population Data by Age'!$B$7:$H$10366,MATCH(CONCATENATE('Tabular Pop Data by Age'!$C88,'Tabular Pop Data by Age'!AL$7),'Population Data by Age'!$B$7:$B$10366,0),MATCH('Tabular Pop Data by Age'!$C$6,'Population Data by Age'!$B$6:$H$6,0))</f>
        <v>9088000</v>
      </c>
      <c r="AM88" s="78">
        <f>INDEX('Population Data by Age'!$B$7:$H$10366,MATCH(CONCATENATE('Tabular Pop Data by Age'!$C88,'Tabular Pop Data by Age'!AM$7),'Population Data by Age'!$B$7:$B$10366,0),MATCH('Tabular Pop Data by Age'!$C$6,'Population Data by Age'!$B$6:$H$6,0))</f>
        <v>8827000</v>
      </c>
      <c r="AN88" s="78">
        <f>INDEX('Population Data by Age'!$B$7:$H$10366,MATCH(CONCATENATE('Tabular Pop Data by Age'!$C88,'Tabular Pop Data by Age'!AN$7),'Population Data by Age'!$B$7:$B$10366,0),MATCH('Tabular Pop Data by Age'!$C$6,'Population Data by Age'!$B$6:$H$6,0))</f>
        <v>17916000</v>
      </c>
      <c r="AO88" s="78">
        <f>INDEX('Population Data by Age'!$B$7:$H$10366,MATCH(CONCATENATE('Tabular Pop Data by Age'!$C88,'Tabular Pop Data by Age'!AO$7),'Population Data by Age'!$B$7:$B$10366,0),MATCH('Tabular Pop Data by Age'!$C$6,'Population Data by Age'!$B$6:$H$6,0))</f>
        <v>0</v>
      </c>
      <c r="AP88" s="79">
        <f t="shared" si="17"/>
        <v>2065000</v>
      </c>
      <c r="AQ88" s="79">
        <f t="shared" si="18"/>
        <v>1982000</v>
      </c>
      <c r="AR88" s="79">
        <f t="shared" si="19"/>
        <v>1926000</v>
      </c>
      <c r="AS88" s="79">
        <f t="shared" si="20"/>
        <v>1946000</v>
      </c>
      <c r="AT88" s="79">
        <f t="shared" si="21"/>
        <v>1802000</v>
      </c>
      <c r="AU88" s="79">
        <f t="shared" si="22"/>
        <v>1611000</v>
      </c>
      <c r="AV88" s="79">
        <f t="shared" si="23"/>
        <v>1354000</v>
      </c>
      <c r="AW88" s="79">
        <f t="shared" si="24"/>
        <v>1178000</v>
      </c>
      <c r="AX88" s="79">
        <f t="shared" si="25"/>
        <v>956000</v>
      </c>
      <c r="AY88" s="79">
        <f t="shared" si="26"/>
        <v>746000</v>
      </c>
      <c r="AZ88" s="79">
        <f t="shared" si="27"/>
        <v>583000</v>
      </c>
      <c r="BA88" s="79">
        <f t="shared" si="28"/>
        <v>470000</v>
      </c>
      <c r="BB88" s="79">
        <f t="shared" si="29"/>
        <v>392000</v>
      </c>
      <c r="BC88" s="79">
        <f t="shared" si="30"/>
        <v>327000</v>
      </c>
      <c r="BD88" s="79">
        <f t="shared" si="31"/>
        <v>222000</v>
      </c>
      <c r="BE88" s="79">
        <f t="shared" si="32"/>
        <v>161000</v>
      </c>
      <c r="BF88" s="79">
        <f t="shared" si="33"/>
        <v>194000</v>
      </c>
    </row>
    <row r="89" spans="1:58" x14ac:dyDescent="0.25">
      <c r="A89" s="138" t="s">
        <v>1195</v>
      </c>
      <c r="B89" t="s">
        <v>197</v>
      </c>
      <c r="C89" t="s">
        <v>49</v>
      </c>
      <c r="D89" s="78">
        <f>INDEX('Population Data by Age'!$B$7:$H$10366,MATCH(CONCATENATE('Tabular Pop Data by Age'!$C89,'Tabular Pop Data by Age'!D$7),'Population Data by Age'!$B$7:$B$10366,0),MATCH('Tabular Pop Data by Age'!$C$6,'Population Data by Age'!$B$6:$H$6,0))</f>
        <v>1043000</v>
      </c>
      <c r="E89" s="78">
        <f>INDEX('Population Data by Age'!$B$7:$H$10366,MATCH(CONCATENATE('Tabular Pop Data by Age'!$C89,'Tabular Pop Data by Age'!E$7),'Population Data by Age'!$B$7:$B$10366,0),MATCH('Tabular Pop Data by Age'!$C$6,'Population Data by Age'!$B$6:$H$6,0))</f>
        <v>1057000</v>
      </c>
      <c r="F89" s="78">
        <f>INDEX('Population Data by Age'!$B$7:$H$10366,MATCH(CONCATENATE('Tabular Pop Data by Age'!$C89,'Tabular Pop Data by Age'!F$7),'Population Data by Age'!$B$7:$B$10366,0),MATCH('Tabular Pop Data by Age'!$C$6,'Population Data by Age'!$B$6:$H$6,0))</f>
        <v>927000</v>
      </c>
      <c r="G89" s="78">
        <f>INDEX('Population Data by Age'!$B$7:$H$10366,MATCH(CONCATENATE('Tabular Pop Data by Age'!$C89,'Tabular Pop Data by Age'!G$7),'Population Data by Age'!$B$7:$B$10366,0),MATCH('Tabular Pop Data by Age'!$C$6,'Population Data by Age'!$B$6:$H$6,0))</f>
        <v>939000</v>
      </c>
      <c r="H89" s="78">
        <f>INDEX('Population Data by Age'!$B$7:$H$10366,MATCH(CONCATENATE('Tabular Pop Data by Age'!$C89,'Tabular Pop Data by Age'!H$7),'Population Data by Age'!$B$7:$B$10366,0),MATCH('Tabular Pop Data by Age'!$C$6,'Population Data by Age'!$B$6:$H$6,0))</f>
        <v>838000</v>
      </c>
      <c r="I89" s="78">
        <f>INDEX('Population Data by Age'!$B$7:$H$10366,MATCH(CONCATENATE('Tabular Pop Data by Age'!$C89,'Tabular Pop Data by Age'!I$7),'Population Data by Age'!$B$7:$B$10366,0),MATCH('Tabular Pop Data by Age'!$C$6,'Population Data by Age'!$B$6:$H$6,0))</f>
        <v>850000</v>
      </c>
      <c r="J89" s="78">
        <f>INDEX('Population Data by Age'!$B$7:$H$10366,MATCH(CONCATENATE('Tabular Pop Data by Age'!$C89,'Tabular Pop Data by Age'!J$7),'Population Data by Age'!$B$7:$B$10366,0),MATCH('Tabular Pop Data by Age'!$C$6,'Population Data by Age'!$B$6:$H$6,0))</f>
        <v>748000</v>
      </c>
      <c r="K89" s="78">
        <f>INDEX('Population Data by Age'!$B$7:$H$10366,MATCH(CONCATENATE('Tabular Pop Data by Age'!$C89,'Tabular Pop Data by Age'!K$7),'Population Data by Age'!$B$7:$B$10366,0),MATCH('Tabular Pop Data by Age'!$C$6,'Population Data by Age'!$B$6:$H$6,0))</f>
        <v>763000</v>
      </c>
      <c r="L89" s="78">
        <f>INDEX('Population Data by Age'!$B$7:$H$10366,MATCH(CONCATENATE('Tabular Pop Data by Age'!$C89,'Tabular Pop Data by Age'!L$7),'Population Data by Age'!$B$7:$B$10366,0),MATCH('Tabular Pop Data by Age'!$C$6,'Population Data by Age'!$B$6:$H$6,0))</f>
        <v>645000</v>
      </c>
      <c r="M89" s="78">
        <f>INDEX('Population Data by Age'!$B$7:$H$10366,MATCH(CONCATENATE('Tabular Pop Data by Age'!$C89,'Tabular Pop Data by Age'!M$7),'Population Data by Age'!$B$7:$B$10366,0),MATCH('Tabular Pop Data by Age'!$C$6,'Population Data by Age'!$B$6:$H$6,0))</f>
        <v>660000</v>
      </c>
      <c r="N89" s="78">
        <f>INDEX('Population Data by Age'!$B$7:$H$10366,MATCH(CONCATENATE('Tabular Pop Data by Age'!$C89,'Tabular Pop Data by Age'!N$7),'Population Data by Age'!$B$7:$B$10366,0),MATCH('Tabular Pop Data by Age'!$C$6,'Population Data by Age'!$B$6:$H$6,0))</f>
        <v>530000</v>
      </c>
      <c r="O89" s="78">
        <f>INDEX('Population Data by Age'!$B$7:$H$10366,MATCH(CONCATENATE('Tabular Pop Data by Age'!$C89,'Tabular Pop Data by Age'!O$7),'Population Data by Age'!$B$7:$B$10366,0),MATCH('Tabular Pop Data by Age'!$C$6,'Population Data by Age'!$B$6:$H$6,0))</f>
        <v>530000</v>
      </c>
      <c r="P89" s="78">
        <f>INDEX('Population Data by Age'!$B$7:$H$10366,MATCH(CONCATENATE('Tabular Pop Data by Age'!$C89,'Tabular Pop Data by Age'!P$7),'Population Data by Age'!$B$7:$B$10366,0),MATCH('Tabular Pop Data by Age'!$C$6,'Population Data by Age'!$B$6:$H$6,0))</f>
        <v>430000</v>
      </c>
      <c r="Q89" s="78">
        <f>INDEX('Population Data by Age'!$B$7:$H$10366,MATCH(CONCATENATE('Tabular Pop Data by Age'!$C89,'Tabular Pop Data by Age'!Q$7),'Population Data by Age'!$B$7:$B$10366,0),MATCH('Tabular Pop Data by Age'!$C$6,'Population Data by Age'!$B$6:$H$6,0))</f>
        <v>398000</v>
      </c>
      <c r="R89" s="78">
        <f>INDEX('Population Data by Age'!$B$7:$H$10366,MATCH(CONCATENATE('Tabular Pop Data by Age'!$C89,'Tabular Pop Data by Age'!R$7),'Population Data by Age'!$B$7:$B$10366,0),MATCH('Tabular Pop Data by Age'!$C$6,'Population Data by Age'!$B$6:$H$6,0))</f>
        <v>351000</v>
      </c>
      <c r="S89" s="78">
        <f>INDEX('Population Data by Age'!$B$7:$H$10366,MATCH(CONCATENATE('Tabular Pop Data by Age'!$C89,'Tabular Pop Data by Age'!S$7),'Population Data by Age'!$B$7:$B$10366,0),MATCH('Tabular Pop Data by Age'!$C$6,'Population Data by Age'!$B$6:$H$6,0))</f>
        <v>292000</v>
      </c>
      <c r="T89" s="78">
        <f>INDEX('Population Data by Age'!$B$7:$H$10366,MATCH(CONCATENATE('Tabular Pop Data by Age'!$C89,'Tabular Pop Data by Age'!T$7),'Population Data by Age'!$B$7:$B$10366,0),MATCH('Tabular Pop Data by Age'!$C$6,'Population Data by Age'!$B$6:$H$6,0))</f>
        <v>284000</v>
      </c>
      <c r="U89" s="78">
        <f>INDEX('Population Data by Age'!$B$7:$H$10366,MATCH(CONCATENATE('Tabular Pop Data by Age'!$C89,'Tabular Pop Data by Age'!U$7),'Population Data by Age'!$B$7:$B$10366,0),MATCH('Tabular Pop Data by Age'!$C$6,'Population Data by Age'!$B$6:$H$6,0))</f>
        <v>216000</v>
      </c>
      <c r="V89" s="78">
        <f>INDEX('Population Data by Age'!$B$7:$H$10366,MATCH(CONCATENATE('Tabular Pop Data by Age'!$C89,'Tabular Pop Data by Age'!V$7),'Population Data by Age'!$B$7:$B$10366,0),MATCH('Tabular Pop Data by Age'!$C$6,'Population Data by Age'!$B$6:$H$6,0))</f>
        <v>233000</v>
      </c>
      <c r="W89" s="78">
        <f>INDEX('Population Data by Age'!$B$7:$H$10366,MATCH(CONCATENATE('Tabular Pop Data by Age'!$C89,'Tabular Pop Data by Age'!W$7),'Population Data by Age'!$B$7:$B$10366,0),MATCH('Tabular Pop Data by Age'!$C$6,'Population Data by Age'!$B$6:$H$6,0))</f>
        <v>166000</v>
      </c>
      <c r="X89" s="78">
        <f>INDEX('Population Data by Age'!$B$7:$H$10366,MATCH(CONCATENATE('Tabular Pop Data by Age'!$C89,'Tabular Pop Data by Age'!X$7),'Population Data by Age'!$B$7:$B$10366,0),MATCH('Tabular Pop Data by Age'!$C$6,'Population Data by Age'!$B$6:$H$6,0))</f>
        <v>197000</v>
      </c>
      <c r="Y89" s="78">
        <f>INDEX('Population Data by Age'!$B$7:$H$10366,MATCH(CONCATENATE('Tabular Pop Data by Age'!$C89,'Tabular Pop Data by Age'!Y$7),'Population Data by Age'!$B$7:$B$10366,0),MATCH('Tabular Pop Data by Age'!$C$6,'Population Data by Age'!$B$6:$H$6,0))</f>
        <v>136000</v>
      </c>
      <c r="Z89" s="78">
        <f>INDEX('Population Data by Age'!$B$7:$H$10366,MATCH(CONCATENATE('Tabular Pop Data by Age'!$C89,'Tabular Pop Data by Age'!Z$7),'Population Data by Age'!$B$7:$B$10366,0),MATCH('Tabular Pop Data by Age'!$C$6,'Population Data by Age'!$B$6:$H$6,0))</f>
        <v>170000</v>
      </c>
      <c r="AA89" s="78">
        <f>INDEX('Population Data by Age'!$B$7:$H$10366,MATCH(CONCATENATE('Tabular Pop Data by Age'!$C89,'Tabular Pop Data by Age'!AA$7),'Population Data by Age'!$B$7:$B$10366,0),MATCH('Tabular Pop Data by Age'!$C$6,'Population Data by Age'!$B$6:$H$6,0))</f>
        <v>111000</v>
      </c>
      <c r="AB89" s="78">
        <f>INDEX('Population Data by Age'!$B$7:$H$10366,MATCH(CONCATENATE('Tabular Pop Data by Age'!$C89,'Tabular Pop Data by Age'!AB$7),'Population Data by Age'!$B$7:$B$10366,0),MATCH('Tabular Pop Data by Age'!$C$6,'Population Data by Age'!$B$6:$H$6,0))</f>
        <v>142000</v>
      </c>
      <c r="AC89" s="78">
        <f>INDEX('Population Data by Age'!$B$7:$H$10366,MATCH(CONCATENATE('Tabular Pop Data by Age'!$C89,'Tabular Pop Data by Age'!AC$7),'Population Data by Age'!$B$7:$B$10366,0),MATCH('Tabular Pop Data by Age'!$C$6,'Population Data by Age'!$B$6:$H$6,0))</f>
        <v>88000</v>
      </c>
      <c r="AD89" s="78">
        <f>INDEX('Population Data by Age'!$B$7:$H$10366,MATCH(CONCATENATE('Tabular Pop Data by Age'!$C89,'Tabular Pop Data by Age'!AD$7),'Population Data by Age'!$B$7:$B$10366,0),MATCH('Tabular Pop Data by Age'!$C$6,'Population Data by Age'!$B$6:$H$6,0))</f>
        <v>111000</v>
      </c>
      <c r="AE89" s="78">
        <f>INDEX('Population Data by Age'!$B$7:$H$10366,MATCH(CONCATENATE('Tabular Pop Data by Age'!$C89,'Tabular Pop Data by Age'!AE$7),'Population Data by Age'!$B$7:$B$10366,0),MATCH('Tabular Pop Data by Age'!$C$6,'Population Data by Age'!$B$6:$H$6,0))</f>
        <v>67000</v>
      </c>
      <c r="AF89" s="78">
        <f>INDEX('Population Data by Age'!$B$7:$H$10366,MATCH(CONCATENATE('Tabular Pop Data by Age'!$C89,'Tabular Pop Data by Age'!AF$7),'Population Data by Age'!$B$7:$B$10366,0),MATCH('Tabular Pop Data by Age'!$C$6,'Population Data by Age'!$B$6:$H$6,0))</f>
        <v>66000</v>
      </c>
      <c r="AG89" s="78">
        <f>INDEX('Population Data by Age'!$B$7:$H$10366,MATCH(CONCATENATE('Tabular Pop Data by Age'!$C89,'Tabular Pop Data by Age'!AG$7),'Population Data by Age'!$B$7:$B$10366,0),MATCH('Tabular Pop Data by Age'!$C$6,'Population Data by Age'!$B$6:$H$6,0))</f>
        <v>39000</v>
      </c>
      <c r="AH89" s="78">
        <f>INDEX('Population Data by Age'!$B$7:$H$10366,MATCH(CONCATENATE('Tabular Pop Data by Age'!$C89,'Tabular Pop Data by Age'!AH$7),'Population Data by Age'!$B$7:$B$10366,0),MATCH('Tabular Pop Data by Age'!$C$6,'Population Data by Age'!$B$6:$H$6,0))</f>
        <v>40000</v>
      </c>
      <c r="AI89" s="78">
        <f>INDEX('Population Data by Age'!$B$7:$H$10366,MATCH(CONCATENATE('Tabular Pop Data by Age'!$C89,'Tabular Pop Data by Age'!AI$7),'Population Data by Age'!$B$7:$B$10366,0),MATCH('Tabular Pop Data by Age'!$C$6,'Population Data by Age'!$B$6:$H$6,0))</f>
        <v>25000</v>
      </c>
      <c r="AJ89" s="78">
        <f>INDEX('Population Data by Age'!$B$7:$H$10366,MATCH(CONCATENATE('Tabular Pop Data by Age'!$C89,'Tabular Pop Data by Age'!AJ$7),'Population Data by Age'!$B$7:$B$10366,0),MATCH('Tabular Pop Data by Age'!$C$6,'Population Data by Age'!$B$6:$H$6,0))</f>
        <v>24000</v>
      </c>
      <c r="AK89" s="78">
        <f>INDEX('Population Data by Age'!$B$7:$H$10366,MATCH(CONCATENATE('Tabular Pop Data by Age'!$C89,'Tabular Pop Data by Age'!AK$7),'Population Data by Age'!$B$7:$B$10366,0),MATCH('Tabular Pop Data by Age'!$C$6,'Population Data by Age'!$B$6:$H$6,0))</f>
        <v>15000</v>
      </c>
      <c r="AL89" s="78">
        <f>INDEX('Population Data by Age'!$B$7:$H$10366,MATCH(CONCATENATE('Tabular Pop Data by Age'!$C89,'Tabular Pop Data by Age'!AL$7),'Population Data by Age'!$B$7:$B$10366,0),MATCH('Tabular Pop Data by Age'!$C$6,'Population Data by Age'!$B$6:$H$6,0))</f>
        <v>6780000</v>
      </c>
      <c r="AM89" s="78">
        <f>INDEX('Population Data by Age'!$B$7:$H$10366,MATCH(CONCATENATE('Tabular Pop Data by Age'!$C89,'Tabular Pop Data by Age'!AM$7),'Population Data by Age'!$B$7:$B$10366,0),MATCH('Tabular Pop Data by Age'!$C$6,'Population Data by Age'!$B$6:$H$6,0))</f>
        <v>6353000</v>
      </c>
      <c r="AN89" s="78">
        <f>INDEX('Population Data by Age'!$B$7:$H$10366,MATCH(CONCATENATE('Tabular Pop Data by Age'!$C89,'Tabular Pop Data by Age'!AN$7),'Population Data by Age'!$B$7:$B$10366,0),MATCH('Tabular Pop Data by Age'!$C$6,'Population Data by Age'!$B$6:$H$6,0))</f>
        <v>13133000</v>
      </c>
      <c r="AO89" s="78">
        <f>INDEX('Population Data by Age'!$B$7:$H$10366,MATCH(CONCATENATE('Tabular Pop Data by Age'!$C89,'Tabular Pop Data by Age'!AO$7),'Population Data by Age'!$B$7:$B$10366,0),MATCH('Tabular Pop Data by Age'!$C$6,'Population Data by Age'!$B$6:$H$6,0))</f>
        <v>0</v>
      </c>
      <c r="AP89" s="79">
        <f t="shared" si="17"/>
        <v>2100000</v>
      </c>
      <c r="AQ89" s="79">
        <f t="shared" si="18"/>
        <v>1866000</v>
      </c>
      <c r="AR89" s="79">
        <f t="shared" si="19"/>
        <v>1688000</v>
      </c>
      <c r="AS89" s="79">
        <f t="shared" si="20"/>
        <v>1511000</v>
      </c>
      <c r="AT89" s="79">
        <f t="shared" si="21"/>
        <v>1305000</v>
      </c>
      <c r="AU89" s="79">
        <f t="shared" si="22"/>
        <v>1060000</v>
      </c>
      <c r="AV89" s="79">
        <f t="shared" si="23"/>
        <v>828000</v>
      </c>
      <c r="AW89" s="79">
        <f t="shared" si="24"/>
        <v>643000</v>
      </c>
      <c r="AX89" s="79">
        <f t="shared" si="25"/>
        <v>500000</v>
      </c>
      <c r="AY89" s="79">
        <f t="shared" si="26"/>
        <v>399000</v>
      </c>
      <c r="AZ89" s="79">
        <f t="shared" si="27"/>
        <v>333000</v>
      </c>
      <c r="BA89" s="79">
        <f t="shared" si="28"/>
        <v>281000</v>
      </c>
      <c r="BB89" s="79">
        <f t="shared" si="29"/>
        <v>230000</v>
      </c>
      <c r="BC89" s="79">
        <f t="shared" si="30"/>
        <v>178000</v>
      </c>
      <c r="BD89" s="79">
        <f t="shared" si="31"/>
        <v>105000</v>
      </c>
      <c r="BE89" s="79">
        <f t="shared" si="32"/>
        <v>65000</v>
      </c>
      <c r="BF89" s="79">
        <f t="shared" si="33"/>
        <v>39000</v>
      </c>
    </row>
    <row r="90" spans="1:58" x14ac:dyDescent="0.25">
      <c r="A90" s="138" t="s">
        <v>1195</v>
      </c>
      <c r="B90" t="s">
        <v>198</v>
      </c>
      <c r="C90" t="s">
        <v>172</v>
      </c>
      <c r="D90" s="78">
        <f>INDEX('Population Data by Age'!$B$7:$H$10366,MATCH(CONCATENATE('Tabular Pop Data by Age'!$C90,'Tabular Pop Data by Age'!D$7),'Population Data by Age'!$B$7:$B$10366,0),MATCH('Tabular Pop Data by Age'!$C$6,'Population Data by Age'!$B$6:$H$6,0))</f>
        <v>151000</v>
      </c>
      <c r="E90" s="78">
        <f>INDEX('Population Data by Age'!$B$7:$H$10366,MATCH(CONCATENATE('Tabular Pop Data by Age'!$C90,'Tabular Pop Data by Age'!E$7),'Population Data by Age'!$B$7:$B$10366,0),MATCH('Tabular Pop Data by Age'!$C$6,'Population Data by Age'!$B$6:$H$6,0))</f>
        <v>154000</v>
      </c>
      <c r="F90" s="78">
        <f>INDEX('Population Data by Age'!$B$7:$H$10366,MATCH(CONCATENATE('Tabular Pop Data by Age'!$C90,'Tabular Pop Data by Age'!F$7),'Population Data by Age'!$B$7:$B$10366,0),MATCH('Tabular Pop Data by Age'!$C$6,'Population Data by Age'!$B$6:$H$6,0))</f>
        <v>138000</v>
      </c>
      <c r="G90" s="78">
        <f>INDEX('Population Data by Age'!$B$7:$H$10366,MATCH(CONCATENATE('Tabular Pop Data by Age'!$C90,'Tabular Pop Data by Age'!G$7),'Population Data by Age'!$B$7:$B$10366,0),MATCH('Tabular Pop Data by Age'!$C$6,'Population Data by Age'!$B$6:$H$6,0))</f>
        <v>140000</v>
      </c>
      <c r="H90" s="78">
        <f>INDEX('Population Data by Age'!$B$7:$H$10366,MATCH(CONCATENATE('Tabular Pop Data by Age'!$C90,'Tabular Pop Data by Age'!H$7),'Population Data by Age'!$B$7:$B$10366,0),MATCH('Tabular Pop Data by Age'!$C$6,'Population Data by Age'!$B$6:$H$6,0))</f>
        <v>121000</v>
      </c>
      <c r="I90" s="78">
        <f>INDEX('Population Data by Age'!$B$7:$H$10366,MATCH(CONCATENATE('Tabular Pop Data by Age'!$C90,'Tabular Pop Data by Age'!I$7),'Population Data by Age'!$B$7:$B$10366,0),MATCH('Tabular Pop Data by Age'!$C$6,'Population Data by Age'!$B$6:$H$6,0))</f>
        <v>122000</v>
      </c>
      <c r="J90" s="78">
        <f>INDEX('Population Data by Age'!$B$7:$H$10366,MATCH(CONCATENATE('Tabular Pop Data by Age'!$C90,'Tabular Pop Data by Age'!J$7),'Population Data by Age'!$B$7:$B$10366,0),MATCH('Tabular Pop Data by Age'!$C$6,'Population Data by Age'!$B$6:$H$6,0))</f>
        <v>104000</v>
      </c>
      <c r="K90" s="78">
        <f>INDEX('Population Data by Age'!$B$7:$H$10366,MATCH(CONCATENATE('Tabular Pop Data by Age'!$C90,'Tabular Pop Data by Age'!K$7),'Population Data by Age'!$B$7:$B$10366,0),MATCH('Tabular Pop Data by Age'!$C$6,'Population Data by Age'!$B$6:$H$6,0))</f>
        <v>104000</v>
      </c>
      <c r="L90" s="78">
        <f>INDEX('Population Data by Age'!$B$7:$H$10366,MATCH(CONCATENATE('Tabular Pop Data by Age'!$C90,'Tabular Pop Data by Age'!L$7),'Population Data by Age'!$B$7:$B$10366,0),MATCH('Tabular Pop Data by Age'!$C$6,'Population Data by Age'!$B$6:$H$6,0))</f>
        <v>91000</v>
      </c>
      <c r="M90" s="78">
        <f>INDEX('Population Data by Age'!$B$7:$H$10366,MATCH(CONCATENATE('Tabular Pop Data by Age'!$C90,'Tabular Pop Data by Age'!M$7),'Population Data by Age'!$B$7:$B$10366,0),MATCH('Tabular Pop Data by Age'!$C$6,'Population Data by Age'!$B$6:$H$6,0))</f>
        <v>90000</v>
      </c>
      <c r="N90" s="78">
        <f>INDEX('Population Data by Age'!$B$7:$H$10366,MATCH(CONCATENATE('Tabular Pop Data by Age'!$C90,'Tabular Pop Data by Age'!N$7),'Population Data by Age'!$B$7:$B$10366,0),MATCH('Tabular Pop Data by Age'!$C$6,'Population Data by Age'!$B$6:$H$6,0))</f>
        <v>83000</v>
      </c>
      <c r="O90" s="78">
        <f>INDEX('Population Data by Age'!$B$7:$H$10366,MATCH(CONCATENATE('Tabular Pop Data by Age'!$C90,'Tabular Pop Data by Age'!O$7),'Population Data by Age'!$B$7:$B$10366,0),MATCH('Tabular Pop Data by Age'!$C$6,'Population Data by Age'!$B$6:$H$6,0))</f>
        <v>79000</v>
      </c>
      <c r="P90" s="78">
        <f>INDEX('Population Data by Age'!$B$7:$H$10366,MATCH(CONCATENATE('Tabular Pop Data by Age'!$C90,'Tabular Pop Data by Age'!P$7),'Population Data by Age'!$B$7:$B$10366,0),MATCH('Tabular Pop Data by Age'!$C$6,'Population Data by Age'!$B$6:$H$6,0))</f>
        <v>72000</v>
      </c>
      <c r="Q90" s="78">
        <f>INDEX('Population Data by Age'!$B$7:$H$10366,MATCH(CONCATENATE('Tabular Pop Data by Age'!$C90,'Tabular Pop Data by Age'!Q$7),'Population Data by Age'!$B$7:$B$10366,0),MATCH('Tabular Pop Data by Age'!$C$6,'Population Data by Age'!$B$6:$H$6,0))</f>
        <v>67000</v>
      </c>
      <c r="R90" s="78">
        <f>INDEX('Population Data by Age'!$B$7:$H$10366,MATCH(CONCATENATE('Tabular Pop Data by Age'!$C90,'Tabular Pop Data by Age'!R$7),'Population Data by Age'!$B$7:$B$10366,0),MATCH('Tabular Pop Data by Age'!$C$6,'Population Data by Age'!$B$6:$H$6,0))</f>
        <v>60000</v>
      </c>
      <c r="S90" s="78">
        <f>INDEX('Population Data by Age'!$B$7:$H$10366,MATCH(CONCATENATE('Tabular Pop Data by Age'!$C90,'Tabular Pop Data by Age'!S$7),'Population Data by Age'!$B$7:$B$10366,0),MATCH('Tabular Pop Data by Age'!$C$6,'Population Data by Age'!$B$6:$H$6,0))</f>
        <v>55000</v>
      </c>
      <c r="T90" s="78">
        <f>INDEX('Population Data by Age'!$B$7:$H$10366,MATCH(CONCATENATE('Tabular Pop Data by Age'!$C90,'Tabular Pop Data by Age'!T$7),'Population Data by Age'!$B$7:$B$10366,0),MATCH('Tabular Pop Data by Age'!$C$6,'Population Data by Age'!$B$6:$H$6,0))</f>
        <v>46000</v>
      </c>
      <c r="U90" s="78">
        <f>INDEX('Population Data by Age'!$B$7:$H$10366,MATCH(CONCATENATE('Tabular Pop Data by Age'!$C90,'Tabular Pop Data by Age'!U$7),'Population Data by Age'!$B$7:$B$10366,0),MATCH('Tabular Pop Data by Age'!$C$6,'Population Data by Age'!$B$6:$H$6,0))</f>
        <v>42000</v>
      </c>
      <c r="V90" s="78">
        <f>INDEX('Population Data by Age'!$B$7:$H$10366,MATCH(CONCATENATE('Tabular Pop Data by Age'!$C90,'Tabular Pop Data by Age'!V$7),'Population Data by Age'!$B$7:$B$10366,0),MATCH('Tabular Pop Data by Age'!$C$6,'Population Data by Age'!$B$6:$H$6,0))</f>
        <v>36000</v>
      </c>
      <c r="W90" s="78">
        <f>INDEX('Population Data by Age'!$B$7:$H$10366,MATCH(CONCATENATE('Tabular Pop Data by Age'!$C90,'Tabular Pop Data by Age'!W$7),'Population Data by Age'!$B$7:$B$10366,0),MATCH('Tabular Pop Data by Age'!$C$6,'Population Data by Age'!$B$6:$H$6,0))</f>
        <v>33000</v>
      </c>
      <c r="X90" s="78">
        <f>INDEX('Population Data by Age'!$B$7:$H$10366,MATCH(CONCATENATE('Tabular Pop Data by Age'!$C90,'Tabular Pop Data by Age'!X$7),'Population Data by Age'!$B$7:$B$10366,0),MATCH('Tabular Pop Data by Age'!$C$6,'Population Data by Age'!$B$6:$H$6,0))</f>
        <v>27000</v>
      </c>
      <c r="Y90" s="78">
        <f>INDEX('Population Data by Age'!$B$7:$H$10366,MATCH(CONCATENATE('Tabular Pop Data by Age'!$C90,'Tabular Pop Data by Age'!Y$7),'Population Data by Age'!$B$7:$B$10366,0),MATCH('Tabular Pop Data by Age'!$C$6,'Population Data by Age'!$B$6:$H$6,0))</f>
        <v>24000</v>
      </c>
      <c r="Z90" s="78">
        <f>INDEX('Population Data by Age'!$B$7:$H$10366,MATCH(CONCATENATE('Tabular Pop Data by Age'!$C90,'Tabular Pop Data by Age'!Z$7),'Population Data by Age'!$B$7:$B$10366,0),MATCH('Tabular Pop Data by Age'!$C$6,'Population Data by Age'!$B$6:$H$6,0))</f>
        <v>22000</v>
      </c>
      <c r="AA90" s="78">
        <f>INDEX('Population Data by Age'!$B$7:$H$10366,MATCH(CONCATENATE('Tabular Pop Data by Age'!$C90,'Tabular Pop Data by Age'!AA$7),'Population Data by Age'!$B$7:$B$10366,0),MATCH('Tabular Pop Data by Age'!$C$6,'Population Data by Age'!$B$6:$H$6,0))</f>
        <v>19000</v>
      </c>
      <c r="AB90" s="78">
        <f>INDEX('Population Data by Age'!$B$7:$H$10366,MATCH(CONCATENATE('Tabular Pop Data by Age'!$C90,'Tabular Pop Data by Age'!AB$7),'Population Data by Age'!$B$7:$B$10366,0),MATCH('Tabular Pop Data by Age'!$C$6,'Population Data by Age'!$B$6:$H$6,0))</f>
        <v>19000</v>
      </c>
      <c r="AC90" s="78">
        <f>INDEX('Population Data by Age'!$B$7:$H$10366,MATCH(CONCATENATE('Tabular Pop Data by Age'!$C90,'Tabular Pop Data by Age'!AC$7),'Population Data by Age'!$B$7:$B$10366,0),MATCH('Tabular Pop Data by Age'!$C$6,'Population Data by Age'!$B$6:$H$6,0))</f>
        <v>14000</v>
      </c>
      <c r="AD90" s="78">
        <f>INDEX('Population Data by Age'!$B$7:$H$10366,MATCH(CONCATENATE('Tabular Pop Data by Age'!$C90,'Tabular Pop Data by Age'!AD$7),'Population Data by Age'!$B$7:$B$10366,0),MATCH('Tabular Pop Data by Age'!$C$6,'Population Data by Age'!$B$6:$H$6,0))</f>
        <v>16000</v>
      </c>
      <c r="AE90" s="78">
        <f>INDEX('Population Data by Age'!$B$7:$H$10366,MATCH(CONCATENATE('Tabular Pop Data by Age'!$C90,'Tabular Pop Data by Age'!AE$7),'Population Data by Age'!$B$7:$B$10366,0),MATCH('Tabular Pop Data by Age'!$C$6,'Population Data by Age'!$B$6:$H$6,0))</f>
        <v>11000</v>
      </c>
      <c r="AF90" s="78">
        <f>INDEX('Population Data by Age'!$B$7:$H$10366,MATCH(CONCATENATE('Tabular Pop Data by Age'!$C90,'Tabular Pop Data by Age'!AF$7),'Population Data by Age'!$B$7:$B$10366,0),MATCH('Tabular Pop Data by Age'!$C$6,'Population Data by Age'!$B$6:$H$6,0))</f>
        <v>9700</v>
      </c>
      <c r="AG90" s="78">
        <f>INDEX('Population Data by Age'!$B$7:$H$10366,MATCH(CONCATENATE('Tabular Pop Data by Age'!$C90,'Tabular Pop Data by Age'!AG$7),'Population Data by Age'!$B$7:$B$10366,0),MATCH('Tabular Pop Data by Age'!$C$6,'Population Data by Age'!$B$6:$H$6,0))</f>
        <v>6000</v>
      </c>
      <c r="AH90" s="78">
        <f>INDEX('Population Data by Age'!$B$7:$H$10366,MATCH(CONCATENATE('Tabular Pop Data by Age'!$C90,'Tabular Pop Data by Age'!AH$7),'Population Data by Age'!$B$7:$B$10366,0),MATCH('Tabular Pop Data by Age'!$C$6,'Population Data by Age'!$B$6:$H$6,0))</f>
        <v>5700</v>
      </c>
      <c r="AI90" s="78">
        <f>INDEX('Population Data by Age'!$B$7:$H$10366,MATCH(CONCATENATE('Tabular Pop Data by Age'!$C90,'Tabular Pop Data by Age'!AI$7),'Population Data by Age'!$B$7:$B$10366,0),MATCH('Tabular Pop Data by Age'!$C$6,'Population Data by Age'!$B$6:$H$6,0))</f>
        <v>3300</v>
      </c>
      <c r="AJ90" s="78">
        <f>INDEX('Population Data by Age'!$B$7:$H$10366,MATCH(CONCATENATE('Tabular Pop Data by Age'!$C90,'Tabular Pop Data by Age'!AJ$7),'Population Data by Age'!$B$7:$B$10366,0),MATCH('Tabular Pop Data by Age'!$C$6,'Population Data by Age'!$B$6:$H$6,0))</f>
        <v>3300</v>
      </c>
      <c r="AK90" s="78">
        <f>INDEX('Population Data by Age'!$B$7:$H$10366,MATCH(CONCATENATE('Tabular Pop Data by Age'!$C90,'Tabular Pop Data by Age'!AK$7),'Population Data by Age'!$B$7:$B$10366,0),MATCH('Tabular Pop Data by Age'!$C$6,'Population Data by Age'!$B$6:$H$6,0))</f>
        <v>1600</v>
      </c>
      <c r="AL90" s="78">
        <f>INDEX('Population Data by Age'!$B$7:$H$10366,MATCH(CONCATENATE('Tabular Pop Data by Age'!$C90,'Tabular Pop Data by Age'!AL$7),'Population Data by Age'!$B$7:$B$10366,0),MATCH('Tabular Pop Data by Age'!$C$6,'Population Data by Age'!$B$6:$H$6,0))</f>
        <v>1005000</v>
      </c>
      <c r="AM90" s="78">
        <f>INDEX('Population Data by Age'!$B$7:$H$10366,MATCH(CONCATENATE('Tabular Pop Data by Age'!$C90,'Tabular Pop Data by Age'!AM$7),'Population Data by Age'!$B$7:$B$10366,0),MATCH('Tabular Pop Data by Age'!$C$6,'Population Data by Age'!$B$6:$H$6,0))</f>
        <v>963000</v>
      </c>
      <c r="AN90" s="78">
        <f>INDEX('Population Data by Age'!$B$7:$H$10366,MATCH(CONCATENATE('Tabular Pop Data by Age'!$C90,'Tabular Pop Data by Age'!AN$7),'Population Data by Age'!$B$7:$B$10366,0),MATCH('Tabular Pop Data by Age'!$C$6,'Population Data by Age'!$B$6:$H$6,0))</f>
        <v>1968000</v>
      </c>
      <c r="AO90" s="78">
        <f>INDEX('Population Data by Age'!$B$7:$H$10366,MATCH(CONCATENATE('Tabular Pop Data by Age'!$C90,'Tabular Pop Data by Age'!AO$7),'Population Data by Age'!$B$7:$B$10366,0),MATCH('Tabular Pop Data by Age'!$C$6,'Population Data by Age'!$B$6:$H$6,0))</f>
        <v>0</v>
      </c>
      <c r="AP90" s="79">
        <f t="shared" si="17"/>
        <v>305000</v>
      </c>
      <c r="AQ90" s="79">
        <f t="shared" si="18"/>
        <v>278000</v>
      </c>
      <c r="AR90" s="79">
        <f t="shared" si="19"/>
        <v>243000</v>
      </c>
      <c r="AS90" s="79">
        <f t="shared" si="20"/>
        <v>208000</v>
      </c>
      <c r="AT90" s="79">
        <f t="shared" si="21"/>
        <v>181000</v>
      </c>
      <c r="AU90" s="79">
        <f t="shared" si="22"/>
        <v>162000</v>
      </c>
      <c r="AV90" s="79">
        <f t="shared" si="23"/>
        <v>139000</v>
      </c>
      <c r="AW90" s="79">
        <f t="shared" si="24"/>
        <v>115000</v>
      </c>
      <c r="AX90" s="79">
        <f t="shared" si="25"/>
        <v>88000</v>
      </c>
      <c r="AY90" s="79">
        <f t="shared" si="26"/>
        <v>69000</v>
      </c>
      <c r="AZ90" s="79">
        <f t="shared" si="27"/>
        <v>51000</v>
      </c>
      <c r="BA90" s="79">
        <f t="shared" si="28"/>
        <v>41000</v>
      </c>
      <c r="BB90" s="79">
        <f t="shared" si="29"/>
        <v>33000</v>
      </c>
      <c r="BC90" s="79">
        <f t="shared" si="30"/>
        <v>27000</v>
      </c>
      <c r="BD90" s="79">
        <f t="shared" si="31"/>
        <v>15700</v>
      </c>
      <c r="BE90" s="79">
        <f t="shared" si="32"/>
        <v>9000</v>
      </c>
      <c r="BF90" s="79">
        <f t="shared" si="33"/>
        <v>4900</v>
      </c>
    </row>
    <row r="91" spans="1:58" x14ac:dyDescent="0.25">
      <c r="A91" s="138" t="s">
        <v>1195</v>
      </c>
      <c r="B91" t="s">
        <v>224</v>
      </c>
      <c r="C91" t="s">
        <v>54</v>
      </c>
      <c r="D91" s="78">
        <f>INDEX('Population Data by Age'!$B$7:$H$10366,MATCH(CONCATENATE('Tabular Pop Data by Age'!$C91,'Tabular Pop Data by Age'!D$7),'Population Data by Age'!$B$7:$B$10366,0),MATCH('Tabular Pop Data by Age'!$C$6,'Population Data by Age'!$B$6:$H$6,0))</f>
        <v>36000</v>
      </c>
      <c r="E91" s="78">
        <f>INDEX('Population Data by Age'!$B$7:$H$10366,MATCH(CONCATENATE('Tabular Pop Data by Age'!$C91,'Tabular Pop Data by Age'!E$7),'Population Data by Age'!$B$7:$B$10366,0),MATCH('Tabular Pop Data by Age'!$C$6,'Population Data by Age'!$B$6:$H$6,0))</f>
        <v>38000</v>
      </c>
      <c r="F91" s="78">
        <f>INDEX('Population Data by Age'!$B$7:$H$10366,MATCH(CONCATENATE('Tabular Pop Data by Age'!$C91,'Tabular Pop Data by Age'!F$7),'Population Data by Age'!$B$7:$B$10366,0),MATCH('Tabular Pop Data by Age'!$C$6,'Population Data by Age'!$B$6:$H$6,0))</f>
        <v>36000</v>
      </c>
      <c r="G91" s="78">
        <f>INDEX('Population Data by Age'!$B$7:$H$10366,MATCH(CONCATENATE('Tabular Pop Data by Age'!$C91,'Tabular Pop Data by Age'!G$7),'Population Data by Age'!$B$7:$B$10366,0),MATCH('Tabular Pop Data by Age'!$C$6,'Population Data by Age'!$B$6:$H$6,0))</f>
        <v>38000</v>
      </c>
      <c r="H91" s="78">
        <f>INDEX('Population Data by Age'!$B$7:$H$10366,MATCH(CONCATENATE('Tabular Pop Data by Age'!$C91,'Tabular Pop Data by Age'!H$7),'Population Data by Age'!$B$7:$B$10366,0),MATCH('Tabular Pop Data by Age'!$C$6,'Population Data by Age'!$B$6:$H$6,0))</f>
        <v>35000</v>
      </c>
      <c r="I91" s="78">
        <f>INDEX('Population Data by Age'!$B$7:$H$10366,MATCH(CONCATENATE('Tabular Pop Data by Age'!$C91,'Tabular Pop Data by Age'!I$7),'Population Data by Age'!$B$7:$B$10366,0),MATCH('Tabular Pop Data by Age'!$C$6,'Population Data by Age'!$B$6:$H$6,0))</f>
        <v>36000</v>
      </c>
      <c r="J91" s="78">
        <f>INDEX('Population Data by Age'!$B$7:$H$10366,MATCH(CONCATENATE('Tabular Pop Data by Age'!$C91,'Tabular Pop Data by Age'!J$7),'Population Data by Age'!$B$7:$B$10366,0),MATCH('Tabular Pop Data by Age'!$C$6,'Population Data by Age'!$B$6:$H$6,0))</f>
        <v>37000</v>
      </c>
      <c r="K91" s="78">
        <f>INDEX('Population Data by Age'!$B$7:$H$10366,MATCH(CONCATENATE('Tabular Pop Data by Age'!$C91,'Tabular Pop Data by Age'!K$7),'Population Data by Age'!$B$7:$B$10366,0),MATCH('Tabular Pop Data by Age'!$C$6,'Population Data by Age'!$B$6:$H$6,0))</f>
        <v>38000</v>
      </c>
      <c r="L91" s="78">
        <f>INDEX('Population Data by Age'!$B$7:$H$10366,MATCH(CONCATENATE('Tabular Pop Data by Age'!$C91,'Tabular Pop Data by Age'!L$7),'Population Data by Age'!$B$7:$B$10366,0),MATCH('Tabular Pop Data by Age'!$C$6,'Population Data by Age'!$B$6:$H$6,0))</f>
        <v>37000</v>
      </c>
      <c r="M91" s="78">
        <f>INDEX('Population Data by Age'!$B$7:$H$10366,MATCH(CONCATENATE('Tabular Pop Data by Age'!$C91,'Tabular Pop Data by Age'!M$7),'Population Data by Age'!$B$7:$B$10366,0),MATCH('Tabular Pop Data by Age'!$C$6,'Population Data by Age'!$B$6:$H$6,0))</f>
        <v>40000</v>
      </c>
      <c r="N91" s="78">
        <f>INDEX('Population Data by Age'!$B$7:$H$10366,MATCH(CONCATENATE('Tabular Pop Data by Age'!$C91,'Tabular Pop Data by Age'!N$7),'Population Data by Age'!$B$7:$B$10366,0),MATCH('Tabular Pop Data by Age'!$C$6,'Population Data by Age'!$B$6:$H$6,0))</f>
        <v>33000</v>
      </c>
      <c r="O91" s="78">
        <f>INDEX('Population Data by Age'!$B$7:$H$10366,MATCH(CONCATENATE('Tabular Pop Data by Age'!$C91,'Tabular Pop Data by Age'!O$7),'Population Data by Age'!$B$7:$B$10366,0),MATCH('Tabular Pop Data by Age'!$C$6,'Population Data by Age'!$B$6:$H$6,0))</f>
        <v>35000</v>
      </c>
      <c r="P91" s="78">
        <f>INDEX('Population Data by Age'!$B$7:$H$10366,MATCH(CONCATENATE('Tabular Pop Data by Age'!$C91,'Tabular Pop Data by Age'!P$7),'Population Data by Age'!$B$7:$B$10366,0),MATCH('Tabular Pop Data by Age'!$C$6,'Population Data by Age'!$B$6:$H$6,0))</f>
        <v>22000</v>
      </c>
      <c r="Q91" s="78">
        <f>INDEX('Population Data by Age'!$B$7:$H$10366,MATCH(CONCATENATE('Tabular Pop Data by Age'!$C91,'Tabular Pop Data by Age'!Q$7),'Population Data by Age'!$B$7:$B$10366,0),MATCH('Tabular Pop Data by Age'!$C$6,'Population Data by Age'!$B$6:$H$6,0))</f>
        <v>22000</v>
      </c>
      <c r="R91" s="78">
        <f>INDEX('Population Data by Age'!$B$7:$H$10366,MATCH(CONCATENATE('Tabular Pop Data by Age'!$C91,'Tabular Pop Data by Age'!R$7),'Population Data by Age'!$B$7:$B$10366,0),MATCH('Tabular Pop Data by Age'!$C$6,'Population Data by Age'!$B$6:$H$6,0))</f>
        <v>25000</v>
      </c>
      <c r="S91" s="78">
        <f>INDEX('Population Data by Age'!$B$7:$H$10366,MATCH(CONCATENATE('Tabular Pop Data by Age'!$C91,'Tabular Pop Data by Age'!S$7),'Population Data by Age'!$B$7:$B$10366,0),MATCH('Tabular Pop Data by Age'!$C$6,'Population Data by Age'!$B$6:$H$6,0))</f>
        <v>24000</v>
      </c>
      <c r="T91" s="78">
        <f>INDEX('Population Data by Age'!$B$7:$H$10366,MATCH(CONCATENATE('Tabular Pop Data by Age'!$C91,'Tabular Pop Data by Age'!T$7),'Population Data by Age'!$B$7:$B$10366,0),MATCH('Tabular Pop Data by Age'!$C$6,'Population Data by Age'!$B$6:$H$6,0))</f>
        <v>23000</v>
      </c>
      <c r="U91" s="78">
        <f>INDEX('Population Data by Age'!$B$7:$H$10366,MATCH(CONCATENATE('Tabular Pop Data by Age'!$C91,'Tabular Pop Data by Age'!U$7),'Population Data by Age'!$B$7:$B$10366,0),MATCH('Tabular Pop Data by Age'!$C$6,'Population Data by Age'!$B$6:$H$6,0))</f>
        <v>23000</v>
      </c>
      <c r="V91" s="78">
        <f>INDEX('Population Data by Age'!$B$7:$H$10366,MATCH(CONCATENATE('Tabular Pop Data by Age'!$C91,'Tabular Pop Data by Age'!V$7),'Population Data by Age'!$B$7:$B$10366,0),MATCH('Tabular Pop Data by Age'!$C$6,'Population Data by Age'!$B$6:$H$6,0))</f>
        <v>23000</v>
      </c>
      <c r="W91" s="78">
        <f>INDEX('Population Data by Age'!$B$7:$H$10366,MATCH(CONCATENATE('Tabular Pop Data by Age'!$C91,'Tabular Pop Data by Age'!W$7),'Population Data by Age'!$B$7:$B$10366,0),MATCH('Tabular Pop Data by Age'!$C$6,'Population Data by Age'!$B$6:$H$6,0))</f>
        <v>22000</v>
      </c>
      <c r="X91" s="78">
        <f>INDEX('Population Data by Age'!$B$7:$H$10366,MATCH(CONCATENATE('Tabular Pop Data by Age'!$C91,'Tabular Pop Data by Age'!X$7),'Population Data by Age'!$B$7:$B$10366,0),MATCH('Tabular Pop Data by Age'!$C$6,'Population Data by Age'!$B$6:$H$6,0))</f>
        <v>21000</v>
      </c>
      <c r="Y91" s="78">
        <f>INDEX('Population Data by Age'!$B$7:$H$10366,MATCH(CONCATENATE('Tabular Pop Data by Age'!$C91,'Tabular Pop Data by Age'!Y$7),'Population Data by Age'!$B$7:$B$10366,0),MATCH('Tabular Pop Data by Age'!$C$6,'Population Data by Age'!$B$6:$H$6,0))</f>
        <v>22000</v>
      </c>
      <c r="Z91" s="78">
        <f>INDEX('Population Data by Age'!$B$7:$H$10366,MATCH(CONCATENATE('Tabular Pop Data by Age'!$C91,'Tabular Pop Data by Age'!Z$7),'Population Data by Age'!$B$7:$B$10366,0),MATCH('Tabular Pop Data by Age'!$C$6,'Population Data by Age'!$B$6:$H$6,0))</f>
        <v>19000</v>
      </c>
      <c r="AA91" s="78">
        <f>INDEX('Population Data by Age'!$B$7:$H$10366,MATCH(CONCATENATE('Tabular Pop Data by Age'!$C91,'Tabular Pop Data by Age'!AA$7),'Population Data by Age'!$B$7:$B$10366,0),MATCH('Tabular Pop Data by Age'!$C$6,'Population Data by Age'!$B$6:$H$6,0))</f>
        <v>18000</v>
      </c>
      <c r="AB91" s="78">
        <f>INDEX('Population Data by Age'!$B$7:$H$10366,MATCH(CONCATENATE('Tabular Pop Data by Age'!$C91,'Tabular Pop Data by Age'!AB$7),'Population Data by Age'!$B$7:$B$10366,0),MATCH('Tabular Pop Data by Age'!$C$6,'Population Data by Age'!$B$6:$H$6,0))</f>
        <v>15000</v>
      </c>
      <c r="AC91" s="78">
        <f>INDEX('Population Data by Age'!$B$7:$H$10366,MATCH(CONCATENATE('Tabular Pop Data by Age'!$C91,'Tabular Pop Data by Age'!AC$7),'Population Data by Age'!$B$7:$B$10366,0),MATCH('Tabular Pop Data by Age'!$C$6,'Population Data by Age'!$B$6:$H$6,0))</f>
        <v>15000</v>
      </c>
      <c r="AD91" s="78">
        <f>INDEX('Population Data by Age'!$B$7:$H$10366,MATCH(CONCATENATE('Tabular Pop Data by Age'!$C91,'Tabular Pop Data by Age'!AD$7),'Population Data by Age'!$B$7:$B$10366,0),MATCH('Tabular Pop Data by Age'!$C$6,'Population Data by Age'!$B$6:$H$6,0))</f>
        <v>12000</v>
      </c>
      <c r="AE91" s="78">
        <f>INDEX('Population Data by Age'!$B$7:$H$10366,MATCH(CONCATENATE('Tabular Pop Data by Age'!$C91,'Tabular Pop Data by Age'!AE$7),'Population Data by Age'!$B$7:$B$10366,0),MATCH('Tabular Pop Data by Age'!$C$6,'Population Data by Age'!$B$6:$H$6,0))</f>
        <v>9500</v>
      </c>
      <c r="AF91" s="78">
        <f>INDEX('Population Data by Age'!$B$7:$H$10366,MATCH(CONCATENATE('Tabular Pop Data by Age'!$C91,'Tabular Pop Data by Age'!AF$7),'Population Data by Age'!$B$7:$B$10366,0),MATCH('Tabular Pop Data by Age'!$C$6,'Population Data by Age'!$B$6:$H$6,0))</f>
        <v>7800</v>
      </c>
      <c r="AG91" s="78">
        <f>INDEX('Population Data by Age'!$B$7:$H$10366,MATCH(CONCATENATE('Tabular Pop Data by Age'!$C91,'Tabular Pop Data by Age'!AG$7),'Population Data by Age'!$B$7:$B$10366,0),MATCH('Tabular Pop Data by Age'!$C$6,'Population Data by Age'!$B$6:$H$6,0))</f>
        <v>7200</v>
      </c>
      <c r="AH91" s="78">
        <f>INDEX('Population Data by Age'!$B$7:$H$10366,MATCH(CONCATENATE('Tabular Pop Data by Age'!$C91,'Tabular Pop Data by Age'!AH$7),'Population Data by Age'!$B$7:$B$10366,0),MATCH('Tabular Pop Data by Age'!$C$6,'Population Data by Age'!$B$6:$H$6,0))</f>
        <v>4400</v>
      </c>
      <c r="AI91" s="78">
        <f>INDEX('Population Data by Age'!$B$7:$H$10366,MATCH(CONCATENATE('Tabular Pop Data by Age'!$C91,'Tabular Pop Data by Age'!AI$7),'Population Data by Age'!$B$7:$B$10366,0),MATCH('Tabular Pop Data by Age'!$C$6,'Population Data by Age'!$B$6:$H$6,0))</f>
        <v>3500</v>
      </c>
      <c r="AJ91" s="78">
        <f>INDEX('Population Data by Age'!$B$7:$H$10366,MATCH(CONCATENATE('Tabular Pop Data by Age'!$C91,'Tabular Pop Data by Age'!AJ$7),'Population Data by Age'!$B$7:$B$10366,0),MATCH('Tabular Pop Data by Age'!$C$6,'Population Data by Age'!$B$6:$H$6,0))</f>
        <v>6200</v>
      </c>
      <c r="AK91" s="78">
        <f>INDEX('Population Data by Age'!$B$7:$H$10366,MATCH(CONCATENATE('Tabular Pop Data by Age'!$C91,'Tabular Pop Data by Age'!AK$7),'Population Data by Age'!$B$7:$B$10366,0),MATCH('Tabular Pop Data by Age'!$C$6,'Population Data by Age'!$B$6:$H$6,0))</f>
        <v>4800</v>
      </c>
      <c r="AL91" s="78">
        <f>INDEX('Population Data by Age'!$B$7:$H$10366,MATCH(CONCATENATE('Tabular Pop Data by Age'!$C91,'Tabular Pop Data by Age'!AL$7),'Population Data by Age'!$B$7:$B$10366,0),MATCH('Tabular Pop Data by Age'!$C$6,'Population Data by Age'!$B$6:$H$6,0))</f>
        <v>391000</v>
      </c>
      <c r="AM91" s="78">
        <f>INDEX('Population Data by Age'!$B$7:$H$10366,MATCH(CONCATENATE('Tabular Pop Data by Age'!$C91,'Tabular Pop Data by Age'!AM$7),'Population Data by Age'!$B$7:$B$10366,0),MATCH('Tabular Pop Data by Age'!$C$6,'Population Data by Age'!$B$6:$H$6,0))</f>
        <v>396000</v>
      </c>
      <c r="AN91" s="78">
        <f>INDEX('Population Data by Age'!$B$7:$H$10366,MATCH(CONCATENATE('Tabular Pop Data by Age'!$C91,'Tabular Pop Data by Age'!AN$7),'Population Data by Age'!$B$7:$B$10366,0),MATCH('Tabular Pop Data by Age'!$C$6,'Population Data by Age'!$B$6:$H$6,0))</f>
        <v>787000</v>
      </c>
      <c r="AO91" s="78">
        <f>INDEX('Population Data by Age'!$B$7:$H$10366,MATCH(CONCATENATE('Tabular Pop Data by Age'!$C91,'Tabular Pop Data by Age'!AO$7),'Population Data by Age'!$B$7:$B$10366,0),MATCH('Tabular Pop Data by Age'!$C$6,'Population Data by Age'!$B$6:$H$6,0))</f>
        <v>0</v>
      </c>
      <c r="AP91" s="79">
        <f t="shared" si="17"/>
        <v>74000</v>
      </c>
      <c r="AQ91" s="79">
        <f t="shared" si="18"/>
        <v>74000</v>
      </c>
      <c r="AR91" s="79">
        <f t="shared" si="19"/>
        <v>71000</v>
      </c>
      <c r="AS91" s="79">
        <f t="shared" si="20"/>
        <v>75000</v>
      </c>
      <c r="AT91" s="79">
        <f t="shared" si="21"/>
        <v>77000</v>
      </c>
      <c r="AU91" s="79">
        <f t="shared" si="22"/>
        <v>68000</v>
      </c>
      <c r="AV91" s="79">
        <f t="shared" si="23"/>
        <v>44000</v>
      </c>
      <c r="AW91" s="79">
        <f t="shared" si="24"/>
        <v>49000</v>
      </c>
      <c r="AX91" s="79">
        <f t="shared" si="25"/>
        <v>46000</v>
      </c>
      <c r="AY91" s="79">
        <f t="shared" si="26"/>
        <v>45000</v>
      </c>
      <c r="AZ91" s="79">
        <f t="shared" si="27"/>
        <v>43000</v>
      </c>
      <c r="BA91" s="79">
        <f t="shared" si="28"/>
        <v>37000</v>
      </c>
      <c r="BB91" s="79">
        <f t="shared" si="29"/>
        <v>30000</v>
      </c>
      <c r="BC91" s="79">
        <f t="shared" si="30"/>
        <v>21500</v>
      </c>
      <c r="BD91" s="79">
        <f t="shared" si="31"/>
        <v>15000</v>
      </c>
      <c r="BE91" s="79">
        <f t="shared" si="32"/>
        <v>7900</v>
      </c>
      <c r="BF91" s="79">
        <f t="shared" si="33"/>
        <v>11000</v>
      </c>
    </row>
    <row r="92" spans="1:58" x14ac:dyDescent="0.25">
      <c r="A92" s="138" t="s">
        <v>1195</v>
      </c>
      <c r="B92" t="s">
        <v>225</v>
      </c>
      <c r="C92" t="s">
        <v>56</v>
      </c>
      <c r="D92" s="78">
        <f>INDEX('Population Data by Age'!$B$7:$H$10366,MATCH(CONCATENATE('Tabular Pop Data by Age'!$C92,'Tabular Pop Data by Age'!D$7),'Population Data by Age'!$B$7:$B$10366,0),MATCH('Tabular Pop Data by Age'!$C$6,'Population Data by Age'!$B$6:$H$6,0))</f>
        <v>619000</v>
      </c>
      <c r="E92" s="78">
        <f>INDEX('Population Data by Age'!$B$7:$H$10366,MATCH(CONCATENATE('Tabular Pop Data by Age'!$C92,'Tabular Pop Data by Age'!E$7),'Population Data by Age'!$B$7:$B$10366,0),MATCH('Tabular Pop Data by Age'!$C$6,'Population Data by Age'!$B$6:$H$6,0))</f>
        <v>644000</v>
      </c>
      <c r="F92" s="78">
        <f>INDEX('Population Data by Age'!$B$7:$H$10366,MATCH(CONCATENATE('Tabular Pop Data by Age'!$C92,'Tabular Pop Data by Age'!F$7),'Population Data by Age'!$B$7:$B$10366,0),MATCH('Tabular Pop Data by Age'!$C$6,'Population Data by Age'!$B$6:$H$6,0))</f>
        <v>608000</v>
      </c>
      <c r="G92" s="78">
        <f>INDEX('Population Data by Age'!$B$7:$H$10366,MATCH(CONCATENATE('Tabular Pop Data by Age'!$C92,'Tabular Pop Data by Age'!G$7),'Population Data by Age'!$B$7:$B$10366,0),MATCH('Tabular Pop Data by Age'!$C$6,'Population Data by Age'!$B$6:$H$6,0))</f>
        <v>630000</v>
      </c>
      <c r="H92" s="78">
        <f>INDEX('Population Data by Age'!$B$7:$H$10366,MATCH(CONCATENATE('Tabular Pop Data by Age'!$C92,'Tabular Pop Data by Age'!H$7),'Population Data by Age'!$B$7:$B$10366,0),MATCH('Tabular Pop Data by Age'!$C$6,'Population Data by Age'!$B$6:$H$6,0))</f>
        <v>592000</v>
      </c>
      <c r="I92" s="78">
        <f>INDEX('Population Data by Age'!$B$7:$H$10366,MATCH(CONCATENATE('Tabular Pop Data by Age'!$C92,'Tabular Pop Data by Age'!I$7),'Population Data by Age'!$B$7:$B$10366,0),MATCH('Tabular Pop Data by Age'!$C$6,'Population Data by Age'!$B$6:$H$6,0))</f>
        <v>610000</v>
      </c>
      <c r="J92" s="78">
        <f>INDEX('Population Data by Age'!$B$7:$H$10366,MATCH(CONCATENATE('Tabular Pop Data by Age'!$C92,'Tabular Pop Data by Age'!J$7),'Population Data by Age'!$B$7:$B$10366,0),MATCH('Tabular Pop Data by Age'!$C$6,'Population Data by Age'!$B$6:$H$6,0))</f>
        <v>569000</v>
      </c>
      <c r="K92" s="78">
        <f>INDEX('Population Data by Age'!$B$7:$H$10366,MATCH(CONCATENATE('Tabular Pop Data by Age'!$C92,'Tabular Pop Data by Age'!K$7),'Population Data by Age'!$B$7:$B$10366,0),MATCH('Tabular Pop Data by Age'!$C$6,'Population Data by Age'!$B$6:$H$6,0))</f>
        <v>576000</v>
      </c>
      <c r="L92" s="78">
        <f>INDEX('Population Data by Age'!$B$7:$H$10366,MATCH(CONCATENATE('Tabular Pop Data by Age'!$C92,'Tabular Pop Data by Age'!L$7),'Population Data by Age'!$B$7:$B$10366,0),MATCH('Tabular Pop Data by Age'!$C$6,'Population Data by Age'!$B$6:$H$6,0))</f>
        <v>536000</v>
      </c>
      <c r="M92" s="78">
        <f>INDEX('Population Data by Age'!$B$7:$H$10366,MATCH(CONCATENATE('Tabular Pop Data by Age'!$C92,'Tabular Pop Data by Age'!M$7),'Population Data by Age'!$B$7:$B$10366,0),MATCH('Tabular Pop Data by Age'!$C$6,'Population Data by Age'!$B$6:$H$6,0))</f>
        <v>529000</v>
      </c>
      <c r="N92" s="78">
        <f>INDEX('Population Data by Age'!$B$7:$H$10366,MATCH(CONCATENATE('Tabular Pop Data by Age'!$C92,'Tabular Pop Data by Age'!N$7),'Population Data by Age'!$B$7:$B$10366,0),MATCH('Tabular Pop Data by Age'!$C$6,'Population Data by Age'!$B$6:$H$6,0))</f>
        <v>496000</v>
      </c>
      <c r="O92" s="78">
        <f>INDEX('Population Data by Age'!$B$7:$H$10366,MATCH(CONCATENATE('Tabular Pop Data by Age'!$C92,'Tabular Pop Data by Age'!O$7),'Population Data by Age'!$B$7:$B$10366,0),MATCH('Tabular Pop Data by Age'!$C$6,'Population Data by Age'!$B$6:$H$6,0))</f>
        <v>483000</v>
      </c>
      <c r="P92" s="78">
        <f>INDEX('Population Data by Age'!$B$7:$H$10366,MATCH(CONCATENATE('Tabular Pop Data by Age'!$C92,'Tabular Pop Data by Age'!P$7),'Population Data by Age'!$B$7:$B$10366,0),MATCH('Tabular Pop Data by Age'!$C$6,'Population Data by Age'!$B$6:$H$6,0))</f>
        <v>461000</v>
      </c>
      <c r="Q92" s="78">
        <f>INDEX('Population Data by Age'!$B$7:$H$10366,MATCH(CONCATENATE('Tabular Pop Data by Age'!$C92,'Tabular Pop Data by Age'!Q$7),'Population Data by Age'!$B$7:$B$10366,0),MATCH('Tabular Pop Data by Age'!$C$6,'Population Data by Age'!$B$6:$H$6,0))</f>
        <v>445000</v>
      </c>
      <c r="R92" s="78">
        <f>INDEX('Population Data by Age'!$B$7:$H$10366,MATCH(CONCATENATE('Tabular Pop Data by Age'!$C92,'Tabular Pop Data by Age'!R$7),'Population Data by Age'!$B$7:$B$10366,0),MATCH('Tabular Pop Data by Age'!$C$6,'Population Data by Age'!$B$6:$H$6,0))</f>
        <v>422000</v>
      </c>
      <c r="S92" s="78">
        <f>INDEX('Population Data by Age'!$B$7:$H$10366,MATCH(CONCATENATE('Tabular Pop Data by Age'!$C92,'Tabular Pop Data by Age'!S$7),'Population Data by Age'!$B$7:$B$10366,0),MATCH('Tabular Pop Data by Age'!$C$6,'Population Data by Age'!$B$6:$H$6,0))</f>
        <v>404000</v>
      </c>
      <c r="T92" s="78">
        <f>INDEX('Population Data by Age'!$B$7:$H$10366,MATCH(CONCATENATE('Tabular Pop Data by Age'!$C92,'Tabular Pop Data by Age'!T$7),'Population Data by Age'!$B$7:$B$10366,0),MATCH('Tabular Pop Data by Age'!$C$6,'Population Data by Age'!$B$6:$H$6,0))</f>
        <v>325000</v>
      </c>
      <c r="U92" s="78">
        <f>INDEX('Population Data by Age'!$B$7:$H$10366,MATCH(CONCATENATE('Tabular Pop Data by Age'!$C92,'Tabular Pop Data by Age'!U$7),'Population Data by Age'!$B$7:$B$10366,0),MATCH('Tabular Pop Data by Age'!$C$6,'Population Data by Age'!$B$6:$H$6,0))</f>
        <v>302000</v>
      </c>
      <c r="V92" s="78">
        <f>INDEX('Population Data by Age'!$B$7:$H$10366,MATCH(CONCATENATE('Tabular Pop Data by Age'!$C92,'Tabular Pop Data by Age'!V$7),'Population Data by Age'!$B$7:$B$10366,0),MATCH('Tabular Pop Data by Age'!$C$6,'Population Data by Age'!$B$6:$H$6,0))</f>
        <v>252000</v>
      </c>
      <c r="W92" s="78">
        <f>INDEX('Population Data by Age'!$B$7:$H$10366,MATCH(CONCATENATE('Tabular Pop Data by Age'!$C92,'Tabular Pop Data by Age'!W$7),'Population Data by Age'!$B$7:$B$10366,0),MATCH('Tabular Pop Data by Age'!$C$6,'Population Data by Age'!$B$6:$H$6,0))</f>
        <v>227000</v>
      </c>
      <c r="X92" s="78">
        <f>INDEX('Population Data by Age'!$B$7:$H$10366,MATCH(CONCATENATE('Tabular Pop Data by Age'!$C92,'Tabular Pop Data by Age'!X$7),'Population Data by Age'!$B$7:$B$10366,0),MATCH('Tabular Pop Data by Age'!$C$6,'Population Data by Age'!$B$6:$H$6,0))</f>
        <v>221000</v>
      </c>
      <c r="Y92" s="78">
        <f>INDEX('Population Data by Age'!$B$7:$H$10366,MATCH(CONCATENATE('Tabular Pop Data by Age'!$C92,'Tabular Pop Data by Age'!Y$7),'Population Data by Age'!$B$7:$B$10366,0),MATCH('Tabular Pop Data by Age'!$C$6,'Population Data by Age'!$B$6:$H$6,0))</f>
        <v>203000</v>
      </c>
      <c r="Z92" s="78">
        <f>INDEX('Population Data by Age'!$B$7:$H$10366,MATCH(CONCATENATE('Tabular Pop Data by Age'!$C92,'Tabular Pop Data by Age'!Z$7),'Population Data by Age'!$B$7:$B$10366,0),MATCH('Tabular Pop Data by Age'!$C$6,'Population Data by Age'!$B$6:$H$6,0))</f>
        <v>192000</v>
      </c>
      <c r="AA92" s="78">
        <f>INDEX('Population Data by Age'!$B$7:$H$10366,MATCH(CONCATENATE('Tabular Pop Data by Age'!$C92,'Tabular Pop Data by Age'!AA$7),'Population Data by Age'!$B$7:$B$10366,0),MATCH('Tabular Pop Data by Age'!$C$6,'Population Data by Age'!$B$6:$H$6,0))</f>
        <v>173000</v>
      </c>
      <c r="AB92" s="78">
        <f>INDEX('Population Data by Age'!$B$7:$H$10366,MATCH(CONCATENATE('Tabular Pop Data by Age'!$C92,'Tabular Pop Data by Age'!AB$7),'Population Data by Age'!$B$7:$B$10366,0),MATCH('Tabular Pop Data by Age'!$C$6,'Population Data by Age'!$B$6:$H$6,0))</f>
        <v>153000</v>
      </c>
      <c r="AC92" s="78">
        <f>INDEX('Population Data by Age'!$B$7:$H$10366,MATCH(CONCATENATE('Tabular Pop Data by Age'!$C92,'Tabular Pop Data by Age'!AC$7),'Population Data by Age'!$B$7:$B$10366,0),MATCH('Tabular Pop Data by Age'!$C$6,'Population Data by Age'!$B$6:$H$6,0))</f>
        <v>140000</v>
      </c>
      <c r="AD92" s="78">
        <f>INDEX('Population Data by Age'!$B$7:$H$10366,MATCH(CONCATENATE('Tabular Pop Data by Age'!$C92,'Tabular Pop Data by Age'!AD$7),'Population Data by Age'!$B$7:$B$10366,0),MATCH('Tabular Pop Data by Age'!$C$6,'Population Data by Age'!$B$6:$H$6,0))</f>
        <v>124000</v>
      </c>
      <c r="AE92" s="78">
        <f>INDEX('Population Data by Age'!$B$7:$H$10366,MATCH(CONCATENATE('Tabular Pop Data by Age'!$C92,'Tabular Pop Data by Age'!AE$7),'Population Data by Age'!$B$7:$B$10366,0),MATCH('Tabular Pop Data by Age'!$C$6,'Population Data by Age'!$B$6:$H$6,0))</f>
        <v>107000</v>
      </c>
      <c r="AF92" s="78">
        <f>INDEX('Population Data by Age'!$B$7:$H$10366,MATCH(CONCATENATE('Tabular Pop Data by Age'!$C92,'Tabular Pop Data by Age'!AF$7),'Population Data by Age'!$B$7:$B$10366,0),MATCH('Tabular Pop Data by Age'!$C$6,'Population Data by Age'!$B$6:$H$6,0))</f>
        <v>84000</v>
      </c>
      <c r="AG92" s="78">
        <f>INDEX('Population Data by Age'!$B$7:$H$10366,MATCH(CONCATENATE('Tabular Pop Data by Age'!$C92,'Tabular Pop Data by Age'!AG$7),'Population Data by Age'!$B$7:$B$10366,0),MATCH('Tabular Pop Data by Age'!$C$6,'Population Data by Age'!$B$6:$H$6,0))</f>
        <v>67000</v>
      </c>
      <c r="AH92" s="78">
        <f>INDEX('Population Data by Age'!$B$7:$H$10366,MATCH(CONCATENATE('Tabular Pop Data by Age'!$C92,'Tabular Pop Data by Age'!AH$7),'Population Data by Age'!$B$7:$B$10366,0),MATCH('Tabular Pop Data by Age'!$C$6,'Population Data by Age'!$B$6:$H$6,0))</f>
        <v>61000</v>
      </c>
      <c r="AI92" s="78">
        <f>INDEX('Population Data by Age'!$B$7:$H$10366,MATCH(CONCATENATE('Tabular Pop Data by Age'!$C92,'Tabular Pop Data by Age'!AI$7),'Population Data by Age'!$B$7:$B$10366,0),MATCH('Tabular Pop Data by Age'!$C$6,'Population Data by Age'!$B$6:$H$6,0))</f>
        <v>48000</v>
      </c>
      <c r="AJ92" s="78">
        <f>INDEX('Population Data by Age'!$B$7:$H$10366,MATCH(CONCATENATE('Tabular Pop Data by Age'!$C92,'Tabular Pop Data by Age'!AJ$7),'Population Data by Age'!$B$7:$B$10366,0),MATCH('Tabular Pop Data by Age'!$C$6,'Population Data by Age'!$B$6:$H$6,0))</f>
        <v>59000</v>
      </c>
      <c r="AK92" s="78">
        <f>INDEX('Population Data by Age'!$B$7:$H$10366,MATCH(CONCATENATE('Tabular Pop Data by Age'!$C92,'Tabular Pop Data by Age'!AK$7),'Population Data by Age'!$B$7:$B$10366,0),MATCH('Tabular Pop Data by Age'!$C$6,'Population Data by Age'!$B$6:$H$6,0))</f>
        <v>40000</v>
      </c>
      <c r="AL92" s="78">
        <f>INDEX('Population Data by Age'!$B$7:$H$10366,MATCH(CONCATENATE('Tabular Pop Data by Age'!$C92,'Tabular Pop Data by Age'!AL$7),'Population Data by Age'!$B$7:$B$10366,0),MATCH('Tabular Pop Data by Age'!$C$6,'Population Data by Age'!$B$6:$H$6,0))</f>
        <v>5776000</v>
      </c>
      <c r="AM92" s="78">
        <f>INDEX('Population Data by Age'!$B$7:$H$10366,MATCH(CONCATENATE('Tabular Pop Data by Age'!$C92,'Tabular Pop Data by Age'!AM$7),'Population Data by Age'!$B$7:$B$10366,0),MATCH('Tabular Pop Data by Age'!$C$6,'Population Data by Age'!$B$6:$H$6,0))</f>
        <v>5626000</v>
      </c>
      <c r="AN92" s="78">
        <f>INDEX('Population Data by Age'!$B$7:$H$10366,MATCH(CONCATENATE('Tabular Pop Data by Age'!$C92,'Tabular Pop Data by Age'!AN$7),'Population Data by Age'!$B$7:$B$10366,0),MATCH('Tabular Pop Data by Age'!$C$6,'Population Data by Age'!$B$6:$H$6,0))</f>
        <v>11403000</v>
      </c>
      <c r="AO92" s="78">
        <f>INDEX('Population Data by Age'!$B$7:$H$10366,MATCH(CONCATENATE('Tabular Pop Data by Age'!$C92,'Tabular Pop Data by Age'!AO$7),'Population Data by Age'!$B$7:$B$10366,0),MATCH('Tabular Pop Data by Age'!$C$6,'Population Data by Age'!$B$6:$H$6,0))</f>
        <v>0</v>
      </c>
      <c r="AP92" s="79">
        <f t="shared" si="17"/>
        <v>1263000</v>
      </c>
      <c r="AQ92" s="79">
        <f t="shared" si="18"/>
        <v>1238000</v>
      </c>
      <c r="AR92" s="79">
        <f t="shared" si="19"/>
        <v>1202000</v>
      </c>
      <c r="AS92" s="79">
        <f t="shared" si="20"/>
        <v>1145000</v>
      </c>
      <c r="AT92" s="79">
        <f t="shared" si="21"/>
        <v>1065000</v>
      </c>
      <c r="AU92" s="79">
        <f t="shared" si="22"/>
        <v>979000</v>
      </c>
      <c r="AV92" s="79">
        <f t="shared" si="23"/>
        <v>906000</v>
      </c>
      <c r="AW92" s="79">
        <f t="shared" si="24"/>
        <v>826000</v>
      </c>
      <c r="AX92" s="79">
        <f t="shared" si="25"/>
        <v>627000</v>
      </c>
      <c r="AY92" s="79">
        <f t="shared" si="26"/>
        <v>479000</v>
      </c>
      <c r="AZ92" s="79">
        <f t="shared" si="27"/>
        <v>424000</v>
      </c>
      <c r="BA92" s="79">
        <f t="shared" si="28"/>
        <v>365000</v>
      </c>
      <c r="BB92" s="79">
        <f t="shared" si="29"/>
        <v>293000</v>
      </c>
      <c r="BC92" s="79">
        <f t="shared" si="30"/>
        <v>231000</v>
      </c>
      <c r="BD92" s="79">
        <f t="shared" si="31"/>
        <v>151000</v>
      </c>
      <c r="BE92" s="79">
        <f t="shared" si="32"/>
        <v>109000</v>
      </c>
      <c r="BF92" s="79">
        <f t="shared" si="33"/>
        <v>99000</v>
      </c>
    </row>
    <row r="93" spans="1:58" x14ac:dyDescent="0.25">
      <c r="A93" s="138" t="s">
        <v>1195</v>
      </c>
      <c r="B93" t="s">
        <v>226</v>
      </c>
      <c r="C93" t="s">
        <v>166</v>
      </c>
      <c r="D93" s="78">
        <f>INDEX('Population Data by Age'!$B$7:$H$10366,MATCH(CONCATENATE('Tabular Pop Data by Age'!$C93,'Tabular Pop Data by Age'!D$7),'Population Data by Age'!$B$7:$B$10366,0),MATCH('Tabular Pop Data by Age'!$C$6,'Population Data by Age'!$B$6:$H$6,0))</f>
        <v>497000</v>
      </c>
      <c r="E93" s="78">
        <f>INDEX('Population Data by Age'!$B$7:$H$10366,MATCH(CONCATENATE('Tabular Pop Data by Age'!$C93,'Tabular Pop Data by Age'!E$7),'Population Data by Age'!$B$7:$B$10366,0),MATCH('Tabular Pop Data by Age'!$C$6,'Population Data by Age'!$B$6:$H$6,0))</f>
        <v>520000</v>
      </c>
      <c r="F93" s="78">
        <f>INDEX('Population Data by Age'!$B$7:$H$10366,MATCH(CONCATENATE('Tabular Pop Data by Age'!$C93,'Tabular Pop Data by Age'!F$7),'Population Data by Age'!$B$7:$B$10366,0),MATCH('Tabular Pop Data by Age'!$C$6,'Population Data by Age'!$B$6:$H$6,0))</f>
        <v>484000</v>
      </c>
      <c r="G93" s="78">
        <f>INDEX('Population Data by Age'!$B$7:$H$10366,MATCH(CONCATENATE('Tabular Pop Data by Age'!$C93,'Tabular Pop Data by Age'!G$7),'Population Data by Age'!$B$7:$B$10366,0),MATCH('Tabular Pop Data by Age'!$C$6,'Population Data by Age'!$B$6:$H$6,0))</f>
        <v>505000</v>
      </c>
      <c r="H93" s="78">
        <f>INDEX('Population Data by Age'!$B$7:$H$10366,MATCH(CONCATENATE('Tabular Pop Data by Age'!$C93,'Tabular Pop Data by Age'!H$7),'Population Data by Age'!$B$7:$B$10366,0),MATCH('Tabular Pop Data by Age'!$C$6,'Population Data by Age'!$B$6:$H$6,0))</f>
        <v>502000</v>
      </c>
      <c r="I93" s="78">
        <f>INDEX('Population Data by Age'!$B$7:$H$10366,MATCH(CONCATENATE('Tabular Pop Data by Age'!$C93,'Tabular Pop Data by Age'!I$7),'Population Data by Age'!$B$7:$B$10366,0),MATCH('Tabular Pop Data by Age'!$C$6,'Population Data by Age'!$B$6:$H$6,0))</f>
        <v>522000</v>
      </c>
      <c r="J93" s="78">
        <f>INDEX('Population Data by Age'!$B$7:$H$10366,MATCH(CONCATENATE('Tabular Pop Data by Age'!$C93,'Tabular Pop Data by Age'!J$7),'Population Data by Age'!$B$7:$B$10366,0),MATCH('Tabular Pop Data by Age'!$C$6,'Population Data by Age'!$B$6:$H$6,0))</f>
        <v>510000</v>
      </c>
      <c r="K93" s="78">
        <f>INDEX('Population Data by Age'!$B$7:$H$10366,MATCH(CONCATENATE('Tabular Pop Data by Age'!$C93,'Tabular Pop Data by Age'!K$7),'Population Data by Age'!$B$7:$B$10366,0),MATCH('Tabular Pop Data by Age'!$C$6,'Population Data by Age'!$B$6:$H$6,0))</f>
        <v>531000</v>
      </c>
      <c r="L93" s="78">
        <f>INDEX('Population Data by Age'!$B$7:$H$10366,MATCH(CONCATENATE('Tabular Pop Data by Age'!$C93,'Tabular Pop Data by Age'!L$7),'Population Data by Age'!$B$7:$B$10366,0),MATCH('Tabular Pop Data by Age'!$C$6,'Population Data by Age'!$B$6:$H$6,0))</f>
        <v>499000</v>
      </c>
      <c r="M93" s="78">
        <f>INDEX('Population Data by Age'!$B$7:$H$10366,MATCH(CONCATENATE('Tabular Pop Data by Age'!$C93,'Tabular Pop Data by Age'!M$7),'Population Data by Age'!$B$7:$B$10366,0),MATCH('Tabular Pop Data by Age'!$C$6,'Population Data by Age'!$B$6:$H$6,0))</f>
        <v>516000</v>
      </c>
      <c r="N93" s="78">
        <f>INDEX('Population Data by Age'!$B$7:$H$10366,MATCH(CONCATENATE('Tabular Pop Data by Age'!$C93,'Tabular Pop Data by Age'!N$7),'Population Data by Age'!$B$7:$B$10366,0),MATCH('Tabular Pop Data by Age'!$C$6,'Population Data by Age'!$B$6:$H$6,0))</f>
        <v>440000</v>
      </c>
      <c r="O93" s="78">
        <f>INDEX('Population Data by Age'!$B$7:$H$10366,MATCH(CONCATENATE('Tabular Pop Data by Age'!$C93,'Tabular Pop Data by Age'!O$7),'Population Data by Age'!$B$7:$B$10366,0),MATCH('Tabular Pop Data by Age'!$C$6,'Population Data by Age'!$B$6:$H$6,0))</f>
        <v>451000</v>
      </c>
      <c r="P93" s="78">
        <f>INDEX('Population Data by Age'!$B$7:$H$10366,MATCH(CONCATENATE('Tabular Pop Data by Age'!$C93,'Tabular Pop Data by Age'!P$7),'Population Data by Age'!$B$7:$B$10366,0),MATCH('Tabular Pop Data by Age'!$C$6,'Population Data by Age'!$B$6:$H$6,0))</f>
        <v>389000</v>
      </c>
      <c r="Q93" s="78">
        <f>INDEX('Population Data by Age'!$B$7:$H$10366,MATCH(CONCATENATE('Tabular Pop Data by Age'!$C93,'Tabular Pop Data by Age'!Q$7),'Population Data by Age'!$B$7:$B$10366,0),MATCH('Tabular Pop Data by Age'!$C$6,'Population Data by Age'!$B$6:$H$6,0))</f>
        <v>394000</v>
      </c>
      <c r="R93" s="78">
        <f>INDEX('Population Data by Age'!$B$7:$H$10366,MATCH(CONCATENATE('Tabular Pop Data by Age'!$C93,'Tabular Pop Data by Age'!R$7),'Population Data by Age'!$B$7:$B$10366,0),MATCH('Tabular Pop Data by Age'!$C$6,'Population Data by Age'!$B$6:$H$6,0))</f>
        <v>345000</v>
      </c>
      <c r="S93" s="78">
        <f>INDEX('Population Data by Age'!$B$7:$H$10366,MATCH(CONCATENATE('Tabular Pop Data by Age'!$C93,'Tabular Pop Data by Age'!S$7),'Population Data by Age'!$B$7:$B$10366,0),MATCH('Tabular Pop Data by Age'!$C$6,'Population Data by Age'!$B$6:$H$6,0))</f>
        <v>342000</v>
      </c>
      <c r="T93" s="78">
        <f>INDEX('Population Data by Age'!$B$7:$H$10366,MATCH(CONCATENATE('Tabular Pop Data by Age'!$C93,'Tabular Pop Data by Age'!T$7),'Population Data by Age'!$B$7:$B$10366,0),MATCH('Tabular Pop Data by Age'!$C$6,'Population Data by Age'!$B$6:$H$6,0))</f>
        <v>295000</v>
      </c>
      <c r="U93" s="78">
        <f>INDEX('Population Data by Age'!$B$7:$H$10366,MATCH(CONCATENATE('Tabular Pop Data by Age'!$C93,'Tabular Pop Data by Age'!U$7),'Population Data by Age'!$B$7:$B$10366,0),MATCH('Tabular Pop Data by Age'!$C$6,'Population Data by Age'!$B$6:$H$6,0))</f>
        <v>285000</v>
      </c>
      <c r="V93" s="78">
        <f>INDEX('Population Data by Age'!$B$7:$H$10366,MATCH(CONCATENATE('Tabular Pop Data by Age'!$C93,'Tabular Pop Data by Age'!V$7),'Population Data by Age'!$B$7:$B$10366,0),MATCH('Tabular Pop Data by Age'!$C$6,'Population Data by Age'!$B$6:$H$6,0))</f>
        <v>241000</v>
      </c>
      <c r="W93" s="78">
        <f>INDEX('Population Data by Age'!$B$7:$H$10366,MATCH(CONCATENATE('Tabular Pop Data by Age'!$C93,'Tabular Pop Data by Age'!W$7),'Population Data by Age'!$B$7:$B$10366,0),MATCH('Tabular Pop Data by Age'!$C$6,'Population Data by Age'!$B$6:$H$6,0))</f>
        <v>226000</v>
      </c>
      <c r="X93" s="78">
        <f>INDEX('Population Data by Age'!$B$7:$H$10366,MATCH(CONCATENATE('Tabular Pop Data by Age'!$C93,'Tabular Pop Data by Age'!X$7),'Population Data by Age'!$B$7:$B$10366,0),MATCH('Tabular Pop Data by Age'!$C$6,'Population Data by Age'!$B$6:$H$6,0))</f>
        <v>199000</v>
      </c>
      <c r="Y93" s="78">
        <f>INDEX('Population Data by Age'!$B$7:$H$10366,MATCH(CONCATENATE('Tabular Pop Data by Age'!$C93,'Tabular Pop Data by Age'!Y$7),'Population Data by Age'!$B$7:$B$10366,0),MATCH('Tabular Pop Data by Age'!$C$6,'Population Data by Age'!$B$6:$H$6,0))</f>
        <v>182000</v>
      </c>
      <c r="Z93" s="78">
        <f>INDEX('Population Data by Age'!$B$7:$H$10366,MATCH(CONCATENATE('Tabular Pop Data by Age'!$C93,'Tabular Pop Data by Age'!Z$7),'Population Data by Age'!$B$7:$B$10366,0),MATCH('Tabular Pop Data by Age'!$C$6,'Population Data by Age'!$B$6:$H$6,0))</f>
        <v>158000</v>
      </c>
      <c r="AA93" s="78">
        <f>INDEX('Population Data by Age'!$B$7:$H$10366,MATCH(CONCATENATE('Tabular Pop Data by Age'!$C93,'Tabular Pop Data by Age'!AA$7),'Population Data by Age'!$B$7:$B$10366,0),MATCH('Tabular Pop Data by Age'!$C$6,'Population Data by Age'!$B$6:$H$6,0))</f>
        <v>141000</v>
      </c>
      <c r="AB93" s="78">
        <f>INDEX('Population Data by Age'!$B$7:$H$10366,MATCH(CONCATENATE('Tabular Pop Data by Age'!$C93,'Tabular Pop Data by Age'!AB$7),'Population Data by Age'!$B$7:$B$10366,0),MATCH('Tabular Pop Data by Age'!$C$6,'Population Data by Age'!$B$6:$H$6,0))</f>
        <v>126000</v>
      </c>
      <c r="AC93" s="78">
        <f>INDEX('Population Data by Age'!$B$7:$H$10366,MATCH(CONCATENATE('Tabular Pop Data by Age'!$C93,'Tabular Pop Data by Age'!AC$7),'Population Data by Age'!$B$7:$B$10366,0),MATCH('Tabular Pop Data by Age'!$C$6,'Population Data by Age'!$B$6:$H$6,0))</f>
        <v>111000</v>
      </c>
      <c r="AD93" s="78">
        <f>INDEX('Population Data by Age'!$B$7:$H$10366,MATCH(CONCATENATE('Tabular Pop Data by Age'!$C93,'Tabular Pop Data by Age'!AD$7),'Population Data by Age'!$B$7:$B$10366,0),MATCH('Tabular Pop Data by Age'!$C$6,'Population Data by Age'!$B$6:$H$6,0))</f>
        <v>98000</v>
      </c>
      <c r="AE93" s="78">
        <f>INDEX('Population Data by Age'!$B$7:$H$10366,MATCH(CONCATENATE('Tabular Pop Data by Age'!$C93,'Tabular Pop Data by Age'!AE$7),'Population Data by Age'!$B$7:$B$10366,0),MATCH('Tabular Pop Data by Age'!$C$6,'Population Data by Age'!$B$6:$H$6,0))</f>
        <v>85000</v>
      </c>
      <c r="AF93" s="78">
        <f>INDEX('Population Data by Age'!$B$7:$H$10366,MATCH(CONCATENATE('Tabular Pop Data by Age'!$C93,'Tabular Pop Data by Age'!AF$7),'Population Data by Age'!$B$7:$B$10366,0),MATCH('Tabular Pop Data by Age'!$C$6,'Population Data by Age'!$B$6:$H$6,0))</f>
        <v>66000</v>
      </c>
      <c r="AG93" s="78">
        <f>INDEX('Population Data by Age'!$B$7:$H$10366,MATCH(CONCATENATE('Tabular Pop Data by Age'!$C93,'Tabular Pop Data by Age'!AG$7),'Population Data by Age'!$B$7:$B$10366,0),MATCH('Tabular Pop Data by Age'!$C$6,'Population Data by Age'!$B$6:$H$6,0))</f>
        <v>56000</v>
      </c>
      <c r="AH93" s="78">
        <f>INDEX('Population Data by Age'!$B$7:$H$10366,MATCH(CONCATENATE('Tabular Pop Data by Age'!$C93,'Tabular Pop Data by Age'!AH$7),'Population Data by Age'!$B$7:$B$10366,0),MATCH('Tabular Pop Data by Age'!$C$6,'Population Data by Age'!$B$6:$H$6,0))</f>
        <v>46000</v>
      </c>
      <c r="AI93" s="78">
        <f>INDEX('Population Data by Age'!$B$7:$H$10366,MATCH(CONCATENATE('Tabular Pop Data by Age'!$C93,'Tabular Pop Data by Age'!AI$7),'Population Data by Age'!$B$7:$B$10366,0),MATCH('Tabular Pop Data by Age'!$C$6,'Population Data by Age'!$B$6:$H$6,0))</f>
        <v>37000</v>
      </c>
      <c r="AJ93" s="78">
        <f>INDEX('Population Data by Age'!$B$7:$H$10366,MATCH(CONCATENATE('Tabular Pop Data by Age'!$C93,'Tabular Pop Data by Age'!AJ$7),'Population Data by Age'!$B$7:$B$10366,0),MATCH('Tabular Pop Data by Age'!$C$6,'Population Data by Age'!$B$6:$H$6,0))</f>
        <v>61000</v>
      </c>
      <c r="AK93" s="78">
        <f>INDEX('Population Data by Age'!$B$7:$H$10366,MATCH(CONCATENATE('Tabular Pop Data by Age'!$C93,'Tabular Pop Data by Age'!AK$7),'Population Data by Age'!$B$7:$B$10366,0),MATCH('Tabular Pop Data by Age'!$C$6,'Population Data by Age'!$B$6:$H$6,0))</f>
        <v>43000</v>
      </c>
      <c r="AL93" s="78">
        <f>INDEX('Population Data by Age'!$B$7:$H$10366,MATCH(CONCATENATE('Tabular Pop Data by Age'!$C93,'Tabular Pop Data by Age'!AL$7),'Population Data by Age'!$B$7:$B$10366,0),MATCH('Tabular Pop Data by Age'!$C$6,'Population Data by Age'!$B$6:$H$6,0))</f>
        <v>4956000</v>
      </c>
      <c r="AM93" s="78">
        <f>INDEX('Population Data by Age'!$B$7:$H$10366,MATCH(CONCATENATE('Tabular Pop Data by Age'!$C93,'Tabular Pop Data by Age'!AM$7),'Population Data by Age'!$B$7:$B$10366,0),MATCH('Tabular Pop Data by Age'!$C$6,'Population Data by Age'!$B$6:$H$6,0))</f>
        <v>4949000</v>
      </c>
      <c r="AN93" s="78">
        <f>INDEX('Population Data by Age'!$B$7:$H$10366,MATCH(CONCATENATE('Tabular Pop Data by Age'!$C93,'Tabular Pop Data by Age'!AN$7),'Population Data by Age'!$B$7:$B$10366,0),MATCH('Tabular Pop Data by Age'!$C$6,'Population Data by Age'!$B$6:$H$6,0))</f>
        <v>9905000</v>
      </c>
      <c r="AO93" s="78">
        <f>INDEX('Population Data by Age'!$B$7:$H$10366,MATCH(CONCATENATE('Tabular Pop Data by Age'!$C93,'Tabular Pop Data by Age'!AO$7),'Population Data by Age'!$B$7:$B$10366,0),MATCH('Tabular Pop Data by Age'!$C$6,'Population Data by Age'!$B$6:$H$6,0))</f>
        <v>0</v>
      </c>
      <c r="AP93" s="79">
        <f t="shared" si="17"/>
        <v>1017000</v>
      </c>
      <c r="AQ93" s="79">
        <f t="shared" si="18"/>
        <v>989000</v>
      </c>
      <c r="AR93" s="79">
        <f t="shared" si="19"/>
        <v>1024000</v>
      </c>
      <c r="AS93" s="79">
        <f t="shared" si="20"/>
        <v>1041000</v>
      </c>
      <c r="AT93" s="79">
        <f t="shared" si="21"/>
        <v>1015000</v>
      </c>
      <c r="AU93" s="79">
        <f t="shared" si="22"/>
        <v>891000</v>
      </c>
      <c r="AV93" s="79">
        <f t="shared" si="23"/>
        <v>783000</v>
      </c>
      <c r="AW93" s="79">
        <f t="shared" si="24"/>
        <v>687000</v>
      </c>
      <c r="AX93" s="79">
        <f t="shared" si="25"/>
        <v>580000</v>
      </c>
      <c r="AY93" s="79">
        <f t="shared" si="26"/>
        <v>467000</v>
      </c>
      <c r="AZ93" s="79">
        <f t="shared" si="27"/>
        <v>381000</v>
      </c>
      <c r="BA93" s="79">
        <f t="shared" si="28"/>
        <v>299000</v>
      </c>
      <c r="BB93" s="79">
        <f t="shared" si="29"/>
        <v>237000</v>
      </c>
      <c r="BC93" s="79">
        <f t="shared" si="30"/>
        <v>183000</v>
      </c>
      <c r="BD93" s="79">
        <f t="shared" si="31"/>
        <v>122000</v>
      </c>
      <c r="BE93" s="79">
        <f t="shared" si="32"/>
        <v>83000</v>
      </c>
      <c r="BF93" s="79">
        <f t="shared" si="33"/>
        <v>104000</v>
      </c>
    </row>
    <row r="94" spans="1:58" x14ac:dyDescent="0.25">
      <c r="A94" s="138" t="s">
        <v>1195</v>
      </c>
      <c r="B94" t="s">
        <v>519</v>
      </c>
      <c r="C94" t="s">
        <v>520</v>
      </c>
      <c r="D94" s="78">
        <f>INDEX('Population Data by Age'!$B$7:$H$10366,MATCH(CONCATENATE('Tabular Pop Data by Age'!$C94,'Tabular Pop Data by Age'!D$7),'Population Data by Age'!$B$7:$B$10366,0),MATCH('Tabular Pop Data by Age'!$C$6,'Population Data by Age'!$B$6:$H$6,0))</f>
        <v>176000</v>
      </c>
      <c r="E94" s="78">
        <f>INDEX('Population Data by Age'!$B$7:$H$10366,MATCH(CONCATENATE('Tabular Pop Data by Age'!$C94,'Tabular Pop Data by Age'!E$7),'Population Data by Age'!$B$7:$B$10366,0),MATCH('Tabular Pop Data by Age'!$C$6,'Population Data by Age'!$B$6:$H$6,0))</f>
        <v>190000</v>
      </c>
      <c r="F94" s="78">
        <f>INDEX('Population Data by Age'!$B$7:$H$10366,MATCH(CONCATENATE('Tabular Pop Data by Age'!$C94,'Tabular Pop Data by Age'!F$7),'Population Data by Age'!$B$7:$B$10366,0),MATCH('Tabular Pop Data by Age'!$C$6,'Population Data by Age'!$B$6:$H$6,0))</f>
        <v>142000</v>
      </c>
      <c r="G94" s="78">
        <f>INDEX('Population Data by Age'!$B$7:$H$10366,MATCH(CONCATENATE('Tabular Pop Data by Age'!$C94,'Tabular Pop Data by Age'!G$7),'Population Data by Age'!$B$7:$B$10366,0),MATCH('Tabular Pop Data by Age'!$C$6,'Population Data by Age'!$B$6:$H$6,0))</f>
        <v>162000</v>
      </c>
      <c r="H94" s="78">
        <f>INDEX('Population Data by Age'!$B$7:$H$10366,MATCH(CONCATENATE('Tabular Pop Data by Age'!$C94,'Tabular Pop Data by Age'!H$7),'Population Data by Age'!$B$7:$B$10366,0),MATCH('Tabular Pop Data by Age'!$C$6,'Population Data by Age'!$B$6:$H$6,0))</f>
        <v>136000</v>
      </c>
      <c r="I94" s="78">
        <f>INDEX('Population Data by Age'!$B$7:$H$10366,MATCH(CONCATENATE('Tabular Pop Data by Age'!$C94,'Tabular Pop Data by Age'!I$7),'Population Data by Age'!$B$7:$B$10366,0),MATCH('Tabular Pop Data by Age'!$C$6,'Population Data by Age'!$B$6:$H$6,0))</f>
        <v>152000</v>
      </c>
      <c r="J94" s="78">
        <f>INDEX('Population Data by Age'!$B$7:$H$10366,MATCH(CONCATENATE('Tabular Pop Data by Age'!$C94,'Tabular Pop Data by Age'!J$7),'Population Data by Age'!$B$7:$B$10366,0),MATCH('Tabular Pop Data by Age'!$C$6,'Population Data by Age'!$B$6:$H$6,0))</f>
        <v>130000</v>
      </c>
      <c r="K94" s="78">
        <f>INDEX('Population Data by Age'!$B$7:$H$10366,MATCH(CONCATENATE('Tabular Pop Data by Age'!$C94,'Tabular Pop Data by Age'!K$7),'Population Data by Age'!$B$7:$B$10366,0),MATCH('Tabular Pop Data by Age'!$C$6,'Population Data by Age'!$B$6:$H$6,0))</f>
        <v>139000</v>
      </c>
      <c r="L94" s="78">
        <f>INDEX('Population Data by Age'!$B$7:$H$10366,MATCH(CONCATENATE('Tabular Pop Data by Age'!$C94,'Tabular Pop Data by Age'!L$7),'Population Data by Age'!$B$7:$B$10366,0),MATCH('Tabular Pop Data by Age'!$C$6,'Population Data by Age'!$B$6:$H$6,0))</f>
        <v>187000</v>
      </c>
      <c r="M94" s="78">
        <f>INDEX('Population Data by Age'!$B$7:$H$10366,MATCH(CONCATENATE('Tabular Pop Data by Age'!$C94,'Tabular Pop Data by Age'!M$7),'Population Data by Age'!$B$7:$B$10366,0),MATCH('Tabular Pop Data by Age'!$C$6,'Population Data by Age'!$B$6:$H$6,0))</f>
        <v>191000</v>
      </c>
      <c r="N94" s="78">
        <f>INDEX('Population Data by Age'!$B$7:$H$10366,MATCH(CONCATENATE('Tabular Pop Data by Age'!$C94,'Tabular Pop Data by Age'!N$7),'Population Data by Age'!$B$7:$B$10366,0),MATCH('Tabular Pop Data by Age'!$C$6,'Population Data by Age'!$B$6:$H$6,0))</f>
        <v>268000</v>
      </c>
      <c r="O94" s="78">
        <f>INDEX('Population Data by Age'!$B$7:$H$10366,MATCH(CONCATENATE('Tabular Pop Data by Age'!$C94,'Tabular Pop Data by Age'!O$7),'Population Data by Age'!$B$7:$B$10366,0),MATCH('Tabular Pop Data by Age'!$C$6,'Population Data by Age'!$B$6:$H$6,0))</f>
        <v>229000</v>
      </c>
      <c r="P94" s="78">
        <f>INDEX('Population Data by Age'!$B$7:$H$10366,MATCH(CONCATENATE('Tabular Pop Data by Age'!$C94,'Tabular Pop Data by Age'!P$7),'Population Data by Age'!$B$7:$B$10366,0),MATCH('Tabular Pop Data by Age'!$C$6,'Population Data by Age'!$B$6:$H$6,0))</f>
        <v>312000</v>
      </c>
      <c r="Q94" s="78">
        <f>INDEX('Population Data by Age'!$B$7:$H$10366,MATCH(CONCATENATE('Tabular Pop Data by Age'!$C94,'Tabular Pop Data by Age'!Q$7),'Population Data by Age'!$B$7:$B$10366,0),MATCH('Tabular Pop Data by Age'!$C$6,'Population Data by Age'!$B$6:$H$6,0))</f>
        <v>229000</v>
      </c>
      <c r="R94" s="78">
        <f>INDEX('Population Data by Age'!$B$7:$H$10366,MATCH(CONCATENATE('Tabular Pop Data by Age'!$C94,'Tabular Pop Data by Age'!R$7),'Population Data by Age'!$B$7:$B$10366,0),MATCH('Tabular Pop Data by Age'!$C$6,'Population Data by Age'!$B$6:$H$6,0))</f>
        <v>357000</v>
      </c>
      <c r="S94" s="78">
        <f>INDEX('Population Data by Age'!$B$7:$H$10366,MATCH(CONCATENATE('Tabular Pop Data by Age'!$C94,'Tabular Pop Data by Age'!S$7),'Population Data by Age'!$B$7:$B$10366,0),MATCH('Tabular Pop Data by Age'!$C$6,'Population Data by Age'!$B$6:$H$6,0))</f>
        <v>234000</v>
      </c>
      <c r="T94" s="78">
        <f>INDEX('Population Data by Age'!$B$7:$H$10366,MATCH(CONCATENATE('Tabular Pop Data by Age'!$C94,'Tabular Pop Data by Age'!T$7),'Population Data by Age'!$B$7:$B$10366,0),MATCH('Tabular Pop Data by Age'!$C$6,'Population Data by Age'!$B$6:$H$6,0))</f>
        <v>343000</v>
      </c>
      <c r="U94" s="78">
        <f>INDEX('Population Data by Age'!$B$7:$H$10366,MATCH(CONCATENATE('Tabular Pop Data by Age'!$C94,'Tabular Pop Data by Age'!U$7),'Population Data by Age'!$B$7:$B$10366,0),MATCH('Tabular Pop Data by Age'!$C$6,'Population Data by Age'!$B$6:$H$6,0))</f>
        <v>228000</v>
      </c>
      <c r="V94" s="78">
        <f>INDEX('Population Data by Age'!$B$7:$H$10366,MATCH(CONCATENATE('Tabular Pop Data by Age'!$C94,'Tabular Pop Data by Age'!V$7),'Population Data by Age'!$B$7:$B$10366,0),MATCH('Tabular Pop Data by Age'!$C$6,'Population Data by Age'!$B$6:$H$6,0))</f>
        <v>333000</v>
      </c>
      <c r="W94" s="78">
        <f>INDEX('Population Data by Age'!$B$7:$H$10366,MATCH(CONCATENATE('Tabular Pop Data by Age'!$C94,'Tabular Pop Data by Age'!W$7),'Population Data by Age'!$B$7:$B$10366,0),MATCH('Tabular Pop Data by Age'!$C$6,'Population Data by Age'!$B$6:$H$6,0))</f>
        <v>235000</v>
      </c>
      <c r="X94" s="78">
        <f>INDEX('Population Data by Age'!$B$7:$H$10366,MATCH(CONCATENATE('Tabular Pop Data by Age'!$C94,'Tabular Pop Data by Age'!X$7),'Population Data by Age'!$B$7:$B$10366,0),MATCH('Tabular Pop Data by Age'!$C$6,'Population Data by Age'!$B$6:$H$6,0))</f>
        <v>327000</v>
      </c>
      <c r="Y94" s="78">
        <f>INDEX('Population Data by Age'!$B$7:$H$10366,MATCH(CONCATENATE('Tabular Pop Data by Age'!$C94,'Tabular Pop Data by Age'!Y$7),'Population Data by Age'!$B$7:$B$10366,0),MATCH('Tabular Pop Data by Age'!$C$6,'Population Data by Age'!$B$6:$H$6,0))</f>
        <v>247000</v>
      </c>
      <c r="Z94" s="78">
        <f>INDEX('Population Data by Age'!$B$7:$H$10366,MATCH(CONCATENATE('Tabular Pop Data by Age'!$C94,'Tabular Pop Data by Age'!Z$7),'Population Data by Age'!$B$7:$B$10366,0),MATCH('Tabular Pop Data by Age'!$C$6,'Population Data by Age'!$B$6:$H$6,0))</f>
        <v>347000</v>
      </c>
      <c r="AA94" s="78">
        <f>INDEX('Population Data by Age'!$B$7:$H$10366,MATCH(CONCATENATE('Tabular Pop Data by Age'!$C94,'Tabular Pop Data by Age'!AA$7),'Population Data by Age'!$B$7:$B$10366,0),MATCH('Tabular Pop Data by Age'!$C$6,'Population Data by Age'!$B$6:$H$6,0))</f>
        <v>298000</v>
      </c>
      <c r="AB94" s="78">
        <f>INDEX('Population Data by Age'!$B$7:$H$10366,MATCH(CONCATENATE('Tabular Pop Data by Age'!$C94,'Tabular Pop Data by Age'!AB$7),'Population Data by Age'!$B$7:$B$10366,0),MATCH('Tabular Pop Data by Age'!$C$6,'Population Data by Age'!$B$6:$H$6,0))</f>
        <v>300000</v>
      </c>
      <c r="AC94" s="78">
        <f>INDEX('Population Data by Age'!$B$7:$H$10366,MATCH(CONCATENATE('Tabular Pop Data by Age'!$C94,'Tabular Pop Data by Age'!AC$7),'Population Data by Age'!$B$7:$B$10366,0),MATCH('Tabular Pop Data by Age'!$C$6,'Population Data by Age'!$B$6:$H$6,0))</f>
        <v>295000</v>
      </c>
      <c r="AD94" s="78">
        <f>INDEX('Population Data by Age'!$B$7:$H$10366,MATCH(CONCATENATE('Tabular Pop Data by Age'!$C94,'Tabular Pop Data by Age'!AD$7),'Population Data by Age'!$B$7:$B$10366,0),MATCH('Tabular Pop Data by Age'!$C$6,'Population Data by Age'!$B$6:$H$6,0))</f>
        <v>238000</v>
      </c>
      <c r="AE94" s="78">
        <f>INDEX('Population Data by Age'!$B$7:$H$10366,MATCH(CONCATENATE('Tabular Pop Data by Age'!$C94,'Tabular Pop Data by Age'!AE$7),'Population Data by Age'!$B$7:$B$10366,0),MATCH('Tabular Pop Data by Age'!$C$6,'Population Data by Age'!$B$6:$H$6,0))</f>
        <v>226000</v>
      </c>
      <c r="AF94" s="78">
        <f>INDEX('Population Data by Age'!$B$7:$H$10366,MATCH(CONCATENATE('Tabular Pop Data by Age'!$C94,'Tabular Pop Data by Age'!AF$7),'Population Data by Age'!$B$7:$B$10366,0),MATCH('Tabular Pop Data by Age'!$C$6,'Population Data by Age'!$B$6:$H$6,0))</f>
        <v>178000</v>
      </c>
      <c r="AG94" s="78">
        <f>INDEX('Population Data by Age'!$B$7:$H$10366,MATCH(CONCATENATE('Tabular Pop Data by Age'!$C94,'Tabular Pop Data by Age'!AG$7),'Population Data by Age'!$B$7:$B$10366,0),MATCH('Tabular Pop Data by Age'!$C$6,'Population Data by Age'!$B$6:$H$6,0))</f>
        <v>170000</v>
      </c>
      <c r="AH94" s="78">
        <f>INDEX('Population Data by Age'!$B$7:$H$10366,MATCH(CONCATENATE('Tabular Pop Data by Age'!$C94,'Tabular Pop Data by Age'!AH$7),'Population Data by Age'!$B$7:$B$10366,0),MATCH('Tabular Pop Data by Age'!$C$6,'Population Data by Age'!$B$6:$H$6,0))</f>
        <v>93000</v>
      </c>
      <c r="AI94" s="78">
        <f>INDEX('Population Data by Age'!$B$7:$H$10366,MATCH(CONCATENATE('Tabular Pop Data by Age'!$C94,'Tabular Pop Data by Age'!AI$7),'Population Data by Age'!$B$7:$B$10366,0),MATCH('Tabular Pop Data by Age'!$C$6,'Population Data by Age'!$B$6:$H$6,0))</f>
        <v>90000</v>
      </c>
      <c r="AJ94" s="78">
        <f>INDEX('Population Data by Age'!$B$7:$H$10366,MATCH(CONCATENATE('Tabular Pop Data by Age'!$C94,'Tabular Pop Data by Age'!AJ$7),'Population Data by Age'!$B$7:$B$10366,0),MATCH('Tabular Pop Data by Age'!$C$6,'Population Data by Age'!$B$6:$H$6,0))</f>
        <v>227000</v>
      </c>
      <c r="AK94" s="78">
        <f>INDEX('Population Data by Age'!$B$7:$H$10366,MATCH(CONCATENATE('Tabular Pop Data by Age'!$C94,'Tabular Pop Data by Age'!AK$7),'Population Data by Age'!$B$7:$B$10366,0),MATCH('Tabular Pop Data by Age'!$C$6,'Population Data by Age'!$B$6:$H$6,0))</f>
        <v>155000</v>
      </c>
      <c r="AL94" s="78">
        <f>INDEX('Population Data by Age'!$B$7:$H$10366,MATCH(CONCATENATE('Tabular Pop Data by Age'!$C94,'Tabular Pop Data by Age'!AL$7),'Population Data by Age'!$B$7:$B$10366,0),MATCH('Tabular Pop Data by Age'!$C$6,'Population Data by Age'!$B$6:$H$6,0))</f>
        <v>4094000</v>
      </c>
      <c r="AM94" s="78">
        <f>INDEX('Population Data by Age'!$B$7:$H$10366,MATCH(CONCATENATE('Tabular Pop Data by Age'!$C94,'Tabular Pop Data by Age'!AM$7),'Population Data by Age'!$B$7:$B$10366,0),MATCH('Tabular Pop Data by Age'!$C$6,'Population Data by Age'!$B$6:$H$6,0))</f>
        <v>3470000</v>
      </c>
      <c r="AN94" s="78">
        <f>INDEX('Population Data by Age'!$B$7:$H$10366,MATCH(CONCATENATE('Tabular Pop Data by Age'!$C94,'Tabular Pop Data by Age'!AN$7),'Population Data by Age'!$B$7:$B$10366,0),MATCH('Tabular Pop Data by Age'!$C$6,'Population Data by Age'!$B$6:$H$6,0))</f>
        <v>7564000</v>
      </c>
      <c r="AO94" s="78">
        <f>INDEX('Population Data by Age'!$B$7:$H$10366,MATCH(CONCATENATE('Tabular Pop Data by Age'!$C94,'Tabular Pop Data by Age'!AO$7),'Population Data by Age'!$B$7:$B$10366,0),MATCH('Tabular Pop Data by Age'!$C$6,'Population Data by Age'!$B$6:$H$6,0))</f>
        <v>0</v>
      </c>
      <c r="AP94" s="79">
        <f t="shared" si="17"/>
        <v>366000</v>
      </c>
      <c r="AQ94" s="79">
        <f t="shared" si="18"/>
        <v>304000</v>
      </c>
      <c r="AR94" s="79">
        <f t="shared" si="19"/>
        <v>288000</v>
      </c>
      <c r="AS94" s="79">
        <f t="shared" si="20"/>
        <v>269000</v>
      </c>
      <c r="AT94" s="79">
        <f t="shared" si="21"/>
        <v>378000</v>
      </c>
      <c r="AU94" s="79">
        <f t="shared" si="22"/>
        <v>497000</v>
      </c>
      <c r="AV94" s="79">
        <f t="shared" si="23"/>
        <v>541000</v>
      </c>
      <c r="AW94" s="79">
        <f t="shared" si="24"/>
        <v>591000</v>
      </c>
      <c r="AX94" s="79">
        <f t="shared" si="25"/>
        <v>571000</v>
      </c>
      <c r="AY94" s="79">
        <f t="shared" si="26"/>
        <v>568000</v>
      </c>
      <c r="AZ94" s="79">
        <f t="shared" si="27"/>
        <v>574000</v>
      </c>
      <c r="BA94" s="79">
        <f t="shared" si="28"/>
        <v>645000</v>
      </c>
      <c r="BB94" s="79">
        <f t="shared" si="29"/>
        <v>595000</v>
      </c>
      <c r="BC94" s="79">
        <f t="shared" si="30"/>
        <v>464000</v>
      </c>
      <c r="BD94" s="79">
        <f t="shared" si="31"/>
        <v>348000</v>
      </c>
      <c r="BE94" s="79">
        <f t="shared" si="32"/>
        <v>183000</v>
      </c>
      <c r="BF94" s="79">
        <f t="shared" si="33"/>
        <v>382000</v>
      </c>
    </row>
    <row r="95" spans="1:58" x14ac:dyDescent="0.25">
      <c r="A95" s="138" t="s">
        <v>1195</v>
      </c>
      <c r="B95" t="s">
        <v>521</v>
      </c>
      <c r="C95" t="s">
        <v>57</v>
      </c>
      <c r="D95" s="78">
        <f>INDEX('Population Data by Age'!$B$7:$H$10366,MATCH(CONCATENATE('Tabular Pop Data by Age'!$C95,'Tabular Pop Data by Age'!D$7),'Population Data by Age'!$B$7:$B$10366,0),MATCH('Tabular Pop Data by Age'!$C$6,'Population Data by Age'!$B$6:$H$6,0))</f>
        <v>225000</v>
      </c>
      <c r="E95" s="78">
        <f>INDEX('Population Data by Age'!$B$7:$H$10366,MATCH(CONCATENATE('Tabular Pop Data by Age'!$C95,'Tabular Pop Data by Age'!E$7),'Population Data by Age'!$B$7:$B$10366,0),MATCH('Tabular Pop Data by Age'!$C$6,'Population Data by Age'!$B$6:$H$6,0))</f>
        <v>238000</v>
      </c>
      <c r="F95" s="78">
        <f>INDEX('Population Data by Age'!$B$7:$H$10366,MATCH(CONCATENATE('Tabular Pop Data by Age'!$C95,'Tabular Pop Data by Age'!F$7),'Population Data by Age'!$B$7:$B$10366,0),MATCH('Tabular Pop Data by Age'!$C$6,'Population Data by Age'!$B$6:$H$6,0))</f>
        <v>219000</v>
      </c>
      <c r="G95" s="78">
        <f>INDEX('Population Data by Age'!$B$7:$H$10366,MATCH(CONCATENATE('Tabular Pop Data by Age'!$C95,'Tabular Pop Data by Age'!G$7),'Population Data by Age'!$B$7:$B$10366,0),MATCH('Tabular Pop Data by Age'!$C$6,'Population Data by Age'!$B$6:$H$6,0))</f>
        <v>230000</v>
      </c>
      <c r="H95" s="78">
        <f>INDEX('Population Data by Age'!$B$7:$H$10366,MATCH(CONCATENATE('Tabular Pop Data by Age'!$C95,'Tabular Pop Data by Age'!H$7),'Population Data by Age'!$B$7:$B$10366,0),MATCH('Tabular Pop Data by Age'!$C$6,'Population Data by Age'!$B$6:$H$6,0))</f>
        <v>236000</v>
      </c>
      <c r="I95" s="78">
        <f>INDEX('Population Data by Age'!$B$7:$H$10366,MATCH(CONCATENATE('Tabular Pop Data by Age'!$C95,'Tabular Pop Data by Age'!I$7),'Population Data by Age'!$B$7:$B$10366,0),MATCH('Tabular Pop Data by Age'!$C$6,'Population Data by Age'!$B$6:$H$6,0))</f>
        <v>249000</v>
      </c>
      <c r="J95" s="78">
        <f>INDEX('Population Data by Age'!$B$7:$H$10366,MATCH(CONCATENATE('Tabular Pop Data by Age'!$C95,'Tabular Pop Data by Age'!J$7),'Population Data by Age'!$B$7:$B$10366,0),MATCH('Tabular Pop Data by Age'!$C$6,'Population Data by Age'!$B$6:$H$6,0))</f>
        <v>237000</v>
      </c>
      <c r="K95" s="78">
        <f>INDEX('Population Data by Age'!$B$7:$H$10366,MATCH(CONCATENATE('Tabular Pop Data by Age'!$C95,'Tabular Pop Data by Age'!K$7),'Population Data by Age'!$B$7:$B$10366,0),MATCH('Tabular Pop Data by Age'!$C$6,'Population Data by Age'!$B$6:$H$6,0))</f>
        <v>251000</v>
      </c>
      <c r="L95" s="78">
        <f>INDEX('Population Data by Age'!$B$7:$H$10366,MATCH(CONCATENATE('Tabular Pop Data by Age'!$C95,'Tabular Pop Data by Age'!L$7),'Population Data by Age'!$B$7:$B$10366,0),MATCH('Tabular Pop Data by Age'!$C$6,'Population Data by Age'!$B$6:$H$6,0))</f>
        <v>253000</v>
      </c>
      <c r="M95" s="78">
        <f>INDEX('Population Data by Age'!$B$7:$H$10366,MATCH(CONCATENATE('Tabular Pop Data by Age'!$C95,'Tabular Pop Data by Age'!M$7),'Population Data by Age'!$B$7:$B$10366,0),MATCH('Tabular Pop Data by Age'!$C$6,'Population Data by Age'!$B$6:$H$6,0))</f>
        <v>267000</v>
      </c>
      <c r="N95" s="78">
        <f>INDEX('Population Data by Age'!$B$7:$H$10366,MATCH(CONCATENATE('Tabular Pop Data by Age'!$C95,'Tabular Pop Data by Age'!N$7),'Population Data by Age'!$B$7:$B$10366,0),MATCH('Tabular Pop Data by Age'!$C$6,'Population Data by Age'!$B$6:$H$6,0))</f>
        <v>311000</v>
      </c>
      <c r="O95" s="78">
        <f>INDEX('Population Data by Age'!$B$7:$H$10366,MATCH(CONCATENATE('Tabular Pop Data by Age'!$C95,'Tabular Pop Data by Age'!O$7),'Population Data by Age'!$B$7:$B$10366,0),MATCH('Tabular Pop Data by Age'!$C$6,'Population Data by Age'!$B$6:$H$6,0))</f>
        <v>325000</v>
      </c>
      <c r="P95" s="78">
        <f>INDEX('Population Data by Age'!$B$7:$H$10366,MATCH(CONCATENATE('Tabular Pop Data by Age'!$C95,'Tabular Pop Data by Age'!P$7),'Population Data by Age'!$B$7:$B$10366,0),MATCH('Tabular Pop Data by Age'!$C$6,'Population Data by Age'!$B$6:$H$6,0))</f>
        <v>300000</v>
      </c>
      <c r="Q95" s="78">
        <f>INDEX('Population Data by Age'!$B$7:$H$10366,MATCH(CONCATENATE('Tabular Pop Data by Age'!$C95,'Tabular Pop Data by Age'!Q$7),'Population Data by Age'!$B$7:$B$10366,0),MATCH('Tabular Pop Data by Age'!$C$6,'Population Data by Age'!$B$6:$H$6,0))</f>
        <v>314000</v>
      </c>
      <c r="R95" s="78">
        <f>INDEX('Population Data by Age'!$B$7:$H$10366,MATCH(CONCATENATE('Tabular Pop Data by Age'!$C95,'Tabular Pop Data by Age'!R$7),'Population Data by Age'!$B$7:$B$10366,0),MATCH('Tabular Pop Data by Age'!$C$6,'Population Data by Age'!$B$6:$H$6,0))</f>
        <v>321000</v>
      </c>
      <c r="S95" s="78">
        <f>INDEX('Population Data by Age'!$B$7:$H$10366,MATCH(CONCATENATE('Tabular Pop Data by Age'!$C95,'Tabular Pop Data by Age'!S$7),'Population Data by Age'!$B$7:$B$10366,0),MATCH('Tabular Pop Data by Age'!$C$6,'Population Data by Age'!$B$6:$H$6,0))</f>
        <v>326000</v>
      </c>
      <c r="T95" s="78">
        <f>INDEX('Population Data by Age'!$B$7:$H$10366,MATCH(CONCATENATE('Tabular Pop Data by Age'!$C95,'Tabular Pop Data by Age'!T$7),'Population Data by Age'!$B$7:$B$10366,0),MATCH('Tabular Pop Data by Age'!$C$6,'Population Data by Age'!$B$6:$H$6,0))</f>
        <v>406000</v>
      </c>
      <c r="U95" s="78">
        <f>INDEX('Population Data by Age'!$B$7:$H$10366,MATCH(CONCATENATE('Tabular Pop Data by Age'!$C95,'Tabular Pop Data by Age'!U$7),'Population Data by Age'!$B$7:$B$10366,0),MATCH('Tabular Pop Data by Age'!$C$6,'Population Data by Age'!$B$6:$H$6,0))</f>
        <v>411000</v>
      </c>
      <c r="V95" s="78">
        <f>INDEX('Population Data by Age'!$B$7:$H$10366,MATCH(CONCATENATE('Tabular Pop Data by Age'!$C95,'Tabular Pop Data by Age'!V$7),'Population Data by Age'!$B$7:$B$10366,0),MATCH('Tabular Pop Data by Age'!$C$6,'Population Data by Age'!$B$6:$H$6,0))</f>
        <v>386000</v>
      </c>
      <c r="W95" s="78">
        <f>INDEX('Population Data by Age'!$B$7:$H$10366,MATCH(CONCATENATE('Tabular Pop Data by Age'!$C95,'Tabular Pop Data by Age'!W$7),'Population Data by Age'!$B$7:$B$10366,0),MATCH('Tabular Pop Data by Age'!$C$6,'Population Data by Age'!$B$6:$H$6,0))</f>
        <v>390000</v>
      </c>
      <c r="X95" s="78">
        <f>INDEX('Population Data by Age'!$B$7:$H$10366,MATCH(CONCATENATE('Tabular Pop Data by Age'!$C95,'Tabular Pop Data by Age'!X$7),'Population Data by Age'!$B$7:$B$10366,0),MATCH('Tabular Pop Data by Age'!$C$6,'Population Data by Age'!$B$6:$H$6,0))</f>
        <v>331000</v>
      </c>
      <c r="Y95" s="78">
        <f>INDEX('Population Data by Age'!$B$7:$H$10366,MATCH(CONCATENATE('Tabular Pop Data by Age'!$C95,'Tabular Pop Data by Age'!Y$7),'Population Data by Age'!$B$7:$B$10366,0),MATCH('Tabular Pop Data by Age'!$C$6,'Population Data by Age'!$B$6:$H$6,0))</f>
        <v>320000</v>
      </c>
      <c r="Z95" s="78">
        <f>INDEX('Population Data by Age'!$B$7:$H$10366,MATCH(CONCATENATE('Tabular Pop Data by Age'!$C95,'Tabular Pop Data by Age'!Z$7),'Population Data by Age'!$B$7:$B$10366,0),MATCH('Tabular Pop Data by Age'!$C$6,'Population Data by Age'!$B$6:$H$6,0))</f>
        <v>291000</v>
      </c>
      <c r="AA95" s="78">
        <f>INDEX('Population Data by Age'!$B$7:$H$10366,MATCH(CONCATENATE('Tabular Pop Data by Age'!$C95,'Tabular Pop Data by Age'!AA$7),'Population Data by Age'!$B$7:$B$10366,0),MATCH('Tabular Pop Data by Age'!$C$6,'Population Data by Age'!$B$6:$H$6,0))</f>
        <v>264000</v>
      </c>
      <c r="AB95" s="78">
        <f>INDEX('Population Data by Age'!$B$7:$H$10366,MATCH(CONCATENATE('Tabular Pop Data by Age'!$C95,'Tabular Pop Data by Age'!AB$7),'Population Data by Age'!$B$7:$B$10366,0),MATCH('Tabular Pop Data by Age'!$C$6,'Population Data by Age'!$B$6:$H$6,0))</f>
        <v>350000</v>
      </c>
      <c r="AC95" s="78">
        <f>INDEX('Population Data by Age'!$B$7:$H$10366,MATCH(CONCATENATE('Tabular Pop Data by Age'!$C95,'Tabular Pop Data by Age'!AC$7),'Population Data by Age'!$B$7:$B$10366,0),MATCH('Tabular Pop Data by Age'!$C$6,'Population Data by Age'!$B$6:$H$6,0))</f>
        <v>289000</v>
      </c>
      <c r="AD95" s="78">
        <f>INDEX('Population Data by Age'!$B$7:$H$10366,MATCH(CONCATENATE('Tabular Pop Data by Age'!$C95,'Tabular Pop Data by Age'!AD$7),'Population Data by Age'!$B$7:$B$10366,0),MATCH('Tabular Pop Data by Age'!$C$6,'Population Data by Age'!$B$6:$H$6,0))</f>
        <v>383000</v>
      </c>
      <c r="AE95" s="78">
        <f>INDEX('Population Data by Age'!$B$7:$H$10366,MATCH(CONCATENATE('Tabular Pop Data by Age'!$C95,'Tabular Pop Data by Age'!AE$7),'Population Data by Age'!$B$7:$B$10366,0),MATCH('Tabular Pop Data by Age'!$C$6,'Population Data by Age'!$B$6:$H$6,0))</f>
        <v>290000</v>
      </c>
      <c r="AF95" s="78">
        <f>INDEX('Population Data by Age'!$B$7:$H$10366,MATCH(CONCATENATE('Tabular Pop Data by Age'!$C95,'Tabular Pop Data by Age'!AF$7),'Population Data by Age'!$B$7:$B$10366,0),MATCH('Tabular Pop Data by Age'!$C$6,'Population Data by Age'!$B$6:$H$6,0))</f>
        <v>286000</v>
      </c>
      <c r="AG95" s="78">
        <f>INDEX('Population Data by Age'!$B$7:$H$10366,MATCH(CONCATENATE('Tabular Pop Data by Age'!$C95,'Tabular Pop Data by Age'!AG$7),'Population Data by Age'!$B$7:$B$10366,0),MATCH('Tabular Pop Data by Age'!$C$6,'Population Data by Age'!$B$6:$H$6,0))</f>
        <v>191000</v>
      </c>
      <c r="AH95" s="78">
        <f>INDEX('Population Data by Age'!$B$7:$H$10366,MATCH(CONCATENATE('Tabular Pop Data by Age'!$C95,'Tabular Pop Data by Age'!AH$7),'Population Data by Age'!$B$7:$B$10366,0),MATCH('Tabular Pop Data by Age'!$C$6,'Population Data by Age'!$B$6:$H$6,0))</f>
        <v>236000</v>
      </c>
      <c r="AI95" s="78">
        <f>INDEX('Population Data by Age'!$B$7:$H$10366,MATCH(CONCATENATE('Tabular Pop Data by Age'!$C95,'Tabular Pop Data by Age'!AI$7),'Population Data by Age'!$B$7:$B$10366,0),MATCH('Tabular Pop Data by Age'!$C$6,'Population Data by Age'!$B$6:$H$6,0))</f>
        <v>136000</v>
      </c>
      <c r="AJ95" s="78">
        <f>INDEX('Population Data by Age'!$B$7:$H$10366,MATCH(CONCATENATE('Tabular Pop Data by Age'!$C95,'Tabular Pop Data by Age'!AJ$7),'Population Data by Age'!$B$7:$B$10366,0),MATCH('Tabular Pop Data by Age'!$C$6,'Population Data by Age'!$B$6:$H$6,0))</f>
        <v>308000</v>
      </c>
      <c r="AK95" s="78">
        <f>INDEX('Population Data by Age'!$B$7:$H$10366,MATCH(CONCATENATE('Tabular Pop Data by Age'!$C95,'Tabular Pop Data by Age'!AK$7),'Population Data by Age'!$B$7:$B$10366,0),MATCH('Tabular Pop Data by Age'!$C$6,'Population Data by Age'!$B$6:$H$6,0))</f>
        <v>125000</v>
      </c>
      <c r="AL95" s="78">
        <f>INDEX('Population Data by Age'!$B$7:$H$10366,MATCH(CONCATENATE('Tabular Pop Data by Age'!$C95,'Tabular Pop Data by Age'!AL$7),'Population Data by Age'!$B$7:$B$10366,0),MATCH('Tabular Pop Data by Age'!$C$6,'Population Data by Age'!$B$6:$H$6,0))</f>
        <v>5080000</v>
      </c>
      <c r="AM95" s="78">
        <f>INDEX('Population Data by Age'!$B$7:$H$10366,MATCH(CONCATENATE('Tabular Pop Data by Age'!$C95,'Tabular Pop Data by Age'!AM$7),'Population Data by Age'!$B$7:$B$10366,0),MATCH('Tabular Pop Data by Age'!$C$6,'Population Data by Age'!$B$6:$H$6,0))</f>
        <v>4615000</v>
      </c>
      <c r="AN95" s="78">
        <f>INDEX('Population Data by Age'!$B$7:$H$10366,MATCH(CONCATENATE('Tabular Pop Data by Age'!$C95,'Tabular Pop Data by Age'!AN$7),'Population Data by Age'!$B$7:$B$10366,0),MATCH('Tabular Pop Data by Age'!$C$6,'Population Data by Age'!$B$6:$H$6,0))</f>
        <v>9695000</v>
      </c>
      <c r="AO95" s="78">
        <f>INDEX('Population Data by Age'!$B$7:$H$10366,MATCH(CONCATENATE('Tabular Pop Data by Age'!$C95,'Tabular Pop Data by Age'!AO$7),'Population Data by Age'!$B$7:$B$10366,0),MATCH('Tabular Pop Data by Age'!$C$6,'Population Data by Age'!$B$6:$H$6,0))</f>
        <v>0</v>
      </c>
      <c r="AP95" s="79">
        <f t="shared" si="17"/>
        <v>463000</v>
      </c>
      <c r="AQ95" s="79">
        <f t="shared" si="18"/>
        <v>449000</v>
      </c>
      <c r="AR95" s="79">
        <f t="shared" si="19"/>
        <v>485000</v>
      </c>
      <c r="AS95" s="79">
        <f t="shared" si="20"/>
        <v>488000</v>
      </c>
      <c r="AT95" s="79">
        <f t="shared" si="21"/>
        <v>520000</v>
      </c>
      <c r="AU95" s="79">
        <f t="shared" si="22"/>
        <v>636000</v>
      </c>
      <c r="AV95" s="79">
        <f t="shared" si="23"/>
        <v>614000</v>
      </c>
      <c r="AW95" s="79">
        <f t="shared" si="24"/>
        <v>647000</v>
      </c>
      <c r="AX95" s="79">
        <f t="shared" si="25"/>
        <v>817000</v>
      </c>
      <c r="AY95" s="79">
        <f t="shared" si="26"/>
        <v>776000</v>
      </c>
      <c r="AZ95" s="79">
        <f t="shared" si="27"/>
        <v>651000</v>
      </c>
      <c r="BA95" s="79">
        <f t="shared" si="28"/>
        <v>555000</v>
      </c>
      <c r="BB95" s="79">
        <f t="shared" si="29"/>
        <v>639000</v>
      </c>
      <c r="BC95" s="79">
        <f t="shared" si="30"/>
        <v>673000</v>
      </c>
      <c r="BD95" s="79">
        <f t="shared" si="31"/>
        <v>477000</v>
      </c>
      <c r="BE95" s="79">
        <f t="shared" si="32"/>
        <v>372000</v>
      </c>
      <c r="BF95" s="79">
        <f t="shared" si="33"/>
        <v>433000</v>
      </c>
    </row>
    <row r="96" spans="1:58" x14ac:dyDescent="0.25">
      <c r="A96" s="138" t="s">
        <v>1195</v>
      </c>
      <c r="B96" t="s">
        <v>522</v>
      </c>
      <c r="C96" t="s">
        <v>63</v>
      </c>
      <c r="D96" s="78">
        <f>INDEX('Population Data by Age'!$B$7:$H$10366,MATCH(CONCATENATE('Tabular Pop Data by Age'!$C96,'Tabular Pop Data by Age'!D$7),'Population Data by Age'!$B$7:$B$10366,0),MATCH('Tabular Pop Data by Age'!$C$6,'Population Data by Age'!$B$6:$H$6,0))</f>
        <v>10000</v>
      </c>
      <c r="E96" s="78">
        <f>INDEX('Population Data by Age'!$B$7:$H$10366,MATCH(CONCATENATE('Tabular Pop Data by Age'!$C96,'Tabular Pop Data by Age'!E$7),'Population Data by Age'!$B$7:$B$10366,0),MATCH('Tabular Pop Data by Age'!$C$6,'Population Data by Age'!$B$6:$H$6,0))</f>
        <v>11000</v>
      </c>
      <c r="F96" s="78">
        <f>INDEX('Population Data by Age'!$B$7:$H$10366,MATCH(CONCATENATE('Tabular Pop Data by Age'!$C96,'Tabular Pop Data by Age'!F$7),'Population Data by Age'!$B$7:$B$10366,0),MATCH('Tabular Pop Data by Age'!$C$6,'Population Data by Age'!$B$6:$H$6,0))</f>
        <v>12000</v>
      </c>
      <c r="G96" s="78">
        <f>INDEX('Population Data by Age'!$B$7:$H$10366,MATCH(CONCATENATE('Tabular Pop Data by Age'!$C96,'Tabular Pop Data by Age'!G$7),'Population Data by Age'!$B$7:$B$10366,0),MATCH('Tabular Pop Data by Age'!$C$6,'Population Data by Age'!$B$6:$H$6,0))</f>
        <v>12000</v>
      </c>
      <c r="H96" s="78">
        <f>INDEX('Population Data by Age'!$B$7:$H$10366,MATCH(CONCATENATE('Tabular Pop Data by Age'!$C96,'Tabular Pop Data by Age'!H$7),'Population Data by Age'!$B$7:$B$10366,0),MATCH('Tabular Pop Data by Age'!$C$6,'Population Data by Age'!$B$6:$H$6,0))</f>
        <v>12000</v>
      </c>
      <c r="I96" s="78">
        <f>INDEX('Population Data by Age'!$B$7:$H$10366,MATCH(CONCATENATE('Tabular Pop Data by Age'!$C96,'Tabular Pop Data by Age'!I$7),'Population Data by Age'!$B$7:$B$10366,0),MATCH('Tabular Pop Data by Age'!$C$6,'Population Data by Age'!$B$6:$H$6,0))</f>
        <v>13000</v>
      </c>
      <c r="J96" s="78">
        <f>INDEX('Population Data by Age'!$B$7:$H$10366,MATCH(CONCATENATE('Tabular Pop Data by Age'!$C96,'Tabular Pop Data by Age'!J$7),'Population Data by Age'!$B$7:$B$10366,0),MATCH('Tabular Pop Data by Age'!$C$6,'Population Data by Age'!$B$6:$H$6,0))</f>
        <v>11000</v>
      </c>
      <c r="K96" s="78">
        <f>INDEX('Population Data by Age'!$B$7:$H$10366,MATCH(CONCATENATE('Tabular Pop Data by Age'!$C96,'Tabular Pop Data by Age'!K$7),'Population Data by Age'!$B$7:$B$10366,0),MATCH('Tabular Pop Data by Age'!$C$6,'Population Data by Age'!$B$6:$H$6,0))</f>
        <v>11000</v>
      </c>
      <c r="L96" s="78">
        <f>INDEX('Population Data by Age'!$B$7:$H$10366,MATCH(CONCATENATE('Tabular Pop Data by Age'!$C96,'Tabular Pop Data by Age'!L$7),'Population Data by Age'!$B$7:$B$10366,0),MATCH('Tabular Pop Data by Age'!$C$6,'Population Data by Age'!$B$6:$H$6,0))</f>
        <v>11000</v>
      </c>
      <c r="M96" s="78">
        <f>INDEX('Population Data by Age'!$B$7:$H$10366,MATCH(CONCATENATE('Tabular Pop Data by Age'!$C96,'Tabular Pop Data by Age'!M$7),'Population Data by Age'!$B$7:$B$10366,0),MATCH('Tabular Pop Data by Age'!$C$6,'Population Data by Age'!$B$6:$H$6,0))</f>
        <v>12000</v>
      </c>
      <c r="N96" s="78">
        <f>INDEX('Population Data by Age'!$B$7:$H$10366,MATCH(CONCATENATE('Tabular Pop Data by Age'!$C96,'Tabular Pop Data by Age'!N$7),'Population Data by Age'!$B$7:$B$10366,0),MATCH('Tabular Pop Data by Age'!$C$6,'Population Data by Age'!$B$6:$H$6,0))</f>
        <v>13000</v>
      </c>
      <c r="O96" s="78">
        <f>INDEX('Population Data by Age'!$B$7:$H$10366,MATCH(CONCATENATE('Tabular Pop Data by Age'!$C96,'Tabular Pop Data by Age'!O$7),'Population Data by Age'!$B$7:$B$10366,0),MATCH('Tabular Pop Data by Age'!$C$6,'Population Data by Age'!$B$6:$H$6,0))</f>
        <v>14000</v>
      </c>
      <c r="P96" s="78">
        <f>INDEX('Population Data by Age'!$B$7:$H$10366,MATCH(CONCATENATE('Tabular Pop Data by Age'!$C96,'Tabular Pop Data by Age'!P$7),'Population Data by Age'!$B$7:$B$10366,0),MATCH('Tabular Pop Data by Age'!$C$6,'Population Data by Age'!$B$6:$H$6,0))</f>
        <v>12000</v>
      </c>
      <c r="Q96" s="78">
        <f>INDEX('Population Data by Age'!$B$7:$H$10366,MATCH(CONCATENATE('Tabular Pop Data by Age'!$C96,'Tabular Pop Data by Age'!Q$7),'Population Data by Age'!$B$7:$B$10366,0),MATCH('Tabular Pop Data by Age'!$C$6,'Population Data by Age'!$B$6:$H$6,0))</f>
        <v>12000</v>
      </c>
      <c r="R96" s="78">
        <f>INDEX('Population Data by Age'!$B$7:$H$10366,MATCH(CONCATENATE('Tabular Pop Data by Age'!$C96,'Tabular Pop Data by Age'!R$7),'Population Data by Age'!$B$7:$B$10366,0),MATCH('Tabular Pop Data by Age'!$C$6,'Population Data by Age'!$B$6:$H$6,0))</f>
        <v>12000</v>
      </c>
      <c r="S96" s="78">
        <f>INDEX('Population Data by Age'!$B$7:$H$10366,MATCH(CONCATENATE('Tabular Pop Data by Age'!$C96,'Tabular Pop Data by Age'!S$7),'Population Data by Age'!$B$7:$B$10366,0),MATCH('Tabular Pop Data by Age'!$C$6,'Population Data by Age'!$B$6:$H$6,0))</f>
        <v>13000</v>
      </c>
      <c r="T96" s="78">
        <f>INDEX('Population Data by Age'!$B$7:$H$10366,MATCH(CONCATENATE('Tabular Pop Data by Age'!$C96,'Tabular Pop Data by Age'!T$7),'Population Data by Age'!$B$7:$B$10366,0),MATCH('Tabular Pop Data by Age'!$C$6,'Population Data by Age'!$B$6:$H$6,0))</f>
        <v>11000</v>
      </c>
      <c r="U96" s="78">
        <f>INDEX('Population Data by Age'!$B$7:$H$10366,MATCH(CONCATENATE('Tabular Pop Data by Age'!$C96,'Tabular Pop Data by Age'!U$7),'Population Data by Age'!$B$7:$B$10366,0),MATCH('Tabular Pop Data by Age'!$C$6,'Population Data by Age'!$B$6:$H$6,0))</f>
        <v>12000</v>
      </c>
      <c r="V96" s="78">
        <f>INDEX('Population Data by Age'!$B$7:$H$10366,MATCH(CONCATENATE('Tabular Pop Data by Age'!$C96,'Tabular Pop Data by Age'!V$7),'Population Data by Age'!$B$7:$B$10366,0),MATCH('Tabular Pop Data by Age'!$C$6,'Population Data by Age'!$B$6:$H$6,0))</f>
        <v>11000</v>
      </c>
      <c r="W96" s="78">
        <f>INDEX('Population Data by Age'!$B$7:$H$10366,MATCH(CONCATENATE('Tabular Pop Data by Age'!$C96,'Tabular Pop Data by Age'!W$7),'Population Data by Age'!$B$7:$B$10366,0),MATCH('Tabular Pop Data by Age'!$C$6,'Population Data by Age'!$B$6:$H$6,0))</f>
        <v>11000</v>
      </c>
      <c r="X96" s="78">
        <f>INDEX('Population Data by Age'!$B$7:$H$10366,MATCH(CONCATENATE('Tabular Pop Data by Age'!$C96,'Tabular Pop Data by Age'!X$7),'Population Data by Age'!$B$7:$B$10366,0),MATCH('Tabular Pop Data by Age'!$C$6,'Population Data by Age'!$B$6:$H$6,0))</f>
        <v>11000</v>
      </c>
      <c r="Y96" s="78">
        <f>INDEX('Population Data by Age'!$B$7:$H$10366,MATCH(CONCATENATE('Tabular Pop Data by Age'!$C96,'Tabular Pop Data by Age'!Y$7),'Population Data by Age'!$B$7:$B$10366,0),MATCH('Tabular Pop Data by Age'!$C$6,'Population Data by Age'!$B$6:$H$6,0))</f>
        <v>11000</v>
      </c>
      <c r="Z96" s="78">
        <f>INDEX('Population Data by Age'!$B$7:$H$10366,MATCH(CONCATENATE('Tabular Pop Data by Age'!$C96,'Tabular Pop Data by Age'!Z$7),'Population Data by Age'!$B$7:$B$10366,0),MATCH('Tabular Pop Data by Age'!$C$6,'Population Data by Age'!$B$6:$H$6,0))</f>
        <v>11000</v>
      </c>
      <c r="AA96" s="78">
        <f>INDEX('Population Data by Age'!$B$7:$H$10366,MATCH(CONCATENATE('Tabular Pop Data by Age'!$C96,'Tabular Pop Data by Age'!AA$7),'Population Data by Age'!$B$7:$B$10366,0),MATCH('Tabular Pop Data by Age'!$C$6,'Population Data by Age'!$B$6:$H$6,0))</f>
        <v>11000</v>
      </c>
      <c r="AB96" s="78">
        <f>INDEX('Population Data by Age'!$B$7:$H$10366,MATCH(CONCATENATE('Tabular Pop Data by Age'!$C96,'Tabular Pop Data by Age'!AB$7),'Population Data by Age'!$B$7:$B$10366,0),MATCH('Tabular Pop Data by Age'!$C$6,'Population Data by Age'!$B$6:$H$6,0))</f>
        <v>11000</v>
      </c>
      <c r="AC96" s="78">
        <f>INDEX('Population Data by Age'!$B$7:$H$10366,MATCH(CONCATENATE('Tabular Pop Data by Age'!$C96,'Tabular Pop Data by Age'!AC$7),'Population Data by Age'!$B$7:$B$10366,0),MATCH('Tabular Pop Data by Age'!$C$6,'Population Data by Age'!$B$6:$H$6,0))</f>
        <v>11000</v>
      </c>
      <c r="AD96" s="78">
        <f>INDEX('Population Data by Age'!$B$7:$H$10366,MATCH(CONCATENATE('Tabular Pop Data by Age'!$C96,'Tabular Pop Data by Age'!AD$7),'Population Data by Age'!$B$7:$B$10366,0),MATCH('Tabular Pop Data by Age'!$C$6,'Population Data by Age'!$B$6:$H$6,0))</f>
        <v>9000</v>
      </c>
      <c r="AE96" s="78">
        <f>INDEX('Population Data by Age'!$B$7:$H$10366,MATCH(CONCATENATE('Tabular Pop Data by Age'!$C96,'Tabular Pop Data by Age'!AE$7),'Population Data by Age'!$B$7:$B$10366,0),MATCH('Tabular Pop Data by Age'!$C$6,'Population Data by Age'!$B$6:$H$6,0))</f>
        <v>9000</v>
      </c>
      <c r="AF96" s="78">
        <f>INDEX('Population Data by Age'!$B$7:$H$10366,MATCH(CONCATENATE('Tabular Pop Data by Age'!$C96,'Tabular Pop Data by Age'!AF$7),'Population Data by Age'!$B$7:$B$10366,0),MATCH('Tabular Pop Data by Age'!$C$6,'Population Data by Age'!$B$6:$H$6,0))</f>
        <v>7300</v>
      </c>
      <c r="AG96" s="78">
        <f>INDEX('Population Data by Age'!$B$7:$H$10366,MATCH(CONCATENATE('Tabular Pop Data by Age'!$C96,'Tabular Pop Data by Age'!AG$7),'Population Data by Age'!$B$7:$B$10366,0),MATCH('Tabular Pop Data by Age'!$C$6,'Population Data by Age'!$B$6:$H$6,0))</f>
        <v>7400</v>
      </c>
      <c r="AH96" s="78">
        <f>INDEX('Population Data by Age'!$B$7:$H$10366,MATCH(CONCATENATE('Tabular Pop Data by Age'!$C96,'Tabular Pop Data by Age'!AH$7),'Population Data by Age'!$B$7:$B$10366,0),MATCH('Tabular Pop Data by Age'!$C$6,'Population Data by Age'!$B$6:$H$6,0))</f>
        <v>5200</v>
      </c>
      <c r="AI96" s="78">
        <f>INDEX('Population Data by Age'!$B$7:$H$10366,MATCH(CONCATENATE('Tabular Pop Data by Age'!$C96,'Tabular Pop Data by Age'!AI$7),'Population Data by Age'!$B$7:$B$10366,0),MATCH('Tabular Pop Data by Age'!$C$6,'Population Data by Age'!$B$6:$H$6,0))</f>
        <v>4700</v>
      </c>
      <c r="AJ96" s="78">
        <f>INDEX('Population Data by Age'!$B$7:$H$10366,MATCH(CONCATENATE('Tabular Pop Data by Age'!$C96,'Tabular Pop Data by Age'!AJ$7),'Population Data by Age'!$B$7:$B$10366,0),MATCH('Tabular Pop Data by Age'!$C$6,'Population Data by Age'!$B$6:$H$6,0))</f>
        <v>7800</v>
      </c>
      <c r="AK96" s="78">
        <f>INDEX('Population Data by Age'!$B$7:$H$10366,MATCH(CONCATENATE('Tabular Pop Data by Age'!$C96,'Tabular Pop Data by Age'!AK$7),'Population Data by Age'!$B$7:$B$10366,0),MATCH('Tabular Pop Data by Age'!$C$6,'Population Data by Age'!$B$6:$H$6,0))</f>
        <v>5700</v>
      </c>
      <c r="AL96" s="78">
        <f>INDEX('Population Data by Age'!$B$7:$H$10366,MATCH(CONCATENATE('Tabular Pop Data by Age'!$C96,'Tabular Pop Data by Age'!AL$7),'Population Data by Age'!$B$7:$B$10366,0),MATCH('Tabular Pop Data by Age'!$C$6,'Population Data by Age'!$B$6:$H$6,0))</f>
        <v>179000</v>
      </c>
      <c r="AM96" s="78">
        <f>INDEX('Population Data by Age'!$B$7:$H$10366,MATCH(CONCATENATE('Tabular Pop Data by Age'!$C96,'Tabular Pop Data by Age'!AM$7),'Population Data by Age'!$B$7:$B$10366,0),MATCH('Tabular Pop Data by Age'!$C$6,'Population Data by Age'!$B$6:$H$6,0))</f>
        <v>180000</v>
      </c>
      <c r="AN96" s="78">
        <f>INDEX('Population Data by Age'!$B$7:$H$10366,MATCH(CONCATENATE('Tabular Pop Data by Age'!$C96,'Tabular Pop Data by Age'!AN$7),'Population Data by Age'!$B$7:$B$10366,0),MATCH('Tabular Pop Data by Age'!$C$6,'Population Data by Age'!$B$6:$H$6,0))</f>
        <v>359000</v>
      </c>
      <c r="AO96" s="78">
        <f>INDEX('Population Data by Age'!$B$7:$H$10366,MATCH(CONCATENATE('Tabular Pop Data by Age'!$C96,'Tabular Pop Data by Age'!AO$7),'Population Data by Age'!$B$7:$B$10366,0),MATCH('Tabular Pop Data by Age'!$C$6,'Population Data by Age'!$B$6:$H$6,0))</f>
        <v>0</v>
      </c>
      <c r="AP96" s="79">
        <f t="shared" si="17"/>
        <v>21000</v>
      </c>
      <c r="AQ96" s="79">
        <f t="shared" si="18"/>
        <v>24000</v>
      </c>
      <c r="AR96" s="79">
        <f t="shared" si="19"/>
        <v>25000</v>
      </c>
      <c r="AS96" s="79">
        <f t="shared" si="20"/>
        <v>22000</v>
      </c>
      <c r="AT96" s="79">
        <f t="shared" si="21"/>
        <v>23000</v>
      </c>
      <c r="AU96" s="79">
        <f t="shared" si="22"/>
        <v>27000</v>
      </c>
      <c r="AV96" s="79">
        <f t="shared" si="23"/>
        <v>24000</v>
      </c>
      <c r="AW96" s="79">
        <f t="shared" si="24"/>
        <v>25000</v>
      </c>
      <c r="AX96" s="79">
        <f t="shared" si="25"/>
        <v>23000</v>
      </c>
      <c r="AY96" s="79">
        <f t="shared" si="26"/>
        <v>22000</v>
      </c>
      <c r="AZ96" s="79">
        <f t="shared" si="27"/>
        <v>22000</v>
      </c>
      <c r="BA96" s="79">
        <f t="shared" si="28"/>
        <v>22000</v>
      </c>
      <c r="BB96" s="79">
        <f t="shared" si="29"/>
        <v>22000</v>
      </c>
      <c r="BC96" s="79">
        <f t="shared" si="30"/>
        <v>18000</v>
      </c>
      <c r="BD96" s="79">
        <f t="shared" si="31"/>
        <v>14700</v>
      </c>
      <c r="BE96" s="79">
        <f t="shared" si="32"/>
        <v>9900</v>
      </c>
      <c r="BF96" s="79">
        <f t="shared" si="33"/>
        <v>13500</v>
      </c>
    </row>
    <row r="97" spans="1:58" x14ac:dyDescent="0.25">
      <c r="A97" s="138" t="s">
        <v>1195</v>
      </c>
      <c r="B97" t="s">
        <v>523</v>
      </c>
      <c r="C97" t="s">
        <v>59</v>
      </c>
      <c r="D97" s="78">
        <f>INDEX('Population Data by Age'!$B$7:$H$10366,MATCH(CONCATENATE('Tabular Pop Data by Age'!$C97,'Tabular Pop Data by Age'!D$7),'Population Data by Age'!$B$7:$B$10366,0),MATCH('Tabular Pop Data by Age'!$C$6,'Population Data by Age'!$B$6:$H$6,0))</f>
        <v>55651000</v>
      </c>
      <c r="E97" s="78">
        <f>INDEX('Population Data by Age'!$B$7:$H$10366,MATCH(CONCATENATE('Tabular Pop Data by Age'!$C97,'Tabular Pop Data by Age'!E$7),'Population Data by Age'!$B$7:$B$10366,0),MATCH('Tabular Pop Data by Age'!$C$6,'Population Data by Age'!$B$6:$H$6,0))</f>
        <v>61228000</v>
      </c>
      <c r="F97" s="78">
        <f>INDEX('Population Data by Age'!$B$7:$H$10366,MATCH(CONCATENATE('Tabular Pop Data by Age'!$C97,'Tabular Pop Data by Age'!F$7),'Population Data by Age'!$B$7:$B$10366,0),MATCH('Tabular Pop Data by Age'!$C$6,'Population Data by Age'!$B$6:$H$6,0))</f>
        <v>56105000</v>
      </c>
      <c r="G97" s="78">
        <f>INDEX('Population Data by Age'!$B$7:$H$10366,MATCH(CONCATENATE('Tabular Pop Data by Age'!$C97,'Tabular Pop Data by Age'!G$7),'Population Data by Age'!$B$7:$B$10366,0),MATCH('Tabular Pop Data by Age'!$C$6,'Population Data by Age'!$B$6:$H$6,0))</f>
        <v>61877000</v>
      </c>
      <c r="H97" s="78">
        <f>INDEX('Population Data by Age'!$B$7:$H$10366,MATCH(CONCATENATE('Tabular Pop Data by Age'!$C97,'Tabular Pop Data by Age'!H$7),'Population Data by Age'!$B$7:$B$10366,0),MATCH('Tabular Pop Data by Age'!$C$6,'Population Data by Age'!$B$6:$H$6,0))</f>
        <v>59853000</v>
      </c>
      <c r="I97" s="78">
        <f>INDEX('Population Data by Age'!$B$7:$H$10366,MATCH(CONCATENATE('Tabular Pop Data by Age'!$C97,'Tabular Pop Data by Age'!I$7),'Population Data by Age'!$B$7:$B$10366,0),MATCH('Tabular Pop Data by Age'!$C$6,'Population Data by Age'!$B$6:$H$6,0))</f>
        <v>66303000</v>
      </c>
      <c r="J97" s="78">
        <f>INDEX('Population Data by Age'!$B$7:$H$10366,MATCH(CONCATENATE('Tabular Pop Data by Age'!$C97,'Tabular Pop Data by Age'!J$7),'Population Data by Age'!$B$7:$B$10366,0),MATCH('Tabular Pop Data by Age'!$C$6,'Population Data by Age'!$B$6:$H$6,0))</f>
        <v>59375000</v>
      </c>
      <c r="K97" s="78">
        <f>INDEX('Population Data by Age'!$B$7:$H$10366,MATCH(CONCATENATE('Tabular Pop Data by Age'!$C97,'Tabular Pop Data by Age'!K$7),'Population Data by Age'!$B$7:$B$10366,0),MATCH('Tabular Pop Data by Age'!$C$6,'Population Data by Age'!$B$6:$H$6,0))</f>
        <v>66671000</v>
      </c>
      <c r="L97" s="78">
        <f>INDEX('Population Data by Age'!$B$7:$H$10366,MATCH(CONCATENATE('Tabular Pop Data by Age'!$C97,'Tabular Pop Data by Age'!L$7),'Population Data by Age'!$B$7:$B$10366,0),MATCH('Tabular Pop Data by Age'!$C$6,'Population Data by Age'!$B$6:$H$6,0))</f>
        <v>57639000</v>
      </c>
      <c r="M97" s="78">
        <f>INDEX('Population Data by Age'!$B$7:$H$10366,MATCH(CONCATENATE('Tabular Pop Data by Age'!$C97,'Tabular Pop Data by Age'!M$7),'Population Data by Age'!$B$7:$B$10366,0),MATCH('Tabular Pop Data by Age'!$C$6,'Population Data by Age'!$B$6:$H$6,0))</f>
        <v>64866000</v>
      </c>
      <c r="N97" s="78">
        <f>INDEX('Population Data by Age'!$B$7:$H$10366,MATCH(CONCATENATE('Tabular Pop Data by Age'!$C97,'Tabular Pop Data by Age'!N$7),'Population Data by Age'!$B$7:$B$10366,0),MATCH('Tabular Pop Data by Age'!$C$6,'Population Data by Age'!$B$6:$H$6,0))</f>
        <v>55358000</v>
      </c>
      <c r="O97" s="78">
        <f>INDEX('Population Data by Age'!$B$7:$H$10366,MATCH(CONCATENATE('Tabular Pop Data by Age'!$C97,'Tabular Pop Data by Age'!O$7),'Population Data by Age'!$B$7:$B$10366,0),MATCH('Tabular Pop Data by Age'!$C$6,'Population Data by Age'!$B$6:$H$6,0))</f>
        <v>62039000</v>
      </c>
      <c r="P97" s="78">
        <f>INDEX('Population Data by Age'!$B$7:$H$10366,MATCH(CONCATENATE('Tabular Pop Data by Age'!$C97,'Tabular Pop Data by Age'!P$7),'Population Data by Age'!$B$7:$B$10366,0),MATCH('Tabular Pop Data by Age'!$C$6,'Population Data by Age'!$B$6:$H$6,0))</f>
        <v>53301000</v>
      </c>
      <c r="Q97" s="78">
        <f>INDEX('Population Data by Age'!$B$7:$H$10366,MATCH(CONCATENATE('Tabular Pop Data by Age'!$C97,'Tabular Pop Data by Age'!Q$7),'Population Data by Age'!$B$7:$B$10366,0),MATCH('Tabular Pop Data by Age'!$C$6,'Population Data by Age'!$B$6:$H$6,0))</f>
        <v>58875000</v>
      </c>
      <c r="R97" s="78">
        <f>INDEX('Population Data by Age'!$B$7:$H$10366,MATCH(CONCATENATE('Tabular Pop Data by Age'!$C97,'Tabular Pop Data by Age'!R$7),'Population Data by Age'!$B$7:$B$10366,0),MATCH('Tabular Pop Data by Age'!$C$6,'Population Data by Age'!$B$6:$H$6,0))</f>
        <v>49466000</v>
      </c>
      <c r="S97" s="78">
        <f>INDEX('Population Data by Age'!$B$7:$H$10366,MATCH(CONCATENATE('Tabular Pop Data by Age'!$C97,'Tabular Pop Data by Age'!S$7),'Population Data by Age'!$B$7:$B$10366,0),MATCH('Tabular Pop Data by Age'!$C$6,'Population Data by Age'!$B$6:$H$6,0))</f>
        <v>53994000</v>
      </c>
      <c r="T97" s="78">
        <f>INDEX('Population Data by Age'!$B$7:$H$10366,MATCH(CONCATENATE('Tabular Pop Data by Age'!$C97,'Tabular Pop Data by Age'!T$7),'Population Data by Age'!$B$7:$B$10366,0),MATCH('Tabular Pop Data by Age'!$C$6,'Population Data by Age'!$B$6:$H$6,0))</f>
        <v>43589000</v>
      </c>
      <c r="U97" s="78">
        <f>INDEX('Population Data by Age'!$B$7:$H$10366,MATCH(CONCATENATE('Tabular Pop Data by Age'!$C97,'Tabular Pop Data by Age'!U$7),'Population Data by Age'!$B$7:$B$10366,0),MATCH('Tabular Pop Data by Age'!$C$6,'Population Data by Age'!$B$6:$H$6,0))</f>
        <v>46631000</v>
      </c>
      <c r="V97" s="78">
        <f>INDEX('Population Data by Age'!$B$7:$H$10366,MATCH(CONCATENATE('Tabular Pop Data by Age'!$C97,'Tabular Pop Data by Age'!V$7),'Population Data by Age'!$B$7:$B$10366,0),MATCH('Tabular Pop Data by Age'!$C$6,'Population Data by Age'!$B$6:$H$6,0))</f>
        <v>38684000</v>
      </c>
      <c r="W97" s="78">
        <f>INDEX('Population Data by Age'!$B$7:$H$10366,MATCH(CONCATENATE('Tabular Pop Data by Age'!$C97,'Tabular Pop Data by Age'!W$7),'Population Data by Age'!$B$7:$B$10366,0),MATCH('Tabular Pop Data by Age'!$C$6,'Population Data by Age'!$B$6:$H$6,0))</f>
        <v>40757000</v>
      </c>
      <c r="X97" s="78">
        <f>INDEX('Population Data by Age'!$B$7:$H$10366,MATCH(CONCATENATE('Tabular Pop Data by Age'!$C97,'Tabular Pop Data by Age'!X$7),'Population Data by Age'!$B$7:$B$10366,0),MATCH('Tabular Pop Data by Age'!$C$6,'Population Data by Age'!$B$6:$H$6,0))</f>
        <v>33673000</v>
      </c>
      <c r="Y97" s="78">
        <f>INDEX('Population Data by Age'!$B$7:$H$10366,MATCH(CONCATENATE('Tabular Pop Data by Age'!$C97,'Tabular Pop Data by Age'!Y$7),'Population Data by Age'!$B$7:$B$10366,0),MATCH('Tabular Pop Data by Age'!$C$6,'Population Data by Age'!$B$6:$H$6,0))</f>
        <v>35203000</v>
      </c>
      <c r="Z97" s="78">
        <f>INDEX('Population Data by Age'!$B$7:$H$10366,MATCH(CONCATENATE('Tabular Pop Data by Age'!$C97,'Tabular Pop Data by Age'!Z$7),'Population Data by Age'!$B$7:$B$10366,0),MATCH('Tabular Pop Data by Age'!$C$6,'Population Data by Age'!$B$6:$H$6,0))</f>
        <v>29106000</v>
      </c>
      <c r="AA97" s="78">
        <f>INDEX('Population Data by Age'!$B$7:$H$10366,MATCH(CONCATENATE('Tabular Pop Data by Age'!$C97,'Tabular Pop Data by Age'!AA$7),'Population Data by Age'!$B$7:$B$10366,0),MATCH('Tabular Pop Data by Age'!$C$6,'Population Data by Age'!$B$6:$H$6,0))</f>
        <v>30150000</v>
      </c>
      <c r="AB97" s="78">
        <f>INDEX('Population Data by Age'!$B$7:$H$10366,MATCH(CONCATENATE('Tabular Pop Data by Age'!$C97,'Tabular Pop Data by Age'!AB$7),'Population Data by Age'!$B$7:$B$10366,0),MATCH('Tabular Pop Data by Age'!$C$6,'Population Data by Age'!$B$6:$H$6,0))</f>
        <v>24196000</v>
      </c>
      <c r="AC97" s="78">
        <f>INDEX('Population Data by Age'!$B$7:$H$10366,MATCH(CONCATENATE('Tabular Pop Data by Age'!$C97,'Tabular Pop Data by Age'!AC$7),'Population Data by Age'!$B$7:$B$10366,0),MATCH('Tabular Pop Data by Age'!$C$6,'Population Data by Age'!$B$6:$H$6,0))</f>
        <v>24695000</v>
      </c>
      <c r="AD97" s="78">
        <f>INDEX('Population Data by Age'!$B$7:$H$10366,MATCH(CONCATENATE('Tabular Pop Data by Age'!$C97,'Tabular Pop Data by Age'!AD$7),'Population Data by Age'!$B$7:$B$10366,0),MATCH('Tabular Pop Data by Age'!$C$6,'Population Data by Age'!$B$6:$H$6,0))</f>
        <v>19092000</v>
      </c>
      <c r="AE97" s="78">
        <f>INDEX('Population Data by Age'!$B$7:$H$10366,MATCH(CONCATENATE('Tabular Pop Data by Age'!$C97,'Tabular Pop Data by Age'!AE$7),'Population Data by Age'!$B$7:$B$10366,0),MATCH('Tabular Pop Data by Age'!$C$6,'Population Data by Age'!$B$6:$H$6,0))</f>
        <v>19168000</v>
      </c>
      <c r="AF97" s="78">
        <f>INDEX('Population Data by Age'!$B$7:$H$10366,MATCH(CONCATENATE('Tabular Pop Data by Age'!$C97,'Tabular Pop Data by Age'!AF$7),'Population Data by Age'!$B$7:$B$10366,0),MATCH('Tabular Pop Data by Age'!$C$6,'Population Data by Age'!$B$6:$H$6,0))</f>
        <v>12464000</v>
      </c>
      <c r="AG97" s="78">
        <f>INDEX('Population Data by Age'!$B$7:$H$10366,MATCH(CONCATENATE('Tabular Pop Data by Age'!$C97,'Tabular Pop Data by Age'!AG$7),'Population Data by Age'!$B$7:$B$10366,0),MATCH('Tabular Pop Data by Age'!$C$6,'Population Data by Age'!$B$6:$H$6,0))</f>
        <v>11628000</v>
      </c>
      <c r="AH97" s="78">
        <f>INDEX('Population Data by Age'!$B$7:$H$10366,MATCH(CONCATENATE('Tabular Pop Data by Age'!$C97,'Tabular Pop Data by Age'!AH$7),'Population Data by Age'!$B$7:$B$10366,0),MATCH('Tabular Pop Data by Age'!$C$6,'Population Data by Age'!$B$6:$H$6,0))</f>
        <v>8021000</v>
      </c>
      <c r="AI97" s="78">
        <f>INDEX('Population Data by Age'!$B$7:$H$10366,MATCH(CONCATENATE('Tabular Pop Data by Age'!$C97,'Tabular Pop Data by Age'!AI$7),'Population Data by Age'!$B$7:$B$10366,0),MATCH('Tabular Pop Data by Age'!$C$6,'Population Data by Age'!$B$6:$H$6,0))</f>
        <v>7063000</v>
      </c>
      <c r="AJ97" s="78">
        <f>INDEX('Population Data by Age'!$B$7:$H$10366,MATCH(CONCATENATE('Tabular Pop Data by Age'!$C97,'Tabular Pop Data by Age'!AJ$7),'Population Data by Age'!$B$7:$B$10366,0),MATCH('Tabular Pop Data by Age'!$C$6,'Population Data by Age'!$B$6:$H$6,0))</f>
        <v>7331000</v>
      </c>
      <c r="AK97" s="78">
        <f>INDEX('Population Data by Age'!$B$7:$H$10366,MATCH(CONCATENATE('Tabular Pop Data by Age'!$C97,'Tabular Pop Data by Age'!AK$7),'Population Data by Age'!$B$7:$B$10366,0),MATCH('Tabular Pop Data by Age'!$C$6,'Population Data by Age'!$B$6:$H$6,0))</f>
        <v>5953000</v>
      </c>
      <c r="AL97" s="78">
        <f>INDEX('Population Data by Age'!$B$7:$H$10366,MATCH(CONCATENATE('Tabular Pop Data by Age'!$C97,'Tabular Pop Data by Age'!AL$7),'Population Data by Age'!$B$7:$B$10366,0),MATCH('Tabular Pop Data by Age'!$C$6,'Population Data by Age'!$B$6:$H$6,0))</f>
        <v>662903000</v>
      </c>
      <c r="AM97" s="78">
        <f>INDEX('Population Data by Age'!$B$7:$H$10366,MATCH(CONCATENATE('Tabular Pop Data by Age'!$C97,'Tabular Pop Data by Age'!AM$7),'Population Data by Age'!$B$7:$B$10366,0),MATCH('Tabular Pop Data by Age'!$C$6,'Population Data by Age'!$B$6:$H$6,0))</f>
        <v>717101000</v>
      </c>
      <c r="AN97" s="78">
        <f>INDEX('Population Data by Age'!$B$7:$H$10366,MATCH(CONCATENATE('Tabular Pop Data by Age'!$C97,'Tabular Pop Data by Age'!AN$7),'Population Data by Age'!$B$7:$B$10366,0),MATCH('Tabular Pop Data by Age'!$C$6,'Population Data by Age'!$B$6:$H$6,0))</f>
        <v>1380004000</v>
      </c>
      <c r="AO97" s="78">
        <f>INDEX('Population Data by Age'!$B$7:$H$10366,MATCH(CONCATENATE('Tabular Pop Data by Age'!$C97,'Tabular Pop Data by Age'!AO$7),'Population Data by Age'!$B$7:$B$10366,0),MATCH('Tabular Pop Data by Age'!$C$6,'Population Data by Age'!$B$6:$H$6,0))</f>
        <v>0</v>
      </c>
      <c r="AP97" s="79">
        <f t="shared" si="17"/>
        <v>116879000</v>
      </c>
      <c r="AQ97" s="79">
        <f t="shared" si="18"/>
        <v>117982000</v>
      </c>
      <c r="AR97" s="79">
        <f t="shared" si="19"/>
        <v>126156000</v>
      </c>
      <c r="AS97" s="79">
        <f t="shared" si="20"/>
        <v>126046000</v>
      </c>
      <c r="AT97" s="79">
        <f t="shared" si="21"/>
        <v>122505000</v>
      </c>
      <c r="AU97" s="79">
        <f t="shared" si="22"/>
        <v>117397000</v>
      </c>
      <c r="AV97" s="79">
        <f t="shared" si="23"/>
        <v>112176000</v>
      </c>
      <c r="AW97" s="79">
        <f t="shared" si="24"/>
        <v>103460000</v>
      </c>
      <c r="AX97" s="79">
        <f t="shared" si="25"/>
        <v>90220000</v>
      </c>
      <c r="AY97" s="79">
        <f t="shared" si="26"/>
        <v>79441000</v>
      </c>
      <c r="AZ97" s="79">
        <f t="shared" si="27"/>
        <v>68876000</v>
      </c>
      <c r="BA97" s="79">
        <f t="shared" si="28"/>
        <v>59256000</v>
      </c>
      <c r="BB97" s="79">
        <f t="shared" si="29"/>
        <v>48891000</v>
      </c>
      <c r="BC97" s="79">
        <f t="shared" si="30"/>
        <v>38260000</v>
      </c>
      <c r="BD97" s="79">
        <f t="shared" si="31"/>
        <v>24092000</v>
      </c>
      <c r="BE97" s="79">
        <f t="shared" si="32"/>
        <v>15084000</v>
      </c>
      <c r="BF97" s="79">
        <f t="shared" si="33"/>
        <v>13284000</v>
      </c>
    </row>
    <row r="98" spans="1:58" x14ac:dyDescent="0.25">
      <c r="A98" s="138" t="s">
        <v>1195</v>
      </c>
      <c r="B98" t="s">
        <v>242</v>
      </c>
      <c r="C98" t="s">
        <v>58</v>
      </c>
      <c r="D98" s="78">
        <f>INDEX('Population Data by Age'!$B$7:$H$10366,MATCH(CONCATENATE('Tabular Pop Data by Age'!$C98,'Tabular Pop Data by Age'!D$7),'Population Data by Age'!$B$7:$B$10366,0),MATCH('Tabular Pop Data by Age'!$C$6,'Population Data by Age'!$B$6:$H$6,0))</f>
        <v>11566000</v>
      </c>
      <c r="E98" s="78">
        <f>INDEX('Population Data by Age'!$B$7:$H$10366,MATCH(CONCATENATE('Tabular Pop Data by Age'!$C98,'Tabular Pop Data by Age'!E$7),'Population Data by Age'!$B$7:$B$10366,0),MATCH('Tabular Pop Data by Age'!$C$6,'Population Data by Age'!$B$6:$H$6,0))</f>
        <v>12093000</v>
      </c>
      <c r="F98" s="78">
        <f>INDEX('Population Data by Age'!$B$7:$H$10366,MATCH(CONCATENATE('Tabular Pop Data by Age'!$C98,'Tabular Pop Data by Age'!F$7),'Population Data by Age'!$B$7:$B$10366,0),MATCH('Tabular Pop Data by Age'!$C$6,'Population Data by Age'!$B$6:$H$6,0))</f>
        <v>11887000</v>
      </c>
      <c r="G98" s="78">
        <f>INDEX('Population Data by Age'!$B$7:$H$10366,MATCH(CONCATENATE('Tabular Pop Data by Age'!$C98,'Tabular Pop Data by Age'!G$7),'Population Data by Age'!$B$7:$B$10366,0),MATCH('Tabular Pop Data by Age'!$C$6,'Population Data by Age'!$B$6:$H$6,0))</f>
        <v>12411000</v>
      </c>
      <c r="H98" s="78">
        <f>INDEX('Population Data by Age'!$B$7:$H$10366,MATCH(CONCATENATE('Tabular Pop Data by Age'!$C98,'Tabular Pop Data by Age'!H$7),'Population Data by Age'!$B$7:$B$10366,0),MATCH('Tabular Pop Data by Age'!$C$6,'Population Data by Age'!$B$6:$H$6,0))</f>
        <v>11175000</v>
      </c>
      <c r="I98" s="78">
        <f>INDEX('Population Data by Age'!$B$7:$H$10366,MATCH(CONCATENATE('Tabular Pop Data by Age'!$C98,'Tabular Pop Data by Age'!I$7),'Population Data by Age'!$B$7:$B$10366,0),MATCH('Tabular Pop Data by Age'!$C$6,'Population Data by Age'!$B$6:$H$6,0))</f>
        <v>11810000</v>
      </c>
      <c r="J98" s="78">
        <f>INDEX('Population Data by Age'!$B$7:$H$10366,MATCH(CONCATENATE('Tabular Pop Data by Age'!$C98,'Tabular Pop Data by Age'!J$7),'Population Data by Age'!$B$7:$B$10366,0),MATCH('Tabular Pop Data by Age'!$C$6,'Population Data by Age'!$B$6:$H$6,0))</f>
        <v>11310000</v>
      </c>
      <c r="K98" s="78">
        <f>INDEX('Population Data by Age'!$B$7:$H$10366,MATCH(CONCATENATE('Tabular Pop Data by Age'!$C98,'Tabular Pop Data by Age'!K$7),'Population Data by Age'!$B$7:$B$10366,0),MATCH('Tabular Pop Data by Age'!$C$6,'Population Data by Age'!$B$6:$H$6,0))</f>
        <v>12008000</v>
      </c>
      <c r="L98" s="78">
        <f>INDEX('Population Data by Age'!$B$7:$H$10366,MATCH(CONCATENATE('Tabular Pop Data by Age'!$C98,'Tabular Pop Data by Age'!L$7),'Population Data by Age'!$B$7:$B$10366,0),MATCH('Tabular Pop Data by Age'!$C$6,'Population Data by Age'!$B$6:$H$6,0))</f>
        <v>11028000</v>
      </c>
      <c r="M98" s="78">
        <f>INDEX('Population Data by Age'!$B$7:$H$10366,MATCH(CONCATENATE('Tabular Pop Data by Age'!$C98,'Tabular Pop Data by Age'!M$7),'Population Data by Age'!$B$7:$B$10366,0),MATCH('Tabular Pop Data by Age'!$C$6,'Population Data by Age'!$B$6:$H$6,0))</f>
        <v>11626000</v>
      </c>
      <c r="N98" s="78">
        <f>INDEX('Population Data by Age'!$B$7:$H$10366,MATCH(CONCATENATE('Tabular Pop Data by Age'!$C98,'Tabular Pop Data by Age'!N$7),'Population Data by Age'!$B$7:$B$10366,0),MATCH('Tabular Pop Data by Age'!$C$6,'Population Data by Age'!$B$6:$H$6,0))</f>
        <v>10278000</v>
      </c>
      <c r="O98" s="78">
        <f>INDEX('Population Data by Age'!$B$7:$H$10366,MATCH(CONCATENATE('Tabular Pop Data by Age'!$C98,'Tabular Pop Data by Age'!O$7),'Population Data by Age'!$B$7:$B$10366,0),MATCH('Tabular Pop Data by Age'!$C$6,'Population Data by Age'!$B$6:$H$6,0))</f>
        <v>10640000</v>
      </c>
      <c r="P98" s="78">
        <f>INDEX('Population Data by Age'!$B$7:$H$10366,MATCH(CONCATENATE('Tabular Pop Data by Age'!$C98,'Tabular Pop Data by Age'!P$7),'Population Data by Age'!$B$7:$B$10366,0),MATCH('Tabular Pop Data by Age'!$C$6,'Population Data by Age'!$B$6:$H$6,0))</f>
        <v>10018000</v>
      </c>
      <c r="Q98" s="78">
        <f>INDEX('Population Data by Age'!$B$7:$H$10366,MATCH(CONCATENATE('Tabular Pop Data by Age'!$C98,'Tabular Pop Data by Age'!Q$7),'Population Data by Age'!$B$7:$B$10366,0),MATCH('Tabular Pop Data by Age'!$C$6,'Population Data by Age'!$B$6:$H$6,0))</f>
        <v>9955000</v>
      </c>
      <c r="R98" s="78">
        <f>INDEX('Population Data by Age'!$B$7:$H$10366,MATCH(CONCATENATE('Tabular Pop Data by Age'!$C98,'Tabular Pop Data by Age'!R$7),'Population Data by Age'!$B$7:$B$10366,0),MATCH('Tabular Pop Data by Age'!$C$6,'Population Data by Age'!$B$6:$H$6,0))</f>
        <v>10603000</v>
      </c>
      <c r="S98" s="78">
        <f>INDEX('Population Data by Age'!$B$7:$H$10366,MATCH(CONCATENATE('Tabular Pop Data by Age'!$C98,'Tabular Pop Data by Age'!S$7),'Population Data by Age'!$B$7:$B$10366,0),MATCH('Tabular Pop Data by Age'!$C$6,'Population Data by Age'!$B$6:$H$6,0))</f>
        <v>10590000</v>
      </c>
      <c r="T98" s="78">
        <f>INDEX('Population Data by Age'!$B$7:$H$10366,MATCH(CONCATENATE('Tabular Pop Data by Age'!$C98,'Tabular Pop Data by Age'!T$7),'Population Data by Age'!$B$7:$B$10366,0),MATCH('Tabular Pop Data by Age'!$C$6,'Population Data by Age'!$B$6:$H$6,0))</f>
        <v>9787000</v>
      </c>
      <c r="U98" s="78">
        <f>INDEX('Population Data by Age'!$B$7:$H$10366,MATCH(CONCATENATE('Tabular Pop Data by Age'!$C98,'Tabular Pop Data by Age'!U$7),'Population Data by Age'!$B$7:$B$10366,0),MATCH('Tabular Pop Data by Age'!$C$6,'Population Data by Age'!$B$6:$H$6,0))</f>
        <v>9894000</v>
      </c>
      <c r="V98" s="78">
        <f>INDEX('Population Data by Age'!$B$7:$H$10366,MATCH(CONCATENATE('Tabular Pop Data by Age'!$C98,'Tabular Pop Data by Age'!V$7),'Population Data by Age'!$B$7:$B$10366,0),MATCH('Tabular Pop Data by Age'!$C$6,'Population Data by Age'!$B$6:$H$6,0))</f>
        <v>8997000</v>
      </c>
      <c r="W98" s="78">
        <f>INDEX('Population Data by Age'!$B$7:$H$10366,MATCH(CONCATENATE('Tabular Pop Data by Age'!$C98,'Tabular Pop Data by Age'!W$7),'Population Data by Age'!$B$7:$B$10366,0),MATCH('Tabular Pop Data by Age'!$C$6,'Population Data by Age'!$B$6:$H$6,0))</f>
        <v>9169000</v>
      </c>
      <c r="X98" s="78">
        <f>INDEX('Population Data by Age'!$B$7:$H$10366,MATCH(CONCATENATE('Tabular Pop Data by Age'!$C98,'Tabular Pop Data by Age'!X$7),'Population Data by Age'!$B$7:$B$10366,0),MATCH('Tabular Pop Data by Age'!$C$6,'Population Data by Age'!$B$6:$H$6,0))</f>
        <v>7947000</v>
      </c>
      <c r="Y98" s="78">
        <f>INDEX('Population Data by Age'!$B$7:$H$10366,MATCH(CONCATENATE('Tabular Pop Data by Age'!$C98,'Tabular Pop Data by Age'!Y$7),'Population Data by Age'!$B$7:$B$10366,0),MATCH('Tabular Pop Data by Age'!$C$6,'Population Data by Age'!$B$6:$H$6,0))</f>
        <v>8008000</v>
      </c>
      <c r="Z98" s="78">
        <f>INDEX('Population Data by Age'!$B$7:$H$10366,MATCH(CONCATENATE('Tabular Pop Data by Age'!$C98,'Tabular Pop Data by Age'!Z$7),'Population Data by Age'!$B$7:$B$10366,0),MATCH('Tabular Pop Data by Age'!$C$6,'Population Data by Age'!$B$6:$H$6,0))</f>
        <v>6660000</v>
      </c>
      <c r="AA98" s="78">
        <f>INDEX('Population Data by Age'!$B$7:$H$10366,MATCH(CONCATENATE('Tabular Pop Data by Age'!$C98,'Tabular Pop Data by Age'!AA$7),'Population Data by Age'!$B$7:$B$10366,0),MATCH('Tabular Pop Data by Age'!$C$6,'Population Data by Age'!$B$6:$H$6,0))</f>
        <v>6540000</v>
      </c>
      <c r="AB98" s="78">
        <f>INDEX('Population Data by Age'!$B$7:$H$10366,MATCH(CONCATENATE('Tabular Pop Data by Age'!$C98,'Tabular Pop Data by Age'!AB$7),'Population Data by Age'!$B$7:$B$10366,0),MATCH('Tabular Pop Data by Age'!$C$6,'Population Data by Age'!$B$6:$H$6,0))</f>
        <v>5245000</v>
      </c>
      <c r="AC98" s="78">
        <f>INDEX('Population Data by Age'!$B$7:$H$10366,MATCH(CONCATENATE('Tabular Pop Data by Age'!$C98,'Tabular Pop Data by Age'!AC$7),'Population Data by Age'!$B$7:$B$10366,0),MATCH('Tabular Pop Data by Age'!$C$6,'Population Data by Age'!$B$6:$H$6,0))</f>
        <v>5149000</v>
      </c>
      <c r="AD98" s="78">
        <f>INDEX('Population Data by Age'!$B$7:$H$10366,MATCH(CONCATENATE('Tabular Pop Data by Age'!$C98,'Tabular Pop Data by Age'!AD$7),'Population Data by Age'!$B$7:$B$10366,0),MATCH('Tabular Pop Data by Age'!$C$6,'Population Data by Age'!$B$6:$H$6,0))</f>
        <v>3576000</v>
      </c>
      <c r="AE98" s="78">
        <f>INDEX('Population Data by Age'!$B$7:$H$10366,MATCH(CONCATENATE('Tabular Pop Data by Age'!$C98,'Tabular Pop Data by Age'!AE$7),'Population Data by Age'!$B$7:$B$10366,0),MATCH('Tabular Pop Data by Age'!$C$6,'Population Data by Age'!$B$6:$H$6,0))</f>
        <v>3560000</v>
      </c>
      <c r="AF98" s="78">
        <f>INDEX('Population Data by Age'!$B$7:$H$10366,MATCH(CONCATENATE('Tabular Pop Data by Age'!$C98,'Tabular Pop Data by Age'!AF$7),'Population Data by Age'!$B$7:$B$10366,0),MATCH('Tabular Pop Data by Age'!$C$6,'Population Data by Age'!$B$6:$H$6,0))</f>
        <v>2525000</v>
      </c>
      <c r="AG98" s="78">
        <f>INDEX('Population Data by Age'!$B$7:$H$10366,MATCH(CONCATENATE('Tabular Pop Data by Age'!$C98,'Tabular Pop Data by Age'!AG$7),'Population Data by Age'!$B$7:$B$10366,0),MATCH('Tabular Pop Data by Age'!$C$6,'Population Data by Age'!$B$6:$H$6,0))</f>
        <v>2092000</v>
      </c>
      <c r="AH98" s="78">
        <f>INDEX('Population Data by Age'!$B$7:$H$10366,MATCH(CONCATENATE('Tabular Pop Data by Age'!$C98,'Tabular Pop Data by Age'!AH$7),'Population Data by Age'!$B$7:$B$10366,0),MATCH('Tabular Pop Data by Age'!$C$6,'Population Data by Age'!$B$6:$H$6,0))</f>
        <v>1685000</v>
      </c>
      <c r="AI98" s="78">
        <f>INDEX('Population Data by Age'!$B$7:$H$10366,MATCH(CONCATENATE('Tabular Pop Data by Age'!$C98,'Tabular Pop Data by Age'!AI$7),'Population Data by Age'!$B$7:$B$10366,0),MATCH('Tabular Pop Data by Age'!$C$6,'Population Data by Age'!$B$6:$H$6,0))</f>
        <v>1272000</v>
      </c>
      <c r="AJ98" s="78">
        <f>INDEX('Population Data by Age'!$B$7:$H$10366,MATCH(CONCATENATE('Tabular Pop Data by Age'!$C98,'Tabular Pop Data by Age'!AJ$7),'Population Data by Age'!$B$7:$B$10366,0),MATCH('Tabular Pop Data by Age'!$C$6,'Population Data by Age'!$B$6:$H$6,0))</f>
        <v>1519000</v>
      </c>
      <c r="AK98" s="78">
        <f>INDEX('Population Data by Age'!$B$7:$H$10366,MATCH(CONCATENATE('Tabular Pop Data by Age'!$C98,'Tabular Pop Data by Age'!AK$7),'Population Data by Age'!$B$7:$B$10366,0),MATCH('Tabular Pop Data by Age'!$C$6,'Population Data by Age'!$B$6:$H$6,0))</f>
        <v>900000</v>
      </c>
      <c r="AL98" s="78">
        <f>INDEX('Population Data by Age'!$B$7:$H$10366,MATCH(CONCATENATE('Tabular Pop Data by Age'!$C98,'Tabular Pop Data by Age'!AL$7),'Population Data by Age'!$B$7:$B$10366,0),MATCH('Tabular Pop Data by Age'!$C$6,'Population Data by Age'!$B$6:$H$6,0))</f>
        <v>135806000</v>
      </c>
      <c r="AM98" s="78">
        <f>INDEX('Population Data by Age'!$B$7:$H$10366,MATCH(CONCATENATE('Tabular Pop Data by Age'!$C98,'Tabular Pop Data by Age'!AM$7),'Population Data by Age'!$B$7:$B$10366,0),MATCH('Tabular Pop Data by Age'!$C$6,'Population Data by Age'!$B$6:$H$6,0))</f>
        <v>137718000</v>
      </c>
      <c r="AN98" s="78">
        <f>INDEX('Population Data by Age'!$B$7:$H$10366,MATCH(CONCATENATE('Tabular Pop Data by Age'!$C98,'Tabular Pop Data by Age'!AN$7),'Population Data by Age'!$B$7:$B$10366,0),MATCH('Tabular Pop Data by Age'!$C$6,'Population Data by Age'!$B$6:$H$6,0))</f>
        <v>273524000</v>
      </c>
      <c r="AO98" s="78">
        <f>INDEX('Population Data by Age'!$B$7:$H$10366,MATCH(CONCATENATE('Tabular Pop Data by Age'!$C98,'Tabular Pop Data by Age'!AO$7),'Population Data by Age'!$B$7:$B$10366,0),MATCH('Tabular Pop Data by Age'!$C$6,'Population Data by Age'!$B$6:$H$6,0))</f>
        <v>0</v>
      </c>
      <c r="AP98" s="79">
        <f t="shared" si="17"/>
        <v>23659000</v>
      </c>
      <c r="AQ98" s="79">
        <f t="shared" si="18"/>
        <v>24298000</v>
      </c>
      <c r="AR98" s="79">
        <f t="shared" si="19"/>
        <v>22985000</v>
      </c>
      <c r="AS98" s="79">
        <f t="shared" si="20"/>
        <v>23318000</v>
      </c>
      <c r="AT98" s="79">
        <f t="shared" si="21"/>
        <v>22654000</v>
      </c>
      <c r="AU98" s="79">
        <f t="shared" si="22"/>
        <v>20918000</v>
      </c>
      <c r="AV98" s="79">
        <f t="shared" si="23"/>
        <v>19973000</v>
      </c>
      <c r="AW98" s="79">
        <f t="shared" si="24"/>
        <v>21193000</v>
      </c>
      <c r="AX98" s="79">
        <f t="shared" si="25"/>
        <v>19681000</v>
      </c>
      <c r="AY98" s="79">
        <f t="shared" si="26"/>
        <v>18166000</v>
      </c>
      <c r="AZ98" s="79">
        <f t="shared" si="27"/>
        <v>15955000</v>
      </c>
      <c r="BA98" s="79">
        <f t="shared" si="28"/>
        <v>13200000</v>
      </c>
      <c r="BB98" s="79">
        <f t="shared" si="29"/>
        <v>10394000</v>
      </c>
      <c r="BC98" s="79">
        <f t="shared" si="30"/>
        <v>7136000</v>
      </c>
      <c r="BD98" s="79">
        <f t="shared" si="31"/>
        <v>4617000</v>
      </c>
      <c r="BE98" s="79">
        <f t="shared" si="32"/>
        <v>2957000</v>
      </c>
      <c r="BF98" s="79">
        <f t="shared" si="33"/>
        <v>2419000</v>
      </c>
    </row>
    <row r="99" spans="1:58" x14ac:dyDescent="0.25">
      <c r="A99" s="138" t="s">
        <v>1195</v>
      </c>
      <c r="B99" t="s">
        <v>524</v>
      </c>
      <c r="C99" t="s">
        <v>61</v>
      </c>
      <c r="D99" s="78">
        <f>INDEX('Population Data by Age'!$B$7:$H$10366,MATCH(CONCATENATE('Tabular Pop Data by Age'!$C99,'Tabular Pop Data by Age'!D$7),'Population Data by Age'!$B$7:$B$10366,0),MATCH('Tabular Pop Data by Age'!$C$6,'Population Data by Age'!$B$6:$H$6,0))</f>
        <v>3724000</v>
      </c>
      <c r="E99" s="78">
        <f>INDEX('Population Data by Age'!$B$7:$H$10366,MATCH(CONCATENATE('Tabular Pop Data by Age'!$C99,'Tabular Pop Data by Age'!E$7),'Population Data by Age'!$B$7:$B$10366,0),MATCH('Tabular Pop Data by Age'!$C$6,'Population Data by Age'!$B$6:$H$6,0))</f>
        <v>3913000</v>
      </c>
      <c r="F99" s="78">
        <f>INDEX('Population Data by Age'!$B$7:$H$10366,MATCH(CONCATENATE('Tabular Pop Data by Age'!$C99,'Tabular Pop Data by Age'!F$7),'Population Data by Age'!$B$7:$B$10366,0),MATCH('Tabular Pop Data by Age'!$C$6,'Population Data by Age'!$B$6:$H$6,0))</f>
        <v>3362000</v>
      </c>
      <c r="G99" s="78">
        <f>INDEX('Population Data by Age'!$B$7:$H$10366,MATCH(CONCATENATE('Tabular Pop Data by Age'!$C99,'Tabular Pop Data by Age'!G$7),'Population Data by Age'!$B$7:$B$10366,0),MATCH('Tabular Pop Data by Age'!$C$6,'Population Data by Age'!$B$6:$H$6,0))</f>
        <v>3567000</v>
      </c>
      <c r="H99" s="78">
        <f>INDEX('Population Data by Age'!$B$7:$H$10366,MATCH(CONCATENATE('Tabular Pop Data by Age'!$C99,'Tabular Pop Data by Age'!H$7),'Population Data by Age'!$B$7:$B$10366,0),MATCH('Tabular Pop Data by Age'!$C$6,'Population Data by Age'!$B$6:$H$6,0))</f>
        <v>3032000</v>
      </c>
      <c r="I99" s="78">
        <f>INDEX('Population Data by Age'!$B$7:$H$10366,MATCH(CONCATENATE('Tabular Pop Data by Age'!$C99,'Tabular Pop Data by Age'!I$7),'Population Data by Age'!$B$7:$B$10366,0),MATCH('Tabular Pop Data by Age'!$C$6,'Population Data by Age'!$B$6:$H$6,0))</f>
        <v>3186000</v>
      </c>
      <c r="J99" s="78">
        <f>INDEX('Population Data by Age'!$B$7:$H$10366,MATCH(CONCATENATE('Tabular Pop Data by Age'!$C99,'Tabular Pop Data by Age'!J$7),'Population Data by Age'!$B$7:$B$10366,0),MATCH('Tabular Pop Data by Age'!$C$6,'Population Data by Age'!$B$6:$H$6,0))</f>
        <v>2700000</v>
      </c>
      <c r="K99" s="78">
        <f>INDEX('Population Data by Age'!$B$7:$H$10366,MATCH(CONCATENATE('Tabular Pop Data by Age'!$C99,'Tabular Pop Data by Age'!K$7),'Population Data by Age'!$B$7:$B$10366,0),MATCH('Tabular Pop Data by Age'!$C$6,'Population Data by Age'!$B$6:$H$6,0))</f>
        <v>2830000</v>
      </c>
      <c r="L99" s="78">
        <f>INDEX('Population Data by Age'!$B$7:$H$10366,MATCH(CONCATENATE('Tabular Pop Data by Age'!$C99,'Tabular Pop Data by Age'!L$7),'Population Data by Age'!$B$7:$B$10366,0),MATCH('Tabular Pop Data by Age'!$C$6,'Population Data by Age'!$B$6:$H$6,0))</f>
        <v>2755000</v>
      </c>
      <c r="M99" s="78">
        <f>INDEX('Population Data by Age'!$B$7:$H$10366,MATCH(CONCATENATE('Tabular Pop Data by Age'!$C99,'Tabular Pop Data by Age'!M$7),'Population Data by Age'!$B$7:$B$10366,0),MATCH('Tabular Pop Data by Age'!$C$6,'Population Data by Age'!$B$6:$H$6,0))</f>
        <v>2801000</v>
      </c>
      <c r="N99" s="78">
        <f>INDEX('Population Data by Age'!$B$7:$H$10366,MATCH(CONCATENATE('Tabular Pop Data by Age'!$C99,'Tabular Pop Data by Age'!N$7),'Population Data by Age'!$B$7:$B$10366,0),MATCH('Tabular Pop Data by Age'!$C$6,'Population Data by Age'!$B$6:$H$6,0))</f>
        <v>3404000</v>
      </c>
      <c r="O99" s="78">
        <f>INDEX('Population Data by Age'!$B$7:$H$10366,MATCH(CONCATENATE('Tabular Pop Data by Age'!$C99,'Tabular Pop Data by Age'!O$7),'Population Data by Age'!$B$7:$B$10366,0),MATCH('Tabular Pop Data by Age'!$C$6,'Population Data by Age'!$B$6:$H$6,0))</f>
        <v>3382000</v>
      </c>
      <c r="P99" s="78">
        <f>INDEX('Population Data by Age'!$B$7:$H$10366,MATCH(CONCATENATE('Tabular Pop Data by Age'!$C99,'Tabular Pop Data by Age'!P$7),'Population Data by Age'!$B$7:$B$10366,0),MATCH('Tabular Pop Data by Age'!$C$6,'Population Data by Age'!$B$6:$H$6,0))</f>
        <v>4255000</v>
      </c>
      <c r="Q99" s="78">
        <f>INDEX('Population Data by Age'!$B$7:$H$10366,MATCH(CONCATENATE('Tabular Pop Data by Age'!$C99,'Tabular Pop Data by Age'!Q$7),'Population Data by Age'!$B$7:$B$10366,0),MATCH('Tabular Pop Data by Age'!$C$6,'Population Data by Age'!$B$6:$H$6,0))</f>
        <v>4212000</v>
      </c>
      <c r="R99" s="78">
        <f>INDEX('Population Data by Age'!$B$7:$H$10366,MATCH(CONCATENATE('Tabular Pop Data by Age'!$C99,'Tabular Pop Data by Age'!R$7),'Population Data by Age'!$B$7:$B$10366,0),MATCH('Tabular Pop Data by Age'!$C$6,'Population Data by Age'!$B$6:$H$6,0))</f>
        <v>4152000</v>
      </c>
      <c r="S99" s="78">
        <f>INDEX('Population Data by Age'!$B$7:$H$10366,MATCH(CONCATENATE('Tabular Pop Data by Age'!$C99,'Tabular Pop Data by Age'!S$7),'Population Data by Age'!$B$7:$B$10366,0),MATCH('Tabular Pop Data by Age'!$C$6,'Population Data by Age'!$B$6:$H$6,0))</f>
        <v>4120000</v>
      </c>
      <c r="T99" s="78">
        <f>INDEX('Population Data by Age'!$B$7:$H$10366,MATCH(CONCATENATE('Tabular Pop Data by Age'!$C99,'Tabular Pop Data by Age'!T$7),'Population Data by Age'!$B$7:$B$10366,0),MATCH('Tabular Pop Data by Age'!$C$6,'Population Data by Age'!$B$6:$H$6,0))</f>
        <v>3220000</v>
      </c>
      <c r="U99" s="78">
        <f>INDEX('Population Data by Age'!$B$7:$H$10366,MATCH(CONCATENATE('Tabular Pop Data by Age'!$C99,'Tabular Pop Data by Age'!U$7),'Population Data by Age'!$B$7:$B$10366,0),MATCH('Tabular Pop Data by Age'!$C$6,'Population Data by Age'!$B$6:$H$6,0))</f>
        <v>3271000</v>
      </c>
      <c r="V99" s="78">
        <f>INDEX('Population Data by Age'!$B$7:$H$10366,MATCH(CONCATENATE('Tabular Pop Data by Age'!$C99,'Tabular Pop Data by Age'!V$7),'Population Data by Age'!$B$7:$B$10366,0),MATCH('Tabular Pop Data by Age'!$C$6,'Population Data by Age'!$B$6:$H$6,0))</f>
        <v>2556000</v>
      </c>
      <c r="W99" s="78">
        <f>INDEX('Population Data by Age'!$B$7:$H$10366,MATCH(CONCATENATE('Tabular Pop Data by Age'!$C99,'Tabular Pop Data by Age'!W$7),'Population Data by Age'!$B$7:$B$10366,0),MATCH('Tabular Pop Data by Age'!$C$6,'Population Data by Age'!$B$6:$H$6,0))</f>
        <v>2608000</v>
      </c>
      <c r="X99" s="78">
        <f>INDEX('Population Data by Age'!$B$7:$H$10366,MATCH(CONCATENATE('Tabular Pop Data by Age'!$C99,'Tabular Pop Data by Age'!X$7),'Population Data by Age'!$B$7:$B$10366,0),MATCH('Tabular Pop Data by Age'!$C$6,'Population Data by Age'!$B$6:$H$6,0))</f>
        <v>2297000</v>
      </c>
      <c r="Y99" s="78">
        <f>INDEX('Population Data by Age'!$B$7:$H$10366,MATCH(CONCATENATE('Tabular Pop Data by Age'!$C99,'Tabular Pop Data by Age'!Y$7),'Population Data by Age'!$B$7:$B$10366,0),MATCH('Tabular Pop Data by Age'!$C$6,'Population Data by Age'!$B$6:$H$6,0))</f>
        <v>2322000</v>
      </c>
      <c r="Z99" s="78">
        <f>INDEX('Population Data by Age'!$B$7:$H$10366,MATCH(CONCATENATE('Tabular Pop Data by Age'!$C99,'Tabular Pop Data by Age'!Z$7),'Population Data by Age'!$B$7:$B$10366,0),MATCH('Tabular Pop Data by Age'!$C$6,'Population Data by Age'!$B$6:$H$6,0))</f>
        <v>1851000</v>
      </c>
      <c r="AA99" s="78">
        <f>INDEX('Population Data by Age'!$B$7:$H$10366,MATCH(CONCATENATE('Tabular Pop Data by Age'!$C99,'Tabular Pop Data by Age'!AA$7),'Population Data by Age'!$B$7:$B$10366,0),MATCH('Tabular Pop Data by Age'!$C$6,'Population Data by Age'!$B$6:$H$6,0))</f>
        <v>1826000</v>
      </c>
      <c r="AB99" s="78">
        <f>INDEX('Population Data by Age'!$B$7:$H$10366,MATCH(CONCATENATE('Tabular Pop Data by Age'!$C99,'Tabular Pop Data by Age'!AB$7),'Population Data by Age'!$B$7:$B$10366,0),MATCH('Tabular Pop Data by Age'!$C$6,'Population Data by Age'!$B$6:$H$6,0))</f>
        <v>1572000</v>
      </c>
      <c r="AC99" s="78">
        <f>INDEX('Population Data by Age'!$B$7:$H$10366,MATCH(CONCATENATE('Tabular Pop Data by Age'!$C99,'Tabular Pop Data by Age'!AC$7),'Population Data by Age'!$B$7:$B$10366,0),MATCH('Tabular Pop Data by Age'!$C$6,'Population Data by Age'!$B$6:$H$6,0))</f>
        <v>1560000</v>
      </c>
      <c r="AD99" s="78">
        <f>INDEX('Population Data by Age'!$B$7:$H$10366,MATCH(CONCATENATE('Tabular Pop Data by Age'!$C99,'Tabular Pop Data by Age'!AD$7),'Population Data by Age'!$B$7:$B$10366,0),MATCH('Tabular Pop Data by Age'!$C$6,'Population Data by Age'!$B$6:$H$6,0))</f>
        <v>1136000</v>
      </c>
      <c r="AE99" s="78">
        <f>INDEX('Population Data by Age'!$B$7:$H$10366,MATCH(CONCATENATE('Tabular Pop Data by Age'!$C99,'Tabular Pop Data by Age'!AE$7),'Population Data by Age'!$B$7:$B$10366,0),MATCH('Tabular Pop Data by Age'!$C$6,'Population Data by Age'!$B$6:$H$6,0))</f>
        <v>1129000</v>
      </c>
      <c r="AF99" s="78">
        <f>INDEX('Population Data by Age'!$B$7:$H$10366,MATCH(CONCATENATE('Tabular Pop Data by Age'!$C99,'Tabular Pop Data by Age'!AF$7),'Population Data by Age'!$B$7:$B$10366,0),MATCH('Tabular Pop Data by Age'!$C$6,'Population Data by Age'!$B$6:$H$6,0))</f>
        <v>738000</v>
      </c>
      <c r="AG99" s="78">
        <f>INDEX('Population Data by Age'!$B$7:$H$10366,MATCH(CONCATENATE('Tabular Pop Data by Age'!$C99,'Tabular Pop Data by Age'!AG$7),'Population Data by Age'!$B$7:$B$10366,0),MATCH('Tabular Pop Data by Age'!$C$6,'Population Data by Age'!$B$6:$H$6,0))</f>
        <v>710000</v>
      </c>
      <c r="AH99" s="78">
        <f>INDEX('Population Data by Age'!$B$7:$H$10366,MATCH(CONCATENATE('Tabular Pop Data by Age'!$C99,'Tabular Pop Data by Age'!AH$7),'Population Data by Age'!$B$7:$B$10366,0),MATCH('Tabular Pop Data by Age'!$C$6,'Population Data by Age'!$B$6:$H$6,0))</f>
        <v>435000</v>
      </c>
      <c r="AI99" s="78">
        <f>INDEX('Population Data by Age'!$B$7:$H$10366,MATCH(CONCATENATE('Tabular Pop Data by Age'!$C99,'Tabular Pop Data by Age'!AI$7),'Population Data by Age'!$B$7:$B$10366,0),MATCH('Tabular Pop Data by Age'!$C$6,'Population Data by Age'!$B$6:$H$6,0))</f>
        <v>471000</v>
      </c>
      <c r="AJ99" s="78">
        <f>INDEX('Population Data by Age'!$B$7:$H$10366,MATCH(CONCATENATE('Tabular Pop Data by Age'!$C99,'Tabular Pop Data by Age'!AJ$7),'Population Data by Age'!$B$7:$B$10366,0),MATCH('Tabular Pop Data by Age'!$C$6,'Population Data by Age'!$B$6:$H$6,0))</f>
        <v>394000</v>
      </c>
      <c r="AK99" s="78">
        <f>INDEX('Population Data by Age'!$B$7:$H$10366,MATCH(CONCATENATE('Tabular Pop Data by Age'!$C99,'Tabular Pop Data by Age'!AK$7),'Population Data by Age'!$B$7:$B$10366,0),MATCH('Tabular Pop Data by Age'!$C$6,'Population Data by Age'!$B$6:$H$6,0))</f>
        <v>500000</v>
      </c>
      <c r="AL99" s="78">
        <f>INDEX('Population Data by Age'!$B$7:$H$10366,MATCH(CONCATENATE('Tabular Pop Data by Age'!$C99,'Tabular Pop Data by Age'!AL$7),'Population Data by Age'!$B$7:$B$10366,0),MATCH('Tabular Pop Data by Age'!$C$6,'Population Data by Age'!$B$6:$H$6,0))</f>
        <v>41585000</v>
      </c>
      <c r="AM99" s="78">
        <f>INDEX('Population Data by Age'!$B$7:$H$10366,MATCH(CONCATENATE('Tabular Pop Data by Age'!$C99,'Tabular Pop Data by Age'!AM$7),'Population Data by Age'!$B$7:$B$10366,0),MATCH('Tabular Pop Data by Age'!$C$6,'Population Data by Age'!$B$6:$H$6,0))</f>
        <v>42408000</v>
      </c>
      <c r="AN99" s="78">
        <f>INDEX('Population Data by Age'!$B$7:$H$10366,MATCH(CONCATENATE('Tabular Pop Data by Age'!$C99,'Tabular Pop Data by Age'!AN$7),'Population Data by Age'!$B$7:$B$10366,0),MATCH('Tabular Pop Data by Age'!$C$6,'Population Data by Age'!$B$6:$H$6,0))</f>
        <v>83993000</v>
      </c>
      <c r="AO99" s="78">
        <f>INDEX('Population Data by Age'!$B$7:$H$10366,MATCH(CONCATENATE('Tabular Pop Data by Age'!$C99,'Tabular Pop Data by Age'!AO$7),'Population Data by Age'!$B$7:$B$10366,0),MATCH('Tabular Pop Data by Age'!$C$6,'Population Data by Age'!$B$6:$H$6,0))</f>
        <v>0</v>
      </c>
      <c r="AP99" s="79">
        <f t="shared" si="17"/>
        <v>7637000</v>
      </c>
      <c r="AQ99" s="79">
        <f t="shared" si="18"/>
        <v>6929000</v>
      </c>
      <c r="AR99" s="79">
        <f t="shared" si="19"/>
        <v>6218000</v>
      </c>
      <c r="AS99" s="79">
        <f t="shared" si="20"/>
        <v>5530000</v>
      </c>
      <c r="AT99" s="79">
        <f t="shared" si="21"/>
        <v>5556000</v>
      </c>
      <c r="AU99" s="79">
        <f t="shared" si="22"/>
        <v>6786000</v>
      </c>
      <c r="AV99" s="79">
        <f t="shared" si="23"/>
        <v>8467000</v>
      </c>
      <c r="AW99" s="79">
        <f t="shared" si="24"/>
        <v>8272000</v>
      </c>
      <c r="AX99" s="79">
        <f t="shared" si="25"/>
        <v>6491000</v>
      </c>
      <c r="AY99" s="79">
        <f t="shared" si="26"/>
        <v>5164000</v>
      </c>
      <c r="AZ99" s="79">
        <f t="shared" si="27"/>
        <v>4619000</v>
      </c>
      <c r="BA99" s="79">
        <f t="shared" si="28"/>
        <v>3677000</v>
      </c>
      <c r="BB99" s="79">
        <f t="shared" si="29"/>
        <v>3132000</v>
      </c>
      <c r="BC99" s="79">
        <f t="shared" si="30"/>
        <v>2265000</v>
      </c>
      <c r="BD99" s="79">
        <f t="shared" si="31"/>
        <v>1448000</v>
      </c>
      <c r="BE99" s="79">
        <f t="shared" si="32"/>
        <v>906000</v>
      </c>
      <c r="BF99" s="79">
        <f t="shared" si="33"/>
        <v>894000</v>
      </c>
    </row>
    <row r="100" spans="1:58" x14ac:dyDescent="0.25">
      <c r="A100" s="138" t="s">
        <v>1195</v>
      </c>
      <c r="B100" t="s">
        <v>525</v>
      </c>
      <c r="C100" t="s">
        <v>62</v>
      </c>
      <c r="D100" s="78">
        <f>INDEX('Population Data by Age'!$B$7:$H$10366,MATCH(CONCATENATE('Tabular Pop Data by Age'!$C100,'Tabular Pop Data by Age'!D$7),'Population Data by Age'!$B$7:$B$10366,0),MATCH('Tabular Pop Data by Age'!$C$6,'Population Data by Age'!$B$6:$H$6,0))</f>
        <v>2612000</v>
      </c>
      <c r="E100" s="78">
        <f>INDEX('Population Data by Age'!$B$7:$H$10366,MATCH(CONCATENATE('Tabular Pop Data by Age'!$C100,'Tabular Pop Data by Age'!E$7),'Population Data by Age'!$B$7:$B$10366,0),MATCH('Tabular Pop Data by Age'!$C$6,'Population Data by Age'!$B$6:$H$6,0))</f>
        <v>2768000</v>
      </c>
      <c r="F100" s="78">
        <f>INDEX('Population Data by Age'!$B$7:$H$10366,MATCH(CONCATENATE('Tabular Pop Data by Age'!$C100,'Tabular Pop Data by Age'!F$7),'Population Data by Age'!$B$7:$B$10366,0),MATCH('Tabular Pop Data by Age'!$C$6,'Population Data by Age'!$B$6:$H$6,0))</f>
        <v>2542000</v>
      </c>
      <c r="G100" s="78">
        <f>INDEX('Population Data by Age'!$B$7:$H$10366,MATCH(CONCATENATE('Tabular Pop Data by Age'!$C100,'Tabular Pop Data by Age'!G$7),'Population Data by Age'!$B$7:$B$10366,0),MATCH('Tabular Pop Data by Age'!$C$6,'Population Data by Age'!$B$6:$H$6,0))</f>
        <v>2687000</v>
      </c>
      <c r="H100" s="78">
        <f>INDEX('Population Data by Age'!$B$7:$H$10366,MATCH(CONCATENATE('Tabular Pop Data by Age'!$C100,'Tabular Pop Data by Age'!H$7),'Population Data by Age'!$B$7:$B$10366,0),MATCH('Tabular Pop Data by Age'!$C$6,'Population Data by Age'!$B$6:$H$6,0))</f>
        <v>2218000</v>
      </c>
      <c r="I100" s="78">
        <f>INDEX('Population Data by Age'!$B$7:$H$10366,MATCH(CONCATENATE('Tabular Pop Data by Age'!$C100,'Tabular Pop Data by Age'!I$7),'Population Data by Age'!$B$7:$B$10366,0),MATCH('Tabular Pop Data by Age'!$C$6,'Population Data by Age'!$B$6:$H$6,0))</f>
        <v>2341000</v>
      </c>
      <c r="J100" s="78">
        <f>INDEX('Population Data by Age'!$B$7:$H$10366,MATCH(CONCATENATE('Tabular Pop Data by Age'!$C100,'Tabular Pop Data by Age'!J$7),'Population Data by Age'!$B$7:$B$10366,0),MATCH('Tabular Pop Data by Age'!$C$6,'Population Data by Age'!$B$6:$H$6,0))</f>
        <v>2023000</v>
      </c>
      <c r="K100" s="78">
        <f>INDEX('Population Data by Age'!$B$7:$H$10366,MATCH(CONCATENATE('Tabular Pop Data by Age'!$C100,'Tabular Pop Data by Age'!K$7),'Population Data by Age'!$B$7:$B$10366,0),MATCH('Tabular Pop Data by Age'!$C$6,'Population Data by Age'!$B$6:$H$6,0))</f>
        <v>2129000</v>
      </c>
      <c r="L100" s="78">
        <f>INDEX('Population Data by Age'!$B$7:$H$10366,MATCH(CONCATENATE('Tabular Pop Data by Age'!$C100,'Tabular Pop Data by Age'!L$7),'Population Data by Age'!$B$7:$B$10366,0),MATCH('Tabular Pop Data by Age'!$C$6,'Population Data by Age'!$B$6:$H$6,0))</f>
        <v>1858000</v>
      </c>
      <c r="M100" s="78">
        <f>INDEX('Population Data by Age'!$B$7:$H$10366,MATCH(CONCATENATE('Tabular Pop Data by Age'!$C100,'Tabular Pop Data by Age'!M$7),'Population Data by Age'!$B$7:$B$10366,0),MATCH('Tabular Pop Data by Age'!$C$6,'Population Data by Age'!$B$6:$H$6,0))</f>
        <v>1941000</v>
      </c>
      <c r="N100" s="78">
        <f>INDEX('Population Data by Age'!$B$7:$H$10366,MATCH(CONCATENATE('Tabular Pop Data by Age'!$C100,'Tabular Pop Data by Age'!N$7),'Population Data by Age'!$B$7:$B$10366,0),MATCH('Tabular Pop Data by Age'!$C$6,'Population Data by Age'!$B$6:$H$6,0))</f>
        <v>1647000</v>
      </c>
      <c r="O100" s="78">
        <f>INDEX('Population Data by Age'!$B$7:$H$10366,MATCH(CONCATENATE('Tabular Pop Data by Age'!$C100,'Tabular Pop Data by Age'!O$7),'Population Data by Age'!$B$7:$B$10366,0),MATCH('Tabular Pop Data by Age'!$C$6,'Population Data by Age'!$B$6:$H$6,0))</f>
        <v>1719000</v>
      </c>
      <c r="P100" s="78">
        <f>INDEX('Population Data by Age'!$B$7:$H$10366,MATCH(CONCATENATE('Tabular Pop Data by Age'!$C100,'Tabular Pop Data by Age'!P$7),'Population Data by Age'!$B$7:$B$10366,0),MATCH('Tabular Pop Data by Age'!$C$6,'Population Data by Age'!$B$6:$H$6,0))</f>
        <v>1435000</v>
      </c>
      <c r="Q100" s="78">
        <f>INDEX('Population Data by Age'!$B$7:$H$10366,MATCH(CONCATENATE('Tabular Pop Data by Age'!$C100,'Tabular Pop Data by Age'!Q$7),'Population Data by Age'!$B$7:$B$10366,0),MATCH('Tabular Pop Data by Age'!$C$6,'Population Data by Age'!$B$6:$H$6,0))</f>
        <v>1493000</v>
      </c>
      <c r="R100" s="78">
        <f>INDEX('Population Data by Age'!$B$7:$H$10366,MATCH(CONCATENATE('Tabular Pop Data by Age'!$C100,'Tabular Pop Data by Age'!R$7),'Population Data by Age'!$B$7:$B$10366,0),MATCH('Tabular Pop Data by Age'!$C$6,'Population Data by Age'!$B$6:$H$6,0))</f>
        <v>1214000</v>
      </c>
      <c r="S100" s="78">
        <f>INDEX('Population Data by Age'!$B$7:$H$10366,MATCH(CONCATENATE('Tabular Pop Data by Age'!$C100,'Tabular Pop Data by Age'!S$7),'Population Data by Age'!$B$7:$B$10366,0),MATCH('Tabular Pop Data by Age'!$C$6,'Population Data by Age'!$B$6:$H$6,0))</f>
        <v>1262000</v>
      </c>
      <c r="T100" s="78">
        <f>INDEX('Population Data by Age'!$B$7:$H$10366,MATCH(CONCATENATE('Tabular Pop Data by Age'!$C100,'Tabular Pop Data by Age'!T$7),'Population Data by Age'!$B$7:$B$10366,0),MATCH('Tabular Pop Data by Age'!$C$6,'Population Data by Age'!$B$6:$H$6,0))</f>
        <v>1061000</v>
      </c>
      <c r="U100" s="78">
        <f>INDEX('Population Data by Age'!$B$7:$H$10366,MATCH(CONCATENATE('Tabular Pop Data by Age'!$C100,'Tabular Pop Data by Age'!U$7),'Population Data by Age'!$B$7:$B$10366,0),MATCH('Tabular Pop Data by Age'!$C$6,'Population Data by Age'!$B$6:$H$6,0))</f>
        <v>1089000</v>
      </c>
      <c r="V100" s="78">
        <f>INDEX('Population Data by Age'!$B$7:$H$10366,MATCH(CONCATENATE('Tabular Pop Data by Age'!$C100,'Tabular Pop Data by Age'!V$7),'Population Data by Age'!$B$7:$B$10366,0),MATCH('Tabular Pop Data by Age'!$C$6,'Population Data by Age'!$B$6:$H$6,0))</f>
        <v>896000</v>
      </c>
      <c r="W100" s="78">
        <f>INDEX('Population Data by Age'!$B$7:$H$10366,MATCH(CONCATENATE('Tabular Pop Data by Age'!$C100,'Tabular Pop Data by Age'!W$7),'Population Data by Age'!$B$7:$B$10366,0),MATCH('Tabular Pop Data by Age'!$C$6,'Population Data by Age'!$B$6:$H$6,0))</f>
        <v>890000</v>
      </c>
      <c r="X100" s="78">
        <f>INDEX('Population Data by Age'!$B$7:$H$10366,MATCH(CONCATENATE('Tabular Pop Data by Age'!$C100,'Tabular Pop Data by Age'!X$7),'Population Data by Age'!$B$7:$B$10366,0),MATCH('Tabular Pop Data by Age'!$C$6,'Population Data by Age'!$B$6:$H$6,0))</f>
        <v>731000</v>
      </c>
      <c r="Y100" s="78">
        <f>INDEX('Population Data by Age'!$B$7:$H$10366,MATCH(CONCATENATE('Tabular Pop Data by Age'!$C100,'Tabular Pop Data by Age'!Y$7),'Population Data by Age'!$B$7:$B$10366,0),MATCH('Tabular Pop Data by Age'!$C$6,'Population Data by Age'!$B$6:$H$6,0))</f>
        <v>684000</v>
      </c>
      <c r="Z100" s="78">
        <f>INDEX('Population Data by Age'!$B$7:$H$10366,MATCH(CONCATENATE('Tabular Pop Data by Age'!$C100,'Tabular Pop Data by Age'!Z$7),'Population Data by Age'!$B$7:$B$10366,0),MATCH('Tabular Pop Data by Age'!$C$6,'Population Data by Age'!$B$6:$H$6,0))</f>
        <v>496000</v>
      </c>
      <c r="AA100" s="78">
        <f>INDEX('Population Data by Age'!$B$7:$H$10366,MATCH(CONCATENATE('Tabular Pop Data by Age'!$C100,'Tabular Pop Data by Age'!AA$7),'Population Data by Age'!$B$7:$B$10366,0),MATCH('Tabular Pop Data by Age'!$C$6,'Population Data by Age'!$B$6:$H$6,0))</f>
        <v>430000</v>
      </c>
      <c r="AB100" s="78">
        <f>INDEX('Population Data by Age'!$B$7:$H$10366,MATCH(CONCATENATE('Tabular Pop Data by Age'!$C100,'Tabular Pop Data by Age'!AB$7),'Population Data by Age'!$B$7:$B$10366,0),MATCH('Tabular Pop Data by Age'!$C$6,'Population Data by Age'!$B$6:$H$6,0))</f>
        <v>363000</v>
      </c>
      <c r="AC100" s="78">
        <f>INDEX('Population Data by Age'!$B$7:$H$10366,MATCH(CONCATENATE('Tabular Pop Data by Age'!$C100,'Tabular Pop Data by Age'!AC$7),'Population Data by Age'!$B$7:$B$10366,0),MATCH('Tabular Pop Data by Age'!$C$6,'Population Data by Age'!$B$6:$H$6,0))</f>
        <v>306000</v>
      </c>
      <c r="AD100" s="78">
        <f>INDEX('Population Data by Age'!$B$7:$H$10366,MATCH(CONCATENATE('Tabular Pop Data by Age'!$C100,'Tabular Pop Data by Age'!AD$7),'Population Data by Age'!$B$7:$B$10366,0),MATCH('Tabular Pop Data by Age'!$C$6,'Population Data by Age'!$B$6:$H$6,0))</f>
        <v>340000</v>
      </c>
      <c r="AE100" s="78">
        <f>INDEX('Population Data by Age'!$B$7:$H$10366,MATCH(CONCATENATE('Tabular Pop Data by Age'!$C100,'Tabular Pop Data by Age'!AE$7),'Population Data by Age'!$B$7:$B$10366,0),MATCH('Tabular Pop Data by Age'!$C$6,'Population Data by Age'!$B$6:$H$6,0))</f>
        <v>283000</v>
      </c>
      <c r="AF100" s="78">
        <f>INDEX('Population Data by Age'!$B$7:$H$10366,MATCH(CONCATENATE('Tabular Pop Data by Age'!$C100,'Tabular Pop Data by Age'!AF$7),'Population Data by Age'!$B$7:$B$10366,0),MATCH('Tabular Pop Data by Age'!$C$6,'Population Data by Age'!$B$6:$H$6,0))</f>
        <v>178000</v>
      </c>
      <c r="AG100" s="78">
        <f>INDEX('Population Data by Age'!$B$7:$H$10366,MATCH(CONCATENATE('Tabular Pop Data by Age'!$C100,'Tabular Pop Data by Age'!AG$7),'Population Data by Age'!$B$7:$B$10366,0),MATCH('Tabular Pop Data by Age'!$C$6,'Population Data by Age'!$B$6:$H$6,0))</f>
        <v>154000</v>
      </c>
      <c r="AH100" s="78">
        <f>INDEX('Population Data by Age'!$B$7:$H$10366,MATCH(CONCATENATE('Tabular Pop Data by Age'!$C100,'Tabular Pop Data by Age'!AH$7),'Population Data by Age'!$B$7:$B$10366,0),MATCH('Tabular Pop Data by Age'!$C$6,'Population Data by Age'!$B$6:$H$6,0))</f>
        <v>135000</v>
      </c>
      <c r="AI100" s="78">
        <f>INDEX('Population Data by Age'!$B$7:$H$10366,MATCH(CONCATENATE('Tabular Pop Data by Age'!$C100,'Tabular Pop Data by Age'!AI$7),'Population Data by Age'!$B$7:$B$10366,0),MATCH('Tabular Pop Data by Age'!$C$6,'Population Data by Age'!$B$6:$H$6,0))</f>
        <v>107000</v>
      </c>
      <c r="AJ100" s="78">
        <f>INDEX('Population Data by Age'!$B$7:$H$10366,MATCH(CONCATENATE('Tabular Pop Data by Age'!$C100,'Tabular Pop Data by Age'!AJ$7),'Population Data by Age'!$B$7:$B$10366,0),MATCH('Tabular Pop Data by Age'!$C$6,'Population Data by Age'!$B$6:$H$6,0))</f>
        <v>114000</v>
      </c>
      <c r="AK100" s="78">
        <f>INDEX('Population Data by Age'!$B$7:$H$10366,MATCH(CONCATENATE('Tabular Pop Data by Age'!$C100,'Tabular Pop Data by Age'!AK$7),'Population Data by Age'!$B$7:$B$10366,0),MATCH('Tabular Pop Data by Age'!$C$6,'Population Data by Age'!$B$6:$H$6,0))</f>
        <v>74000</v>
      </c>
      <c r="AL100" s="78">
        <f>INDEX('Population Data by Age'!$B$7:$H$10366,MATCH(CONCATENATE('Tabular Pop Data by Age'!$C100,'Tabular Pop Data by Age'!AL$7),'Population Data by Age'!$B$7:$B$10366,0),MATCH('Tabular Pop Data by Age'!$C$6,'Population Data by Age'!$B$6:$H$6,0))</f>
        <v>19865000</v>
      </c>
      <c r="AM100" s="78">
        <f>INDEX('Population Data by Age'!$B$7:$H$10366,MATCH(CONCATENATE('Tabular Pop Data by Age'!$C100,'Tabular Pop Data by Age'!AM$7),'Population Data by Age'!$B$7:$B$10366,0),MATCH('Tabular Pop Data by Age'!$C$6,'Population Data by Age'!$B$6:$H$6,0))</f>
        <v>20358000</v>
      </c>
      <c r="AN100" s="78">
        <f>INDEX('Population Data by Age'!$B$7:$H$10366,MATCH(CONCATENATE('Tabular Pop Data by Age'!$C100,'Tabular Pop Data by Age'!AN$7),'Population Data by Age'!$B$7:$B$10366,0),MATCH('Tabular Pop Data by Age'!$C$6,'Population Data by Age'!$B$6:$H$6,0))</f>
        <v>40222000</v>
      </c>
      <c r="AO100" s="78">
        <f>INDEX('Population Data by Age'!$B$7:$H$10366,MATCH(CONCATENATE('Tabular Pop Data by Age'!$C100,'Tabular Pop Data by Age'!AO$7),'Population Data by Age'!$B$7:$B$10366,0),MATCH('Tabular Pop Data by Age'!$C$6,'Population Data by Age'!$B$6:$H$6,0))</f>
        <v>0</v>
      </c>
      <c r="AP100" s="79">
        <f t="shared" si="17"/>
        <v>5380000</v>
      </c>
      <c r="AQ100" s="79">
        <f t="shared" si="18"/>
        <v>5229000</v>
      </c>
      <c r="AR100" s="79">
        <f t="shared" si="19"/>
        <v>4559000</v>
      </c>
      <c r="AS100" s="79">
        <f t="shared" si="20"/>
        <v>4152000</v>
      </c>
      <c r="AT100" s="79">
        <f t="shared" si="21"/>
        <v>3799000</v>
      </c>
      <c r="AU100" s="79">
        <f t="shared" si="22"/>
        <v>3366000</v>
      </c>
      <c r="AV100" s="79">
        <f t="shared" si="23"/>
        <v>2928000</v>
      </c>
      <c r="AW100" s="79">
        <f t="shared" si="24"/>
        <v>2476000</v>
      </c>
      <c r="AX100" s="79">
        <f t="shared" si="25"/>
        <v>2150000</v>
      </c>
      <c r="AY100" s="79">
        <f t="shared" si="26"/>
        <v>1786000</v>
      </c>
      <c r="AZ100" s="79">
        <f t="shared" si="27"/>
        <v>1415000</v>
      </c>
      <c r="BA100" s="79">
        <f t="shared" si="28"/>
        <v>926000</v>
      </c>
      <c r="BB100" s="79">
        <f t="shared" si="29"/>
        <v>669000</v>
      </c>
      <c r="BC100" s="79">
        <f t="shared" si="30"/>
        <v>623000</v>
      </c>
      <c r="BD100" s="79">
        <f t="shared" si="31"/>
        <v>332000</v>
      </c>
      <c r="BE100" s="79">
        <f t="shared" si="32"/>
        <v>242000</v>
      </c>
      <c r="BF100" s="79">
        <f t="shared" si="33"/>
        <v>188000</v>
      </c>
    </row>
    <row r="101" spans="1:58" x14ac:dyDescent="0.25">
      <c r="A101" s="138" t="s">
        <v>1195</v>
      </c>
      <c r="B101" t="s">
        <v>526</v>
      </c>
      <c r="C101" t="s">
        <v>60</v>
      </c>
      <c r="D101" s="78">
        <f>INDEX('Population Data by Age'!$B$7:$H$10366,MATCH(CONCATENATE('Tabular Pop Data by Age'!$C101,'Tabular Pop Data by Age'!D$7),'Population Data by Age'!$B$7:$B$10366,0),MATCH('Tabular Pop Data by Age'!$C$6,'Population Data by Age'!$B$6:$H$6,0))</f>
        <v>152000</v>
      </c>
      <c r="E101" s="78">
        <f>INDEX('Population Data by Age'!$B$7:$H$10366,MATCH(CONCATENATE('Tabular Pop Data by Age'!$C101,'Tabular Pop Data by Age'!E$7),'Population Data by Age'!$B$7:$B$10366,0),MATCH('Tabular Pop Data by Age'!$C$6,'Population Data by Age'!$B$6:$H$6,0))</f>
        <v>161000</v>
      </c>
      <c r="F101" s="78">
        <f>INDEX('Population Data by Age'!$B$7:$H$10366,MATCH(CONCATENATE('Tabular Pop Data by Age'!$C101,'Tabular Pop Data by Age'!F$7),'Population Data by Age'!$B$7:$B$10366,0),MATCH('Tabular Pop Data by Age'!$C$6,'Population Data by Age'!$B$6:$H$6,0))</f>
        <v>174000</v>
      </c>
      <c r="G101" s="78">
        <f>INDEX('Population Data by Age'!$B$7:$H$10366,MATCH(CONCATENATE('Tabular Pop Data by Age'!$C101,'Tabular Pop Data by Age'!G$7),'Population Data by Age'!$B$7:$B$10366,0),MATCH('Tabular Pop Data by Age'!$C$6,'Population Data by Age'!$B$6:$H$6,0))</f>
        <v>184000</v>
      </c>
      <c r="H101" s="78">
        <f>INDEX('Population Data by Age'!$B$7:$H$10366,MATCH(CONCATENATE('Tabular Pop Data by Age'!$C101,'Tabular Pop Data by Age'!H$7),'Population Data by Age'!$B$7:$B$10366,0),MATCH('Tabular Pop Data by Age'!$C$6,'Population Data by Age'!$B$6:$H$6,0))</f>
        <v>175000</v>
      </c>
      <c r="I101" s="78">
        <f>INDEX('Population Data by Age'!$B$7:$H$10366,MATCH(CONCATENATE('Tabular Pop Data by Age'!$C101,'Tabular Pop Data by Age'!I$7),'Population Data by Age'!$B$7:$B$10366,0),MATCH('Tabular Pop Data by Age'!$C$6,'Population Data by Age'!$B$6:$H$6,0))</f>
        <v>182000</v>
      </c>
      <c r="J101" s="78">
        <f>INDEX('Population Data by Age'!$B$7:$H$10366,MATCH(CONCATENATE('Tabular Pop Data by Age'!$C101,'Tabular Pop Data by Age'!J$7),'Population Data by Age'!$B$7:$B$10366,0),MATCH('Tabular Pop Data by Age'!$C$6,'Population Data by Age'!$B$6:$H$6,0))</f>
        <v>153000</v>
      </c>
      <c r="K101" s="78">
        <f>INDEX('Population Data by Age'!$B$7:$H$10366,MATCH(CONCATENATE('Tabular Pop Data by Age'!$C101,'Tabular Pop Data by Age'!K$7),'Population Data by Age'!$B$7:$B$10366,0),MATCH('Tabular Pop Data by Age'!$C$6,'Population Data by Age'!$B$6:$H$6,0))</f>
        <v>159000</v>
      </c>
      <c r="L101" s="78">
        <f>INDEX('Population Data by Age'!$B$7:$H$10366,MATCH(CONCATENATE('Tabular Pop Data by Age'!$C101,'Tabular Pop Data by Age'!L$7),'Population Data by Age'!$B$7:$B$10366,0),MATCH('Tabular Pop Data by Age'!$C$6,'Population Data by Age'!$B$6:$H$6,0))</f>
        <v>143000</v>
      </c>
      <c r="M101" s="78">
        <f>INDEX('Population Data by Age'!$B$7:$H$10366,MATCH(CONCATENATE('Tabular Pop Data by Age'!$C101,'Tabular Pop Data by Age'!M$7),'Population Data by Age'!$B$7:$B$10366,0),MATCH('Tabular Pop Data by Age'!$C$6,'Population Data by Age'!$B$6:$H$6,0))</f>
        <v>147000</v>
      </c>
      <c r="N101" s="78">
        <f>INDEX('Population Data by Age'!$B$7:$H$10366,MATCH(CONCATENATE('Tabular Pop Data by Age'!$C101,'Tabular Pop Data by Age'!N$7),'Population Data by Age'!$B$7:$B$10366,0),MATCH('Tabular Pop Data by Age'!$C$6,'Population Data by Age'!$B$6:$H$6,0))</f>
        <v>136000</v>
      </c>
      <c r="O101" s="78">
        <f>INDEX('Population Data by Age'!$B$7:$H$10366,MATCH(CONCATENATE('Tabular Pop Data by Age'!$C101,'Tabular Pop Data by Age'!O$7),'Population Data by Age'!$B$7:$B$10366,0),MATCH('Tabular Pop Data by Age'!$C$6,'Population Data by Age'!$B$6:$H$6,0))</f>
        <v>141000</v>
      </c>
      <c r="P101" s="78">
        <f>INDEX('Population Data by Age'!$B$7:$H$10366,MATCH(CONCATENATE('Tabular Pop Data by Age'!$C101,'Tabular Pop Data by Age'!P$7),'Population Data by Age'!$B$7:$B$10366,0),MATCH('Tabular Pop Data by Age'!$C$6,'Population Data by Age'!$B$6:$H$6,0))</f>
        <v>156000</v>
      </c>
      <c r="Q101" s="78">
        <f>INDEX('Population Data by Age'!$B$7:$H$10366,MATCH(CONCATENATE('Tabular Pop Data by Age'!$C101,'Tabular Pop Data by Age'!Q$7),'Population Data by Age'!$B$7:$B$10366,0),MATCH('Tabular Pop Data by Age'!$C$6,'Population Data by Age'!$B$6:$H$6,0))</f>
        <v>155000</v>
      </c>
      <c r="R101" s="78">
        <f>INDEX('Population Data by Age'!$B$7:$H$10366,MATCH(CONCATENATE('Tabular Pop Data by Age'!$C101,'Tabular Pop Data by Age'!R$7),'Population Data by Age'!$B$7:$B$10366,0),MATCH('Tabular Pop Data by Age'!$C$6,'Population Data by Age'!$B$6:$H$6,0))</f>
        <v>198000</v>
      </c>
      <c r="S101" s="78">
        <f>INDEX('Population Data by Age'!$B$7:$H$10366,MATCH(CONCATENATE('Tabular Pop Data by Age'!$C101,'Tabular Pop Data by Age'!S$7),'Population Data by Age'!$B$7:$B$10366,0),MATCH('Tabular Pop Data by Age'!$C$6,'Population Data by Age'!$B$6:$H$6,0))</f>
        <v>187000</v>
      </c>
      <c r="T101" s="78">
        <f>INDEX('Population Data by Age'!$B$7:$H$10366,MATCH(CONCATENATE('Tabular Pop Data by Age'!$C101,'Tabular Pop Data by Age'!T$7),'Population Data by Age'!$B$7:$B$10366,0),MATCH('Tabular Pop Data by Age'!$C$6,'Population Data by Age'!$B$6:$H$6,0))</f>
        <v>203000</v>
      </c>
      <c r="U101" s="78">
        <f>INDEX('Population Data by Age'!$B$7:$H$10366,MATCH(CONCATENATE('Tabular Pop Data by Age'!$C101,'Tabular Pop Data by Age'!U$7),'Population Data by Age'!$B$7:$B$10366,0),MATCH('Tabular Pop Data by Age'!$C$6,'Population Data by Age'!$B$6:$H$6,0))</f>
        <v>192000</v>
      </c>
      <c r="V101" s="78">
        <f>INDEX('Population Data by Age'!$B$7:$H$10366,MATCH(CONCATENATE('Tabular Pop Data by Age'!$C101,'Tabular Pop Data by Age'!V$7),'Population Data by Age'!$B$7:$B$10366,0),MATCH('Tabular Pop Data by Age'!$C$6,'Population Data by Age'!$B$6:$H$6,0))</f>
        <v>186000</v>
      </c>
      <c r="W101" s="78">
        <f>INDEX('Population Data by Age'!$B$7:$H$10366,MATCH(CONCATENATE('Tabular Pop Data by Age'!$C101,'Tabular Pop Data by Age'!W$7),'Population Data by Age'!$B$7:$B$10366,0),MATCH('Tabular Pop Data by Age'!$C$6,'Population Data by Age'!$B$6:$H$6,0))</f>
        <v>182000</v>
      </c>
      <c r="X101" s="78">
        <f>INDEX('Population Data by Age'!$B$7:$H$10366,MATCH(CONCATENATE('Tabular Pop Data by Age'!$C101,'Tabular Pop Data by Age'!X$7),'Population Data by Age'!$B$7:$B$10366,0),MATCH('Tabular Pop Data by Age'!$C$6,'Population Data by Age'!$B$6:$H$6,0))</f>
        <v>157000</v>
      </c>
      <c r="Y101" s="78">
        <f>INDEX('Population Data by Age'!$B$7:$H$10366,MATCH(CONCATENATE('Tabular Pop Data by Age'!$C101,'Tabular Pop Data by Age'!Y$7),'Population Data by Age'!$B$7:$B$10366,0),MATCH('Tabular Pop Data by Age'!$C$6,'Population Data by Age'!$B$6:$H$6,0))</f>
        <v>155000</v>
      </c>
      <c r="Z101" s="78">
        <f>INDEX('Population Data by Age'!$B$7:$H$10366,MATCH(CONCATENATE('Tabular Pop Data by Age'!$C101,'Tabular Pop Data by Age'!Z$7),'Population Data by Age'!$B$7:$B$10366,0),MATCH('Tabular Pop Data by Age'!$C$6,'Population Data by Age'!$B$6:$H$6,0))</f>
        <v>145000</v>
      </c>
      <c r="AA101" s="78">
        <f>INDEX('Population Data by Age'!$B$7:$H$10366,MATCH(CONCATENATE('Tabular Pop Data by Age'!$C101,'Tabular Pop Data by Age'!AA$7),'Population Data by Age'!$B$7:$B$10366,0),MATCH('Tabular Pop Data by Age'!$C$6,'Population Data by Age'!$B$6:$H$6,0))</f>
        <v>143000</v>
      </c>
      <c r="AB101" s="78">
        <f>INDEX('Population Data by Age'!$B$7:$H$10366,MATCH(CONCATENATE('Tabular Pop Data by Age'!$C101,'Tabular Pop Data by Age'!AB$7),'Population Data by Age'!$B$7:$B$10366,0),MATCH('Tabular Pop Data by Age'!$C$6,'Population Data by Age'!$B$6:$H$6,0))</f>
        <v>127000</v>
      </c>
      <c r="AC101" s="78">
        <f>INDEX('Population Data by Age'!$B$7:$H$10366,MATCH(CONCATENATE('Tabular Pop Data by Age'!$C101,'Tabular Pop Data by Age'!AC$7),'Population Data by Age'!$B$7:$B$10366,0),MATCH('Tabular Pop Data by Age'!$C$6,'Population Data by Age'!$B$6:$H$6,0))</f>
        <v>123000</v>
      </c>
      <c r="AD101" s="78">
        <f>INDEX('Population Data by Age'!$B$7:$H$10366,MATCH(CONCATENATE('Tabular Pop Data by Age'!$C101,'Tabular Pop Data by Age'!AD$7),'Population Data by Age'!$B$7:$B$10366,0),MATCH('Tabular Pop Data by Age'!$C$6,'Population Data by Age'!$B$6:$H$6,0))</f>
        <v>117000</v>
      </c>
      <c r="AE101" s="78">
        <f>INDEX('Population Data by Age'!$B$7:$H$10366,MATCH(CONCATENATE('Tabular Pop Data by Age'!$C101,'Tabular Pop Data by Age'!AE$7),'Population Data by Age'!$B$7:$B$10366,0),MATCH('Tabular Pop Data by Age'!$C$6,'Population Data by Age'!$B$6:$H$6,0))</f>
        <v>113000</v>
      </c>
      <c r="AF101" s="78">
        <f>INDEX('Population Data by Age'!$B$7:$H$10366,MATCH(CONCATENATE('Tabular Pop Data by Age'!$C101,'Tabular Pop Data by Age'!AF$7),'Population Data by Age'!$B$7:$B$10366,0),MATCH('Tabular Pop Data by Age'!$C$6,'Population Data by Age'!$B$6:$H$6,0))</f>
        <v>101000</v>
      </c>
      <c r="AG101" s="78">
        <f>INDEX('Population Data by Age'!$B$7:$H$10366,MATCH(CONCATENATE('Tabular Pop Data by Age'!$C101,'Tabular Pop Data by Age'!AG$7),'Population Data by Age'!$B$7:$B$10366,0),MATCH('Tabular Pop Data by Age'!$C$6,'Population Data by Age'!$B$6:$H$6,0))</f>
        <v>96000</v>
      </c>
      <c r="AH101" s="78">
        <f>INDEX('Population Data by Age'!$B$7:$H$10366,MATCH(CONCATENATE('Tabular Pop Data by Age'!$C101,'Tabular Pop Data by Age'!AH$7),'Population Data by Age'!$B$7:$B$10366,0),MATCH('Tabular Pop Data by Age'!$C$6,'Population Data by Age'!$B$6:$H$6,0))</f>
        <v>70000</v>
      </c>
      <c r="AI101" s="78">
        <f>INDEX('Population Data by Age'!$B$7:$H$10366,MATCH(CONCATENATE('Tabular Pop Data by Age'!$C101,'Tabular Pop Data by Age'!AI$7),'Population Data by Age'!$B$7:$B$10366,0),MATCH('Tabular Pop Data by Age'!$C$6,'Population Data by Age'!$B$6:$H$6,0))</f>
        <v>64000</v>
      </c>
      <c r="AJ101" s="78">
        <f>INDEX('Population Data by Age'!$B$7:$H$10366,MATCH(CONCATENATE('Tabular Pop Data by Age'!$C101,'Tabular Pop Data by Age'!AJ$7),'Population Data by Age'!$B$7:$B$10366,0),MATCH('Tabular Pop Data by Age'!$C$6,'Population Data by Age'!$B$6:$H$6,0))</f>
        <v>92000</v>
      </c>
      <c r="AK101" s="78">
        <f>INDEX('Population Data by Age'!$B$7:$H$10366,MATCH(CONCATENATE('Tabular Pop Data by Age'!$C101,'Tabular Pop Data by Age'!AK$7),'Population Data by Age'!$B$7:$B$10366,0),MATCH('Tabular Pop Data by Age'!$C$6,'Population Data by Age'!$B$6:$H$6,0))</f>
        <v>66000</v>
      </c>
      <c r="AL101" s="78">
        <f>INDEX('Population Data by Age'!$B$7:$H$10366,MATCH(CONCATENATE('Tabular Pop Data by Age'!$C101,'Tabular Pop Data by Age'!AL$7),'Population Data by Age'!$B$7:$B$10366,0),MATCH('Tabular Pop Data by Age'!$C$6,'Population Data by Age'!$B$6:$H$6,0))</f>
        <v>2484000</v>
      </c>
      <c r="AM101" s="78">
        <f>INDEX('Population Data by Age'!$B$7:$H$10366,MATCH(CONCATENATE('Tabular Pop Data by Age'!$C101,'Tabular Pop Data by Age'!AM$7),'Population Data by Age'!$B$7:$B$10366,0),MATCH('Tabular Pop Data by Age'!$C$6,'Population Data by Age'!$B$6:$H$6,0))</f>
        <v>2449000</v>
      </c>
      <c r="AN101" s="78">
        <f>INDEX('Population Data by Age'!$B$7:$H$10366,MATCH(CONCATENATE('Tabular Pop Data by Age'!$C101,'Tabular Pop Data by Age'!AN$7),'Population Data by Age'!$B$7:$B$10366,0),MATCH('Tabular Pop Data by Age'!$C$6,'Population Data by Age'!$B$6:$H$6,0))</f>
        <v>4933000</v>
      </c>
      <c r="AO101" s="78">
        <f>INDEX('Population Data by Age'!$B$7:$H$10366,MATCH(CONCATENATE('Tabular Pop Data by Age'!$C101,'Tabular Pop Data by Age'!AO$7),'Population Data by Age'!$B$7:$B$10366,0),MATCH('Tabular Pop Data by Age'!$C$6,'Population Data by Age'!$B$6:$H$6,0))</f>
        <v>0</v>
      </c>
      <c r="AP101" s="79">
        <f t="shared" si="17"/>
        <v>313000</v>
      </c>
      <c r="AQ101" s="79">
        <f t="shared" si="18"/>
        <v>358000</v>
      </c>
      <c r="AR101" s="79">
        <f t="shared" si="19"/>
        <v>357000</v>
      </c>
      <c r="AS101" s="79">
        <f t="shared" si="20"/>
        <v>312000</v>
      </c>
      <c r="AT101" s="79">
        <f t="shared" si="21"/>
        <v>290000</v>
      </c>
      <c r="AU101" s="79">
        <f t="shared" si="22"/>
        <v>277000</v>
      </c>
      <c r="AV101" s="79">
        <f t="shared" si="23"/>
        <v>311000</v>
      </c>
      <c r="AW101" s="79">
        <f t="shared" si="24"/>
        <v>385000</v>
      </c>
      <c r="AX101" s="79">
        <f t="shared" si="25"/>
        <v>395000</v>
      </c>
      <c r="AY101" s="79">
        <f t="shared" si="26"/>
        <v>368000</v>
      </c>
      <c r="AZ101" s="79">
        <f t="shared" si="27"/>
        <v>312000</v>
      </c>
      <c r="BA101" s="79">
        <f t="shared" si="28"/>
        <v>288000</v>
      </c>
      <c r="BB101" s="79">
        <f t="shared" si="29"/>
        <v>250000</v>
      </c>
      <c r="BC101" s="79">
        <f t="shared" si="30"/>
        <v>230000</v>
      </c>
      <c r="BD101" s="79">
        <f t="shared" si="31"/>
        <v>197000</v>
      </c>
      <c r="BE101" s="79">
        <f t="shared" si="32"/>
        <v>134000</v>
      </c>
      <c r="BF101" s="79">
        <f t="shared" si="33"/>
        <v>158000</v>
      </c>
    </row>
    <row r="102" spans="1:58" x14ac:dyDescent="0.25">
      <c r="A102" s="138" t="s">
        <v>1195</v>
      </c>
      <c r="B102" t="s">
        <v>527</v>
      </c>
      <c r="C102" t="s">
        <v>528</v>
      </c>
      <c r="D102" s="78">
        <f>INDEX('Population Data by Age'!$B$7:$H$10366,MATCH(CONCATENATE('Tabular Pop Data by Age'!$C102,'Tabular Pop Data by Age'!D$7),'Population Data by Age'!$B$7:$B$10366,0),MATCH('Tabular Pop Data by Age'!$C$6,'Population Data by Age'!$B$6:$H$6,0))</f>
        <v>0</v>
      </c>
      <c r="E102" s="78">
        <f>INDEX('Population Data by Age'!$B$7:$H$10366,MATCH(CONCATENATE('Tabular Pop Data by Age'!$C102,'Tabular Pop Data by Age'!E$7),'Population Data by Age'!$B$7:$B$10366,0),MATCH('Tabular Pop Data by Age'!$C$6,'Population Data by Age'!$B$6:$H$6,0))</f>
        <v>0</v>
      </c>
      <c r="F102" s="78">
        <f>INDEX('Population Data by Age'!$B$7:$H$10366,MATCH(CONCATENATE('Tabular Pop Data by Age'!$C102,'Tabular Pop Data by Age'!F$7),'Population Data by Age'!$B$7:$B$10366,0),MATCH('Tabular Pop Data by Age'!$C$6,'Population Data by Age'!$B$6:$H$6,0))</f>
        <v>0</v>
      </c>
      <c r="G102" s="78">
        <f>INDEX('Population Data by Age'!$B$7:$H$10366,MATCH(CONCATENATE('Tabular Pop Data by Age'!$C102,'Tabular Pop Data by Age'!G$7),'Population Data by Age'!$B$7:$B$10366,0),MATCH('Tabular Pop Data by Age'!$C$6,'Population Data by Age'!$B$6:$H$6,0))</f>
        <v>0</v>
      </c>
      <c r="H102" s="78">
        <f>INDEX('Population Data by Age'!$B$7:$H$10366,MATCH(CONCATENATE('Tabular Pop Data by Age'!$C102,'Tabular Pop Data by Age'!H$7),'Population Data by Age'!$B$7:$B$10366,0),MATCH('Tabular Pop Data by Age'!$C$6,'Population Data by Age'!$B$6:$H$6,0))</f>
        <v>0</v>
      </c>
      <c r="I102" s="78">
        <f>INDEX('Population Data by Age'!$B$7:$H$10366,MATCH(CONCATENATE('Tabular Pop Data by Age'!$C102,'Tabular Pop Data by Age'!I$7),'Population Data by Age'!$B$7:$B$10366,0),MATCH('Tabular Pop Data by Age'!$C$6,'Population Data by Age'!$B$6:$H$6,0))</f>
        <v>0</v>
      </c>
      <c r="J102" s="78">
        <f>INDEX('Population Data by Age'!$B$7:$H$10366,MATCH(CONCATENATE('Tabular Pop Data by Age'!$C102,'Tabular Pop Data by Age'!J$7),'Population Data by Age'!$B$7:$B$10366,0),MATCH('Tabular Pop Data by Age'!$C$6,'Population Data by Age'!$B$6:$H$6,0))</f>
        <v>0</v>
      </c>
      <c r="K102" s="78">
        <f>INDEX('Population Data by Age'!$B$7:$H$10366,MATCH(CONCATENATE('Tabular Pop Data by Age'!$C102,'Tabular Pop Data by Age'!K$7),'Population Data by Age'!$B$7:$B$10366,0),MATCH('Tabular Pop Data by Age'!$C$6,'Population Data by Age'!$B$6:$H$6,0))</f>
        <v>0</v>
      </c>
      <c r="L102" s="78">
        <f>INDEX('Population Data by Age'!$B$7:$H$10366,MATCH(CONCATENATE('Tabular Pop Data by Age'!$C102,'Tabular Pop Data by Age'!L$7),'Population Data by Age'!$B$7:$B$10366,0),MATCH('Tabular Pop Data by Age'!$C$6,'Population Data by Age'!$B$6:$H$6,0))</f>
        <v>0</v>
      </c>
      <c r="M102" s="78">
        <f>INDEX('Population Data by Age'!$B$7:$H$10366,MATCH(CONCATENATE('Tabular Pop Data by Age'!$C102,'Tabular Pop Data by Age'!M$7),'Population Data by Age'!$B$7:$B$10366,0),MATCH('Tabular Pop Data by Age'!$C$6,'Population Data by Age'!$B$6:$H$6,0))</f>
        <v>0</v>
      </c>
      <c r="N102" s="78">
        <f>INDEX('Population Data by Age'!$B$7:$H$10366,MATCH(CONCATENATE('Tabular Pop Data by Age'!$C102,'Tabular Pop Data by Age'!N$7),'Population Data by Age'!$B$7:$B$10366,0),MATCH('Tabular Pop Data by Age'!$C$6,'Population Data by Age'!$B$6:$H$6,0))</f>
        <v>0</v>
      </c>
      <c r="O102" s="78">
        <f>INDEX('Population Data by Age'!$B$7:$H$10366,MATCH(CONCATENATE('Tabular Pop Data by Age'!$C102,'Tabular Pop Data by Age'!O$7),'Population Data by Age'!$B$7:$B$10366,0),MATCH('Tabular Pop Data by Age'!$C$6,'Population Data by Age'!$B$6:$H$6,0))</f>
        <v>0</v>
      </c>
      <c r="P102" s="78">
        <f>INDEX('Population Data by Age'!$B$7:$H$10366,MATCH(CONCATENATE('Tabular Pop Data by Age'!$C102,'Tabular Pop Data by Age'!P$7),'Population Data by Age'!$B$7:$B$10366,0),MATCH('Tabular Pop Data by Age'!$C$6,'Population Data by Age'!$B$6:$H$6,0))</f>
        <v>0</v>
      </c>
      <c r="Q102" s="78">
        <f>INDEX('Population Data by Age'!$B$7:$H$10366,MATCH(CONCATENATE('Tabular Pop Data by Age'!$C102,'Tabular Pop Data by Age'!Q$7),'Population Data by Age'!$B$7:$B$10366,0),MATCH('Tabular Pop Data by Age'!$C$6,'Population Data by Age'!$B$6:$H$6,0))</f>
        <v>0</v>
      </c>
      <c r="R102" s="78">
        <f>INDEX('Population Data by Age'!$B$7:$H$10366,MATCH(CONCATENATE('Tabular Pop Data by Age'!$C102,'Tabular Pop Data by Age'!R$7),'Population Data by Age'!$B$7:$B$10366,0),MATCH('Tabular Pop Data by Age'!$C$6,'Population Data by Age'!$B$6:$H$6,0))</f>
        <v>0</v>
      </c>
      <c r="S102" s="78">
        <f>INDEX('Population Data by Age'!$B$7:$H$10366,MATCH(CONCATENATE('Tabular Pop Data by Age'!$C102,'Tabular Pop Data by Age'!S$7),'Population Data by Age'!$B$7:$B$10366,0),MATCH('Tabular Pop Data by Age'!$C$6,'Population Data by Age'!$B$6:$H$6,0))</f>
        <v>0</v>
      </c>
      <c r="T102" s="78">
        <f>INDEX('Population Data by Age'!$B$7:$H$10366,MATCH(CONCATENATE('Tabular Pop Data by Age'!$C102,'Tabular Pop Data by Age'!T$7),'Population Data by Age'!$B$7:$B$10366,0),MATCH('Tabular Pop Data by Age'!$C$6,'Population Data by Age'!$B$6:$H$6,0))</f>
        <v>0</v>
      </c>
      <c r="U102" s="78">
        <f>INDEX('Population Data by Age'!$B$7:$H$10366,MATCH(CONCATENATE('Tabular Pop Data by Age'!$C102,'Tabular Pop Data by Age'!U$7),'Population Data by Age'!$B$7:$B$10366,0),MATCH('Tabular Pop Data by Age'!$C$6,'Population Data by Age'!$B$6:$H$6,0))</f>
        <v>0</v>
      </c>
      <c r="V102" s="78">
        <f>INDEX('Population Data by Age'!$B$7:$H$10366,MATCH(CONCATENATE('Tabular Pop Data by Age'!$C102,'Tabular Pop Data by Age'!V$7),'Population Data by Age'!$B$7:$B$10366,0),MATCH('Tabular Pop Data by Age'!$C$6,'Population Data by Age'!$B$6:$H$6,0))</f>
        <v>0</v>
      </c>
      <c r="W102" s="78">
        <f>INDEX('Population Data by Age'!$B$7:$H$10366,MATCH(CONCATENATE('Tabular Pop Data by Age'!$C102,'Tabular Pop Data by Age'!W$7),'Population Data by Age'!$B$7:$B$10366,0),MATCH('Tabular Pop Data by Age'!$C$6,'Population Data by Age'!$B$6:$H$6,0))</f>
        <v>0</v>
      </c>
      <c r="X102" s="78">
        <f>INDEX('Population Data by Age'!$B$7:$H$10366,MATCH(CONCATENATE('Tabular Pop Data by Age'!$C102,'Tabular Pop Data by Age'!X$7),'Population Data by Age'!$B$7:$B$10366,0),MATCH('Tabular Pop Data by Age'!$C$6,'Population Data by Age'!$B$6:$H$6,0))</f>
        <v>0</v>
      </c>
      <c r="Y102" s="78">
        <f>INDEX('Population Data by Age'!$B$7:$H$10366,MATCH(CONCATENATE('Tabular Pop Data by Age'!$C102,'Tabular Pop Data by Age'!Y$7),'Population Data by Age'!$B$7:$B$10366,0),MATCH('Tabular Pop Data by Age'!$C$6,'Population Data by Age'!$B$6:$H$6,0))</f>
        <v>0</v>
      </c>
      <c r="Z102" s="78">
        <f>INDEX('Population Data by Age'!$B$7:$H$10366,MATCH(CONCATENATE('Tabular Pop Data by Age'!$C102,'Tabular Pop Data by Age'!Z$7),'Population Data by Age'!$B$7:$B$10366,0),MATCH('Tabular Pop Data by Age'!$C$6,'Population Data by Age'!$B$6:$H$6,0))</f>
        <v>0</v>
      </c>
      <c r="AA102" s="78">
        <f>INDEX('Population Data by Age'!$B$7:$H$10366,MATCH(CONCATENATE('Tabular Pop Data by Age'!$C102,'Tabular Pop Data by Age'!AA$7),'Population Data by Age'!$B$7:$B$10366,0),MATCH('Tabular Pop Data by Age'!$C$6,'Population Data by Age'!$B$6:$H$6,0))</f>
        <v>0</v>
      </c>
      <c r="AB102" s="78">
        <f>INDEX('Population Data by Age'!$B$7:$H$10366,MATCH(CONCATENATE('Tabular Pop Data by Age'!$C102,'Tabular Pop Data by Age'!AB$7),'Population Data by Age'!$B$7:$B$10366,0),MATCH('Tabular Pop Data by Age'!$C$6,'Population Data by Age'!$B$6:$H$6,0))</f>
        <v>0</v>
      </c>
      <c r="AC102" s="78">
        <f>INDEX('Population Data by Age'!$B$7:$H$10366,MATCH(CONCATENATE('Tabular Pop Data by Age'!$C102,'Tabular Pop Data by Age'!AC$7),'Population Data by Age'!$B$7:$B$10366,0),MATCH('Tabular Pop Data by Age'!$C$6,'Population Data by Age'!$B$6:$H$6,0))</f>
        <v>0</v>
      </c>
      <c r="AD102" s="78">
        <f>INDEX('Population Data by Age'!$B$7:$H$10366,MATCH(CONCATENATE('Tabular Pop Data by Age'!$C102,'Tabular Pop Data by Age'!AD$7),'Population Data by Age'!$B$7:$B$10366,0),MATCH('Tabular Pop Data by Age'!$C$6,'Population Data by Age'!$B$6:$H$6,0))</f>
        <v>0</v>
      </c>
      <c r="AE102" s="78">
        <f>INDEX('Population Data by Age'!$B$7:$H$10366,MATCH(CONCATENATE('Tabular Pop Data by Age'!$C102,'Tabular Pop Data by Age'!AE$7),'Population Data by Age'!$B$7:$B$10366,0),MATCH('Tabular Pop Data by Age'!$C$6,'Population Data by Age'!$B$6:$H$6,0))</f>
        <v>0</v>
      </c>
      <c r="AF102" s="78">
        <f>INDEX('Population Data by Age'!$B$7:$H$10366,MATCH(CONCATENATE('Tabular Pop Data by Age'!$C102,'Tabular Pop Data by Age'!AF$7),'Population Data by Age'!$B$7:$B$10366,0),MATCH('Tabular Pop Data by Age'!$C$6,'Population Data by Age'!$B$6:$H$6,0))</f>
        <v>0</v>
      </c>
      <c r="AG102" s="78">
        <f>INDEX('Population Data by Age'!$B$7:$H$10366,MATCH(CONCATENATE('Tabular Pop Data by Age'!$C102,'Tabular Pop Data by Age'!AG$7),'Population Data by Age'!$B$7:$B$10366,0),MATCH('Tabular Pop Data by Age'!$C$6,'Population Data by Age'!$B$6:$H$6,0))</f>
        <v>0</v>
      </c>
      <c r="AH102" s="78">
        <f>INDEX('Population Data by Age'!$B$7:$H$10366,MATCH(CONCATENATE('Tabular Pop Data by Age'!$C102,'Tabular Pop Data by Age'!AH$7),'Population Data by Age'!$B$7:$B$10366,0),MATCH('Tabular Pop Data by Age'!$C$6,'Population Data by Age'!$B$6:$H$6,0))</f>
        <v>0</v>
      </c>
      <c r="AI102" s="78">
        <f>INDEX('Population Data by Age'!$B$7:$H$10366,MATCH(CONCATENATE('Tabular Pop Data by Age'!$C102,'Tabular Pop Data by Age'!AI$7),'Population Data by Age'!$B$7:$B$10366,0),MATCH('Tabular Pop Data by Age'!$C$6,'Population Data by Age'!$B$6:$H$6,0))</f>
        <v>0</v>
      </c>
      <c r="AJ102" s="78">
        <f>INDEX('Population Data by Age'!$B$7:$H$10366,MATCH(CONCATENATE('Tabular Pop Data by Age'!$C102,'Tabular Pop Data by Age'!AJ$7),'Population Data by Age'!$B$7:$B$10366,0),MATCH('Tabular Pop Data by Age'!$C$6,'Population Data by Age'!$B$6:$H$6,0))</f>
        <v>0</v>
      </c>
      <c r="AK102" s="78">
        <f>INDEX('Population Data by Age'!$B$7:$H$10366,MATCH(CONCATENATE('Tabular Pop Data by Age'!$C102,'Tabular Pop Data by Age'!AK$7),'Population Data by Age'!$B$7:$B$10366,0),MATCH('Tabular Pop Data by Age'!$C$6,'Population Data by Age'!$B$6:$H$6,0))</f>
        <v>0</v>
      </c>
      <c r="AL102" s="78">
        <f>INDEX('Population Data by Age'!$B$7:$H$10366,MATCH(CONCATENATE('Tabular Pop Data by Age'!$C102,'Tabular Pop Data by Age'!AL$7),'Population Data by Age'!$B$7:$B$10366,0),MATCH('Tabular Pop Data by Age'!$C$6,'Population Data by Age'!$B$6:$H$6,0))</f>
        <v>0</v>
      </c>
      <c r="AM102" s="78">
        <f>INDEX('Population Data by Age'!$B$7:$H$10366,MATCH(CONCATENATE('Tabular Pop Data by Age'!$C102,'Tabular Pop Data by Age'!AM$7),'Population Data by Age'!$B$7:$B$10366,0),MATCH('Tabular Pop Data by Age'!$C$6,'Population Data by Age'!$B$6:$H$6,0))</f>
        <v>0</v>
      </c>
      <c r="AN102" s="78">
        <f>INDEX('Population Data by Age'!$B$7:$H$10366,MATCH(CONCATENATE('Tabular Pop Data by Age'!$C102,'Tabular Pop Data by Age'!AN$7),'Population Data by Age'!$B$7:$B$10366,0),MATCH('Tabular Pop Data by Age'!$C$6,'Population Data by Age'!$B$6:$H$6,0))</f>
        <v>85000</v>
      </c>
      <c r="AO102" s="78">
        <f>INDEX('Population Data by Age'!$B$7:$H$10366,MATCH(CONCATENATE('Tabular Pop Data by Age'!$C102,'Tabular Pop Data by Age'!AO$7),'Population Data by Age'!$B$7:$B$10366,0),MATCH('Tabular Pop Data by Age'!$C$6,'Population Data by Age'!$B$6:$H$6,0))</f>
        <v>0</v>
      </c>
      <c r="AP102" s="79">
        <f t="shared" si="17"/>
        <v>0</v>
      </c>
      <c r="AQ102" s="79">
        <f t="shared" si="18"/>
        <v>0</v>
      </c>
      <c r="AR102" s="79">
        <f t="shared" si="19"/>
        <v>0</v>
      </c>
      <c r="AS102" s="79">
        <f t="shared" si="20"/>
        <v>0</v>
      </c>
      <c r="AT102" s="79">
        <f t="shared" si="21"/>
        <v>0</v>
      </c>
      <c r="AU102" s="79">
        <f t="shared" si="22"/>
        <v>0</v>
      </c>
      <c r="AV102" s="79">
        <f t="shared" si="23"/>
        <v>0</v>
      </c>
      <c r="AW102" s="79">
        <f t="shared" si="24"/>
        <v>0</v>
      </c>
      <c r="AX102" s="79">
        <f t="shared" si="25"/>
        <v>0</v>
      </c>
      <c r="AY102" s="79">
        <f t="shared" si="26"/>
        <v>0</v>
      </c>
      <c r="AZ102" s="79">
        <f t="shared" si="27"/>
        <v>0</v>
      </c>
      <c r="BA102" s="79">
        <f t="shared" si="28"/>
        <v>0</v>
      </c>
      <c r="BB102" s="79">
        <f t="shared" si="29"/>
        <v>0</v>
      </c>
      <c r="BC102" s="79">
        <f t="shared" si="30"/>
        <v>0</v>
      </c>
      <c r="BD102" s="79">
        <f t="shared" si="31"/>
        <v>0</v>
      </c>
      <c r="BE102" s="79">
        <f t="shared" si="32"/>
        <v>0</v>
      </c>
      <c r="BF102" s="79">
        <f t="shared" si="33"/>
        <v>0</v>
      </c>
    </row>
    <row r="103" spans="1:58" x14ac:dyDescent="0.25">
      <c r="A103" s="138" t="s">
        <v>1195</v>
      </c>
      <c r="B103" t="s">
        <v>529</v>
      </c>
      <c r="C103" t="s">
        <v>64</v>
      </c>
      <c r="D103" s="78">
        <f>INDEX('Population Data by Age'!$B$7:$H$10366,MATCH(CONCATENATE('Tabular Pop Data by Age'!$C103,'Tabular Pop Data by Age'!D$7),'Population Data by Age'!$B$7:$B$10366,0),MATCH('Tabular Pop Data by Age'!$C$6,'Population Data by Age'!$B$6:$H$6,0))</f>
        <v>437000</v>
      </c>
      <c r="E103" s="78">
        <f>INDEX('Population Data by Age'!$B$7:$H$10366,MATCH(CONCATENATE('Tabular Pop Data by Age'!$C103,'Tabular Pop Data by Age'!E$7),'Population Data by Age'!$B$7:$B$10366,0),MATCH('Tabular Pop Data by Age'!$C$6,'Population Data by Age'!$B$6:$H$6,0))</f>
        <v>460000</v>
      </c>
      <c r="F103" s="78">
        <f>INDEX('Population Data by Age'!$B$7:$H$10366,MATCH(CONCATENATE('Tabular Pop Data by Age'!$C103,'Tabular Pop Data by Age'!F$7),'Population Data by Age'!$B$7:$B$10366,0),MATCH('Tabular Pop Data by Age'!$C$6,'Population Data by Age'!$B$6:$H$6,0))</f>
        <v>423000</v>
      </c>
      <c r="G103" s="78">
        <f>INDEX('Population Data by Age'!$B$7:$H$10366,MATCH(CONCATENATE('Tabular Pop Data by Age'!$C103,'Tabular Pop Data by Age'!G$7),'Population Data by Age'!$B$7:$B$10366,0),MATCH('Tabular Pop Data by Age'!$C$6,'Population Data by Age'!$B$6:$H$6,0))</f>
        <v>447000</v>
      </c>
      <c r="H103" s="78">
        <f>INDEX('Population Data by Age'!$B$7:$H$10366,MATCH(CONCATENATE('Tabular Pop Data by Age'!$C103,'Tabular Pop Data by Age'!H$7),'Population Data by Age'!$B$7:$B$10366,0),MATCH('Tabular Pop Data by Age'!$C$6,'Population Data by Age'!$B$6:$H$6,0))</f>
        <v>379000</v>
      </c>
      <c r="I103" s="78">
        <f>INDEX('Population Data by Age'!$B$7:$H$10366,MATCH(CONCATENATE('Tabular Pop Data by Age'!$C103,'Tabular Pop Data by Age'!I$7),'Population Data by Age'!$B$7:$B$10366,0),MATCH('Tabular Pop Data by Age'!$C$6,'Population Data by Age'!$B$6:$H$6,0))</f>
        <v>401000</v>
      </c>
      <c r="J103" s="78">
        <f>INDEX('Population Data by Age'!$B$7:$H$10366,MATCH(CONCATENATE('Tabular Pop Data by Age'!$C103,'Tabular Pop Data by Age'!J$7),'Population Data by Age'!$B$7:$B$10366,0),MATCH('Tabular Pop Data by Age'!$C$6,'Population Data by Age'!$B$6:$H$6,0))</f>
        <v>343000</v>
      </c>
      <c r="K103" s="78">
        <f>INDEX('Population Data by Age'!$B$7:$H$10366,MATCH(CONCATENATE('Tabular Pop Data by Age'!$C103,'Tabular Pop Data by Age'!K$7),'Population Data by Age'!$B$7:$B$10366,0),MATCH('Tabular Pop Data by Age'!$C$6,'Population Data by Age'!$B$6:$H$6,0))</f>
        <v>362000</v>
      </c>
      <c r="L103" s="78">
        <f>INDEX('Population Data by Age'!$B$7:$H$10366,MATCH(CONCATENATE('Tabular Pop Data by Age'!$C103,'Tabular Pop Data by Age'!L$7),'Population Data by Age'!$B$7:$B$10366,0),MATCH('Tabular Pop Data by Age'!$C$6,'Population Data by Age'!$B$6:$H$6,0))</f>
        <v>321000</v>
      </c>
      <c r="M103" s="78">
        <f>INDEX('Population Data by Age'!$B$7:$H$10366,MATCH(CONCATENATE('Tabular Pop Data by Age'!$C103,'Tabular Pop Data by Age'!M$7),'Population Data by Age'!$B$7:$B$10366,0),MATCH('Tabular Pop Data by Age'!$C$6,'Population Data by Age'!$B$6:$H$6,0))</f>
        <v>338000</v>
      </c>
      <c r="N103" s="78">
        <f>INDEX('Population Data by Age'!$B$7:$H$10366,MATCH(CONCATENATE('Tabular Pop Data by Age'!$C103,'Tabular Pop Data by Age'!N$7),'Population Data by Age'!$B$7:$B$10366,0),MATCH('Tabular Pop Data by Age'!$C$6,'Population Data by Age'!$B$6:$H$6,0))</f>
        <v>296000</v>
      </c>
      <c r="O103" s="78">
        <f>INDEX('Population Data by Age'!$B$7:$H$10366,MATCH(CONCATENATE('Tabular Pop Data by Age'!$C103,'Tabular Pop Data by Age'!O$7),'Population Data by Age'!$B$7:$B$10366,0),MATCH('Tabular Pop Data by Age'!$C$6,'Population Data by Age'!$B$6:$H$6,0))</f>
        <v>310000</v>
      </c>
      <c r="P103" s="78">
        <f>INDEX('Population Data by Age'!$B$7:$H$10366,MATCH(CONCATENATE('Tabular Pop Data by Age'!$C103,'Tabular Pop Data by Age'!P$7),'Population Data by Age'!$B$7:$B$10366,0),MATCH('Tabular Pop Data by Age'!$C$6,'Population Data by Age'!$B$6:$H$6,0))</f>
        <v>295000</v>
      </c>
      <c r="Q103" s="78">
        <f>INDEX('Population Data by Age'!$B$7:$H$10366,MATCH(CONCATENATE('Tabular Pop Data by Age'!$C103,'Tabular Pop Data by Age'!Q$7),'Population Data by Age'!$B$7:$B$10366,0),MATCH('Tabular Pop Data by Age'!$C$6,'Population Data by Age'!$B$6:$H$6,0))</f>
        <v>302000</v>
      </c>
      <c r="R103" s="78">
        <f>INDEX('Population Data by Age'!$B$7:$H$10366,MATCH(CONCATENATE('Tabular Pop Data by Age'!$C103,'Tabular Pop Data by Age'!R$7),'Population Data by Age'!$B$7:$B$10366,0),MATCH('Tabular Pop Data by Age'!$C$6,'Population Data by Age'!$B$6:$H$6,0))</f>
        <v>295000</v>
      </c>
      <c r="S103" s="78">
        <f>INDEX('Population Data by Age'!$B$7:$H$10366,MATCH(CONCATENATE('Tabular Pop Data by Age'!$C103,'Tabular Pop Data by Age'!S$7),'Population Data by Age'!$B$7:$B$10366,0),MATCH('Tabular Pop Data by Age'!$C$6,'Population Data by Age'!$B$6:$H$6,0))</f>
        <v>295000</v>
      </c>
      <c r="T103" s="78">
        <f>INDEX('Population Data by Age'!$B$7:$H$10366,MATCH(CONCATENATE('Tabular Pop Data by Age'!$C103,'Tabular Pop Data by Age'!T$7),'Population Data by Age'!$B$7:$B$10366,0),MATCH('Tabular Pop Data by Age'!$C$6,'Population Data by Age'!$B$6:$H$6,0))</f>
        <v>289000</v>
      </c>
      <c r="U103" s="78">
        <f>INDEX('Population Data by Age'!$B$7:$H$10366,MATCH(CONCATENATE('Tabular Pop Data by Age'!$C103,'Tabular Pop Data by Age'!U$7),'Population Data by Age'!$B$7:$B$10366,0),MATCH('Tabular Pop Data by Age'!$C$6,'Population Data by Age'!$B$6:$H$6,0))</f>
        <v>286000</v>
      </c>
      <c r="V103" s="78">
        <f>INDEX('Population Data by Age'!$B$7:$H$10366,MATCH(CONCATENATE('Tabular Pop Data by Age'!$C103,'Tabular Pop Data by Age'!V$7),'Population Data by Age'!$B$7:$B$10366,0),MATCH('Tabular Pop Data by Age'!$C$6,'Population Data by Age'!$B$6:$H$6,0))</f>
        <v>265000</v>
      </c>
      <c r="W103" s="78">
        <f>INDEX('Population Data by Age'!$B$7:$H$10366,MATCH(CONCATENATE('Tabular Pop Data by Age'!$C103,'Tabular Pop Data by Age'!W$7),'Population Data by Age'!$B$7:$B$10366,0),MATCH('Tabular Pop Data by Age'!$C$6,'Population Data by Age'!$B$6:$H$6,0))</f>
        <v>260000</v>
      </c>
      <c r="X103" s="78">
        <f>INDEX('Population Data by Age'!$B$7:$H$10366,MATCH(CONCATENATE('Tabular Pop Data by Age'!$C103,'Tabular Pop Data by Age'!X$7),'Population Data by Age'!$B$7:$B$10366,0),MATCH('Tabular Pop Data by Age'!$C$6,'Population Data by Age'!$B$6:$H$6,0))</f>
        <v>224000</v>
      </c>
      <c r="Y103" s="78">
        <f>INDEX('Population Data by Age'!$B$7:$H$10366,MATCH(CONCATENATE('Tabular Pop Data by Age'!$C103,'Tabular Pop Data by Age'!Y$7),'Population Data by Age'!$B$7:$B$10366,0),MATCH('Tabular Pop Data by Age'!$C$6,'Population Data by Age'!$B$6:$H$6,0))</f>
        <v>217000</v>
      </c>
      <c r="Z103" s="78">
        <f>INDEX('Population Data by Age'!$B$7:$H$10366,MATCH(CONCATENATE('Tabular Pop Data by Age'!$C103,'Tabular Pop Data by Age'!Z$7),'Population Data by Age'!$B$7:$B$10366,0),MATCH('Tabular Pop Data by Age'!$C$6,'Population Data by Age'!$B$6:$H$6,0))</f>
        <v>206000</v>
      </c>
      <c r="AA103" s="78">
        <f>INDEX('Population Data by Age'!$B$7:$H$10366,MATCH(CONCATENATE('Tabular Pop Data by Age'!$C103,'Tabular Pop Data by Age'!AA$7),'Population Data by Age'!$B$7:$B$10366,0),MATCH('Tabular Pop Data by Age'!$C$6,'Population Data by Age'!$B$6:$H$6,0))</f>
        <v>194000</v>
      </c>
      <c r="AB103" s="78">
        <f>INDEX('Population Data by Age'!$B$7:$H$10366,MATCH(CONCATENATE('Tabular Pop Data by Age'!$C103,'Tabular Pop Data by Age'!AB$7),'Population Data by Age'!$B$7:$B$10366,0),MATCH('Tabular Pop Data by Age'!$C$6,'Population Data by Age'!$B$6:$H$6,0))</f>
        <v>194000</v>
      </c>
      <c r="AC103" s="78">
        <f>INDEX('Population Data by Age'!$B$7:$H$10366,MATCH(CONCATENATE('Tabular Pop Data by Age'!$C103,'Tabular Pop Data by Age'!AC$7),'Population Data by Age'!$B$7:$B$10366,0),MATCH('Tabular Pop Data by Age'!$C$6,'Population Data by Age'!$B$6:$H$6,0))</f>
        <v>176000</v>
      </c>
      <c r="AD103" s="78">
        <f>INDEX('Population Data by Age'!$B$7:$H$10366,MATCH(CONCATENATE('Tabular Pop Data by Age'!$C103,'Tabular Pop Data by Age'!AD$7),'Population Data by Age'!$B$7:$B$10366,0),MATCH('Tabular Pop Data by Age'!$C$6,'Population Data by Age'!$B$6:$H$6,0))</f>
        <v>199000</v>
      </c>
      <c r="AE103" s="78">
        <f>INDEX('Population Data by Age'!$B$7:$H$10366,MATCH(CONCATENATE('Tabular Pop Data by Age'!$C103,'Tabular Pop Data by Age'!AE$7),'Population Data by Age'!$B$7:$B$10366,0),MATCH('Tabular Pop Data by Age'!$C$6,'Population Data by Age'!$B$6:$H$6,0))</f>
        <v>175000</v>
      </c>
      <c r="AF103" s="78">
        <f>INDEX('Population Data by Age'!$B$7:$H$10366,MATCH(CONCATENATE('Tabular Pop Data by Age'!$C103,'Tabular Pop Data by Age'!AF$7),'Population Data by Age'!$B$7:$B$10366,0),MATCH('Tabular Pop Data by Age'!$C$6,'Population Data by Age'!$B$6:$H$6,0))</f>
        <v>163000</v>
      </c>
      <c r="AG103" s="78">
        <f>INDEX('Population Data by Age'!$B$7:$H$10366,MATCH(CONCATENATE('Tabular Pop Data by Age'!$C103,'Tabular Pop Data by Age'!AG$7),'Population Data by Age'!$B$7:$B$10366,0),MATCH('Tabular Pop Data by Age'!$C$6,'Population Data by Age'!$B$6:$H$6,0))</f>
        <v>142000</v>
      </c>
      <c r="AH103" s="78">
        <f>INDEX('Population Data by Age'!$B$7:$H$10366,MATCH(CONCATENATE('Tabular Pop Data by Age'!$C103,'Tabular Pop Data by Age'!AH$7),'Population Data by Age'!$B$7:$B$10366,0),MATCH('Tabular Pop Data by Age'!$C$6,'Population Data by Age'!$B$6:$H$6,0))</f>
        <v>99000</v>
      </c>
      <c r="AI103" s="78">
        <f>INDEX('Population Data by Age'!$B$7:$H$10366,MATCH(CONCATENATE('Tabular Pop Data by Age'!$C103,'Tabular Pop Data by Age'!AI$7),'Population Data by Age'!$B$7:$B$10366,0),MATCH('Tabular Pop Data by Age'!$C$6,'Population Data by Age'!$B$6:$H$6,0))</f>
        <v>82000</v>
      </c>
      <c r="AJ103" s="78">
        <f>INDEX('Population Data by Age'!$B$7:$H$10366,MATCH(CONCATENATE('Tabular Pop Data by Age'!$C103,'Tabular Pop Data by Age'!AJ$7),'Population Data by Age'!$B$7:$B$10366,0),MATCH('Tabular Pop Data by Age'!$C$6,'Population Data by Age'!$B$6:$H$6,0))</f>
        <v>167000</v>
      </c>
      <c r="AK103" s="78">
        <f>INDEX('Population Data by Age'!$B$7:$H$10366,MATCH(CONCATENATE('Tabular Pop Data by Age'!$C103,'Tabular Pop Data by Age'!AK$7),'Population Data by Age'!$B$7:$B$10366,0),MATCH('Tabular Pop Data by Age'!$C$6,'Population Data by Age'!$B$6:$H$6,0))</f>
        <v>109000</v>
      </c>
      <c r="AL103" s="78">
        <f>INDEX('Population Data by Age'!$B$7:$H$10366,MATCH(CONCATENATE('Tabular Pop Data by Age'!$C103,'Tabular Pop Data by Age'!AL$7),'Population Data by Age'!$B$7:$B$10366,0),MATCH('Tabular Pop Data by Age'!$C$6,'Population Data by Age'!$B$6:$H$6,0))</f>
        <v>4597000</v>
      </c>
      <c r="AM103" s="78">
        <f>INDEX('Population Data by Age'!$B$7:$H$10366,MATCH(CONCATENATE('Tabular Pop Data by Age'!$C103,'Tabular Pop Data by Age'!AM$7),'Population Data by Age'!$B$7:$B$10366,0),MATCH('Tabular Pop Data by Age'!$C$6,'Population Data by Age'!$B$6:$H$6,0))</f>
        <v>4555000</v>
      </c>
      <c r="AN103" s="78">
        <f>INDEX('Population Data by Age'!$B$7:$H$10366,MATCH(CONCATENATE('Tabular Pop Data by Age'!$C103,'Tabular Pop Data by Age'!AN$7),'Population Data by Age'!$B$7:$B$10366,0),MATCH('Tabular Pop Data by Age'!$C$6,'Population Data by Age'!$B$6:$H$6,0))</f>
        <v>9152000</v>
      </c>
      <c r="AO103" s="78">
        <f>INDEX('Population Data by Age'!$B$7:$H$10366,MATCH(CONCATENATE('Tabular Pop Data by Age'!$C103,'Tabular Pop Data by Age'!AO$7),'Population Data by Age'!$B$7:$B$10366,0),MATCH('Tabular Pop Data by Age'!$C$6,'Population Data by Age'!$B$6:$H$6,0))</f>
        <v>0</v>
      </c>
      <c r="AP103" s="79">
        <f t="shared" si="17"/>
        <v>897000</v>
      </c>
      <c r="AQ103" s="79">
        <f t="shared" si="18"/>
        <v>870000</v>
      </c>
      <c r="AR103" s="79">
        <f t="shared" si="19"/>
        <v>780000</v>
      </c>
      <c r="AS103" s="79">
        <f t="shared" si="20"/>
        <v>705000</v>
      </c>
      <c r="AT103" s="79">
        <f t="shared" si="21"/>
        <v>659000</v>
      </c>
      <c r="AU103" s="79">
        <f t="shared" si="22"/>
        <v>606000</v>
      </c>
      <c r="AV103" s="79">
        <f t="shared" si="23"/>
        <v>597000</v>
      </c>
      <c r="AW103" s="79">
        <f t="shared" si="24"/>
        <v>590000</v>
      </c>
      <c r="AX103" s="79">
        <f t="shared" si="25"/>
        <v>575000</v>
      </c>
      <c r="AY103" s="79">
        <f t="shared" si="26"/>
        <v>525000</v>
      </c>
      <c r="AZ103" s="79">
        <f t="shared" si="27"/>
        <v>441000</v>
      </c>
      <c r="BA103" s="79">
        <f t="shared" si="28"/>
        <v>400000</v>
      </c>
      <c r="BB103" s="79">
        <f t="shared" si="29"/>
        <v>370000</v>
      </c>
      <c r="BC103" s="79">
        <f t="shared" si="30"/>
        <v>374000</v>
      </c>
      <c r="BD103" s="79">
        <f t="shared" si="31"/>
        <v>305000</v>
      </c>
      <c r="BE103" s="79">
        <f t="shared" si="32"/>
        <v>181000</v>
      </c>
      <c r="BF103" s="79">
        <f t="shared" si="33"/>
        <v>276000</v>
      </c>
    </row>
    <row r="104" spans="1:58" x14ac:dyDescent="0.25">
      <c r="A104" s="138" t="s">
        <v>1195</v>
      </c>
      <c r="B104" t="s">
        <v>530</v>
      </c>
      <c r="C104" t="s">
        <v>65</v>
      </c>
      <c r="D104" s="78">
        <f>INDEX('Population Data by Age'!$B$7:$H$10366,MATCH(CONCATENATE('Tabular Pop Data by Age'!$C104,'Tabular Pop Data by Age'!D$7),'Population Data by Age'!$B$7:$B$10366,0),MATCH('Tabular Pop Data by Age'!$C$6,'Population Data by Age'!$B$6:$H$6,0))</f>
        <v>1123000</v>
      </c>
      <c r="E104" s="78">
        <f>INDEX('Population Data by Age'!$B$7:$H$10366,MATCH(CONCATENATE('Tabular Pop Data by Age'!$C104,'Tabular Pop Data by Age'!E$7),'Population Data by Age'!$B$7:$B$10366,0),MATCH('Tabular Pop Data by Age'!$C$6,'Population Data by Age'!$B$6:$H$6,0))</f>
        <v>1193000</v>
      </c>
      <c r="F104" s="78">
        <f>INDEX('Population Data by Age'!$B$7:$H$10366,MATCH(CONCATENATE('Tabular Pop Data by Age'!$C104,'Tabular Pop Data by Age'!F$7),'Population Data by Age'!$B$7:$B$10366,0),MATCH('Tabular Pop Data by Age'!$C$6,'Population Data by Age'!$B$6:$H$6,0))</f>
        <v>1291000</v>
      </c>
      <c r="G104" s="78">
        <f>INDEX('Population Data by Age'!$B$7:$H$10366,MATCH(CONCATENATE('Tabular Pop Data by Age'!$C104,'Tabular Pop Data by Age'!G$7),'Population Data by Age'!$B$7:$B$10366,0),MATCH('Tabular Pop Data by Age'!$C$6,'Population Data by Age'!$B$6:$H$6,0))</f>
        <v>1370000</v>
      </c>
      <c r="H104" s="78">
        <f>INDEX('Population Data by Age'!$B$7:$H$10366,MATCH(CONCATENATE('Tabular Pop Data by Age'!$C104,'Tabular Pop Data by Age'!H$7),'Population Data by Age'!$B$7:$B$10366,0),MATCH('Tabular Pop Data by Age'!$C$6,'Population Data by Age'!$B$6:$H$6,0))</f>
        <v>1382000</v>
      </c>
      <c r="I104" s="78">
        <f>INDEX('Population Data by Age'!$B$7:$H$10366,MATCH(CONCATENATE('Tabular Pop Data by Age'!$C104,'Tabular Pop Data by Age'!I$7),'Population Data by Age'!$B$7:$B$10366,0),MATCH('Tabular Pop Data by Age'!$C$6,'Population Data by Age'!$B$6:$H$6,0))</f>
        <v>1465000</v>
      </c>
      <c r="J104" s="78">
        <f>INDEX('Population Data by Age'!$B$7:$H$10366,MATCH(CONCATENATE('Tabular Pop Data by Age'!$C104,'Tabular Pop Data by Age'!J$7),'Population Data by Age'!$B$7:$B$10366,0),MATCH('Tabular Pop Data by Age'!$C$6,'Population Data by Age'!$B$6:$H$6,0))</f>
        <v>1387000</v>
      </c>
      <c r="K104" s="78">
        <f>INDEX('Population Data by Age'!$B$7:$H$10366,MATCH(CONCATENATE('Tabular Pop Data by Age'!$C104,'Tabular Pop Data by Age'!K$7),'Population Data by Age'!$B$7:$B$10366,0),MATCH('Tabular Pop Data by Age'!$C$6,'Population Data by Age'!$B$6:$H$6,0))</f>
        <v>1479000</v>
      </c>
      <c r="L104" s="78">
        <f>INDEX('Population Data by Age'!$B$7:$H$10366,MATCH(CONCATENATE('Tabular Pop Data by Age'!$C104,'Tabular Pop Data by Age'!L$7),'Population Data by Age'!$B$7:$B$10366,0),MATCH('Tabular Pop Data by Age'!$C$6,'Population Data by Age'!$B$6:$H$6,0))</f>
        <v>1411000</v>
      </c>
      <c r="M104" s="78">
        <f>INDEX('Population Data by Age'!$B$7:$H$10366,MATCH(CONCATENATE('Tabular Pop Data by Age'!$C104,'Tabular Pop Data by Age'!M$7),'Population Data by Age'!$B$7:$B$10366,0),MATCH('Tabular Pop Data by Age'!$C$6,'Population Data by Age'!$B$6:$H$6,0))</f>
        <v>1521000</v>
      </c>
      <c r="N104" s="78">
        <f>INDEX('Population Data by Age'!$B$7:$H$10366,MATCH(CONCATENATE('Tabular Pop Data by Age'!$C104,'Tabular Pop Data by Age'!N$7),'Population Data by Age'!$B$7:$B$10366,0),MATCH('Tabular Pop Data by Age'!$C$6,'Population Data by Age'!$B$6:$H$6,0))</f>
        <v>1530000</v>
      </c>
      <c r="O104" s="78">
        <f>INDEX('Population Data by Age'!$B$7:$H$10366,MATCH(CONCATENATE('Tabular Pop Data by Age'!$C104,'Tabular Pop Data by Age'!O$7),'Population Data by Age'!$B$7:$B$10366,0),MATCH('Tabular Pop Data by Age'!$C$6,'Population Data by Age'!$B$6:$H$6,0))</f>
        <v>1620000</v>
      </c>
      <c r="P104" s="78">
        <f>INDEX('Population Data by Age'!$B$7:$H$10366,MATCH(CONCATENATE('Tabular Pop Data by Age'!$C104,'Tabular Pop Data by Age'!P$7),'Population Data by Age'!$B$7:$B$10366,0),MATCH('Tabular Pop Data by Age'!$C$6,'Population Data by Age'!$B$6:$H$6,0))</f>
        <v>1657000</v>
      </c>
      <c r="Q104" s="78">
        <f>INDEX('Population Data by Age'!$B$7:$H$10366,MATCH(CONCATENATE('Tabular Pop Data by Age'!$C104,'Tabular Pop Data by Age'!Q$7),'Population Data by Age'!$B$7:$B$10366,0),MATCH('Tabular Pop Data by Age'!$C$6,'Population Data by Age'!$B$6:$H$6,0))</f>
        <v>1697000</v>
      </c>
      <c r="R104" s="78">
        <f>INDEX('Population Data by Age'!$B$7:$H$10366,MATCH(CONCATENATE('Tabular Pop Data by Age'!$C104,'Tabular Pop Data by Age'!R$7),'Population Data by Age'!$B$7:$B$10366,0),MATCH('Tabular Pop Data by Age'!$C$6,'Population Data by Age'!$B$6:$H$6,0))</f>
        <v>1802000</v>
      </c>
      <c r="S104" s="78">
        <f>INDEX('Population Data by Age'!$B$7:$H$10366,MATCH(CONCATENATE('Tabular Pop Data by Age'!$C104,'Tabular Pop Data by Age'!S$7),'Population Data by Age'!$B$7:$B$10366,0),MATCH('Tabular Pop Data by Age'!$C$6,'Population Data by Age'!$B$6:$H$6,0))</f>
        <v>1818000</v>
      </c>
      <c r="T104" s="78">
        <f>INDEX('Population Data by Age'!$B$7:$H$10366,MATCH(CONCATENATE('Tabular Pop Data by Age'!$C104,'Tabular Pop Data by Age'!T$7),'Population Data by Age'!$B$7:$B$10366,0),MATCH('Tabular Pop Data by Age'!$C$6,'Population Data by Age'!$B$6:$H$6,0))</f>
        <v>2089000</v>
      </c>
      <c r="U104" s="78">
        <f>INDEX('Population Data by Age'!$B$7:$H$10366,MATCH(CONCATENATE('Tabular Pop Data by Age'!$C104,'Tabular Pop Data by Age'!U$7),'Population Data by Age'!$B$7:$B$10366,0),MATCH('Tabular Pop Data by Age'!$C$6,'Population Data by Age'!$B$6:$H$6,0))</f>
        <v>2085000</v>
      </c>
      <c r="V104" s="78">
        <f>INDEX('Population Data by Age'!$B$7:$H$10366,MATCH(CONCATENATE('Tabular Pop Data by Age'!$C104,'Tabular Pop Data by Age'!V$7),'Population Data by Age'!$B$7:$B$10366,0),MATCH('Tabular Pop Data by Age'!$C$6,'Population Data by Age'!$B$6:$H$6,0))</f>
        <v>2423000</v>
      </c>
      <c r="W104" s="78">
        <f>INDEX('Population Data by Age'!$B$7:$H$10366,MATCH(CONCATENATE('Tabular Pop Data by Age'!$C104,'Tabular Pop Data by Age'!W$7),'Population Data by Age'!$B$7:$B$10366,0),MATCH('Tabular Pop Data by Age'!$C$6,'Population Data by Age'!$B$6:$H$6,0))</f>
        <v>2393000</v>
      </c>
      <c r="X104" s="78">
        <f>INDEX('Population Data by Age'!$B$7:$H$10366,MATCH(CONCATENATE('Tabular Pop Data by Age'!$C104,'Tabular Pop Data by Age'!X$7),'Population Data by Age'!$B$7:$B$10366,0),MATCH('Tabular Pop Data by Age'!$C$6,'Population Data by Age'!$B$6:$H$6,0))</f>
        <v>2479000</v>
      </c>
      <c r="Y104" s="78">
        <f>INDEX('Population Data by Age'!$B$7:$H$10366,MATCH(CONCATENATE('Tabular Pop Data by Age'!$C104,'Tabular Pop Data by Age'!Y$7),'Population Data by Age'!$B$7:$B$10366,0),MATCH('Tabular Pop Data by Age'!$C$6,'Population Data by Age'!$B$6:$H$6,0))</f>
        <v>2412000</v>
      </c>
      <c r="Z104" s="78">
        <f>INDEX('Population Data by Age'!$B$7:$H$10366,MATCH(CONCATENATE('Tabular Pop Data by Age'!$C104,'Tabular Pop Data by Age'!Z$7),'Population Data by Age'!$B$7:$B$10366,0),MATCH('Tabular Pop Data by Age'!$C$6,'Population Data by Age'!$B$6:$H$6,0))</f>
        <v>2376000</v>
      </c>
      <c r="AA104" s="78">
        <f>INDEX('Population Data by Age'!$B$7:$H$10366,MATCH(CONCATENATE('Tabular Pop Data by Age'!$C104,'Tabular Pop Data by Age'!AA$7),'Population Data by Age'!$B$7:$B$10366,0),MATCH('Tabular Pop Data by Age'!$C$6,'Population Data by Age'!$B$6:$H$6,0))</f>
        <v>2267000</v>
      </c>
      <c r="AB104" s="78">
        <f>INDEX('Population Data by Age'!$B$7:$H$10366,MATCH(CONCATENATE('Tabular Pop Data by Age'!$C104,'Tabular Pop Data by Age'!AB$7),'Population Data by Age'!$B$7:$B$10366,0),MATCH('Tabular Pop Data by Age'!$C$6,'Population Data by Age'!$B$6:$H$6,0))</f>
        <v>2043000</v>
      </c>
      <c r="AC104" s="78">
        <f>INDEX('Population Data by Age'!$B$7:$H$10366,MATCH(CONCATENATE('Tabular Pop Data by Age'!$C104,'Tabular Pop Data by Age'!AC$7),'Population Data by Age'!$B$7:$B$10366,0),MATCH('Tabular Pop Data by Age'!$C$6,'Population Data by Age'!$B$6:$H$6,0))</f>
        <v>1896000</v>
      </c>
      <c r="AD104" s="78">
        <f>INDEX('Population Data by Age'!$B$7:$H$10366,MATCH(CONCATENATE('Tabular Pop Data by Age'!$C104,'Tabular Pop Data by Age'!AD$7),'Population Data by Age'!$B$7:$B$10366,0),MATCH('Tabular Pop Data by Age'!$C$6,'Population Data by Age'!$B$6:$H$6,0))</f>
        <v>1845000</v>
      </c>
      <c r="AE104" s="78">
        <f>INDEX('Population Data by Age'!$B$7:$H$10366,MATCH(CONCATENATE('Tabular Pop Data by Age'!$C104,'Tabular Pop Data by Age'!AE$7),'Population Data by Age'!$B$7:$B$10366,0),MATCH('Tabular Pop Data by Age'!$C$6,'Population Data by Age'!$B$6:$H$6,0))</f>
        <v>1674000</v>
      </c>
      <c r="AF104" s="78">
        <f>INDEX('Population Data by Age'!$B$7:$H$10366,MATCH(CONCATENATE('Tabular Pop Data by Age'!$C104,'Tabular Pop Data by Age'!AF$7),'Population Data by Age'!$B$7:$B$10366,0),MATCH('Tabular Pop Data by Age'!$C$6,'Population Data by Age'!$B$6:$H$6,0))</f>
        <v>1799000</v>
      </c>
      <c r="AG104" s="78">
        <f>INDEX('Population Data by Age'!$B$7:$H$10366,MATCH(CONCATENATE('Tabular Pop Data by Age'!$C104,'Tabular Pop Data by Age'!AG$7),'Population Data by Age'!$B$7:$B$10366,0),MATCH('Tabular Pop Data by Age'!$C$6,'Population Data by Age'!$B$6:$H$6,0))</f>
        <v>1581000</v>
      </c>
      <c r="AH104" s="78">
        <f>INDEX('Population Data by Age'!$B$7:$H$10366,MATCH(CONCATENATE('Tabular Pop Data by Age'!$C104,'Tabular Pop Data by Age'!AH$7),'Population Data by Age'!$B$7:$B$10366,0),MATCH('Tabular Pop Data by Age'!$C$6,'Population Data by Age'!$B$6:$H$6,0))</f>
        <v>1450000</v>
      </c>
      <c r="AI104" s="78">
        <f>INDEX('Population Data by Age'!$B$7:$H$10366,MATCH(CONCATENATE('Tabular Pop Data by Age'!$C104,'Tabular Pop Data by Age'!AI$7),'Population Data by Age'!$B$7:$B$10366,0),MATCH('Tabular Pop Data by Age'!$C$6,'Population Data by Age'!$B$6:$H$6,0))</f>
        <v>1178000</v>
      </c>
      <c r="AJ104" s="78">
        <f>INDEX('Population Data by Age'!$B$7:$H$10366,MATCH(CONCATENATE('Tabular Pop Data by Age'!$C104,'Tabular Pop Data by Age'!AJ$7),'Population Data by Age'!$B$7:$B$10366,0),MATCH('Tabular Pop Data by Age'!$C$6,'Population Data by Age'!$B$6:$H$6,0))</f>
        <v>2827000</v>
      </c>
      <c r="AK104" s="78">
        <f>INDEX('Population Data by Age'!$B$7:$H$10366,MATCH(CONCATENATE('Tabular Pop Data by Age'!$C104,'Tabular Pop Data by Age'!AK$7),'Population Data by Age'!$B$7:$B$10366,0),MATCH('Tabular Pop Data by Age'!$C$6,'Population Data by Age'!$B$6:$H$6,0))</f>
        <v>1686000</v>
      </c>
      <c r="AL104" s="78">
        <f>INDEX('Population Data by Age'!$B$7:$H$10366,MATCH(CONCATENATE('Tabular Pop Data by Age'!$C104,'Tabular Pop Data by Age'!AL$7),'Population Data by Age'!$B$7:$B$10366,0),MATCH('Tabular Pop Data by Age'!$C$6,'Population Data by Age'!$B$6:$H$6,0))</f>
        <v>30915000</v>
      </c>
      <c r="AM104" s="78">
        <f>INDEX('Population Data by Age'!$B$7:$H$10366,MATCH(CONCATENATE('Tabular Pop Data by Age'!$C104,'Tabular Pop Data by Age'!AM$7),'Population Data by Age'!$B$7:$B$10366,0),MATCH('Tabular Pop Data by Age'!$C$6,'Population Data by Age'!$B$6:$H$6,0))</f>
        <v>29334000</v>
      </c>
      <c r="AN104" s="78">
        <f>INDEX('Population Data by Age'!$B$7:$H$10366,MATCH(CONCATENATE('Tabular Pop Data by Age'!$C104,'Tabular Pop Data by Age'!AN$7),'Population Data by Age'!$B$7:$B$10366,0),MATCH('Tabular Pop Data by Age'!$C$6,'Population Data by Age'!$B$6:$H$6,0))</f>
        <v>60250000</v>
      </c>
      <c r="AO104" s="78">
        <f>INDEX('Population Data by Age'!$B$7:$H$10366,MATCH(CONCATENATE('Tabular Pop Data by Age'!$C104,'Tabular Pop Data by Age'!AO$7),'Population Data by Age'!$B$7:$B$10366,0),MATCH('Tabular Pop Data by Age'!$C$6,'Population Data by Age'!$B$6:$H$6,0))</f>
        <v>0</v>
      </c>
      <c r="AP104" s="79">
        <f t="shared" si="17"/>
        <v>2316000</v>
      </c>
      <c r="AQ104" s="79">
        <f t="shared" si="18"/>
        <v>2661000</v>
      </c>
      <c r="AR104" s="79">
        <f t="shared" si="19"/>
        <v>2847000</v>
      </c>
      <c r="AS104" s="79">
        <f t="shared" si="20"/>
        <v>2866000</v>
      </c>
      <c r="AT104" s="79">
        <f t="shared" si="21"/>
        <v>2932000</v>
      </c>
      <c r="AU104" s="79">
        <f t="shared" si="22"/>
        <v>3150000</v>
      </c>
      <c r="AV104" s="79">
        <f t="shared" si="23"/>
        <v>3354000</v>
      </c>
      <c r="AW104" s="79">
        <f t="shared" si="24"/>
        <v>3620000</v>
      </c>
      <c r="AX104" s="79">
        <f t="shared" si="25"/>
        <v>4174000</v>
      </c>
      <c r="AY104" s="79">
        <f t="shared" si="26"/>
        <v>4816000</v>
      </c>
      <c r="AZ104" s="79">
        <f t="shared" si="27"/>
        <v>4891000</v>
      </c>
      <c r="BA104" s="79">
        <f t="shared" si="28"/>
        <v>4643000</v>
      </c>
      <c r="BB104" s="79">
        <f t="shared" si="29"/>
        <v>3939000</v>
      </c>
      <c r="BC104" s="79">
        <f t="shared" si="30"/>
        <v>3519000</v>
      </c>
      <c r="BD104" s="79">
        <f t="shared" si="31"/>
        <v>3380000</v>
      </c>
      <c r="BE104" s="79">
        <f t="shared" si="32"/>
        <v>2628000</v>
      </c>
      <c r="BF104" s="79">
        <f t="shared" si="33"/>
        <v>4513000</v>
      </c>
    </row>
    <row r="105" spans="1:58" x14ac:dyDescent="0.25">
      <c r="A105" s="138" t="s">
        <v>1195</v>
      </c>
      <c r="B105" t="s">
        <v>531</v>
      </c>
      <c r="C105" t="s">
        <v>66</v>
      </c>
      <c r="D105" s="78">
        <f>INDEX('Population Data by Age'!$B$7:$H$10366,MATCH(CONCATENATE('Tabular Pop Data by Age'!$C105,'Tabular Pop Data by Age'!D$7),'Population Data by Age'!$B$7:$B$10366,0),MATCH('Tabular Pop Data by Age'!$C$6,'Population Data by Age'!$B$6:$H$6,0))</f>
        <v>113000</v>
      </c>
      <c r="E105" s="78">
        <f>INDEX('Population Data by Age'!$B$7:$H$10366,MATCH(CONCATENATE('Tabular Pop Data by Age'!$C105,'Tabular Pop Data by Age'!E$7),'Population Data by Age'!$B$7:$B$10366,0),MATCH('Tabular Pop Data by Age'!$C$6,'Population Data by Age'!$B$6:$H$6,0))</f>
        <v>118000</v>
      </c>
      <c r="F105" s="78">
        <f>INDEX('Population Data by Age'!$B$7:$H$10366,MATCH(CONCATENATE('Tabular Pop Data by Age'!$C105,'Tabular Pop Data by Age'!F$7),'Population Data by Age'!$B$7:$B$10366,0),MATCH('Tabular Pop Data by Age'!$C$6,'Population Data by Age'!$B$6:$H$6,0))</f>
        <v>115000</v>
      </c>
      <c r="G105" s="78">
        <f>INDEX('Population Data by Age'!$B$7:$H$10366,MATCH(CONCATENATE('Tabular Pop Data by Age'!$C105,'Tabular Pop Data by Age'!G$7),'Population Data by Age'!$B$7:$B$10366,0),MATCH('Tabular Pop Data by Age'!$C$6,'Population Data by Age'!$B$6:$H$6,0))</f>
        <v>119000</v>
      </c>
      <c r="H105" s="78">
        <f>INDEX('Population Data by Age'!$B$7:$H$10366,MATCH(CONCATENATE('Tabular Pop Data by Age'!$C105,'Tabular Pop Data by Age'!H$7),'Population Data by Age'!$B$7:$B$10366,0),MATCH('Tabular Pop Data by Age'!$C$6,'Population Data by Age'!$B$6:$H$6,0))</f>
        <v>112000</v>
      </c>
      <c r="I105" s="78">
        <f>INDEX('Population Data by Age'!$B$7:$H$10366,MATCH(CONCATENATE('Tabular Pop Data by Age'!$C105,'Tabular Pop Data by Age'!I$7),'Population Data by Age'!$B$7:$B$10366,0),MATCH('Tabular Pop Data by Age'!$C$6,'Population Data by Age'!$B$6:$H$6,0))</f>
        <v>115000</v>
      </c>
      <c r="J105" s="78">
        <f>INDEX('Population Data by Age'!$B$7:$H$10366,MATCH(CONCATENATE('Tabular Pop Data by Age'!$C105,'Tabular Pop Data by Age'!J$7),'Population Data by Age'!$B$7:$B$10366,0),MATCH('Tabular Pop Data by Age'!$C$6,'Population Data by Age'!$B$6:$H$6,0))</f>
        <v>117000</v>
      </c>
      <c r="K105" s="78">
        <f>INDEX('Population Data by Age'!$B$7:$H$10366,MATCH(CONCATENATE('Tabular Pop Data by Age'!$C105,'Tabular Pop Data by Age'!K$7),'Population Data by Age'!$B$7:$B$10366,0),MATCH('Tabular Pop Data by Age'!$C$6,'Population Data by Age'!$B$6:$H$6,0))</f>
        <v>122000</v>
      </c>
      <c r="L105" s="78">
        <f>INDEX('Population Data by Age'!$B$7:$H$10366,MATCH(CONCATENATE('Tabular Pop Data by Age'!$C105,'Tabular Pop Data by Age'!L$7),'Population Data by Age'!$B$7:$B$10366,0),MATCH('Tabular Pop Data by Age'!$C$6,'Population Data by Age'!$B$6:$H$6,0))</f>
        <v>128000</v>
      </c>
      <c r="M105" s="78">
        <f>INDEX('Population Data by Age'!$B$7:$H$10366,MATCH(CONCATENATE('Tabular Pop Data by Age'!$C105,'Tabular Pop Data by Age'!M$7),'Population Data by Age'!$B$7:$B$10366,0),MATCH('Tabular Pop Data by Age'!$C$6,'Population Data by Age'!$B$6:$H$6,0))</f>
        <v>133000</v>
      </c>
      <c r="N105" s="78">
        <f>INDEX('Population Data by Age'!$B$7:$H$10366,MATCH(CONCATENATE('Tabular Pop Data by Age'!$C105,'Tabular Pop Data by Age'!N$7),'Population Data by Age'!$B$7:$B$10366,0),MATCH('Tabular Pop Data by Age'!$C$6,'Population Data by Age'!$B$6:$H$6,0))</f>
        <v>125000</v>
      </c>
      <c r="O105" s="78">
        <f>INDEX('Population Data by Age'!$B$7:$H$10366,MATCH(CONCATENATE('Tabular Pop Data by Age'!$C105,'Tabular Pop Data by Age'!O$7),'Population Data by Age'!$B$7:$B$10366,0),MATCH('Tabular Pop Data by Age'!$C$6,'Population Data by Age'!$B$6:$H$6,0))</f>
        <v>129000</v>
      </c>
      <c r="P105" s="78">
        <f>INDEX('Population Data by Age'!$B$7:$H$10366,MATCH(CONCATENATE('Tabular Pop Data by Age'!$C105,'Tabular Pop Data by Age'!P$7),'Population Data by Age'!$B$7:$B$10366,0),MATCH('Tabular Pop Data by Age'!$C$6,'Population Data by Age'!$B$6:$H$6,0))</f>
        <v>115000</v>
      </c>
      <c r="Q105" s="78">
        <f>INDEX('Population Data by Age'!$B$7:$H$10366,MATCH(CONCATENATE('Tabular Pop Data by Age'!$C105,'Tabular Pop Data by Age'!Q$7),'Population Data by Age'!$B$7:$B$10366,0),MATCH('Tabular Pop Data by Age'!$C$6,'Population Data by Age'!$B$6:$H$6,0))</f>
        <v>117000</v>
      </c>
      <c r="R105" s="78">
        <f>INDEX('Population Data by Age'!$B$7:$H$10366,MATCH(CONCATENATE('Tabular Pop Data by Age'!$C105,'Tabular Pop Data by Age'!R$7),'Population Data by Age'!$B$7:$B$10366,0),MATCH('Tabular Pop Data by Age'!$C$6,'Population Data by Age'!$B$6:$H$6,0))</f>
        <v>108000</v>
      </c>
      <c r="S105" s="78">
        <f>INDEX('Population Data by Age'!$B$7:$H$10366,MATCH(CONCATENATE('Tabular Pop Data by Age'!$C105,'Tabular Pop Data by Age'!S$7),'Population Data by Age'!$B$7:$B$10366,0),MATCH('Tabular Pop Data by Age'!$C$6,'Population Data by Age'!$B$6:$H$6,0))</f>
        <v>103000</v>
      </c>
      <c r="T105" s="78">
        <f>INDEX('Population Data by Age'!$B$7:$H$10366,MATCH(CONCATENATE('Tabular Pop Data by Age'!$C105,'Tabular Pop Data by Age'!T$7),'Population Data by Age'!$B$7:$B$10366,0),MATCH('Tabular Pop Data by Age'!$C$6,'Population Data by Age'!$B$6:$H$6,0))</f>
        <v>95000</v>
      </c>
      <c r="U105" s="78">
        <f>INDEX('Population Data by Age'!$B$7:$H$10366,MATCH(CONCATENATE('Tabular Pop Data by Age'!$C105,'Tabular Pop Data by Age'!U$7),'Population Data by Age'!$B$7:$B$10366,0),MATCH('Tabular Pop Data by Age'!$C$6,'Population Data by Age'!$B$6:$H$6,0))</f>
        <v>84000</v>
      </c>
      <c r="V105" s="78">
        <f>INDEX('Population Data by Age'!$B$7:$H$10366,MATCH(CONCATENATE('Tabular Pop Data by Age'!$C105,'Tabular Pop Data by Age'!V$7),'Population Data by Age'!$B$7:$B$10366,0),MATCH('Tabular Pop Data by Age'!$C$6,'Population Data by Age'!$B$6:$H$6,0))</f>
        <v>94000</v>
      </c>
      <c r="W105" s="78">
        <f>INDEX('Population Data by Age'!$B$7:$H$10366,MATCH(CONCATENATE('Tabular Pop Data by Age'!$C105,'Tabular Pop Data by Age'!W$7),'Population Data by Age'!$B$7:$B$10366,0),MATCH('Tabular Pop Data by Age'!$C$6,'Population Data by Age'!$B$6:$H$6,0))</f>
        <v>85000</v>
      </c>
      <c r="X105" s="78">
        <f>INDEX('Population Data by Age'!$B$7:$H$10366,MATCH(CONCATENATE('Tabular Pop Data by Age'!$C105,'Tabular Pop Data by Age'!X$7),'Population Data by Age'!$B$7:$B$10366,0),MATCH('Tabular Pop Data by Age'!$C$6,'Population Data by Age'!$B$6:$H$6,0))</f>
        <v>89000</v>
      </c>
      <c r="Y105" s="78">
        <f>INDEX('Population Data by Age'!$B$7:$H$10366,MATCH(CONCATENATE('Tabular Pop Data by Age'!$C105,'Tabular Pop Data by Age'!Y$7),'Population Data by Age'!$B$7:$B$10366,0),MATCH('Tabular Pop Data by Age'!$C$6,'Population Data by Age'!$B$6:$H$6,0))</f>
        <v>82000</v>
      </c>
      <c r="Z105" s="78">
        <f>INDEX('Population Data by Age'!$B$7:$H$10366,MATCH(CONCATENATE('Tabular Pop Data by Age'!$C105,'Tabular Pop Data by Age'!Z$7),'Population Data by Age'!$B$7:$B$10366,0),MATCH('Tabular Pop Data by Age'!$C$6,'Population Data by Age'!$B$6:$H$6,0))</f>
        <v>76000</v>
      </c>
      <c r="AA105" s="78">
        <f>INDEX('Population Data by Age'!$B$7:$H$10366,MATCH(CONCATENATE('Tabular Pop Data by Age'!$C105,'Tabular Pop Data by Age'!AA$7),'Population Data by Age'!$B$7:$B$10366,0),MATCH('Tabular Pop Data by Age'!$C$6,'Population Data by Age'!$B$6:$H$6,0))</f>
        <v>73000</v>
      </c>
      <c r="AB105" s="78">
        <f>INDEX('Population Data by Age'!$B$7:$H$10366,MATCH(CONCATENATE('Tabular Pop Data by Age'!$C105,'Tabular Pop Data by Age'!AB$7),'Population Data by Age'!$B$7:$B$10366,0),MATCH('Tabular Pop Data by Age'!$C$6,'Population Data by Age'!$B$6:$H$6,0))</f>
        <v>66000</v>
      </c>
      <c r="AC105" s="78">
        <f>INDEX('Population Data by Age'!$B$7:$H$10366,MATCH(CONCATENATE('Tabular Pop Data by Age'!$C105,'Tabular Pop Data by Age'!AC$7),'Population Data by Age'!$B$7:$B$10366,0),MATCH('Tabular Pop Data by Age'!$C$6,'Population Data by Age'!$B$6:$H$6,0))</f>
        <v>58000</v>
      </c>
      <c r="AD105" s="78">
        <f>INDEX('Population Data by Age'!$B$7:$H$10366,MATCH(CONCATENATE('Tabular Pop Data by Age'!$C105,'Tabular Pop Data by Age'!AD$7),'Population Data by Age'!$B$7:$B$10366,0),MATCH('Tabular Pop Data by Age'!$C$6,'Population Data by Age'!$B$6:$H$6,0))</f>
        <v>46000</v>
      </c>
      <c r="AE105" s="78">
        <f>INDEX('Population Data by Age'!$B$7:$H$10366,MATCH(CONCATENATE('Tabular Pop Data by Age'!$C105,'Tabular Pop Data by Age'!AE$7),'Population Data by Age'!$B$7:$B$10366,0),MATCH('Tabular Pop Data by Age'!$C$6,'Population Data by Age'!$B$6:$H$6,0))</f>
        <v>44000</v>
      </c>
      <c r="AF105" s="78">
        <f>INDEX('Population Data by Age'!$B$7:$H$10366,MATCH(CONCATENATE('Tabular Pop Data by Age'!$C105,'Tabular Pop Data by Age'!AF$7),'Population Data by Age'!$B$7:$B$10366,0),MATCH('Tabular Pop Data by Age'!$C$6,'Population Data by Age'!$B$6:$H$6,0))</f>
        <v>36000</v>
      </c>
      <c r="AG105" s="78">
        <f>INDEX('Population Data by Age'!$B$7:$H$10366,MATCH(CONCATENATE('Tabular Pop Data by Age'!$C105,'Tabular Pop Data by Age'!AG$7),'Population Data by Age'!$B$7:$B$10366,0),MATCH('Tabular Pop Data by Age'!$C$6,'Population Data by Age'!$B$6:$H$6,0))</f>
        <v>35000</v>
      </c>
      <c r="AH105" s="78">
        <f>INDEX('Population Data by Age'!$B$7:$H$10366,MATCH(CONCATENATE('Tabular Pop Data by Age'!$C105,'Tabular Pop Data by Age'!AH$7),'Population Data by Age'!$B$7:$B$10366,0),MATCH('Tabular Pop Data by Age'!$C$6,'Population Data by Age'!$B$6:$H$6,0))</f>
        <v>25000</v>
      </c>
      <c r="AI105" s="78">
        <f>INDEX('Population Data by Age'!$B$7:$H$10366,MATCH(CONCATENATE('Tabular Pop Data by Age'!$C105,'Tabular Pop Data by Age'!AI$7),'Population Data by Age'!$B$7:$B$10366,0),MATCH('Tabular Pop Data by Age'!$C$6,'Population Data by Age'!$B$6:$H$6,0))</f>
        <v>23000</v>
      </c>
      <c r="AJ105" s="78">
        <f>INDEX('Population Data by Age'!$B$7:$H$10366,MATCH(CONCATENATE('Tabular Pop Data by Age'!$C105,'Tabular Pop Data by Age'!AJ$7),'Population Data by Age'!$B$7:$B$10366,0),MATCH('Tabular Pop Data by Age'!$C$6,'Population Data by Age'!$B$6:$H$6,0))</f>
        <v>31000</v>
      </c>
      <c r="AK105" s="78">
        <f>INDEX('Population Data by Age'!$B$7:$H$10366,MATCH(CONCATENATE('Tabular Pop Data by Age'!$C105,'Tabular Pop Data by Age'!AK$7),'Population Data by Age'!$B$7:$B$10366,0),MATCH('Tabular Pop Data by Age'!$C$6,'Population Data by Age'!$B$6:$H$6,0))</f>
        <v>28000</v>
      </c>
      <c r="AL105" s="78">
        <f>INDEX('Population Data by Age'!$B$7:$H$10366,MATCH(CONCATENATE('Tabular Pop Data by Age'!$C105,'Tabular Pop Data by Age'!AL$7),'Population Data by Age'!$B$7:$B$10366,0),MATCH('Tabular Pop Data by Age'!$C$6,'Population Data by Age'!$B$6:$H$6,0))</f>
        <v>1492000</v>
      </c>
      <c r="AM105" s="78">
        <f>INDEX('Population Data by Age'!$B$7:$H$10366,MATCH(CONCATENATE('Tabular Pop Data by Age'!$C105,'Tabular Pop Data by Age'!AM$7),'Population Data by Age'!$B$7:$B$10366,0),MATCH('Tabular Pop Data by Age'!$C$6,'Population Data by Age'!$B$6:$H$6,0))</f>
        <v>1470000</v>
      </c>
      <c r="AN105" s="78">
        <f>INDEX('Population Data by Age'!$B$7:$H$10366,MATCH(CONCATENATE('Tabular Pop Data by Age'!$C105,'Tabular Pop Data by Age'!AN$7),'Population Data by Age'!$B$7:$B$10366,0),MATCH('Tabular Pop Data by Age'!$C$6,'Population Data by Age'!$B$6:$H$6,0))</f>
        <v>2961000</v>
      </c>
      <c r="AO105" s="78">
        <f>INDEX('Population Data by Age'!$B$7:$H$10366,MATCH(CONCATENATE('Tabular Pop Data by Age'!$C105,'Tabular Pop Data by Age'!AO$7),'Population Data by Age'!$B$7:$B$10366,0),MATCH('Tabular Pop Data by Age'!$C$6,'Population Data by Age'!$B$6:$H$6,0))</f>
        <v>0</v>
      </c>
      <c r="AP105" s="79">
        <f t="shared" si="17"/>
        <v>231000</v>
      </c>
      <c r="AQ105" s="79">
        <f t="shared" si="18"/>
        <v>234000</v>
      </c>
      <c r="AR105" s="79">
        <f t="shared" si="19"/>
        <v>227000</v>
      </c>
      <c r="AS105" s="79">
        <f t="shared" si="20"/>
        <v>239000</v>
      </c>
      <c r="AT105" s="79">
        <f t="shared" si="21"/>
        <v>261000</v>
      </c>
      <c r="AU105" s="79">
        <f t="shared" si="22"/>
        <v>254000</v>
      </c>
      <c r="AV105" s="79">
        <f t="shared" si="23"/>
        <v>232000</v>
      </c>
      <c r="AW105" s="79">
        <f t="shared" si="24"/>
        <v>211000</v>
      </c>
      <c r="AX105" s="79">
        <f t="shared" si="25"/>
        <v>179000</v>
      </c>
      <c r="AY105" s="79">
        <f t="shared" si="26"/>
        <v>179000</v>
      </c>
      <c r="AZ105" s="79">
        <f t="shared" si="27"/>
        <v>171000</v>
      </c>
      <c r="BA105" s="79">
        <f t="shared" si="28"/>
        <v>149000</v>
      </c>
      <c r="BB105" s="79">
        <f t="shared" si="29"/>
        <v>124000</v>
      </c>
      <c r="BC105" s="79">
        <f t="shared" si="30"/>
        <v>90000</v>
      </c>
      <c r="BD105" s="79">
        <f t="shared" si="31"/>
        <v>71000</v>
      </c>
      <c r="BE105" s="79">
        <f t="shared" si="32"/>
        <v>48000</v>
      </c>
      <c r="BF105" s="79">
        <f t="shared" si="33"/>
        <v>59000</v>
      </c>
    </row>
    <row r="106" spans="1:58" x14ac:dyDescent="0.25">
      <c r="A106" s="138" t="s">
        <v>1195</v>
      </c>
      <c r="B106" t="s">
        <v>532</v>
      </c>
      <c r="C106" t="s">
        <v>68</v>
      </c>
      <c r="D106" s="78">
        <f>INDEX('Population Data by Age'!$B$7:$H$10366,MATCH(CONCATENATE('Tabular Pop Data by Age'!$C106,'Tabular Pop Data by Age'!D$7),'Population Data by Age'!$B$7:$B$10366,0),MATCH('Tabular Pop Data by Age'!$C$6,'Population Data by Age'!$B$6:$H$6,0))</f>
        <v>2310000</v>
      </c>
      <c r="E106" s="78">
        <f>INDEX('Population Data by Age'!$B$7:$H$10366,MATCH(CONCATENATE('Tabular Pop Data by Age'!$C106,'Tabular Pop Data by Age'!E$7),'Population Data by Age'!$B$7:$B$10366,0),MATCH('Tabular Pop Data by Age'!$C$6,'Population Data by Age'!$B$6:$H$6,0))</f>
        <v>2438000</v>
      </c>
      <c r="F106" s="78">
        <f>INDEX('Population Data by Age'!$B$7:$H$10366,MATCH(CONCATENATE('Tabular Pop Data by Age'!$C106,'Tabular Pop Data by Age'!F$7),'Population Data by Age'!$B$7:$B$10366,0),MATCH('Tabular Pop Data by Age'!$C$6,'Population Data by Age'!$B$6:$H$6,0))</f>
        <v>2611000</v>
      </c>
      <c r="G106" s="78">
        <f>INDEX('Population Data by Age'!$B$7:$H$10366,MATCH(CONCATENATE('Tabular Pop Data by Age'!$C106,'Tabular Pop Data by Age'!G$7),'Population Data by Age'!$B$7:$B$10366,0),MATCH('Tabular Pop Data by Age'!$C$6,'Population Data by Age'!$B$6:$H$6,0))</f>
        <v>2756000</v>
      </c>
      <c r="H106" s="78">
        <f>INDEX('Population Data by Age'!$B$7:$H$10366,MATCH(CONCATENATE('Tabular Pop Data by Age'!$C106,'Tabular Pop Data by Age'!H$7),'Population Data by Age'!$B$7:$B$10366,0),MATCH('Tabular Pop Data by Age'!$C$6,'Population Data by Age'!$B$6:$H$6,0))</f>
        <v>2690000</v>
      </c>
      <c r="I106" s="78">
        <f>INDEX('Population Data by Age'!$B$7:$H$10366,MATCH(CONCATENATE('Tabular Pop Data by Age'!$C106,'Tabular Pop Data by Age'!I$7),'Population Data by Age'!$B$7:$B$10366,0),MATCH('Tabular Pop Data by Age'!$C$6,'Population Data by Age'!$B$6:$H$6,0))</f>
        <v>2838000</v>
      </c>
      <c r="J106" s="78">
        <f>INDEX('Population Data by Age'!$B$7:$H$10366,MATCH(CONCATENATE('Tabular Pop Data by Age'!$C106,'Tabular Pop Data by Age'!J$7),'Population Data by Age'!$B$7:$B$10366,0),MATCH('Tabular Pop Data by Age'!$C$6,'Population Data by Age'!$B$6:$H$6,0))</f>
        <v>2758000</v>
      </c>
      <c r="K106" s="78">
        <f>INDEX('Population Data by Age'!$B$7:$H$10366,MATCH(CONCATENATE('Tabular Pop Data by Age'!$C106,'Tabular Pop Data by Age'!K$7),'Population Data by Age'!$B$7:$B$10366,0),MATCH('Tabular Pop Data by Age'!$C$6,'Population Data by Age'!$B$6:$H$6,0))</f>
        <v>2908000</v>
      </c>
      <c r="L106" s="78">
        <f>INDEX('Population Data by Age'!$B$7:$H$10366,MATCH(CONCATENATE('Tabular Pop Data by Age'!$C106,'Tabular Pop Data by Age'!L$7),'Population Data by Age'!$B$7:$B$10366,0),MATCH('Tabular Pop Data by Age'!$C$6,'Population Data by Age'!$B$6:$H$6,0))</f>
        <v>2902000</v>
      </c>
      <c r="M106" s="78">
        <f>INDEX('Population Data by Age'!$B$7:$H$10366,MATCH(CONCATENATE('Tabular Pop Data by Age'!$C106,'Tabular Pop Data by Age'!M$7),'Population Data by Age'!$B$7:$B$10366,0),MATCH('Tabular Pop Data by Age'!$C$6,'Population Data by Age'!$B$6:$H$6,0))</f>
        <v>3056000</v>
      </c>
      <c r="N106" s="78">
        <f>INDEX('Population Data by Age'!$B$7:$H$10366,MATCH(CONCATENATE('Tabular Pop Data by Age'!$C106,'Tabular Pop Data by Age'!N$7),'Population Data by Age'!$B$7:$B$10366,0),MATCH('Tabular Pop Data by Age'!$C$6,'Population Data by Age'!$B$6:$H$6,0))</f>
        <v>2980000</v>
      </c>
      <c r="O106" s="78">
        <f>INDEX('Population Data by Age'!$B$7:$H$10366,MATCH(CONCATENATE('Tabular Pop Data by Age'!$C106,'Tabular Pop Data by Age'!O$7),'Population Data by Age'!$B$7:$B$10366,0),MATCH('Tabular Pop Data by Age'!$C$6,'Population Data by Age'!$B$6:$H$6,0))</f>
        <v>3131000</v>
      </c>
      <c r="P106" s="78">
        <f>INDEX('Population Data by Age'!$B$7:$H$10366,MATCH(CONCATENATE('Tabular Pop Data by Age'!$C106,'Tabular Pop Data by Age'!P$7),'Population Data by Age'!$B$7:$B$10366,0),MATCH('Tabular Pop Data by Age'!$C$6,'Population Data by Age'!$B$6:$H$6,0))</f>
        <v>3293000</v>
      </c>
      <c r="Q106" s="78">
        <f>INDEX('Population Data by Age'!$B$7:$H$10366,MATCH(CONCATENATE('Tabular Pop Data by Age'!$C106,'Tabular Pop Data by Age'!Q$7),'Population Data by Age'!$B$7:$B$10366,0),MATCH('Tabular Pop Data by Age'!$C$6,'Population Data by Age'!$B$6:$H$6,0))</f>
        <v>3453000</v>
      </c>
      <c r="R106" s="78">
        <f>INDEX('Population Data by Age'!$B$7:$H$10366,MATCH(CONCATENATE('Tabular Pop Data by Age'!$C106,'Tabular Pop Data by Age'!R$7),'Population Data by Age'!$B$7:$B$10366,0),MATCH('Tabular Pop Data by Age'!$C$6,'Population Data by Age'!$B$6:$H$6,0))</f>
        <v>3723000</v>
      </c>
      <c r="S106" s="78">
        <f>INDEX('Population Data by Age'!$B$7:$H$10366,MATCH(CONCATENATE('Tabular Pop Data by Age'!$C106,'Tabular Pop Data by Age'!S$7),'Population Data by Age'!$B$7:$B$10366,0),MATCH('Tabular Pop Data by Age'!$C$6,'Population Data by Age'!$B$6:$H$6,0))</f>
        <v>3893000</v>
      </c>
      <c r="T106" s="78">
        <f>INDEX('Population Data by Age'!$B$7:$H$10366,MATCH(CONCATENATE('Tabular Pop Data by Age'!$C106,'Tabular Pop Data by Age'!T$7),'Population Data by Age'!$B$7:$B$10366,0),MATCH('Tabular Pop Data by Age'!$C$6,'Population Data by Age'!$B$6:$H$6,0))</f>
        <v>4134000</v>
      </c>
      <c r="U106" s="78">
        <f>INDEX('Population Data by Age'!$B$7:$H$10366,MATCH(CONCATENATE('Tabular Pop Data by Age'!$C106,'Tabular Pop Data by Age'!U$7),'Population Data by Age'!$B$7:$B$10366,0),MATCH('Tabular Pop Data by Age'!$C$6,'Population Data by Age'!$B$6:$H$6,0))</f>
        <v>4279000</v>
      </c>
      <c r="V106" s="78">
        <f>INDEX('Population Data by Age'!$B$7:$H$10366,MATCH(CONCATENATE('Tabular Pop Data by Age'!$C106,'Tabular Pop Data by Age'!V$7),'Population Data by Age'!$B$7:$B$10366,0),MATCH('Tabular Pop Data by Age'!$C$6,'Population Data by Age'!$B$6:$H$6,0))</f>
        <v>4884000</v>
      </c>
      <c r="W106" s="78">
        <f>INDEX('Population Data by Age'!$B$7:$H$10366,MATCH(CONCATENATE('Tabular Pop Data by Age'!$C106,'Tabular Pop Data by Age'!W$7),'Population Data by Age'!$B$7:$B$10366,0),MATCH('Tabular Pop Data by Age'!$C$6,'Population Data by Age'!$B$6:$H$6,0))</f>
        <v>5056000</v>
      </c>
      <c r="X106" s="78">
        <f>INDEX('Population Data by Age'!$B$7:$H$10366,MATCH(CONCATENATE('Tabular Pop Data by Age'!$C106,'Tabular Pop Data by Age'!X$7),'Population Data by Age'!$B$7:$B$10366,0),MATCH('Tabular Pop Data by Age'!$C$6,'Population Data by Age'!$B$6:$H$6,0))</f>
        <v>4266000</v>
      </c>
      <c r="Y106" s="78">
        <f>INDEX('Population Data by Age'!$B$7:$H$10366,MATCH(CONCATENATE('Tabular Pop Data by Age'!$C106,'Tabular Pop Data by Age'!Y$7),'Population Data by Age'!$B$7:$B$10366,0),MATCH('Tabular Pop Data by Age'!$C$6,'Population Data by Age'!$B$6:$H$6,0))</f>
        <v>4337000</v>
      </c>
      <c r="Z106" s="78">
        <f>INDEX('Population Data by Age'!$B$7:$H$10366,MATCH(CONCATENATE('Tabular Pop Data by Age'!$C106,'Tabular Pop Data by Age'!Z$7),'Population Data by Age'!$B$7:$B$10366,0),MATCH('Tabular Pop Data by Age'!$C$6,'Population Data by Age'!$B$6:$H$6,0))</f>
        <v>3893000</v>
      </c>
      <c r="AA106" s="78">
        <f>INDEX('Population Data by Age'!$B$7:$H$10366,MATCH(CONCATENATE('Tabular Pop Data by Age'!$C106,'Tabular Pop Data by Age'!AA$7),'Population Data by Age'!$B$7:$B$10366,0),MATCH('Tabular Pop Data by Age'!$C$6,'Population Data by Age'!$B$6:$H$6,0))</f>
        <v>3939000</v>
      </c>
      <c r="AB106" s="78">
        <f>INDEX('Population Data by Age'!$B$7:$H$10366,MATCH(CONCATENATE('Tabular Pop Data by Age'!$C106,'Tabular Pop Data by Age'!AB$7),'Population Data by Age'!$B$7:$B$10366,0),MATCH('Tabular Pop Data by Age'!$C$6,'Population Data by Age'!$B$6:$H$6,0))</f>
        <v>3738000</v>
      </c>
      <c r="AC106" s="78">
        <f>INDEX('Population Data by Age'!$B$7:$H$10366,MATCH(CONCATENATE('Tabular Pop Data by Age'!$C106,'Tabular Pop Data by Age'!AC$7),'Population Data by Age'!$B$7:$B$10366,0),MATCH('Tabular Pop Data by Age'!$C$6,'Population Data by Age'!$B$6:$H$6,0))</f>
        <v>3709000</v>
      </c>
      <c r="AD106" s="78">
        <f>INDEX('Population Data by Age'!$B$7:$H$10366,MATCH(CONCATENATE('Tabular Pop Data by Age'!$C106,'Tabular Pop Data by Age'!AD$7),'Population Data by Age'!$B$7:$B$10366,0),MATCH('Tabular Pop Data by Age'!$C$6,'Population Data by Age'!$B$6:$H$6,0))</f>
        <v>4256000</v>
      </c>
      <c r="AE106" s="78">
        <f>INDEX('Population Data by Age'!$B$7:$H$10366,MATCH(CONCATENATE('Tabular Pop Data by Age'!$C106,'Tabular Pop Data by Age'!AE$7),'Population Data by Age'!$B$7:$B$10366,0),MATCH('Tabular Pop Data by Age'!$C$6,'Population Data by Age'!$B$6:$H$6,0))</f>
        <v>4070000</v>
      </c>
      <c r="AF106" s="78">
        <f>INDEX('Population Data by Age'!$B$7:$H$10366,MATCH(CONCATENATE('Tabular Pop Data by Age'!$C106,'Tabular Pop Data by Age'!AF$7),'Population Data by Age'!$B$7:$B$10366,0),MATCH('Tabular Pop Data by Age'!$C$6,'Population Data by Age'!$B$6:$H$6,0))</f>
        <v>4784000</v>
      </c>
      <c r="AG106" s="78">
        <f>INDEX('Population Data by Age'!$B$7:$H$10366,MATCH(CONCATENATE('Tabular Pop Data by Age'!$C106,'Tabular Pop Data by Age'!AG$7),'Population Data by Age'!$B$7:$B$10366,0),MATCH('Tabular Pop Data by Age'!$C$6,'Population Data by Age'!$B$6:$H$6,0))</f>
        <v>4285000</v>
      </c>
      <c r="AH106" s="78">
        <f>INDEX('Population Data by Age'!$B$7:$H$10366,MATCH(CONCATENATE('Tabular Pop Data by Age'!$C106,'Tabular Pop Data by Age'!AH$7),'Population Data by Age'!$B$7:$B$10366,0),MATCH('Tabular Pop Data by Age'!$C$6,'Population Data by Age'!$B$6:$H$6,0))</f>
        <v>3872000</v>
      </c>
      <c r="AI106" s="78">
        <f>INDEX('Population Data by Age'!$B$7:$H$10366,MATCH(CONCATENATE('Tabular Pop Data by Age'!$C106,'Tabular Pop Data by Age'!AI$7),'Population Data by Age'!$B$7:$B$10366,0),MATCH('Tabular Pop Data by Age'!$C$6,'Population Data by Age'!$B$6:$H$6,0))</f>
        <v>3140000</v>
      </c>
      <c r="AJ106" s="78">
        <f>INDEX('Population Data by Age'!$B$7:$H$10366,MATCH(CONCATENATE('Tabular Pop Data by Age'!$C106,'Tabular Pop Data by Age'!AJ$7),'Population Data by Age'!$B$7:$B$10366,0),MATCH('Tabular Pop Data by Age'!$C$6,'Population Data by Age'!$B$6:$H$6,0))</f>
        <v>7211000</v>
      </c>
      <c r="AK106" s="78">
        <f>INDEX('Population Data by Age'!$B$7:$H$10366,MATCH(CONCATENATE('Tabular Pop Data by Age'!$C106,'Tabular Pop Data by Age'!AK$7),'Population Data by Age'!$B$7:$B$10366,0),MATCH('Tabular Pop Data by Age'!$C$6,'Population Data by Age'!$B$6:$H$6,0))</f>
        <v>4067000</v>
      </c>
      <c r="AL106" s="78">
        <f>INDEX('Population Data by Age'!$B$7:$H$10366,MATCH(CONCATENATE('Tabular Pop Data by Age'!$C106,'Tabular Pop Data by Age'!AL$7),'Population Data by Age'!$B$7:$B$10366,0),MATCH('Tabular Pop Data by Age'!$C$6,'Population Data by Age'!$B$6:$H$6,0))</f>
        <v>64306000</v>
      </c>
      <c r="AM106" s="78">
        <f>INDEX('Population Data by Age'!$B$7:$H$10366,MATCH(CONCATENATE('Tabular Pop Data by Age'!$C106,'Tabular Pop Data by Age'!AM$7),'Population Data by Age'!$B$7:$B$10366,0),MATCH('Tabular Pop Data by Age'!$C$6,'Population Data by Age'!$B$6:$H$6,0))</f>
        <v>61355000</v>
      </c>
      <c r="AN106" s="78">
        <f>INDEX('Population Data by Age'!$B$7:$H$10366,MATCH(CONCATENATE('Tabular Pop Data by Age'!$C106,'Tabular Pop Data by Age'!AN$7),'Population Data by Age'!$B$7:$B$10366,0),MATCH('Tabular Pop Data by Age'!$C$6,'Population Data by Age'!$B$6:$H$6,0))</f>
        <v>125661000</v>
      </c>
      <c r="AO106" s="78">
        <f>INDEX('Population Data by Age'!$B$7:$H$10366,MATCH(CONCATENATE('Tabular Pop Data by Age'!$C106,'Tabular Pop Data by Age'!AO$7),'Population Data by Age'!$B$7:$B$10366,0),MATCH('Tabular Pop Data by Age'!$C$6,'Population Data by Age'!$B$6:$H$6,0))</f>
        <v>0</v>
      </c>
      <c r="AP106" s="79">
        <f t="shared" si="17"/>
        <v>4748000</v>
      </c>
      <c r="AQ106" s="79">
        <f t="shared" si="18"/>
        <v>5367000</v>
      </c>
      <c r="AR106" s="79">
        <f t="shared" si="19"/>
        <v>5528000</v>
      </c>
      <c r="AS106" s="79">
        <f t="shared" si="20"/>
        <v>5666000</v>
      </c>
      <c r="AT106" s="79">
        <f t="shared" si="21"/>
        <v>5958000</v>
      </c>
      <c r="AU106" s="79">
        <f t="shared" si="22"/>
        <v>6111000</v>
      </c>
      <c r="AV106" s="79">
        <f t="shared" si="23"/>
        <v>6746000</v>
      </c>
      <c r="AW106" s="79">
        <f t="shared" si="24"/>
        <v>7616000</v>
      </c>
      <c r="AX106" s="79">
        <f t="shared" si="25"/>
        <v>8413000</v>
      </c>
      <c r="AY106" s="79">
        <f t="shared" si="26"/>
        <v>9940000</v>
      </c>
      <c r="AZ106" s="79">
        <f t="shared" si="27"/>
        <v>8603000</v>
      </c>
      <c r="BA106" s="79">
        <f t="shared" si="28"/>
        <v>7832000</v>
      </c>
      <c r="BB106" s="79">
        <f t="shared" si="29"/>
        <v>7447000</v>
      </c>
      <c r="BC106" s="79">
        <f t="shared" si="30"/>
        <v>8326000</v>
      </c>
      <c r="BD106" s="79">
        <f t="shared" si="31"/>
        <v>9069000</v>
      </c>
      <c r="BE106" s="79">
        <f t="shared" si="32"/>
        <v>7012000</v>
      </c>
      <c r="BF106" s="79">
        <f t="shared" si="33"/>
        <v>11278000</v>
      </c>
    </row>
    <row r="107" spans="1:58" x14ac:dyDescent="0.25">
      <c r="A107" s="138" t="s">
        <v>1195</v>
      </c>
      <c r="B107" t="s">
        <v>533</v>
      </c>
      <c r="C107" t="s">
        <v>67</v>
      </c>
      <c r="D107" s="78">
        <f>INDEX('Population Data by Age'!$B$7:$H$10366,MATCH(CONCATENATE('Tabular Pop Data by Age'!$C107,'Tabular Pop Data by Age'!D$7),'Population Data by Age'!$B$7:$B$10366,0),MATCH('Tabular Pop Data by Age'!$C$6,'Population Data by Age'!$B$6:$H$6,0))</f>
        <v>516000</v>
      </c>
      <c r="E107" s="78">
        <f>INDEX('Population Data by Age'!$B$7:$H$10366,MATCH(CONCATENATE('Tabular Pop Data by Age'!$C107,'Tabular Pop Data by Age'!E$7),'Population Data by Age'!$B$7:$B$10366,0),MATCH('Tabular Pop Data by Age'!$C$6,'Population Data by Age'!$B$6:$H$6,0))</f>
        <v>543000</v>
      </c>
      <c r="F107" s="78">
        <f>INDEX('Population Data by Age'!$B$7:$H$10366,MATCH(CONCATENATE('Tabular Pop Data by Age'!$C107,'Tabular Pop Data by Age'!F$7),'Population Data by Age'!$B$7:$B$10366,0),MATCH('Tabular Pop Data by Age'!$C$6,'Population Data by Age'!$B$6:$H$6,0))</f>
        <v>566000</v>
      </c>
      <c r="G107" s="78">
        <f>INDEX('Population Data by Age'!$B$7:$H$10366,MATCH(CONCATENATE('Tabular Pop Data by Age'!$C107,'Tabular Pop Data by Age'!G$7),'Population Data by Age'!$B$7:$B$10366,0),MATCH('Tabular Pop Data by Age'!$C$6,'Population Data by Age'!$B$6:$H$6,0))</f>
        <v>588000</v>
      </c>
      <c r="H107" s="78">
        <f>INDEX('Population Data by Age'!$B$7:$H$10366,MATCH(CONCATENATE('Tabular Pop Data by Age'!$C107,'Tabular Pop Data by Age'!H$7),'Population Data by Age'!$B$7:$B$10366,0),MATCH('Tabular Pop Data by Age'!$C$6,'Population Data by Age'!$B$6:$H$6,0))</f>
        <v>563000</v>
      </c>
      <c r="I107" s="78">
        <f>INDEX('Population Data by Age'!$B$7:$H$10366,MATCH(CONCATENATE('Tabular Pop Data by Age'!$C107,'Tabular Pop Data by Age'!I$7),'Population Data by Age'!$B$7:$B$10366,0),MATCH('Tabular Pop Data by Age'!$C$6,'Population Data by Age'!$B$6:$H$6,0))</f>
        <v>577000</v>
      </c>
      <c r="J107" s="78">
        <f>INDEX('Population Data by Age'!$B$7:$H$10366,MATCH(CONCATENATE('Tabular Pop Data by Age'!$C107,'Tabular Pop Data by Age'!J$7),'Population Data by Age'!$B$7:$B$10366,0),MATCH('Tabular Pop Data by Age'!$C$6,'Population Data by Age'!$B$6:$H$6,0))</f>
        <v>515000</v>
      </c>
      <c r="K107" s="78">
        <f>INDEX('Population Data by Age'!$B$7:$H$10366,MATCH(CONCATENATE('Tabular Pop Data by Age'!$C107,'Tabular Pop Data by Age'!K$7),'Population Data by Age'!$B$7:$B$10366,0),MATCH('Tabular Pop Data by Age'!$C$6,'Population Data by Age'!$B$6:$H$6,0))</f>
        <v>525000</v>
      </c>
      <c r="L107" s="78">
        <f>INDEX('Population Data by Age'!$B$7:$H$10366,MATCH(CONCATENATE('Tabular Pop Data by Age'!$C107,'Tabular Pop Data by Age'!L$7),'Population Data by Age'!$B$7:$B$10366,0),MATCH('Tabular Pop Data by Age'!$C$6,'Population Data by Age'!$B$6:$H$6,0))</f>
        <v>466000</v>
      </c>
      <c r="M107" s="78">
        <f>INDEX('Population Data by Age'!$B$7:$H$10366,MATCH(CONCATENATE('Tabular Pop Data by Age'!$C107,'Tabular Pop Data by Age'!M$7),'Population Data by Age'!$B$7:$B$10366,0),MATCH('Tabular Pop Data by Age'!$C$6,'Population Data by Age'!$B$6:$H$6,0))</f>
        <v>474000</v>
      </c>
      <c r="N107" s="78">
        <f>INDEX('Population Data by Age'!$B$7:$H$10366,MATCH(CONCATENATE('Tabular Pop Data by Age'!$C107,'Tabular Pop Data by Age'!N$7),'Population Data by Age'!$B$7:$B$10366,0),MATCH('Tabular Pop Data by Age'!$C$6,'Population Data by Age'!$B$6:$H$6,0))</f>
        <v>428000</v>
      </c>
      <c r="O107" s="78">
        <f>INDEX('Population Data by Age'!$B$7:$H$10366,MATCH(CONCATENATE('Tabular Pop Data by Age'!$C107,'Tabular Pop Data by Age'!O$7),'Population Data by Age'!$B$7:$B$10366,0),MATCH('Tabular Pop Data by Age'!$C$6,'Population Data by Age'!$B$6:$H$6,0))</f>
        <v>435000</v>
      </c>
      <c r="P107" s="78">
        <f>INDEX('Population Data by Age'!$B$7:$H$10366,MATCH(CONCATENATE('Tabular Pop Data by Age'!$C107,'Tabular Pop Data by Age'!P$7),'Population Data by Age'!$B$7:$B$10366,0),MATCH('Tabular Pop Data by Age'!$C$6,'Population Data by Age'!$B$6:$H$6,0))</f>
        <v>384000</v>
      </c>
      <c r="Q107" s="78">
        <f>INDEX('Population Data by Age'!$B$7:$H$10366,MATCH(CONCATENATE('Tabular Pop Data by Age'!$C107,'Tabular Pop Data by Age'!Q$7),'Population Data by Age'!$B$7:$B$10366,0),MATCH('Tabular Pop Data by Age'!$C$6,'Population Data by Age'!$B$6:$H$6,0))</f>
        <v>393000</v>
      </c>
      <c r="R107" s="78">
        <f>INDEX('Population Data by Age'!$B$7:$H$10366,MATCH(CONCATENATE('Tabular Pop Data by Age'!$C107,'Tabular Pop Data by Age'!R$7),'Population Data by Age'!$B$7:$B$10366,0),MATCH('Tabular Pop Data by Age'!$C$6,'Population Data by Age'!$B$6:$H$6,0))</f>
        <v>350000</v>
      </c>
      <c r="S107" s="78">
        <f>INDEX('Population Data by Age'!$B$7:$H$10366,MATCH(CONCATENATE('Tabular Pop Data by Age'!$C107,'Tabular Pop Data by Age'!S$7),'Population Data by Age'!$B$7:$B$10366,0),MATCH('Tabular Pop Data by Age'!$C$6,'Population Data by Age'!$B$6:$H$6,0))</f>
        <v>363000</v>
      </c>
      <c r="T107" s="78">
        <f>INDEX('Population Data by Age'!$B$7:$H$10366,MATCH(CONCATENATE('Tabular Pop Data by Age'!$C107,'Tabular Pop Data by Age'!T$7),'Population Data by Age'!$B$7:$B$10366,0),MATCH('Tabular Pop Data by Age'!$C$6,'Population Data by Age'!$B$6:$H$6,0))</f>
        <v>295000</v>
      </c>
      <c r="U107" s="78">
        <f>INDEX('Population Data by Age'!$B$7:$H$10366,MATCH(CONCATENATE('Tabular Pop Data by Age'!$C107,'Tabular Pop Data by Age'!U$7),'Population Data by Age'!$B$7:$B$10366,0),MATCH('Tabular Pop Data by Age'!$C$6,'Population Data by Age'!$B$6:$H$6,0))</f>
        <v>311000</v>
      </c>
      <c r="V107" s="78">
        <f>INDEX('Population Data by Age'!$B$7:$H$10366,MATCH(CONCATENATE('Tabular Pop Data by Age'!$C107,'Tabular Pop Data by Age'!V$7),'Population Data by Age'!$B$7:$B$10366,0),MATCH('Tabular Pop Data by Age'!$C$6,'Population Data by Age'!$B$6:$H$6,0))</f>
        <v>258000</v>
      </c>
      <c r="W107" s="78">
        <f>INDEX('Population Data by Age'!$B$7:$H$10366,MATCH(CONCATENATE('Tabular Pop Data by Age'!$C107,'Tabular Pop Data by Age'!W$7),'Population Data by Age'!$B$7:$B$10366,0),MATCH('Tabular Pop Data by Age'!$C$6,'Population Data by Age'!$B$6:$H$6,0))</f>
        <v>277000</v>
      </c>
      <c r="X107" s="78">
        <f>INDEX('Population Data by Age'!$B$7:$H$10366,MATCH(CONCATENATE('Tabular Pop Data by Age'!$C107,'Tabular Pop Data by Age'!X$7),'Population Data by Age'!$B$7:$B$10366,0),MATCH('Tabular Pop Data by Age'!$C$6,'Population Data by Age'!$B$6:$H$6,0))</f>
        <v>209000</v>
      </c>
      <c r="Y107" s="78">
        <f>INDEX('Population Data by Age'!$B$7:$H$10366,MATCH(CONCATENATE('Tabular Pop Data by Age'!$C107,'Tabular Pop Data by Age'!Y$7),'Population Data by Age'!$B$7:$B$10366,0),MATCH('Tabular Pop Data by Age'!$C$6,'Population Data by Age'!$B$6:$H$6,0))</f>
        <v>224000</v>
      </c>
      <c r="Z107" s="78">
        <f>INDEX('Population Data by Age'!$B$7:$H$10366,MATCH(CONCATENATE('Tabular Pop Data by Age'!$C107,'Tabular Pop Data by Age'!Z$7),'Population Data by Age'!$B$7:$B$10366,0),MATCH('Tabular Pop Data by Age'!$C$6,'Population Data by Age'!$B$6:$H$6,0))</f>
        <v>160000</v>
      </c>
      <c r="AA107" s="78">
        <f>INDEX('Population Data by Age'!$B$7:$H$10366,MATCH(CONCATENATE('Tabular Pop Data by Age'!$C107,'Tabular Pop Data by Age'!AA$7),'Population Data by Age'!$B$7:$B$10366,0),MATCH('Tabular Pop Data by Age'!$C$6,'Population Data by Age'!$B$6:$H$6,0))</f>
        <v>162000</v>
      </c>
      <c r="AB107" s="78">
        <f>INDEX('Population Data by Age'!$B$7:$H$10366,MATCH(CONCATENATE('Tabular Pop Data by Age'!$C107,'Tabular Pop Data by Age'!AB$7),'Population Data by Age'!$B$7:$B$10366,0),MATCH('Tabular Pop Data by Age'!$C$6,'Population Data by Age'!$B$6:$H$6,0))</f>
        <v>111000</v>
      </c>
      <c r="AC107" s="78">
        <f>INDEX('Population Data by Age'!$B$7:$H$10366,MATCH(CONCATENATE('Tabular Pop Data by Age'!$C107,'Tabular Pop Data by Age'!AC$7),'Population Data by Age'!$B$7:$B$10366,0),MATCH('Tabular Pop Data by Age'!$C$6,'Population Data by Age'!$B$6:$H$6,0))</f>
        <v>106000</v>
      </c>
      <c r="AD107" s="78">
        <f>INDEX('Population Data by Age'!$B$7:$H$10366,MATCH(CONCATENATE('Tabular Pop Data by Age'!$C107,'Tabular Pop Data by Age'!AD$7),'Population Data by Age'!$B$7:$B$10366,0),MATCH('Tabular Pop Data by Age'!$C$6,'Population Data by Age'!$B$6:$H$6,0))</f>
        <v>77000</v>
      </c>
      <c r="AE107" s="78">
        <f>INDEX('Population Data by Age'!$B$7:$H$10366,MATCH(CONCATENATE('Tabular Pop Data by Age'!$C107,'Tabular Pop Data by Age'!AE$7),'Population Data by Age'!$B$7:$B$10366,0),MATCH('Tabular Pop Data by Age'!$C$6,'Population Data by Age'!$B$6:$H$6,0))</f>
        <v>72000</v>
      </c>
      <c r="AF107" s="78">
        <f>INDEX('Population Data by Age'!$B$7:$H$10366,MATCH(CONCATENATE('Tabular Pop Data by Age'!$C107,'Tabular Pop Data by Age'!AF$7),'Population Data by Age'!$B$7:$B$10366,0),MATCH('Tabular Pop Data by Age'!$C$6,'Population Data by Age'!$B$6:$H$6,0))</f>
        <v>60000</v>
      </c>
      <c r="AG107" s="78">
        <f>INDEX('Population Data by Age'!$B$7:$H$10366,MATCH(CONCATENATE('Tabular Pop Data by Age'!$C107,'Tabular Pop Data by Age'!AG$7),'Population Data by Age'!$B$7:$B$10366,0),MATCH('Tabular Pop Data by Age'!$C$6,'Population Data by Age'!$B$6:$H$6,0))</f>
        <v>52000</v>
      </c>
      <c r="AH107" s="78">
        <f>INDEX('Population Data by Age'!$B$7:$H$10366,MATCH(CONCATENATE('Tabular Pop Data by Age'!$C107,'Tabular Pop Data by Age'!AH$7),'Population Data by Age'!$B$7:$B$10366,0),MATCH('Tabular Pop Data by Age'!$C$6,'Population Data by Age'!$B$6:$H$6,0))</f>
        <v>43000</v>
      </c>
      <c r="AI107" s="78">
        <f>INDEX('Population Data by Age'!$B$7:$H$10366,MATCH(CONCATENATE('Tabular Pop Data by Age'!$C107,'Tabular Pop Data by Age'!AI$7),'Population Data by Age'!$B$7:$B$10366,0),MATCH('Tabular Pop Data by Age'!$C$6,'Population Data by Age'!$B$6:$H$6,0))</f>
        <v>36000</v>
      </c>
      <c r="AJ107" s="78">
        <f>INDEX('Population Data by Age'!$B$7:$H$10366,MATCH(CONCATENATE('Tabular Pop Data by Age'!$C107,'Tabular Pop Data by Age'!AJ$7),'Population Data by Age'!$B$7:$B$10366,0),MATCH('Tabular Pop Data by Age'!$C$6,'Population Data by Age'!$B$6:$H$6,0))</f>
        <v>36000</v>
      </c>
      <c r="AK107" s="78">
        <f>INDEX('Population Data by Age'!$B$7:$H$10366,MATCH(CONCATENATE('Tabular Pop Data by Age'!$C107,'Tabular Pop Data by Age'!AK$7),'Population Data by Age'!$B$7:$B$10366,0),MATCH('Tabular Pop Data by Age'!$C$6,'Population Data by Age'!$B$6:$H$6,0))</f>
        <v>28000</v>
      </c>
      <c r="AL107" s="78">
        <f>INDEX('Population Data by Age'!$B$7:$H$10366,MATCH(CONCATENATE('Tabular Pop Data by Age'!$C107,'Tabular Pop Data by Age'!AL$7),'Population Data by Age'!$B$7:$B$10366,0),MATCH('Tabular Pop Data by Age'!$C$6,'Population Data by Age'!$B$6:$H$6,0))</f>
        <v>5037000</v>
      </c>
      <c r="AM107" s="78">
        <f>INDEX('Population Data by Age'!$B$7:$H$10366,MATCH(CONCATENATE('Tabular Pop Data by Age'!$C107,'Tabular Pop Data by Age'!AM$7),'Population Data by Age'!$B$7:$B$10366,0),MATCH('Tabular Pop Data by Age'!$C$6,'Population Data by Age'!$B$6:$H$6,0))</f>
        <v>5166000</v>
      </c>
      <c r="AN107" s="78">
        <f>INDEX('Population Data by Age'!$B$7:$H$10366,MATCH(CONCATENATE('Tabular Pop Data by Age'!$C107,'Tabular Pop Data by Age'!AN$7),'Population Data by Age'!$B$7:$B$10366,0),MATCH('Tabular Pop Data by Age'!$C$6,'Population Data by Age'!$B$6:$H$6,0))</f>
        <v>10203000</v>
      </c>
      <c r="AO107" s="78">
        <f>INDEX('Population Data by Age'!$B$7:$H$10366,MATCH(CONCATENATE('Tabular Pop Data by Age'!$C107,'Tabular Pop Data by Age'!AO$7),'Population Data by Age'!$B$7:$B$10366,0),MATCH('Tabular Pop Data by Age'!$C$6,'Population Data by Age'!$B$6:$H$6,0))</f>
        <v>0</v>
      </c>
      <c r="AP107" s="79">
        <f t="shared" si="17"/>
        <v>1059000</v>
      </c>
      <c r="AQ107" s="79">
        <f t="shared" si="18"/>
        <v>1154000</v>
      </c>
      <c r="AR107" s="79">
        <f t="shared" si="19"/>
        <v>1140000</v>
      </c>
      <c r="AS107" s="79">
        <f t="shared" si="20"/>
        <v>1040000</v>
      </c>
      <c r="AT107" s="79">
        <f t="shared" si="21"/>
        <v>940000</v>
      </c>
      <c r="AU107" s="79">
        <f t="shared" si="22"/>
        <v>863000</v>
      </c>
      <c r="AV107" s="79">
        <f t="shared" si="23"/>
        <v>777000</v>
      </c>
      <c r="AW107" s="79">
        <f t="shared" si="24"/>
        <v>713000</v>
      </c>
      <c r="AX107" s="79">
        <f t="shared" si="25"/>
        <v>606000</v>
      </c>
      <c r="AY107" s="79">
        <f t="shared" si="26"/>
        <v>535000</v>
      </c>
      <c r="AZ107" s="79">
        <f t="shared" si="27"/>
        <v>433000</v>
      </c>
      <c r="BA107" s="79">
        <f t="shared" si="28"/>
        <v>322000</v>
      </c>
      <c r="BB107" s="79">
        <f t="shared" si="29"/>
        <v>217000</v>
      </c>
      <c r="BC107" s="79">
        <f t="shared" si="30"/>
        <v>149000</v>
      </c>
      <c r="BD107" s="79">
        <f t="shared" si="31"/>
        <v>112000</v>
      </c>
      <c r="BE107" s="79">
        <f t="shared" si="32"/>
        <v>79000</v>
      </c>
      <c r="BF107" s="79">
        <f t="shared" si="33"/>
        <v>64000</v>
      </c>
    </row>
    <row r="108" spans="1:58" x14ac:dyDescent="0.25">
      <c r="A108" s="138" t="s">
        <v>1195</v>
      </c>
      <c r="B108" t="s">
        <v>534</v>
      </c>
      <c r="C108" t="s">
        <v>69</v>
      </c>
      <c r="D108" s="78">
        <f>INDEX('Population Data by Age'!$B$7:$H$10366,MATCH(CONCATENATE('Tabular Pop Data by Age'!$C108,'Tabular Pop Data by Age'!D$7),'Population Data by Age'!$B$7:$B$10366,0),MATCH('Tabular Pop Data by Age'!$C$6,'Population Data by Age'!$B$6:$H$6,0))</f>
        <v>924000</v>
      </c>
      <c r="E108" s="78">
        <f>INDEX('Population Data by Age'!$B$7:$H$10366,MATCH(CONCATENATE('Tabular Pop Data by Age'!$C108,'Tabular Pop Data by Age'!E$7),'Population Data by Age'!$B$7:$B$10366,0),MATCH('Tabular Pop Data by Age'!$C$6,'Population Data by Age'!$B$6:$H$6,0))</f>
        <v>984000</v>
      </c>
      <c r="F108" s="78">
        <f>INDEX('Population Data by Age'!$B$7:$H$10366,MATCH(CONCATENATE('Tabular Pop Data by Age'!$C108,'Tabular Pop Data by Age'!F$7),'Population Data by Age'!$B$7:$B$10366,0),MATCH('Tabular Pop Data by Age'!$C$6,'Population Data by Age'!$B$6:$H$6,0))</f>
        <v>940000</v>
      </c>
      <c r="G108" s="78">
        <f>INDEX('Population Data by Age'!$B$7:$H$10366,MATCH(CONCATENATE('Tabular Pop Data by Age'!$C108,'Tabular Pop Data by Age'!G$7),'Population Data by Age'!$B$7:$B$10366,0),MATCH('Tabular Pop Data by Age'!$C$6,'Population Data by Age'!$B$6:$H$6,0))</f>
        <v>995000</v>
      </c>
      <c r="H108" s="78">
        <f>INDEX('Population Data by Age'!$B$7:$H$10366,MATCH(CONCATENATE('Tabular Pop Data by Age'!$C108,'Tabular Pop Data by Age'!H$7),'Population Data by Age'!$B$7:$B$10366,0),MATCH('Tabular Pop Data by Age'!$C$6,'Population Data by Age'!$B$6:$H$6,0))</f>
        <v>774000</v>
      </c>
      <c r="I108" s="78">
        <f>INDEX('Population Data by Age'!$B$7:$H$10366,MATCH(CONCATENATE('Tabular Pop Data by Age'!$C108,'Tabular Pop Data by Age'!I$7),'Population Data by Age'!$B$7:$B$10366,0),MATCH('Tabular Pop Data by Age'!$C$6,'Population Data by Age'!$B$6:$H$6,0))</f>
        <v>820000</v>
      </c>
      <c r="J108" s="78">
        <f>INDEX('Population Data by Age'!$B$7:$H$10366,MATCH(CONCATENATE('Tabular Pop Data by Age'!$C108,'Tabular Pop Data by Age'!J$7),'Population Data by Age'!$B$7:$B$10366,0),MATCH('Tabular Pop Data by Age'!$C$6,'Population Data by Age'!$B$6:$H$6,0))</f>
        <v>541000</v>
      </c>
      <c r="K108" s="78">
        <f>INDEX('Population Data by Age'!$B$7:$H$10366,MATCH(CONCATENATE('Tabular Pop Data by Age'!$C108,'Tabular Pop Data by Age'!K$7),'Population Data by Age'!$B$7:$B$10366,0),MATCH('Tabular Pop Data by Age'!$C$6,'Population Data by Age'!$B$6:$H$6,0))</f>
        <v>568000</v>
      </c>
      <c r="L108" s="78">
        <f>INDEX('Population Data by Age'!$B$7:$H$10366,MATCH(CONCATENATE('Tabular Pop Data by Age'!$C108,'Tabular Pop Data by Age'!L$7),'Population Data by Age'!$B$7:$B$10366,0),MATCH('Tabular Pop Data by Age'!$C$6,'Population Data by Age'!$B$6:$H$6,0))</f>
        <v>533000</v>
      </c>
      <c r="M108" s="78">
        <f>INDEX('Population Data by Age'!$B$7:$H$10366,MATCH(CONCATENATE('Tabular Pop Data by Age'!$C108,'Tabular Pop Data by Age'!M$7),'Population Data by Age'!$B$7:$B$10366,0),MATCH('Tabular Pop Data by Age'!$C$6,'Population Data by Age'!$B$6:$H$6,0))</f>
        <v>560000</v>
      </c>
      <c r="N108" s="78">
        <f>INDEX('Population Data by Age'!$B$7:$H$10366,MATCH(CONCATENATE('Tabular Pop Data by Age'!$C108,'Tabular Pop Data by Age'!N$7),'Population Data by Age'!$B$7:$B$10366,0),MATCH('Tabular Pop Data by Age'!$C$6,'Population Data by Age'!$B$6:$H$6,0))</f>
        <v>728000</v>
      </c>
      <c r="O108" s="78">
        <f>INDEX('Population Data by Age'!$B$7:$H$10366,MATCH(CONCATENATE('Tabular Pop Data by Age'!$C108,'Tabular Pop Data by Age'!O$7),'Population Data by Age'!$B$7:$B$10366,0),MATCH('Tabular Pop Data by Age'!$C$6,'Population Data by Age'!$B$6:$H$6,0))</f>
        <v>735000</v>
      </c>
      <c r="P108" s="78">
        <f>INDEX('Population Data by Age'!$B$7:$H$10366,MATCH(CONCATENATE('Tabular Pop Data by Age'!$C108,'Tabular Pop Data by Age'!P$7),'Population Data by Age'!$B$7:$B$10366,0),MATCH('Tabular Pop Data by Age'!$C$6,'Population Data by Age'!$B$6:$H$6,0))</f>
        <v>837000</v>
      </c>
      <c r="Q108" s="78">
        <f>INDEX('Population Data by Age'!$B$7:$H$10366,MATCH(CONCATENATE('Tabular Pop Data by Age'!$C108,'Tabular Pop Data by Age'!Q$7),'Population Data by Age'!$B$7:$B$10366,0),MATCH('Tabular Pop Data by Age'!$C$6,'Population Data by Age'!$B$6:$H$6,0))</f>
        <v>810000</v>
      </c>
      <c r="R108" s="78">
        <f>INDEX('Population Data by Age'!$B$7:$H$10366,MATCH(CONCATENATE('Tabular Pop Data by Age'!$C108,'Tabular Pop Data by Age'!R$7),'Population Data by Age'!$B$7:$B$10366,0),MATCH('Tabular Pop Data by Age'!$C$6,'Population Data by Age'!$B$6:$H$6,0))</f>
        <v>665000</v>
      </c>
      <c r="S108" s="78">
        <f>INDEX('Population Data by Age'!$B$7:$H$10366,MATCH(CONCATENATE('Tabular Pop Data by Age'!$C108,'Tabular Pop Data by Age'!S$7),'Population Data by Age'!$B$7:$B$10366,0),MATCH('Tabular Pop Data by Age'!$C$6,'Population Data by Age'!$B$6:$H$6,0))</f>
        <v>662000</v>
      </c>
      <c r="T108" s="78">
        <f>INDEX('Population Data by Age'!$B$7:$H$10366,MATCH(CONCATENATE('Tabular Pop Data by Age'!$C108,'Tabular Pop Data by Age'!T$7),'Population Data by Age'!$B$7:$B$10366,0),MATCH('Tabular Pop Data by Age'!$C$6,'Population Data by Age'!$B$6:$H$6,0))</f>
        <v>599000</v>
      </c>
      <c r="U108" s="78">
        <f>INDEX('Population Data by Age'!$B$7:$H$10366,MATCH(CONCATENATE('Tabular Pop Data by Age'!$C108,'Tabular Pop Data by Age'!U$7),'Population Data by Age'!$B$7:$B$10366,0),MATCH('Tabular Pop Data by Age'!$C$6,'Population Data by Age'!$B$6:$H$6,0))</f>
        <v>577000</v>
      </c>
      <c r="V108" s="78">
        <f>INDEX('Population Data by Age'!$B$7:$H$10366,MATCH(CONCATENATE('Tabular Pop Data by Age'!$C108,'Tabular Pop Data by Age'!V$7),'Population Data by Age'!$B$7:$B$10366,0),MATCH('Tabular Pop Data by Age'!$C$6,'Population Data by Age'!$B$6:$H$6,0))</f>
        <v>565000</v>
      </c>
      <c r="W108" s="78">
        <f>INDEX('Population Data by Age'!$B$7:$H$10366,MATCH(CONCATENATE('Tabular Pop Data by Age'!$C108,'Tabular Pop Data by Age'!W$7),'Population Data by Age'!$B$7:$B$10366,0),MATCH('Tabular Pop Data by Age'!$C$6,'Population Data by Age'!$B$6:$H$6,0))</f>
        <v>530000</v>
      </c>
      <c r="X108" s="78">
        <f>INDEX('Population Data by Age'!$B$7:$H$10366,MATCH(CONCATENATE('Tabular Pop Data by Age'!$C108,'Tabular Pop Data by Age'!X$7),'Population Data by Age'!$B$7:$B$10366,0),MATCH('Tabular Pop Data by Age'!$C$6,'Population Data by Age'!$B$6:$H$6,0))</f>
        <v>516000</v>
      </c>
      <c r="Y108" s="78">
        <f>INDEX('Population Data by Age'!$B$7:$H$10366,MATCH(CONCATENATE('Tabular Pop Data by Age'!$C108,'Tabular Pop Data by Age'!Y$7),'Population Data by Age'!$B$7:$B$10366,0),MATCH('Tabular Pop Data by Age'!$C$6,'Population Data by Age'!$B$6:$H$6,0))</f>
        <v>456000</v>
      </c>
      <c r="Z108" s="78">
        <f>INDEX('Population Data by Age'!$B$7:$H$10366,MATCH(CONCATENATE('Tabular Pop Data by Age'!$C108,'Tabular Pop Data by Age'!Z$7),'Population Data by Age'!$B$7:$B$10366,0),MATCH('Tabular Pop Data by Age'!$C$6,'Population Data by Age'!$B$6:$H$6,0))</f>
        <v>573000</v>
      </c>
      <c r="AA108" s="78">
        <f>INDEX('Population Data by Age'!$B$7:$H$10366,MATCH(CONCATENATE('Tabular Pop Data by Age'!$C108,'Tabular Pop Data by Age'!AA$7),'Population Data by Age'!$B$7:$B$10366,0),MATCH('Tabular Pop Data by Age'!$C$6,'Population Data by Age'!$B$6:$H$6,0))</f>
        <v>482000</v>
      </c>
      <c r="AB108" s="78">
        <f>INDEX('Population Data by Age'!$B$7:$H$10366,MATCH(CONCATENATE('Tabular Pop Data by Age'!$C108,'Tabular Pop Data by Age'!AB$7),'Population Data by Age'!$B$7:$B$10366,0),MATCH('Tabular Pop Data by Age'!$C$6,'Population Data by Age'!$B$6:$H$6,0))</f>
        <v>455000</v>
      </c>
      <c r="AC108" s="78">
        <f>INDEX('Population Data by Age'!$B$7:$H$10366,MATCH(CONCATENATE('Tabular Pop Data by Age'!$C108,'Tabular Pop Data by Age'!AC$7),'Population Data by Age'!$B$7:$B$10366,0),MATCH('Tabular Pop Data by Age'!$C$6,'Population Data by Age'!$B$6:$H$6,0))</f>
        <v>351000</v>
      </c>
      <c r="AD108" s="78">
        <f>INDEX('Population Data by Age'!$B$7:$H$10366,MATCH(CONCATENATE('Tabular Pop Data by Age'!$C108,'Tabular Pop Data by Age'!AD$7),'Population Data by Age'!$B$7:$B$10366,0),MATCH('Tabular Pop Data by Age'!$C$6,'Population Data by Age'!$B$6:$H$6,0))</f>
        <v>377000</v>
      </c>
      <c r="AE108" s="78">
        <f>INDEX('Population Data by Age'!$B$7:$H$10366,MATCH(CONCATENATE('Tabular Pop Data by Age'!$C108,'Tabular Pop Data by Age'!AE$7),'Population Data by Age'!$B$7:$B$10366,0),MATCH('Tabular Pop Data by Age'!$C$6,'Population Data by Age'!$B$6:$H$6,0))</f>
        <v>246000</v>
      </c>
      <c r="AF108" s="78">
        <f>INDEX('Population Data by Age'!$B$7:$H$10366,MATCH(CONCATENATE('Tabular Pop Data by Age'!$C108,'Tabular Pop Data by Age'!AF$7),'Population Data by Age'!$B$7:$B$10366,0),MATCH('Tabular Pop Data by Age'!$C$6,'Population Data by Age'!$B$6:$H$6,0))</f>
        <v>200000</v>
      </c>
      <c r="AG108" s="78">
        <f>INDEX('Population Data by Age'!$B$7:$H$10366,MATCH(CONCATENATE('Tabular Pop Data by Age'!$C108,'Tabular Pop Data by Age'!AG$7),'Population Data by Age'!$B$7:$B$10366,0),MATCH('Tabular Pop Data by Age'!$C$6,'Population Data by Age'!$B$6:$H$6,0))</f>
        <v>118000</v>
      </c>
      <c r="AH108" s="78">
        <f>INDEX('Population Data by Age'!$B$7:$H$10366,MATCH(CONCATENATE('Tabular Pop Data by Age'!$C108,'Tabular Pop Data by Age'!AH$7),'Population Data by Age'!$B$7:$B$10366,0),MATCH('Tabular Pop Data by Age'!$C$6,'Population Data by Age'!$B$6:$H$6,0))</f>
        <v>157000</v>
      </c>
      <c r="AI108" s="78">
        <f>INDEX('Population Data by Age'!$B$7:$H$10366,MATCH(CONCATENATE('Tabular Pop Data by Age'!$C108,'Tabular Pop Data by Age'!AI$7),'Population Data by Age'!$B$7:$B$10366,0),MATCH('Tabular Pop Data by Age'!$C$6,'Population Data by Age'!$B$6:$H$6,0))</f>
        <v>74000</v>
      </c>
      <c r="AJ108" s="78">
        <f>INDEX('Population Data by Age'!$B$7:$H$10366,MATCH(CONCATENATE('Tabular Pop Data by Age'!$C108,'Tabular Pop Data by Age'!AJ$7),'Population Data by Age'!$B$7:$B$10366,0),MATCH('Tabular Pop Data by Age'!$C$6,'Population Data by Age'!$B$6:$H$6,0))</f>
        <v>217000</v>
      </c>
      <c r="AK108" s="78">
        <f>INDEX('Population Data by Age'!$B$7:$H$10366,MATCH(CONCATENATE('Tabular Pop Data by Age'!$C108,'Tabular Pop Data by Age'!AK$7),'Population Data by Age'!$B$7:$B$10366,0),MATCH('Tabular Pop Data by Age'!$C$6,'Population Data by Age'!$B$6:$H$6,0))</f>
        <v>85000</v>
      </c>
      <c r="AL108" s="78">
        <f>INDEX('Population Data by Age'!$B$7:$H$10366,MATCH(CONCATENATE('Tabular Pop Data by Age'!$C108,'Tabular Pop Data by Age'!AL$7),'Population Data by Age'!$B$7:$B$10366,0),MATCH('Tabular Pop Data by Age'!$C$6,'Population Data by Age'!$B$6:$H$6,0))</f>
        <v>9600000</v>
      </c>
      <c r="AM108" s="78">
        <f>INDEX('Population Data by Age'!$B$7:$H$10366,MATCH(CONCATENATE('Tabular Pop Data by Age'!$C108,'Tabular Pop Data by Age'!AM$7),'Population Data by Age'!$B$7:$B$10366,0),MATCH('Tabular Pop Data by Age'!$C$6,'Population Data by Age'!$B$6:$H$6,0))</f>
        <v>9053000</v>
      </c>
      <c r="AN108" s="78">
        <f>INDEX('Population Data by Age'!$B$7:$H$10366,MATCH(CONCATENATE('Tabular Pop Data by Age'!$C108,'Tabular Pop Data by Age'!AN$7),'Population Data by Age'!$B$7:$B$10366,0),MATCH('Tabular Pop Data by Age'!$C$6,'Population Data by Age'!$B$6:$H$6,0))</f>
        <v>18654000</v>
      </c>
      <c r="AO108" s="78">
        <f>INDEX('Population Data by Age'!$B$7:$H$10366,MATCH(CONCATENATE('Tabular Pop Data by Age'!$C108,'Tabular Pop Data by Age'!AO$7),'Population Data by Age'!$B$7:$B$10366,0),MATCH('Tabular Pop Data by Age'!$C$6,'Population Data by Age'!$B$6:$H$6,0))</f>
        <v>0</v>
      </c>
      <c r="AP108" s="79">
        <f t="shared" si="17"/>
        <v>1908000</v>
      </c>
      <c r="AQ108" s="79">
        <f t="shared" si="18"/>
        <v>1935000</v>
      </c>
      <c r="AR108" s="79">
        <f t="shared" si="19"/>
        <v>1594000</v>
      </c>
      <c r="AS108" s="79">
        <f t="shared" si="20"/>
        <v>1109000</v>
      </c>
      <c r="AT108" s="79">
        <f t="shared" si="21"/>
        <v>1093000</v>
      </c>
      <c r="AU108" s="79">
        <f t="shared" si="22"/>
        <v>1463000</v>
      </c>
      <c r="AV108" s="79">
        <f t="shared" si="23"/>
        <v>1647000</v>
      </c>
      <c r="AW108" s="79">
        <f t="shared" si="24"/>
        <v>1327000</v>
      </c>
      <c r="AX108" s="79">
        <f t="shared" si="25"/>
        <v>1176000</v>
      </c>
      <c r="AY108" s="79">
        <f t="shared" si="26"/>
        <v>1095000</v>
      </c>
      <c r="AZ108" s="79">
        <f t="shared" si="27"/>
        <v>972000</v>
      </c>
      <c r="BA108" s="79">
        <f t="shared" si="28"/>
        <v>1055000</v>
      </c>
      <c r="BB108" s="79">
        <f t="shared" si="29"/>
        <v>806000</v>
      </c>
      <c r="BC108" s="79">
        <f t="shared" si="30"/>
        <v>623000</v>
      </c>
      <c r="BD108" s="79">
        <f t="shared" si="31"/>
        <v>318000</v>
      </c>
      <c r="BE108" s="79">
        <f t="shared" si="32"/>
        <v>231000</v>
      </c>
      <c r="BF108" s="79">
        <f t="shared" si="33"/>
        <v>302000</v>
      </c>
    </row>
    <row r="109" spans="1:58" x14ac:dyDescent="0.25">
      <c r="A109" s="138" t="s">
        <v>1195</v>
      </c>
      <c r="B109" t="s">
        <v>199</v>
      </c>
      <c r="C109" t="s">
        <v>70</v>
      </c>
      <c r="D109" s="78">
        <f>INDEX('Population Data by Age'!$B$7:$H$10366,MATCH(CONCATENATE('Tabular Pop Data by Age'!$C109,'Tabular Pop Data by Age'!D$7),'Population Data by Age'!$B$7:$B$10366,0),MATCH('Tabular Pop Data by Age'!$C$6,'Population Data by Age'!$B$6:$H$6,0))</f>
        <v>3486000</v>
      </c>
      <c r="E109" s="78">
        <f>INDEX('Population Data by Age'!$B$7:$H$10366,MATCH(CONCATENATE('Tabular Pop Data by Age'!$C109,'Tabular Pop Data by Age'!E$7),'Population Data by Age'!$B$7:$B$10366,0),MATCH('Tabular Pop Data by Age'!$C$6,'Population Data by Age'!$B$6:$H$6,0))</f>
        <v>3558000</v>
      </c>
      <c r="F109" s="78">
        <f>INDEX('Population Data by Age'!$B$7:$H$10366,MATCH(CONCATENATE('Tabular Pop Data by Age'!$C109,'Tabular Pop Data by Age'!F$7),'Population Data by Age'!$B$7:$B$10366,0),MATCH('Tabular Pop Data by Age'!$C$6,'Population Data by Age'!$B$6:$H$6,0))</f>
        <v>3461000</v>
      </c>
      <c r="G109" s="78">
        <f>INDEX('Population Data by Age'!$B$7:$H$10366,MATCH(CONCATENATE('Tabular Pop Data by Age'!$C109,'Tabular Pop Data by Age'!G$7),'Population Data by Age'!$B$7:$B$10366,0),MATCH('Tabular Pop Data by Age'!$C$6,'Population Data by Age'!$B$6:$H$6,0))</f>
        <v>3508000</v>
      </c>
      <c r="H109" s="78">
        <f>INDEX('Population Data by Age'!$B$7:$H$10366,MATCH(CONCATENATE('Tabular Pop Data by Age'!$C109,'Tabular Pop Data by Age'!H$7),'Population Data by Age'!$B$7:$B$10366,0),MATCH('Tabular Pop Data by Age'!$C$6,'Population Data by Age'!$B$6:$H$6,0))</f>
        <v>3341000</v>
      </c>
      <c r="I109" s="78">
        <f>INDEX('Population Data by Age'!$B$7:$H$10366,MATCH(CONCATENATE('Tabular Pop Data by Age'!$C109,'Tabular Pop Data by Age'!I$7),'Population Data by Age'!$B$7:$B$10366,0),MATCH('Tabular Pop Data by Age'!$C$6,'Population Data by Age'!$B$6:$H$6,0))</f>
        <v>3395000</v>
      </c>
      <c r="J109" s="78">
        <f>INDEX('Population Data by Age'!$B$7:$H$10366,MATCH(CONCATENATE('Tabular Pop Data by Age'!$C109,'Tabular Pop Data by Age'!J$7),'Population Data by Age'!$B$7:$B$10366,0),MATCH('Tabular Pop Data by Age'!$C$6,'Population Data by Age'!$B$6:$H$6,0))</f>
        <v>2989000</v>
      </c>
      <c r="K109" s="78">
        <f>INDEX('Population Data by Age'!$B$7:$H$10366,MATCH(CONCATENATE('Tabular Pop Data by Age'!$C109,'Tabular Pop Data by Age'!K$7),'Population Data by Age'!$B$7:$B$10366,0),MATCH('Tabular Pop Data by Age'!$C$6,'Population Data by Age'!$B$6:$H$6,0))</f>
        <v>3022000</v>
      </c>
      <c r="L109" s="78">
        <f>INDEX('Population Data by Age'!$B$7:$H$10366,MATCH(CONCATENATE('Tabular Pop Data by Age'!$C109,'Tabular Pop Data by Age'!L$7),'Population Data by Age'!$B$7:$B$10366,0),MATCH('Tabular Pop Data by Age'!$C$6,'Population Data by Age'!$B$6:$H$6,0))</f>
        <v>2617000</v>
      </c>
      <c r="M109" s="78">
        <f>INDEX('Population Data by Age'!$B$7:$H$10366,MATCH(CONCATENATE('Tabular Pop Data by Age'!$C109,'Tabular Pop Data by Age'!M$7),'Population Data by Age'!$B$7:$B$10366,0),MATCH('Tabular Pop Data by Age'!$C$6,'Population Data by Age'!$B$6:$H$6,0))</f>
        <v>2619000</v>
      </c>
      <c r="N109" s="78">
        <f>INDEX('Population Data by Age'!$B$7:$H$10366,MATCH(CONCATENATE('Tabular Pop Data by Age'!$C109,'Tabular Pop Data by Age'!N$7),'Population Data by Age'!$B$7:$B$10366,0),MATCH('Tabular Pop Data by Age'!$C$6,'Population Data by Age'!$B$6:$H$6,0))</f>
        <v>2191000</v>
      </c>
      <c r="O109" s="78">
        <f>INDEX('Population Data by Age'!$B$7:$H$10366,MATCH(CONCATENATE('Tabular Pop Data by Age'!$C109,'Tabular Pop Data by Age'!O$7),'Population Data by Age'!$B$7:$B$10366,0),MATCH('Tabular Pop Data by Age'!$C$6,'Population Data by Age'!$B$6:$H$6,0))</f>
        <v>2167000</v>
      </c>
      <c r="P109" s="78">
        <f>INDEX('Population Data by Age'!$B$7:$H$10366,MATCH(CONCATENATE('Tabular Pop Data by Age'!$C109,'Tabular Pop Data by Age'!P$7),'Population Data by Age'!$B$7:$B$10366,0),MATCH('Tabular Pop Data by Age'!$C$6,'Population Data by Age'!$B$6:$H$6,0))</f>
        <v>2030000</v>
      </c>
      <c r="Q109" s="78">
        <f>INDEX('Population Data by Age'!$B$7:$H$10366,MATCH(CONCATENATE('Tabular Pop Data by Age'!$C109,'Tabular Pop Data by Age'!Q$7),'Population Data by Age'!$B$7:$B$10366,0),MATCH('Tabular Pop Data by Age'!$C$6,'Population Data by Age'!$B$6:$H$6,0))</f>
        <v>1993000</v>
      </c>
      <c r="R109" s="78">
        <f>INDEX('Population Data by Age'!$B$7:$H$10366,MATCH(CONCATENATE('Tabular Pop Data by Age'!$C109,'Tabular Pop Data by Age'!R$7),'Population Data by Age'!$B$7:$B$10366,0),MATCH('Tabular Pop Data by Age'!$C$6,'Population Data by Age'!$B$6:$H$6,0))</f>
        <v>1743000</v>
      </c>
      <c r="S109" s="78">
        <f>INDEX('Population Data by Age'!$B$7:$H$10366,MATCH(CONCATENATE('Tabular Pop Data by Age'!$C109,'Tabular Pop Data by Age'!S$7),'Population Data by Age'!$B$7:$B$10366,0),MATCH('Tabular Pop Data by Age'!$C$6,'Population Data by Age'!$B$6:$H$6,0))</f>
        <v>1704000</v>
      </c>
      <c r="T109" s="78">
        <f>INDEX('Population Data by Age'!$B$7:$H$10366,MATCH(CONCATENATE('Tabular Pop Data by Age'!$C109,'Tabular Pop Data by Age'!T$7),'Population Data by Age'!$B$7:$B$10366,0),MATCH('Tabular Pop Data by Age'!$C$6,'Population Data by Age'!$B$6:$H$6,0))</f>
        <v>1397000</v>
      </c>
      <c r="U109" s="78">
        <f>INDEX('Population Data by Age'!$B$7:$H$10366,MATCH(CONCATENATE('Tabular Pop Data by Age'!$C109,'Tabular Pop Data by Age'!U$7),'Population Data by Age'!$B$7:$B$10366,0),MATCH('Tabular Pop Data by Age'!$C$6,'Population Data by Age'!$B$6:$H$6,0))</f>
        <v>1362000</v>
      </c>
      <c r="V109" s="78">
        <f>INDEX('Population Data by Age'!$B$7:$H$10366,MATCH(CONCATENATE('Tabular Pop Data by Age'!$C109,'Tabular Pop Data by Age'!V$7),'Population Data by Age'!$B$7:$B$10366,0),MATCH('Tabular Pop Data by Age'!$C$6,'Population Data by Age'!$B$6:$H$6,0))</f>
        <v>1088000</v>
      </c>
      <c r="W109" s="78">
        <f>INDEX('Population Data by Age'!$B$7:$H$10366,MATCH(CONCATENATE('Tabular Pop Data by Age'!$C109,'Tabular Pop Data by Age'!W$7),'Population Data by Age'!$B$7:$B$10366,0),MATCH('Tabular Pop Data by Age'!$C$6,'Population Data by Age'!$B$6:$H$6,0))</f>
        <v>1055000</v>
      </c>
      <c r="X109" s="78">
        <f>INDEX('Population Data by Age'!$B$7:$H$10366,MATCH(CONCATENATE('Tabular Pop Data by Age'!$C109,'Tabular Pop Data by Age'!X$7),'Population Data by Age'!$B$7:$B$10366,0),MATCH('Tabular Pop Data by Age'!$C$6,'Population Data by Age'!$B$6:$H$6,0))</f>
        <v>822000</v>
      </c>
      <c r="Y109" s="78">
        <f>INDEX('Population Data by Age'!$B$7:$H$10366,MATCH(CONCATENATE('Tabular Pop Data by Age'!$C109,'Tabular Pop Data by Age'!Y$7),'Population Data by Age'!$B$7:$B$10366,0),MATCH('Tabular Pop Data by Age'!$C$6,'Population Data by Age'!$B$6:$H$6,0))</f>
        <v>782000</v>
      </c>
      <c r="Z109" s="78">
        <f>INDEX('Population Data by Age'!$B$7:$H$10366,MATCH(CONCATENATE('Tabular Pop Data by Age'!$C109,'Tabular Pop Data by Age'!Z$7),'Population Data by Age'!$B$7:$B$10366,0),MATCH('Tabular Pop Data by Age'!$C$6,'Population Data by Age'!$B$6:$H$6,0))</f>
        <v>628000</v>
      </c>
      <c r="AA109" s="78">
        <f>INDEX('Population Data by Age'!$B$7:$H$10366,MATCH(CONCATENATE('Tabular Pop Data by Age'!$C109,'Tabular Pop Data by Age'!AA$7),'Population Data by Age'!$B$7:$B$10366,0),MATCH('Tabular Pop Data by Age'!$C$6,'Population Data by Age'!$B$6:$H$6,0))</f>
        <v>574000</v>
      </c>
      <c r="AB109" s="78">
        <f>INDEX('Population Data by Age'!$B$7:$H$10366,MATCH(CONCATENATE('Tabular Pop Data by Age'!$C109,'Tabular Pop Data by Age'!AB$7),'Population Data by Age'!$B$7:$B$10366,0),MATCH('Tabular Pop Data by Age'!$C$6,'Population Data by Age'!$B$6:$H$6,0))</f>
        <v>477000</v>
      </c>
      <c r="AC109" s="78">
        <f>INDEX('Population Data by Age'!$B$7:$H$10366,MATCH(CONCATENATE('Tabular Pop Data by Age'!$C109,'Tabular Pop Data by Age'!AC$7),'Population Data by Age'!$B$7:$B$10366,0),MATCH('Tabular Pop Data by Age'!$C$6,'Population Data by Age'!$B$6:$H$6,0))</f>
        <v>411000</v>
      </c>
      <c r="AD109" s="78">
        <f>INDEX('Population Data by Age'!$B$7:$H$10366,MATCH(CONCATENATE('Tabular Pop Data by Age'!$C109,'Tabular Pop Data by Age'!AD$7),'Population Data by Age'!$B$7:$B$10366,0),MATCH('Tabular Pop Data by Age'!$C$6,'Population Data by Age'!$B$6:$H$6,0))</f>
        <v>351000</v>
      </c>
      <c r="AE109" s="78">
        <f>INDEX('Population Data by Age'!$B$7:$H$10366,MATCH(CONCATENATE('Tabular Pop Data by Age'!$C109,'Tabular Pop Data by Age'!AE$7),'Population Data by Age'!$B$7:$B$10366,0),MATCH('Tabular Pop Data by Age'!$C$6,'Population Data by Age'!$B$6:$H$6,0))</f>
        <v>279000</v>
      </c>
      <c r="AF109" s="78">
        <f>INDEX('Population Data by Age'!$B$7:$H$10366,MATCH(CONCATENATE('Tabular Pop Data by Age'!$C109,'Tabular Pop Data by Age'!AF$7),'Population Data by Age'!$B$7:$B$10366,0),MATCH('Tabular Pop Data by Age'!$C$6,'Population Data by Age'!$B$6:$H$6,0))</f>
        <v>220000</v>
      </c>
      <c r="AG109" s="78">
        <f>INDEX('Population Data by Age'!$B$7:$H$10366,MATCH(CONCATENATE('Tabular Pop Data by Age'!$C109,'Tabular Pop Data by Age'!AG$7),'Population Data by Age'!$B$7:$B$10366,0),MATCH('Tabular Pop Data by Age'!$C$6,'Population Data by Age'!$B$6:$H$6,0))</f>
        <v>161000</v>
      </c>
      <c r="AH109" s="78">
        <f>INDEX('Population Data by Age'!$B$7:$H$10366,MATCH(CONCATENATE('Tabular Pop Data by Age'!$C109,'Tabular Pop Data by Age'!AH$7),'Population Data by Age'!$B$7:$B$10366,0),MATCH('Tabular Pop Data by Age'!$C$6,'Population Data by Age'!$B$6:$H$6,0))</f>
        <v>117000</v>
      </c>
      <c r="AI109" s="78">
        <f>INDEX('Population Data by Age'!$B$7:$H$10366,MATCH(CONCATENATE('Tabular Pop Data by Age'!$C109,'Tabular Pop Data by Age'!AI$7),'Population Data by Age'!$B$7:$B$10366,0),MATCH('Tabular Pop Data by Age'!$C$6,'Population Data by Age'!$B$6:$H$6,0))</f>
        <v>76000</v>
      </c>
      <c r="AJ109" s="78">
        <f>INDEX('Population Data by Age'!$B$7:$H$10366,MATCH(CONCATENATE('Tabular Pop Data by Age'!$C109,'Tabular Pop Data by Age'!AJ$7),'Population Data by Age'!$B$7:$B$10366,0),MATCH('Tabular Pop Data by Age'!$C$6,'Population Data by Age'!$B$6:$H$6,0))</f>
        <v>94000</v>
      </c>
      <c r="AK109" s="78">
        <f>INDEX('Population Data by Age'!$B$7:$H$10366,MATCH(CONCATENATE('Tabular Pop Data by Age'!$C109,'Tabular Pop Data by Age'!AK$7),'Population Data by Age'!$B$7:$B$10366,0),MATCH('Tabular Pop Data by Age'!$C$6,'Population Data by Age'!$B$6:$H$6,0))</f>
        <v>50000</v>
      </c>
      <c r="AL109" s="78">
        <f>INDEX('Population Data by Age'!$B$7:$H$10366,MATCH(CONCATENATE('Tabular Pop Data by Age'!$C109,'Tabular Pop Data by Age'!AL$7),'Population Data by Age'!$B$7:$B$10366,0),MATCH('Tabular Pop Data by Age'!$C$6,'Population Data by Age'!$B$6:$H$6,0))</f>
        <v>27053000</v>
      </c>
      <c r="AM109" s="78">
        <f>INDEX('Population Data by Age'!$B$7:$H$10366,MATCH(CONCATENATE('Tabular Pop Data by Age'!$C109,'Tabular Pop Data by Age'!AM$7),'Population Data by Age'!$B$7:$B$10366,0),MATCH('Tabular Pop Data by Age'!$C$6,'Population Data by Age'!$B$6:$H$6,0))</f>
        <v>26719000</v>
      </c>
      <c r="AN109" s="78">
        <f>INDEX('Population Data by Age'!$B$7:$H$10366,MATCH(CONCATENATE('Tabular Pop Data by Age'!$C109,'Tabular Pop Data by Age'!AN$7),'Population Data by Age'!$B$7:$B$10366,0),MATCH('Tabular Pop Data by Age'!$C$6,'Population Data by Age'!$B$6:$H$6,0))</f>
        <v>53771000</v>
      </c>
      <c r="AO109" s="78">
        <f>INDEX('Population Data by Age'!$B$7:$H$10366,MATCH(CONCATENATE('Tabular Pop Data by Age'!$C109,'Tabular Pop Data by Age'!AO$7),'Population Data by Age'!$B$7:$B$10366,0),MATCH('Tabular Pop Data by Age'!$C$6,'Population Data by Age'!$B$6:$H$6,0))</f>
        <v>0</v>
      </c>
      <c r="AP109" s="79">
        <f t="shared" si="17"/>
        <v>7044000</v>
      </c>
      <c r="AQ109" s="79">
        <f t="shared" si="18"/>
        <v>6969000</v>
      </c>
      <c r="AR109" s="79">
        <f t="shared" si="19"/>
        <v>6736000</v>
      </c>
      <c r="AS109" s="79">
        <f t="shared" si="20"/>
        <v>6011000</v>
      </c>
      <c r="AT109" s="79">
        <f t="shared" si="21"/>
        <v>5236000</v>
      </c>
      <c r="AU109" s="79">
        <f t="shared" si="22"/>
        <v>4358000</v>
      </c>
      <c r="AV109" s="79">
        <f t="shared" si="23"/>
        <v>4023000</v>
      </c>
      <c r="AW109" s="79">
        <f t="shared" si="24"/>
        <v>3447000</v>
      </c>
      <c r="AX109" s="79">
        <f t="shared" si="25"/>
        <v>2759000</v>
      </c>
      <c r="AY109" s="79">
        <f t="shared" si="26"/>
        <v>2143000</v>
      </c>
      <c r="AZ109" s="79">
        <f t="shared" si="27"/>
        <v>1604000</v>
      </c>
      <c r="BA109" s="79">
        <f t="shared" si="28"/>
        <v>1202000</v>
      </c>
      <c r="BB109" s="79">
        <f t="shared" si="29"/>
        <v>888000</v>
      </c>
      <c r="BC109" s="79">
        <f t="shared" si="30"/>
        <v>630000</v>
      </c>
      <c r="BD109" s="79">
        <f t="shared" si="31"/>
        <v>381000</v>
      </c>
      <c r="BE109" s="79">
        <f t="shared" si="32"/>
        <v>193000</v>
      </c>
      <c r="BF109" s="79">
        <f t="shared" si="33"/>
        <v>144000</v>
      </c>
    </row>
    <row r="110" spans="1:58" x14ac:dyDescent="0.25">
      <c r="A110" s="138" t="s">
        <v>1195</v>
      </c>
      <c r="B110" t="s">
        <v>249</v>
      </c>
      <c r="C110" t="s">
        <v>73</v>
      </c>
      <c r="D110" s="78">
        <f>INDEX('Population Data by Age'!$B$7:$H$10366,MATCH(CONCATENATE('Tabular Pop Data by Age'!$C110,'Tabular Pop Data by Age'!D$7),'Population Data by Age'!$B$7:$B$10366,0),MATCH('Tabular Pop Data by Age'!$C$6,'Population Data by Age'!$B$6:$H$6,0))</f>
        <v>7400</v>
      </c>
      <c r="E110" s="78">
        <f>INDEX('Population Data by Age'!$B$7:$H$10366,MATCH(CONCATENATE('Tabular Pop Data by Age'!$C110,'Tabular Pop Data by Age'!E$7),'Population Data by Age'!$B$7:$B$10366,0),MATCH('Tabular Pop Data by Age'!$C$6,'Population Data by Age'!$B$6:$H$6,0))</f>
        <v>7800</v>
      </c>
      <c r="F110" s="78">
        <f>INDEX('Population Data by Age'!$B$7:$H$10366,MATCH(CONCATENATE('Tabular Pop Data by Age'!$C110,'Tabular Pop Data by Age'!F$7),'Population Data by Age'!$B$7:$B$10366,0),MATCH('Tabular Pop Data by Age'!$C$6,'Population Data by Age'!$B$6:$H$6,0))</f>
        <v>6800</v>
      </c>
      <c r="G110" s="78">
        <f>INDEX('Population Data by Age'!$B$7:$H$10366,MATCH(CONCATENATE('Tabular Pop Data by Age'!$C110,'Tabular Pop Data by Age'!G$7),'Population Data by Age'!$B$7:$B$10366,0),MATCH('Tabular Pop Data by Age'!$C$6,'Population Data by Age'!$B$6:$H$6,0))</f>
        <v>7500</v>
      </c>
      <c r="H110" s="78">
        <f>INDEX('Population Data by Age'!$B$7:$H$10366,MATCH(CONCATENATE('Tabular Pop Data by Age'!$C110,'Tabular Pop Data by Age'!H$7),'Population Data by Age'!$B$7:$B$10366,0),MATCH('Tabular Pop Data by Age'!$C$6,'Population Data by Age'!$B$6:$H$6,0))</f>
        <v>6600</v>
      </c>
      <c r="I110" s="78">
        <f>INDEX('Population Data by Age'!$B$7:$H$10366,MATCH(CONCATENATE('Tabular Pop Data by Age'!$C110,'Tabular Pop Data by Age'!I$7),'Population Data by Age'!$B$7:$B$10366,0),MATCH('Tabular Pop Data by Age'!$C$6,'Population Data by Age'!$B$6:$H$6,0))</f>
        <v>6800</v>
      </c>
      <c r="J110" s="78">
        <f>INDEX('Population Data by Age'!$B$7:$H$10366,MATCH(CONCATENATE('Tabular Pop Data by Age'!$C110,'Tabular Pop Data by Age'!J$7),'Population Data by Age'!$B$7:$B$10366,0),MATCH('Tabular Pop Data by Age'!$C$6,'Population Data by Age'!$B$6:$H$6,0))</f>
        <v>5000</v>
      </c>
      <c r="K110" s="78">
        <f>INDEX('Population Data by Age'!$B$7:$H$10366,MATCH(CONCATENATE('Tabular Pop Data by Age'!$C110,'Tabular Pop Data by Age'!K$7),'Population Data by Age'!$B$7:$B$10366,0),MATCH('Tabular Pop Data by Age'!$C$6,'Population Data by Age'!$B$6:$H$6,0))</f>
        <v>5200</v>
      </c>
      <c r="L110" s="78">
        <f>INDEX('Population Data by Age'!$B$7:$H$10366,MATCH(CONCATENATE('Tabular Pop Data by Age'!$C110,'Tabular Pop Data by Age'!L$7),'Population Data by Age'!$B$7:$B$10366,0),MATCH('Tabular Pop Data by Age'!$C$6,'Population Data by Age'!$B$6:$H$6,0))</f>
        <v>5400</v>
      </c>
      <c r="M110" s="78">
        <f>INDEX('Population Data by Age'!$B$7:$H$10366,MATCH(CONCATENATE('Tabular Pop Data by Age'!$C110,'Tabular Pop Data by Age'!M$7),'Population Data by Age'!$B$7:$B$10366,0),MATCH('Tabular Pop Data by Age'!$C$6,'Population Data by Age'!$B$6:$H$6,0))</f>
        <v>5500</v>
      </c>
      <c r="N110" s="78">
        <f>INDEX('Population Data by Age'!$B$7:$H$10366,MATCH(CONCATENATE('Tabular Pop Data by Age'!$C110,'Tabular Pop Data by Age'!N$7),'Population Data by Age'!$B$7:$B$10366,0),MATCH('Tabular Pop Data by Age'!$C$6,'Population Data by Age'!$B$6:$H$6,0))</f>
        <v>4800</v>
      </c>
      <c r="O110" s="78">
        <f>INDEX('Population Data by Age'!$B$7:$H$10366,MATCH(CONCATENATE('Tabular Pop Data by Age'!$C110,'Tabular Pop Data by Age'!O$7),'Population Data by Age'!$B$7:$B$10366,0),MATCH('Tabular Pop Data by Age'!$C$6,'Population Data by Age'!$B$6:$H$6,0))</f>
        <v>4800</v>
      </c>
      <c r="P110" s="78">
        <f>INDEX('Population Data by Age'!$B$7:$H$10366,MATCH(CONCATENATE('Tabular Pop Data by Age'!$C110,'Tabular Pop Data by Age'!P$7),'Population Data by Age'!$B$7:$B$10366,0),MATCH('Tabular Pop Data by Age'!$C$6,'Population Data by Age'!$B$6:$H$6,0))</f>
        <v>4700</v>
      </c>
      <c r="Q110" s="78">
        <f>INDEX('Population Data by Age'!$B$7:$H$10366,MATCH(CONCATENATE('Tabular Pop Data by Age'!$C110,'Tabular Pop Data by Age'!Q$7),'Population Data by Age'!$B$7:$B$10366,0),MATCH('Tabular Pop Data by Age'!$C$6,'Population Data by Age'!$B$6:$H$6,0))</f>
        <v>4400</v>
      </c>
      <c r="R110" s="78">
        <f>INDEX('Population Data by Age'!$B$7:$H$10366,MATCH(CONCATENATE('Tabular Pop Data by Age'!$C110,'Tabular Pop Data by Age'!R$7),'Population Data by Age'!$B$7:$B$10366,0),MATCH('Tabular Pop Data by Age'!$C$6,'Population Data by Age'!$B$6:$H$6,0))</f>
        <v>4000</v>
      </c>
      <c r="S110" s="78">
        <f>INDEX('Population Data by Age'!$B$7:$H$10366,MATCH(CONCATENATE('Tabular Pop Data by Age'!$C110,'Tabular Pop Data by Age'!S$7),'Population Data by Age'!$B$7:$B$10366,0),MATCH('Tabular Pop Data by Age'!$C$6,'Population Data by Age'!$B$6:$H$6,0))</f>
        <v>3600</v>
      </c>
      <c r="T110" s="78">
        <f>INDEX('Population Data by Age'!$B$7:$H$10366,MATCH(CONCATENATE('Tabular Pop Data by Age'!$C110,'Tabular Pop Data by Age'!T$7),'Population Data by Age'!$B$7:$B$10366,0),MATCH('Tabular Pop Data by Age'!$C$6,'Population Data by Age'!$B$6:$H$6,0))</f>
        <v>3300</v>
      </c>
      <c r="U110" s="78">
        <f>INDEX('Population Data by Age'!$B$7:$H$10366,MATCH(CONCATENATE('Tabular Pop Data by Age'!$C110,'Tabular Pop Data by Age'!U$7),'Population Data by Age'!$B$7:$B$10366,0),MATCH('Tabular Pop Data by Age'!$C$6,'Population Data by Age'!$B$6:$H$6,0))</f>
        <v>3000</v>
      </c>
      <c r="V110" s="78">
        <f>INDEX('Population Data by Age'!$B$7:$H$10366,MATCH(CONCATENATE('Tabular Pop Data by Age'!$C110,'Tabular Pop Data by Age'!V$7),'Population Data by Age'!$B$7:$B$10366,0),MATCH('Tabular Pop Data by Age'!$C$6,'Population Data by Age'!$B$6:$H$6,0))</f>
        <v>2600</v>
      </c>
      <c r="W110" s="78">
        <f>INDEX('Population Data by Age'!$B$7:$H$10366,MATCH(CONCATENATE('Tabular Pop Data by Age'!$C110,'Tabular Pop Data by Age'!W$7),'Population Data by Age'!$B$7:$B$10366,0),MATCH('Tabular Pop Data by Age'!$C$6,'Population Data by Age'!$B$6:$H$6,0))</f>
        <v>2300</v>
      </c>
      <c r="X110" s="78">
        <f>INDEX('Population Data by Age'!$B$7:$H$10366,MATCH(CONCATENATE('Tabular Pop Data by Age'!$C110,'Tabular Pop Data by Age'!X$7),'Population Data by Age'!$B$7:$B$10366,0),MATCH('Tabular Pop Data by Age'!$C$6,'Population Data by Age'!$B$6:$H$6,0))</f>
        <v>2900</v>
      </c>
      <c r="Y110" s="78">
        <f>INDEX('Population Data by Age'!$B$7:$H$10366,MATCH(CONCATENATE('Tabular Pop Data by Age'!$C110,'Tabular Pop Data by Age'!Y$7),'Population Data by Age'!$B$7:$B$10366,0),MATCH('Tabular Pop Data by Age'!$C$6,'Population Data by Age'!$B$6:$H$6,0))</f>
        <v>2500</v>
      </c>
      <c r="Z110" s="78">
        <f>INDEX('Population Data by Age'!$B$7:$H$10366,MATCH(CONCATENATE('Tabular Pop Data by Age'!$C110,'Tabular Pop Data by Age'!Z$7),'Population Data by Age'!$B$7:$B$10366,0),MATCH('Tabular Pop Data by Age'!$C$6,'Population Data by Age'!$B$6:$H$6,0))</f>
        <v>2400</v>
      </c>
      <c r="AA110" s="78">
        <f>INDEX('Population Data by Age'!$B$7:$H$10366,MATCH(CONCATENATE('Tabular Pop Data by Age'!$C110,'Tabular Pop Data by Age'!AA$7),'Population Data by Age'!$B$7:$B$10366,0),MATCH('Tabular Pop Data by Age'!$C$6,'Population Data by Age'!$B$6:$H$6,0))</f>
        <v>2200</v>
      </c>
      <c r="AB110" s="78">
        <f>INDEX('Population Data by Age'!$B$7:$H$10366,MATCH(CONCATENATE('Tabular Pop Data by Age'!$C110,'Tabular Pop Data by Age'!AB$7),'Population Data by Age'!$B$7:$B$10366,0),MATCH('Tabular Pop Data by Age'!$C$6,'Population Data by Age'!$B$6:$H$6,0))</f>
        <v>1700</v>
      </c>
      <c r="AC110" s="78">
        <f>INDEX('Population Data by Age'!$B$7:$H$10366,MATCH(CONCATENATE('Tabular Pop Data by Age'!$C110,'Tabular Pop Data by Age'!AC$7),'Population Data by Age'!$B$7:$B$10366,0),MATCH('Tabular Pop Data by Age'!$C$6,'Population Data by Age'!$B$6:$H$6,0))</f>
        <v>1400</v>
      </c>
      <c r="AD110" s="78">
        <f>INDEX('Population Data by Age'!$B$7:$H$10366,MATCH(CONCATENATE('Tabular Pop Data by Age'!$C110,'Tabular Pop Data by Age'!AD$7),'Population Data by Age'!$B$7:$B$10366,0),MATCH('Tabular Pop Data by Age'!$C$6,'Population Data by Age'!$B$6:$H$6,0))</f>
        <v>1200</v>
      </c>
      <c r="AE110" s="78">
        <f>INDEX('Population Data by Age'!$B$7:$H$10366,MATCH(CONCATENATE('Tabular Pop Data by Age'!$C110,'Tabular Pop Data by Age'!AE$7),'Population Data by Age'!$B$7:$B$10366,0),MATCH('Tabular Pop Data by Age'!$C$6,'Population Data by Age'!$B$6:$H$6,0))</f>
        <v>900</v>
      </c>
      <c r="AF110" s="78">
        <f>INDEX('Population Data by Age'!$B$7:$H$10366,MATCH(CONCATENATE('Tabular Pop Data by Age'!$C110,'Tabular Pop Data by Age'!AF$7),'Population Data by Age'!$B$7:$B$10366,0),MATCH('Tabular Pop Data by Age'!$C$6,'Population Data by Age'!$B$6:$H$6,0))</f>
        <v>900</v>
      </c>
      <c r="AG110" s="78">
        <f>INDEX('Population Data by Age'!$B$7:$H$10366,MATCH(CONCATENATE('Tabular Pop Data by Age'!$C110,'Tabular Pop Data by Age'!AG$7),'Population Data by Age'!$B$7:$B$10366,0),MATCH('Tabular Pop Data by Age'!$C$6,'Population Data by Age'!$B$6:$H$6,0))</f>
        <v>600</v>
      </c>
      <c r="AH110" s="78">
        <f>INDEX('Population Data by Age'!$B$7:$H$10366,MATCH(CONCATENATE('Tabular Pop Data by Age'!$C110,'Tabular Pop Data by Age'!AH$7),'Population Data by Age'!$B$7:$B$10366,0),MATCH('Tabular Pop Data by Age'!$C$6,'Population Data by Age'!$B$6:$H$6,0))</f>
        <v>600</v>
      </c>
      <c r="AI110" s="78">
        <f>INDEX('Population Data by Age'!$B$7:$H$10366,MATCH(CONCATENATE('Tabular Pop Data by Age'!$C110,'Tabular Pop Data by Age'!AI$7),'Population Data by Age'!$B$7:$B$10366,0),MATCH('Tabular Pop Data by Age'!$C$6,'Population Data by Age'!$B$6:$H$6,0))</f>
        <v>300</v>
      </c>
      <c r="AJ110" s="78">
        <f>INDEX('Population Data by Age'!$B$7:$H$10366,MATCH(CONCATENATE('Tabular Pop Data by Age'!$C110,'Tabular Pop Data by Age'!AJ$7),'Population Data by Age'!$B$7:$B$10366,0),MATCH('Tabular Pop Data by Age'!$C$6,'Population Data by Age'!$B$6:$H$6,0))</f>
        <v>400</v>
      </c>
      <c r="AK110" s="78">
        <f>INDEX('Population Data by Age'!$B$7:$H$10366,MATCH(CONCATENATE('Tabular Pop Data by Age'!$C110,'Tabular Pop Data by Age'!AK$7),'Population Data by Age'!$B$7:$B$10366,0),MATCH('Tabular Pop Data by Age'!$C$6,'Population Data by Age'!$B$6:$H$6,0))</f>
        <v>200</v>
      </c>
      <c r="AL110" s="78">
        <f>INDEX('Population Data by Age'!$B$7:$H$10366,MATCH(CONCATENATE('Tabular Pop Data by Age'!$C110,'Tabular Pop Data by Age'!AL$7),'Population Data by Age'!$B$7:$B$10366,0),MATCH('Tabular Pop Data by Age'!$C$6,'Population Data by Age'!$B$6:$H$6,0))</f>
        <v>61000</v>
      </c>
      <c r="AM110" s="78">
        <f>INDEX('Population Data by Age'!$B$7:$H$10366,MATCH(CONCATENATE('Tabular Pop Data by Age'!$C110,'Tabular Pop Data by Age'!AM$7),'Population Data by Age'!$B$7:$B$10366,0),MATCH('Tabular Pop Data by Age'!$C$6,'Population Data by Age'!$B$6:$H$6,0))</f>
        <v>59000</v>
      </c>
      <c r="AN110" s="78">
        <f>INDEX('Population Data by Age'!$B$7:$H$10366,MATCH(CONCATENATE('Tabular Pop Data by Age'!$C110,'Tabular Pop Data by Age'!AN$7),'Population Data by Age'!$B$7:$B$10366,0),MATCH('Tabular Pop Data by Age'!$C$6,'Population Data by Age'!$B$6:$H$6,0))</f>
        <v>119000</v>
      </c>
      <c r="AO110" s="78">
        <f>INDEX('Population Data by Age'!$B$7:$H$10366,MATCH(CONCATENATE('Tabular Pop Data by Age'!$C110,'Tabular Pop Data by Age'!AO$7),'Population Data by Age'!$B$7:$B$10366,0),MATCH('Tabular Pop Data by Age'!$C$6,'Population Data by Age'!$B$6:$H$6,0))</f>
        <v>0</v>
      </c>
      <c r="AP110" s="79">
        <f t="shared" si="17"/>
        <v>15200</v>
      </c>
      <c r="AQ110" s="79">
        <f t="shared" si="18"/>
        <v>14300</v>
      </c>
      <c r="AR110" s="79">
        <f t="shared" si="19"/>
        <v>13400</v>
      </c>
      <c r="AS110" s="79">
        <f t="shared" si="20"/>
        <v>10200</v>
      </c>
      <c r="AT110" s="79">
        <f t="shared" si="21"/>
        <v>10900</v>
      </c>
      <c r="AU110" s="79">
        <f t="shared" si="22"/>
        <v>9600</v>
      </c>
      <c r="AV110" s="79">
        <f t="shared" si="23"/>
        <v>9100</v>
      </c>
      <c r="AW110" s="79">
        <f t="shared" si="24"/>
        <v>7600</v>
      </c>
      <c r="AX110" s="79">
        <f t="shared" si="25"/>
        <v>6300</v>
      </c>
      <c r="AY110" s="79">
        <f t="shared" si="26"/>
        <v>4900</v>
      </c>
      <c r="AZ110" s="79">
        <f t="shared" si="27"/>
        <v>5400</v>
      </c>
      <c r="BA110" s="79">
        <f t="shared" si="28"/>
        <v>4600</v>
      </c>
      <c r="BB110" s="79">
        <f t="shared" si="29"/>
        <v>3100</v>
      </c>
      <c r="BC110" s="79">
        <f t="shared" si="30"/>
        <v>2100</v>
      </c>
      <c r="BD110" s="79">
        <f t="shared" si="31"/>
        <v>1500</v>
      </c>
      <c r="BE110" s="79">
        <f t="shared" si="32"/>
        <v>900</v>
      </c>
      <c r="BF110" s="79">
        <f t="shared" si="33"/>
        <v>600</v>
      </c>
    </row>
    <row r="111" spans="1:58" x14ac:dyDescent="0.25">
      <c r="A111" s="138" t="s">
        <v>1195</v>
      </c>
      <c r="B111" t="s">
        <v>535</v>
      </c>
      <c r="C111" t="s">
        <v>158</v>
      </c>
      <c r="D111" s="78">
        <f>INDEX('Population Data by Age'!$B$7:$H$10366,MATCH(CONCATENATE('Tabular Pop Data by Age'!$C111,'Tabular Pop Data by Age'!D$7),'Population Data by Age'!$B$7:$B$10366,0),MATCH('Tabular Pop Data by Age'!$C$6,'Population Data by Age'!$B$6:$H$6,0))</f>
        <v>852000</v>
      </c>
      <c r="E111" s="78">
        <f>INDEX('Population Data by Age'!$B$7:$H$10366,MATCH(CONCATENATE('Tabular Pop Data by Age'!$C111,'Tabular Pop Data by Age'!E$7),'Population Data by Age'!$B$7:$B$10366,0),MATCH('Tabular Pop Data by Age'!$C$6,'Population Data by Age'!$B$6:$H$6,0))</f>
        <v>894000</v>
      </c>
      <c r="F111" s="78">
        <f>INDEX('Population Data by Age'!$B$7:$H$10366,MATCH(CONCATENATE('Tabular Pop Data by Age'!$C111,'Tabular Pop Data by Age'!F$7),'Population Data by Age'!$B$7:$B$10366,0),MATCH('Tabular Pop Data by Age'!$C$6,'Population Data by Age'!$B$6:$H$6,0))</f>
        <v>823000</v>
      </c>
      <c r="G111" s="78">
        <f>INDEX('Population Data by Age'!$B$7:$H$10366,MATCH(CONCATENATE('Tabular Pop Data by Age'!$C111,'Tabular Pop Data by Age'!G$7),'Population Data by Age'!$B$7:$B$10366,0),MATCH('Tabular Pop Data by Age'!$C$6,'Population Data by Age'!$B$6:$H$6,0))</f>
        <v>862000</v>
      </c>
      <c r="H111" s="78">
        <f>INDEX('Population Data by Age'!$B$7:$H$10366,MATCH(CONCATENATE('Tabular Pop Data by Age'!$C111,'Tabular Pop Data by Age'!H$7),'Population Data by Age'!$B$7:$B$10366,0),MATCH('Tabular Pop Data by Age'!$C$6,'Population Data by Age'!$B$6:$H$6,0))</f>
        <v>824000</v>
      </c>
      <c r="I111" s="78">
        <f>INDEX('Population Data by Age'!$B$7:$H$10366,MATCH(CONCATENATE('Tabular Pop Data by Age'!$C111,'Tabular Pop Data by Age'!I$7),'Population Data by Age'!$B$7:$B$10366,0),MATCH('Tabular Pop Data by Age'!$C$6,'Population Data by Age'!$B$6:$H$6,0))</f>
        <v>861000</v>
      </c>
      <c r="J111" s="78">
        <f>INDEX('Population Data by Age'!$B$7:$H$10366,MATCH(CONCATENATE('Tabular Pop Data by Age'!$C111,'Tabular Pop Data by Age'!J$7),'Population Data by Age'!$B$7:$B$10366,0),MATCH('Tabular Pop Data by Age'!$C$6,'Population Data by Age'!$B$6:$H$6,0))</f>
        <v>919000</v>
      </c>
      <c r="K111" s="78">
        <f>INDEX('Population Data by Age'!$B$7:$H$10366,MATCH(CONCATENATE('Tabular Pop Data by Age'!$C111,'Tabular Pop Data by Age'!K$7),'Population Data by Age'!$B$7:$B$10366,0),MATCH('Tabular Pop Data by Age'!$C$6,'Population Data by Age'!$B$6:$H$6,0))</f>
        <v>957000</v>
      </c>
      <c r="L111" s="78">
        <f>INDEX('Population Data by Age'!$B$7:$H$10366,MATCH(CONCATENATE('Tabular Pop Data by Age'!$C111,'Tabular Pop Data by Age'!L$7),'Population Data by Age'!$B$7:$B$10366,0),MATCH('Tabular Pop Data by Age'!$C$6,'Population Data by Age'!$B$6:$H$6,0))</f>
        <v>948000</v>
      </c>
      <c r="M111" s="78">
        <f>INDEX('Population Data by Age'!$B$7:$H$10366,MATCH(CONCATENATE('Tabular Pop Data by Age'!$C111,'Tabular Pop Data by Age'!M$7),'Population Data by Age'!$B$7:$B$10366,0),MATCH('Tabular Pop Data by Age'!$C$6,'Population Data by Age'!$B$6:$H$6,0))</f>
        <v>993000</v>
      </c>
      <c r="N111" s="78">
        <f>INDEX('Population Data by Age'!$B$7:$H$10366,MATCH(CONCATENATE('Tabular Pop Data by Age'!$C111,'Tabular Pop Data by Age'!N$7),'Population Data by Age'!$B$7:$B$10366,0),MATCH('Tabular Pop Data by Age'!$C$6,'Population Data by Age'!$B$6:$H$6,0))</f>
        <v>974000</v>
      </c>
      <c r="O111" s="78">
        <f>INDEX('Population Data by Age'!$B$7:$H$10366,MATCH(CONCATENATE('Tabular Pop Data by Age'!$C111,'Tabular Pop Data by Age'!O$7),'Population Data by Age'!$B$7:$B$10366,0),MATCH('Tabular Pop Data by Age'!$C$6,'Population Data by Age'!$B$6:$H$6,0))</f>
        <v>1010000</v>
      </c>
      <c r="P111" s="78">
        <f>INDEX('Population Data by Age'!$B$7:$H$10366,MATCH(CONCATENATE('Tabular Pop Data by Age'!$C111,'Tabular Pop Data by Age'!P$7),'Population Data by Age'!$B$7:$B$10366,0),MATCH('Tabular Pop Data by Age'!$C$6,'Population Data by Age'!$B$6:$H$6,0))</f>
        <v>911000</v>
      </c>
      <c r="Q111" s="78">
        <f>INDEX('Population Data by Age'!$B$7:$H$10366,MATCH(CONCATENATE('Tabular Pop Data by Age'!$C111,'Tabular Pop Data by Age'!Q$7),'Population Data by Age'!$B$7:$B$10366,0),MATCH('Tabular Pop Data by Age'!$C$6,'Population Data by Age'!$B$6:$H$6,0))</f>
        <v>940000</v>
      </c>
      <c r="R111" s="78">
        <f>INDEX('Population Data by Age'!$B$7:$H$10366,MATCH(CONCATENATE('Tabular Pop Data by Age'!$C111,'Tabular Pop Data by Age'!R$7),'Population Data by Age'!$B$7:$B$10366,0),MATCH('Tabular Pop Data by Age'!$C$6,'Population Data by Age'!$B$6:$H$6,0))</f>
        <v>884000</v>
      </c>
      <c r="S111" s="78">
        <f>INDEX('Population Data by Age'!$B$7:$H$10366,MATCH(CONCATENATE('Tabular Pop Data by Age'!$C111,'Tabular Pop Data by Age'!S$7),'Population Data by Age'!$B$7:$B$10366,0),MATCH('Tabular Pop Data by Age'!$C$6,'Population Data by Age'!$B$6:$H$6,0))</f>
        <v>907000</v>
      </c>
      <c r="T111" s="78">
        <f>INDEX('Population Data by Age'!$B$7:$H$10366,MATCH(CONCATENATE('Tabular Pop Data by Age'!$C111,'Tabular Pop Data by Age'!T$7),'Population Data by Age'!$B$7:$B$10366,0),MATCH('Tabular Pop Data by Age'!$C$6,'Population Data by Age'!$B$6:$H$6,0))</f>
        <v>772000</v>
      </c>
      <c r="U111" s="78">
        <f>INDEX('Population Data by Age'!$B$7:$H$10366,MATCH(CONCATENATE('Tabular Pop Data by Age'!$C111,'Tabular Pop Data by Age'!U$7),'Population Data by Age'!$B$7:$B$10366,0),MATCH('Tabular Pop Data by Age'!$C$6,'Population Data by Age'!$B$6:$H$6,0))</f>
        <v>785000</v>
      </c>
      <c r="V111" s="78">
        <f>INDEX('Population Data by Age'!$B$7:$H$10366,MATCH(CONCATENATE('Tabular Pop Data by Age'!$C111,'Tabular Pop Data by Age'!V$7),'Population Data by Age'!$B$7:$B$10366,0),MATCH('Tabular Pop Data by Age'!$C$6,'Population Data by Age'!$B$6:$H$6,0))</f>
        <v>1077000</v>
      </c>
      <c r="W111" s="78">
        <f>INDEX('Population Data by Age'!$B$7:$H$10366,MATCH(CONCATENATE('Tabular Pop Data by Age'!$C111,'Tabular Pop Data by Age'!W$7),'Population Data by Age'!$B$7:$B$10366,0),MATCH('Tabular Pop Data by Age'!$C$6,'Population Data by Age'!$B$6:$H$6,0))</f>
        <v>1081000</v>
      </c>
      <c r="X111" s="78">
        <f>INDEX('Population Data by Age'!$B$7:$H$10366,MATCH(CONCATENATE('Tabular Pop Data by Age'!$C111,'Tabular Pop Data by Age'!X$7),'Population Data by Age'!$B$7:$B$10366,0),MATCH('Tabular Pop Data by Age'!$C$6,'Population Data by Age'!$B$6:$H$6,0))</f>
        <v>1078000</v>
      </c>
      <c r="Y111" s="78">
        <f>INDEX('Population Data by Age'!$B$7:$H$10366,MATCH(CONCATENATE('Tabular Pop Data by Age'!$C111,'Tabular Pop Data by Age'!Y$7),'Population Data by Age'!$B$7:$B$10366,0),MATCH('Tabular Pop Data by Age'!$C$6,'Population Data by Age'!$B$6:$H$6,0))</f>
        <v>1062000</v>
      </c>
      <c r="Z111" s="78">
        <f>INDEX('Population Data by Age'!$B$7:$H$10366,MATCH(CONCATENATE('Tabular Pop Data by Age'!$C111,'Tabular Pop Data by Age'!Z$7),'Population Data by Age'!$B$7:$B$10366,0),MATCH('Tabular Pop Data by Age'!$C$6,'Population Data by Age'!$B$6:$H$6,0))</f>
        <v>760000</v>
      </c>
      <c r="AA111" s="78">
        <f>INDEX('Population Data by Age'!$B$7:$H$10366,MATCH(CONCATENATE('Tabular Pop Data by Age'!$C111,'Tabular Pop Data by Age'!AA$7),'Population Data by Age'!$B$7:$B$10366,0),MATCH('Tabular Pop Data by Age'!$C$6,'Population Data by Age'!$B$6:$H$6,0))</f>
        <v>722000</v>
      </c>
      <c r="AB111" s="78">
        <f>INDEX('Population Data by Age'!$B$7:$H$10366,MATCH(CONCATENATE('Tabular Pop Data by Age'!$C111,'Tabular Pop Data by Age'!AB$7),'Population Data by Age'!$B$7:$B$10366,0),MATCH('Tabular Pop Data by Age'!$C$6,'Population Data by Age'!$B$6:$H$6,0))</f>
        <v>778000</v>
      </c>
      <c r="AC111" s="78">
        <f>INDEX('Population Data by Age'!$B$7:$H$10366,MATCH(CONCATENATE('Tabular Pop Data by Age'!$C111,'Tabular Pop Data by Age'!AC$7),'Population Data by Age'!$B$7:$B$10366,0),MATCH('Tabular Pop Data by Age'!$C$6,'Population Data by Age'!$B$6:$H$6,0))</f>
        <v>695000</v>
      </c>
      <c r="AD111" s="78">
        <f>INDEX('Population Data by Age'!$B$7:$H$10366,MATCH(CONCATENATE('Tabular Pop Data by Age'!$C111,'Tabular Pop Data by Age'!AD$7),'Population Data by Age'!$B$7:$B$10366,0),MATCH('Tabular Pop Data by Age'!$C$6,'Population Data by Age'!$B$6:$H$6,0))</f>
        <v>378000</v>
      </c>
      <c r="AE111" s="78">
        <f>INDEX('Population Data by Age'!$B$7:$H$10366,MATCH(CONCATENATE('Tabular Pop Data by Age'!$C111,'Tabular Pop Data by Age'!AE$7),'Population Data by Age'!$B$7:$B$10366,0),MATCH('Tabular Pop Data by Age'!$C$6,'Population Data by Age'!$B$6:$H$6,0))</f>
        <v>284000</v>
      </c>
      <c r="AF111" s="78">
        <f>INDEX('Population Data by Age'!$B$7:$H$10366,MATCH(CONCATENATE('Tabular Pop Data by Age'!$C111,'Tabular Pop Data by Age'!AF$7),'Population Data by Age'!$B$7:$B$10366,0),MATCH('Tabular Pop Data by Age'!$C$6,'Population Data by Age'!$B$6:$H$6,0))</f>
        <v>461000</v>
      </c>
      <c r="AG111" s="78">
        <f>INDEX('Population Data by Age'!$B$7:$H$10366,MATCH(CONCATENATE('Tabular Pop Data by Age'!$C111,'Tabular Pop Data by Age'!AG$7),'Population Data by Age'!$B$7:$B$10366,0),MATCH('Tabular Pop Data by Age'!$C$6,'Population Data by Age'!$B$6:$H$6,0))</f>
        <v>285000</v>
      </c>
      <c r="AH111" s="78">
        <f>INDEX('Population Data by Age'!$B$7:$H$10366,MATCH(CONCATENATE('Tabular Pop Data by Age'!$C111,'Tabular Pop Data by Age'!AH$7),'Population Data by Age'!$B$7:$B$10366,0),MATCH('Tabular Pop Data by Age'!$C$6,'Population Data by Age'!$B$6:$H$6,0))</f>
        <v>380000</v>
      </c>
      <c r="AI111" s="78">
        <f>INDEX('Population Data by Age'!$B$7:$H$10366,MATCH(CONCATENATE('Tabular Pop Data by Age'!$C111,'Tabular Pop Data by Age'!AI$7),'Population Data by Age'!$B$7:$B$10366,0),MATCH('Tabular Pop Data by Age'!$C$6,'Population Data by Age'!$B$6:$H$6,0))</f>
        <v>179000</v>
      </c>
      <c r="AJ111" s="78">
        <f>INDEX('Population Data by Age'!$B$7:$H$10366,MATCH(CONCATENATE('Tabular Pop Data by Age'!$C111,'Tabular Pop Data by Age'!AJ$7),'Population Data by Age'!$B$7:$B$10366,0),MATCH('Tabular Pop Data by Age'!$C$6,'Population Data by Age'!$B$6:$H$6,0))</f>
        <v>352000</v>
      </c>
      <c r="AK111" s="78">
        <f>INDEX('Population Data by Age'!$B$7:$H$10366,MATCH(CONCATENATE('Tabular Pop Data by Age'!$C111,'Tabular Pop Data by Age'!AK$7),'Population Data by Age'!$B$7:$B$10366,0),MATCH('Tabular Pop Data by Age'!$C$6,'Population Data by Age'!$B$6:$H$6,0))</f>
        <v>92000</v>
      </c>
      <c r="AL111" s="78">
        <f>INDEX('Population Data by Age'!$B$7:$H$10366,MATCH(CONCATENATE('Tabular Pop Data by Age'!$C111,'Tabular Pop Data by Age'!AL$7),'Population Data by Age'!$B$7:$B$10366,0),MATCH('Tabular Pop Data by Age'!$C$6,'Population Data by Age'!$B$6:$H$6,0))</f>
        <v>13170000</v>
      </c>
      <c r="AM111" s="78">
        <f>INDEX('Population Data by Age'!$B$7:$H$10366,MATCH(CONCATENATE('Tabular Pop Data by Age'!$C111,'Tabular Pop Data by Age'!AM$7),'Population Data by Age'!$B$7:$B$10366,0),MATCH('Tabular Pop Data by Age'!$C$6,'Population Data by Age'!$B$6:$H$6,0))</f>
        <v>12608000</v>
      </c>
      <c r="AN111" s="78">
        <f>INDEX('Population Data by Age'!$B$7:$H$10366,MATCH(CONCATENATE('Tabular Pop Data by Age'!$C111,'Tabular Pop Data by Age'!AN$7),'Population Data by Age'!$B$7:$B$10366,0),MATCH('Tabular Pop Data by Age'!$C$6,'Population Data by Age'!$B$6:$H$6,0))</f>
        <v>25779000</v>
      </c>
      <c r="AO111" s="78">
        <f>INDEX('Population Data by Age'!$B$7:$H$10366,MATCH(CONCATENATE('Tabular Pop Data by Age'!$C111,'Tabular Pop Data by Age'!AO$7),'Population Data by Age'!$B$7:$B$10366,0),MATCH('Tabular Pop Data by Age'!$C$6,'Population Data by Age'!$B$6:$H$6,0))</f>
        <v>0</v>
      </c>
      <c r="AP111" s="79">
        <f t="shared" si="17"/>
        <v>1746000</v>
      </c>
      <c r="AQ111" s="79">
        <f t="shared" si="18"/>
        <v>1685000</v>
      </c>
      <c r="AR111" s="79">
        <f t="shared" si="19"/>
        <v>1685000</v>
      </c>
      <c r="AS111" s="79">
        <f t="shared" si="20"/>
        <v>1876000</v>
      </c>
      <c r="AT111" s="79">
        <f t="shared" si="21"/>
        <v>1941000</v>
      </c>
      <c r="AU111" s="79">
        <f t="shared" si="22"/>
        <v>1984000</v>
      </c>
      <c r="AV111" s="79">
        <f t="shared" si="23"/>
        <v>1851000</v>
      </c>
      <c r="AW111" s="79">
        <f t="shared" si="24"/>
        <v>1791000</v>
      </c>
      <c r="AX111" s="79">
        <f t="shared" si="25"/>
        <v>1557000</v>
      </c>
      <c r="AY111" s="79">
        <f t="shared" si="26"/>
        <v>2158000</v>
      </c>
      <c r="AZ111" s="79">
        <f t="shared" si="27"/>
        <v>2140000</v>
      </c>
      <c r="BA111" s="79">
        <f t="shared" si="28"/>
        <v>1482000</v>
      </c>
      <c r="BB111" s="79">
        <f t="shared" si="29"/>
        <v>1473000</v>
      </c>
      <c r="BC111" s="79">
        <f t="shared" si="30"/>
        <v>662000</v>
      </c>
      <c r="BD111" s="79">
        <f t="shared" si="31"/>
        <v>746000</v>
      </c>
      <c r="BE111" s="79">
        <f t="shared" si="32"/>
        <v>559000</v>
      </c>
      <c r="BF111" s="79">
        <f t="shared" si="33"/>
        <v>444000</v>
      </c>
    </row>
    <row r="112" spans="1:58" x14ac:dyDescent="0.25">
      <c r="A112" s="138" t="s">
        <v>1195</v>
      </c>
      <c r="B112" t="s">
        <v>536</v>
      </c>
      <c r="C112" t="s">
        <v>74</v>
      </c>
      <c r="D112" s="78">
        <f>INDEX('Population Data by Age'!$B$7:$H$10366,MATCH(CONCATENATE('Tabular Pop Data by Age'!$C112,'Tabular Pop Data by Age'!D$7),'Population Data by Age'!$B$7:$B$10366,0),MATCH('Tabular Pop Data by Age'!$C$6,'Population Data by Age'!$B$6:$H$6,0))</f>
        <v>934000</v>
      </c>
      <c r="E112" s="78">
        <f>INDEX('Population Data by Age'!$B$7:$H$10366,MATCH(CONCATENATE('Tabular Pop Data by Age'!$C112,'Tabular Pop Data by Age'!E$7),'Population Data by Age'!$B$7:$B$10366,0),MATCH('Tabular Pop Data by Age'!$C$6,'Population Data by Age'!$B$6:$H$6,0))</f>
        <v>987000</v>
      </c>
      <c r="F112" s="78">
        <f>INDEX('Population Data by Age'!$B$7:$H$10366,MATCH(CONCATENATE('Tabular Pop Data by Age'!$C112,'Tabular Pop Data by Age'!F$7),'Population Data by Age'!$B$7:$B$10366,0),MATCH('Tabular Pop Data by Age'!$C$6,'Population Data by Age'!$B$6:$H$6,0))</f>
        <v>1112000</v>
      </c>
      <c r="G112" s="78">
        <f>INDEX('Population Data by Age'!$B$7:$H$10366,MATCH(CONCATENATE('Tabular Pop Data by Age'!$C112,'Tabular Pop Data by Age'!G$7),'Population Data by Age'!$B$7:$B$10366,0),MATCH('Tabular Pop Data by Age'!$C$6,'Population Data by Age'!$B$6:$H$6,0))</f>
        <v>1173000</v>
      </c>
      <c r="H112" s="78">
        <f>INDEX('Population Data by Age'!$B$7:$H$10366,MATCH(CONCATENATE('Tabular Pop Data by Age'!$C112,'Tabular Pop Data by Age'!H$7),'Population Data by Age'!$B$7:$B$10366,0),MATCH('Tabular Pop Data by Age'!$C$6,'Population Data by Age'!$B$6:$H$6,0))</f>
        <v>1116000</v>
      </c>
      <c r="I112" s="78">
        <f>INDEX('Population Data by Age'!$B$7:$H$10366,MATCH(CONCATENATE('Tabular Pop Data by Age'!$C112,'Tabular Pop Data by Age'!I$7),'Population Data by Age'!$B$7:$B$10366,0),MATCH('Tabular Pop Data by Age'!$C$6,'Population Data by Age'!$B$6:$H$6,0))</f>
        <v>1190000</v>
      </c>
      <c r="J112" s="78">
        <f>INDEX('Population Data by Age'!$B$7:$H$10366,MATCH(CONCATENATE('Tabular Pop Data by Age'!$C112,'Tabular Pop Data by Age'!J$7),'Population Data by Age'!$B$7:$B$10366,0),MATCH('Tabular Pop Data by Age'!$C$6,'Population Data by Age'!$B$6:$H$6,0))</f>
        <v>1202000</v>
      </c>
      <c r="K112" s="78">
        <f>INDEX('Population Data by Age'!$B$7:$H$10366,MATCH(CONCATENATE('Tabular Pop Data by Age'!$C112,'Tabular Pop Data by Age'!K$7),'Population Data by Age'!$B$7:$B$10366,0),MATCH('Tabular Pop Data by Age'!$C$6,'Population Data by Age'!$B$6:$H$6,0))</f>
        <v>1306000</v>
      </c>
      <c r="L112" s="78">
        <f>INDEX('Population Data by Age'!$B$7:$H$10366,MATCH(CONCATENATE('Tabular Pop Data by Age'!$C112,'Tabular Pop Data by Age'!L$7),'Population Data by Age'!$B$7:$B$10366,0),MATCH('Tabular Pop Data by Age'!$C$6,'Population Data by Age'!$B$6:$H$6,0))</f>
        <v>1553000</v>
      </c>
      <c r="M112" s="78">
        <f>INDEX('Population Data by Age'!$B$7:$H$10366,MATCH(CONCATENATE('Tabular Pop Data by Age'!$C112,'Tabular Pop Data by Age'!M$7),'Population Data by Age'!$B$7:$B$10366,0),MATCH('Tabular Pop Data by Age'!$C$6,'Population Data by Age'!$B$6:$H$6,0))</f>
        <v>1705000</v>
      </c>
      <c r="N112" s="78">
        <f>INDEX('Population Data by Age'!$B$7:$H$10366,MATCH(CONCATENATE('Tabular Pop Data by Age'!$C112,'Tabular Pop Data by Age'!N$7),'Population Data by Age'!$B$7:$B$10366,0),MATCH('Tabular Pop Data by Age'!$C$6,'Population Data by Age'!$B$6:$H$6,0))</f>
        <v>1650000</v>
      </c>
      <c r="O112" s="78">
        <f>INDEX('Population Data by Age'!$B$7:$H$10366,MATCH(CONCATENATE('Tabular Pop Data by Age'!$C112,'Tabular Pop Data by Age'!O$7),'Population Data by Age'!$B$7:$B$10366,0),MATCH('Tabular Pop Data by Age'!$C$6,'Population Data by Age'!$B$6:$H$6,0))</f>
        <v>1895000</v>
      </c>
      <c r="P112" s="78">
        <f>INDEX('Population Data by Age'!$B$7:$H$10366,MATCH(CONCATENATE('Tabular Pop Data by Age'!$C112,'Tabular Pop Data by Age'!P$7),'Population Data by Age'!$B$7:$B$10366,0),MATCH('Tabular Pop Data by Age'!$C$6,'Population Data by Age'!$B$6:$H$6,0))</f>
        <v>1569000</v>
      </c>
      <c r="Q112" s="78">
        <f>INDEX('Population Data by Age'!$B$7:$H$10366,MATCH(CONCATENATE('Tabular Pop Data by Age'!$C112,'Tabular Pop Data by Age'!Q$7),'Population Data by Age'!$B$7:$B$10366,0),MATCH('Tabular Pop Data by Age'!$C$6,'Population Data by Age'!$B$6:$H$6,0))</f>
        <v>1756000</v>
      </c>
      <c r="R112" s="78">
        <f>INDEX('Population Data by Age'!$B$7:$H$10366,MATCH(CONCATENATE('Tabular Pop Data by Age'!$C112,'Tabular Pop Data by Age'!R$7),'Population Data by Age'!$B$7:$B$10366,0),MATCH('Tabular Pop Data by Age'!$C$6,'Population Data by Age'!$B$6:$H$6,0))</f>
        <v>1846000</v>
      </c>
      <c r="S112" s="78">
        <f>INDEX('Population Data by Age'!$B$7:$H$10366,MATCH(CONCATENATE('Tabular Pop Data by Age'!$C112,'Tabular Pop Data by Age'!S$7),'Population Data by Age'!$B$7:$B$10366,0),MATCH('Tabular Pop Data by Age'!$C$6,'Population Data by Age'!$B$6:$H$6,0))</f>
        <v>2000000</v>
      </c>
      <c r="T112" s="78">
        <f>INDEX('Population Data by Age'!$B$7:$H$10366,MATCH(CONCATENATE('Tabular Pop Data by Age'!$C112,'Tabular Pop Data by Age'!T$7),'Population Data by Age'!$B$7:$B$10366,0),MATCH('Tabular Pop Data by Age'!$C$6,'Population Data by Age'!$B$6:$H$6,0))</f>
        <v>1933000</v>
      </c>
      <c r="U112" s="78">
        <f>INDEX('Population Data by Age'!$B$7:$H$10366,MATCH(CONCATENATE('Tabular Pop Data by Age'!$C112,'Tabular Pop Data by Age'!U$7),'Population Data by Age'!$B$7:$B$10366,0),MATCH('Tabular Pop Data by Age'!$C$6,'Population Data by Age'!$B$6:$H$6,0))</f>
        <v>2041000</v>
      </c>
      <c r="V112" s="78">
        <f>INDEX('Population Data by Age'!$B$7:$H$10366,MATCH(CONCATENATE('Tabular Pop Data by Age'!$C112,'Tabular Pop Data by Age'!V$7),'Population Data by Age'!$B$7:$B$10366,0),MATCH('Tabular Pop Data by Age'!$C$6,'Population Data by Age'!$B$6:$H$6,0))</f>
        <v>2134000</v>
      </c>
      <c r="W112" s="78">
        <f>INDEX('Population Data by Age'!$B$7:$H$10366,MATCH(CONCATENATE('Tabular Pop Data by Age'!$C112,'Tabular Pop Data by Age'!W$7),'Population Data by Age'!$B$7:$B$10366,0),MATCH('Tabular Pop Data by Age'!$C$6,'Population Data by Age'!$B$6:$H$6,0))</f>
        <v>2214000</v>
      </c>
      <c r="X112" s="78">
        <f>INDEX('Population Data by Age'!$B$7:$H$10366,MATCH(CONCATENATE('Tabular Pop Data by Age'!$C112,'Tabular Pop Data by Age'!X$7),'Population Data by Age'!$B$7:$B$10366,0),MATCH('Tabular Pop Data by Age'!$C$6,'Population Data by Age'!$B$6:$H$6,0))</f>
        <v>2174000</v>
      </c>
      <c r="Y112" s="78">
        <f>INDEX('Population Data by Age'!$B$7:$H$10366,MATCH(CONCATENATE('Tabular Pop Data by Age'!$C112,'Tabular Pop Data by Age'!Y$7),'Population Data by Age'!$B$7:$B$10366,0),MATCH('Tabular Pop Data by Age'!$C$6,'Population Data by Age'!$B$6:$H$6,0))</f>
        <v>2196000</v>
      </c>
      <c r="Z112" s="78">
        <f>INDEX('Population Data by Age'!$B$7:$H$10366,MATCH(CONCATENATE('Tabular Pop Data by Age'!$C112,'Tabular Pop Data by Age'!Z$7),'Population Data by Age'!$B$7:$B$10366,0),MATCH('Tabular Pop Data by Age'!$C$6,'Population Data by Age'!$B$6:$H$6,0))</f>
        <v>2105000</v>
      </c>
      <c r="AA112" s="78">
        <f>INDEX('Population Data by Age'!$B$7:$H$10366,MATCH(CONCATENATE('Tabular Pop Data by Age'!$C112,'Tabular Pop Data by Age'!AA$7),'Population Data by Age'!$B$7:$B$10366,0),MATCH('Tabular Pop Data by Age'!$C$6,'Population Data by Age'!$B$6:$H$6,0))</f>
        <v>2109000</v>
      </c>
      <c r="AB112" s="78">
        <f>INDEX('Population Data by Age'!$B$7:$H$10366,MATCH(CONCATENATE('Tabular Pop Data by Age'!$C112,'Tabular Pop Data by Age'!AB$7),'Population Data by Age'!$B$7:$B$10366,0),MATCH('Tabular Pop Data by Age'!$C$6,'Population Data by Age'!$B$6:$H$6,0))</f>
        <v>1943000</v>
      </c>
      <c r="AC112" s="78">
        <f>INDEX('Population Data by Age'!$B$7:$H$10366,MATCH(CONCATENATE('Tabular Pop Data by Age'!$C112,'Tabular Pop Data by Age'!AC$7),'Population Data by Age'!$B$7:$B$10366,0),MATCH('Tabular Pop Data by Age'!$C$6,'Population Data by Age'!$B$6:$H$6,0))</f>
        <v>1880000</v>
      </c>
      <c r="AD112" s="78">
        <f>INDEX('Population Data by Age'!$B$7:$H$10366,MATCH(CONCATENATE('Tabular Pop Data by Age'!$C112,'Tabular Pop Data by Age'!AD$7),'Population Data by Age'!$B$7:$B$10366,0),MATCH('Tabular Pop Data by Age'!$C$6,'Population Data by Age'!$B$6:$H$6,0))</f>
        <v>1409000</v>
      </c>
      <c r="AE112" s="78">
        <f>INDEX('Population Data by Age'!$B$7:$H$10366,MATCH(CONCATENATE('Tabular Pop Data by Age'!$C112,'Tabular Pop Data by Age'!AE$7),'Population Data by Age'!$B$7:$B$10366,0),MATCH('Tabular Pop Data by Age'!$C$6,'Population Data by Age'!$B$6:$H$6,0))</f>
        <v>1304000</v>
      </c>
      <c r="AF112" s="78">
        <f>INDEX('Population Data by Age'!$B$7:$H$10366,MATCH(CONCATENATE('Tabular Pop Data by Age'!$C112,'Tabular Pop Data by Age'!AF$7),'Population Data by Age'!$B$7:$B$10366,0),MATCH('Tabular Pop Data by Age'!$C$6,'Population Data by Age'!$B$6:$H$6,0))</f>
        <v>1082000</v>
      </c>
      <c r="AG112" s="78">
        <f>INDEX('Population Data by Age'!$B$7:$H$10366,MATCH(CONCATENATE('Tabular Pop Data by Age'!$C112,'Tabular Pop Data by Age'!AG$7),'Population Data by Age'!$B$7:$B$10366,0),MATCH('Tabular Pop Data by Age'!$C$6,'Population Data by Age'!$B$6:$H$6,0))</f>
        <v>942000</v>
      </c>
      <c r="AH112" s="78">
        <f>INDEX('Population Data by Age'!$B$7:$H$10366,MATCH(CONCATENATE('Tabular Pop Data by Age'!$C112,'Tabular Pop Data by Age'!AH$7),'Population Data by Age'!$B$7:$B$10366,0),MATCH('Tabular Pop Data by Age'!$C$6,'Population Data by Age'!$B$6:$H$6,0))</f>
        <v>909000</v>
      </c>
      <c r="AI112" s="78">
        <f>INDEX('Population Data by Age'!$B$7:$H$10366,MATCH(CONCATENATE('Tabular Pop Data by Age'!$C112,'Tabular Pop Data by Age'!AI$7),'Population Data by Age'!$B$7:$B$10366,0),MATCH('Tabular Pop Data by Age'!$C$6,'Population Data by Age'!$B$6:$H$6,0))</f>
        <v>673000</v>
      </c>
      <c r="AJ112" s="78">
        <f>INDEX('Population Data by Age'!$B$7:$H$10366,MATCH(CONCATENATE('Tabular Pop Data by Age'!$C112,'Tabular Pop Data by Age'!AJ$7),'Population Data by Age'!$B$7:$B$10366,0),MATCH('Tabular Pop Data by Age'!$C$6,'Population Data by Age'!$B$6:$H$6,0))</f>
        <v>1257000</v>
      </c>
      <c r="AK112" s="78">
        <f>INDEX('Population Data by Age'!$B$7:$H$10366,MATCH(CONCATENATE('Tabular Pop Data by Age'!$C112,'Tabular Pop Data by Age'!AK$7),'Population Data by Age'!$B$7:$B$10366,0),MATCH('Tabular Pop Data by Age'!$C$6,'Population Data by Age'!$B$6:$H$6,0))</f>
        <v>623000</v>
      </c>
      <c r="AL112" s="78">
        <f>INDEX('Population Data by Age'!$B$7:$H$10366,MATCH(CONCATENATE('Tabular Pop Data by Age'!$C112,'Tabular Pop Data by Age'!AL$7),'Population Data by Age'!$B$7:$B$10366,0),MATCH('Tabular Pop Data by Age'!$C$6,'Population Data by Age'!$B$6:$H$6,0))</f>
        <v>25929000</v>
      </c>
      <c r="AM112" s="78">
        <f>INDEX('Population Data by Age'!$B$7:$H$10366,MATCH(CONCATENATE('Tabular Pop Data by Age'!$C112,'Tabular Pop Data by Age'!AM$7),'Population Data by Age'!$B$7:$B$10366,0),MATCH('Tabular Pop Data by Age'!$C$6,'Population Data by Age'!$B$6:$H$6,0))</f>
        <v>25992000</v>
      </c>
      <c r="AN112" s="78">
        <f>INDEX('Population Data by Age'!$B$7:$H$10366,MATCH(CONCATENATE('Tabular Pop Data by Age'!$C112,'Tabular Pop Data by Age'!AN$7),'Population Data by Age'!$B$7:$B$10366,0),MATCH('Tabular Pop Data by Age'!$C$6,'Population Data by Age'!$B$6:$H$6,0))</f>
        <v>51922000</v>
      </c>
      <c r="AO112" s="78">
        <f>INDEX('Population Data by Age'!$B$7:$H$10366,MATCH(CONCATENATE('Tabular Pop Data by Age'!$C112,'Tabular Pop Data by Age'!AO$7),'Population Data by Age'!$B$7:$B$10366,0),MATCH('Tabular Pop Data by Age'!$C$6,'Population Data by Age'!$B$6:$H$6,0))</f>
        <v>0</v>
      </c>
      <c r="AP112" s="79">
        <f t="shared" si="17"/>
        <v>1921000</v>
      </c>
      <c r="AQ112" s="79">
        <f t="shared" si="18"/>
        <v>2285000</v>
      </c>
      <c r="AR112" s="79">
        <f t="shared" si="19"/>
        <v>2306000</v>
      </c>
      <c r="AS112" s="79">
        <f t="shared" si="20"/>
        <v>2508000</v>
      </c>
      <c r="AT112" s="79">
        <f t="shared" si="21"/>
        <v>3258000</v>
      </c>
      <c r="AU112" s="79">
        <f t="shared" si="22"/>
        <v>3545000</v>
      </c>
      <c r="AV112" s="79">
        <f t="shared" si="23"/>
        <v>3325000</v>
      </c>
      <c r="AW112" s="79">
        <f t="shared" si="24"/>
        <v>3846000</v>
      </c>
      <c r="AX112" s="79">
        <f t="shared" si="25"/>
        <v>3974000</v>
      </c>
      <c r="AY112" s="79">
        <f t="shared" si="26"/>
        <v>4348000</v>
      </c>
      <c r="AZ112" s="79">
        <f t="shared" si="27"/>
        <v>4370000</v>
      </c>
      <c r="BA112" s="79">
        <f t="shared" si="28"/>
        <v>4214000</v>
      </c>
      <c r="BB112" s="79">
        <f t="shared" si="29"/>
        <v>3823000</v>
      </c>
      <c r="BC112" s="79">
        <f t="shared" si="30"/>
        <v>2713000</v>
      </c>
      <c r="BD112" s="79">
        <f t="shared" si="31"/>
        <v>2024000</v>
      </c>
      <c r="BE112" s="79">
        <f t="shared" si="32"/>
        <v>1582000</v>
      </c>
      <c r="BF112" s="79">
        <f t="shared" si="33"/>
        <v>1880000</v>
      </c>
    </row>
    <row r="113" spans="1:58" x14ac:dyDescent="0.25">
      <c r="A113" s="138" t="s">
        <v>1195</v>
      </c>
      <c r="B113" t="s">
        <v>237</v>
      </c>
      <c r="C113" t="s">
        <v>537</v>
      </c>
      <c r="D113" s="78">
        <f>INDEX('Population Data by Age'!$B$7:$H$10366,MATCH(CONCATENATE('Tabular Pop Data by Age'!$C113,'Tabular Pop Data by Age'!D$7),'Population Data by Age'!$B$7:$B$10366,0),MATCH('Tabular Pop Data by Age'!$C$6,'Population Data by Age'!$B$6:$H$6,0))</f>
        <v>0</v>
      </c>
      <c r="E113" s="78">
        <f>INDEX('Population Data by Age'!$B$7:$H$10366,MATCH(CONCATENATE('Tabular Pop Data by Age'!$C113,'Tabular Pop Data by Age'!E$7),'Population Data by Age'!$B$7:$B$10366,0),MATCH('Tabular Pop Data by Age'!$C$6,'Population Data by Age'!$B$6:$H$6,0))</f>
        <v>0</v>
      </c>
      <c r="F113" s="78">
        <f>INDEX('Population Data by Age'!$B$7:$H$10366,MATCH(CONCATENATE('Tabular Pop Data by Age'!$C113,'Tabular Pop Data by Age'!F$7),'Population Data by Age'!$B$7:$B$10366,0),MATCH('Tabular Pop Data by Age'!$C$6,'Population Data by Age'!$B$6:$H$6,0))</f>
        <v>0</v>
      </c>
      <c r="G113" s="78">
        <f>INDEX('Population Data by Age'!$B$7:$H$10366,MATCH(CONCATENATE('Tabular Pop Data by Age'!$C113,'Tabular Pop Data by Age'!G$7),'Population Data by Age'!$B$7:$B$10366,0),MATCH('Tabular Pop Data by Age'!$C$6,'Population Data by Age'!$B$6:$H$6,0))</f>
        <v>0</v>
      </c>
      <c r="H113" s="78">
        <f>INDEX('Population Data by Age'!$B$7:$H$10366,MATCH(CONCATENATE('Tabular Pop Data by Age'!$C113,'Tabular Pop Data by Age'!H$7),'Population Data by Age'!$B$7:$B$10366,0),MATCH('Tabular Pop Data by Age'!$C$6,'Population Data by Age'!$B$6:$H$6,0))</f>
        <v>0</v>
      </c>
      <c r="I113" s="78">
        <f>INDEX('Population Data by Age'!$B$7:$H$10366,MATCH(CONCATENATE('Tabular Pop Data by Age'!$C113,'Tabular Pop Data by Age'!I$7),'Population Data by Age'!$B$7:$B$10366,0),MATCH('Tabular Pop Data by Age'!$C$6,'Population Data by Age'!$B$6:$H$6,0))</f>
        <v>0</v>
      </c>
      <c r="J113" s="78">
        <f>INDEX('Population Data by Age'!$B$7:$H$10366,MATCH(CONCATENATE('Tabular Pop Data by Age'!$C113,'Tabular Pop Data by Age'!J$7),'Population Data by Age'!$B$7:$B$10366,0),MATCH('Tabular Pop Data by Age'!$C$6,'Population Data by Age'!$B$6:$H$6,0))</f>
        <v>0</v>
      </c>
      <c r="K113" s="78">
        <f>INDEX('Population Data by Age'!$B$7:$H$10366,MATCH(CONCATENATE('Tabular Pop Data by Age'!$C113,'Tabular Pop Data by Age'!K$7),'Population Data by Age'!$B$7:$B$10366,0),MATCH('Tabular Pop Data by Age'!$C$6,'Population Data by Age'!$B$6:$H$6,0))</f>
        <v>0</v>
      </c>
      <c r="L113" s="78">
        <f>INDEX('Population Data by Age'!$B$7:$H$10366,MATCH(CONCATENATE('Tabular Pop Data by Age'!$C113,'Tabular Pop Data by Age'!L$7),'Population Data by Age'!$B$7:$B$10366,0),MATCH('Tabular Pop Data by Age'!$C$6,'Population Data by Age'!$B$6:$H$6,0))</f>
        <v>0</v>
      </c>
      <c r="M113" s="78">
        <f>INDEX('Population Data by Age'!$B$7:$H$10366,MATCH(CONCATENATE('Tabular Pop Data by Age'!$C113,'Tabular Pop Data by Age'!M$7),'Population Data by Age'!$B$7:$B$10366,0),MATCH('Tabular Pop Data by Age'!$C$6,'Population Data by Age'!$B$6:$H$6,0))</f>
        <v>0</v>
      </c>
      <c r="N113" s="78">
        <f>INDEX('Population Data by Age'!$B$7:$H$10366,MATCH(CONCATENATE('Tabular Pop Data by Age'!$C113,'Tabular Pop Data by Age'!N$7),'Population Data by Age'!$B$7:$B$10366,0),MATCH('Tabular Pop Data by Age'!$C$6,'Population Data by Age'!$B$6:$H$6,0))</f>
        <v>0</v>
      </c>
      <c r="O113" s="78">
        <f>INDEX('Population Data by Age'!$B$7:$H$10366,MATCH(CONCATENATE('Tabular Pop Data by Age'!$C113,'Tabular Pop Data by Age'!O$7),'Population Data by Age'!$B$7:$B$10366,0),MATCH('Tabular Pop Data by Age'!$C$6,'Population Data by Age'!$B$6:$H$6,0))</f>
        <v>0</v>
      </c>
      <c r="P113" s="78">
        <f>INDEX('Population Data by Age'!$B$7:$H$10366,MATCH(CONCATENATE('Tabular Pop Data by Age'!$C113,'Tabular Pop Data by Age'!P$7),'Population Data by Age'!$B$7:$B$10366,0),MATCH('Tabular Pop Data by Age'!$C$6,'Population Data by Age'!$B$6:$H$6,0))</f>
        <v>0</v>
      </c>
      <c r="Q113" s="78">
        <f>INDEX('Population Data by Age'!$B$7:$H$10366,MATCH(CONCATENATE('Tabular Pop Data by Age'!$C113,'Tabular Pop Data by Age'!Q$7),'Population Data by Age'!$B$7:$B$10366,0),MATCH('Tabular Pop Data by Age'!$C$6,'Population Data by Age'!$B$6:$H$6,0))</f>
        <v>0</v>
      </c>
      <c r="R113" s="78">
        <f>INDEX('Population Data by Age'!$B$7:$H$10366,MATCH(CONCATENATE('Tabular Pop Data by Age'!$C113,'Tabular Pop Data by Age'!R$7),'Population Data by Age'!$B$7:$B$10366,0),MATCH('Tabular Pop Data by Age'!$C$6,'Population Data by Age'!$B$6:$H$6,0))</f>
        <v>0</v>
      </c>
      <c r="S113" s="78">
        <f>INDEX('Population Data by Age'!$B$7:$H$10366,MATCH(CONCATENATE('Tabular Pop Data by Age'!$C113,'Tabular Pop Data by Age'!S$7),'Population Data by Age'!$B$7:$B$10366,0),MATCH('Tabular Pop Data by Age'!$C$6,'Population Data by Age'!$B$6:$H$6,0))</f>
        <v>0</v>
      </c>
      <c r="T113" s="78">
        <f>INDEX('Population Data by Age'!$B$7:$H$10366,MATCH(CONCATENATE('Tabular Pop Data by Age'!$C113,'Tabular Pop Data by Age'!T$7),'Population Data by Age'!$B$7:$B$10366,0),MATCH('Tabular Pop Data by Age'!$C$6,'Population Data by Age'!$B$6:$H$6,0))</f>
        <v>0</v>
      </c>
      <c r="U113" s="78">
        <f>INDEX('Population Data by Age'!$B$7:$H$10366,MATCH(CONCATENATE('Tabular Pop Data by Age'!$C113,'Tabular Pop Data by Age'!U$7),'Population Data by Age'!$B$7:$B$10366,0),MATCH('Tabular Pop Data by Age'!$C$6,'Population Data by Age'!$B$6:$H$6,0))</f>
        <v>0</v>
      </c>
      <c r="V113" s="78">
        <f>INDEX('Population Data by Age'!$B$7:$H$10366,MATCH(CONCATENATE('Tabular Pop Data by Age'!$C113,'Tabular Pop Data by Age'!V$7),'Population Data by Age'!$B$7:$B$10366,0),MATCH('Tabular Pop Data by Age'!$C$6,'Population Data by Age'!$B$6:$H$6,0))</f>
        <v>0</v>
      </c>
      <c r="W113" s="78">
        <f>INDEX('Population Data by Age'!$B$7:$H$10366,MATCH(CONCATENATE('Tabular Pop Data by Age'!$C113,'Tabular Pop Data by Age'!W$7),'Population Data by Age'!$B$7:$B$10366,0),MATCH('Tabular Pop Data by Age'!$C$6,'Population Data by Age'!$B$6:$H$6,0))</f>
        <v>0</v>
      </c>
      <c r="X113" s="78">
        <f>INDEX('Population Data by Age'!$B$7:$H$10366,MATCH(CONCATENATE('Tabular Pop Data by Age'!$C113,'Tabular Pop Data by Age'!X$7),'Population Data by Age'!$B$7:$B$10366,0),MATCH('Tabular Pop Data by Age'!$C$6,'Population Data by Age'!$B$6:$H$6,0))</f>
        <v>0</v>
      </c>
      <c r="Y113" s="78">
        <f>INDEX('Population Data by Age'!$B$7:$H$10366,MATCH(CONCATENATE('Tabular Pop Data by Age'!$C113,'Tabular Pop Data by Age'!Y$7),'Population Data by Age'!$B$7:$B$10366,0),MATCH('Tabular Pop Data by Age'!$C$6,'Population Data by Age'!$B$6:$H$6,0))</f>
        <v>0</v>
      </c>
      <c r="Z113" s="78">
        <f>INDEX('Population Data by Age'!$B$7:$H$10366,MATCH(CONCATENATE('Tabular Pop Data by Age'!$C113,'Tabular Pop Data by Age'!Z$7),'Population Data by Age'!$B$7:$B$10366,0),MATCH('Tabular Pop Data by Age'!$C$6,'Population Data by Age'!$B$6:$H$6,0))</f>
        <v>0</v>
      </c>
      <c r="AA113" s="78">
        <f>INDEX('Population Data by Age'!$B$7:$H$10366,MATCH(CONCATENATE('Tabular Pop Data by Age'!$C113,'Tabular Pop Data by Age'!AA$7),'Population Data by Age'!$B$7:$B$10366,0),MATCH('Tabular Pop Data by Age'!$C$6,'Population Data by Age'!$B$6:$H$6,0))</f>
        <v>0</v>
      </c>
      <c r="AB113" s="78">
        <f>INDEX('Population Data by Age'!$B$7:$H$10366,MATCH(CONCATENATE('Tabular Pop Data by Age'!$C113,'Tabular Pop Data by Age'!AB$7),'Population Data by Age'!$B$7:$B$10366,0),MATCH('Tabular Pop Data by Age'!$C$6,'Population Data by Age'!$B$6:$H$6,0))</f>
        <v>0</v>
      </c>
      <c r="AC113" s="78">
        <f>INDEX('Population Data by Age'!$B$7:$H$10366,MATCH(CONCATENATE('Tabular Pop Data by Age'!$C113,'Tabular Pop Data by Age'!AC$7),'Population Data by Age'!$B$7:$B$10366,0),MATCH('Tabular Pop Data by Age'!$C$6,'Population Data by Age'!$B$6:$H$6,0))</f>
        <v>0</v>
      </c>
      <c r="AD113" s="78">
        <f>INDEX('Population Data by Age'!$B$7:$H$10366,MATCH(CONCATENATE('Tabular Pop Data by Age'!$C113,'Tabular Pop Data by Age'!AD$7),'Population Data by Age'!$B$7:$B$10366,0),MATCH('Tabular Pop Data by Age'!$C$6,'Population Data by Age'!$B$6:$H$6,0))</f>
        <v>0</v>
      </c>
      <c r="AE113" s="78">
        <f>INDEX('Population Data by Age'!$B$7:$H$10366,MATCH(CONCATENATE('Tabular Pop Data by Age'!$C113,'Tabular Pop Data by Age'!AE$7),'Population Data by Age'!$B$7:$B$10366,0),MATCH('Tabular Pop Data by Age'!$C$6,'Population Data by Age'!$B$6:$H$6,0))</f>
        <v>0</v>
      </c>
      <c r="AF113" s="78">
        <f>INDEX('Population Data by Age'!$B$7:$H$10366,MATCH(CONCATENATE('Tabular Pop Data by Age'!$C113,'Tabular Pop Data by Age'!AF$7),'Population Data by Age'!$B$7:$B$10366,0),MATCH('Tabular Pop Data by Age'!$C$6,'Population Data by Age'!$B$6:$H$6,0))</f>
        <v>0</v>
      </c>
      <c r="AG113" s="78">
        <f>INDEX('Population Data by Age'!$B$7:$H$10366,MATCH(CONCATENATE('Tabular Pop Data by Age'!$C113,'Tabular Pop Data by Age'!AG$7),'Population Data by Age'!$B$7:$B$10366,0),MATCH('Tabular Pop Data by Age'!$C$6,'Population Data by Age'!$B$6:$H$6,0))</f>
        <v>0</v>
      </c>
      <c r="AH113" s="78">
        <f>INDEX('Population Data by Age'!$B$7:$H$10366,MATCH(CONCATENATE('Tabular Pop Data by Age'!$C113,'Tabular Pop Data by Age'!AH$7),'Population Data by Age'!$B$7:$B$10366,0),MATCH('Tabular Pop Data by Age'!$C$6,'Population Data by Age'!$B$6:$H$6,0))</f>
        <v>0</v>
      </c>
      <c r="AI113" s="78">
        <f>INDEX('Population Data by Age'!$B$7:$H$10366,MATCH(CONCATENATE('Tabular Pop Data by Age'!$C113,'Tabular Pop Data by Age'!AI$7),'Population Data by Age'!$B$7:$B$10366,0),MATCH('Tabular Pop Data by Age'!$C$6,'Population Data by Age'!$B$6:$H$6,0))</f>
        <v>0</v>
      </c>
      <c r="AJ113" s="78">
        <f>INDEX('Population Data by Age'!$B$7:$H$10366,MATCH(CONCATENATE('Tabular Pop Data by Age'!$C113,'Tabular Pop Data by Age'!AJ$7),'Population Data by Age'!$B$7:$B$10366,0),MATCH('Tabular Pop Data by Age'!$C$6,'Population Data by Age'!$B$6:$H$6,0))</f>
        <v>0</v>
      </c>
      <c r="AK113" s="78">
        <f>INDEX('Population Data by Age'!$B$7:$H$10366,MATCH(CONCATENATE('Tabular Pop Data by Age'!$C113,'Tabular Pop Data by Age'!AK$7),'Population Data by Age'!$B$7:$B$10366,0),MATCH('Tabular Pop Data by Age'!$C$6,'Population Data by Age'!$B$6:$H$6,0))</f>
        <v>0</v>
      </c>
      <c r="AL113" s="78">
        <f>INDEX('Population Data by Age'!$B$7:$H$10366,MATCH(CONCATENATE('Tabular Pop Data by Age'!$C113,'Tabular Pop Data by Age'!AL$7),'Population Data by Age'!$B$7:$B$10366,0),MATCH('Tabular Pop Data by Age'!$C$6,'Population Data by Age'!$B$6:$H$6,0))</f>
        <v>0</v>
      </c>
      <c r="AM113" s="78">
        <f>INDEX('Population Data by Age'!$B$7:$H$10366,MATCH(CONCATENATE('Tabular Pop Data by Age'!$C113,'Tabular Pop Data by Age'!AM$7),'Population Data by Age'!$B$7:$B$10366,0),MATCH('Tabular Pop Data by Age'!$C$6,'Population Data by Age'!$B$6:$H$6,0))</f>
        <v>0</v>
      </c>
      <c r="AN113" s="78">
        <f>INDEX('Population Data by Age'!$B$7:$H$10366,MATCH(CONCATENATE('Tabular Pop Data by Age'!$C113,'Tabular Pop Data by Age'!AN$7),'Population Data by Age'!$B$7:$B$10366,0),MATCH('Tabular Pop Data by Age'!$C$6,'Population Data by Age'!$B$6:$H$6,0))</f>
        <v>1870000</v>
      </c>
      <c r="AO113" s="78">
        <f>INDEX('Population Data by Age'!$B$7:$H$10366,MATCH(CONCATENATE('Tabular Pop Data by Age'!$C113,'Tabular Pop Data by Age'!AO$7),'Population Data by Age'!$B$7:$B$10366,0),MATCH('Tabular Pop Data by Age'!$C$6,'Population Data by Age'!$B$6:$H$6,0))</f>
        <v>0</v>
      </c>
      <c r="AP113" s="79">
        <f t="shared" si="17"/>
        <v>0</v>
      </c>
      <c r="AQ113" s="79">
        <f t="shared" si="18"/>
        <v>0</v>
      </c>
      <c r="AR113" s="79">
        <f t="shared" si="19"/>
        <v>0</v>
      </c>
      <c r="AS113" s="79">
        <f t="shared" si="20"/>
        <v>0</v>
      </c>
      <c r="AT113" s="79">
        <f t="shared" si="21"/>
        <v>0</v>
      </c>
      <c r="AU113" s="79">
        <f t="shared" si="22"/>
        <v>0</v>
      </c>
      <c r="AV113" s="79">
        <f t="shared" si="23"/>
        <v>0</v>
      </c>
      <c r="AW113" s="79">
        <f t="shared" si="24"/>
        <v>0</v>
      </c>
      <c r="AX113" s="79">
        <f t="shared" si="25"/>
        <v>0</v>
      </c>
      <c r="AY113" s="79">
        <f t="shared" si="26"/>
        <v>0</v>
      </c>
      <c r="AZ113" s="79">
        <f t="shared" si="27"/>
        <v>0</v>
      </c>
      <c r="BA113" s="79">
        <f t="shared" si="28"/>
        <v>0</v>
      </c>
      <c r="BB113" s="79">
        <f t="shared" si="29"/>
        <v>0</v>
      </c>
      <c r="BC113" s="79">
        <f t="shared" si="30"/>
        <v>0</v>
      </c>
      <c r="BD113" s="79">
        <f t="shared" si="31"/>
        <v>0</v>
      </c>
      <c r="BE113" s="79">
        <f t="shared" si="32"/>
        <v>0</v>
      </c>
      <c r="BF113" s="79">
        <f t="shared" si="33"/>
        <v>0</v>
      </c>
    </row>
    <row r="114" spans="1:58" x14ac:dyDescent="0.25">
      <c r="A114" s="138" t="s">
        <v>1195</v>
      </c>
      <c r="B114" t="s">
        <v>538</v>
      </c>
      <c r="C114" t="s">
        <v>75</v>
      </c>
      <c r="D114" s="78">
        <f>INDEX('Population Data by Age'!$B$7:$H$10366,MATCH(CONCATENATE('Tabular Pop Data by Age'!$C114,'Tabular Pop Data by Age'!D$7),'Population Data by Age'!$B$7:$B$10366,0),MATCH('Tabular Pop Data by Age'!$C$6,'Population Data by Age'!$B$6:$H$6,0))</f>
        <v>141000</v>
      </c>
      <c r="E114" s="78">
        <f>INDEX('Population Data by Age'!$B$7:$H$10366,MATCH(CONCATENATE('Tabular Pop Data by Age'!$C114,'Tabular Pop Data by Age'!E$7),'Population Data by Age'!$B$7:$B$10366,0),MATCH('Tabular Pop Data by Age'!$C$6,'Population Data by Age'!$B$6:$H$6,0))</f>
        <v>148000</v>
      </c>
      <c r="F114" s="78">
        <f>INDEX('Population Data by Age'!$B$7:$H$10366,MATCH(CONCATENATE('Tabular Pop Data by Age'!$C114,'Tabular Pop Data by Age'!F$7),'Population Data by Age'!$B$7:$B$10366,0),MATCH('Tabular Pop Data by Age'!$C$6,'Population Data by Age'!$B$6:$H$6,0))</f>
        <v>148000</v>
      </c>
      <c r="G114" s="78">
        <f>INDEX('Population Data by Age'!$B$7:$H$10366,MATCH(CONCATENATE('Tabular Pop Data by Age'!$C114,'Tabular Pop Data by Age'!G$7),'Population Data by Age'!$B$7:$B$10366,0),MATCH('Tabular Pop Data by Age'!$C$6,'Population Data by Age'!$B$6:$H$6,0))</f>
        <v>171000</v>
      </c>
      <c r="H114" s="78">
        <f>INDEX('Population Data by Age'!$B$7:$H$10366,MATCH(CONCATENATE('Tabular Pop Data by Age'!$C114,'Tabular Pop Data by Age'!H$7),'Population Data by Age'!$B$7:$B$10366,0),MATCH('Tabular Pop Data by Age'!$C$6,'Population Data by Age'!$B$6:$H$6,0))</f>
        <v>135000</v>
      </c>
      <c r="I114" s="78">
        <f>INDEX('Population Data by Age'!$B$7:$H$10366,MATCH(CONCATENATE('Tabular Pop Data by Age'!$C114,'Tabular Pop Data by Age'!I$7),'Population Data by Age'!$B$7:$B$10366,0),MATCH('Tabular Pop Data by Age'!$C$6,'Population Data by Age'!$B$6:$H$6,0))</f>
        <v>173000</v>
      </c>
      <c r="J114" s="78">
        <f>INDEX('Population Data by Age'!$B$7:$H$10366,MATCH(CONCATENATE('Tabular Pop Data by Age'!$C114,'Tabular Pop Data by Age'!J$7),'Population Data by Age'!$B$7:$B$10366,0),MATCH('Tabular Pop Data by Age'!$C$6,'Population Data by Age'!$B$6:$H$6,0))</f>
        <v>101000</v>
      </c>
      <c r="K114" s="78">
        <f>INDEX('Population Data by Age'!$B$7:$H$10366,MATCH(CONCATENATE('Tabular Pop Data by Age'!$C114,'Tabular Pop Data by Age'!K$7),'Population Data by Age'!$B$7:$B$10366,0),MATCH('Tabular Pop Data by Age'!$C$6,'Population Data by Age'!$B$6:$H$6,0))</f>
        <v>124000</v>
      </c>
      <c r="L114" s="78">
        <f>INDEX('Population Data by Age'!$B$7:$H$10366,MATCH(CONCATENATE('Tabular Pop Data by Age'!$C114,'Tabular Pop Data by Age'!L$7),'Population Data by Age'!$B$7:$B$10366,0),MATCH('Tabular Pop Data by Age'!$C$6,'Population Data by Age'!$B$6:$H$6,0))</f>
        <v>94000</v>
      </c>
      <c r="M114" s="78">
        <f>INDEX('Population Data by Age'!$B$7:$H$10366,MATCH(CONCATENATE('Tabular Pop Data by Age'!$C114,'Tabular Pop Data by Age'!M$7),'Population Data by Age'!$B$7:$B$10366,0),MATCH('Tabular Pop Data by Age'!$C$6,'Population Data by Age'!$B$6:$H$6,0))</f>
        <v>113000</v>
      </c>
      <c r="N114" s="78">
        <f>INDEX('Population Data by Age'!$B$7:$H$10366,MATCH(CONCATENATE('Tabular Pop Data by Age'!$C114,'Tabular Pop Data by Age'!N$7),'Population Data by Age'!$B$7:$B$10366,0),MATCH('Tabular Pop Data by Age'!$C$6,'Population Data by Age'!$B$6:$H$6,0))</f>
        <v>89000</v>
      </c>
      <c r="O114" s="78">
        <f>INDEX('Population Data by Age'!$B$7:$H$10366,MATCH(CONCATENATE('Tabular Pop Data by Age'!$C114,'Tabular Pop Data by Age'!O$7),'Population Data by Age'!$B$7:$B$10366,0),MATCH('Tabular Pop Data by Age'!$C$6,'Population Data by Age'!$B$6:$H$6,0))</f>
        <v>148000</v>
      </c>
      <c r="P114" s="78">
        <f>INDEX('Population Data by Age'!$B$7:$H$10366,MATCH(CONCATENATE('Tabular Pop Data by Age'!$C114,'Tabular Pop Data by Age'!P$7),'Population Data by Age'!$B$7:$B$10366,0),MATCH('Tabular Pop Data by Age'!$C$6,'Population Data by Age'!$B$6:$H$6,0))</f>
        <v>140000</v>
      </c>
      <c r="Q114" s="78">
        <f>INDEX('Population Data by Age'!$B$7:$H$10366,MATCH(CONCATENATE('Tabular Pop Data by Age'!$C114,'Tabular Pop Data by Age'!Q$7),'Population Data by Age'!$B$7:$B$10366,0),MATCH('Tabular Pop Data by Age'!$C$6,'Population Data by Age'!$B$6:$H$6,0))</f>
        <v>226000</v>
      </c>
      <c r="R114" s="78">
        <f>INDEX('Population Data by Age'!$B$7:$H$10366,MATCH(CONCATENATE('Tabular Pop Data by Age'!$C114,'Tabular Pop Data by Age'!R$7),'Population Data by Age'!$B$7:$B$10366,0),MATCH('Tabular Pop Data by Age'!$C$6,'Population Data by Age'!$B$6:$H$6,0))</f>
        <v>186000</v>
      </c>
      <c r="S114" s="78">
        <f>INDEX('Population Data by Age'!$B$7:$H$10366,MATCH(CONCATENATE('Tabular Pop Data by Age'!$C114,'Tabular Pop Data by Age'!S$7),'Population Data by Age'!$B$7:$B$10366,0),MATCH('Tabular Pop Data by Age'!$C$6,'Population Data by Age'!$B$6:$H$6,0))</f>
        <v>326000</v>
      </c>
      <c r="T114" s="78">
        <f>INDEX('Population Data by Age'!$B$7:$H$10366,MATCH(CONCATENATE('Tabular Pop Data by Age'!$C114,'Tabular Pop Data by Age'!T$7),'Population Data by Age'!$B$7:$B$10366,0),MATCH('Tabular Pop Data by Age'!$C$6,'Population Data by Age'!$B$6:$H$6,0))</f>
        <v>174000</v>
      </c>
      <c r="U114" s="78">
        <f>INDEX('Population Data by Age'!$B$7:$H$10366,MATCH(CONCATENATE('Tabular Pop Data by Age'!$C114,'Tabular Pop Data by Age'!U$7),'Population Data by Age'!$B$7:$B$10366,0),MATCH('Tabular Pop Data by Age'!$C$6,'Population Data by Age'!$B$6:$H$6,0))</f>
        <v>340000</v>
      </c>
      <c r="V114" s="78">
        <f>INDEX('Population Data by Age'!$B$7:$H$10366,MATCH(CONCATENATE('Tabular Pop Data by Age'!$C114,'Tabular Pop Data by Age'!V$7),'Population Data by Age'!$B$7:$B$10366,0),MATCH('Tabular Pop Data by Age'!$C$6,'Population Data by Age'!$B$6:$H$6,0))</f>
        <v>161000</v>
      </c>
      <c r="W114" s="78">
        <f>INDEX('Population Data by Age'!$B$7:$H$10366,MATCH(CONCATENATE('Tabular Pop Data by Age'!$C114,'Tabular Pop Data by Age'!W$7),'Population Data by Age'!$B$7:$B$10366,0),MATCH('Tabular Pop Data by Age'!$C$6,'Population Data by Age'!$B$6:$H$6,0))</f>
        <v>290000</v>
      </c>
      <c r="X114" s="78">
        <f>INDEX('Population Data by Age'!$B$7:$H$10366,MATCH(CONCATENATE('Tabular Pop Data by Age'!$C114,'Tabular Pop Data by Age'!X$7),'Population Data by Age'!$B$7:$B$10366,0),MATCH('Tabular Pop Data by Age'!$C$6,'Population Data by Age'!$B$6:$H$6,0))</f>
        <v>119000</v>
      </c>
      <c r="Y114" s="78">
        <f>INDEX('Population Data by Age'!$B$7:$H$10366,MATCH(CONCATENATE('Tabular Pop Data by Age'!$C114,'Tabular Pop Data by Age'!Y$7),'Population Data by Age'!$B$7:$B$10366,0),MATCH('Tabular Pop Data by Age'!$C$6,'Population Data by Age'!$B$6:$H$6,0))</f>
        <v>228000</v>
      </c>
      <c r="Z114" s="78">
        <f>INDEX('Population Data by Age'!$B$7:$H$10366,MATCH(CONCATENATE('Tabular Pop Data by Age'!$C114,'Tabular Pop Data by Age'!Z$7),'Population Data by Age'!$B$7:$B$10366,0),MATCH('Tabular Pop Data by Age'!$C$6,'Population Data by Age'!$B$6:$H$6,0))</f>
        <v>70000</v>
      </c>
      <c r="AA114" s="78">
        <f>INDEX('Population Data by Age'!$B$7:$H$10366,MATCH(CONCATENATE('Tabular Pop Data by Age'!$C114,'Tabular Pop Data by Age'!AA$7),'Population Data by Age'!$B$7:$B$10366,0),MATCH('Tabular Pop Data by Age'!$C$6,'Population Data by Age'!$B$6:$H$6,0))</f>
        <v>144000</v>
      </c>
      <c r="AB114" s="78">
        <f>INDEX('Population Data by Age'!$B$7:$H$10366,MATCH(CONCATENATE('Tabular Pop Data by Age'!$C114,'Tabular Pop Data by Age'!AB$7),'Population Data by Age'!$B$7:$B$10366,0),MATCH('Tabular Pop Data by Age'!$C$6,'Population Data by Age'!$B$6:$H$6,0))</f>
        <v>49000</v>
      </c>
      <c r="AC114" s="78">
        <f>INDEX('Population Data by Age'!$B$7:$H$10366,MATCH(CONCATENATE('Tabular Pop Data by Age'!$C114,'Tabular Pop Data by Age'!AC$7),'Population Data by Age'!$B$7:$B$10366,0),MATCH('Tabular Pop Data by Age'!$C$6,'Population Data by Age'!$B$6:$H$6,0))</f>
        <v>100000</v>
      </c>
      <c r="AD114" s="78">
        <f>INDEX('Population Data by Age'!$B$7:$H$10366,MATCH(CONCATENATE('Tabular Pop Data by Age'!$C114,'Tabular Pop Data by Age'!AD$7),'Population Data by Age'!$B$7:$B$10366,0),MATCH('Tabular Pop Data by Age'!$C$6,'Population Data by Age'!$B$6:$H$6,0))</f>
        <v>23000</v>
      </c>
      <c r="AE114" s="78">
        <f>INDEX('Population Data by Age'!$B$7:$H$10366,MATCH(CONCATENATE('Tabular Pop Data by Age'!$C114,'Tabular Pop Data by Age'!AE$7),'Population Data by Age'!$B$7:$B$10366,0),MATCH('Tabular Pop Data by Age'!$C$6,'Population Data by Age'!$B$6:$H$6,0))</f>
        <v>48000</v>
      </c>
      <c r="AF114" s="78">
        <f>INDEX('Population Data by Age'!$B$7:$H$10366,MATCH(CONCATENATE('Tabular Pop Data by Age'!$C114,'Tabular Pop Data by Age'!AF$7),'Population Data by Age'!$B$7:$B$10366,0),MATCH('Tabular Pop Data by Age'!$C$6,'Population Data by Age'!$B$6:$H$6,0))</f>
        <v>14000</v>
      </c>
      <c r="AG114" s="78">
        <f>INDEX('Population Data by Age'!$B$7:$H$10366,MATCH(CONCATENATE('Tabular Pop Data by Age'!$C114,'Tabular Pop Data by Age'!AG$7),'Population Data by Age'!$B$7:$B$10366,0),MATCH('Tabular Pop Data by Age'!$C$6,'Population Data by Age'!$B$6:$H$6,0))</f>
        <v>18000</v>
      </c>
      <c r="AH114" s="78">
        <f>INDEX('Population Data by Age'!$B$7:$H$10366,MATCH(CONCATENATE('Tabular Pop Data by Age'!$C114,'Tabular Pop Data by Age'!AH$7),'Population Data by Age'!$B$7:$B$10366,0),MATCH('Tabular Pop Data by Age'!$C$6,'Population Data by Age'!$B$6:$H$6,0))</f>
        <v>6800</v>
      </c>
      <c r="AI114" s="78">
        <f>INDEX('Population Data by Age'!$B$7:$H$10366,MATCH(CONCATENATE('Tabular Pop Data by Age'!$C114,'Tabular Pop Data by Age'!AI$7),'Population Data by Age'!$B$7:$B$10366,0),MATCH('Tabular Pop Data by Age'!$C$6,'Population Data by Age'!$B$6:$H$6,0))</f>
        <v>9600</v>
      </c>
      <c r="AJ114" s="78">
        <f>INDEX('Population Data by Age'!$B$7:$H$10366,MATCH(CONCATENATE('Tabular Pop Data by Age'!$C114,'Tabular Pop Data by Age'!AJ$7),'Population Data by Age'!$B$7:$B$10366,0),MATCH('Tabular Pop Data by Age'!$C$6,'Population Data by Age'!$B$6:$H$6,0))</f>
        <v>4500</v>
      </c>
      <c r="AK114" s="78">
        <f>INDEX('Population Data by Age'!$B$7:$H$10366,MATCH(CONCATENATE('Tabular Pop Data by Age'!$C114,'Tabular Pop Data by Age'!AK$7),'Population Data by Age'!$B$7:$B$10366,0),MATCH('Tabular Pop Data by Age'!$C$6,'Population Data by Age'!$B$6:$H$6,0))</f>
        <v>5600</v>
      </c>
      <c r="AL114" s="78">
        <f>INDEX('Population Data by Age'!$B$7:$H$10366,MATCH(CONCATENATE('Tabular Pop Data by Age'!$C114,'Tabular Pop Data by Age'!AL$7),'Population Data by Age'!$B$7:$B$10366,0),MATCH('Tabular Pop Data by Age'!$C$6,'Population Data by Age'!$B$6:$H$6,0))</f>
        <v>1656000</v>
      </c>
      <c r="AM114" s="78">
        <f>INDEX('Population Data by Age'!$B$7:$H$10366,MATCH(CONCATENATE('Tabular Pop Data by Age'!$C114,'Tabular Pop Data by Age'!AM$7),'Population Data by Age'!$B$7:$B$10366,0),MATCH('Tabular Pop Data by Age'!$C$6,'Population Data by Age'!$B$6:$H$6,0))</f>
        <v>2614000</v>
      </c>
      <c r="AN114" s="78">
        <f>INDEX('Population Data by Age'!$B$7:$H$10366,MATCH(CONCATENATE('Tabular Pop Data by Age'!$C114,'Tabular Pop Data by Age'!AN$7),'Population Data by Age'!$B$7:$B$10366,0),MATCH('Tabular Pop Data by Age'!$C$6,'Population Data by Age'!$B$6:$H$6,0))</f>
        <v>4271000</v>
      </c>
      <c r="AO114" s="78">
        <f>INDEX('Population Data by Age'!$B$7:$H$10366,MATCH(CONCATENATE('Tabular Pop Data by Age'!$C114,'Tabular Pop Data by Age'!AO$7),'Population Data by Age'!$B$7:$B$10366,0),MATCH('Tabular Pop Data by Age'!$C$6,'Population Data by Age'!$B$6:$H$6,0))</f>
        <v>0</v>
      </c>
      <c r="AP114" s="79">
        <f t="shared" si="17"/>
        <v>289000</v>
      </c>
      <c r="AQ114" s="79">
        <f t="shared" si="18"/>
        <v>319000</v>
      </c>
      <c r="AR114" s="79">
        <f t="shared" si="19"/>
        <v>308000</v>
      </c>
      <c r="AS114" s="79">
        <f t="shared" si="20"/>
        <v>225000</v>
      </c>
      <c r="AT114" s="79">
        <f t="shared" si="21"/>
        <v>207000</v>
      </c>
      <c r="AU114" s="79">
        <f t="shared" si="22"/>
        <v>237000</v>
      </c>
      <c r="AV114" s="79">
        <f t="shared" si="23"/>
        <v>366000</v>
      </c>
      <c r="AW114" s="79">
        <f t="shared" si="24"/>
        <v>512000</v>
      </c>
      <c r="AX114" s="79">
        <f t="shared" si="25"/>
        <v>514000</v>
      </c>
      <c r="AY114" s="79">
        <f t="shared" si="26"/>
        <v>451000</v>
      </c>
      <c r="AZ114" s="79">
        <f t="shared" si="27"/>
        <v>347000</v>
      </c>
      <c r="BA114" s="79">
        <f t="shared" si="28"/>
        <v>214000</v>
      </c>
      <c r="BB114" s="79">
        <f t="shared" si="29"/>
        <v>149000</v>
      </c>
      <c r="BC114" s="79">
        <f t="shared" si="30"/>
        <v>71000</v>
      </c>
      <c r="BD114" s="79">
        <f t="shared" si="31"/>
        <v>32000</v>
      </c>
      <c r="BE114" s="79">
        <f t="shared" si="32"/>
        <v>16400</v>
      </c>
      <c r="BF114" s="79">
        <f t="shared" si="33"/>
        <v>10100</v>
      </c>
    </row>
    <row r="115" spans="1:58" x14ac:dyDescent="0.25">
      <c r="A115" s="138" t="s">
        <v>1195</v>
      </c>
      <c r="B115" t="s">
        <v>539</v>
      </c>
      <c r="C115" t="s">
        <v>71</v>
      </c>
      <c r="D115" s="78">
        <f>INDEX('Population Data by Age'!$B$7:$H$10366,MATCH(CONCATENATE('Tabular Pop Data by Age'!$C115,'Tabular Pop Data by Age'!D$7),'Population Data by Age'!$B$7:$B$10366,0),MATCH('Tabular Pop Data by Age'!$C$6,'Population Data by Age'!$B$6:$H$6,0))</f>
        <v>368000</v>
      </c>
      <c r="E115" s="78">
        <f>INDEX('Population Data by Age'!$B$7:$H$10366,MATCH(CONCATENATE('Tabular Pop Data by Age'!$C115,'Tabular Pop Data by Age'!E$7),'Population Data by Age'!$B$7:$B$10366,0),MATCH('Tabular Pop Data by Age'!$C$6,'Population Data by Age'!$B$6:$H$6,0))</f>
        <v>388000</v>
      </c>
      <c r="F115" s="78">
        <f>INDEX('Population Data by Age'!$B$7:$H$10366,MATCH(CONCATENATE('Tabular Pop Data by Age'!$C115,'Tabular Pop Data by Age'!F$7),'Population Data by Age'!$B$7:$B$10366,0),MATCH('Tabular Pop Data by Age'!$C$6,'Population Data by Age'!$B$6:$H$6,0))</f>
        <v>373000</v>
      </c>
      <c r="G115" s="78">
        <f>INDEX('Population Data by Age'!$B$7:$H$10366,MATCH(CONCATENATE('Tabular Pop Data by Age'!$C115,'Tabular Pop Data by Age'!G$7),'Population Data by Age'!$B$7:$B$10366,0),MATCH('Tabular Pop Data by Age'!$C$6,'Population Data by Age'!$B$6:$H$6,0))</f>
        <v>392000</v>
      </c>
      <c r="H115" s="78">
        <f>INDEX('Population Data by Age'!$B$7:$H$10366,MATCH(CONCATENATE('Tabular Pop Data by Age'!$C115,'Tabular Pop Data by Age'!H$7),'Population Data by Age'!$B$7:$B$10366,0),MATCH('Tabular Pop Data by Age'!$C$6,'Population Data by Age'!$B$6:$H$6,0))</f>
        <v>293000</v>
      </c>
      <c r="I115" s="78">
        <f>INDEX('Population Data by Age'!$B$7:$H$10366,MATCH(CONCATENATE('Tabular Pop Data by Age'!$C115,'Tabular Pop Data by Age'!I$7),'Population Data by Age'!$B$7:$B$10366,0),MATCH('Tabular Pop Data by Age'!$C$6,'Population Data by Age'!$B$6:$H$6,0))</f>
        <v>305000</v>
      </c>
      <c r="J115" s="78">
        <f>INDEX('Population Data by Age'!$B$7:$H$10366,MATCH(CONCATENATE('Tabular Pop Data by Age'!$C115,'Tabular Pop Data by Age'!J$7),'Population Data by Age'!$B$7:$B$10366,0),MATCH('Tabular Pop Data by Age'!$C$6,'Population Data by Age'!$B$6:$H$6,0))</f>
        <v>244000</v>
      </c>
      <c r="K115" s="78">
        <f>INDEX('Population Data by Age'!$B$7:$H$10366,MATCH(CONCATENATE('Tabular Pop Data by Age'!$C115,'Tabular Pop Data by Age'!K$7),'Population Data by Age'!$B$7:$B$10366,0),MATCH('Tabular Pop Data by Age'!$C$6,'Population Data by Age'!$B$6:$H$6,0))</f>
        <v>253000</v>
      </c>
      <c r="L115" s="78">
        <f>INDEX('Population Data by Age'!$B$7:$H$10366,MATCH(CONCATENATE('Tabular Pop Data by Age'!$C115,'Tabular Pop Data by Age'!L$7),'Population Data by Age'!$B$7:$B$10366,0),MATCH('Tabular Pop Data by Age'!$C$6,'Population Data by Age'!$B$6:$H$6,0))</f>
        <v>251000</v>
      </c>
      <c r="M115" s="78">
        <f>INDEX('Population Data by Age'!$B$7:$H$10366,MATCH(CONCATENATE('Tabular Pop Data by Age'!$C115,'Tabular Pop Data by Age'!M$7),'Population Data by Age'!$B$7:$B$10366,0),MATCH('Tabular Pop Data by Age'!$C$6,'Population Data by Age'!$B$6:$H$6,0))</f>
        <v>261000</v>
      </c>
      <c r="N115" s="78">
        <f>INDEX('Population Data by Age'!$B$7:$H$10366,MATCH(CONCATENATE('Tabular Pop Data by Age'!$C115,'Tabular Pop Data by Age'!N$7),'Population Data by Age'!$B$7:$B$10366,0),MATCH('Tabular Pop Data by Age'!$C$6,'Population Data by Age'!$B$6:$H$6,0))</f>
        <v>278000</v>
      </c>
      <c r="O115" s="78">
        <f>INDEX('Population Data by Age'!$B$7:$H$10366,MATCH(CONCATENATE('Tabular Pop Data by Age'!$C115,'Tabular Pop Data by Age'!O$7),'Population Data by Age'!$B$7:$B$10366,0),MATCH('Tabular Pop Data by Age'!$C$6,'Population Data by Age'!$B$6:$H$6,0))</f>
        <v>287000</v>
      </c>
      <c r="P115" s="78">
        <f>INDEX('Population Data by Age'!$B$7:$H$10366,MATCH(CONCATENATE('Tabular Pop Data by Age'!$C115,'Tabular Pop Data by Age'!P$7),'Population Data by Age'!$B$7:$B$10366,0),MATCH('Tabular Pop Data by Age'!$C$6,'Population Data by Age'!$B$6:$H$6,0))</f>
        <v>286000</v>
      </c>
      <c r="Q115" s="78">
        <f>INDEX('Population Data by Age'!$B$7:$H$10366,MATCH(CONCATENATE('Tabular Pop Data by Age'!$C115,'Tabular Pop Data by Age'!Q$7),'Population Data by Age'!$B$7:$B$10366,0),MATCH('Tabular Pop Data by Age'!$C$6,'Population Data by Age'!$B$6:$H$6,0))</f>
        <v>283000</v>
      </c>
      <c r="R115" s="78">
        <f>INDEX('Population Data by Age'!$B$7:$H$10366,MATCH(CONCATENATE('Tabular Pop Data by Age'!$C115,'Tabular Pop Data by Age'!R$7),'Population Data by Age'!$B$7:$B$10366,0),MATCH('Tabular Pop Data by Age'!$C$6,'Population Data by Age'!$B$6:$H$6,0))</f>
        <v>219000</v>
      </c>
      <c r="S115" s="78">
        <f>INDEX('Population Data by Age'!$B$7:$H$10366,MATCH(CONCATENATE('Tabular Pop Data by Age'!$C115,'Tabular Pop Data by Age'!S$7),'Population Data by Age'!$B$7:$B$10366,0),MATCH('Tabular Pop Data by Age'!$C$6,'Population Data by Age'!$B$6:$H$6,0))</f>
        <v>221000</v>
      </c>
      <c r="T115" s="78">
        <f>INDEX('Population Data by Age'!$B$7:$H$10366,MATCH(CONCATENATE('Tabular Pop Data by Age'!$C115,'Tabular Pop Data by Age'!T$7),'Population Data by Age'!$B$7:$B$10366,0),MATCH('Tabular Pop Data by Age'!$C$6,'Population Data by Age'!$B$6:$H$6,0))</f>
        <v>182000</v>
      </c>
      <c r="U115" s="78">
        <f>INDEX('Population Data by Age'!$B$7:$H$10366,MATCH(CONCATENATE('Tabular Pop Data by Age'!$C115,'Tabular Pop Data by Age'!U$7),'Population Data by Age'!$B$7:$B$10366,0),MATCH('Tabular Pop Data by Age'!$C$6,'Population Data by Age'!$B$6:$H$6,0))</f>
        <v>178000</v>
      </c>
      <c r="V115" s="78">
        <f>INDEX('Population Data by Age'!$B$7:$H$10366,MATCH(CONCATENATE('Tabular Pop Data by Age'!$C115,'Tabular Pop Data by Age'!V$7),'Population Data by Age'!$B$7:$B$10366,0),MATCH('Tabular Pop Data by Age'!$C$6,'Population Data by Age'!$B$6:$H$6,0))</f>
        <v>167000</v>
      </c>
      <c r="W115" s="78">
        <f>INDEX('Population Data by Age'!$B$7:$H$10366,MATCH(CONCATENATE('Tabular Pop Data by Age'!$C115,'Tabular Pop Data by Age'!W$7),'Population Data by Age'!$B$7:$B$10366,0),MATCH('Tabular Pop Data by Age'!$C$6,'Population Data by Age'!$B$6:$H$6,0))</f>
        <v>156000</v>
      </c>
      <c r="X115" s="78">
        <f>INDEX('Population Data by Age'!$B$7:$H$10366,MATCH(CONCATENATE('Tabular Pop Data by Age'!$C115,'Tabular Pop Data by Age'!X$7),'Population Data by Age'!$B$7:$B$10366,0),MATCH('Tabular Pop Data by Age'!$C$6,'Population Data by Age'!$B$6:$H$6,0))</f>
        <v>154000</v>
      </c>
      <c r="Y115" s="78">
        <f>INDEX('Population Data by Age'!$B$7:$H$10366,MATCH(CONCATENATE('Tabular Pop Data by Age'!$C115,'Tabular Pop Data by Age'!Y$7),'Population Data by Age'!$B$7:$B$10366,0),MATCH('Tabular Pop Data by Age'!$C$6,'Population Data by Age'!$B$6:$H$6,0))</f>
        <v>140000</v>
      </c>
      <c r="Z115" s="78">
        <f>INDEX('Population Data by Age'!$B$7:$H$10366,MATCH(CONCATENATE('Tabular Pop Data by Age'!$C115,'Tabular Pop Data by Age'!Z$7),'Population Data by Age'!$B$7:$B$10366,0),MATCH('Tabular Pop Data by Age'!$C$6,'Population Data by Age'!$B$6:$H$6,0))</f>
        <v>152000</v>
      </c>
      <c r="AA115" s="78">
        <f>INDEX('Population Data by Age'!$B$7:$H$10366,MATCH(CONCATENATE('Tabular Pop Data by Age'!$C115,'Tabular Pop Data by Age'!AA$7),'Population Data by Age'!$B$7:$B$10366,0),MATCH('Tabular Pop Data by Age'!$C$6,'Population Data by Age'!$B$6:$H$6,0))</f>
        <v>132000</v>
      </c>
      <c r="AB115" s="78">
        <f>INDEX('Population Data by Age'!$B$7:$H$10366,MATCH(CONCATENATE('Tabular Pop Data by Age'!$C115,'Tabular Pop Data by Age'!AB$7),'Population Data by Age'!$B$7:$B$10366,0),MATCH('Tabular Pop Data by Age'!$C$6,'Population Data by Age'!$B$6:$H$6,0))</f>
        <v>121000</v>
      </c>
      <c r="AC115" s="78">
        <f>INDEX('Population Data by Age'!$B$7:$H$10366,MATCH(CONCATENATE('Tabular Pop Data by Age'!$C115,'Tabular Pop Data by Age'!AC$7),'Population Data by Age'!$B$7:$B$10366,0),MATCH('Tabular Pop Data by Age'!$C$6,'Population Data by Age'!$B$6:$H$6,0))</f>
        <v>98000</v>
      </c>
      <c r="AD115" s="78">
        <f>INDEX('Population Data by Age'!$B$7:$H$10366,MATCH(CONCATENATE('Tabular Pop Data by Age'!$C115,'Tabular Pop Data by Age'!AD$7),'Population Data by Age'!$B$7:$B$10366,0),MATCH('Tabular Pop Data by Age'!$C$6,'Population Data by Age'!$B$6:$H$6,0))</f>
        <v>82000</v>
      </c>
      <c r="AE115" s="78">
        <f>INDEX('Population Data by Age'!$B$7:$H$10366,MATCH(CONCATENATE('Tabular Pop Data by Age'!$C115,'Tabular Pop Data by Age'!AE$7),'Population Data by Age'!$B$7:$B$10366,0),MATCH('Tabular Pop Data by Age'!$C$6,'Population Data by Age'!$B$6:$H$6,0))</f>
        <v>61000</v>
      </c>
      <c r="AF115" s="78">
        <f>INDEX('Population Data by Age'!$B$7:$H$10366,MATCH(CONCATENATE('Tabular Pop Data by Age'!$C115,'Tabular Pop Data by Age'!AF$7),'Population Data by Age'!$B$7:$B$10366,0),MATCH('Tabular Pop Data by Age'!$C$6,'Population Data by Age'!$B$6:$H$6,0))</f>
        <v>49000</v>
      </c>
      <c r="AG115" s="78">
        <f>INDEX('Population Data by Age'!$B$7:$H$10366,MATCH(CONCATENATE('Tabular Pop Data by Age'!$C115,'Tabular Pop Data by Age'!AG$7),'Population Data by Age'!$B$7:$B$10366,0),MATCH('Tabular Pop Data by Age'!$C$6,'Population Data by Age'!$B$6:$H$6,0))</f>
        <v>30000</v>
      </c>
      <c r="AH115" s="78">
        <f>INDEX('Population Data by Age'!$B$7:$H$10366,MATCH(CONCATENATE('Tabular Pop Data by Age'!$C115,'Tabular Pop Data by Age'!AH$7),'Population Data by Age'!$B$7:$B$10366,0),MATCH('Tabular Pop Data by Age'!$C$6,'Population Data by Age'!$B$6:$H$6,0))</f>
        <v>22000</v>
      </c>
      <c r="AI115" s="78">
        <f>INDEX('Population Data by Age'!$B$7:$H$10366,MATCH(CONCATENATE('Tabular Pop Data by Age'!$C115,'Tabular Pop Data by Age'!AI$7),'Population Data by Age'!$B$7:$B$10366,0),MATCH('Tabular Pop Data by Age'!$C$6,'Population Data by Age'!$B$6:$H$6,0))</f>
        <v>11000</v>
      </c>
      <c r="AJ115" s="78">
        <f>INDEX('Population Data by Age'!$B$7:$H$10366,MATCH(CONCATENATE('Tabular Pop Data by Age'!$C115,'Tabular Pop Data by Age'!AJ$7),'Population Data by Age'!$B$7:$B$10366,0),MATCH('Tabular Pop Data by Age'!$C$6,'Population Data by Age'!$B$6:$H$6,0))</f>
        <v>40000</v>
      </c>
      <c r="AK115" s="78">
        <f>INDEX('Population Data by Age'!$B$7:$H$10366,MATCH(CONCATENATE('Tabular Pop Data by Age'!$C115,'Tabular Pop Data by Age'!AK$7),'Population Data by Age'!$B$7:$B$10366,0),MATCH('Tabular Pop Data by Age'!$C$6,'Population Data by Age'!$B$6:$H$6,0))</f>
        <v>14000</v>
      </c>
      <c r="AL115" s="78">
        <f>INDEX('Population Data by Age'!$B$7:$H$10366,MATCH(CONCATENATE('Tabular Pop Data by Age'!$C115,'Tabular Pop Data by Age'!AL$7),'Population Data by Age'!$B$7:$B$10366,0),MATCH('Tabular Pop Data by Age'!$C$6,'Population Data by Age'!$B$6:$H$6,0))</f>
        <v>3279000</v>
      </c>
      <c r="AM115" s="78">
        <f>INDEX('Population Data by Age'!$B$7:$H$10366,MATCH(CONCATENATE('Tabular Pop Data by Age'!$C115,'Tabular Pop Data by Age'!AM$7),'Population Data by Age'!$B$7:$B$10366,0),MATCH('Tabular Pop Data by Age'!$C$6,'Population Data by Age'!$B$6:$H$6,0))</f>
        <v>3210000</v>
      </c>
      <c r="AN115" s="78">
        <f>INDEX('Population Data by Age'!$B$7:$H$10366,MATCH(CONCATENATE('Tabular Pop Data by Age'!$C115,'Tabular Pop Data by Age'!AN$7),'Population Data by Age'!$B$7:$B$10366,0),MATCH('Tabular Pop Data by Age'!$C$6,'Population Data by Age'!$B$6:$H$6,0))</f>
        <v>6489000</v>
      </c>
      <c r="AO115" s="78">
        <f>INDEX('Population Data by Age'!$B$7:$H$10366,MATCH(CONCATENATE('Tabular Pop Data by Age'!$C115,'Tabular Pop Data by Age'!AO$7),'Population Data by Age'!$B$7:$B$10366,0),MATCH('Tabular Pop Data by Age'!$C$6,'Population Data by Age'!$B$6:$H$6,0))</f>
        <v>0</v>
      </c>
      <c r="AP115" s="79">
        <f t="shared" si="17"/>
        <v>756000</v>
      </c>
      <c r="AQ115" s="79">
        <f t="shared" si="18"/>
        <v>765000</v>
      </c>
      <c r="AR115" s="79">
        <f t="shared" si="19"/>
        <v>598000</v>
      </c>
      <c r="AS115" s="79">
        <f t="shared" si="20"/>
        <v>497000</v>
      </c>
      <c r="AT115" s="79">
        <f t="shared" si="21"/>
        <v>512000</v>
      </c>
      <c r="AU115" s="79">
        <f t="shared" si="22"/>
        <v>565000</v>
      </c>
      <c r="AV115" s="79">
        <f t="shared" si="23"/>
        <v>569000</v>
      </c>
      <c r="AW115" s="79">
        <f t="shared" si="24"/>
        <v>440000</v>
      </c>
      <c r="AX115" s="79">
        <f t="shared" si="25"/>
        <v>360000</v>
      </c>
      <c r="AY115" s="79">
        <f t="shared" si="26"/>
        <v>323000</v>
      </c>
      <c r="AZ115" s="79">
        <f t="shared" si="27"/>
        <v>294000</v>
      </c>
      <c r="BA115" s="79">
        <f t="shared" si="28"/>
        <v>284000</v>
      </c>
      <c r="BB115" s="79">
        <f t="shared" si="29"/>
        <v>219000</v>
      </c>
      <c r="BC115" s="79">
        <f t="shared" si="30"/>
        <v>143000</v>
      </c>
      <c r="BD115" s="79">
        <f t="shared" si="31"/>
        <v>79000</v>
      </c>
      <c r="BE115" s="79">
        <f t="shared" si="32"/>
        <v>33000</v>
      </c>
      <c r="BF115" s="79">
        <f t="shared" si="33"/>
        <v>54000</v>
      </c>
    </row>
    <row r="116" spans="1:58" ht="21.75" customHeight="1" x14ac:dyDescent="0.25">
      <c r="A116" s="138" t="s">
        <v>1195</v>
      </c>
      <c r="B116" t="s">
        <v>540</v>
      </c>
      <c r="C116" t="s">
        <v>76</v>
      </c>
      <c r="D116" s="78">
        <f>INDEX('Population Data by Age'!$B$7:$H$10366,MATCH(CONCATENATE('Tabular Pop Data by Age'!$C116,'Tabular Pop Data by Age'!D$7),'Population Data by Age'!$B$7:$B$10366,0),MATCH('Tabular Pop Data by Age'!$C$6,'Population Data by Age'!$B$6:$H$6,0))</f>
        <v>391000</v>
      </c>
      <c r="E116" s="78">
        <f>INDEX('Population Data by Age'!$B$7:$H$10366,MATCH(CONCATENATE('Tabular Pop Data by Age'!$C116,'Tabular Pop Data by Age'!E$7),'Population Data by Age'!$B$7:$B$10366,0),MATCH('Tabular Pop Data by Age'!$C$6,'Population Data by Age'!$B$6:$H$6,0))</f>
        <v>406000</v>
      </c>
      <c r="F116" s="78">
        <f>INDEX('Population Data by Age'!$B$7:$H$10366,MATCH(CONCATENATE('Tabular Pop Data by Age'!$C116,'Tabular Pop Data by Age'!F$7),'Population Data by Age'!$B$7:$B$10366,0),MATCH('Tabular Pop Data by Age'!$C$6,'Population Data by Age'!$B$6:$H$6,0))</f>
        <v>378000</v>
      </c>
      <c r="G116" s="78">
        <f>INDEX('Population Data by Age'!$B$7:$H$10366,MATCH(CONCATENATE('Tabular Pop Data by Age'!$C116,'Tabular Pop Data by Age'!G$7),'Population Data by Age'!$B$7:$B$10366,0),MATCH('Tabular Pop Data by Age'!$C$6,'Population Data by Age'!$B$6:$H$6,0))</f>
        <v>392000</v>
      </c>
      <c r="H116" s="78">
        <f>INDEX('Population Data by Age'!$B$7:$H$10366,MATCH(CONCATENATE('Tabular Pop Data by Age'!$C116,'Tabular Pop Data by Age'!H$7),'Population Data by Age'!$B$7:$B$10366,0),MATCH('Tabular Pop Data by Age'!$C$6,'Population Data by Age'!$B$6:$H$6,0))</f>
        <v>372000</v>
      </c>
      <c r="I116" s="78">
        <f>INDEX('Population Data by Age'!$B$7:$H$10366,MATCH(CONCATENATE('Tabular Pop Data by Age'!$C116,'Tabular Pop Data by Age'!I$7),'Population Data by Age'!$B$7:$B$10366,0),MATCH('Tabular Pop Data by Age'!$C$6,'Population Data by Age'!$B$6:$H$6,0))</f>
        <v>385000</v>
      </c>
      <c r="J116" s="78">
        <f>INDEX('Population Data by Age'!$B$7:$H$10366,MATCH(CONCATENATE('Tabular Pop Data by Age'!$C116,'Tabular Pop Data by Age'!J$7),'Population Data by Age'!$B$7:$B$10366,0),MATCH('Tabular Pop Data by Age'!$C$6,'Population Data by Age'!$B$6:$H$6,0))</f>
        <v>350000</v>
      </c>
      <c r="K116" s="78">
        <f>INDEX('Population Data by Age'!$B$7:$H$10366,MATCH(CONCATENATE('Tabular Pop Data by Age'!$C116,'Tabular Pop Data by Age'!K$7),'Population Data by Age'!$B$7:$B$10366,0),MATCH('Tabular Pop Data by Age'!$C$6,'Population Data by Age'!$B$6:$H$6,0))</f>
        <v>359000</v>
      </c>
      <c r="L116" s="78">
        <f>INDEX('Population Data by Age'!$B$7:$H$10366,MATCH(CONCATENATE('Tabular Pop Data by Age'!$C116,'Tabular Pop Data by Age'!L$7),'Population Data by Age'!$B$7:$B$10366,0),MATCH('Tabular Pop Data by Age'!$C$6,'Population Data by Age'!$B$6:$H$6,0))</f>
        <v>343000</v>
      </c>
      <c r="M116" s="78">
        <f>INDEX('Population Data by Age'!$B$7:$H$10366,MATCH(CONCATENATE('Tabular Pop Data by Age'!$C116,'Tabular Pop Data by Age'!M$7),'Population Data by Age'!$B$7:$B$10366,0),MATCH('Tabular Pop Data by Age'!$C$6,'Population Data by Age'!$B$6:$H$6,0))</f>
        <v>349000</v>
      </c>
      <c r="N116" s="78">
        <f>INDEX('Population Data by Age'!$B$7:$H$10366,MATCH(CONCATENATE('Tabular Pop Data by Age'!$C116,'Tabular Pop Data by Age'!N$7),'Population Data by Age'!$B$7:$B$10366,0),MATCH('Tabular Pop Data by Age'!$C$6,'Population Data by Age'!$B$6:$H$6,0))</f>
        <v>334000</v>
      </c>
      <c r="O116" s="78">
        <f>INDEX('Population Data by Age'!$B$7:$H$10366,MATCH(CONCATENATE('Tabular Pop Data by Age'!$C116,'Tabular Pop Data by Age'!O$7),'Population Data by Age'!$B$7:$B$10366,0),MATCH('Tabular Pop Data by Age'!$C$6,'Population Data by Age'!$B$6:$H$6,0))</f>
        <v>337000</v>
      </c>
      <c r="P116" s="78">
        <f>INDEX('Population Data by Age'!$B$7:$H$10366,MATCH(CONCATENATE('Tabular Pop Data by Age'!$C116,'Tabular Pop Data by Age'!P$7),'Population Data by Age'!$B$7:$B$10366,0),MATCH('Tabular Pop Data by Age'!$C$6,'Population Data by Age'!$B$6:$H$6,0))</f>
        <v>293000</v>
      </c>
      <c r="Q116" s="78">
        <f>INDEX('Population Data by Age'!$B$7:$H$10366,MATCH(CONCATENATE('Tabular Pop Data by Age'!$C116,'Tabular Pop Data by Age'!Q$7),'Population Data by Age'!$B$7:$B$10366,0),MATCH('Tabular Pop Data by Age'!$C$6,'Population Data by Age'!$B$6:$H$6,0))</f>
        <v>298000</v>
      </c>
      <c r="R116" s="78">
        <f>INDEX('Population Data by Age'!$B$7:$H$10366,MATCH(CONCATENATE('Tabular Pop Data by Age'!$C116,'Tabular Pop Data by Age'!R$7),'Population Data by Age'!$B$7:$B$10366,0),MATCH('Tabular Pop Data by Age'!$C$6,'Population Data by Age'!$B$6:$H$6,0))</f>
        <v>248000</v>
      </c>
      <c r="S116" s="78">
        <f>INDEX('Population Data by Age'!$B$7:$H$10366,MATCH(CONCATENATE('Tabular Pop Data by Age'!$C116,'Tabular Pop Data by Age'!S$7),'Population Data by Age'!$B$7:$B$10366,0),MATCH('Tabular Pop Data by Age'!$C$6,'Population Data by Age'!$B$6:$H$6,0))</f>
        <v>247000</v>
      </c>
      <c r="T116" s="78">
        <f>INDEX('Population Data by Age'!$B$7:$H$10366,MATCH(CONCATENATE('Tabular Pop Data by Age'!$C116,'Tabular Pop Data by Age'!T$7),'Population Data by Age'!$B$7:$B$10366,0),MATCH('Tabular Pop Data by Age'!$C$6,'Population Data by Age'!$B$6:$H$6,0))</f>
        <v>209000</v>
      </c>
      <c r="U116" s="78">
        <f>INDEX('Population Data by Age'!$B$7:$H$10366,MATCH(CONCATENATE('Tabular Pop Data by Age'!$C116,'Tabular Pop Data by Age'!U$7),'Population Data by Age'!$B$7:$B$10366,0),MATCH('Tabular Pop Data by Age'!$C$6,'Population Data by Age'!$B$6:$H$6,0))</f>
        <v>208000</v>
      </c>
      <c r="V116" s="78">
        <f>INDEX('Population Data by Age'!$B$7:$H$10366,MATCH(CONCATENATE('Tabular Pop Data by Age'!$C116,'Tabular Pop Data by Age'!V$7),'Population Data by Age'!$B$7:$B$10366,0),MATCH('Tabular Pop Data by Age'!$C$6,'Population Data by Age'!$B$6:$H$6,0))</f>
        <v>178000</v>
      </c>
      <c r="W116" s="78">
        <f>INDEX('Population Data by Age'!$B$7:$H$10366,MATCH(CONCATENATE('Tabular Pop Data by Age'!$C116,'Tabular Pop Data by Age'!W$7),'Population Data by Age'!$B$7:$B$10366,0),MATCH('Tabular Pop Data by Age'!$C$6,'Population Data by Age'!$B$6:$H$6,0))</f>
        <v>178000</v>
      </c>
      <c r="X116" s="78">
        <f>INDEX('Population Data by Age'!$B$7:$H$10366,MATCH(CONCATENATE('Tabular Pop Data by Age'!$C116,'Tabular Pop Data by Age'!X$7),'Population Data by Age'!$B$7:$B$10366,0),MATCH('Tabular Pop Data by Age'!$C$6,'Population Data by Age'!$B$6:$H$6,0))</f>
        <v>146000</v>
      </c>
      <c r="Y116" s="78">
        <f>INDEX('Population Data by Age'!$B$7:$H$10366,MATCH(CONCATENATE('Tabular Pop Data by Age'!$C116,'Tabular Pop Data by Age'!Y$7),'Population Data by Age'!$B$7:$B$10366,0),MATCH('Tabular Pop Data by Age'!$C$6,'Population Data by Age'!$B$6:$H$6,0))</f>
        <v>143000</v>
      </c>
      <c r="Z116" s="78">
        <f>INDEX('Population Data by Age'!$B$7:$H$10366,MATCH(CONCATENATE('Tabular Pop Data by Age'!$C116,'Tabular Pop Data by Age'!Z$7),'Population Data by Age'!$B$7:$B$10366,0),MATCH('Tabular Pop Data by Age'!$C$6,'Population Data by Age'!$B$6:$H$6,0))</f>
        <v>119000</v>
      </c>
      <c r="AA116" s="78">
        <f>INDEX('Population Data by Age'!$B$7:$H$10366,MATCH(CONCATENATE('Tabular Pop Data by Age'!$C116,'Tabular Pop Data by Age'!AA$7),'Population Data by Age'!$B$7:$B$10366,0),MATCH('Tabular Pop Data by Age'!$C$6,'Population Data by Age'!$B$6:$H$6,0))</f>
        <v>119000</v>
      </c>
      <c r="AB116" s="78">
        <f>INDEX('Population Data by Age'!$B$7:$H$10366,MATCH(CONCATENATE('Tabular Pop Data by Age'!$C116,'Tabular Pop Data by Age'!AB$7),'Population Data by Age'!$B$7:$B$10366,0),MATCH('Tabular Pop Data by Age'!$C$6,'Population Data by Age'!$B$6:$H$6,0))</f>
        <v>93000</v>
      </c>
      <c r="AC116" s="78">
        <f>INDEX('Population Data by Age'!$B$7:$H$10366,MATCH(CONCATENATE('Tabular Pop Data by Age'!$C116,'Tabular Pop Data by Age'!AC$7),'Population Data by Age'!$B$7:$B$10366,0),MATCH('Tabular Pop Data by Age'!$C$6,'Population Data by Age'!$B$6:$H$6,0))</f>
        <v>92000</v>
      </c>
      <c r="AD116" s="78">
        <f>INDEX('Population Data by Age'!$B$7:$H$10366,MATCH(CONCATENATE('Tabular Pop Data by Age'!$C116,'Tabular Pop Data by Age'!AD$7),'Population Data by Age'!$B$7:$B$10366,0),MATCH('Tabular Pop Data by Age'!$C$6,'Population Data by Age'!$B$6:$H$6,0))</f>
        <v>70000</v>
      </c>
      <c r="AE116" s="78">
        <f>INDEX('Population Data by Age'!$B$7:$H$10366,MATCH(CONCATENATE('Tabular Pop Data by Age'!$C116,'Tabular Pop Data by Age'!AE$7),'Population Data by Age'!$B$7:$B$10366,0),MATCH('Tabular Pop Data by Age'!$C$6,'Population Data by Age'!$B$6:$H$6,0))</f>
        <v>64000</v>
      </c>
      <c r="AF116" s="78">
        <f>INDEX('Population Data by Age'!$B$7:$H$10366,MATCH(CONCATENATE('Tabular Pop Data by Age'!$C116,'Tabular Pop Data by Age'!AF$7),'Population Data by Age'!$B$7:$B$10366,0),MATCH('Tabular Pop Data by Age'!$C$6,'Population Data by Age'!$B$6:$H$6,0))</f>
        <v>48000</v>
      </c>
      <c r="AG116" s="78">
        <f>INDEX('Population Data by Age'!$B$7:$H$10366,MATCH(CONCATENATE('Tabular Pop Data by Age'!$C116,'Tabular Pop Data by Age'!AG$7),'Population Data by Age'!$B$7:$B$10366,0),MATCH('Tabular Pop Data by Age'!$C$6,'Population Data by Age'!$B$6:$H$6,0))</f>
        <v>36000</v>
      </c>
      <c r="AH116" s="78">
        <f>INDEX('Population Data by Age'!$B$7:$H$10366,MATCH(CONCATENATE('Tabular Pop Data by Age'!$C116,'Tabular Pop Data by Age'!AH$7),'Population Data by Age'!$B$7:$B$10366,0),MATCH('Tabular Pop Data by Age'!$C$6,'Population Data by Age'!$B$6:$H$6,0))</f>
        <v>30000</v>
      </c>
      <c r="AI116" s="78">
        <f>INDEX('Population Data by Age'!$B$7:$H$10366,MATCH(CONCATENATE('Tabular Pop Data by Age'!$C116,'Tabular Pop Data by Age'!AI$7),'Population Data by Age'!$B$7:$B$10366,0),MATCH('Tabular Pop Data by Age'!$C$6,'Population Data by Age'!$B$6:$H$6,0))</f>
        <v>22000</v>
      </c>
      <c r="AJ116" s="78">
        <f>INDEX('Population Data by Age'!$B$7:$H$10366,MATCH(CONCATENATE('Tabular Pop Data by Age'!$C116,'Tabular Pop Data by Age'!AJ$7),'Population Data by Age'!$B$7:$B$10366,0),MATCH('Tabular Pop Data by Age'!$C$6,'Population Data by Age'!$B$6:$H$6,0))</f>
        <v>24000</v>
      </c>
      <c r="AK116" s="78">
        <f>INDEX('Population Data by Age'!$B$7:$H$10366,MATCH(CONCATENATE('Tabular Pop Data by Age'!$C116,'Tabular Pop Data by Age'!AK$7),'Population Data by Age'!$B$7:$B$10366,0),MATCH('Tabular Pop Data by Age'!$C$6,'Population Data by Age'!$B$6:$H$6,0))</f>
        <v>16000</v>
      </c>
      <c r="AL116" s="78">
        <f>INDEX('Population Data by Age'!$B$7:$H$10366,MATCH(CONCATENATE('Tabular Pop Data by Age'!$C116,'Tabular Pop Data by Age'!AL$7),'Population Data by Age'!$B$7:$B$10366,0),MATCH('Tabular Pop Data by Age'!$C$6,'Population Data by Age'!$B$6:$H$6,0))</f>
        <v>3624000</v>
      </c>
      <c r="AM116" s="78">
        <f>INDEX('Population Data by Age'!$B$7:$H$10366,MATCH(CONCATENATE('Tabular Pop Data by Age'!$C116,'Tabular Pop Data by Age'!AM$7),'Population Data by Age'!$B$7:$B$10366,0),MATCH('Tabular Pop Data by Age'!$C$6,'Population Data by Age'!$B$6:$H$6,0))</f>
        <v>3652000</v>
      </c>
      <c r="AN116" s="78">
        <f>INDEX('Population Data by Age'!$B$7:$H$10366,MATCH(CONCATENATE('Tabular Pop Data by Age'!$C116,'Tabular Pop Data by Age'!AN$7),'Population Data by Age'!$B$7:$B$10366,0),MATCH('Tabular Pop Data by Age'!$C$6,'Population Data by Age'!$B$6:$H$6,0))</f>
        <v>7276000</v>
      </c>
      <c r="AO116" s="78">
        <f>INDEX('Population Data by Age'!$B$7:$H$10366,MATCH(CONCATENATE('Tabular Pop Data by Age'!$C116,'Tabular Pop Data by Age'!AO$7),'Population Data by Age'!$B$7:$B$10366,0),MATCH('Tabular Pop Data by Age'!$C$6,'Population Data by Age'!$B$6:$H$6,0))</f>
        <v>0</v>
      </c>
      <c r="AP116" s="79">
        <f t="shared" si="17"/>
        <v>797000</v>
      </c>
      <c r="AQ116" s="79">
        <f t="shared" si="18"/>
        <v>770000</v>
      </c>
      <c r="AR116" s="79">
        <f t="shared" si="19"/>
        <v>757000</v>
      </c>
      <c r="AS116" s="79">
        <f t="shared" si="20"/>
        <v>709000</v>
      </c>
      <c r="AT116" s="79">
        <f t="shared" si="21"/>
        <v>692000</v>
      </c>
      <c r="AU116" s="79">
        <f t="shared" si="22"/>
        <v>671000</v>
      </c>
      <c r="AV116" s="79">
        <f t="shared" si="23"/>
        <v>591000</v>
      </c>
      <c r="AW116" s="79">
        <f t="shared" si="24"/>
        <v>495000</v>
      </c>
      <c r="AX116" s="79">
        <f t="shared" si="25"/>
        <v>417000</v>
      </c>
      <c r="AY116" s="79">
        <f t="shared" si="26"/>
        <v>356000</v>
      </c>
      <c r="AZ116" s="79">
        <f t="shared" si="27"/>
        <v>289000</v>
      </c>
      <c r="BA116" s="79">
        <f t="shared" si="28"/>
        <v>238000</v>
      </c>
      <c r="BB116" s="79">
        <f t="shared" si="29"/>
        <v>185000</v>
      </c>
      <c r="BC116" s="79">
        <f t="shared" si="30"/>
        <v>134000</v>
      </c>
      <c r="BD116" s="79">
        <f t="shared" si="31"/>
        <v>84000</v>
      </c>
      <c r="BE116" s="79">
        <f t="shared" si="32"/>
        <v>52000</v>
      </c>
      <c r="BF116" s="79">
        <f t="shared" si="33"/>
        <v>40000</v>
      </c>
    </row>
    <row r="117" spans="1:58" x14ac:dyDescent="0.25">
      <c r="A117" s="138" t="s">
        <v>1195</v>
      </c>
      <c r="B117" t="s">
        <v>549</v>
      </c>
      <c r="C117" t="s">
        <v>84</v>
      </c>
      <c r="D117" s="78">
        <f>INDEX('Population Data by Age'!$B$7:$H$10366,MATCH(CONCATENATE('Tabular Pop Data by Age'!$C117,'Tabular Pop Data by Age'!D$7),'Population Data by Age'!$B$7:$B$10366,0),MATCH('Tabular Pop Data by Age'!$C$6,'Population Data by Age'!$B$6:$H$6,0))</f>
        <v>55000</v>
      </c>
      <c r="E117" s="78">
        <f>INDEX('Population Data by Age'!$B$7:$H$10366,MATCH(CONCATENATE('Tabular Pop Data by Age'!$C117,'Tabular Pop Data by Age'!E$7),'Population Data by Age'!$B$7:$B$10366,0),MATCH('Tabular Pop Data by Age'!$C$6,'Population Data by Age'!$B$6:$H$6,0))</f>
        <v>60000</v>
      </c>
      <c r="F117" s="78">
        <f>INDEX('Population Data by Age'!$B$7:$H$10366,MATCH(CONCATENATE('Tabular Pop Data by Age'!$C117,'Tabular Pop Data by Age'!F$7),'Population Data by Age'!$B$7:$B$10366,0),MATCH('Tabular Pop Data by Age'!$C$6,'Population Data by Age'!$B$6:$H$6,0))</f>
        <v>45000</v>
      </c>
      <c r="G117" s="78">
        <f>INDEX('Population Data by Age'!$B$7:$H$10366,MATCH(CONCATENATE('Tabular Pop Data by Age'!$C117,'Tabular Pop Data by Age'!G$7),'Population Data by Age'!$B$7:$B$10366,0),MATCH('Tabular Pop Data by Age'!$C$6,'Population Data by Age'!$B$6:$H$6,0))</f>
        <v>49000</v>
      </c>
      <c r="H117" s="78">
        <f>INDEX('Population Data by Age'!$B$7:$H$10366,MATCH(CONCATENATE('Tabular Pop Data by Age'!$C117,'Tabular Pop Data by Age'!H$7),'Population Data by Age'!$B$7:$B$10366,0),MATCH('Tabular Pop Data by Age'!$C$6,'Population Data by Age'!$B$6:$H$6,0))</f>
        <v>50000</v>
      </c>
      <c r="I117" s="78">
        <f>INDEX('Population Data by Age'!$B$7:$H$10366,MATCH(CONCATENATE('Tabular Pop Data by Age'!$C117,'Tabular Pop Data by Age'!I$7),'Population Data by Age'!$B$7:$B$10366,0),MATCH('Tabular Pop Data by Age'!$C$6,'Population Data by Age'!$B$6:$H$6,0))</f>
        <v>53000</v>
      </c>
      <c r="J117" s="78">
        <f>INDEX('Population Data by Age'!$B$7:$H$10366,MATCH(CONCATENATE('Tabular Pop Data by Age'!$C117,'Tabular Pop Data by Age'!J$7),'Population Data by Age'!$B$7:$B$10366,0),MATCH('Tabular Pop Data by Age'!$C$6,'Population Data by Age'!$B$6:$H$6,0))</f>
        <v>43000</v>
      </c>
      <c r="K117" s="78">
        <f>INDEX('Population Data by Age'!$B$7:$H$10366,MATCH(CONCATENATE('Tabular Pop Data by Age'!$C117,'Tabular Pop Data by Age'!K$7),'Population Data by Age'!$B$7:$B$10366,0),MATCH('Tabular Pop Data by Age'!$C$6,'Population Data by Age'!$B$6:$H$6,0))</f>
        <v>44000</v>
      </c>
      <c r="L117" s="78">
        <f>INDEX('Population Data by Age'!$B$7:$H$10366,MATCH(CONCATENATE('Tabular Pop Data by Age'!$C117,'Tabular Pop Data by Age'!L$7),'Population Data by Age'!$B$7:$B$10366,0),MATCH('Tabular Pop Data by Age'!$C$6,'Population Data by Age'!$B$6:$H$6,0))</f>
        <v>34000</v>
      </c>
      <c r="M117" s="78">
        <f>INDEX('Population Data by Age'!$B$7:$H$10366,MATCH(CONCATENATE('Tabular Pop Data by Age'!$C117,'Tabular Pop Data by Age'!M$7),'Population Data by Age'!$B$7:$B$10366,0),MATCH('Tabular Pop Data by Age'!$C$6,'Population Data by Age'!$B$6:$H$6,0))</f>
        <v>37000</v>
      </c>
      <c r="N117" s="78">
        <f>INDEX('Population Data by Age'!$B$7:$H$10366,MATCH(CONCATENATE('Tabular Pop Data by Age'!$C117,'Tabular Pop Data by Age'!N$7),'Population Data by Age'!$B$7:$B$10366,0),MATCH('Tabular Pop Data by Age'!$C$6,'Population Data by Age'!$B$6:$H$6,0))</f>
        <v>58000</v>
      </c>
      <c r="O117" s="78">
        <f>INDEX('Population Data by Age'!$B$7:$H$10366,MATCH(CONCATENATE('Tabular Pop Data by Age'!$C117,'Tabular Pop Data by Age'!O$7),'Population Data by Age'!$B$7:$B$10366,0),MATCH('Tabular Pop Data by Age'!$C$6,'Population Data by Age'!$B$6:$H$6,0))</f>
        <v>62000</v>
      </c>
      <c r="P117" s="78">
        <f>INDEX('Population Data by Age'!$B$7:$H$10366,MATCH(CONCATENATE('Tabular Pop Data by Age'!$C117,'Tabular Pop Data by Age'!P$7),'Population Data by Age'!$B$7:$B$10366,0),MATCH('Tabular Pop Data by Age'!$C$6,'Population Data by Age'!$B$6:$H$6,0))</f>
        <v>70000</v>
      </c>
      <c r="Q117" s="78">
        <f>INDEX('Population Data by Age'!$B$7:$H$10366,MATCH(CONCATENATE('Tabular Pop Data by Age'!$C117,'Tabular Pop Data by Age'!Q$7),'Population Data by Age'!$B$7:$B$10366,0),MATCH('Tabular Pop Data by Age'!$C$6,'Population Data by Age'!$B$6:$H$6,0))</f>
        <v>73000</v>
      </c>
      <c r="R117" s="78">
        <f>INDEX('Population Data by Age'!$B$7:$H$10366,MATCH(CONCATENATE('Tabular Pop Data by Age'!$C117,'Tabular Pop Data by Age'!R$7),'Population Data by Age'!$B$7:$B$10366,0),MATCH('Tabular Pop Data by Age'!$C$6,'Population Data by Age'!$B$6:$H$6,0))</f>
        <v>60000</v>
      </c>
      <c r="S117" s="78">
        <f>INDEX('Population Data by Age'!$B$7:$H$10366,MATCH(CONCATENATE('Tabular Pop Data by Age'!$C117,'Tabular Pop Data by Age'!S$7),'Population Data by Age'!$B$7:$B$10366,0),MATCH('Tabular Pop Data by Age'!$C$6,'Population Data by Age'!$B$6:$H$6,0))</f>
        <v>62000</v>
      </c>
      <c r="T117" s="78">
        <f>INDEX('Population Data by Age'!$B$7:$H$10366,MATCH(CONCATENATE('Tabular Pop Data by Age'!$C117,'Tabular Pop Data by Age'!T$7),'Population Data by Age'!$B$7:$B$10366,0),MATCH('Tabular Pop Data by Age'!$C$6,'Population Data by Age'!$B$6:$H$6,0))</f>
        <v>62000</v>
      </c>
      <c r="U117" s="78">
        <f>INDEX('Population Data by Age'!$B$7:$H$10366,MATCH(CONCATENATE('Tabular Pop Data by Age'!$C117,'Tabular Pop Data by Age'!U$7),'Population Data by Age'!$B$7:$B$10366,0),MATCH('Tabular Pop Data by Age'!$C$6,'Population Data by Age'!$B$6:$H$6,0))</f>
        <v>60000</v>
      </c>
      <c r="V117" s="78">
        <f>INDEX('Population Data by Age'!$B$7:$H$10366,MATCH(CONCATENATE('Tabular Pop Data by Age'!$C117,'Tabular Pop Data by Age'!V$7),'Population Data by Age'!$B$7:$B$10366,0),MATCH('Tabular Pop Data by Age'!$C$6,'Population Data by Age'!$B$6:$H$6,0))</f>
        <v>69000</v>
      </c>
      <c r="W117" s="78">
        <f>INDEX('Population Data by Age'!$B$7:$H$10366,MATCH(CONCATENATE('Tabular Pop Data by Age'!$C117,'Tabular Pop Data by Age'!W$7),'Population Data by Age'!$B$7:$B$10366,0),MATCH('Tabular Pop Data by Age'!$C$6,'Population Data by Age'!$B$6:$H$6,0))</f>
        <v>65000</v>
      </c>
      <c r="X117" s="78">
        <f>INDEX('Population Data by Age'!$B$7:$H$10366,MATCH(CONCATENATE('Tabular Pop Data by Age'!$C117,'Tabular Pop Data by Age'!X$7),'Population Data by Age'!$B$7:$B$10366,0),MATCH('Tabular Pop Data by Age'!$C$6,'Population Data by Age'!$B$6:$H$6,0))</f>
        <v>63000</v>
      </c>
      <c r="Y117" s="78">
        <f>INDEX('Population Data by Age'!$B$7:$H$10366,MATCH(CONCATENATE('Tabular Pop Data by Age'!$C117,'Tabular Pop Data by Age'!Y$7),'Population Data by Age'!$B$7:$B$10366,0),MATCH('Tabular Pop Data by Age'!$C$6,'Population Data by Age'!$B$6:$H$6,0))</f>
        <v>57000</v>
      </c>
      <c r="Z117" s="78">
        <f>INDEX('Population Data by Age'!$B$7:$H$10366,MATCH(CONCATENATE('Tabular Pop Data by Age'!$C117,'Tabular Pop Data by Age'!Z$7),'Population Data by Age'!$B$7:$B$10366,0),MATCH('Tabular Pop Data by Age'!$C$6,'Population Data by Age'!$B$6:$H$6,0))</f>
        <v>79000</v>
      </c>
      <c r="AA117" s="78">
        <f>INDEX('Population Data by Age'!$B$7:$H$10366,MATCH(CONCATENATE('Tabular Pop Data by Age'!$C117,'Tabular Pop Data by Age'!AA$7),'Population Data by Age'!$B$7:$B$10366,0),MATCH('Tabular Pop Data by Age'!$C$6,'Population Data by Age'!$B$6:$H$6,0))</f>
        <v>67000</v>
      </c>
      <c r="AB117" s="78">
        <f>INDEX('Population Data by Age'!$B$7:$H$10366,MATCH(CONCATENATE('Tabular Pop Data by Age'!$C117,'Tabular Pop Data by Age'!AB$7),'Population Data by Age'!$B$7:$B$10366,0),MATCH('Tabular Pop Data by Age'!$C$6,'Population Data by Age'!$B$6:$H$6,0))</f>
        <v>74000</v>
      </c>
      <c r="AC117" s="78">
        <f>INDEX('Population Data by Age'!$B$7:$H$10366,MATCH(CONCATENATE('Tabular Pop Data by Age'!$C117,'Tabular Pop Data by Age'!AC$7),'Population Data by Age'!$B$7:$B$10366,0),MATCH('Tabular Pop Data by Age'!$C$6,'Population Data by Age'!$B$6:$H$6,0))</f>
        <v>57000</v>
      </c>
      <c r="AD117" s="78">
        <f>INDEX('Population Data by Age'!$B$7:$H$10366,MATCH(CONCATENATE('Tabular Pop Data by Age'!$C117,'Tabular Pop Data by Age'!AD$7),'Population Data by Age'!$B$7:$B$10366,0),MATCH('Tabular Pop Data by Age'!$C$6,'Population Data by Age'!$B$6:$H$6,0))</f>
        <v>73000</v>
      </c>
      <c r="AE117" s="78">
        <f>INDEX('Population Data by Age'!$B$7:$H$10366,MATCH(CONCATENATE('Tabular Pop Data by Age'!$C117,'Tabular Pop Data by Age'!AE$7),'Population Data by Age'!$B$7:$B$10366,0),MATCH('Tabular Pop Data by Age'!$C$6,'Population Data by Age'!$B$6:$H$6,0))</f>
        <v>48000</v>
      </c>
      <c r="AF117" s="78">
        <f>INDEX('Population Data by Age'!$B$7:$H$10366,MATCH(CONCATENATE('Tabular Pop Data by Age'!$C117,'Tabular Pop Data by Age'!AF$7),'Population Data by Age'!$B$7:$B$10366,0),MATCH('Tabular Pop Data by Age'!$C$6,'Population Data by Age'!$B$6:$H$6,0))</f>
        <v>48000</v>
      </c>
      <c r="AG117" s="78">
        <f>INDEX('Population Data by Age'!$B$7:$H$10366,MATCH(CONCATENATE('Tabular Pop Data by Age'!$C117,'Tabular Pop Data by Age'!AG$7),'Population Data by Age'!$B$7:$B$10366,0),MATCH('Tabular Pop Data by Age'!$C$6,'Population Data by Age'!$B$6:$H$6,0))</f>
        <v>27000</v>
      </c>
      <c r="AH117" s="78">
        <f>INDEX('Population Data by Age'!$B$7:$H$10366,MATCH(CONCATENATE('Tabular Pop Data by Age'!$C117,'Tabular Pop Data by Age'!AH$7),'Population Data by Age'!$B$7:$B$10366,0),MATCH('Tabular Pop Data by Age'!$C$6,'Population Data by Age'!$B$6:$H$6,0))</f>
        <v>61000</v>
      </c>
      <c r="AI117" s="78">
        <f>INDEX('Population Data by Age'!$B$7:$H$10366,MATCH(CONCATENATE('Tabular Pop Data by Age'!$C117,'Tabular Pop Data by Age'!AI$7),'Population Data by Age'!$B$7:$B$10366,0),MATCH('Tabular Pop Data by Age'!$C$6,'Population Data by Age'!$B$6:$H$6,0))</f>
        <v>28000</v>
      </c>
      <c r="AJ117" s="78">
        <f>INDEX('Population Data by Age'!$B$7:$H$10366,MATCH(CONCATENATE('Tabular Pop Data by Age'!$C117,'Tabular Pop Data by Age'!AJ$7),'Population Data by Age'!$B$7:$B$10366,0),MATCH('Tabular Pop Data by Age'!$C$6,'Population Data by Age'!$B$6:$H$6,0))</f>
        <v>81000</v>
      </c>
      <c r="AK117" s="78">
        <f>INDEX('Population Data by Age'!$B$7:$H$10366,MATCH(CONCATENATE('Tabular Pop Data by Age'!$C117,'Tabular Pop Data by Age'!AK$7),'Population Data by Age'!$B$7:$B$10366,0),MATCH('Tabular Pop Data by Age'!$C$6,'Population Data by Age'!$B$6:$H$6,0))</f>
        <v>27000</v>
      </c>
      <c r="AL117" s="78">
        <f>INDEX('Population Data by Age'!$B$7:$H$10366,MATCH(CONCATENATE('Tabular Pop Data by Age'!$C117,'Tabular Pop Data by Age'!AL$7),'Population Data by Age'!$B$7:$B$10366,0),MATCH('Tabular Pop Data by Age'!$C$6,'Population Data by Age'!$B$6:$H$6,0))</f>
        <v>1027000</v>
      </c>
      <c r="AM117" s="78">
        <f>INDEX('Population Data by Age'!$B$7:$H$10366,MATCH(CONCATENATE('Tabular Pop Data by Age'!$C117,'Tabular Pop Data by Age'!AM$7),'Population Data by Age'!$B$7:$B$10366,0),MATCH('Tabular Pop Data by Age'!$C$6,'Population Data by Age'!$B$6:$H$6,0))</f>
        <v>878000</v>
      </c>
      <c r="AN117" s="78">
        <f>INDEX('Population Data by Age'!$B$7:$H$10366,MATCH(CONCATENATE('Tabular Pop Data by Age'!$C117,'Tabular Pop Data by Age'!AN$7),'Population Data by Age'!$B$7:$B$10366,0),MATCH('Tabular Pop Data by Age'!$C$6,'Population Data by Age'!$B$6:$H$6,0))</f>
        <v>1905000</v>
      </c>
      <c r="AO117" s="78">
        <f>INDEX('Population Data by Age'!$B$7:$H$10366,MATCH(CONCATENATE('Tabular Pop Data by Age'!$C117,'Tabular Pop Data by Age'!AO$7),'Population Data by Age'!$B$7:$B$10366,0),MATCH('Tabular Pop Data by Age'!$C$6,'Population Data by Age'!$B$6:$H$6,0))</f>
        <v>0</v>
      </c>
      <c r="AP117" s="79">
        <f t="shared" si="17"/>
        <v>115000</v>
      </c>
      <c r="AQ117" s="79">
        <f t="shared" si="18"/>
        <v>94000</v>
      </c>
      <c r="AR117" s="79">
        <f t="shared" si="19"/>
        <v>103000</v>
      </c>
      <c r="AS117" s="79">
        <f t="shared" si="20"/>
        <v>87000</v>
      </c>
      <c r="AT117" s="79">
        <f t="shared" si="21"/>
        <v>71000</v>
      </c>
      <c r="AU117" s="79">
        <f t="shared" si="22"/>
        <v>120000</v>
      </c>
      <c r="AV117" s="79">
        <f t="shared" si="23"/>
        <v>143000</v>
      </c>
      <c r="AW117" s="79">
        <f t="shared" si="24"/>
        <v>122000</v>
      </c>
      <c r="AX117" s="79">
        <f t="shared" si="25"/>
        <v>122000</v>
      </c>
      <c r="AY117" s="79">
        <f t="shared" si="26"/>
        <v>134000</v>
      </c>
      <c r="AZ117" s="79">
        <f t="shared" si="27"/>
        <v>120000</v>
      </c>
      <c r="BA117" s="79">
        <f t="shared" si="28"/>
        <v>146000</v>
      </c>
      <c r="BB117" s="79">
        <f t="shared" si="29"/>
        <v>131000</v>
      </c>
      <c r="BC117" s="79">
        <f t="shared" si="30"/>
        <v>121000</v>
      </c>
      <c r="BD117" s="79">
        <f t="shared" si="31"/>
        <v>75000</v>
      </c>
      <c r="BE117" s="79">
        <f t="shared" si="32"/>
        <v>89000</v>
      </c>
      <c r="BF117" s="79">
        <f t="shared" si="33"/>
        <v>108000</v>
      </c>
    </row>
    <row r="118" spans="1:58" x14ac:dyDescent="0.25">
      <c r="A118" s="138" t="s">
        <v>1195</v>
      </c>
      <c r="B118" t="s">
        <v>552</v>
      </c>
      <c r="C118" t="s">
        <v>77</v>
      </c>
      <c r="D118" s="78">
        <f>INDEX('Population Data by Age'!$B$7:$H$10366,MATCH(CONCATENATE('Tabular Pop Data by Age'!$C118,'Tabular Pop Data by Age'!D$7),'Population Data by Age'!$B$7:$B$10366,0),MATCH('Tabular Pop Data by Age'!$C$6,'Population Data by Age'!$B$6:$H$6,0))</f>
        <v>277000</v>
      </c>
      <c r="E118" s="78">
        <f>INDEX('Population Data by Age'!$B$7:$H$10366,MATCH(CONCATENATE('Tabular Pop Data by Age'!$C118,'Tabular Pop Data by Age'!E$7),'Population Data by Age'!$B$7:$B$10366,0),MATCH('Tabular Pop Data by Age'!$C$6,'Population Data by Age'!$B$6:$H$6,0))</f>
        <v>289000</v>
      </c>
      <c r="F118" s="78">
        <f>INDEX('Population Data by Age'!$B$7:$H$10366,MATCH(CONCATENATE('Tabular Pop Data by Age'!$C118,'Tabular Pop Data by Age'!F$7),'Population Data by Age'!$B$7:$B$10366,0),MATCH('Tabular Pop Data by Age'!$C$6,'Population Data by Age'!$B$6:$H$6,0))</f>
        <v>279000</v>
      </c>
      <c r="G118" s="78">
        <f>INDEX('Population Data by Age'!$B$7:$H$10366,MATCH(CONCATENATE('Tabular Pop Data by Age'!$C118,'Tabular Pop Data by Age'!G$7),'Population Data by Age'!$B$7:$B$10366,0),MATCH('Tabular Pop Data by Age'!$C$6,'Population Data by Age'!$B$6:$H$6,0))</f>
        <v>307000</v>
      </c>
      <c r="H118" s="78">
        <f>INDEX('Population Data by Age'!$B$7:$H$10366,MATCH(CONCATENATE('Tabular Pop Data by Age'!$C118,'Tabular Pop Data by Age'!H$7),'Population Data by Age'!$B$7:$B$10366,0),MATCH('Tabular Pop Data by Age'!$C$6,'Population Data by Age'!$B$6:$H$6,0))</f>
        <v>265000</v>
      </c>
      <c r="I118" s="78">
        <f>INDEX('Population Data by Age'!$B$7:$H$10366,MATCH(CONCATENATE('Tabular Pop Data by Age'!$C118,'Tabular Pop Data by Age'!I$7),'Population Data by Age'!$B$7:$B$10366,0),MATCH('Tabular Pop Data by Age'!$C$6,'Population Data by Age'!$B$6:$H$6,0))</f>
        <v>294000</v>
      </c>
      <c r="J118" s="78">
        <f>INDEX('Population Data by Age'!$B$7:$H$10366,MATCH(CONCATENATE('Tabular Pop Data by Age'!$C118,'Tabular Pop Data by Age'!J$7),'Population Data by Age'!$B$7:$B$10366,0),MATCH('Tabular Pop Data by Age'!$C$6,'Population Data by Age'!$B$6:$H$6,0))</f>
        <v>285000</v>
      </c>
      <c r="K118" s="78">
        <f>INDEX('Population Data by Age'!$B$7:$H$10366,MATCH(CONCATENATE('Tabular Pop Data by Age'!$C118,'Tabular Pop Data by Age'!K$7),'Population Data by Age'!$B$7:$B$10366,0),MATCH('Tabular Pop Data by Age'!$C$6,'Population Data by Age'!$B$6:$H$6,0))</f>
        <v>291000</v>
      </c>
      <c r="L118" s="78">
        <f>INDEX('Population Data by Age'!$B$7:$H$10366,MATCH(CONCATENATE('Tabular Pop Data by Age'!$C118,'Tabular Pop Data by Age'!L$7),'Population Data by Age'!$B$7:$B$10366,0),MATCH('Tabular Pop Data by Age'!$C$6,'Population Data by Age'!$B$6:$H$6,0))</f>
        <v>299000</v>
      </c>
      <c r="M118" s="78">
        <f>INDEX('Population Data by Age'!$B$7:$H$10366,MATCH(CONCATENATE('Tabular Pop Data by Age'!$C118,'Tabular Pop Data by Age'!M$7),'Population Data by Age'!$B$7:$B$10366,0),MATCH('Tabular Pop Data by Age'!$C$6,'Population Data by Age'!$B$6:$H$6,0))</f>
        <v>294000</v>
      </c>
      <c r="N118" s="78">
        <f>INDEX('Population Data by Age'!$B$7:$H$10366,MATCH(CONCATENATE('Tabular Pop Data by Age'!$C118,'Tabular Pop Data by Age'!N$7),'Population Data by Age'!$B$7:$B$10366,0),MATCH('Tabular Pop Data by Age'!$C$6,'Population Data by Age'!$B$6:$H$6,0))</f>
        <v>303000</v>
      </c>
      <c r="O118" s="78">
        <f>INDEX('Population Data by Age'!$B$7:$H$10366,MATCH(CONCATENATE('Tabular Pop Data by Age'!$C118,'Tabular Pop Data by Age'!O$7),'Population Data by Age'!$B$7:$B$10366,0),MATCH('Tabular Pop Data by Age'!$C$6,'Population Data by Age'!$B$6:$H$6,0))</f>
        <v>280000</v>
      </c>
      <c r="P118" s="78">
        <f>INDEX('Population Data by Age'!$B$7:$H$10366,MATCH(CONCATENATE('Tabular Pop Data by Age'!$C118,'Tabular Pop Data by Age'!P$7),'Population Data by Age'!$B$7:$B$10366,0),MATCH('Tabular Pop Data by Age'!$C$6,'Population Data by Age'!$B$6:$H$6,0))</f>
        <v>282000</v>
      </c>
      <c r="Q118" s="78">
        <f>INDEX('Population Data by Age'!$B$7:$H$10366,MATCH(CONCATENATE('Tabular Pop Data by Age'!$C118,'Tabular Pop Data by Age'!Q$7),'Population Data by Age'!$B$7:$B$10366,0),MATCH('Tabular Pop Data by Age'!$C$6,'Population Data by Age'!$B$6:$H$6,0))</f>
        <v>240000</v>
      </c>
      <c r="R118" s="78">
        <f>INDEX('Population Data by Age'!$B$7:$H$10366,MATCH(CONCATENATE('Tabular Pop Data by Age'!$C118,'Tabular Pop Data by Age'!R$7),'Population Data by Age'!$B$7:$B$10366,0),MATCH('Tabular Pop Data by Age'!$C$6,'Population Data by Age'!$B$6:$H$6,0))</f>
        <v>259000</v>
      </c>
      <c r="S118" s="78">
        <f>INDEX('Population Data by Age'!$B$7:$H$10366,MATCH(CONCATENATE('Tabular Pop Data by Age'!$C118,'Tabular Pop Data by Age'!S$7),'Population Data by Age'!$B$7:$B$10366,0),MATCH('Tabular Pop Data by Age'!$C$6,'Population Data by Age'!$B$6:$H$6,0))</f>
        <v>229000</v>
      </c>
      <c r="T118" s="78">
        <f>INDEX('Population Data by Age'!$B$7:$H$10366,MATCH(CONCATENATE('Tabular Pop Data by Age'!$C118,'Tabular Pop Data by Age'!T$7),'Population Data by Age'!$B$7:$B$10366,0),MATCH('Tabular Pop Data by Age'!$C$6,'Population Data by Age'!$B$6:$H$6,0))</f>
        <v>229000</v>
      </c>
      <c r="U118" s="78">
        <f>INDEX('Population Data by Age'!$B$7:$H$10366,MATCH(CONCATENATE('Tabular Pop Data by Age'!$C118,'Tabular Pop Data by Age'!U$7),'Population Data by Age'!$B$7:$B$10366,0),MATCH('Tabular Pop Data by Age'!$C$6,'Population Data by Age'!$B$6:$H$6,0))</f>
        <v>224000</v>
      </c>
      <c r="V118" s="78">
        <f>INDEX('Population Data by Age'!$B$7:$H$10366,MATCH(CONCATENATE('Tabular Pop Data by Age'!$C118,'Tabular Pop Data by Age'!V$7),'Population Data by Age'!$B$7:$B$10366,0),MATCH('Tabular Pop Data by Age'!$C$6,'Population Data by Age'!$B$6:$H$6,0))</f>
        <v>203000</v>
      </c>
      <c r="W118" s="78">
        <f>INDEX('Population Data by Age'!$B$7:$H$10366,MATCH(CONCATENATE('Tabular Pop Data by Age'!$C118,'Tabular Pop Data by Age'!W$7),'Population Data by Age'!$B$7:$B$10366,0),MATCH('Tabular Pop Data by Age'!$C$6,'Population Data by Age'!$B$6:$H$6,0))</f>
        <v>207000</v>
      </c>
      <c r="X118" s="78">
        <f>INDEX('Population Data by Age'!$B$7:$H$10366,MATCH(CONCATENATE('Tabular Pop Data by Age'!$C118,'Tabular Pop Data by Age'!X$7),'Population Data by Age'!$B$7:$B$10366,0),MATCH('Tabular Pop Data by Age'!$C$6,'Population Data by Age'!$B$6:$H$6,0))</f>
        <v>177000</v>
      </c>
      <c r="Y118" s="78">
        <f>INDEX('Population Data by Age'!$B$7:$H$10366,MATCH(CONCATENATE('Tabular Pop Data by Age'!$C118,'Tabular Pop Data by Age'!Y$7),'Population Data by Age'!$B$7:$B$10366,0),MATCH('Tabular Pop Data by Age'!$C$6,'Population Data by Age'!$B$6:$H$6,0))</f>
        <v>213000</v>
      </c>
      <c r="Z118" s="78">
        <f>INDEX('Population Data by Age'!$B$7:$H$10366,MATCH(CONCATENATE('Tabular Pop Data by Age'!$C118,'Tabular Pop Data by Age'!Z$7),'Population Data by Age'!$B$7:$B$10366,0),MATCH('Tabular Pop Data by Age'!$C$6,'Population Data by Age'!$B$6:$H$6,0))</f>
        <v>137000</v>
      </c>
      <c r="AA118" s="78">
        <f>INDEX('Population Data by Age'!$B$7:$H$10366,MATCH(CONCATENATE('Tabular Pop Data by Age'!$C118,'Tabular Pop Data by Age'!AA$7),'Population Data by Age'!$B$7:$B$10366,0),MATCH('Tabular Pop Data by Age'!$C$6,'Population Data by Age'!$B$6:$H$6,0))</f>
        <v>198000</v>
      </c>
      <c r="AB118" s="78">
        <f>INDEX('Population Data by Age'!$B$7:$H$10366,MATCH(CONCATENATE('Tabular Pop Data by Age'!$C118,'Tabular Pop Data by Age'!AB$7),'Population Data by Age'!$B$7:$B$10366,0),MATCH('Tabular Pop Data by Age'!$C$6,'Population Data by Age'!$B$6:$H$6,0))</f>
        <v>115000</v>
      </c>
      <c r="AC118" s="78">
        <f>INDEX('Population Data by Age'!$B$7:$H$10366,MATCH(CONCATENATE('Tabular Pop Data by Age'!$C118,'Tabular Pop Data by Age'!AC$7),'Population Data by Age'!$B$7:$B$10366,0),MATCH('Tabular Pop Data by Age'!$C$6,'Population Data by Age'!$B$6:$H$6,0))</f>
        <v>134000</v>
      </c>
      <c r="AD118" s="78">
        <f>INDEX('Population Data by Age'!$B$7:$H$10366,MATCH(CONCATENATE('Tabular Pop Data by Age'!$C118,'Tabular Pop Data by Age'!AD$7),'Population Data by Age'!$B$7:$B$10366,0),MATCH('Tabular Pop Data by Age'!$C$6,'Population Data by Age'!$B$6:$H$6,0))</f>
        <v>107000</v>
      </c>
      <c r="AE118" s="78">
        <f>INDEX('Population Data by Age'!$B$7:$H$10366,MATCH(CONCATENATE('Tabular Pop Data by Age'!$C118,'Tabular Pop Data by Age'!AE$7),'Population Data by Age'!$B$7:$B$10366,0),MATCH('Tabular Pop Data by Age'!$C$6,'Population Data by Age'!$B$6:$H$6,0))</f>
        <v>92000</v>
      </c>
      <c r="AF118" s="78">
        <f>INDEX('Population Data by Age'!$B$7:$H$10366,MATCH(CONCATENATE('Tabular Pop Data by Age'!$C118,'Tabular Pop Data by Age'!AF$7),'Population Data by Age'!$B$7:$B$10366,0),MATCH('Tabular Pop Data by Age'!$C$6,'Population Data by Age'!$B$6:$H$6,0))</f>
        <v>69000</v>
      </c>
      <c r="AG118" s="78">
        <f>INDEX('Population Data by Age'!$B$7:$H$10366,MATCH(CONCATENATE('Tabular Pop Data by Age'!$C118,'Tabular Pop Data by Age'!AG$7),'Population Data by Age'!$B$7:$B$10366,0),MATCH('Tabular Pop Data by Age'!$C$6,'Population Data by Age'!$B$6:$H$6,0))</f>
        <v>63000</v>
      </c>
      <c r="AH118" s="78">
        <f>INDEX('Population Data by Age'!$B$7:$H$10366,MATCH(CONCATENATE('Tabular Pop Data by Age'!$C118,'Tabular Pop Data by Age'!AH$7),'Population Data by Age'!$B$7:$B$10366,0),MATCH('Tabular Pop Data by Age'!$C$6,'Population Data by Age'!$B$6:$H$6,0))</f>
        <v>41000</v>
      </c>
      <c r="AI118" s="78">
        <f>INDEX('Population Data by Age'!$B$7:$H$10366,MATCH(CONCATENATE('Tabular Pop Data by Age'!$C118,'Tabular Pop Data by Age'!AI$7),'Population Data by Age'!$B$7:$B$10366,0),MATCH('Tabular Pop Data by Age'!$C$6,'Population Data by Age'!$B$6:$H$6,0))</f>
        <v>39000</v>
      </c>
      <c r="AJ118" s="78">
        <f>INDEX('Population Data by Age'!$B$7:$H$10366,MATCH(CONCATENATE('Tabular Pop Data by Age'!$C118,'Tabular Pop Data by Age'!AJ$7),'Population Data by Age'!$B$7:$B$10366,0),MATCH('Tabular Pop Data by Age'!$C$6,'Population Data by Age'!$B$6:$H$6,0))</f>
        <v>63000</v>
      </c>
      <c r="AK118" s="78">
        <f>INDEX('Population Data by Age'!$B$7:$H$10366,MATCH(CONCATENATE('Tabular Pop Data by Age'!$C118,'Tabular Pop Data by Age'!AK$7),'Population Data by Age'!$B$7:$B$10366,0),MATCH('Tabular Pop Data by Age'!$C$6,'Population Data by Age'!$B$6:$H$6,0))</f>
        <v>42000</v>
      </c>
      <c r="AL118" s="78">
        <f>INDEX('Population Data by Age'!$B$7:$H$10366,MATCH(CONCATENATE('Tabular Pop Data by Age'!$C118,'Tabular Pop Data by Age'!AL$7),'Population Data by Age'!$B$7:$B$10366,0),MATCH('Tabular Pop Data by Age'!$C$6,'Population Data by Age'!$B$6:$H$6,0))</f>
        <v>3390000</v>
      </c>
      <c r="AM118" s="78">
        <f>INDEX('Population Data by Age'!$B$7:$H$10366,MATCH(CONCATENATE('Tabular Pop Data by Age'!$C118,'Tabular Pop Data by Age'!AM$7),'Population Data by Age'!$B$7:$B$10366,0),MATCH('Tabular Pop Data by Age'!$C$6,'Population Data by Age'!$B$6:$H$6,0))</f>
        <v>3436000</v>
      </c>
      <c r="AN118" s="78">
        <f>INDEX('Population Data by Age'!$B$7:$H$10366,MATCH(CONCATENATE('Tabular Pop Data by Age'!$C118,'Tabular Pop Data by Age'!AN$7),'Population Data by Age'!$B$7:$B$10366,0),MATCH('Tabular Pop Data by Age'!$C$6,'Population Data by Age'!$B$6:$H$6,0))</f>
        <v>6825000</v>
      </c>
      <c r="AO118" s="78">
        <f>INDEX('Population Data by Age'!$B$7:$H$10366,MATCH(CONCATENATE('Tabular Pop Data by Age'!$C118,'Tabular Pop Data by Age'!AO$7),'Population Data by Age'!$B$7:$B$10366,0),MATCH('Tabular Pop Data by Age'!$C$6,'Population Data by Age'!$B$6:$H$6,0))</f>
        <v>0</v>
      </c>
      <c r="AP118" s="79">
        <f t="shared" ref="AP118:AP166" si="34">SUM(D118:E118)</f>
        <v>566000</v>
      </c>
      <c r="AQ118" s="79">
        <f t="shared" ref="AQ118:AQ166" si="35">SUM(F118:G118)</f>
        <v>586000</v>
      </c>
      <c r="AR118" s="79">
        <f t="shared" ref="AR118:AR166" si="36">SUM(H118:I118)</f>
        <v>559000</v>
      </c>
      <c r="AS118" s="79">
        <f t="shared" ref="AS118:AS166" si="37">SUM(J118:K118)</f>
        <v>576000</v>
      </c>
      <c r="AT118" s="79">
        <f t="shared" ref="AT118:AT166" si="38">SUM(L118+M118)</f>
        <v>593000</v>
      </c>
      <c r="AU118" s="79">
        <f t="shared" ref="AU118:AU166" si="39">SUM(N118:O118)</f>
        <v>583000</v>
      </c>
      <c r="AV118" s="79">
        <f t="shared" ref="AV118:AV166" si="40">SUM(P118:Q118)</f>
        <v>522000</v>
      </c>
      <c r="AW118" s="79">
        <f t="shared" ref="AW118:AW166" si="41">SUM(R118:S118)</f>
        <v>488000</v>
      </c>
      <c r="AX118" s="79">
        <f t="shared" ref="AX118:AX166" si="42">SUM(T118:U118)</f>
        <v>453000</v>
      </c>
      <c r="AY118" s="79">
        <f t="shared" ref="AY118:AY166" si="43">SUM(V118:W118)</f>
        <v>410000</v>
      </c>
      <c r="AZ118" s="79">
        <f t="shared" ref="AZ118:AZ166" si="44">SUM(X118:Y118)</f>
        <v>390000</v>
      </c>
      <c r="BA118" s="79">
        <f t="shared" ref="BA118:BA166" si="45">SUM(Z118:AA118)</f>
        <v>335000</v>
      </c>
      <c r="BB118" s="79">
        <f t="shared" ref="BB118:BB166" si="46">SUM(AB118:AC118)</f>
        <v>249000</v>
      </c>
      <c r="BC118" s="79">
        <f t="shared" ref="BC118:BC166" si="47">SUM(AD118:AE118)</f>
        <v>199000</v>
      </c>
      <c r="BD118" s="79">
        <f t="shared" ref="BD118:BD166" si="48">SUM(AF118:AG118)</f>
        <v>132000</v>
      </c>
      <c r="BE118" s="79">
        <f t="shared" ref="BE118:BE166" si="49">SUM(AH118:AI118)</f>
        <v>80000</v>
      </c>
      <c r="BF118" s="79">
        <f t="shared" ref="BF118:BF166" si="50">SUM(AJ118:AK118)</f>
        <v>105000</v>
      </c>
    </row>
    <row r="119" spans="1:58" x14ac:dyDescent="0.25">
      <c r="A119" s="138" t="s">
        <v>1195</v>
      </c>
      <c r="B119" t="s">
        <v>200</v>
      </c>
      <c r="C119" t="s">
        <v>167</v>
      </c>
      <c r="D119" s="78">
        <f>INDEX('Population Data by Age'!$B$7:$H$10366,MATCH(CONCATENATE('Tabular Pop Data by Age'!$C119,'Tabular Pop Data by Age'!D$7),'Population Data by Age'!$B$7:$B$10366,0),MATCH('Tabular Pop Data by Age'!$C$6,'Population Data by Age'!$B$6:$H$6,0))</f>
        <v>126000</v>
      </c>
      <c r="E119" s="78">
        <f>INDEX('Population Data by Age'!$B$7:$H$10366,MATCH(CONCATENATE('Tabular Pop Data by Age'!$C119,'Tabular Pop Data by Age'!E$7),'Population Data by Age'!$B$7:$B$10366,0),MATCH('Tabular Pop Data by Age'!$C$6,'Population Data by Age'!$B$6:$H$6,0))</f>
        <v>128000</v>
      </c>
      <c r="F119" s="78">
        <f>INDEX('Population Data by Age'!$B$7:$H$10366,MATCH(CONCATENATE('Tabular Pop Data by Age'!$C119,'Tabular Pop Data by Age'!F$7),'Population Data by Age'!$B$7:$B$10366,0),MATCH('Tabular Pop Data by Age'!$C$6,'Population Data by Age'!$B$6:$H$6,0))</f>
        <v>113000</v>
      </c>
      <c r="G119" s="78">
        <f>INDEX('Population Data by Age'!$B$7:$H$10366,MATCH(CONCATENATE('Tabular Pop Data by Age'!$C119,'Tabular Pop Data by Age'!G$7),'Population Data by Age'!$B$7:$B$10366,0),MATCH('Tabular Pop Data by Age'!$C$6,'Population Data by Age'!$B$6:$H$6,0))</f>
        <v>113000</v>
      </c>
      <c r="H119" s="78">
        <f>INDEX('Population Data by Age'!$B$7:$H$10366,MATCH(CONCATENATE('Tabular Pop Data by Age'!$C119,'Tabular Pop Data by Age'!H$7),'Population Data by Age'!$B$7:$B$10366,0),MATCH('Tabular Pop Data by Age'!$C$6,'Population Data by Age'!$B$6:$H$6,0))</f>
        <v>106000</v>
      </c>
      <c r="I119" s="78">
        <f>INDEX('Population Data by Age'!$B$7:$H$10366,MATCH(CONCATENATE('Tabular Pop Data by Age'!$C119,'Tabular Pop Data by Age'!I$7),'Population Data by Age'!$B$7:$B$10366,0),MATCH('Tabular Pop Data by Age'!$C$6,'Population Data by Age'!$B$6:$H$6,0))</f>
        <v>105000</v>
      </c>
      <c r="J119" s="78">
        <f>INDEX('Population Data by Age'!$B$7:$H$10366,MATCH(CONCATENATE('Tabular Pop Data by Age'!$C119,'Tabular Pop Data by Age'!J$7),'Population Data by Age'!$B$7:$B$10366,0),MATCH('Tabular Pop Data by Age'!$C$6,'Population Data by Age'!$B$6:$H$6,0))</f>
        <v>108000</v>
      </c>
      <c r="K119" s="78">
        <f>INDEX('Population Data by Age'!$B$7:$H$10366,MATCH(CONCATENATE('Tabular Pop Data by Age'!$C119,'Tabular Pop Data by Age'!K$7),'Population Data by Age'!$B$7:$B$10366,0),MATCH('Tabular Pop Data by Age'!$C$6,'Population Data by Age'!$B$6:$H$6,0))</f>
        <v>108000</v>
      </c>
      <c r="L119" s="78">
        <f>INDEX('Population Data by Age'!$B$7:$H$10366,MATCH(CONCATENATE('Tabular Pop Data by Age'!$C119,'Tabular Pop Data by Age'!L$7),'Population Data by Age'!$B$7:$B$10366,0),MATCH('Tabular Pop Data by Age'!$C$6,'Population Data by Age'!$B$6:$H$6,0))</f>
        <v>101000</v>
      </c>
      <c r="M119" s="78">
        <f>INDEX('Population Data by Age'!$B$7:$H$10366,MATCH(CONCATENATE('Tabular Pop Data by Age'!$C119,'Tabular Pop Data by Age'!M$7),'Population Data by Age'!$B$7:$B$10366,0),MATCH('Tabular Pop Data by Age'!$C$6,'Population Data by Age'!$B$6:$H$6,0))</f>
        <v>103000</v>
      </c>
      <c r="N119" s="78">
        <f>INDEX('Population Data by Age'!$B$7:$H$10366,MATCH(CONCATENATE('Tabular Pop Data by Age'!$C119,'Tabular Pop Data by Age'!N$7),'Population Data by Age'!$B$7:$B$10366,0),MATCH('Tabular Pop Data by Age'!$C$6,'Population Data by Age'!$B$6:$H$6,0))</f>
        <v>94000</v>
      </c>
      <c r="O119" s="78">
        <f>INDEX('Population Data by Age'!$B$7:$H$10366,MATCH(CONCATENATE('Tabular Pop Data by Age'!$C119,'Tabular Pop Data by Age'!O$7),'Population Data by Age'!$B$7:$B$10366,0),MATCH('Tabular Pop Data by Age'!$C$6,'Population Data by Age'!$B$6:$H$6,0))</f>
        <v>97000</v>
      </c>
      <c r="P119" s="78">
        <f>INDEX('Population Data by Age'!$B$7:$H$10366,MATCH(CONCATENATE('Tabular Pop Data by Age'!$C119,'Tabular Pop Data by Age'!P$7),'Population Data by Age'!$B$7:$B$10366,0),MATCH('Tabular Pop Data by Age'!$C$6,'Population Data by Age'!$B$6:$H$6,0))</f>
        <v>84000</v>
      </c>
      <c r="Q119" s="78">
        <f>INDEX('Population Data by Age'!$B$7:$H$10366,MATCH(CONCATENATE('Tabular Pop Data by Age'!$C119,'Tabular Pop Data by Age'!Q$7),'Population Data by Age'!$B$7:$B$10366,0),MATCH('Tabular Pop Data by Age'!$C$6,'Population Data by Age'!$B$6:$H$6,0))</f>
        <v>91000</v>
      </c>
      <c r="R119" s="78">
        <f>INDEX('Population Data by Age'!$B$7:$H$10366,MATCH(CONCATENATE('Tabular Pop Data by Age'!$C119,'Tabular Pop Data by Age'!R$7),'Population Data by Age'!$B$7:$B$10366,0),MATCH('Tabular Pop Data by Age'!$C$6,'Population Data by Age'!$B$6:$H$6,0))</f>
        <v>72000</v>
      </c>
      <c r="S119" s="78">
        <f>INDEX('Population Data by Age'!$B$7:$H$10366,MATCH(CONCATENATE('Tabular Pop Data by Age'!$C119,'Tabular Pop Data by Age'!S$7),'Population Data by Age'!$B$7:$B$10366,0),MATCH('Tabular Pop Data by Age'!$C$6,'Population Data by Age'!$B$6:$H$6,0))</f>
        <v>81000</v>
      </c>
      <c r="T119" s="78">
        <f>INDEX('Population Data by Age'!$B$7:$H$10366,MATCH(CONCATENATE('Tabular Pop Data by Age'!$C119,'Tabular Pop Data by Age'!T$7),'Population Data by Age'!$B$7:$B$10366,0),MATCH('Tabular Pop Data by Age'!$C$6,'Population Data by Age'!$B$6:$H$6,0))</f>
        <v>56000</v>
      </c>
      <c r="U119" s="78">
        <f>INDEX('Population Data by Age'!$B$7:$H$10366,MATCH(CONCATENATE('Tabular Pop Data by Age'!$C119,'Tabular Pop Data by Age'!U$7),'Population Data by Age'!$B$7:$B$10366,0),MATCH('Tabular Pop Data by Age'!$C$6,'Population Data by Age'!$B$6:$H$6,0))</f>
        <v>63000</v>
      </c>
      <c r="V119" s="78">
        <f>INDEX('Population Data by Age'!$B$7:$H$10366,MATCH(CONCATENATE('Tabular Pop Data by Age'!$C119,'Tabular Pop Data by Age'!V$7),'Population Data by Age'!$B$7:$B$10366,0),MATCH('Tabular Pop Data by Age'!$C$6,'Population Data by Age'!$B$6:$H$6,0))</f>
        <v>45000</v>
      </c>
      <c r="W119" s="78">
        <f>INDEX('Population Data by Age'!$B$7:$H$10366,MATCH(CONCATENATE('Tabular Pop Data by Age'!$C119,'Tabular Pop Data by Age'!W$7),'Population Data by Age'!$B$7:$B$10366,0),MATCH('Tabular Pop Data by Age'!$C$6,'Population Data by Age'!$B$6:$H$6,0))</f>
        <v>45000</v>
      </c>
      <c r="X119" s="78">
        <f>INDEX('Population Data by Age'!$B$7:$H$10366,MATCH(CONCATENATE('Tabular Pop Data by Age'!$C119,'Tabular Pop Data by Age'!X$7),'Population Data by Age'!$B$7:$B$10366,0),MATCH('Tabular Pop Data by Age'!$C$6,'Population Data by Age'!$B$6:$H$6,0))</f>
        <v>40000</v>
      </c>
      <c r="Y119" s="78">
        <f>INDEX('Population Data by Age'!$B$7:$H$10366,MATCH(CONCATENATE('Tabular Pop Data by Age'!$C119,'Tabular Pop Data by Age'!Y$7),'Population Data by Age'!$B$7:$B$10366,0),MATCH('Tabular Pop Data by Age'!$C$6,'Population Data by Age'!$B$6:$H$6,0))</f>
        <v>34000</v>
      </c>
      <c r="Z119" s="78">
        <f>INDEX('Population Data by Age'!$B$7:$H$10366,MATCH(CONCATENATE('Tabular Pop Data by Age'!$C119,'Tabular Pop Data by Age'!Z$7),'Population Data by Age'!$B$7:$B$10366,0),MATCH('Tabular Pop Data by Age'!$C$6,'Population Data by Age'!$B$6:$H$6,0))</f>
        <v>37000</v>
      </c>
      <c r="AA119" s="78">
        <f>INDEX('Population Data by Age'!$B$7:$H$10366,MATCH(CONCATENATE('Tabular Pop Data by Age'!$C119,'Tabular Pop Data by Age'!AA$7),'Population Data by Age'!$B$7:$B$10366,0),MATCH('Tabular Pop Data by Age'!$C$6,'Population Data by Age'!$B$6:$H$6,0))</f>
        <v>29000</v>
      </c>
      <c r="AB119" s="78">
        <f>INDEX('Population Data by Age'!$B$7:$H$10366,MATCH(CONCATENATE('Tabular Pop Data by Age'!$C119,'Tabular Pop Data by Age'!AB$7),'Population Data by Age'!$B$7:$B$10366,0),MATCH('Tabular Pop Data by Age'!$C$6,'Population Data by Age'!$B$6:$H$6,0))</f>
        <v>33000</v>
      </c>
      <c r="AC119" s="78">
        <f>INDEX('Population Data by Age'!$B$7:$H$10366,MATCH(CONCATENATE('Tabular Pop Data by Age'!$C119,'Tabular Pop Data by Age'!AC$7),'Population Data by Age'!$B$7:$B$10366,0),MATCH('Tabular Pop Data by Age'!$C$6,'Population Data by Age'!$B$6:$H$6,0))</f>
        <v>22000</v>
      </c>
      <c r="AD119" s="78">
        <f>INDEX('Population Data by Age'!$B$7:$H$10366,MATCH(CONCATENATE('Tabular Pop Data by Age'!$C119,'Tabular Pop Data by Age'!AD$7),'Population Data by Age'!$B$7:$B$10366,0),MATCH('Tabular Pop Data by Age'!$C$6,'Population Data by Age'!$B$6:$H$6,0))</f>
        <v>25000</v>
      </c>
      <c r="AE119" s="78">
        <f>INDEX('Population Data by Age'!$B$7:$H$10366,MATCH(CONCATENATE('Tabular Pop Data by Age'!$C119,'Tabular Pop Data by Age'!AE$7),'Population Data by Age'!$B$7:$B$10366,0),MATCH('Tabular Pop Data by Age'!$C$6,'Population Data by Age'!$B$6:$H$6,0))</f>
        <v>16000</v>
      </c>
      <c r="AF119" s="78">
        <f>INDEX('Population Data by Age'!$B$7:$H$10366,MATCH(CONCATENATE('Tabular Pop Data by Age'!$C119,'Tabular Pop Data by Age'!AF$7),'Population Data by Age'!$B$7:$B$10366,0),MATCH('Tabular Pop Data by Age'!$C$6,'Population Data by Age'!$B$6:$H$6,0))</f>
        <v>18000</v>
      </c>
      <c r="AG119" s="78">
        <f>INDEX('Population Data by Age'!$B$7:$H$10366,MATCH(CONCATENATE('Tabular Pop Data by Age'!$C119,'Tabular Pop Data by Age'!AG$7),'Population Data by Age'!$B$7:$B$10366,0),MATCH('Tabular Pop Data by Age'!$C$6,'Population Data by Age'!$B$6:$H$6,0))</f>
        <v>11000</v>
      </c>
      <c r="AH119" s="78">
        <f>INDEX('Population Data by Age'!$B$7:$H$10366,MATCH(CONCATENATE('Tabular Pop Data by Age'!$C119,'Tabular Pop Data by Age'!AH$7),'Population Data by Age'!$B$7:$B$10366,0),MATCH('Tabular Pop Data by Age'!$C$6,'Population Data by Age'!$B$6:$H$6,0))</f>
        <v>12000</v>
      </c>
      <c r="AI119" s="78">
        <f>INDEX('Population Data by Age'!$B$7:$H$10366,MATCH(CONCATENATE('Tabular Pop Data by Age'!$C119,'Tabular Pop Data by Age'!AI$7),'Population Data by Age'!$B$7:$B$10366,0),MATCH('Tabular Pop Data by Age'!$C$6,'Population Data by Age'!$B$6:$H$6,0))</f>
        <v>6400</v>
      </c>
      <c r="AJ119" s="78">
        <f>INDEX('Population Data by Age'!$B$7:$H$10366,MATCH(CONCATENATE('Tabular Pop Data by Age'!$C119,'Tabular Pop Data by Age'!AJ$7),'Population Data by Age'!$B$7:$B$10366,0),MATCH('Tabular Pop Data by Age'!$C$6,'Population Data by Age'!$B$6:$H$6,0))</f>
        <v>12000</v>
      </c>
      <c r="AK119" s="78">
        <f>INDEX('Population Data by Age'!$B$7:$H$10366,MATCH(CONCATENATE('Tabular Pop Data by Age'!$C119,'Tabular Pop Data by Age'!AK$7),'Population Data by Age'!$B$7:$B$10366,0),MATCH('Tabular Pop Data by Age'!$C$6,'Population Data by Age'!$B$6:$H$6,0))</f>
        <v>3700</v>
      </c>
      <c r="AL119" s="78">
        <f>INDEX('Population Data by Age'!$B$7:$H$10366,MATCH(CONCATENATE('Tabular Pop Data by Age'!$C119,'Tabular Pop Data by Age'!AL$7),'Population Data by Age'!$B$7:$B$10366,0),MATCH('Tabular Pop Data by Age'!$C$6,'Population Data by Age'!$B$6:$H$6,0))</f>
        <v>1085000</v>
      </c>
      <c r="AM119" s="78">
        <f>INDEX('Population Data by Age'!$B$7:$H$10366,MATCH(CONCATENATE('Tabular Pop Data by Age'!$C119,'Tabular Pop Data by Age'!AM$7),'Population Data by Age'!$B$7:$B$10366,0),MATCH('Tabular Pop Data by Age'!$C$6,'Population Data by Age'!$B$6:$H$6,0))</f>
        <v>1057000</v>
      </c>
      <c r="AN119" s="78">
        <f>INDEX('Population Data by Age'!$B$7:$H$10366,MATCH(CONCATENATE('Tabular Pop Data by Age'!$C119,'Tabular Pop Data by Age'!AN$7),'Population Data by Age'!$B$7:$B$10366,0),MATCH('Tabular Pop Data by Age'!$C$6,'Population Data by Age'!$B$6:$H$6,0))</f>
        <v>2142000</v>
      </c>
      <c r="AO119" s="78">
        <f>INDEX('Population Data by Age'!$B$7:$H$10366,MATCH(CONCATENATE('Tabular Pop Data by Age'!$C119,'Tabular Pop Data by Age'!AO$7),'Population Data by Age'!$B$7:$B$10366,0),MATCH('Tabular Pop Data by Age'!$C$6,'Population Data by Age'!$B$6:$H$6,0))</f>
        <v>0</v>
      </c>
      <c r="AP119" s="79">
        <f t="shared" si="34"/>
        <v>254000</v>
      </c>
      <c r="AQ119" s="79">
        <f t="shared" si="35"/>
        <v>226000</v>
      </c>
      <c r="AR119" s="79">
        <f t="shared" si="36"/>
        <v>211000</v>
      </c>
      <c r="AS119" s="79">
        <f t="shared" si="37"/>
        <v>216000</v>
      </c>
      <c r="AT119" s="79">
        <f t="shared" si="38"/>
        <v>204000</v>
      </c>
      <c r="AU119" s="79">
        <f t="shared" si="39"/>
        <v>191000</v>
      </c>
      <c r="AV119" s="79">
        <f t="shared" si="40"/>
        <v>175000</v>
      </c>
      <c r="AW119" s="79">
        <f t="shared" si="41"/>
        <v>153000</v>
      </c>
      <c r="AX119" s="79">
        <f t="shared" si="42"/>
        <v>119000</v>
      </c>
      <c r="AY119" s="79">
        <f t="shared" si="43"/>
        <v>90000</v>
      </c>
      <c r="AZ119" s="79">
        <f t="shared" si="44"/>
        <v>74000</v>
      </c>
      <c r="BA119" s="79">
        <f t="shared" si="45"/>
        <v>66000</v>
      </c>
      <c r="BB119" s="79">
        <f t="shared" si="46"/>
        <v>55000</v>
      </c>
      <c r="BC119" s="79">
        <f t="shared" si="47"/>
        <v>41000</v>
      </c>
      <c r="BD119" s="79">
        <f t="shared" si="48"/>
        <v>29000</v>
      </c>
      <c r="BE119" s="79">
        <f t="shared" si="49"/>
        <v>18400</v>
      </c>
      <c r="BF119" s="79">
        <f t="shared" si="50"/>
        <v>15700</v>
      </c>
    </row>
    <row r="120" spans="1:58" x14ac:dyDescent="0.25">
      <c r="A120" s="138" t="s">
        <v>1195</v>
      </c>
      <c r="B120" t="s">
        <v>201</v>
      </c>
      <c r="C120" t="s">
        <v>78</v>
      </c>
      <c r="D120" s="78">
        <f>INDEX('Population Data by Age'!$B$7:$H$10366,MATCH(CONCATENATE('Tabular Pop Data by Age'!$C120,'Tabular Pop Data by Age'!D$7),'Population Data by Age'!$B$7:$B$10366,0),MATCH('Tabular Pop Data by Age'!$C$6,'Population Data by Age'!$B$6:$H$6,0))</f>
        <v>363000</v>
      </c>
      <c r="E120" s="78">
        <f>INDEX('Population Data by Age'!$B$7:$H$10366,MATCH(CONCATENATE('Tabular Pop Data by Age'!$C120,'Tabular Pop Data by Age'!E$7),'Population Data by Age'!$B$7:$B$10366,0),MATCH('Tabular Pop Data by Age'!$C$6,'Population Data by Age'!$B$6:$H$6,0))</f>
        <v>378000</v>
      </c>
      <c r="F120" s="78">
        <f>INDEX('Population Data by Age'!$B$7:$H$10366,MATCH(CONCATENATE('Tabular Pop Data by Age'!$C120,'Tabular Pop Data by Age'!F$7),'Population Data by Age'!$B$7:$B$10366,0),MATCH('Tabular Pop Data by Age'!$C$6,'Population Data by Age'!$B$6:$H$6,0))</f>
        <v>332000</v>
      </c>
      <c r="G120" s="78">
        <f>INDEX('Population Data by Age'!$B$7:$H$10366,MATCH(CONCATENATE('Tabular Pop Data by Age'!$C120,'Tabular Pop Data by Age'!G$7),'Population Data by Age'!$B$7:$B$10366,0),MATCH('Tabular Pop Data by Age'!$C$6,'Population Data by Age'!$B$6:$H$6,0))</f>
        <v>346000</v>
      </c>
      <c r="H120" s="78">
        <f>INDEX('Population Data by Age'!$B$7:$H$10366,MATCH(CONCATENATE('Tabular Pop Data by Age'!$C120,'Tabular Pop Data by Age'!H$7),'Population Data by Age'!$B$7:$B$10366,0),MATCH('Tabular Pop Data by Age'!$C$6,'Population Data by Age'!$B$6:$H$6,0))</f>
        <v>306000</v>
      </c>
      <c r="I120" s="78">
        <f>INDEX('Population Data by Age'!$B$7:$H$10366,MATCH(CONCATENATE('Tabular Pop Data by Age'!$C120,'Tabular Pop Data by Age'!I$7),'Population Data by Age'!$B$7:$B$10366,0),MATCH('Tabular Pop Data by Age'!$C$6,'Population Data by Age'!$B$6:$H$6,0))</f>
        <v>317000</v>
      </c>
      <c r="J120" s="78">
        <f>INDEX('Population Data by Age'!$B$7:$H$10366,MATCH(CONCATENATE('Tabular Pop Data by Age'!$C120,'Tabular Pop Data by Age'!J$7),'Population Data by Age'!$B$7:$B$10366,0),MATCH('Tabular Pop Data by Age'!$C$6,'Population Data by Age'!$B$6:$H$6,0))</f>
        <v>272000</v>
      </c>
      <c r="K120" s="78">
        <f>INDEX('Population Data by Age'!$B$7:$H$10366,MATCH(CONCATENATE('Tabular Pop Data by Age'!$C120,'Tabular Pop Data by Age'!K$7),'Population Data by Age'!$B$7:$B$10366,0),MATCH('Tabular Pop Data by Age'!$C$6,'Population Data by Age'!$B$6:$H$6,0))</f>
        <v>280000</v>
      </c>
      <c r="L120" s="78">
        <f>INDEX('Population Data by Age'!$B$7:$H$10366,MATCH(CONCATENATE('Tabular Pop Data by Age'!$C120,'Tabular Pop Data by Age'!L$7),'Population Data by Age'!$B$7:$B$10366,0),MATCH('Tabular Pop Data by Age'!$C$6,'Population Data by Age'!$B$6:$H$6,0))</f>
        <v>229000</v>
      </c>
      <c r="M120" s="78">
        <f>INDEX('Population Data by Age'!$B$7:$H$10366,MATCH(CONCATENATE('Tabular Pop Data by Age'!$C120,'Tabular Pop Data by Age'!M$7),'Population Data by Age'!$B$7:$B$10366,0),MATCH('Tabular Pop Data by Age'!$C$6,'Population Data by Age'!$B$6:$H$6,0))</f>
        <v>234000</v>
      </c>
      <c r="N120" s="78">
        <f>INDEX('Population Data by Age'!$B$7:$H$10366,MATCH(CONCATENATE('Tabular Pop Data by Age'!$C120,'Tabular Pop Data by Age'!N$7),'Population Data by Age'!$B$7:$B$10366,0),MATCH('Tabular Pop Data by Age'!$C$6,'Population Data by Age'!$B$6:$H$6,0))</f>
        <v>188000</v>
      </c>
      <c r="O120" s="78">
        <f>INDEX('Population Data by Age'!$B$7:$H$10366,MATCH(CONCATENATE('Tabular Pop Data by Age'!$C120,'Tabular Pop Data by Age'!O$7),'Population Data by Age'!$B$7:$B$10366,0),MATCH('Tabular Pop Data by Age'!$C$6,'Population Data by Age'!$B$6:$H$6,0))</f>
        <v>190000</v>
      </c>
      <c r="P120" s="78">
        <f>INDEX('Population Data by Age'!$B$7:$H$10366,MATCH(CONCATENATE('Tabular Pop Data by Age'!$C120,'Tabular Pop Data by Age'!P$7),'Population Data by Age'!$B$7:$B$10366,0),MATCH('Tabular Pop Data by Age'!$C$6,'Population Data by Age'!$B$6:$H$6,0))</f>
        <v>166000</v>
      </c>
      <c r="Q120" s="78">
        <f>INDEX('Population Data by Age'!$B$7:$H$10366,MATCH(CONCATENATE('Tabular Pop Data by Age'!$C120,'Tabular Pop Data by Age'!Q$7),'Population Data by Age'!$B$7:$B$10366,0),MATCH('Tabular Pop Data by Age'!$C$6,'Population Data by Age'!$B$6:$H$6,0))</f>
        <v>168000</v>
      </c>
      <c r="R120" s="78">
        <f>INDEX('Population Data by Age'!$B$7:$H$10366,MATCH(CONCATENATE('Tabular Pop Data by Age'!$C120,'Tabular Pop Data by Age'!R$7),'Population Data by Age'!$B$7:$B$10366,0),MATCH('Tabular Pop Data by Age'!$C$6,'Population Data by Age'!$B$6:$H$6,0))</f>
        <v>147000</v>
      </c>
      <c r="S120" s="78">
        <f>INDEX('Population Data by Age'!$B$7:$H$10366,MATCH(CONCATENATE('Tabular Pop Data by Age'!$C120,'Tabular Pop Data by Age'!S$7),'Population Data by Age'!$B$7:$B$10366,0),MATCH('Tabular Pop Data by Age'!$C$6,'Population Data by Age'!$B$6:$H$6,0))</f>
        <v>149000</v>
      </c>
      <c r="T120" s="78">
        <f>INDEX('Population Data by Age'!$B$7:$H$10366,MATCH(CONCATENATE('Tabular Pop Data by Age'!$C120,'Tabular Pop Data by Age'!T$7),'Population Data by Age'!$B$7:$B$10366,0),MATCH('Tabular Pop Data by Age'!$C$6,'Population Data by Age'!$B$6:$H$6,0))</f>
        <v>122000</v>
      </c>
      <c r="U120" s="78">
        <f>INDEX('Population Data by Age'!$B$7:$H$10366,MATCH(CONCATENATE('Tabular Pop Data by Age'!$C120,'Tabular Pop Data by Age'!U$7),'Population Data by Age'!$B$7:$B$10366,0),MATCH('Tabular Pop Data by Age'!$C$6,'Population Data by Age'!$B$6:$H$6,0))</f>
        <v>123000</v>
      </c>
      <c r="V120" s="78">
        <f>INDEX('Population Data by Age'!$B$7:$H$10366,MATCH(CONCATENATE('Tabular Pop Data by Age'!$C120,'Tabular Pop Data by Age'!V$7),'Population Data by Age'!$B$7:$B$10366,0),MATCH('Tabular Pop Data by Age'!$C$6,'Population Data by Age'!$B$6:$H$6,0))</f>
        <v>100000</v>
      </c>
      <c r="W120" s="78">
        <f>INDEX('Population Data by Age'!$B$7:$H$10366,MATCH(CONCATENATE('Tabular Pop Data by Age'!$C120,'Tabular Pop Data by Age'!W$7),'Population Data by Age'!$B$7:$B$10366,0),MATCH('Tabular Pop Data by Age'!$C$6,'Population Data by Age'!$B$6:$H$6,0))</f>
        <v>99000</v>
      </c>
      <c r="X120" s="78">
        <f>INDEX('Population Data by Age'!$B$7:$H$10366,MATCH(CONCATENATE('Tabular Pop Data by Age'!$C120,'Tabular Pop Data by Age'!X$7),'Population Data by Age'!$B$7:$B$10366,0),MATCH('Tabular Pop Data by Age'!$C$6,'Population Data by Age'!$B$6:$H$6,0))</f>
        <v>80000</v>
      </c>
      <c r="Y120" s="78">
        <f>INDEX('Population Data by Age'!$B$7:$H$10366,MATCH(CONCATENATE('Tabular Pop Data by Age'!$C120,'Tabular Pop Data by Age'!Y$7),'Population Data by Age'!$B$7:$B$10366,0),MATCH('Tabular Pop Data by Age'!$C$6,'Population Data by Age'!$B$6:$H$6,0))</f>
        <v>78000</v>
      </c>
      <c r="Z120" s="78">
        <f>INDEX('Population Data by Age'!$B$7:$H$10366,MATCH(CONCATENATE('Tabular Pop Data by Age'!$C120,'Tabular Pop Data by Age'!Z$7),'Population Data by Age'!$B$7:$B$10366,0),MATCH('Tabular Pop Data by Age'!$C$6,'Population Data by Age'!$B$6:$H$6,0))</f>
        <v>65000</v>
      </c>
      <c r="AA120" s="78">
        <f>INDEX('Population Data by Age'!$B$7:$H$10366,MATCH(CONCATENATE('Tabular Pop Data by Age'!$C120,'Tabular Pop Data by Age'!AA$7),'Population Data by Age'!$B$7:$B$10366,0),MATCH('Tabular Pop Data by Age'!$C$6,'Population Data by Age'!$B$6:$H$6,0))</f>
        <v>61000</v>
      </c>
      <c r="AB120" s="78">
        <f>INDEX('Population Data by Age'!$B$7:$H$10366,MATCH(CONCATENATE('Tabular Pop Data by Age'!$C120,'Tabular Pop Data by Age'!AB$7),'Population Data by Age'!$B$7:$B$10366,0),MATCH('Tabular Pop Data by Age'!$C$6,'Population Data by Age'!$B$6:$H$6,0))</f>
        <v>52000</v>
      </c>
      <c r="AC120" s="78">
        <f>INDEX('Population Data by Age'!$B$7:$H$10366,MATCH(CONCATENATE('Tabular Pop Data by Age'!$C120,'Tabular Pop Data by Age'!AC$7),'Population Data by Age'!$B$7:$B$10366,0),MATCH('Tabular Pop Data by Age'!$C$6,'Population Data by Age'!$B$6:$H$6,0))</f>
        <v>46000</v>
      </c>
      <c r="AD120" s="78">
        <f>INDEX('Population Data by Age'!$B$7:$H$10366,MATCH(CONCATENATE('Tabular Pop Data by Age'!$C120,'Tabular Pop Data by Age'!AD$7),'Population Data by Age'!$B$7:$B$10366,0),MATCH('Tabular Pop Data by Age'!$C$6,'Population Data by Age'!$B$6:$H$6,0))</f>
        <v>39000</v>
      </c>
      <c r="AE120" s="78">
        <f>INDEX('Population Data by Age'!$B$7:$H$10366,MATCH(CONCATENATE('Tabular Pop Data by Age'!$C120,'Tabular Pop Data by Age'!AE$7),'Population Data by Age'!$B$7:$B$10366,0),MATCH('Tabular Pop Data by Age'!$C$6,'Population Data by Age'!$B$6:$H$6,0))</f>
        <v>32000</v>
      </c>
      <c r="AF120" s="78">
        <f>INDEX('Population Data by Age'!$B$7:$H$10366,MATCH(CONCATENATE('Tabular Pop Data by Age'!$C120,'Tabular Pop Data by Age'!AF$7),'Population Data by Age'!$B$7:$B$10366,0),MATCH('Tabular Pop Data by Age'!$C$6,'Population Data by Age'!$B$6:$H$6,0))</f>
        <v>25000</v>
      </c>
      <c r="AG120" s="78">
        <f>INDEX('Population Data by Age'!$B$7:$H$10366,MATCH(CONCATENATE('Tabular Pop Data by Age'!$C120,'Tabular Pop Data by Age'!AG$7),'Population Data by Age'!$B$7:$B$10366,0),MATCH('Tabular Pop Data by Age'!$C$6,'Population Data by Age'!$B$6:$H$6,0))</f>
        <v>20000</v>
      </c>
      <c r="AH120" s="78">
        <f>INDEX('Population Data by Age'!$B$7:$H$10366,MATCH(CONCATENATE('Tabular Pop Data by Age'!$C120,'Tabular Pop Data by Age'!AH$7),'Population Data by Age'!$B$7:$B$10366,0),MATCH('Tabular Pop Data by Age'!$C$6,'Population Data by Age'!$B$6:$H$6,0))</f>
        <v>18000</v>
      </c>
      <c r="AI120" s="78">
        <f>INDEX('Population Data by Age'!$B$7:$H$10366,MATCH(CONCATENATE('Tabular Pop Data by Age'!$C120,'Tabular Pop Data by Age'!AI$7),'Population Data by Age'!$B$7:$B$10366,0),MATCH('Tabular Pop Data by Age'!$C$6,'Population Data by Age'!$B$6:$H$6,0))</f>
        <v>14000</v>
      </c>
      <c r="AJ120" s="78">
        <f>INDEX('Population Data by Age'!$B$7:$H$10366,MATCH(CONCATENATE('Tabular Pop Data by Age'!$C120,'Tabular Pop Data by Age'!AJ$7),'Population Data by Age'!$B$7:$B$10366,0),MATCH('Tabular Pop Data by Age'!$C$6,'Population Data by Age'!$B$6:$H$6,0))</f>
        <v>12000</v>
      </c>
      <c r="AK120" s="78">
        <f>INDEX('Population Data by Age'!$B$7:$H$10366,MATCH(CONCATENATE('Tabular Pop Data by Age'!$C120,'Tabular Pop Data by Age'!AK$7),'Population Data by Age'!$B$7:$B$10366,0),MATCH('Tabular Pop Data by Age'!$C$6,'Population Data by Age'!$B$6:$H$6,0))</f>
        <v>8600</v>
      </c>
      <c r="AL120" s="78">
        <f>INDEX('Population Data by Age'!$B$7:$H$10366,MATCH(CONCATENATE('Tabular Pop Data by Age'!$C120,'Tabular Pop Data by Age'!AL$7),'Population Data by Age'!$B$7:$B$10366,0),MATCH('Tabular Pop Data by Age'!$C$6,'Population Data by Age'!$B$6:$H$6,0))</f>
        <v>2515000</v>
      </c>
      <c r="AM120" s="78">
        <f>INDEX('Population Data by Age'!$B$7:$H$10366,MATCH(CONCATENATE('Tabular Pop Data by Age'!$C120,'Tabular Pop Data by Age'!AM$7),'Population Data by Age'!$B$7:$B$10366,0),MATCH('Tabular Pop Data by Age'!$C$6,'Population Data by Age'!$B$6:$H$6,0))</f>
        <v>2543000</v>
      </c>
      <c r="AN120" s="78">
        <f>INDEX('Population Data by Age'!$B$7:$H$10366,MATCH(CONCATENATE('Tabular Pop Data by Age'!$C120,'Tabular Pop Data by Age'!AN$7),'Population Data by Age'!$B$7:$B$10366,0),MATCH('Tabular Pop Data by Age'!$C$6,'Population Data by Age'!$B$6:$H$6,0))</f>
        <v>5058000</v>
      </c>
      <c r="AO120" s="78">
        <f>INDEX('Population Data by Age'!$B$7:$H$10366,MATCH(CONCATENATE('Tabular Pop Data by Age'!$C120,'Tabular Pop Data by Age'!AO$7),'Population Data by Age'!$B$7:$B$10366,0),MATCH('Tabular Pop Data by Age'!$C$6,'Population Data by Age'!$B$6:$H$6,0))</f>
        <v>0</v>
      </c>
      <c r="AP120" s="79">
        <f t="shared" si="34"/>
        <v>741000</v>
      </c>
      <c r="AQ120" s="79">
        <f t="shared" si="35"/>
        <v>678000</v>
      </c>
      <c r="AR120" s="79">
        <f t="shared" si="36"/>
        <v>623000</v>
      </c>
      <c r="AS120" s="79">
        <f t="shared" si="37"/>
        <v>552000</v>
      </c>
      <c r="AT120" s="79">
        <f t="shared" si="38"/>
        <v>463000</v>
      </c>
      <c r="AU120" s="79">
        <f t="shared" si="39"/>
        <v>378000</v>
      </c>
      <c r="AV120" s="79">
        <f t="shared" si="40"/>
        <v>334000</v>
      </c>
      <c r="AW120" s="79">
        <f t="shared" si="41"/>
        <v>296000</v>
      </c>
      <c r="AX120" s="79">
        <f t="shared" si="42"/>
        <v>245000</v>
      </c>
      <c r="AY120" s="79">
        <f t="shared" si="43"/>
        <v>199000</v>
      </c>
      <c r="AZ120" s="79">
        <f t="shared" si="44"/>
        <v>158000</v>
      </c>
      <c r="BA120" s="79">
        <f t="shared" si="45"/>
        <v>126000</v>
      </c>
      <c r="BB120" s="79">
        <f t="shared" si="46"/>
        <v>98000</v>
      </c>
      <c r="BC120" s="79">
        <f t="shared" si="47"/>
        <v>71000</v>
      </c>
      <c r="BD120" s="79">
        <f t="shared" si="48"/>
        <v>45000</v>
      </c>
      <c r="BE120" s="79">
        <f t="shared" si="49"/>
        <v>32000</v>
      </c>
      <c r="BF120" s="79">
        <f t="shared" si="50"/>
        <v>20600</v>
      </c>
    </row>
    <row r="121" spans="1:58" x14ac:dyDescent="0.25">
      <c r="A121" s="138" t="s">
        <v>1195</v>
      </c>
      <c r="B121" t="s">
        <v>553</v>
      </c>
      <c r="C121" t="s">
        <v>79</v>
      </c>
      <c r="D121" s="78">
        <f>INDEX('Population Data by Age'!$B$7:$H$10366,MATCH(CONCATENATE('Tabular Pop Data by Age'!$C121,'Tabular Pop Data by Age'!D$7),'Population Data by Age'!$B$7:$B$10366,0),MATCH('Tabular Pop Data by Age'!$C$6,'Population Data by Age'!$B$6:$H$6,0))</f>
        <v>303000</v>
      </c>
      <c r="E121" s="78">
        <f>INDEX('Population Data by Age'!$B$7:$H$10366,MATCH(CONCATENATE('Tabular Pop Data by Age'!$C121,'Tabular Pop Data by Age'!E$7),'Population Data by Age'!$B$7:$B$10366,0),MATCH('Tabular Pop Data by Age'!$C$6,'Population Data by Age'!$B$6:$H$6,0))</f>
        <v>321000</v>
      </c>
      <c r="F121" s="78">
        <f>INDEX('Population Data by Age'!$B$7:$H$10366,MATCH(CONCATENATE('Tabular Pop Data by Age'!$C121,'Tabular Pop Data by Age'!F$7),'Population Data by Age'!$B$7:$B$10366,0),MATCH('Tabular Pop Data by Age'!$C$6,'Population Data by Age'!$B$6:$H$6,0))</f>
        <v>322000</v>
      </c>
      <c r="G121" s="78">
        <f>INDEX('Population Data by Age'!$B$7:$H$10366,MATCH(CONCATENATE('Tabular Pop Data by Age'!$C121,'Tabular Pop Data by Age'!G$7),'Population Data by Age'!$B$7:$B$10366,0),MATCH('Tabular Pop Data by Age'!$C$6,'Population Data by Age'!$B$6:$H$6,0))</f>
        <v>340000</v>
      </c>
      <c r="H121" s="78">
        <f>INDEX('Population Data by Age'!$B$7:$H$10366,MATCH(CONCATENATE('Tabular Pop Data by Age'!$C121,'Tabular Pop Data by Age'!H$7),'Population Data by Age'!$B$7:$B$10366,0),MATCH('Tabular Pop Data by Age'!$C$6,'Population Data by Age'!$B$6:$H$6,0))</f>
        <v>304000</v>
      </c>
      <c r="I121" s="78">
        <f>INDEX('Population Data by Age'!$B$7:$H$10366,MATCH(CONCATENATE('Tabular Pop Data by Age'!$C121,'Tabular Pop Data by Age'!I$7),'Population Data by Age'!$B$7:$B$10366,0),MATCH('Tabular Pop Data by Age'!$C$6,'Population Data by Age'!$B$6:$H$6,0))</f>
        <v>320000</v>
      </c>
      <c r="J121" s="78">
        <f>INDEX('Population Data by Age'!$B$7:$H$10366,MATCH(CONCATENATE('Tabular Pop Data by Age'!$C121,'Tabular Pop Data by Age'!J$7),'Population Data by Age'!$B$7:$B$10366,0),MATCH('Tabular Pop Data by Age'!$C$6,'Population Data by Age'!$B$6:$H$6,0))</f>
        <v>274000</v>
      </c>
      <c r="K121" s="78">
        <f>INDEX('Population Data by Age'!$B$7:$H$10366,MATCH(CONCATENATE('Tabular Pop Data by Age'!$C121,'Tabular Pop Data by Age'!K$7),'Population Data by Age'!$B$7:$B$10366,0),MATCH('Tabular Pop Data by Age'!$C$6,'Population Data by Age'!$B$6:$H$6,0))</f>
        <v>288000</v>
      </c>
      <c r="L121" s="78">
        <f>INDEX('Population Data by Age'!$B$7:$H$10366,MATCH(CONCATENATE('Tabular Pop Data by Age'!$C121,'Tabular Pop Data by Age'!L$7),'Population Data by Age'!$B$7:$B$10366,0),MATCH('Tabular Pop Data by Age'!$C$6,'Population Data by Age'!$B$6:$H$6,0))</f>
        <v>266000</v>
      </c>
      <c r="M121" s="78">
        <f>INDEX('Population Data by Age'!$B$7:$H$10366,MATCH(CONCATENATE('Tabular Pop Data by Age'!$C121,'Tabular Pop Data by Age'!M$7),'Population Data by Age'!$B$7:$B$10366,0),MATCH('Tabular Pop Data by Age'!$C$6,'Population Data by Age'!$B$6:$H$6,0))</f>
        <v>276000</v>
      </c>
      <c r="N121" s="78">
        <f>INDEX('Population Data by Age'!$B$7:$H$10366,MATCH(CONCATENATE('Tabular Pop Data by Age'!$C121,'Tabular Pop Data by Age'!N$7),'Population Data by Age'!$B$7:$B$10366,0),MATCH('Tabular Pop Data by Age'!$C$6,'Population Data by Age'!$B$6:$H$6,0))</f>
        <v>274000</v>
      </c>
      <c r="O121" s="78">
        <f>INDEX('Population Data by Age'!$B$7:$H$10366,MATCH(CONCATENATE('Tabular Pop Data by Age'!$C121,'Tabular Pop Data by Age'!O$7),'Population Data by Age'!$B$7:$B$10366,0),MATCH('Tabular Pop Data by Age'!$C$6,'Population Data by Age'!$B$6:$H$6,0))</f>
        <v>279000</v>
      </c>
      <c r="P121" s="78">
        <f>INDEX('Population Data by Age'!$B$7:$H$10366,MATCH(CONCATENATE('Tabular Pop Data by Age'!$C121,'Tabular Pop Data by Age'!P$7),'Population Data by Age'!$B$7:$B$10366,0),MATCH('Tabular Pop Data by Age'!$C$6,'Population Data by Age'!$B$6:$H$6,0))</f>
        <v>293000</v>
      </c>
      <c r="Q121" s="78">
        <f>INDEX('Population Data by Age'!$B$7:$H$10366,MATCH(CONCATENATE('Tabular Pop Data by Age'!$C121,'Tabular Pop Data by Age'!Q$7),'Population Data by Age'!$B$7:$B$10366,0),MATCH('Tabular Pop Data by Age'!$C$6,'Population Data by Age'!$B$6:$H$6,0))</f>
        <v>293000</v>
      </c>
      <c r="R121" s="78">
        <f>INDEX('Population Data by Age'!$B$7:$H$10366,MATCH(CONCATENATE('Tabular Pop Data by Age'!$C121,'Tabular Pop Data by Age'!R$7),'Population Data by Age'!$B$7:$B$10366,0),MATCH('Tabular Pop Data by Age'!$C$6,'Population Data by Age'!$B$6:$H$6,0))</f>
        <v>288000</v>
      </c>
      <c r="S121" s="78">
        <f>INDEX('Population Data by Age'!$B$7:$H$10366,MATCH(CONCATENATE('Tabular Pop Data by Age'!$C121,'Tabular Pop Data by Age'!S$7),'Population Data by Age'!$B$7:$B$10366,0),MATCH('Tabular Pop Data by Age'!$C$6,'Population Data by Age'!$B$6:$H$6,0))</f>
        <v>290000</v>
      </c>
      <c r="T121" s="78">
        <f>INDEX('Population Data by Age'!$B$7:$H$10366,MATCH(CONCATENATE('Tabular Pop Data by Age'!$C121,'Tabular Pop Data by Age'!T$7),'Population Data by Age'!$B$7:$B$10366,0),MATCH('Tabular Pop Data by Age'!$C$6,'Population Data by Age'!$B$6:$H$6,0))</f>
        <v>277000</v>
      </c>
      <c r="U121" s="78">
        <f>INDEX('Population Data by Age'!$B$7:$H$10366,MATCH(CONCATENATE('Tabular Pop Data by Age'!$C121,'Tabular Pop Data by Age'!U$7),'Population Data by Age'!$B$7:$B$10366,0),MATCH('Tabular Pop Data by Age'!$C$6,'Population Data by Age'!$B$6:$H$6,0))</f>
        <v>287000</v>
      </c>
      <c r="V121" s="78">
        <f>INDEX('Population Data by Age'!$B$7:$H$10366,MATCH(CONCATENATE('Tabular Pop Data by Age'!$C121,'Tabular Pop Data by Age'!V$7),'Population Data by Age'!$B$7:$B$10366,0),MATCH('Tabular Pop Data by Age'!$C$6,'Population Data by Age'!$B$6:$H$6,0))</f>
        <v>237000</v>
      </c>
      <c r="W121" s="78">
        <f>INDEX('Population Data by Age'!$B$7:$H$10366,MATCH(CONCATENATE('Tabular Pop Data by Age'!$C121,'Tabular Pop Data by Age'!W$7),'Population Data by Age'!$B$7:$B$10366,0),MATCH('Tabular Pop Data by Age'!$C$6,'Population Data by Age'!$B$6:$H$6,0))</f>
        <v>248000</v>
      </c>
      <c r="X121" s="78">
        <f>INDEX('Population Data by Age'!$B$7:$H$10366,MATCH(CONCATENATE('Tabular Pop Data by Age'!$C121,'Tabular Pop Data by Age'!X$7),'Population Data by Age'!$B$7:$B$10366,0),MATCH('Tabular Pop Data by Age'!$C$6,'Population Data by Age'!$B$6:$H$6,0))</f>
        <v>182000</v>
      </c>
      <c r="Y121" s="78">
        <f>INDEX('Population Data by Age'!$B$7:$H$10366,MATCH(CONCATENATE('Tabular Pop Data by Age'!$C121,'Tabular Pop Data by Age'!Y$7),'Population Data by Age'!$B$7:$B$10366,0),MATCH('Tabular Pop Data by Age'!$C$6,'Population Data by Age'!$B$6:$H$6,0))</f>
        <v>190000</v>
      </c>
      <c r="Z121" s="78">
        <f>INDEX('Population Data by Age'!$B$7:$H$10366,MATCH(CONCATENATE('Tabular Pop Data by Age'!$C121,'Tabular Pop Data by Age'!Z$7),'Population Data by Age'!$B$7:$B$10366,0),MATCH('Tabular Pop Data by Age'!$C$6,'Population Data by Age'!$B$6:$H$6,0))</f>
        <v>125000</v>
      </c>
      <c r="AA121" s="78">
        <f>INDEX('Population Data by Age'!$B$7:$H$10366,MATCH(CONCATENATE('Tabular Pop Data by Age'!$C121,'Tabular Pop Data by Age'!AA$7),'Population Data by Age'!$B$7:$B$10366,0),MATCH('Tabular Pop Data by Age'!$C$6,'Population Data by Age'!$B$6:$H$6,0))</f>
        <v>120000</v>
      </c>
      <c r="AB121" s="78">
        <f>INDEX('Population Data by Age'!$B$7:$H$10366,MATCH(CONCATENATE('Tabular Pop Data by Age'!$C121,'Tabular Pop Data by Age'!AB$7),'Population Data by Age'!$B$7:$B$10366,0),MATCH('Tabular Pop Data by Age'!$C$6,'Population Data by Age'!$B$6:$H$6,0))</f>
        <v>86000</v>
      </c>
      <c r="AC121" s="78">
        <f>INDEX('Population Data by Age'!$B$7:$H$10366,MATCH(CONCATENATE('Tabular Pop Data by Age'!$C121,'Tabular Pop Data by Age'!AC$7),'Population Data by Age'!$B$7:$B$10366,0),MATCH('Tabular Pop Data by Age'!$C$6,'Population Data by Age'!$B$6:$H$6,0))</f>
        <v>78000</v>
      </c>
      <c r="AD121" s="78">
        <f>INDEX('Population Data by Age'!$B$7:$H$10366,MATCH(CONCATENATE('Tabular Pop Data by Age'!$C121,'Tabular Pop Data by Age'!AD$7),'Population Data by Age'!$B$7:$B$10366,0),MATCH('Tabular Pop Data by Age'!$C$6,'Population Data by Age'!$B$6:$H$6,0))</f>
        <v>64000</v>
      </c>
      <c r="AE121" s="78">
        <f>INDEX('Population Data by Age'!$B$7:$H$10366,MATCH(CONCATENATE('Tabular Pop Data by Age'!$C121,'Tabular Pop Data by Age'!AE$7),'Population Data by Age'!$B$7:$B$10366,0),MATCH('Tabular Pop Data by Age'!$C$6,'Population Data by Age'!$B$6:$H$6,0))</f>
        <v>57000</v>
      </c>
      <c r="AF121" s="78">
        <f>INDEX('Population Data by Age'!$B$7:$H$10366,MATCH(CONCATENATE('Tabular Pop Data by Age'!$C121,'Tabular Pop Data by Age'!AF$7),'Population Data by Age'!$B$7:$B$10366,0),MATCH('Tabular Pop Data by Age'!$C$6,'Population Data by Age'!$B$6:$H$6,0))</f>
        <v>43000</v>
      </c>
      <c r="AG121" s="78">
        <f>INDEX('Population Data by Age'!$B$7:$H$10366,MATCH(CONCATENATE('Tabular Pop Data by Age'!$C121,'Tabular Pop Data by Age'!AG$7),'Population Data by Age'!$B$7:$B$10366,0),MATCH('Tabular Pop Data by Age'!$C$6,'Population Data by Age'!$B$6:$H$6,0))</f>
        <v>36000</v>
      </c>
      <c r="AH121" s="78">
        <f>INDEX('Population Data by Age'!$B$7:$H$10366,MATCH(CONCATENATE('Tabular Pop Data by Age'!$C121,'Tabular Pop Data by Age'!AH$7),'Population Data by Age'!$B$7:$B$10366,0),MATCH('Tabular Pop Data by Age'!$C$6,'Population Data by Age'!$B$6:$H$6,0))</f>
        <v>33000</v>
      </c>
      <c r="AI121" s="78">
        <f>INDEX('Population Data by Age'!$B$7:$H$10366,MATCH(CONCATENATE('Tabular Pop Data by Age'!$C121,'Tabular Pop Data by Age'!AI$7),'Population Data by Age'!$B$7:$B$10366,0),MATCH('Tabular Pop Data by Age'!$C$6,'Population Data by Age'!$B$6:$H$6,0))</f>
        <v>27000</v>
      </c>
      <c r="AJ121" s="78">
        <f>INDEX('Population Data by Age'!$B$7:$H$10366,MATCH(CONCATENATE('Tabular Pop Data by Age'!$C121,'Tabular Pop Data by Age'!AJ$7),'Population Data by Age'!$B$7:$B$10366,0),MATCH('Tabular Pop Data by Age'!$C$6,'Population Data by Age'!$B$6:$H$6,0))</f>
        <v>31000</v>
      </c>
      <c r="AK121" s="78">
        <f>INDEX('Population Data by Age'!$B$7:$H$10366,MATCH(CONCATENATE('Tabular Pop Data by Age'!$C121,'Tabular Pop Data by Age'!AK$7),'Population Data by Age'!$B$7:$B$10366,0),MATCH('Tabular Pop Data by Age'!$C$6,'Population Data by Age'!$B$6:$H$6,0))</f>
        <v>21000</v>
      </c>
      <c r="AL121" s="78">
        <f>INDEX('Population Data by Age'!$B$7:$H$10366,MATCH(CONCATENATE('Tabular Pop Data by Age'!$C121,'Tabular Pop Data by Age'!AL$7),'Population Data by Age'!$B$7:$B$10366,0),MATCH('Tabular Pop Data by Age'!$C$6,'Population Data by Age'!$B$6:$H$6,0))</f>
        <v>3403000</v>
      </c>
      <c r="AM121" s="78">
        <f>INDEX('Population Data by Age'!$B$7:$H$10366,MATCH(CONCATENATE('Tabular Pop Data by Age'!$C121,'Tabular Pop Data by Age'!AM$7),'Population Data by Age'!$B$7:$B$10366,0),MATCH('Tabular Pop Data by Age'!$C$6,'Population Data by Age'!$B$6:$H$6,0))</f>
        <v>3469000</v>
      </c>
      <c r="AN121" s="78">
        <f>INDEX('Population Data by Age'!$B$7:$H$10366,MATCH(CONCATENATE('Tabular Pop Data by Age'!$C121,'Tabular Pop Data by Age'!AN$7),'Population Data by Age'!$B$7:$B$10366,0),MATCH('Tabular Pop Data by Age'!$C$6,'Population Data by Age'!$B$6:$H$6,0))</f>
        <v>6871000</v>
      </c>
      <c r="AO121" s="78">
        <f>INDEX('Population Data by Age'!$B$7:$H$10366,MATCH(CONCATENATE('Tabular Pop Data by Age'!$C121,'Tabular Pop Data by Age'!AO$7),'Population Data by Age'!$B$7:$B$10366,0),MATCH('Tabular Pop Data by Age'!$C$6,'Population Data by Age'!$B$6:$H$6,0))</f>
        <v>0</v>
      </c>
      <c r="AP121" s="79">
        <f t="shared" si="34"/>
        <v>624000</v>
      </c>
      <c r="AQ121" s="79">
        <f t="shared" si="35"/>
        <v>662000</v>
      </c>
      <c r="AR121" s="79">
        <f t="shared" si="36"/>
        <v>624000</v>
      </c>
      <c r="AS121" s="79">
        <f t="shared" si="37"/>
        <v>562000</v>
      </c>
      <c r="AT121" s="79">
        <f t="shared" si="38"/>
        <v>542000</v>
      </c>
      <c r="AU121" s="79">
        <f t="shared" si="39"/>
        <v>553000</v>
      </c>
      <c r="AV121" s="79">
        <f t="shared" si="40"/>
        <v>586000</v>
      </c>
      <c r="AW121" s="79">
        <f t="shared" si="41"/>
        <v>578000</v>
      </c>
      <c r="AX121" s="79">
        <f t="shared" si="42"/>
        <v>564000</v>
      </c>
      <c r="AY121" s="79">
        <f t="shared" si="43"/>
        <v>485000</v>
      </c>
      <c r="AZ121" s="79">
        <f t="shared" si="44"/>
        <v>372000</v>
      </c>
      <c r="BA121" s="79">
        <f t="shared" si="45"/>
        <v>245000</v>
      </c>
      <c r="BB121" s="79">
        <f t="shared" si="46"/>
        <v>164000</v>
      </c>
      <c r="BC121" s="79">
        <f t="shared" si="47"/>
        <v>121000</v>
      </c>
      <c r="BD121" s="79">
        <f t="shared" si="48"/>
        <v>79000</v>
      </c>
      <c r="BE121" s="79">
        <f t="shared" si="49"/>
        <v>60000</v>
      </c>
      <c r="BF121" s="79">
        <f t="shared" si="50"/>
        <v>52000</v>
      </c>
    </row>
    <row r="122" spans="1:58" x14ac:dyDescent="0.25">
      <c r="A122" s="138" t="s">
        <v>1195</v>
      </c>
      <c r="B122" t="s">
        <v>554</v>
      </c>
      <c r="C122" t="s">
        <v>555</v>
      </c>
      <c r="D122" s="78">
        <f>INDEX('Population Data by Age'!$B$7:$H$10366,MATCH(CONCATENATE('Tabular Pop Data by Age'!$C122,'Tabular Pop Data by Age'!D$7),'Population Data by Age'!$B$7:$B$10366,0),MATCH('Tabular Pop Data by Age'!$C$6,'Population Data by Age'!$B$6:$H$6,0))</f>
        <v>0</v>
      </c>
      <c r="E122" s="78">
        <f>INDEX('Population Data by Age'!$B$7:$H$10366,MATCH(CONCATENATE('Tabular Pop Data by Age'!$C122,'Tabular Pop Data by Age'!E$7),'Population Data by Age'!$B$7:$B$10366,0),MATCH('Tabular Pop Data by Age'!$C$6,'Population Data by Age'!$B$6:$H$6,0))</f>
        <v>0</v>
      </c>
      <c r="F122" s="78">
        <f>INDEX('Population Data by Age'!$B$7:$H$10366,MATCH(CONCATENATE('Tabular Pop Data by Age'!$C122,'Tabular Pop Data by Age'!F$7),'Population Data by Age'!$B$7:$B$10366,0),MATCH('Tabular Pop Data by Age'!$C$6,'Population Data by Age'!$B$6:$H$6,0))</f>
        <v>0</v>
      </c>
      <c r="G122" s="78">
        <f>INDEX('Population Data by Age'!$B$7:$H$10366,MATCH(CONCATENATE('Tabular Pop Data by Age'!$C122,'Tabular Pop Data by Age'!G$7),'Population Data by Age'!$B$7:$B$10366,0),MATCH('Tabular Pop Data by Age'!$C$6,'Population Data by Age'!$B$6:$H$6,0))</f>
        <v>0</v>
      </c>
      <c r="H122" s="78">
        <f>INDEX('Population Data by Age'!$B$7:$H$10366,MATCH(CONCATENATE('Tabular Pop Data by Age'!$C122,'Tabular Pop Data by Age'!H$7),'Population Data by Age'!$B$7:$B$10366,0),MATCH('Tabular Pop Data by Age'!$C$6,'Population Data by Age'!$B$6:$H$6,0))</f>
        <v>0</v>
      </c>
      <c r="I122" s="78">
        <f>INDEX('Population Data by Age'!$B$7:$H$10366,MATCH(CONCATENATE('Tabular Pop Data by Age'!$C122,'Tabular Pop Data by Age'!I$7),'Population Data by Age'!$B$7:$B$10366,0),MATCH('Tabular Pop Data by Age'!$C$6,'Population Data by Age'!$B$6:$H$6,0))</f>
        <v>0</v>
      </c>
      <c r="J122" s="78">
        <f>INDEX('Population Data by Age'!$B$7:$H$10366,MATCH(CONCATENATE('Tabular Pop Data by Age'!$C122,'Tabular Pop Data by Age'!J$7),'Population Data by Age'!$B$7:$B$10366,0),MATCH('Tabular Pop Data by Age'!$C$6,'Population Data by Age'!$B$6:$H$6,0))</f>
        <v>0</v>
      </c>
      <c r="K122" s="78">
        <f>INDEX('Population Data by Age'!$B$7:$H$10366,MATCH(CONCATENATE('Tabular Pop Data by Age'!$C122,'Tabular Pop Data by Age'!K$7),'Population Data by Age'!$B$7:$B$10366,0),MATCH('Tabular Pop Data by Age'!$C$6,'Population Data by Age'!$B$6:$H$6,0))</f>
        <v>0</v>
      </c>
      <c r="L122" s="78">
        <f>INDEX('Population Data by Age'!$B$7:$H$10366,MATCH(CONCATENATE('Tabular Pop Data by Age'!$C122,'Tabular Pop Data by Age'!L$7),'Population Data by Age'!$B$7:$B$10366,0),MATCH('Tabular Pop Data by Age'!$C$6,'Population Data by Age'!$B$6:$H$6,0))</f>
        <v>0</v>
      </c>
      <c r="M122" s="78">
        <f>INDEX('Population Data by Age'!$B$7:$H$10366,MATCH(CONCATENATE('Tabular Pop Data by Age'!$C122,'Tabular Pop Data by Age'!M$7),'Population Data by Age'!$B$7:$B$10366,0),MATCH('Tabular Pop Data by Age'!$C$6,'Population Data by Age'!$B$6:$H$6,0))</f>
        <v>0</v>
      </c>
      <c r="N122" s="78">
        <f>INDEX('Population Data by Age'!$B$7:$H$10366,MATCH(CONCATENATE('Tabular Pop Data by Age'!$C122,'Tabular Pop Data by Age'!N$7),'Population Data by Age'!$B$7:$B$10366,0),MATCH('Tabular Pop Data by Age'!$C$6,'Population Data by Age'!$B$6:$H$6,0))</f>
        <v>0</v>
      </c>
      <c r="O122" s="78">
        <f>INDEX('Population Data by Age'!$B$7:$H$10366,MATCH(CONCATENATE('Tabular Pop Data by Age'!$C122,'Tabular Pop Data by Age'!O$7),'Population Data by Age'!$B$7:$B$10366,0),MATCH('Tabular Pop Data by Age'!$C$6,'Population Data by Age'!$B$6:$H$6,0))</f>
        <v>0</v>
      </c>
      <c r="P122" s="78">
        <f>INDEX('Population Data by Age'!$B$7:$H$10366,MATCH(CONCATENATE('Tabular Pop Data by Age'!$C122,'Tabular Pop Data by Age'!P$7),'Population Data by Age'!$B$7:$B$10366,0),MATCH('Tabular Pop Data by Age'!$C$6,'Population Data by Age'!$B$6:$H$6,0))</f>
        <v>0</v>
      </c>
      <c r="Q122" s="78">
        <f>INDEX('Population Data by Age'!$B$7:$H$10366,MATCH(CONCATENATE('Tabular Pop Data by Age'!$C122,'Tabular Pop Data by Age'!Q$7),'Population Data by Age'!$B$7:$B$10366,0),MATCH('Tabular Pop Data by Age'!$C$6,'Population Data by Age'!$B$6:$H$6,0))</f>
        <v>0</v>
      </c>
      <c r="R122" s="78">
        <f>INDEX('Population Data by Age'!$B$7:$H$10366,MATCH(CONCATENATE('Tabular Pop Data by Age'!$C122,'Tabular Pop Data by Age'!R$7),'Population Data by Age'!$B$7:$B$10366,0),MATCH('Tabular Pop Data by Age'!$C$6,'Population Data by Age'!$B$6:$H$6,0))</f>
        <v>0</v>
      </c>
      <c r="S122" s="78">
        <f>INDEX('Population Data by Age'!$B$7:$H$10366,MATCH(CONCATENATE('Tabular Pop Data by Age'!$C122,'Tabular Pop Data by Age'!S$7),'Population Data by Age'!$B$7:$B$10366,0),MATCH('Tabular Pop Data by Age'!$C$6,'Population Data by Age'!$B$6:$H$6,0))</f>
        <v>0</v>
      </c>
      <c r="T122" s="78">
        <f>INDEX('Population Data by Age'!$B$7:$H$10366,MATCH(CONCATENATE('Tabular Pop Data by Age'!$C122,'Tabular Pop Data by Age'!T$7),'Population Data by Age'!$B$7:$B$10366,0),MATCH('Tabular Pop Data by Age'!$C$6,'Population Data by Age'!$B$6:$H$6,0))</f>
        <v>0</v>
      </c>
      <c r="U122" s="78">
        <f>INDEX('Population Data by Age'!$B$7:$H$10366,MATCH(CONCATENATE('Tabular Pop Data by Age'!$C122,'Tabular Pop Data by Age'!U$7),'Population Data by Age'!$B$7:$B$10366,0),MATCH('Tabular Pop Data by Age'!$C$6,'Population Data by Age'!$B$6:$H$6,0))</f>
        <v>0</v>
      </c>
      <c r="V122" s="78">
        <f>INDEX('Population Data by Age'!$B$7:$H$10366,MATCH(CONCATENATE('Tabular Pop Data by Age'!$C122,'Tabular Pop Data by Age'!V$7),'Population Data by Age'!$B$7:$B$10366,0),MATCH('Tabular Pop Data by Age'!$C$6,'Population Data by Age'!$B$6:$H$6,0))</f>
        <v>0</v>
      </c>
      <c r="W122" s="78">
        <f>INDEX('Population Data by Age'!$B$7:$H$10366,MATCH(CONCATENATE('Tabular Pop Data by Age'!$C122,'Tabular Pop Data by Age'!W$7),'Population Data by Age'!$B$7:$B$10366,0),MATCH('Tabular Pop Data by Age'!$C$6,'Population Data by Age'!$B$6:$H$6,0))</f>
        <v>0</v>
      </c>
      <c r="X122" s="78">
        <f>INDEX('Population Data by Age'!$B$7:$H$10366,MATCH(CONCATENATE('Tabular Pop Data by Age'!$C122,'Tabular Pop Data by Age'!X$7),'Population Data by Age'!$B$7:$B$10366,0),MATCH('Tabular Pop Data by Age'!$C$6,'Population Data by Age'!$B$6:$H$6,0))</f>
        <v>0</v>
      </c>
      <c r="Y122" s="78">
        <f>INDEX('Population Data by Age'!$B$7:$H$10366,MATCH(CONCATENATE('Tabular Pop Data by Age'!$C122,'Tabular Pop Data by Age'!Y$7),'Population Data by Age'!$B$7:$B$10366,0),MATCH('Tabular Pop Data by Age'!$C$6,'Population Data by Age'!$B$6:$H$6,0))</f>
        <v>0</v>
      </c>
      <c r="Z122" s="78">
        <f>INDEX('Population Data by Age'!$B$7:$H$10366,MATCH(CONCATENATE('Tabular Pop Data by Age'!$C122,'Tabular Pop Data by Age'!Z$7),'Population Data by Age'!$B$7:$B$10366,0),MATCH('Tabular Pop Data by Age'!$C$6,'Population Data by Age'!$B$6:$H$6,0))</f>
        <v>0</v>
      </c>
      <c r="AA122" s="78">
        <f>INDEX('Population Data by Age'!$B$7:$H$10366,MATCH(CONCATENATE('Tabular Pop Data by Age'!$C122,'Tabular Pop Data by Age'!AA$7),'Population Data by Age'!$B$7:$B$10366,0),MATCH('Tabular Pop Data by Age'!$C$6,'Population Data by Age'!$B$6:$H$6,0))</f>
        <v>0</v>
      </c>
      <c r="AB122" s="78">
        <f>INDEX('Population Data by Age'!$B$7:$H$10366,MATCH(CONCATENATE('Tabular Pop Data by Age'!$C122,'Tabular Pop Data by Age'!AB$7),'Population Data by Age'!$B$7:$B$10366,0),MATCH('Tabular Pop Data by Age'!$C$6,'Population Data by Age'!$B$6:$H$6,0))</f>
        <v>0</v>
      </c>
      <c r="AC122" s="78">
        <f>INDEX('Population Data by Age'!$B$7:$H$10366,MATCH(CONCATENATE('Tabular Pop Data by Age'!$C122,'Tabular Pop Data by Age'!AC$7),'Population Data by Age'!$B$7:$B$10366,0),MATCH('Tabular Pop Data by Age'!$C$6,'Population Data by Age'!$B$6:$H$6,0))</f>
        <v>0</v>
      </c>
      <c r="AD122" s="78">
        <f>INDEX('Population Data by Age'!$B$7:$H$10366,MATCH(CONCATENATE('Tabular Pop Data by Age'!$C122,'Tabular Pop Data by Age'!AD$7),'Population Data by Age'!$B$7:$B$10366,0),MATCH('Tabular Pop Data by Age'!$C$6,'Population Data by Age'!$B$6:$H$6,0))</f>
        <v>0</v>
      </c>
      <c r="AE122" s="78">
        <f>INDEX('Population Data by Age'!$B$7:$H$10366,MATCH(CONCATENATE('Tabular Pop Data by Age'!$C122,'Tabular Pop Data by Age'!AE$7),'Population Data by Age'!$B$7:$B$10366,0),MATCH('Tabular Pop Data by Age'!$C$6,'Population Data by Age'!$B$6:$H$6,0))</f>
        <v>0</v>
      </c>
      <c r="AF122" s="78">
        <f>INDEX('Population Data by Age'!$B$7:$H$10366,MATCH(CONCATENATE('Tabular Pop Data by Age'!$C122,'Tabular Pop Data by Age'!AF$7),'Population Data by Age'!$B$7:$B$10366,0),MATCH('Tabular Pop Data by Age'!$C$6,'Population Data by Age'!$B$6:$H$6,0))</f>
        <v>0</v>
      </c>
      <c r="AG122" s="78">
        <f>INDEX('Population Data by Age'!$B$7:$H$10366,MATCH(CONCATENATE('Tabular Pop Data by Age'!$C122,'Tabular Pop Data by Age'!AG$7),'Population Data by Age'!$B$7:$B$10366,0),MATCH('Tabular Pop Data by Age'!$C$6,'Population Data by Age'!$B$6:$H$6,0))</f>
        <v>0</v>
      </c>
      <c r="AH122" s="78">
        <f>INDEX('Population Data by Age'!$B$7:$H$10366,MATCH(CONCATENATE('Tabular Pop Data by Age'!$C122,'Tabular Pop Data by Age'!AH$7),'Population Data by Age'!$B$7:$B$10366,0),MATCH('Tabular Pop Data by Age'!$C$6,'Population Data by Age'!$B$6:$H$6,0))</f>
        <v>0</v>
      </c>
      <c r="AI122" s="78">
        <f>INDEX('Population Data by Age'!$B$7:$H$10366,MATCH(CONCATENATE('Tabular Pop Data by Age'!$C122,'Tabular Pop Data by Age'!AI$7),'Population Data by Age'!$B$7:$B$10366,0),MATCH('Tabular Pop Data by Age'!$C$6,'Population Data by Age'!$B$6:$H$6,0))</f>
        <v>0</v>
      </c>
      <c r="AJ122" s="78">
        <f>INDEX('Population Data by Age'!$B$7:$H$10366,MATCH(CONCATENATE('Tabular Pop Data by Age'!$C122,'Tabular Pop Data by Age'!AJ$7),'Population Data by Age'!$B$7:$B$10366,0),MATCH('Tabular Pop Data by Age'!$C$6,'Population Data by Age'!$B$6:$H$6,0))</f>
        <v>0</v>
      </c>
      <c r="AK122" s="78">
        <f>INDEX('Population Data by Age'!$B$7:$H$10366,MATCH(CONCATENATE('Tabular Pop Data by Age'!$C122,'Tabular Pop Data by Age'!AK$7),'Population Data by Age'!$B$7:$B$10366,0),MATCH('Tabular Pop Data by Age'!$C$6,'Population Data by Age'!$B$6:$H$6,0))</f>
        <v>0</v>
      </c>
      <c r="AL122" s="78">
        <f>INDEX('Population Data by Age'!$B$7:$H$10366,MATCH(CONCATENATE('Tabular Pop Data by Age'!$C122,'Tabular Pop Data by Age'!AL$7),'Population Data by Age'!$B$7:$B$10366,0),MATCH('Tabular Pop Data by Age'!$C$6,'Population Data by Age'!$B$6:$H$6,0))</f>
        <v>0</v>
      </c>
      <c r="AM122" s="78">
        <f>INDEX('Population Data by Age'!$B$7:$H$10366,MATCH(CONCATENATE('Tabular Pop Data by Age'!$C122,'Tabular Pop Data by Age'!AM$7),'Population Data by Age'!$B$7:$B$10366,0),MATCH('Tabular Pop Data by Age'!$C$6,'Population Data by Age'!$B$6:$H$6,0))</f>
        <v>0</v>
      </c>
      <c r="AN122" s="78">
        <f>INDEX('Population Data by Age'!$B$7:$H$10366,MATCH(CONCATENATE('Tabular Pop Data by Age'!$C122,'Tabular Pop Data by Age'!AN$7),'Population Data by Age'!$B$7:$B$10366,0),MATCH('Tabular Pop Data by Age'!$C$6,'Population Data by Age'!$B$6:$H$6,0))</f>
        <v>38000</v>
      </c>
      <c r="AO122" s="78">
        <f>INDEX('Population Data by Age'!$B$7:$H$10366,MATCH(CONCATENATE('Tabular Pop Data by Age'!$C122,'Tabular Pop Data by Age'!AO$7),'Population Data by Age'!$B$7:$B$10366,0),MATCH('Tabular Pop Data by Age'!$C$6,'Population Data by Age'!$B$6:$H$6,0))</f>
        <v>0</v>
      </c>
      <c r="AP122" s="79">
        <f t="shared" si="34"/>
        <v>0</v>
      </c>
      <c r="AQ122" s="79">
        <f t="shared" si="35"/>
        <v>0</v>
      </c>
      <c r="AR122" s="79">
        <f t="shared" si="36"/>
        <v>0</v>
      </c>
      <c r="AS122" s="79">
        <f t="shared" si="37"/>
        <v>0</v>
      </c>
      <c r="AT122" s="79">
        <f t="shared" si="38"/>
        <v>0</v>
      </c>
      <c r="AU122" s="79">
        <f t="shared" si="39"/>
        <v>0</v>
      </c>
      <c r="AV122" s="79">
        <f t="shared" si="40"/>
        <v>0</v>
      </c>
      <c r="AW122" s="79">
        <f t="shared" si="41"/>
        <v>0</v>
      </c>
      <c r="AX122" s="79">
        <f t="shared" si="42"/>
        <v>0</v>
      </c>
      <c r="AY122" s="79">
        <f t="shared" si="43"/>
        <v>0</v>
      </c>
      <c r="AZ122" s="79">
        <f t="shared" si="44"/>
        <v>0</v>
      </c>
      <c r="BA122" s="79">
        <f t="shared" si="45"/>
        <v>0</v>
      </c>
      <c r="BB122" s="79">
        <f t="shared" si="46"/>
        <v>0</v>
      </c>
      <c r="BC122" s="79">
        <f t="shared" si="47"/>
        <v>0</v>
      </c>
      <c r="BD122" s="79">
        <f t="shared" si="48"/>
        <v>0</v>
      </c>
      <c r="BE122" s="79">
        <f t="shared" si="49"/>
        <v>0</v>
      </c>
      <c r="BF122" s="79">
        <f t="shared" si="50"/>
        <v>0</v>
      </c>
    </row>
    <row r="123" spans="1:58" x14ac:dyDescent="0.25">
      <c r="A123" s="138" t="s">
        <v>1195</v>
      </c>
      <c r="B123" t="s">
        <v>556</v>
      </c>
      <c r="C123" t="s">
        <v>82</v>
      </c>
      <c r="D123" s="78">
        <f>INDEX('Population Data by Age'!$B$7:$H$10366,MATCH(CONCATENATE('Tabular Pop Data by Age'!$C123,'Tabular Pop Data by Age'!D$7),'Population Data by Age'!$B$7:$B$10366,0),MATCH('Tabular Pop Data by Age'!$C$6,'Population Data by Age'!$B$6:$H$6,0))</f>
        <v>72000</v>
      </c>
      <c r="E123" s="78">
        <f>INDEX('Population Data by Age'!$B$7:$H$10366,MATCH(CONCATENATE('Tabular Pop Data by Age'!$C123,'Tabular Pop Data by Age'!E$7),'Population Data by Age'!$B$7:$B$10366,0),MATCH('Tabular Pop Data by Age'!$C$6,'Population Data by Age'!$B$6:$H$6,0))</f>
        <v>76000</v>
      </c>
      <c r="F123" s="78">
        <f>INDEX('Population Data by Age'!$B$7:$H$10366,MATCH(CONCATENATE('Tabular Pop Data by Age'!$C123,'Tabular Pop Data by Age'!F$7),'Population Data by Age'!$B$7:$B$10366,0),MATCH('Tabular Pop Data by Age'!$C$6,'Population Data by Age'!$B$6:$H$6,0))</f>
        <v>77000</v>
      </c>
      <c r="G123" s="78">
        <f>INDEX('Population Data by Age'!$B$7:$H$10366,MATCH(CONCATENATE('Tabular Pop Data by Age'!$C123,'Tabular Pop Data by Age'!G$7),'Population Data by Age'!$B$7:$B$10366,0),MATCH('Tabular Pop Data by Age'!$C$6,'Population Data by Age'!$B$6:$H$6,0))</f>
        <v>81000</v>
      </c>
      <c r="H123" s="78">
        <f>INDEX('Population Data by Age'!$B$7:$H$10366,MATCH(CONCATENATE('Tabular Pop Data by Age'!$C123,'Tabular Pop Data by Age'!H$7),'Population Data by Age'!$B$7:$B$10366,0),MATCH('Tabular Pop Data by Age'!$C$6,'Population Data by Age'!$B$6:$H$6,0))</f>
        <v>60000</v>
      </c>
      <c r="I123" s="78">
        <f>INDEX('Population Data by Age'!$B$7:$H$10366,MATCH(CONCATENATE('Tabular Pop Data by Age'!$C123,'Tabular Pop Data by Age'!I$7),'Population Data by Age'!$B$7:$B$10366,0),MATCH('Tabular Pop Data by Age'!$C$6,'Population Data by Age'!$B$6:$H$6,0))</f>
        <v>63000</v>
      </c>
      <c r="J123" s="78">
        <f>INDEX('Population Data by Age'!$B$7:$H$10366,MATCH(CONCATENATE('Tabular Pop Data by Age'!$C123,'Tabular Pop Data by Age'!J$7),'Population Data by Age'!$B$7:$B$10366,0),MATCH('Tabular Pop Data by Age'!$C$6,'Population Data by Age'!$B$6:$H$6,0))</f>
        <v>60000</v>
      </c>
      <c r="K123" s="78">
        <f>INDEX('Population Data by Age'!$B$7:$H$10366,MATCH(CONCATENATE('Tabular Pop Data by Age'!$C123,'Tabular Pop Data by Age'!K$7),'Population Data by Age'!$B$7:$B$10366,0),MATCH('Tabular Pop Data by Age'!$C$6,'Population Data by Age'!$B$6:$H$6,0))</f>
        <v>64000</v>
      </c>
      <c r="L123" s="78">
        <f>INDEX('Population Data by Age'!$B$7:$H$10366,MATCH(CONCATENATE('Tabular Pop Data by Age'!$C123,'Tabular Pop Data by Age'!L$7),'Population Data by Age'!$B$7:$B$10366,0),MATCH('Tabular Pop Data by Age'!$C$6,'Population Data by Age'!$B$6:$H$6,0))</f>
        <v>66000</v>
      </c>
      <c r="M123" s="78">
        <f>INDEX('Population Data by Age'!$B$7:$H$10366,MATCH(CONCATENATE('Tabular Pop Data by Age'!$C123,'Tabular Pop Data by Age'!M$7),'Population Data by Age'!$B$7:$B$10366,0),MATCH('Tabular Pop Data by Age'!$C$6,'Population Data by Age'!$B$6:$H$6,0))</f>
        <v>70000</v>
      </c>
      <c r="N123" s="78">
        <f>INDEX('Population Data by Age'!$B$7:$H$10366,MATCH(CONCATENATE('Tabular Pop Data by Age'!$C123,'Tabular Pop Data by Age'!N$7),'Population Data by Age'!$B$7:$B$10366,0),MATCH('Tabular Pop Data by Age'!$C$6,'Population Data by Age'!$B$6:$H$6,0))</f>
        <v>89000</v>
      </c>
      <c r="O123" s="78">
        <f>INDEX('Population Data by Age'!$B$7:$H$10366,MATCH(CONCATENATE('Tabular Pop Data by Age'!$C123,'Tabular Pop Data by Age'!O$7),'Population Data by Age'!$B$7:$B$10366,0),MATCH('Tabular Pop Data by Age'!$C$6,'Population Data by Age'!$B$6:$H$6,0))</f>
        <v>98000</v>
      </c>
      <c r="P123" s="78">
        <f>INDEX('Population Data by Age'!$B$7:$H$10366,MATCH(CONCATENATE('Tabular Pop Data by Age'!$C123,'Tabular Pop Data by Age'!P$7),'Population Data by Age'!$B$7:$B$10366,0),MATCH('Tabular Pop Data by Age'!$C$6,'Population Data by Age'!$B$6:$H$6,0))</f>
        <v>91000</v>
      </c>
      <c r="Q123" s="78">
        <f>INDEX('Population Data by Age'!$B$7:$H$10366,MATCH(CONCATENATE('Tabular Pop Data by Age'!$C123,'Tabular Pop Data by Age'!Q$7),'Population Data by Age'!$B$7:$B$10366,0),MATCH('Tabular Pop Data by Age'!$C$6,'Population Data by Age'!$B$6:$H$6,0))</f>
        <v>98000</v>
      </c>
      <c r="R123" s="78">
        <f>INDEX('Population Data by Age'!$B$7:$H$10366,MATCH(CONCATENATE('Tabular Pop Data by Age'!$C123,'Tabular Pop Data by Age'!R$7),'Population Data by Age'!$B$7:$B$10366,0),MATCH('Tabular Pop Data by Age'!$C$6,'Population Data by Age'!$B$6:$H$6,0))</f>
        <v>74000</v>
      </c>
      <c r="S123" s="78">
        <f>INDEX('Population Data by Age'!$B$7:$H$10366,MATCH(CONCATENATE('Tabular Pop Data by Age'!$C123,'Tabular Pop Data by Age'!S$7),'Population Data by Age'!$B$7:$B$10366,0),MATCH('Tabular Pop Data by Age'!$C$6,'Population Data by Age'!$B$6:$H$6,0))</f>
        <v>79000</v>
      </c>
      <c r="T123" s="78">
        <f>INDEX('Population Data by Age'!$B$7:$H$10366,MATCH(CONCATENATE('Tabular Pop Data by Age'!$C123,'Tabular Pop Data by Age'!T$7),'Population Data by Age'!$B$7:$B$10366,0),MATCH('Tabular Pop Data by Age'!$C$6,'Population Data by Age'!$B$6:$H$6,0))</f>
        <v>82000</v>
      </c>
      <c r="U123" s="78">
        <f>INDEX('Population Data by Age'!$B$7:$H$10366,MATCH(CONCATENATE('Tabular Pop Data by Age'!$C123,'Tabular Pop Data by Age'!U$7),'Population Data by Age'!$B$7:$B$10366,0),MATCH('Tabular Pop Data by Age'!$C$6,'Population Data by Age'!$B$6:$H$6,0))</f>
        <v>81000</v>
      </c>
      <c r="V123" s="78">
        <f>INDEX('Population Data by Age'!$B$7:$H$10366,MATCH(CONCATENATE('Tabular Pop Data by Age'!$C123,'Tabular Pop Data by Age'!V$7),'Population Data by Age'!$B$7:$B$10366,0),MATCH('Tabular Pop Data by Age'!$C$6,'Population Data by Age'!$B$6:$H$6,0))</f>
        <v>102000</v>
      </c>
      <c r="W123" s="78">
        <f>INDEX('Population Data by Age'!$B$7:$H$10366,MATCH(CONCATENATE('Tabular Pop Data by Age'!$C123,'Tabular Pop Data by Age'!W$7),'Population Data by Age'!$B$7:$B$10366,0),MATCH('Tabular Pop Data by Age'!$C$6,'Population Data by Age'!$B$6:$H$6,0))</f>
        <v>96000</v>
      </c>
      <c r="X123" s="78">
        <f>INDEX('Population Data by Age'!$B$7:$H$10366,MATCH(CONCATENATE('Tabular Pop Data by Age'!$C123,'Tabular Pop Data by Age'!X$7),'Population Data by Age'!$B$7:$B$10366,0),MATCH('Tabular Pop Data by Age'!$C$6,'Population Data by Age'!$B$6:$H$6,0))</f>
        <v>98000</v>
      </c>
      <c r="Y123" s="78">
        <f>INDEX('Population Data by Age'!$B$7:$H$10366,MATCH(CONCATENATE('Tabular Pop Data by Age'!$C123,'Tabular Pop Data by Age'!Y$7),'Population Data by Age'!$B$7:$B$10366,0),MATCH('Tabular Pop Data by Age'!$C$6,'Population Data by Age'!$B$6:$H$6,0))</f>
        <v>89000</v>
      </c>
      <c r="Z123" s="78">
        <f>INDEX('Population Data by Age'!$B$7:$H$10366,MATCH(CONCATENATE('Tabular Pop Data by Age'!$C123,'Tabular Pop Data by Age'!Z$7),'Population Data by Age'!$B$7:$B$10366,0),MATCH('Tabular Pop Data by Age'!$C$6,'Population Data by Age'!$B$6:$H$6,0))</f>
        <v>130000</v>
      </c>
      <c r="AA123" s="78">
        <f>INDEX('Population Data by Age'!$B$7:$H$10366,MATCH(CONCATENATE('Tabular Pop Data by Age'!$C123,'Tabular Pop Data by Age'!AA$7),'Population Data by Age'!$B$7:$B$10366,0),MATCH('Tabular Pop Data by Age'!$C$6,'Population Data by Age'!$B$6:$H$6,0))</f>
        <v>109000</v>
      </c>
      <c r="AB123" s="78">
        <f>INDEX('Population Data by Age'!$B$7:$H$10366,MATCH(CONCATENATE('Tabular Pop Data by Age'!$C123,'Tabular Pop Data by Age'!AB$7),'Population Data by Age'!$B$7:$B$10366,0),MATCH('Tabular Pop Data by Age'!$C$6,'Population Data by Age'!$B$6:$H$6,0))</f>
        <v>107000</v>
      </c>
      <c r="AC123" s="78">
        <f>INDEX('Population Data by Age'!$B$7:$H$10366,MATCH(CONCATENATE('Tabular Pop Data by Age'!$C123,'Tabular Pop Data by Age'!AC$7),'Population Data by Age'!$B$7:$B$10366,0),MATCH('Tabular Pop Data by Age'!$C$6,'Population Data by Age'!$B$6:$H$6,0))</f>
        <v>82000</v>
      </c>
      <c r="AD123" s="78">
        <f>INDEX('Population Data by Age'!$B$7:$H$10366,MATCH(CONCATENATE('Tabular Pop Data by Age'!$C123,'Tabular Pop Data by Age'!AD$7),'Population Data by Age'!$B$7:$B$10366,0),MATCH('Tabular Pop Data by Age'!$C$6,'Population Data by Age'!$B$6:$H$6,0))</f>
        <v>102000</v>
      </c>
      <c r="AE123" s="78">
        <f>INDEX('Population Data by Age'!$B$7:$H$10366,MATCH(CONCATENATE('Tabular Pop Data by Age'!$C123,'Tabular Pop Data by Age'!AE$7),'Population Data by Age'!$B$7:$B$10366,0),MATCH('Tabular Pop Data by Age'!$C$6,'Population Data by Age'!$B$6:$H$6,0))</f>
        <v>67000</v>
      </c>
      <c r="AF123" s="78">
        <f>INDEX('Population Data by Age'!$B$7:$H$10366,MATCH(CONCATENATE('Tabular Pop Data by Age'!$C123,'Tabular Pop Data by Age'!AF$7),'Population Data by Age'!$B$7:$B$10366,0),MATCH('Tabular Pop Data by Age'!$C$6,'Population Data by Age'!$B$6:$H$6,0))</f>
        <v>71000</v>
      </c>
      <c r="AG123" s="78">
        <f>INDEX('Population Data by Age'!$B$7:$H$10366,MATCH(CONCATENATE('Tabular Pop Data by Age'!$C123,'Tabular Pop Data by Age'!AG$7),'Population Data by Age'!$B$7:$B$10366,0),MATCH('Tabular Pop Data by Age'!$C$6,'Population Data by Age'!$B$6:$H$6,0))</f>
        <v>39000</v>
      </c>
      <c r="AH123" s="78">
        <f>INDEX('Population Data by Age'!$B$7:$H$10366,MATCH(CONCATENATE('Tabular Pop Data by Age'!$C123,'Tabular Pop Data by Age'!AH$7),'Population Data by Age'!$B$7:$B$10366,0),MATCH('Tabular Pop Data by Age'!$C$6,'Population Data by Age'!$B$6:$H$6,0))</f>
        <v>79000</v>
      </c>
      <c r="AI123" s="78">
        <f>INDEX('Population Data by Age'!$B$7:$H$10366,MATCH(CONCATENATE('Tabular Pop Data by Age'!$C123,'Tabular Pop Data by Age'!AI$7),'Population Data by Age'!$B$7:$B$10366,0),MATCH('Tabular Pop Data by Age'!$C$6,'Population Data by Age'!$B$6:$H$6,0))</f>
        <v>38000</v>
      </c>
      <c r="AJ123" s="78">
        <f>INDEX('Population Data by Age'!$B$7:$H$10366,MATCH(CONCATENATE('Tabular Pop Data by Age'!$C123,'Tabular Pop Data by Age'!AJ$7),'Population Data by Age'!$B$7:$B$10366,0),MATCH('Tabular Pop Data by Age'!$C$6,'Population Data by Age'!$B$6:$H$6,0))</f>
        <v>126000</v>
      </c>
      <c r="AK123" s="78">
        <f>INDEX('Population Data by Age'!$B$7:$H$10366,MATCH(CONCATENATE('Tabular Pop Data by Age'!$C123,'Tabular Pop Data by Age'!AK$7),'Population Data by Age'!$B$7:$B$10366,0),MATCH('Tabular Pop Data by Age'!$C$6,'Population Data by Age'!$B$6:$H$6,0))</f>
        <v>49000</v>
      </c>
      <c r="AL123" s="78">
        <f>INDEX('Population Data by Age'!$B$7:$H$10366,MATCH(CONCATENATE('Tabular Pop Data by Age'!$C123,'Tabular Pop Data by Age'!AL$7),'Population Data by Age'!$B$7:$B$10366,0),MATCH('Tabular Pop Data by Age'!$C$6,'Population Data by Age'!$B$6:$H$6,0))</f>
        <v>1486000</v>
      </c>
      <c r="AM123" s="78">
        <f>INDEX('Population Data by Age'!$B$7:$H$10366,MATCH(CONCATENATE('Tabular Pop Data by Age'!$C123,'Tabular Pop Data by Age'!AM$7),'Population Data by Age'!$B$7:$B$10366,0),MATCH('Tabular Pop Data by Age'!$C$6,'Population Data by Age'!$B$6:$H$6,0))</f>
        <v>1281000</v>
      </c>
      <c r="AN123" s="78">
        <f>INDEX('Population Data by Age'!$B$7:$H$10366,MATCH(CONCATENATE('Tabular Pop Data by Age'!$C123,'Tabular Pop Data by Age'!AN$7),'Population Data by Age'!$B$7:$B$10366,0),MATCH('Tabular Pop Data by Age'!$C$6,'Population Data by Age'!$B$6:$H$6,0))</f>
        <v>2767000</v>
      </c>
      <c r="AO123" s="78">
        <f>INDEX('Population Data by Age'!$B$7:$H$10366,MATCH(CONCATENATE('Tabular Pop Data by Age'!$C123,'Tabular Pop Data by Age'!AO$7),'Population Data by Age'!$B$7:$B$10366,0),MATCH('Tabular Pop Data by Age'!$C$6,'Population Data by Age'!$B$6:$H$6,0))</f>
        <v>0</v>
      </c>
      <c r="AP123" s="79">
        <f t="shared" si="34"/>
        <v>148000</v>
      </c>
      <c r="AQ123" s="79">
        <f t="shared" si="35"/>
        <v>158000</v>
      </c>
      <c r="AR123" s="79">
        <f t="shared" si="36"/>
        <v>123000</v>
      </c>
      <c r="AS123" s="79">
        <f t="shared" si="37"/>
        <v>124000</v>
      </c>
      <c r="AT123" s="79">
        <f t="shared" si="38"/>
        <v>136000</v>
      </c>
      <c r="AU123" s="79">
        <f t="shared" si="39"/>
        <v>187000</v>
      </c>
      <c r="AV123" s="79">
        <f t="shared" si="40"/>
        <v>189000</v>
      </c>
      <c r="AW123" s="79">
        <f t="shared" si="41"/>
        <v>153000</v>
      </c>
      <c r="AX123" s="79">
        <f t="shared" si="42"/>
        <v>163000</v>
      </c>
      <c r="AY123" s="79">
        <f t="shared" si="43"/>
        <v>198000</v>
      </c>
      <c r="AZ123" s="79">
        <f t="shared" si="44"/>
        <v>187000</v>
      </c>
      <c r="BA123" s="79">
        <f t="shared" si="45"/>
        <v>239000</v>
      </c>
      <c r="BB123" s="79">
        <f t="shared" si="46"/>
        <v>189000</v>
      </c>
      <c r="BC123" s="79">
        <f t="shared" si="47"/>
        <v>169000</v>
      </c>
      <c r="BD123" s="79">
        <f t="shared" si="48"/>
        <v>110000</v>
      </c>
      <c r="BE123" s="79">
        <f t="shared" si="49"/>
        <v>117000</v>
      </c>
      <c r="BF123" s="79">
        <f t="shared" si="50"/>
        <v>175000</v>
      </c>
    </row>
    <row r="124" spans="1:58" x14ac:dyDescent="0.25">
      <c r="A124" s="138" t="s">
        <v>1195</v>
      </c>
      <c r="B124" t="s">
        <v>563</v>
      </c>
      <c r="C124" t="s">
        <v>83</v>
      </c>
      <c r="D124" s="78">
        <f>INDEX('Population Data by Age'!$B$7:$H$10366,MATCH(CONCATENATE('Tabular Pop Data by Age'!$C124,'Tabular Pop Data by Age'!D$7),'Population Data by Age'!$B$7:$B$10366,0),MATCH('Tabular Pop Data by Age'!$C$6,'Population Data by Age'!$B$6:$H$6,0))</f>
        <v>16000</v>
      </c>
      <c r="E124" s="78">
        <f>INDEX('Population Data by Age'!$B$7:$H$10366,MATCH(CONCATENATE('Tabular Pop Data by Age'!$C124,'Tabular Pop Data by Age'!E$7),'Population Data by Age'!$B$7:$B$10366,0),MATCH('Tabular Pop Data by Age'!$C$6,'Population Data by Age'!$B$6:$H$6,0))</f>
        <v>17000</v>
      </c>
      <c r="F124" s="78">
        <f>INDEX('Population Data by Age'!$B$7:$H$10366,MATCH(CONCATENATE('Tabular Pop Data by Age'!$C124,'Tabular Pop Data by Age'!F$7),'Population Data by Age'!$B$7:$B$10366,0),MATCH('Tabular Pop Data by Age'!$C$6,'Population Data by Age'!$B$6:$H$6,0))</f>
        <v>16000</v>
      </c>
      <c r="G124" s="78">
        <f>INDEX('Population Data by Age'!$B$7:$H$10366,MATCH(CONCATENATE('Tabular Pop Data by Age'!$C124,'Tabular Pop Data by Age'!G$7),'Population Data by Age'!$B$7:$B$10366,0),MATCH('Tabular Pop Data by Age'!$C$6,'Population Data by Age'!$B$6:$H$6,0))</f>
        <v>17000</v>
      </c>
      <c r="H124" s="78">
        <f>INDEX('Population Data by Age'!$B$7:$H$10366,MATCH(CONCATENATE('Tabular Pop Data by Age'!$C124,'Tabular Pop Data by Age'!H$7),'Population Data by Age'!$B$7:$B$10366,0),MATCH('Tabular Pop Data by Age'!$C$6,'Population Data by Age'!$B$6:$H$6,0))</f>
        <v>15000</v>
      </c>
      <c r="I124" s="78">
        <f>INDEX('Population Data by Age'!$B$7:$H$10366,MATCH(CONCATENATE('Tabular Pop Data by Age'!$C124,'Tabular Pop Data by Age'!I$7),'Population Data by Age'!$B$7:$B$10366,0),MATCH('Tabular Pop Data by Age'!$C$6,'Population Data by Age'!$B$6:$H$6,0))</f>
        <v>16000</v>
      </c>
      <c r="J124" s="78">
        <f>INDEX('Population Data by Age'!$B$7:$H$10366,MATCH(CONCATENATE('Tabular Pop Data by Age'!$C124,'Tabular Pop Data by Age'!J$7),'Population Data by Age'!$B$7:$B$10366,0),MATCH('Tabular Pop Data by Age'!$C$6,'Population Data by Age'!$B$6:$H$6,0))</f>
        <v>17000</v>
      </c>
      <c r="K124" s="78">
        <f>INDEX('Population Data by Age'!$B$7:$H$10366,MATCH(CONCATENATE('Tabular Pop Data by Age'!$C124,'Tabular Pop Data by Age'!K$7),'Population Data by Age'!$B$7:$B$10366,0),MATCH('Tabular Pop Data by Age'!$C$6,'Population Data by Age'!$B$6:$H$6,0))</f>
        <v>18000</v>
      </c>
      <c r="L124" s="78">
        <f>INDEX('Population Data by Age'!$B$7:$H$10366,MATCH(CONCATENATE('Tabular Pop Data by Age'!$C124,'Tabular Pop Data by Age'!L$7),'Population Data by Age'!$B$7:$B$10366,0),MATCH('Tabular Pop Data by Age'!$C$6,'Population Data by Age'!$B$6:$H$6,0))</f>
        <v>19000</v>
      </c>
      <c r="M124" s="78">
        <f>INDEX('Population Data by Age'!$B$7:$H$10366,MATCH(CONCATENATE('Tabular Pop Data by Age'!$C124,'Tabular Pop Data by Age'!M$7),'Population Data by Age'!$B$7:$B$10366,0),MATCH('Tabular Pop Data by Age'!$C$6,'Population Data by Age'!$B$6:$H$6,0))</f>
        <v>20000</v>
      </c>
      <c r="N124" s="78">
        <f>INDEX('Population Data by Age'!$B$7:$H$10366,MATCH(CONCATENATE('Tabular Pop Data by Age'!$C124,'Tabular Pop Data by Age'!N$7),'Population Data by Age'!$B$7:$B$10366,0),MATCH('Tabular Pop Data by Age'!$C$6,'Population Data by Age'!$B$6:$H$6,0))</f>
        <v>22000</v>
      </c>
      <c r="O124" s="78">
        <f>INDEX('Population Data by Age'!$B$7:$H$10366,MATCH(CONCATENATE('Tabular Pop Data by Age'!$C124,'Tabular Pop Data by Age'!O$7),'Population Data by Age'!$B$7:$B$10366,0),MATCH('Tabular Pop Data by Age'!$C$6,'Population Data by Age'!$B$6:$H$6,0))</f>
        <v>23000</v>
      </c>
      <c r="P124" s="78">
        <f>INDEX('Population Data by Age'!$B$7:$H$10366,MATCH(CONCATENATE('Tabular Pop Data by Age'!$C124,'Tabular Pop Data by Age'!P$7),'Population Data by Age'!$B$7:$B$10366,0),MATCH('Tabular Pop Data by Age'!$C$6,'Population Data by Age'!$B$6:$H$6,0))</f>
        <v>24000</v>
      </c>
      <c r="Q124" s="78">
        <f>INDEX('Population Data by Age'!$B$7:$H$10366,MATCH(CONCATENATE('Tabular Pop Data by Age'!$C124,'Tabular Pop Data by Age'!Q$7),'Population Data by Age'!$B$7:$B$10366,0),MATCH('Tabular Pop Data by Age'!$C$6,'Population Data by Age'!$B$6:$H$6,0))</f>
        <v>24000</v>
      </c>
      <c r="R124" s="78">
        <f>INDEX('Population Data by Age'!$B$7:$H$10366,MATCH(CONCATENATE('Tabular Pop Data by Age'!$C124,'Tabular Pop Data by Age'!R$7),'Population Data by Age'!$B$7:$B$10366,0),MATCH('Tabular Pop Data by Age'!$C$6,'Population Data by Age'!$B$6:$H$6,0))</f>
        <v>24000</v>
      </c>
      <c r="S124" s="78">
        <f>INDEX('Population Data by Age'!$B$7:$H$10366,MATCH(CONCATENATE('Tabular Pop Data by Age'!$C124,'Tabular Pop Data by Age'!S$7),'Population Data by Age'!$B$7:$B$10366,0),MATCH('Tabular Pop Data by Age'!$C$6,'Population Data by Age'!$B$6:$H$6,0))</f>
        <v>24000</v>
      </c>
      <c r="T124" s="78">
        <f>INDEX('Population Data by Age'!$B$7:$H$10366,MATCH(CONCATENATE('Tabular Pop Data by Age'!$C124,'Tabular Pop Data by Age'!T$7),'Population Data by Age'!$B$7:$B$10366,0),MATCH('Tabular Pop Data by Age'!$C$6,'Population Data by Age'!$B$6:$H$6,0))</f>
        <v>22000</v>
      </c>
      <c r="U124" s="78">
        <f>INDEX('Population Data by Age'!$B$7:$H$10366,MATCH(CONCATENATE('Tabular Pop Data by Age'!$C124,'Tabular Pop Data by Age'!U$7),'Population Data by Age'!$B$7:$B$10366,0),MATCH('Tabular Pop Data by Age'!$C$6,'Population Data by Age'!$B$6:$H$6,0))</f>
        <v>24000</v>
      </c>
      <c r="V124" s="78">
        <f>INDEX('Population Data by Age'!$B$7:$H$10366,MATCH(CONCATENATE('Tabular Pop Data by Age'!$C124,'Tabular Pop Data by Age'!V$7),'Population Data by Age'!$B$7:$B$10366,0),MATCH('Tabular Pop Data by Age'!$C$6,'Population Data by Age'!$B$6:$H$6,0))</f>
        <v>23000</v>
      </c>
      <c r="W124" s="78">
        <f>INDEX('Population Data by Age'!$B$7:$H$10366,MATCH(CONCATENATE('Tabular Pop Data by Age'!$C124,'Tabular Pop Data by Age'!W$7),'Population Data by Age'!$B$7:$B$10366,0),MATCH('Tabular Pop Data by Age'!$C$6,'Population Data by Age'!$B$6:$H$6,0))</f>
        <v>25000</v>
      </c>
      <c r="X124" s="78">
        <f>INDEX('Population Data by Age'!$B$7:$H$10366,MATCH(CONCATENATE('Tabular Pop Data by Age'!$C124,'Tabular Pop Data by Age'!X$7),'Population Data by Age'!$B$7:$B$10366,0),MATCH('Tabular Pop Data by Age'!$C$6,'Population Data by Age'!$B$6:$H$6,0))</f>
        <v>23000</v>
      </c>
      <c r="Y124" s="78">
        <f>INDEX('Population Data by Age'!$B$7:$H$10366,MATCH(CONCATENATE('Tabular Pop Data by Age'!$C124,'Tabular Pop Data by Age'!Y$7),'Population Data by Age'!$B$7:$B$10366,0),MATCH('Tabular Pop Data by Age'!$C$6,'Population Data by Age'!$B$6:$H$6,0))</f>
        <v>25000</v>
      </c>
      <c r="Z124" s="78">
        <f>INDEX('Population Data by Age'!$B$7:$H$10366,MATCH(CONCATENATE('Tabular Pop Data by Age'!$C124,'Tabular Pop Data by Age'!Z$7),'Population Data by Age'!$B$7:$B$10366,0),MATCH('Tabular Pop Data by Age'!$C$6,'Population Data by Age'!$B$6:$H$6,0))</f>
        <v>21000</v>
      </c>
      <c r="AA124" s="78">
        <f>INDEX('Population Data by Age'!$B$7:$H$10366,MATCH(CONCATENATE('Tabular Pop Data by Age'!$C124,'Tabular Pop Data by Age'!AA$7),'Population Data by Age'!$B$7:$B$10366,0),MATCH('Tabular Pop Data by Age'!$C$6,'Population Data by Age'!$B$6:$H$6,0))</f>
        <v>22000</v>
      </c>
      <c r="AB124" s="78">
        <f>INDEX('Population Data by Age'!$B$7:$H$10366,MATCH(CONCATENATE('Tabular Pop Data by Age'!$C124,'Tabular Pop Data by Age'!AB$7),'Population Data by Age'!$B$7:$B$10366,0),MATCH('Tabular Pop Data by Age'!$C$6,'Population Data by Age'!$B$6:$H$6,0))</f>
        <v>17000</v>
      </c>
      <c r="AC124" s="78">
        <f>INDEX('Population Data by Age'!$B$7:$H$10366,MATCH(CONCATENATE('Tabular Pop Data by Age'!$C124,'Tabular Pop Data by Age'!AC$7),'Population Data by Age'!$B$7:$B$10366,0),MATCH('Tabular Pop Data by Age'!$C$6,'Population Data by Age'!$B$6:$H$6,0))</f>
        <v>18000</v>
      </c>
      <c r="AD124" s="78">
        <f>INDEX('Population Data by Age'!$B$7:$H$10366,MATCH(CONCATENATE('Tabular Pop Data by Age'!$C124,'Tabular Pop Data by Age'!AD$7),'Population Data by Age'!$B$7:$B$10366,0),MATCH('Tabular Pop Data by Age'!$C$6,'Population Data by Age'!$B$6:$H$6,0))</f>
        <v>14000</v>
      </c>
      <c r="AE124" s="78">
        <f>INDEX('Population Data by Age'!$B$7:$H$10366,MATCH(CONCATENATE('Tabular Pop Data by Age'!$C124,'Tabular Pop Data by Age'!AE$7),'Population Data by Age'!$B$7:$B$10366,0),MATCH('Tabular Pop Data by Age'!$C$6,'Population Data by Age'!$B$6:$H$6,0))</f>
        <v>14000</v>
      </c>
      <c r="AF124" s="78">
        <f>INDEX('Population Data by Age'!$B$7:$H$10366,MATCH(CONCATENATE('Tabular Pop Data by Age'!$C124,'Tabular Pop Data by Age'!AF$7),'Population Data by Age'!$B$7:$B$10366,0),MATCH('Tabular Pop Data by Age'!$C$6,'Population Data by Age'!$B$6:$H$6,0))</f>
        <v>11000</v>
      </c>
      <c r="AG124" s="78">
        <f>INDEX('Population Data by Age'!$B$7:$H$10366,MATCH(CONCATENATE('Tabular Pop Data by Age'!$C124,'Tabular Pop Data by Age'!AG$7),'Population Data by Age'!$B$7:$B$10366,0),MATCH('Tabular Pop Data by Age'!$C$6,'Population Data by Age'!$B$6:$H$6,0))</f>
        <v>11000</v>
      </c>
      <c r="AH124" s="78">
        <f>INDEX('Population Data by Age'!$B$7:$H$10366,MATCH(CONCATENATE('Tabular Pop Data by Age'!$C124,'Tabular Pop Data by Age'!AH$7),'Population Data by Age'!$B$7:$B$10366,0),MATCH('Tabular Pop Data by Age'!$C$6,'Population Data by Age'!$B$6:$H$6,0))</f>
        <v>8500</v>
      </c>
      <c r="AI124" s="78">
        <f>INDEX('Population Data by Age'!$B$7:$H$10366,MATCH(CONCATENATE('Tabular Pop Data by Age'!$C124,'Tabular Pop Data by Age'!AI$7),'Population Data by Age'!$B$7:$B$10366,0),MATCH('Tabular Pop Data by Age'!$C$6,'Population Data by Age'!$B$6:$H$6,0))</f>
        <v>7000</v>
      </c>
      <c r="AJ124" s="78">
        <f>INDEX('Population Data by Age'!$B$7:$H$10366,MATCH(CONCATENATE('Tabular Pop Data by Age'!$C124,'Tabular Pop Data by Age'!AJ$7),'Population Data by Age'!$B$7:$B$10366,0),MATCH('Tabular Pop Data by Age'!$C$6,'Population Data by Age'!$B$6:$H$6,0))</f>
        <v>15000</v>
      </c>
      <c r="AK124" s="78">
        <f>INDEX('Population Data by Age'!$B$7:$H$10366,MATCH(CONCATENATE('Tabular Pop Data by Age'!$C124,'Tabular Pop Data by Age'!AK$7),'Population Data by Age'!$B$7:$B$10366,0),MATCH('Tabular Pop Data by Age'!$C$6,'Population Data by Age'!$B$6:$H$6,0))</f>
        <v>9500</v>
      </c>
      <c r="AL124" s="78">
        <f>INDEX('Population Data by Age'!$B$7:$H$10366,MATCH(CONCATENATE('Tabular Pop Data by Age'!$C124,'Tabular Pop Data by Age'!AL$7),'Population Data by Age'!$B$7:$B$10366,0),MATCH('Tabular Pop Data by Age'!$C$6,'Population Data by Age'!$B$6:$H$6,0))</f>
        <v>307000</v>
      </c>
      <c r="AM124" s="78">
        <f>INDEX('Population Data by Age'!$B$7:$H$10366,MATCH(CONCATENATE('Tabular Pop Data by Age'!$C124,'Tabular Pop Data by Age'!AM$7),'Population Data by Age'!$B$7:$B$10366,0),MATCH('Tabular Pop Data by Age'!$C$6,'Population Data by Age'!$B$6:$H$6,0))</f>
        <v>314000</v>
      </c>
      <c r="AN124" s="78">
        <f>INDEX('Population Data by Age'!$B$7:$H$10366,MATCH(CONCATENATE('Tabular Pop Data by Age'!$C124,'Tabular Pop Data by Age'!AN$7),'Population Data by Age'!$B$7:$B$10366,0),MATCH('Tabular Pop Data by Age'!$C$6,'Population Data by Age'!$B$6:$H$6,0))</f>
        <v>622000</v>
      </c>
      <c r="AO124" s="78">
        <f>INDEX('Population Data by Age'!$B$7:$H$10366,MATCH(CONCATENATE('Tabular Pop Data by Age'!$C124,'Tabular Pop Data by Age'!AO$7),'Population Data by Age'!$B$7:$B$10366,0),MATCH('Tabular Pop Data by Age'!$C$6,'Population Data by Age'!$B$6:$H$6,0))</f>
        <v>0</v>
      </c>
      <c r="AP124" s="79">
        <f t="shared" si="34"/>
        <v>33000</v>
      </c>
      <c r="AQ124" s="79">
        <f t="shared" si="35"/>
        <v>33000</v>
      </c>
      <c r="AR124" s="79">
        <f t="shared" si="36"/>
        <v>31000</v>
      </c>
      <c r="AS124" s="79">
        <f t="shared" si="37"/>
        <v>35000</v>
      </c>
      <c r="AT124" s="79">
        <f t="shared" si="38"/>
        <v>39000</v>
      </c>
      <c r="AU124" s="79">
        <f t="shared" si="39"/>
        <v>45000</v>
      </c>
      <c r="AV124" s="79">
        <f t="shared" si="40"/>
        <v>48000</v>
      </c>
      <c r="AW124" s="79">
        <f t="shared" si="41"/>
        <v>48000</v>
      </c>
      <c r="AX124" s="79">
        <f t="shared" si="42"/>
        <v>46000</v>
      </c>
      <c r="AY124" s="79">
        <f t="shared" si="43"/>
        <v>48000</v>
      </c>
      <c r="AZ124" s="79">
        <f t="shared" si="44"/>
        <v>48000</v>
      </c>
      <c r="BA124" s="79">
        <f t="shared" si="45"/>
        <v>43000</v>
      </c>
      <c r="BB124" s="79">
        <f t="shared" si="46"/>
        <v>35000</v>
      </c>
      <c r="BC124" s="79">
        <f t="shared" si="47"/>
        <v>28000</v>
      </c>
      <c r="BD124" s="79">
        <f t="shared" si="48"/>
        <v>22000</v>
      </c>
      <c r="BE124" s="79">
        <f t="shared" si="49"/>
        <v>15500</v>
      </c>
      <c r="BF124" s="79">
        <f t="shared" si="50"/>
        <v>24500</v>
      </c>
    </row>
    <row r="125" spans="1:58" x14ac:dyDescent="0.25">
      <c r="A125" s="138" t="s">
        <v>1195</v>
      </c>
      <c r="B125" t="s">
        <v>564</v>
      </c>
      <c r="C125" t="s">
        <v>565</v>
      </c>
      <c r="D125" s="78">
        <f>INDEX('Population Data by Age'!$B$7:$H$10366,MATCH(CONCATENATE('Tabular Pop Data by Age'!$C125,'Tabular Pop Data by Age'!D$7),'Population Data by Age'!$B$7:$B$10366,0),MATCH('Tabular Pop Data by Age'!$C$6,'Population Data by Age'!$B$6:$H$6,0))</f>
        <v>18000</v>
      </c>
      <c r="E125" s="78">
        <f>INDEX('Population Data by Age'!$B$7:$H$10366,MATCH(CONCATENATE('Tabular Pop Data by Age'!$C125,'Tabular Pop Data by Age'!E$7),'Population Data by Age'!$B$7:$B$10366,0),MATCH('Tabular Pop Data by Age'!$C$6,'Population Data by Age'!$B$6:$H$6,0))</f>
        <v>18000</v>
      </c>
      <c r="F125" s="78">
        <f>INDEX('Population Data by Age'!$B$7:$H$10366,MATCH(CONCATENATE('Tabular Pop Data by Age'!$C125,'Tabular Pop Data by Age'!F$7),'Population Data by Age'!$B$7:$B$10366,0),MATCH('Tabular Pop Data by Age'!$C$6,'Population Data by Age'!$B$6:$H$6,0))</f>
        <v>16000</v>
      </c>
      <c r="G125" s="78">
        <f>INDEX('Population Data by Age'!$B$7:$H$10366,MATCH(CONCATENATE('Tabular Pop Data by Age'!$C125,'Tabular Pop Data by Age'!G$7),'Population Data by Age'!$B$7:$B$10366,0),MATCH('Tabular Pop Data by Age'!$C$6,'Population Data by Age'!$B$6:$H$6,0))</f>
        <v>17000</v>
      </c>
      <c r="H125" s="78">
        <f>INDEX('Population Data by Age'!$B$7:$H$10366,MATCH(CONCATENATE('Tabular Pop Data by Age'!$C125,'Tabular Pop Data by Age'!H$7),'Population Data by Age'!$B$7:$B$10366,0),MATCH('Tabular Pop Data by Age'!$C$6,'Population Data by Age'!$B$6:$H$6,0))</f>
        <v>12000</v>
      </c>
      <c r="I125" s="78">
        <f>INDEX('Population Data by Age'!$B$7:$H$10366,MATCH(CONCATENATE('Tabular Pop Data by Age'!$C125,'Tabular Pop Data by Age'!I$7),'Population Data by Age'!$B$7:$B$10366,0),MATCH('Tabular Pop Data by Age'!$C$6,'Population Data by Age'!$B$6:$H$6,0))</f>
        <v>13000</v>
      </c>
      <c r="J125" s="78">
        <f>INDEX('Population Data by Age'!$B$7:$H$10366,MATCH(CONCATENATE('Tabular Pop Data by Age'!$C125,'Tabular Pop Data by Age'!J$7),'Population Data by Age'!$B$7:$B$10366,0),MATCH('Tabular Pop Data by Age'!$C$6,'Population Data by Age'!$B$6:$H$6,0))</f>
        <v>11000</v>
      </c>
      <c r="K125" s="78">
        <f>INDEX('Population Data by Age'!$B$7:$H$10366,MATCH(CONCATENATE('Tabular Pop Data by Age'!$C125,'Tabular Pop Data by Age'!K$7),'Population Data by Age'!$B$7:$B$10366,0),MATCH('Tabular Pop Data by Age'!$C$6,'Population Data by Age'!$B$6:$H$6,0))</f>
        <v>12000</v>
      </c>
      <c r="L125" s="78">
        <f>INDEX('Population Data by Age'!$B$7:$H$10366,MATCH(CONCATENATE('Tabular Pop Data by Age'!$C125,'Tabular Pop Data by Age'!L$7),'Population Data by Age'!$B$7:$B$10366,0),MATCH('Tabular Pop Data by Age'!$C$6,'Population Data by Age'!$B$6:$H$6,0))</f>
        <v>18000</v>
      </c>
      <c r="M125" s="78">
        <f>INDEX('Population Data by Age'!$B$7:$H$10366,MATCH(CONCATENATE('Tabular Pop Data by Age'!$C125,'Tabular Pop Data by Age'!M$7),'Population Data by Age'!$B$7:$B$10366,0),MATCH('Tabular Pop Data by Age'!$C$6,'Population Data by Age'!$B$6:$H$6,0))</f>
        <v>18000</v>
      </c>
      <c r="N125" s="78">
        <f>INDEX('Population Data by Age'!$B$7:$H$10366,MATCH(CONCATENATE('Tabular Pop Data by Age'!$C125,'Tabular Pop Data by Age'!N$7),'Population Data by Age'!$B$7:$B$10366,0),MATCH('Tabular Pop Data by Age'!$C$6,'Population Data by Age'!$B$6:$H$6,0))</f>
        <v>26000</v>
      </c>
      <c r="O125" s="78">
        <f>INDEX('Population Data by Age'!$B$7:$H$10366,MATCH(CONCATENATE('Tabular Pop Data by Age'!$C125,'Tabular Pop Data by Age'!O$7),'Population Data by Age'!$B$7:$B$10366,0),MATCH('Tabular Pop Data by Age'!$C$6,'Population Data by Age'!$B$6:$H$6,0))</f>
        <v>26000</v>
      </c>
      <c r="P125" s="78">
        <f>INDEX('Population Data by Age'!$B$7:$H$10366,MATCH(CONCATENATE('Tabular Pop Data by Age'!$C125,'Tabular Pop Data by Age'!P$7),'Population Data by Age'!$B$7:$B$10366,0),MATCH('Tabular Pop Data by Age'!$C$6,'Population Data by Age'!$B$6:$H$6,0))</f>
        <v>36000</v>
      </c>
      <c r="Q125" s="78">
        <f>INDEX('Population Data by Age'!$B$7:$H$10366,MATCH(CONCATENATE('Tabular Pop Data by Age'!$C125,'Tabular Pop Data by Age'!Q$7),'Population Data by Age'!$B$7:$B$10366,0),MATCH('Tabular Pop Data by Age'!$C$6,'Population Data by Age'!$B$6:$H$6,0))</f>
        <v>32000</v>
      </c>
      <c r="R125" s="78">
        <f>INDEX('Population Data by Age'!$B$7:$H$10366,MATCH(CONCATENATE('Tabular Pop Data by Age'!$C125,'Tabular Pop Data by Age'!R$7),'Population Data by Age'!$B$7:$B$10366,0),MATCH('Tabular Pop Data by Age'!$C$6,'Population Data by Age'!$B$6:$H$6,0))</f>
        <v>32000</v>
      </c>
      <c r="S125" s="78">
        <f>INDEX('Population Data by Age'!$B$7:$H$10366,MATCH(CONCATENATE('Tabular Pop Data by Age'!$C125,'Tabular Pop Data by Age'!S$7),'Population Data by Age'!$B$7:$B$10366,0),MATCH('Tabular Pop Data by Age'!$C$6,'Population Data by Age'!$B$6:$H$6,0))</f>
        <v>30000</v>
      </c>
      <c r="T125" s="78">
        <f>INDEX('Population Data by Age'!$B$7:$H$10366,MATCH(CONCATENATE('Tabular Pop Data by Age'!$C125,'Tabular Pop Data by Age'!T$7),'Population Data by Age'!$B$7:$B$10366,0),MATCH('Tabular Pop Data by Age'!$C$6,'Population Data by Age'!$B$6:$H$6,0))</f>
        <v>22000</v>
      </c>
      <c r="U125" s="78">
        <f>INDEX('Population Data by Age'!$B$7:$H$10366,MATCH(CONCATENATE('Tabular Pop Data by Age'!$C125,'Tabular Pop Data by Age'!U$7),'Population Data by Age'!$B$7:$B$10366,0),MATCH('Tabular Pop Data by Age'!$C$6,'Population Data by Age'!$B$6:$H$6,0))</f>
        <v>22000</v>
      </c>
      <c r="V125" s="78">
        <f>INDEX('Population Data by Age'!$B$7:$H$10366,MATCH(CONCATENATE('Tabular Pop Data by Age'!$C125,'Tabular Pop Data by Age'!V$7),'Population Data by Age'!$B$7:$B$10366,0),MATCH('Tabular Pop Data by Age'!$C$6,'Population Data by Age'!$B$6:$H$6,0))</f>
        <v>28000</v>
      </c>
      <c r="W125" s="78">
        <f>INDEX('Population Data by Age'!$B$7:$H$10366,MATCH(CONCATENATE('Tabular Pop Data by Age'!$C125,'Tabular Pop Data by Age'!W$7),'Population Data by Age'!$B$7:$B$10366,0),MATCH('Tabular Pop Data by Age'!$C$6,'Population Data by Age'!$B$6:$H$6,0))</f>
        <v>22000</v>
      </c>
      <c r="X125" s="78">
        <f>INDEX('Population Data by Age'!$B$7:$H$10366,MATCH(CONCATENATE('Tabular Pop Data by Age'!$C125,'Tabular Pop Data by Age'!X$7),'Population Data by Age'!$B$7:$B$10366,0),MATCH('Tabular Pop Data by Age'!$C$6,'Population Data by Age'!$B$6:$H$6,0))</f>
        <v>27000</v>
      </c>
      <c r="Y125" s="78">
        <f>INDEX('Population Data by Age'!$B$7:$H$10366,MATCH(CONCATENATE('Tabular Pop Data by Age'!$C125,'Tabular Pop Data by Age'!Y$7),'Population Data by Age'!$B$7:$B$10366,0),MATCH('Tabular Pop Data by Age'!$C$6,'Population Data by Age'!$B$6:$H$6,0))</f>
        <v>20000</v>
      </c>
      <c r="Z125" s="78">
        <f>INDEX('Population Data by Age'!$B$7:$H$10366,MATCH(CONCATENATE('Tabular Pop Data by Age'!$C125,'Tabular Pop Data by Age'!Z$7),'Population Data by Age'!$B$7:$B$10366,0),MATCH('Tabular Pop Data by Age'!$C$6,'Population Data by Age'!$B$6:$H$6,0))</f>
        <v>29000</v>
      </c>
      <c r="AA125" s="78">
        <f>INDEX('Population Data by Age'!$B$7:$H$10366,MATCH(CONCATENATE('Tabular Pop Data by Age'!$C125,'Tabular Pop Data by Age'!AA$7),'Population Data by Age'!$B$7:$B$10366,0),MATCH('Tabular Pop Data by Age'!$C$6,'Population Data by Age'!$B$6:$H$6,0))</f>
        <v>24000</v>
      </c>
      <c r="AB125" s="78">
        <f>INDEX('Population Data by Age'!$B$7:$H$10366,MATCH(CONCATENATE('Tabular Pop Data by Age'!$C125,'Tabular Pop Data by Age'!AB$7),'Population Data by Age'!$B$7:$B$10366,0),MATCH('Tabular Pop Data by Age'!$C$6,'Population Data by Age'!$B$6:$H$6,0))</f>
        <v>22000</v>
      </c>
      <c r="AC125" s="78">
        <f>INDEX('Population Data by Age'!$B$7:$H$10366,MATCH(CONCATENATE('Tabular Pop Data by Age'!$C125,'Tabular Pop Data by Age'!AC$7),'Population Data by Age'!$B$7:$B$10366,0),MATCH('Tabular Pop Data by Age'!$C$6,'Population Data by Age'!$B$6:$H$6,0))</f>
        <v>22000</v>
      </c>
      <c r="AD125" s="78">
        <f>INDEX('Population Data by Age'!$B$7:$H$10366,MATCH(CONCATENATE('Tabular Pop Data by Age'!$C125,'Tabular Pop Data by Age'!AD$7),'Population Data by Age'!$B$7:$B$10366,0),MATCH('Tabular Pop Data by Age'!$C$6,'Population Data by Age'!$B$6:$H$6,0))</f>
        <v>17000</v>
      </c>
      <c r="AE125" s="78">
        <f>INDEX('Population Data by Age'!$B$7:$H$10366,MATCH(CONCATENATE('Tabular Pop Data by Age'!$C125,'Tabular Pop Data by Age'!AE$7),'Population Data by Age'!$B$7:$B$10366,0),MATCH('Tabular Pop Data by Age'!$C$6,'Population Data by Age'!$B$6:$H$6,0))</f>
        <v>17000</v>
      </c>
      <c r="AF125" s="78">
        <f>INDEX('Population Data by Age'!$B$7:$H$10366,MATCH(CONCATENATE('Tabular Pop Data by Age'!$C125,'Tabular Pop Data by Age'!AF$7),'Population Data by Age'!$B$7:$B$10366,0),MATCH('Tabular Pop Data by Age'!$C$6,'Population Data by Age'!$B$6:$H$6,0))</f>
        <v>10000</v>
      </c>
      <c r="AG125" s="78">
        <f>INDEX('Population Data by Age'!$B$7:$H$10366,MATCH(CONCATENATE('Tabular Pop Data by Age'!$C125,'Tabular Pop Data by Age'!AG$7),'Population Data by Age'!$B$7:$B$10366,0),MATCH('Tabular Pop Data by Age'!$C$6,'Population Data by Age'!$B$6:$H$6,0))</f>
        <v>11000</v>
      </c>
      <c r="AH125" s="78">
        <f>INDEX('Population Data by Age'!$B$7:$H$10366,MATCH(CONCATENATE('Tabular Pop Data by Age'!$C125,'Tabular Pop Data by Age'!AH$7),'Population Data by Age'!$B$7:$B$10366,0),MATCH('Tabular Pop Data by Age'!$C$6,'Population Data by Age'!$B$6:$H$6,0))</f>
        <v>4800</v>
      </c>
      <c r="AI125" s="78">
        <f>INDEX('Population Data by Age'!$B$7:$H$10366,MATCH(CONCATENATE('Tabular Pop Data by Age'!$C125,'Tabular Pop Data by Age'!AI$7),'Population Data by Age'!$B$7:$B$10366,0),MATCH('Tabular Pop Data by Age'!$C$6,'Population Data by Age'!$B$6:$H$6,0))</f>
        <v>4400</v>
      </c>
      <c r="AJ125" s="78">
        <f>INDEX('Population Data by Age'!$B$7:$H$10366,MATCH(CONCATENATE('Tabular Pop Data by Age'!$C125,'Tabular Pop Data by Age'!AJ$7),'Population Data by Age'!$B$7:$B$10366,0),MATCH('Tabular Pop Data by Age'!$C$6,'Population Data by Age'!$B$6:$H$6,0))</f>
        <v>8600</v>
      </c>
      <c r="AK125" s="78">
        <f>INDEX('Population Data by Age'!$B$7:$H$10366,MATCH(CONCATENATE('Tabular Pop Data by Age'!$C125,'Tabular Pop Data by Age'!AK$7),'Population Data by Age'!$B$7:$B$10366,0),MATCH('Tabular Pop Data by Age'!$C$6,'Population Data by Age'!$B$6:$H$6,0))</f>
        <v>5100</v>
      </c>
      <c r="AL125" s="78">
        <f>INDEX('Population Data by Age'!$B$7:$H$10366,MATCH(CONCATENATE('Tabular Pop Data by Age'!$C125,'Tabular Pop Data by Age'!AL$7),'Population Data by Age'!$B$7:$B$10366,0),MATCH('Tabular Pop Data by Age'!$C$6,'Population Data by Age'!$B$6:$H$6,0))</f>
        <v>337000</v>
      </c>
      <c r="AM125" s="78">
        <f>INDEX('Population Data by Age'!$B$7:$H$10366,MATCH(CONCATENATE('Tabular Pop Data by Age'!$C125,'Tabular Pop Data by Age'!AM$7),'Population Data by Age'!$B$7:$B$10366,0),MATCH('Tabular Pop Data by Age'!$C$6,'Population Data by Age'!$B$6:$H$6,0))</f>
        <v>312000</v>
      </c>
      <c r="AN125" s="78">
        <f>INDEX('Population Data by Age'!$B$7:$H$10366,MATCH(CONCATENATE('Tabular Pop Data by Age'!$C125,'Tabular Pop Data by Age'!AN$7),'Population Data by Age'!$B$7:$B$10366,0),MATCH('Tabular Pop Data by Age'!$C$6,'Population Data by Age'!$B$6:$H$6,0))</f>
        <v>649000</v>
      </c>
      <c r="AO125" s="78">
        <f>INDEX('Population Data by Age'!$B$7:$H$10366,MATCH(CONCATENATE('Tabular Pop Data by Age'!$C125,'Tabular Pop Data by Age'!AO$7),'Population Data by Age'!$B$7:$B$10366,0),MATCH('Tabular Pop Data by Age'!$C$6,'Population Data by Age'!$B$6:$H$6,0))</f>
        <v>0</v>
      </c>
      <c r="AP125" s="79">
        <f t="shared" si="34"/>
        <v>36000</v>
      </c>
      <c r="AQ125" s="79">
        <f t="shared" si="35"/>
        <v>33000</v>
      </c>
      <c r="AR125" s="79">
        <f t="shared" si="36"/>
        <v>25000</v>
      </c>
      <c r="AS125" s="79">
        <f t="shared" si="37"/>
        <v>23000</v>
      </c>
      <c r="AT125" s="79">
        <f t="shared" si="38"/>
        <v>36000</v>
      </c>
      <c r="AU125" s="79">
        <f t="shared" si="39"/>
        <v>52000</v>
      </c>
      <c r="AV125" s="79">
        <f t="shared" si="40"/>
        <v>68000</v>
      </c>
      <c r="AW125" s="79">
        <f t="shared" si="41"/>
        <v>62000</v>
      </c>
      <c r="AX125" s="79">
        <f t="shared" si="42"/>
        <v>44000</v>
      </c>
      <c r="AY125" s="79">
        <f t="shared" si="43"/>
        <v>50000</v>
      </c>
      <c r="AZ125" s="79">
        <f t="shared" si="44"/>
        <v>47000</v>
      </c>
      <c r="BA125" s="79">
        <f t="shared" si="45"/>
        <v>53000</v>
      </c>
      <c r="BB125" s="79">
        <f t="shared" si="46"/>
        <v>44000</v>
      </c>
      <c r="BC125" s="79">
        <f t="shared" si="47"/>
        <v>34000</v>
      </c>
      <c r="BD125" s="79">
        <f t="shared" si="48"/>
        <v>21000</v>
      </c>
      <c r="BE125" s="79">
        <f t="shared" si="49"/>
        <v>9200</v>
      </c>
      <c r="BF125" s="79">
        <f t="shared" si="50"/>
        <v>13700</v>
      </c>
    </row>
    <row r="126" spans="1:58" x14ac:dyDescent="0.25">
      <c r="A126" s="138" t="s">
        <v>1195</v>
      </c>
      <c r="B126" t="s">
        <v>202</v>
      </c>
      <c r="C126" t="s">
        <v>88</v>
      </c>
      <c r="D126" s="78">
        <f>INDEX('Population Data by Age'!$B$7:$H$10366,MATCH(CONCATENATE('Tabular Pop Data by Age'!$C126,'Tabular Pop Data by Age'!D$7),'Population Data by Age'!$B$7:$B$10366,0),MATCH('Tabular Pop Data by Age'!$C$6,'Population Data by Age'!$B$6:$H$6,0))</f>
        <v>2031000</v>
      </c>
      <c r="E126" s="78">
        <f>INDEX('Population Data by Age'!$B$7:$H$10366,MATCH(CONCATENATE('Tabular Pop Data by Age'!$C126,'Tabular Pop Data by Age'!E$7),'Population Data by Age'!$B$7:$B$10366,0),MATCH('Tabular Pop Data by Age'!$C$6,'Population Data by Age'!$B$6:$H$6,0))</f>
        <v>2079000</v>
      </c>
      <c r="F126" s="78">
        <f>INDEX('Population Data by Age'!$B$7:$H$10366,MATCH(CONCATENATE('Tabular Pop Data by Age'!$C126,'Tabular Pop Data by Age'!F$7),'Population Data by Age'!$B$7:$B$10366,0),MATCH('Tabular Pop Data by Age'!$C$6,'Population Data by Age'!$B$6:$H$6,0))</f>
        <v>1808000</v>
      </c>
      <c r="G126" s="78">
        <f>INDEX('Population Data by Age'!$B$7:$H$10366,MATCH(CONCATENATE('Tabular Pop Data by Age'!$C126,'Tabular Pop Data by Age'!G$7),'Population Data by Age'!$B$7:$B$10366,0),MATCH('Tabular Pop Data by Age'!$C$6,'Population Data by Age'!$B$6:$H$6,0))</f>
        <v>1845000</v>
      </c>
      <c r="H126" s="78">
        <f>INDEX('Population Data by Age'!$B$7:$H$10366,MATCH(CONCATENATE('Tabular Pop Data by Age'!$C126,'Tabular Pop Data by Age'!H$7),'Population Data by Age'!$B$7:$B$10366,0),MATCH('Tabular Pop Data by Age'!$C$6,'Population Data by Age'!$B$6:$H$6,0))</f>
        <v>1655000</v>
      </c>
      <c r="I126" s="78">
        <f>INDEX('Population Data by Age'!$B$7:$H$10366,MATCH(CONCATENATE('Tabular Pop Data by Age'!$C126,'Tabular Pop Data by Age'!I$7),'Population Data by Age'!$B$7:$B$10366,0),MATCH('Tabular Pop Data by Age'!$C$6,'Population Data by Age'!$B$6:$H$6,0))</f>
        <v>1676000</v>
      </c>
      <c r="J126" s="78">
        <f>INDEX('Population Data by Age'!$B$7:$H$10366,MATCH(CONCATENATE('Tabular Pop Data by Age'!$C126,'Tabular Pop Data by Age'!J$7),'Population Data by Age'!$B$7:$B$10366,0),MATCH('Tabular Pop Data by Age'!$C$6,'Population Data by Age'!$B$6:$H$6,0))</f>
        <v>1503000</v>
      </c>
      <c r="K126" s="78">
        <f>INDEX('Population Data by Age'!$B$7:$H$10366,MATCH(CONCATENATE('Tabular Pop Data by Age'!$C126,'Tabular Pop Data by Age'!K$7),'Population Data by Age'!$B$7:$B$10366,0),MATCH('Tabular Pop Data by Age'!$C$6,'Population Data by Age'!$B$6:$H$6,0))</f>
        <v>1509000</v>
      </c>
      <c r="L126" s="78">
        <f>INDEX('Population Data by Age'!$B$7:$H$10366,MATCH(CONCATENATE('Tabular Pop Data by Age'!$C126,'Tabular Pop Data by Age'!L$7),'Population Data by Age'!$B$7:$B$10366,0),MATCH('Tabular Pop Data by Age'!$C$6,'Population Data by Age'!$B$6:$H$6,0))</f>
        <v>1341000</v>
      </c>
      <c r="M126" s="78">
        <f>INDEX('Population Data by Age'!$B$7:$H$10366,MATCH(CONCATENATE('Tabular Pop Data by Age'!$C126,'Tabular Pop Data by Age'!M$7),'Population Data by Age'!$B$7:$B$10366,0),MATCH('Tabular Pop Data by Age'!$C$6,'Population Data by Age'!$B$6:$H$6,0))</f>
        <v>1335000</v>
      </c>
      <c r="N126" s="78">
        <f>INDEX('Population Data by Age'!$B$7:$H$10366,MATCH(CONCATENATE('Tabular Pop Data by Age'!$C126,'Tabular Pop Data by Age'!N$7),'Population Data by Age'!$B$7:$B$10366,0),MATCH('Tabular Pop Data by Age'!$C$6,'Population Data by Age'!$B$6:$H$6,0))</f>
        <v>1115000</v>
      </c>
      <c r="O126" s="78">
        <f>INDEX('Population Data by Age'!$B$7:$H$10366,MATCH(CONCATENATE('Tabular Pop Data by Age'!$C126,'Tabular Pop Data by Age'!O$7),'Population Data by Age'!$B$7:$B$10366,0),MATCH('Tabular Pop Data by Age'!$C$6,'Population Data by Age'!$B$6:$H$6,0))</f>
        <v>1108000</v>
      </c>
      <c r="P126" s="78">
        <f>INDEX('Population Data by Age'!$B$7:$H$10366,MATCH(CONCATENATE('Tabular Pop Data by Age'!$C126,'Tabular Pop Data by Age'!P$7),'Population Data by Age'!$B$7:$B$10366,0),MATCH('Tabular Pop Data by Age'!$C$6,'Population Data by Age'!$B$6:$H$6,0))</f>
        <v>917000</v>
      </c>
      <c r="Q126" s="78">
        <f>INDEX('Population Data by Age'!$B$7:$H$10366,MATCH(CONCATENATE('Tabular Pop Data by Age'!$C126,'Tabular Pop Data by Age'!Q$7),'Population Data by Age'!$B$7:$B$10366,0),MATCH('Tabular Pop Data by Age'!$C$6,'Population Data by Age'!$B$6:$H$6,0))</f>
        <v>913000</v>
      </c>
      <c r="R126" s="78">
        <f>INDEX('Population Data by Age'!$B$7:$H$10366,MATCH(CONCATENATE('Tabular Pop Data by Age'!$C126,'Tabular Pop Data by Age'!R$7),'Population Data by Age'!$B$7:$B$10366,0),MATCH('Tabular Pop Data by Age'!$C$6,'Population Data by Age'!$B$6:$H$6,0))</f>
        <v>771000</v>
      </c>
      <c r="S126" s="78">
        <f>INDEX('Population Data by Age'!$B$7:$H$10366,MATCH(CONCATENATE('Tabular Pop Data by Age'!$C126,'Tabular Pop Data by Age'!S$7),'Population Data by Age'!$B$7:$B$10366,0),MATCH('Tabular Pop Data by Age'!$C$6,'Population Data by Age'!$B$6:$H$6,0))</f>
        <v>771000</v>
      </c>
      <c r="T126" s="78">
        <f>INDEX('Population Data by Age'!$B$7:$H$10366,MATCH(CONCATENATE('Tabular Pop Data by Age'!$C126,'Tabular Pop Data by Age'!T$7),'Population Data by Age'!$B$7:$B$10366,0),MATCH('Tabular Pop Data by Age'!$C$6,'Population Data by Age'!$B$6:$H$6,0))</f>
        <v>658000</v>
      </c>
      <c r="U126" s="78">
        <f>INDEX('Population Data by Age'!$B$7:$H$10366,MATCH(CONCATENATE('Tabular Pop Data by Age'!$C126,'Tabular Pop Data by Age'!U$7),'Population Data by Age'!$B$7:$B$10366,0),MATCH('Tabular Pop Data by Age'!$C$6,'Population Data by Age'!$B$6:$H$6,0))</f>
        <v>656000</v>
      </c>
      <c r="V126" s="78">
        <f>INDEX('Population Data by Age'!$B$7:$H$10366,MATCH(CONCATENATE('Tabular Pop Data by Age'!$C126,'Tabular Pop Data by Age'!V$7),'Population Data by Age'!$B$7:$B$10366,0),MATCH('Tabular Pop Data by Age'!$C$6,'Population Data by Age'!$B$6:$H$6,0))</f>
        <v>543000</v>
      </c>
      <c r="W126" s="78">
        <f>INDEX('Population Data by Age'!$B$7:$H$10366,MATCH(CONCATENATE('Tabular Pop Data by Age'!$C126,'Tabular Pop Data by Age'!W$7),'Population Data by Age'!$B$7:$B$10366,0),MATCH('Tabular Pop Data by Age'!$C$6,'Population Data by Age'!$B$6:$H$6,0))</f>
        <v>531000</v>
      </c>
      <c r="X126" s="78">
        <f>INDEX('Population Data by Age'!$B$7:$H$10366,MATCH(CONCATENATE('Tabular Pop Data by Age'!$C126,'Tabular Pop Data by Age'!X$7),'Population Data by Age'!$B$7:$B$10366,0),MATCH('Tabular Pop Data by Age'!$C$6,'Population Data by Age'!$B$6:$H$6,0))</f>
        <v>439000</v>
      </c>
      <c r="Y126" s="78">
        <f>INDEX('Population Data by Age'!$B$7:$H$10366,MATCH(CONCATENATE('Tabular Pop Data by Age'!$C126,'Tabular Pop Data by Age'!Y$7),'Population Data by Age'!$B$7:$B$10366,0),MATCH('Tabular Pop Data by Age'!$C$6,'Population Data by Age'!$B$6:$H$6,0))</f>
        <v>420000</v>
      </c>
      <c r="Z126" s="78">
        <f>INDEX('Population Data by Age'!$B$7:$H$10366,MATCH(CONCATENATE('Tabular Pop Data by Age'!$C126,'Tabular Pop Data by Age'!Z$7),'Population Data by Age'!$B$7:$B$10366,0),MATCH('Tabular Pop Data by Age'!$C$6,'Population Data by Age'!$B$6:$H$6,0))</f>
        <v>353000</v>
      </c>
      <c r="AA126" s="78">
        <f>INDEX('Population Data by Age'!$B$7:$H$10366,MATCH(CONCATENATE('Tabular Pop Data by Age'!$C126,'Tabular Pop Data by Age'!AA$7),'Population Data by Age'!$B$7:$B$10366,0),MATCH('Tabular Pop Data by Age'!$C$6,'Population Data by Age'!$B$6:$H$6,0))</f>
        <v>328000</v>
      </c>
      <c r="AB126" s="78">
        <f>INDEX('Population Data by Age'!$B$7:$H$10366,MATCH(CONCATENATE('Tabular Pop Data by Age'!$C126,'Tabular Pop Data by Age'!AB$7),'Population Data by Age'!$B$7:$B$10366,0),MATCH('Tabular Pop Data by Age'!$C$6,'Population Data by Age'!$B$6:$H$6,0))</f>
        <v>277000</v>
      </c>
      <c r="AC126" s="78">
        <f>INDEX('Population Data by Age'!$B$7:$H$10366,MATCH(CONCATENATE('Tabular Pop Data by Age'!$C126,'Tabular Pop Data by Age'!AC$7),'Population Data by Age'!$B$7:$B$10366,0),MATCH('Tabular Pop Data by Age'!$C$6,'Population Data by Age'!$B$6:$H$6,0))</f>
        <v>252000</v>
      </c>
      <c r="AD126" s="78">
        <f>INDEX('Population Data by Age'!$B$7:$H$10366,MATCH(CONCATENATE('Tabular Pop Data by Age'!$C126,'Tabular Pop Data by Age'!AD$7),'Population Data by Age'!$B$7:$B$10366,0),MATCH('Tabular Pop Data by Age'!$C$6,'Population Data by Age'!$B$6:$H$6,0))</f>
        <v>205000</v>
      </c>
      <c r="AE126" s="78">
        <f>INDEX('Population Data by Age'!$B$7:$H$10366,MATCH(CONCATENATE('Tabular Pop Data by Age'!$C126,'Tabular Pop Data by Age'!AE$7),'Population Data by Age'!$B$7:$B$10366,0),MATCH('Tabular Pop Data by Age'!$C$6,'Population Data by Age'!$B$6:$H$6,0))</f>
        <v>181000</v>
      </c>
      <c r="AF126" s="78">
        <f>INDEX('Population Data by Age'!$B$7:$H$10366,MATCH(CONCATENATE('Tabular Pop Data by Age'!$C126,'Tabular Pop Data by Age'!AF$7),'Population Data by Age'!$B$7:$B$10366,0),MATCH('Tabular Pop Data by Age'!$C$6,'Population Data by Age'!$B$6:$H$6,0))</f>
        <v>122000</v>
      </c>
      <c r="AG126" s="78">
        <f>INDEX('Population Data by Age'!$B$7:$H$10366,MATCH(CONCATENATE('Tabular Pop Data by Age'!$C126,'Tabular Pop Data by Age'!AG$7),'Population Data by Age'!$B$7:$B$10366,0),MATCH('Tabular Pop Data by Age'!$C$6,'Population Data by Age'!$B$6:$H$6,0))</f>
        <v>102000</v>
      </c>
      <c r="AH126" s="78">
        <f>INDEX('Population Data by Age'!$B$7:$H$10366,MATCH(CONCATENATE('Tabular Pop Data by Age'!$C126,'Tabular Pop Data by Age'!AH$7),'Population Data by Age'!$B$7:$B$10366,0),MATCH('Tabular Pop Data by Age'!$C$6,'Population Data by Age'!$B$6:$H$6,0))</f>
        <v>76000</v>
      </c>
      <c r="AI126" s="78">
        <f>INDEX('Population Data by Age'!$B$7:$H$10366,MATCH(CONCATENATE('Tabular Pop Data by Age'!$C126,'Tabular Pop Data by Age'!AI$7),'Population Data by Age'!$B$7:$B$10366,0),MATCH('Tabular Pop Data by Age'!$C$6,'Population Data by Age'!$B$6:$H$6,0))</f>
        <v>59000</v>
      </c>
      <c r="AJ126" s="78">
        <f>INDEX('Population Data by Age'!$B$7:$H$10366,MATCH(CONCATENATE('Tabular Pop Data by Age'!$C126,'Tabular Pop Data by Age'!AJ$7),'Population Data by Age'!$B$7:$B$10366,0),MATCH('Tabular Pop Data by Age'!$C$6,'Population Data by Age'!$B$6:$H$6,0))</f>
        <v>63000</v>
      </c>
      <c r="AK126" s="78">
        <f>INDEX('Population Data by Age'!$B$7:$H$10366,MATCH(CONCATENATE('Tabular Pop Data by Age'!$C126,'Tabular Pop Data by Age'!AK$7),'Population Data by Age'!$B$7:$B$10366,0),MATCH('Tabular Pop Data by Age'!$C$6,'Population Data by Age'!$B$6:$H$6,0))</f>
        <v>50000</v>
      </c>
      <c r="AL126" s="78">
        <f>INDEX('Population Data by Age'!$B$7:$H$10366,MATCH(CONCATENATE('Tabular Pop Data by Age'!$C126,'Tabular Pop Data by Age'!AL$7),'Population Data by Age'!$B$7:$B$10366,0),MATCH('Tabular Pop Data by Age'!$C$6,'Population Data by Age'!$B$6:$H$6,0))</f>
        <v>13876000</v>
      </c>
      <c r="AM126" s="78">
        <f>INDEX('Population Data by Age'!$B$7:$H$10366,MATCH(CONCATENATE('Tabular Pop Data by Age'!$C126,'Tabular Pop Data by Age'!AM$7),'Population Data by Age'!$B$7:$B$10366,0),MATCH('Tabular Pop Data by Age'!$C$6,'Population Data by Age'!$B$6:$H$6,0))</f>
        <v>13815000</v>
      </c>
      <c r="AN126" s="78">
        <f>INDEX('Population Data by Age'!$B$7:$H$10366,MATCH(CONCATENATE('Tabular Pop Data by Age'!$C126,'Tabular Pop Data by Age'!AN$7),'Population Data by Age'!$B$7:$B$10366,0),MATCH('Tabular Pop Data by Age'!$C$6,'Population Data by Age'!$B$6:$H$6,0))</f>
        <v>27691000</v>
      </c>
      <c r="AO126" s="78">
        <f>INDEX('Population Data by Age'!$B$7:$H$10366,MATCH(CONCATENATE('Tabular Pop Data by Age'!$C126,'Tabular Pop Data by Age'!AO$7),'Population Data by Age'!$B$7:$B$10366,0),MATCH('Tabular Pop Data by Age'!$C$6,'Population Data by Age'!$B$6:$H$6,0))</f>
        <v>0</v>
      </c>
      <c r="AP126" s="79">
        <f t="shared" si="34"/>
        <v>4110000</v>
      </c>
      <c r="AQ126" s="79">
        <f t="shared" si="35"/>
        <v>3653000</v>
      </c>
      <c r="AR126" s="79">
        <f t="shared" si="36"/>
        <v>3331000</v>
      </c>
      <c r="AS126" s="79">
        <f t="shared" si="37"/>
        <v>3012000</v>
      </c>
      <c r="AT126" s="79">
        <f t="shared" si="38"/>
        <v>2676000</v>
      </c>
      <c r="AU126" s="79">
        <f t="shared" si="39"/>
        <v>2223000</v>
      </c>
      <c r="AV126" s="79">
        <f t="shared" si="40"/>
        <v>1830000</v>
      </c>
      <c r="AW126" s="79">
        <f t="shared" si="41"/>
        <v>1542000</v>
      </c>
      <c r="AX126" s="79">
        <f t="shared" si="42"/>
        <v>1314000</v>
      </c>
      <c r="AY126" s="79">
        <f t="shared" si="43"/>
        <v>1074000</v>
      </c>
      <c r="AZ126" s="79">
        <f t="shared" si="44"/>
        <v>859000</v>
      </c>
      <c r="BA126" s="79">
        <f t="shared" si="45"/>
        <v>681000</v>
      </c>
      <c r="BB126" s="79">
        <f t="shared" si="46"/>
        <v>529000</v>
      </c>
      <c r="BC126" s="79">
        <f t="shared" si="47"/>
        <v>386000</v>
      </c>
      <c r="BD126" s="79">
        <f t="shared" si="48"/>
        <v>224000</v>
      </c>
      <c r="BE126" s="79">
        <f t="shared" si="49"/>
        <v>135000</v>
      </c>
      <c r="BF126" s="79">
        <f t="shared" si="50"/>
        <v>113000</v>
      </c>
    </row>
    <row r="127" spans="1:58" x14ac:dyDescent="0.25">
      <c r="A127" s="138" t="s">
        <v>1195</v>
      </c>
      <c r="B127" t="s">
        <v>203</v>
      </c>
      <c r="C127" t="s">
        <v>100</v>
      </c>
      <c r="D127" s="78">
        <f>INDEX('Population Data by Age'!$B$7:$H$10366,MATCH(CONCATENATE('Tabular Pop Data by Age'!$C127,'Tabular Pop Data by Age'!D$7),'Population Data by Age'!$B$7:$B$10366,0),MATCH('Tabular Pop Data by Age'!$C$6,'Population Data by Age'!$B$6:$H$6,0))</f>
        <v>1447000</v>
      </c>
      <c r="E127" s="78">
        <f>INDEX('Population Data by Age'!$B$7:$H$10366,MATCH(CONCATENATE('Tabular Pop Data by Age'!$C127,'Tabular Pop Data by Age'!E$7),'Population Data by Age'!$B$7:$B$10366,0),MATCH('Tabular Pop Data by Age'!$C$6,'Population Data by Age'!$B$6:$H$6,0))</f>
        <v>1477000</v>
      </c>
      <c r="F127" s="78">
        <f>INDEX('Population Data by Age'!$B$7:$H$10366,MATCH(CONCATENATE('Tabular Pop Data by Age'!$C127,'Tabular Pop Data by Age'!F$7),'Population Data by Age'!$B$7:$B$10366,0),MATCH('Tabular Pop Data by Age'!$C$6,'Population Data by Age'!$B$6:$H$6,0))</f>
        <v>1357000</v>
      </c>
      <c r="G127" s="78">
        <f>INDEX('Population Data by Age'!$B$7:$H$10366,MATCH(CONCATENATE('Tabular Pop Data by Age'!$C127,'Tabular Pop Data by Age'!G$7),'Population Data by Age'!$B$7:$B$10366,0),MATCH('Tabular Pop Data by Age'!$C$6,'Population Data by Age'!$B$6:$H$6,0))</f>
        <v>1382000</v>
      </c>
      <c r="H127" s="78">
        <f>INDEX('Population Data by Age'!$B$7:$H$10366,MATCH(CONCATENATE('Tabular Pop Data by Age'!$C127,'Tabular Pop Data by Age'!H$7),'Population Data by Age'!$B$7:$B$10366,0),MATCH('Tabular Pop Data by Age'!$C$6,'Population Data by Age'!$B$6:$H$6,0))</f>
        <v>1275000</v>
      </c>
      <c r="I127" s="78">
        <f>INDEX('Population Data by Age'!$B$7:$H$10366,MATCH(CONCATENATE('Tabular Pop Data by Age'!$C127,'Tabular Pop Data by Age'!I$7),'Population Data by Age'!$B$7:$B$10366,0),MATCH('Tabular Pop Data by Age'!$C$6,'Population Data by Age'!$B$6:$H$6,0))</f>
        <v>1287000</v>
      </c>
      <c r="J127" s="78">
        <f>INDEX('Population Data by Age'!$B$7:$H$10366,MATCH(CONCATENATE('Tabular Pop Data by Age'!$C127,'Tabular Pop Data by Age'!J$7),'Population Data by Age'!$B$7:$B$10366,0),MATCH('Tabular Pop Data by Age'!$C$6,'Population Data by Age'!$B$6:$H$6,0))</f>
        <v>1088000</v>
      </c>
      <c r="K127" s="78">
        <f>INDEX('Population Data by Age'!$B$7:$H$10366,MATCH(CONCATENATE('Tabular Pop Data by Age'!$C127,'Tabular Pop Data by Age'!K$7),'Population Data by Age'!$B$7:$B$10366,0),MATCH('Tabular Pop Data by Age'!$C$6,'Population Data by Age'!$B$6:$H$6,0))</f>
        <v>1088000</v>
      </c>
      <c r="L127" s="78">
        <f>INDEX('Population Data by Age'!$B$7:$H$10366,MATCH(CONCATENATE('Tabular Pop Data by Age'!$C127,'Tabular Pop Data by Age'!L$7),'Population Data by Age'!$B$7:$B$10366,0),MATCH('Tabular Pop Data by Age'!$C$6,'Population Data by Age'!$B$6:$H$6,0))</f>
        <v>925000</v>
      </c>
      <c r="M127" s="78">
        <f>INDEX('Population Data by Age'!$B$7:$H$10366,MATCH(CONCATENATE('Tabular Pop Data by Age'!$C127,'Tabular Pop Data by Age'!M$7),'Population Data by Age'!$B$7:$B$10366,0),MATCH('Tabular Pop Data by Age'!$C$6,'Population Data by Age'!$B$6:$H$6,0))</f>
        <v>914000</v>
      </c>
      <c r="N127" s="78">
        <f>INDEX('Population Data by Age'!$B$7:$H$10366,MATCH(CONCATENATE('Tabular Pop Data by Age'!$C127,'Tabular Pop Data by Age'!N$7),'Population Data by Age'!$B$7:$B$10366,0),MATCH('Tabular Pop Data by Age'!$C$6,'Population Data by Age'!$B$6:$H$6,0))</f>
        <v>782000</v>
      </c>
      <c r="O127" s="78">
        <f>INDEX('Population Data by Age'!$B$7:$H$10366,MATCH(CONCATENATE('Tabular Pop Data by Age'!$C127,'Tabular Pop Data by Age'!O$7),'Population Data by Age'!$B$7:$B$10366,0),MATCH('Tabular Pop Data by Age'!$C$6,'Population Data by Age'!$B$6:$H$6,0))</f>
        <v>757000</v>
      </c>
      <c r="P127" s="78">
        <f>INDEX('Population Data by Age'!$B$7:$H$10366,MATCH(CONCATENATE('Tabular Pop Data by Age'!$C127,'Tabular Pop Data by Age'!P$7),'Population Data by Age'!$B$7:$B$10366,0),MATCH('Tabular Pop Data by Age'!$C$6,'Population Data by Age'!$B$6:$H$6,0))</f>
        <v>663000</v>
      </c>
      <c r="Q127" s="78">
        <f>INDEX('Population Data by Age'!$B$7:$H$10366,MATCH(CONCATENATE('Tabular Pop Data by Age'!$C127,'Tabular Pop Data by Age'!Q$7),'Population Data by Age'!$B$7:$B$10366,0),MATCH('Tabular Pop Data by Age'!$C$6,'Population Data by Age'!$B$6:$H$6,0))</f>
        <v>630000</v>
      </c>
      <c r="R127" s="78">
        <f>INDEX('Population Data by Age'!$B$7:$H$10366,MATCH(CONCATENATE('Tabular Pop Data by Age'!$C127,'Tabular Pop Data by Age'!R$7),'Population Data by Age'!$B$7:$B$10366,0),MATCH('Tabular Pop Data by Age'!$C$6,'Population Data by Age'!$B$6:$H$6,0))</f>
        <v>510000</v>
      </c>
      <c r="S127" s="78">
        <f>INDEX('Population Data by Age'!$B$7:$H$10366,MATCH(CONCATENATE('Tabular Pop Data by Age'!$C127,'Tabular Pop Data by Age'!S$7),'Population Data by Age'!$B$7:$B$10366,0),MATCH('Tabular Pop Data by Age'!$C$6,'Population Data by Age'!$B$6:$H$6,0))</f>
        <v>484000</v>
      </c>
      <c r="T127" s="78">
        <f>INDEX('Population Data by Age'!$B$7:$H$10366,MATCH(CONCATENATE('Tabular Pop Data by Age'!$C127,'Tabular Pop Data by Age'!T$7),'Population Data by Age'!$B$7:$B$10366,0),MATCH('Tabular Pop Data by Age'!$C$6,'Population Data by Age'!$B$6:$H$6,0))</f>
        <v>414000</v>
      </c>
      <c r="U127" s="78">
        <f>INDEX('Population Data by Age'!$B$7:$H$10366,MATCH(CONCATENATE('Tabular Pop Data by Age'!$C127,'Tabular Pop Data by Age'!U$7),'Population Data by Age'!$B$7:$B$10366,0),MATCH('Tabular Pop Data by Age'!$C$6,'Population Data by Age'!$B$6:$H$6,0))</f>
        <v>393000</v>
      </c>
      <c r="V127" s="78">
        <f>INDEX('Population Data by Age'!$B$7:$H$10366,MATCH(CONCATENATE('Tabular Pop Data by Age'!$C127,'Tabular Pop Data by Age'!V$7),'Population Data by Age'!$B$7:$B$10366,0),MATCH('Tabular Pop Data by Age'!$C$6,'Population Data by Age'!$B$6:$H$6,0))</f>
        <v>325000</v>
      </c>
      <c r="W127" s="78">
        <f>INDEX('Population Data by Age'!$B$7:$H$10366,MATCH(CONCATENATE('Tabular Pop Data by Age'!$C127,'Tabular Pop Data by Age'!W$7),'Population Data by Age'!$B$7:$B$10366,0),MATCH('Tabular Pop Data by Age'!$C$6,'Population Data by Age'!$B$6:$H$6,0))</f>
        <v>304000</v>
      </c>
      <c r="X127" s="78">
        <f>INDEX('Population Data by Age'!$B$7:$H$10366,MATCH(CONCATENATE('Tabular Pop Data by Age'!$C127,'Tabular Pop Data by Age'!X$7),'Population Data by Age'!$B$7:$B$10366,0),MATCH('Tabular Pop Data by Age'!$C$6,'Population Data by Age'!$B$6:$H$6,0))</f>
        <v>255000</v>
      </c>
      <c r="Y127" s="78">
        <f>INDEX('Population Data by Age'!$B$7:$H$10366,MATCH(CONCATENATE('Tabular Pop Data by Age'!$C127,'Tabular Pop Data by Age'!Y$7),'Population Data by Age'!$B$7:$B$10366,0),MATCH('Tabular Pop Data by Age'!$C$6,'Population Data by Age'!$B$6:$H$6,0))</f>
        <v>227000</v>
      </c>
      <c r="Z127" s="78">
        <f>INDEX('Population Data by Age'!$B$7:$H$10366,MATCH(CONCATENATE('Tabular Pop Data by Age'!$C127,'Tabular Pop Data by Age'!Z$7),'Population Data by Age'!$B$7:$B$10366,0),MATCH('Tabular Pop Data by Age'!$C$6,'Population Data by Age'!$B$6:$H$6,0))</f>
        <v>197000</v>
      </c>
      <c r="AA127" s="78">
        <f>INDEX('Population Data by Age'!$B$7:$H$10366,MATCH(CONCATENATE('Tabular Pop Data by Age'!$C127,'Tabular Pop Data by Age'!AA$7),'Population Data by Age'!$B$7:$B$10366,0),MATCH('Tabular Pop Data by Age'!$C$6,'Population Data by Age'!$B$6:$H$6,0))</f>
        <v>167000</v>
      </c>
      <c r="AB127" s="78">
        <f>INDEX('Population Data by Age'!$B$7:$H$10366,MATCH(CONCATENATE('Tabular Pop Data by Age'!$C127,'Tabular Pop Data by Age'!AB$7),'Population Data by Age'!$B$7:$B$10366,0),MATCH('Tabular Pop Data by Age'!$C$6,'Population Data by Age'!$B$6:$H$6,0))</f>
        <v>154000</v>
      </c>
      <c r="AC127" s="78">
        <f>INDEX('Population Data by Age'!$B$7:$H$10366,MATCH(CONCATENATE('Tabular Pop Data by Age'!$C127,'Tabular Pop Data by Age'!AC$7),'Population Data by Age'!$B$7:$B$10366,0),MATCH('Tabular Pop Data by Age'!$C$6,'Population Data by Age'!$B$6:$H$6,0))</f>
        <v>124000</v>
      </c>
      <c r="AD127" s="78">
        <f>INDEX('Population Data by Age'!$B$7:$H$10366,MATCH(CONCATENATE('Tabular Pop Data by Age'!$C127,'Tabular Pop Data by Age'!AD$7),'Population Data by Age'!$B$7:$B$10366,0),MATCH('Tabular Pop Data by Age'!$C$6,'Population Data by Age'!$B$6:$H$6,0))</f>
        <v>115000</v>
      </c>
      <c r="AE127" s="78">
        <f>INDEX('Population Data by Age'!$B$7:$H$10366,MATCH(CONCATENATE('Tabular Pop Data by Age'!$C127,'Tabular Pop Data by Age'!AE$7),'Population Data by Age'!$B$7:$B$10366,0),MATCH('Tabular Pop Data by Age'!$C$6,'Population Data by Age'!$B$6:$H$6,0))</f>
        <v>88000</v>
      </c>
      <c r="AF127" s="78">
        <f>INDEX('Population Data by Age'!$B$7:$H$10366,MATCH(CONCATENATE('Tabular Pop Data by Age'!$C127,'Tabular Pop Data by Age'!AF$7),'Population Data by Age'!$B$7:$B$10366,0),MATCH('Tabular Pop Data by Age'!$C$6,'Population Data by Age'!$B$6:$H$6,0))</f>
        <v>91000</v>
      </c>
      <c r="AG127" s="78">
        <f>INDEX('Population Data by Age'!$B$7:$H$10366,MATCH(CONCATENATE('Tabular Pop Data by Age'!$C127,'Tabular Pop Data by Age'!AG$7),'Population Data by Age'!$B$7:$B$10366,0),MATCH('Tabular Pop Data by Age'!$C$6,'Population Data by Age'!$B$6:$H$6,0))</f>
        <v>62000</v>
      </c>
      <c r="AH127" s="78">
        <f>INDEX('Population Data by Age'!$B$7:$H$10366,MATCH(CONCATENATE('Tabular Pop Data by Age'!$C127,'Tabular Pop Data by Age'!AH$7),'Population Data by Age'!$B$7:$B$10366,0),MATCH('Tabular Pop Data by Age'!$C$6,'Population Data by Age'!$B$6:$H$6,0))</f>
        <v>58000</v>
      </c>
      <c r="AI127" s="78">
        <f>INDEX('Population Data by Age'!$B$7:$H$10366,MATCH(CONCATENATE('Tabular Pop Data by Age'!$C127,'Tabular Pop Data by Age'!AI$7),'Population Data by Age'!$B$7:$B$10366,0),MATCH('Tabular Pop Data by Age'!$C$6,'Population Data by Age'!$B$6:$H$6,0))</f>
        <v>34000</v>
      </c>
      <c r="AJ127" s="78">
        <f>INDEX('Population Data by Age'!$B$7:$H$10366,MATCH(CONCATENATE('Tabular Pop Data by Age'!$C127,'Tabular Pop Data by Age'!AJ$7),'Population Data by Age'!$B$7:$B$10366,0),MATCH('Tabular Pop Data by Age'!$C$6,'Population Data by Age'!$B$6:$H$6,0))</f>
        <v>40000</v>
      </c>
      <c r="AK127" s="78">
        <f>INDEX('Population Data by Age'!$B$7:$H$10366,MATCH(CONCATENATE('Tabular Pop Data by Age'!$C127,'Tabular Pop Data by Age'!AK$7),'Population Data by Age'!$B$7:$B$10366,0),MATCH('Tabular Pop Data by Age'!$C$6,'Population Data by Age'!$B$6:$H$6,0))</f>
        <v>19000</v>
      </c>
      <c r="AL127" s="78">
        <f>INDEX('Population Data by Age'!$B$7:$H$10366,MATCH(CONCATENATE('Tabular Pop Data by Age'!$C127,'Tabular Pop Data by Age'!AL$7),'Population Data by Age'!$B$7:$B$10366,0),MATCH('Tabular Pop Data by Age'!$C$6,'Population Data by Age'!$B$6:$H$6,0))</f>
        <v>9696000</v>
      </c>
      <c r="AM127" s="78">
        <f>INDEX('Population Data by Age'!$B$7:$H$10366,MATCH(CONCATENATE('Tabular Pop Data by Age'!$C127,'Tabular Pop Data by Age'!AM$7),'Population Data by Age'!$B$7:$B$10366,0),MATCH('Tabular Pop Data by Age'!$C$6,'Population Data by Age'!$B$6:$H$6,0))</f>
        <v>9434000</v>
      </c>
      <c r="AN127" s="78">
        <f>INDEX('Population Data by Age'!$B$7:$H$10366,MATCH(CONCATENATE('Tabular Pop Data by Age'!$C127,'Tabular Pop Data by Age'!AN$7),'Population Data by Age'!$B$7:$B$10366,0),MATCH('Tabular Pop Data by Age'!$C$6,'Population Data by Age'!$B$6:$H$6,0))</f>
        <v>19130000</v>
      </c>
      <c r="AO127" s="78">
        <f>INDEX('Population Data by Age'!$B$7:$H$10366,MATCH(CONCATENATE('Tabular Pop Data by Age'!$C127,'Tabular Pop Data by Age'!AO$7),'Population Data by Age'!$B$7:$B$10366,0),MATCH('Tabular Pop Data by Age'!$C$6,'Population Data by Age'!$B$6:$H$6,0))</f>
        <v>0</v>
      </c>
      <c r="AP127" s="79">
        <f t="shared" si="34"/>
        <v>2924000</v>
      </c>
      <c r="AQ127" s="79">
        <f t="shared" si="35"/>
        <v>2739000</v>
      </c>
      <c r="AR127" s="79">
        <f t="shared" si="36"/>
        <v>2562000</v>
      </c>
      <c r="AS127" s="79">
        <f t="shared" si="37"/>
        <v>2176000</v>
      </c>
      <c r="AT127" s="79">
        <f t="shared" si="38"/>
        <v>1839000</v>
      </c>
      <c r="AU127" s="79">
        <f t="shared" si="39"/>
        <v>1539000</v>
      </c>
      <c r="AV127" s="79">
        <f t="shared" si="40"/>
        <v>1293000</v>
      </c>
      <c r="AW127" s="79">
        <f t="shared" si="41"/>
        <v>994000</v>
      </c>
      <c r="AX127" s="79">
        <f t="shared" si="42"/>
        <v>807000</v>
      </c>
      <c r="AY127" s="79">
        <f t="shared" si="43"/>
        <v>629000</v>
      </c>
      <c r="AZ127" s="79">
        <f t="shared" si="44"/>
        <v>482000</v>
      </c>
      <c r="BA127" s="79">
        <f t="shared" si="45"/>
        <v>364000</v>
      </c>
      <c r="BB127" s="79">
        <f t="shared" si="46"/>
        <v>278000</v>
      </c>
      <c r="BC127" s="79">
        <f t="shared" si="47"/>
        <v>203000</v>
      </c>
      <c r="BD127" s="79">
        <f t="shared" si="48"/>
        <v>153000</v>
      </c>
      <c r="BE127" s="79">
        <f t="shared" si="49"/>
        <v>92000</v>
      </c>
      <c r="BF127" s="79">
        <f t="shared" si="50"/>
        <v>59000</v>
      </c>
    </row>
    <row r="128" spans="1:58" x14ac:dyDescent="0.25">
      <c r="A128" s="138" t="s">
        <v>1195</v>
      </c>
      <c r="B128" t="s">
        <v>566</v>
      </c>
      <c r="C128" t="s">
        <v>101</v>
      </c>
      <c r="D128" s="78">
        <f>INDEX('Population Data by Age'!$B$7:$H$10366,MATCH(CONCATENATE('Tabular Pop Data by Age'!$C128,'Tabular Pop Data by Age'!D$7),'Population Data by Age'!$B$7:$B$10366,0),MATCH('Tabular Pop Data by Age'!$C$6,'Population Data by Age'!$B$6:$H$6,0))</f>
        <v>1279000</v>
      </c>
      <c r="E128" s="78">
        <f>INDEX('Population Data by Age'!$B$7:$H$10366,MATCH(CONCATENATE('Tabular Pop Data by Age'!$C128,'Tabular Pop Data by Age'!E$7),'Population Data by Age'!$B$7:$B$10366,0),MATCH('Tabular Pop Data by Age'!$C$6,'Population Data by Age'!$B$6:$H$6,0))</f>
        <v>1356000</v>
      </c>
      <c r="F128" s="78">
        <f>INDEX('Population Data by Age'!$B$7:$H$10366,MATCH(CONCATENATE('Tabular Pop Data by Age'!$C128,'Tabular Pop Data by Age'!F$7),'Population Data by Age'!$B$7:$B$10366,0),MATCH('Tabular Pop Data by Age'!$C$6,'Population Data by Age'!$B$6:$H$6,0))</f>
        <v>1217000</v>
      </c>
      <c r="G128" s="78">
        <f>INDEX('Population Data by Age'!$B$7:$H$10366,MATCH(CONCATENATE('Tabular Pop Data by Age'!$C128,'Tabular Pop Data by Age'!G$7),'Population Data by Age'!$B$7:$B$10366,0),MATCH('Tabular Pop Data by Age'!$C$6,'Population Data by Age'!$B$6:$H$6,0))</f>
        <v>1291000</v>
      </c>
      <c r="H128" s="78">
        <f>INDEX('Population Data by Age'!$B$7:$H$10366,MATCH(CONCATENATE('Tabular Pop Data by Age'!$C128,'Tabular Pop Data by Age'!H$7),'Population Data by Age'!$B$7:$B$10366,0),MATCH('Tabular Pop Data by Age'!$C$6,'Population Data by Age'!$B$6:$H$6,0))</f>
        <v>1188000</v>
      </c>
      <c r="I128" s="78">
        <f>INDEX('Population Data by Age'!$B$7:$H$10366,MATCH(CONCATENATE('Tabular Pop Data by Age'!$C128,'Tabular Pop Data by Age'!I$7),'Population Data by Age'!$B$7:$B$10366,0),MATCH('Tabular Pop Data by Age'!$C$6,'Population Data by Age'!$B$6:$H$6,0))</f>
        <v>1258000</v>
      </c>
      <c r="J128" s="78">
        <f>INDEX('Population Data by Age'!$B$7:$H$10366,MATCH(CONCATENATE('Tabular Pop Data by Age'!$C128,'Tabular Pop Data by Age'!J$7),'Population Data by Age'!$B$7:$B$10366,0),MATCH('Tabular Pop Data by Age'!$C$6,'Population Data by Age'!$B$6:$H$6,0))</f>
        <v>1293000</v>
      </c>
      <c r="K128" s="78">
        <f>INDEX('Population Data by Age'!$B$7:$H$10366,MATCH(CONCATENATE('Tabular Pop Data by Age'!$C128,'Tabular Pop Data by Age'!K$7),'Population Data by Age'!$B$7:$B$10366,0),MATCH('Tabular Pop Data by Age'!$C$6,'Population Data by Age'!$B$6:$H$6,0))</f>
        <v>1377000</v>
      </c>
      <c r="L128" s="78">
        <f>INDEX('Population Data by Age'!$B$7:$H$10366,MATCH(CONCATENATE('Tabular Pop Data by Age'!$C128,'Tabular Pop Data by Age'!L$7),'Population Data by Age'!$B$7:$B$10366,0),MATCH('Tabular Pop Data by Age'!$C$6,'Population Data by Age'!$B$6:$H$6,0))</f>
        <v>1389000</v>
      </c>
      <c r="M128" s="78">
        <f>INDEX('Population Data by Age'!$B$7:$H$10366,MATCH(CONCATENATE('Tabular Pop Data by Age'!$C128,'Tabular Pop Data by Age'!M$7),'Population Data by Age'!$B$7:$B$10366,0),MATCH('Tabular Pop Data by Age'!$C$6,'Population Data by Age'!$B$6:$H$6,0))</f>
        <v>1474000</v>
      </c>
      <c r="N128" s="78">
        <f>INDEX('Population Data by Age'!$B$7:$H$10366,MATCH(CONCATENATE('Tabular Pop Data by Age'!$C128,'Tabular Pop Data by Age'!N$7),'Population Data by Age'!$B$7:$B$10366,0),MATCH('Tabular Pop Data by Age'!$C$6,'Population Data by Age'!$B$6:$H$6,0))</f>
        <v>1414000</v>
      </c>
      <c r="O128" s="78">
        <f>INDEX('Population Data by Age'!$B$7:$H$10366,MATCH(CONCATENATE('Tabular Pop Data by Age'!$C128,'Tabular Pop Data by Age'!O$7),'Population Data by Age'!$B$7:$B$10366,0),MATCH('Tabular Pop Data by Age'!$C$6,'Population Data by Age'!$B$6:$H$6,0))</f>
        <v>1493000</v>
      </c>
      <c r="P128" s="78">
        <f>INDEX('Population Data by Age'!$B$7:$H$10366,MATCH(CONCATENATE('Tabular Pop Data by Age'!$C128,'Tabular Pop Data by Age'!P$7),'Population Data by Age'!$B$7:$B$10366,0),MATCH('Tabular Pop Data by Age'!$C$6,'Population Data by Age'!$B$6:$H$6,0))</f>
        <v>1417000</v>
      </c>
      <c r="Q128" s="78">
        <f>INDEX('Population Data by Age'!$B$7:$H$10366,MATCH(CONCATENATE('Tabular Pop Data by Age'!$C128,'Tabular Pop Data by Age'!Q$7),'Population Data by Age'!$B$7:$B$10366,0),MATCH('Tabular Pop Data by Age'!$C$6,'Population Data by Age'!$B$6:$H$6,0))</f>
        <v>1513000</v>
      </c>
      <c r="R128" s="78">
        <f>INDEX('Population Data by Age'!$B$7:$H$10366,MATCH(CONCATENATE('Tabular Pop Data by Age'!$C128,'Tabular Pop Data by Age'!R$7),'Population Data by Age'!$B$7:$B$10366,0),MATCH('Tabular Pop Data by Age'!$C$6,'Population Data by Age'!$B$6:$H$6,0))</f>
        <v>1286000</v>
      </c>
      <c r="S128" s="78">
        <f>INDEX('Population Data by Age'!$B$7:$H$10366,MATCH(CONCATENATE('Tabular Pop Data by Age'!$C128,'Tabular Pop Data by Age'!S$7),'Population Data by Age'!$B$7:$B$10366,0),MATCH('Tabular Pop Data by Age'!$C$6,'Population Data by Age'!$B$6:$H$6,0))</f>
        <v>1435000</v>
      </c>
      <c r="T128" s="78">
        <f>INDEX('Population Data by Age'!$B$7:$H$10366,MATCH(CONCATENATE('Tabular Pop Data by Age'!$C128,'Tabular Pop Data by Age'!T$7),'Population Data by Age'!$B$7:$B$10366,0),MATCH('Tabular Pop Data by Age'!$C$6,'Population Data by Age'!$B$6:$H$6,0))</f>
        <v>989000</v>
      </c>
      <c r="U128" s="78">
        <f>INDEX('Population Data by Age'!$B$7:$H$10366,MATCH(CONCATENATE('Tabular Pop Data by Age'!$C128,'Tabular Pop Data by Age'!U$7),'Population Data by Age'!$B$7:$B$10366,0),MATCH('Tabular Pop Data by Age'!$C$6,'Population Data by Age'!$B$6:$H$6,0))</f>
        <v>1107000</v>
      </c>
      <c r="V128" s="78">
        <f>INDEX('Population Data by Age'!$B$7:$H$10366,MATCH(CONCATENATE('Tabular Pop Data by Age'!$C128,'Tabular Pop Data by Age'!V$7),'Population Data by Age'!$B$7:$B$10366,0),MATCH('Tabular Pop Data by Age'!$C$6,'Population Data by Age'!$B$6:$H$6,0))</f>
        <v>921000</v>
      </c>
      <c r="W128" s="78">
        <f>INDEX('Population Data by Age'!$B$7:$H$10366,MATCH(CONCATENATE('Tabular Pop Data by Age'!$C128,'Tabular Pop Data by Age'!W$7),'Population Data by Age'!$B$7:$B$10366,0),MATCH('Tabular Pop Data by Age'!$C$6,'Population Data by Age'!$B$6:$H$6,0))</f>
        <v>974000</v>
      </c>
      <c r="X128" s="78">
        <f>INDEX('Population Data by Age'!$B$7:$H$10366,MATCH(CONCATENATE('Tabular Pop Data by Age'!$C128,'Tabular Pop Data by Age'!X$7),'Population Data by Age'!$B$7:$B$10366,0),MATCH('Tabular Pop Data by Age'!$C$6,'Population Data by Age'!$B$6:$H$6,0))</f>
        <v>834000</v>
      </c>
      <c r="Y128" s="78">
        <f>INDEX('Population Data by Age'!$B$7:$H$10366,MATCH(CONCATENATE('Tabular Pop Data by Age'!$C128,'Tabular Pop Data by Age'!Y$7),'Population Data by Age'!$B$7:$B$10366,0),MATCH('Tabular Pop Data by Age'!$C$6,'Population Data by Age'!$B$6:$H$6,0))</f>
        <v>841000</v>
      </c>
      <c r="Z128" s="78">
        <f>INDEX('Population Data by Age'!$B$7:$H$10366,MATCH(CONCATENATE('Tabular Pop Data by Age'!$C128,'Tabular Pop Data by Age'!Z$7),'Population Data by Age'!$B$7:$B$10366,0),MATCH('Tabular Pop Data by Age'!$C$6,'Population Data by Age'!$B$6:$H$6,0))</f>
        <v>709000</v>
      </c>
      <c r="AA128" s="78">
        <f>INDEX('Population Data by Age'!$B$7:$H$10366,MATCH(CONCATENATE('Tabular Pop Data by Age'!$C128,'Tabular Pop Data by Age'!AA$7),'Population Data by Age'!$B$7:$B$10366,0),MATCH('Tabular Pop Data by Age'!$C$6,'Population Data by Age'!$B$6:$H$6,0))</f>
        <v>762000</v>
      </c>
      <c r="AB128" s="78">
        <f>INDEX('Population Data by Age'!$B$7:$H$10366,MATCH(CONCATENATE('Tabular Pop Data by Age'!$C128,'Tabular Pop Data by Age'!AB$7),'Population Data by Age'!$B$7:$B$10366,0),MATCH('Tabular Pop Data by Age'!$C$6,'Population Data by Age'!$B$6:$H$6,0))</f>
        <v>606000</v>
      </c>
      <c r="AC128" s="78">
        <f>INDEX('Population Data by Age'!$B$7:$H$10366,MATCH(CONCATENATE('Tabular Pop Data by Age'!$C128,'Tabular Pop Data by Age'!AC$7),'Population Data by Age'!$B$7:$B$10366,0),MATCH('Tabular Pop Data by Age'!$C$6,'Population Data by Age'!$B$6:$H$6,0))</f>
        <v>617000</v>
      </c>
      <c r="AD128" s="78">
        <f>INDEX('Population Data by Age'!$B$7:$H$10366,MATCH(CONCATENATE('Tabular Pop Data by Age'!$C128,'Tabular Pop Data by Age'!AD$7),'Population Data by Age'!$B$7:$B$10366,0),MATCH('Tabular Pop Data by Age'!$C$6,'Population Data by Age'!$B$6:$H$6,0))</f>
        <v>468000</v>
      </c>
      <c r="AE128" s="78">
        <f>INDEX('Population Data by Age'!$B$7:$H$10366,MATCH(CONCATENATE('Tabular Pop Data by Age'!$C128,'Tabular Pop Data by Age'!AE$7),'Population Data by Age'!$B$7:$B$10366,0),MATCH('Tabular Pop Data by Age'!$C$6,'Population Data by Age'!$B$6:$H$6,0))</f>
        <v>459000</v>
      </c>
      <c r="AF128" s="78">
        <f>INDEX('Population Data by Age'!$B$7:$H$10366,MATCH(CONCATENATE('Tabular Pop Data by Age'!$C128,'Tabular Pop Data by Age'!AF$7),'Population Data by Age'!$B$7:$B$10366,0),MATCH('Tabular Pop Data by Age'!$C$6,'Population Data by Age'!$B$6:$H$6,0))</f>
        <v>343000</v>
      </c>
      <c r="AG128" s="78">
        <f>INDEX('Population Data by Age'!$B$7:$H$10366,MATCH(CONCATENATE('Tabular Pop Data by Age'!$C128,'Tabular Pop Data by Age'!AG$7),'Population Data by Age'!$B$7:$B$10366,0),MATCH('Tabular Pop Data by Age'!$C$6,'Population Data by Age'!$B$6:$H$6,0))</f>
        <v>315000</v>
      </c>
      <c r="AH128" s="78">
        <f>INDEX('Population Data by Age'!$B$7:$H$10366,MATCH(CONCATENATE('Tabular Pop Data by Age'!$C128,'Tabular Pop Data by Age'!AH$7),'Population Data by Age'!$B$7:$B$10366,0),MATCH('Tabular Pop Data by Age'!$C$6,'Population Data by Age'!$B$6:$H$6,0))</f>
        <v>193000</v>
      </c>
      <c r="AI128" s="78">
        <f>INDEX('Population Data by Age'!$B$7:$H$10366,MATCH(CONCATENATE('Tabular Pop Data by Age'!$C128,'Tabular Pop Data by Age'!AI$7),'Population Data by Age'!$B$7:$B$10366,0),MATCH('Tabular Pop Data by Age'!$C$6,'Population Data by Age'!$B$6:$H$6,0))</f>
        <v>175000</v>
      </c>
      <c r="AJ128" s="78">
        <f>INDEX('Population Data by Age'!$B$7:$H$10366,MATCH(CONCATENATE('Tabular Pop Data by Age'!$C128,'Tabular Pop Data by Age'!AJ$7),'Population Data by Age'!$B$7:$B$10366,0),MATCH('Tabular Pop Data by Age'!$C$6,'Population Data by Age'!$B$6:$H$6,0))</f>
        <v>190000</v>
      </c>
      <c r="AK128" s="78">
        <f>INDEX('Population Data by Age'!$B$7:$H$10366,MATCH(CONCATENATE('Tabular Pop Data by Age'!$C128,'Tabular Pop Data by Age'!AK$7),'Population Data by Age'!$B$7:$B$10366,0),MATCH('Tabular Pop Data by Age'!$C$6,'Population Data by Age'!$B$6:$H$6,0))</f>
        <v>183000</v>
      </c>
      <c r="AL128" s="78">
        <f>INDEX('Population Data by Age'!$B$7:$H$10366,MATCH(CONCATENATE('Tabular Pop Data by Age'!$C128,'Tabular Pop Data by Age'!AL$7),'Population Data by Age'!$B$7:$B$10366,0),MATCH('Tabular Pop Data by Age'!$C$6,'Population Data by Age'!$B$6:$H$6,0))</f>
        <v>15735000</v>
      </c>
      <c r="AM128" s="78">
        <f>INDEX('Population Data by Age'!$B$7:$H$10366,MATCH(CONCATENATE('Tabular Pop Data by Age'!$C128,'Tabular Pop Data by Age'!AM$7),'Population Data by Age'!$B$7:$B$10366,0),MATCH('Tabular Pop Data by Age'!$C$6,'Population Data by Age'!$B$6:$H$6,0))</f>
        <v>16631000</v>
      </c>
      <c r="AN128" s="78">
        <f>INDEX('Population Data by Age'!$B$7:$H$10366,MATCH(CONCATENATE('Tabular Pop Data by Age'!$C128,'Tabular Pop Data by Age'!AN$7),'Population Data by Age'!$B$7:$B$10366,0),MATCH('Tabular Pop Data by Age'!$C$6,'Population Data by Age'!$B$6:$H$6,0))</f>
        <v>32366000</v>
      </c>
      <c r="AO128" s="78">
        <f>INDEX('Population Data by Age'!$B$7:$H$10366,MATCH(CONCATENATE('Tabular Pop Data by Age'!$C128,'Tabular Pop Data by Age'!AO$7),'Population Data by Age'!$B$7:$B$10366,0),MATCH('Tabular Pop Data by Age'!$C$6,'Population Data by Age'!$B$6:$H$6,0))</f>
        <v>0</v>
      </c>
      <c r="AP128" s="79">
        <f t="shared" si="34"/>
        <v>2635000</v>
      </c>
      <c r="AQ128" s="79">
        <f t="shared" si="35"/>
        <v>2508000</v>
      </c>
      <c r="AR128" s="79">
        <f t="shared" si="36"/>
        <v>2446000</v>
      </c>
      <c r="AS128" s="79">
        <f t="shared" si="37"/>
        <v>2670000</v>
      </c>
      <c r="AT128" s="79">
        <f t="shared" si="38"/>
        <v>2863000</v>
      </c>
      <c r="AU128" s="79">
        <f t="shared" si="39"/>
        <v>2907000</v>
      </c>
      <c r="AV128" s="79">
        <f t="shared" si="40"/>
        <v>2930000</v>
      </c>
      <c r="AW128" s="79">
        <f t="shared" si="41"/>
        <v>2721000</v>
      </c>
      <c r="AX128" s="79">
        <f t="shared" si="42"/>
        <v>2096000</v>
      </c>
      <c r="AY128" s="79">
        <f t="shared" si="43"/>
        <v>1895000</v>
      </c>
      <c r="AZ128" s="79">
        <f t="shared" si="44"/>
        <v>1675000</v>
      </c>
      <c r="BA128" s="79">
        <f t="shared" si="45"/>
        <v>1471000</v>
      </c>
      <c r="BB128" s="79">
        <f t="shared" si="46"/>
        <v>1223000</v>
      </c>
      <c r="BC128" s="79">
        <f t="shared" si="47"/>
        <v>927000</v>
      </c>
      <c r="BD128" s="79">
        <f t="shared" si="48"/>
        <v>658000</v>
      </c>
      <c r="BE128" s="79">
        <f t="shared" si="49"/>
        <v>368000</v>
      </c>
      <c r="BF128" s="79">
        <f t="shared" si="50"/>
        <v>373000</v>
      </c>
    </row>
    <row r="129" spans="1:58" x14ac:dyDescent="0.25">
      <c r="A129" s="138" t="s">
        <v>1195</v>
      </c>
      <c r="B129" t="s">
        <v>243</v>
      </c>
      <c r="C129" t="s">
        <v>89</v>
      </c>
      <c r="D129" s="78">
        <f>INDEX('Population Data by Age'!$B$7:$H$10366,MATCH(CONCATENATE('Tabular Pop Data by Age'!$C129,'Tabular Pop Data by Age'!D$7),'Population Data by Age'!$B$7:$B$10366,0),MATCH('Tabular Pop Data by Age'!$C$6,'Population Data by Age'!$B$6:$H$6,0))</f>
        <v>17000</v>
      </c>
      <c r="E129" s="78">
        <f>INDEX('Population Data by Age'!$B$7:$H$10366,MATCH(CONCATENATE('Tabular Pop Data by Age'!$C129,'Tabular Pop Data by Age'!E$7),'Population Data by Age'!$B$7:$B$10366,0),MATCH('Tabular Pop Data by Age'!$C$6,'Population Data by Age'!$B$6:$H$6,0))</f>
        <v>18000</v>
      </c>
      <c r="F129" s="78">
        <f>INDEX('Population Data by Age'!$B$7:$H$10366,MATCH(CONCATENATE('Tabular Pop Data by Age'!$C129,'Tabular Pop Data by Age'!F$7),'Population Data by Age'!$B$7:$B$10366,0),MATCH('Tabular Pop Data by Age'!$C$6,'Population Data by Age'!$B$6:$H$6,0))</f>
        <v>18000</v>
      </c>
      <c r="G129" s="78">
        <f>INDEX('Population Data by Age'!$B$7:$H$10366,MATCH(CONCATENATE('Tabular Pop Data by Age'!$C129,'Tabular Pop Data by Age'!G$7),'Population Data by Age'!$B$7:$B$10366,0),MATCH('Tabular Pop Data by Age'!$C$6,'Population Data by Age'!$B$6:$H$6,0))</f>
        <v>19000</v>
      </c>
      <c r="H129" s="78">
        <f>INDEX('Population Data by Age'!$B$7:$H$10366,MATCH(CONCATENATE('Tabular Pop Data by Age'!$C129,'Tabular Pop Data by Age'!H$7),'Population Data by Age'!$B$7:$B$10366,0),MATCH('Tabular Pop Data by Age'!$C$6,'Population Data by Age'!$B$6:$H$6,0))</f>
        <v>16000</v>
      </c>
      <c r="I129" s="78">
        <f>INDEX('Population Data by Age'!$B$7:$H$10366,MATCH(CONCATENATE('Tabular Pop Data by Age'!$C129,'Tabular Pop Data by Age'!I$7),'Population Data by Age'!$B$7:$B$10366,0),MATCH('Tabular Pop Data by Age'!$C$6,'Population Data by Age'!$B$6:$H$6,0))</f>
        <v>17000</v>
      </c>
      <c r="J129" s="78">
        <f>INDEX('Population Data by Age'!$B$7:$H$10366,MATCH(CONCATENATE('Tabular Pop Data by Age'!$C129,'Tabular Pop Data by Age'!J$7),'Population Data by Age'!$B$7:$B$10366,0),MATCH('Tabular Pop Data by Age'!$C$6,'Population Data by Age'!$B$6:$H$6,0))</f>
        <v>13000</v>
      </c>
      <c r="K129" s="78">
        <f>INDEX('Population Data by Age'!$B$7:$H$10366,MATCH(CONCATENATE('Tabular Pop Data by Age'!$C129,'Tabular Pop Data by Age'!K$7),'Population Data by Age'!$B$7:$B$10366,0),MATCH('Tabular Pop Data by Age'!$C$6,'Population Data by Age'!$B$6:$H$6,0))</f>
        <v>14000</v>
      </c>
      <c r="L129" s="78">
        <f>INDEX('Population Data by Age'!$B$7:$H$10366,MATCH(CONCATENATE('Tabular Pop Data by Age'!$C129,'Tabular Pop Data by Age'!L$7),'Population Data by Age'!$B$7:$B$10366,0),MATCH('Tabular Pop Data by Age'!$C$6,'Population Data by Age'!$B$6:$H$6,0))</f>
        <v>15000</v>
      </c>
      <c r="M129" s="78">
        <f>INDEX('Population Data by Age'!$B$7:$H$10366,MATCH(CONCATENATE('Tabular Pop Data by Age'!$C129,'Tabular Pop Data by Age'!M$7),'Population Data by Age'!$B$7:$B$10366,0),MATCH('Tabular Pop Data by Age'!$C$6,'Population Data by Age'!$B$6:$H$6,0))</f>
        <v>36000</v>
      </c>
      <c r="N129" s="78">
        <f>INDEX('Population Data by Age'!$B$7:$H$10366,MATCH(CONCATENATE('Tabular Pop Data by Age'!$C129,'Tabular Pop Data by Age'!N$7),'Population Data by Age'!$B$7:$B$10366,0),MATCH('Tabular Pop Data by Age'!$C$6,'Population Data by Age'!$B$6:$H$6,0))</f>
        <v>20000</v>
      </c>
      <c r="O129" s="78">
        <f>INDEX('Population Data by Age'!$B$7:$H$10366,MATCH(CONCATENATE('Tabular Pop Data by Age'!$C129,'Tabular Pop Data by Age'!O$7),'Population Data by Age'!$B$7:$B$10366,0),MATCH('Tabular Pop Data by Age'!$C$6,'Population Data by Age'!$B$6:$H$6,0))</f>
        <v>69000</v>
      </c>
      <c r="P129" s="78">
        <f>INDEX('Population Data by Age'!$B$7:$H$10366,MATCH(CONCATENATE('Tabular Pop Data by Age'!$C129,'Tabular Pop Data by Age'!P$7),'Population Data by Age'!$B$7:$B$10366,0),MATCH('Tabular Pop Data by Age'!$C$6,'Population Data by Age'!$B$6:$H$6,0))</f>
        <v>22000</v>
      </c>
      <c r="Q129" s="78">
        <f>INDEX('Population Data by Age'!$B$7:$H$10366,MATCH(CONCATENATE('Tabular Pop Data by Age'!$C129,'Tabular Pop Data by Age'!Q$7),'Population Data by Age'!$B$7:$B$10366,0),MATCH('Tabular Pop Data by Age'!$C$6,'Population Data by Age'!$B$6:$H$6,0))</f>
        <v>60000</v>
      </c>
      <c r="R129" s="78">
        <f>INDEX('Population Data by Age'!$B$7:$H$10366,MATCH(CONCATENATE('Tabular Pop Data by Age'!$C129,'Tabular Pop Data by Age'!R$7),'Population Data by Age'!$B$7:$B$10366,0),MATCH('Tabular Pop Data by Age'!$C$6,'Population Data by Age'!$B$6:$H$6,0))</f>
        <v>19000</v>
      </c>
      <c r="S129" s="78">
        <f>INDEX('Population Data by Age'!$B$7:$H$10366,MATCH(CONCATENATE('Tabular Pop Data by Age'!$C129,'Tabular Pop Data by Age'!S$7),'Population Data by Age'!$B$7:$B$10366,0),MATCH('Tabular Pop Data by Age'!$C$6,'Population Data by Age'!$B$6:$H$6,0))</f>
        <v>36000</v>
      </c>
      <c r="T129" s="78">
        <f>INDEX('Population Data by Age'!$B$7:$H$10366,MATCH(CONCATENATE('Tabular Pop Data by Age'!$C129,'Tabular Pop Data by Age'!T$7),'Population Data by Age'!$B$7:$B$10366,0),MATCH('Tabular Pop Data by Age'!$C$6,'Population Data by Age'!$B$6:$H$6,0))</f>
        <v>13000</v>
      </c>
      <c r="U129" s="78">
        <f>INDEX('Population Data by Age'!$B$7:$H$10366,MATCH(CONCATENATE('Tabular Pop Data by Age'!$C129,'Tabular Pop Data by Age'!U$7),'Population Data by Age'!$B$7:$B$10366,0),MATCH('Tabular Pop Data by Age'!$C$6,'Population Data by Age'!$B$6:$H$6,0))</f>
        <v>23000</v>
      </c>
      <c r="V129" s="78">
        <f>INDEX('Population Data by Age'!$B$7:$H$10366,MATCH(CONCATENATE('Tabular Pop Data by Age'!$C129,'Tabular Pop Data by Age'!V$7),'Population Data by Age'!$B$7:$B$10366,0),MATCH('Tabular Pop Data by Age'!$C$6,'Population Data by Age'!$B$6:$H$6,0))</f>
        <v>11000</v>
      </c>
      <c r="W129" s="78">
        <f>INDEX('Population Data by Age'!$B$7:$H$10366,MATCH(CONCATENATE('Tabular Pop Data by Age'!$C129,'Tabular Pop Data by Age'!W$7),'Population Data by Age'!$B$7:$B$10366,0),MATCH('Tabular Pop Data by Age'!$C$6,'Population Data by Age'!$B$6:$H$6,0))</f>
        <v>17000</v>
      </c>
      <c r="X129" s="78">
        <f>INDEX('Population Data by Age'!$B$7:$H$10366,MATCH(CONCATENATE('Tabular Pop Data by Age'!$C129,'Tabular Pop Data by Age'!X$7),'Population Data by Age'!$B$7:$B$10366,0),MATCH('Tabular Pop Data by Age'!$C$6,'Population Data by Age'!$B$6:$H$6,0))</f>
        <v>9300</v>
      </c>
      <c r="Y129" s="78">
        <f>INDEX('Population Data by Age'!$B$7:$H$10366,MATCH(CONCATENATE('Tabular Pop Data by Age'!$C129,'Tabular Pop Data by Age'!Y$7),'Population Data by Age'!$B$7:$B$10366,0),MATCH('Tabular Pop Data by Age'!$C$6,'Population Data by Age'!$B$6:$H$6,0))</f>
        <v>11000</v>
      </c>
      <c r="Z129" s="78">
        <f>INDEX('Population Data by Age'!$B$7:$H$10366,MATCH(CONCATENATE('Tabular Pop Data by Age'!$C129,'Tabular Pop Data by Age'!Z$7),'Population Data by Age'!$B$7:$B$10366,0),MATCH('Tabular Pop Data by Age'!$C$6,'Population Data by Age'!$B$6:$H$6,0))</f>
        <v>7800</v>
      </c>
      <c r="AA129" s="78">
        <f>INDEX('Population Data by Age'!$B$7:$H$10366,MATCH(CONCATENATE('Tabular Pop Data by Age'!$C129,'Tabular Pop Data by Age'!AA$7),'Population Data by Age'!$B$7:$B$10366,0),MATCH('Tabular Pop Data by Age'!$C$6,'Population Data by Age'!$B$6:$H$6,0))</f>
        <v>7500</v>
      </c>
      <c r="AB129" s="78">
        <f>INDEX('Population Data by Age'!$B$7:$H$10366,MATCH(CONCATENATE('Tabular Pop Data by Age'!$C129,'Tabular Pop Data by Age'!AB$7),'Population Data by Age'!$B$7:$B$10366,0),MATCH('Tabular Pop Data by Age'!$C$6,'Population Data by Age'!$B$6:$H$6,0))</f>
        <v>5900</v>
      </c>
      <c r="AC129" s="78">
        <f>INDEX('Population Data by Age'!$B$7:$H$10366,MATCH(CONCATENATE('Tabular Pop Data by Age'!$C129,'Tabular Pop Data by Age'!AC$7),'Population Data by Age'!$B$7:$B$10366,0),MATCH('Tabular Pop Data by Age'!$C$6,'Population Data by Age'!$B$6:$H$6,0))</f>
        <v>5700</v>
      </c>
      <c r="AD129" s="78">
        <f>INDEX('Population Data by Age'!$B$7:$H$10366,MATCH(CONCATENATE('Tabular Pop Data by Age'!$C129,'Tabular Pop Data by Age'!AD$7),'Population Data by Age'!$B$7:$B$10366,0),MATCH('Tabular Pop Data by Age'!$C$6,'Population Data by Age'!$B$6:$H$6,0))</f>
        <v>3300</v>
      </c>
      <c r="AE129" s="78">
        <f>INDEX('Population Data by Age'!$B$7:$H$10366,MATCH(CONCATENATE('Tabular Pop Data by Age'!$C129,'Tabular Pop Data by Age'!AE$7),'Population Data by Age'!$B$7:$B$10366,0),MATCH('Tabular Pop Data by Age'!$C$6,'Population Data by Age'!$B$6:$H$6,0))</f>
        <v>3300</v>
      </c>
      <c r="AF129" s="78">
        <f>INDEX('Population Data by Age'!$B$7:$H$10366,MATCH(CONCATENATE('Tabular Pop Data by Age'!$C129,'Tabular Pop Data by Age'!AF$7),'Population Data by Age'!$B$7:$B$10366,0),MATCH('Tabular Pop Data by Age'!$C$6,'Population Data by Age'!$B$6:$H$6,0))</f>
        <v>2100</v>
      </c>
      <c r="AG129" s="78">
        <f>INDEX('Population Data by Age'!$B$7:$H$10366,MATCH(CONCATENATE('Tabular Pop Data by Age'!$C129,'Tabular Pop Data by Age'!AG$7),'Population Data by Age'!$B$7:$B$10366,0),MATCH('Tabular Pop Data by Age'!$C$6,'Population Data by Age'!$B$6:$H$6,0))</f>
        <v>2300</v>
      </c>
      <c r="AH129" s="78">
        <f>INDEX('Population Data by Age'!$B$7:$H$10366,MATCH(CONCATENATE('Tabular Pop Data by Age'!$C129,'Tabular Pop Data by Age'!AH$7),'Population Data by Age'!$B$7:$B$10366,0),MATCH('Tabular Pop Data by Age'!$C$6,'Population Data by Age'!$B$6:$H$6,0))</f>
        <v>2000</v>
      </c>
      <c r="AI129" s="78">
        <f>INDEX('Population Data by Age'!$B$7:$H$10366,MATCH(CONCATENATE('Tabular Pop Data by Age'!$C129,'Tabular Pop Data by Age'!AI$7),'Population Data by Age'!$B$7:$B$10366,0),MATCH('Tabular Pop Data by Age'!$C$6,'Population Data by Age'!$B$6:$H$6,0))</f>
        <v>2100</v>
      </c>
      <c r="AJ129" s="78">
        <f>INDEX('Population Data by Age'!$B$7:$H$10366,MATCH(CONCATENATE('Tabular Pop Data by Age'!$C129,'Tabular Pop Data by Age'!AJ$7),'Population Data by Age'!$B$7:$B$10366,0),MATCH('Tabular Pop Data by Age'!$C$6,'Population Data by Age'!$B$6:$H$6,0))</f>
        <v>2100</v>
      </c>
      <c r="AK129" s="78">
        <f>INDEX('Population Data by Age'!$B$7:$H$10366,MATCH(CONCATENATE('Tabular Pop Data by Age'!$C129,'Tabular Pop Data by Age'!AK$7),'Population Data by Age'!$B$7:$B$10366,0),MATCH('Tabular Pop Data by Age'!$C$6,'Population Data by Age'!$B$6:$H$6,0))</f>
        <v>2300</v>
      </c>
      <c r="AL129" s="78">
        <f>INDEX('Population Data by Age'!$B$7:$H$10366,MATCH(CONCATENATE('Tabular Pop Data by Age'!$C129,'Tabular Pop Data by Age'!AL$7),'Population Data by Age'!$B$7:$B$10366,0),MATCH('Tabular Pop Data by Age'!$C$6,'Population Data by Age'!$B$6:$H$6,0))</f>
        <v>198000</v>
      </c>
      <c r="AM129" s="78">
        <f>INDEX('Population Data by Age'!$B$7:$H$10366,MATCH(CONCATENATE('Tabular Pop Data by Age'!$C129,'Tabular Pop Data by Age'!AM$7),'Population Data by Age'!$B$7:$B$10366,0),MATCH('Tabular Pop Data by Age'!$C$6,'Population Data by Age'!$B$6:$H$6,0))</f>
        <v>343000</v>
      </c>
      <c r="AN129" s="78">
        <f>INDEX('Population Data by Age'!$B$7:$H$10366,MATCH(CONCATENATE('Tabular Pop Data by Age'!$C129,'Tabular Pop Data by Age'!AN$7),'Population Data by Age'!$B$7:$B$10366,0),MATCH('Tabular Pop Data by Age'!$C$6,'Population Data by Age'!$B$6:$H$6,0))</f>
        <v>541000</v>
      </c>
      <c r="AO129" s="78">
        <f>INDEX('Population Data by Age'!$B$7:$H$10366,MATCH(CONCATENATE('Tabular Pop Data by Age'!$C129,'Tabular Pop Data by Age'!AO$7),'Population Data by Age'!$B$7:$B$10366,0),MATCH('Tabular Pop Data by Age'!$C$6,'Population Data by Age'!$B$6:$H$6,0))</f>
        <v>0</v>
      </c>
      <c r="AP129" s="79">
        <f t="shared" si="34"/>
        <v>35000</v>
      </c>
      <c r="AQ129" s="79">
        <f t="shared" si="35"/>
        <v>37000</v>
      </c>
      <c r="AR129" s="79">
        <f t="shared" si="36"/>
        <v>33000</v>
      </c>
      <c r="AS129" s="79">
        <f t="shared" si="37"/>
        <v>27000</v>
      </c>
      <c r="AT129" s="79">
        <f t="shared" si="38"/>
        <v>51000</v>
      </c>
      <c r="AU129" s="79">
        <f t="shared" si="39"/>
        <v>89000</v>
      </c>
      <c r="AV129" s="79">
        <f t="shared" si="40"/>
        <v>82000</v>
      </c>
      <c r="AW129" s="79">
        <f t="shared" si="41"/>
        <v>55000</v>
      </c>
      <c r="AX129" s="79">
        <f t="shared" si="42"/>
        <v>36000</v>
      </c>
      <c r="AY129" s="79">
        <f t="shared" si="43"/>
        <v>28000</v>
      </c>
      <c r="AZ129" s="79">
        <f t="shared" si="44"/>
        <v>20300</v>
      </c>
      <c r="BA129" s="79">
        <f t="shared" si="45"/>
        <v>15300</v>
      </c>
      <c r="BB129" s="79">
        <f t="shared" si="46"/>
        <v>11600</v>
      </c>
      <c r="BC129" s="79">
        <f t="shared" si="47"/>
        <v>6600</v>
      </c>
      <c r="BD129" s="79">
        <f t="shared" si="48"/>
        <v>4400</v>
      </c>
      <c r="BE129" s="79">
        <f t="shared" si="49"/>
        <v>4100</v>
      </c>
      <c r="BF129" s="79">
        <f t="shared" si="50"/>
        <v>4400</v>
      </c>
    </row>
    <row r="130" spans="1:58" x14ac:dyDescent="0.25">
      <c r="A130" s="138" t="s">
        <v>1195</v>
      </c>
      <c r="B130" t="s">
        <v>204</v>
      </c>
      <c r="C130" t="s">
        <v>92</v>
      </c>
      <c r="D130" s="78">
        <f>INDEX('Population Data by Age'!$B$7:$H$10366,MATCH(CONCATENATE('Tabular Pop Data by Age'!$C130,'Tabular Pop Data by Age'!D$7),'Population Data by Age'!$B$7:$B$10366,0),MATCH('Tabular Pop Data by Age'!$C$6,'Population Data by Age'!$B$6:$H$6,0))</f>
        <v>1772000</v>
      </c>
      <c r="E130" s="78">
        <f>INDEX('Population Data by Age'!$B$7:$H$10366,MATCH(CONCATENATE('Tabular Pop Data by Age'!$C130,'Tabular Pop Data by Age'!E$7),'Population Data by Age'!$B$7:$B$10366,0),MATCH('Tabular Pop Data by Age'!$C$6,'Population Data by Age'!$B$6:$H$6,0))</f>
        <v>1834000</v>
      </c>
      <c r="F130" s="78">
        <f>INDEX('Population Data by Age'!$B$7:$H$10366,MATCH(CONCATENATE('Tabular Pop Data by Age'!$C130,'Tabular Pop Data by Age'!F$7),'Population Data by Age'!$B$7:$B$10366,0),MATCH('Tabular Pop Data by Age'!$C$6,'Population Data by Age'!$B$6:$H$6,0))</f>
        <v>1551000</v>
      </c>
      <c r="G130" s="78">
        <f>INDEX('Population Data by Age'!$B$7:$H$10366,MATCH(CONCATENATE('Tabular Pop Data by Age'!$C130,'Tabular Pop Data by Age'!G$7),'Population Data by Age'!$B$7:$B$10366,0),MATCH('Tabular Pop Data by Age'!$C$6,'Population Data by Age'!$B$6:$H$6,0))</f>
        <v>1604000</v>
      </c>
      <c r="H130" s="78">
        <f>INDEX('Population Data by Age'!$B$7:$H$10366,MATCH(CONCATENATE('Tabular Pop Data by Age'!$C130,'Tabular Pop Data by Age'!H$7),'Population Data by Age'!$B$7:$B$10366,0),MATCH('Tabular Pop Data by Age'!$C$6,'Population Data by Age'!$B$6:$H$6,0))</f>
        <v>1357000</v>
      </c>
      <c r="I130" s="78">
        <f>INDEX('Population Data by Age'!$B$7:$H$10366,MATCH(CONCATENATE('Tabular Pop Data by Age'!$C130,'Tabular Pop Data by Age'!I$7),'Population Data by Age'!$B$7:$B$10366,0),MATCH('Tabular Pop Data by Age'!$C$6,'Population Data by Age'!$B$6:$H$6,0))</f>
        <v>1402000</v>
      </c>
      <c r="J130" s="78">
        <f>INDEX('Population Data by Age'!$B$7:$H$10366,MATCH(CONCATENATE('Tabular Pop Data by Age'!$C130,'Tabular Pop Data by Age'!J$7),'Population Data by Age'!$B$7:$B$10366,0),MATCH('Tabular Pop Data by Age'!$C$6,'Population Data by Age'!$B$6:$H$6,0))</f>
        <v>1110000</v>
      </c>
      <c r="K130" s="78">
        <f>INDEX('Population Data by Age'!$B$7:$H$10366,MATCH(CONCATENATE('Tabular Pop Data by Age'!$C130,'Tabular Pop Data by Age'!K$7),'Population Data by Age'!$B$7:$B$10366,0),MATCH('Tabular Pop Data by Age'!$C$6,'Population Data by Age'!$B$6:$H$6,0))</f>
        <v>1141000</v>
      </c>
      <c r="L130" s="78">
        <f>INDEX('Population Data by Age'!$B$7:$H$10366,MATCH(CONCATENATE('Tabular Pop Data by Age'!$C130,'Tabular Pop Data by Age'!L$7),'Population Data by Age'!$B$7:$B$10366,0),MATCH('Tabular Pop Data by Age'!$C$6,'Population Data by Age'!$B$6:$H$6,0))</f>
        <v>880000</v>
      </c>
      <c r="M130" s="78">
        <f>INDEX('Population Data by Age'!$B$7:$H$10366,MATCH(CONCATENATE('Tabular Pop Data by Age'!$C130,'Tabular Pop Data by Age'!M$7),'Population Data by Age'!$B$7:$B$10366,0),MATCH('Tabular Pop Data by Age'!$C$6,'Population Data by Age'!$B$6:$H$6,0))</f>
        <v>896000</v>
      </c>
      <c r="N130" s="78">
        <f>INDEX('Population Data by Age'!$B$7:$H$10366,MATCH(CONCATENATE('Tabular Pop Data by Age'!$C130,'Tabular Pop Data by Age'!N$7),'Population Data by Age'!$B$7:$B$10366,0),MATCH('Tabular Pop Data by Age'!$C$6,'Population Data by Age'!$B$6:$H$6,0))</f>
        <v>712000</v>
      </c>
      <c r="O130" s="78">
        <f>INDEX('Population Data by Age'!$B$7:$H$10366,MATCH(CONCATENATE('Tabular Pop Data by Age'!$C130,'Tabular Pop Data by Age'!O$7),'Population Data by Age'!$B$7:$B$10366,0),MATCH('Tabular Pop Data by Age'!$C$6,'Population Data by Age'!$B$6:$H$6,0))</f>
        <v>716000</v>
      </c>
      <c r="P130" s="78">
        <f>INDEX('Population Data by Age'!$B$7:$H$10366,MATCH(CONCATENATE('Tabular Pop Data by Age'!$C130,'Tabular Pop Data by Age'!P$7),'Population Data by Age'!$B$7:$B$10366,0),MATCH('Tabular Pop Data by Age'!$C$6,'Population Data by Age'!$B$6:$H$6,0))</f>
        <v>584000</v>
      </c>
      <c r="Q130" s="78">
        <f>INDEX('Population Data by Age'!$B$7:$H$10366,MATCH(CONCATENATE('Tabular Pop Data by Age'!$C130,'Tabular Pop Data by Age'!Q$7),'Population Data by Age'!$B$7:$B$10366,0),MATCH('Tabular Pop Data by Age'!$C$6,'Population Data by Age'!$B$6:$H$6,0))</f>
        <v>583000</v>
      </c>
      <c r="R130" s="78">
        <f>INDEX('Population Data by Age'!$B$7:$H$10366,MATCH(CONCATENATE('Tabular Pop Data by Age'!$C130,'Tabular Pop Data by Age'!R$7),'Population Data by Age'!$B$7:$B$10366,0),MATCH('Tabular Pop Data by Age'!$C$6,'Population Data by Age'!$B$6:$H$6,0))</f>
        <v>499000</v>
      </c>
      <c r="S130" s="78">
        <f>INDEX('Population Data by Age'!$B$7:$H$10366,MATCH(CONCATENATE('Tabular Pop Data by Age'!$C130,'Tabular Pop Data by Age'!S$7),'Population Data by Age'!$B$7:$B$10366,0),MATCH('Tabular Pop Data by Age'!$C$6,'Population Data by Age'!$B$6:$H$6,0))</f>
        <v>494000</v>
      </c>
      <c r="T130" s="78">
        <f>INDEX('Population Data by Age'!$B$7:$H$10366,MATCH(CONCATENATE('Tabular Pop Data by Age'!$C130,'Tabular Pop Data by Age'!T$7),'Population Data by Age'!$B$7:$B$10366,0),MATCH('Tabular Pop Data by Age'!$C$6,'Population Data by Age'!$B$6:$H$6,0))</f>
        <v>419000</v>
      </c>
      <c r="U130" s="78">
        <f>INDEX('Population Data by Age'!$B$7:$H$10366,MATCH(CONCATENATE('Tabular Pop Data by Age'!$C130,'Tabular Pop Data by Age'!U$7),'Population Data by Age'!$B$7:$B$10366,0),MATCH('Tabular Pop Data by Age'!$C$6,'Population Data by Age'!$B$6:$H$6,0))</f>
        <v>408000</v>
      </c>
      <c r="V130" s="78">
        <f>INDEX('Population Data by Age'!$B$7:$H$10366,MATCH(CONCATENATE('Tabular Pop Data by Age'!$C130,'Tabular Pop Data by Age'!V$7),'Population Data by Age'!$B$7:$B$10366,0),MATCH('Tabular Pop Data by Age'!$C$6,'Population Data by Age'!$B$6:$H$6,0))</f>
        <v>337000</v>
      </c>
      <c r="W130" s="78">
        <f>INDEX('Population Data by Age'!$B$7:$H$10366,MATCH(CONCATENATE('Tabular Pop Data by Age'!$C130,'Tabular Pop Data by Age'!W$7),'Population Data by Age'!$B$7:$B$10366,0),MATCH('Tabular Pop Data by Age'!$C$6,'Population Data by Age'!$B$6:$H$6,0))</f>
        <v>322000</v>
      </c>
      <c r="X130" s="78">
        <f>INDEX('Population Data by Age'!$B$7:$H$10366,MATCH(CONCATENATE('Tabular Pop Data by Age'!$C130,'Tabular Pop Data by Age'!X$7),'Population Data by Age'!$B$7:$B$10366,0),MATCH('Tabular Pop Data by Age'!$C$6,'Population Data by Age'!$B$6:$H$6,0))</f>
        <v>256000</v>
      </c>
      <c r="Y130" s="78">
        <f>INDEX('Population Data by Age'!$B$7:$H$10366,MATCH(CONCATENATE('Tabular Pop Data by Age'!$C130,'Tabular Pop Data by Age'!Y$7),'Population Data by Age'!$B$7:$B$10366,0),MATCH('Tabular Pop Data by Age'!$C$6,'Population Data by Age'!$B$6:$H$6,0))</f>
        <v>233000</v>
      </c>
      <c r="Z130" s="78">
        <f>INDEX('Population Data by Age'!$B$7:$H$10366,MATCH(CONCATENATE('Tabular Pop Data by Age'!$C130,'Tabular Pop Data by Age'!Z$7),'Population Data by Age'!$B$7:$B$10366,0),MATCH('Tabular Pop Data by Age'!$C$6,'Population Data by Age'!$B$6:$H$6,0))</f>
        <v>194000</v>
      </c>
      <c r="AA130" s="78">
        <f>INDEX('Population Data by Age'!$B$7:$H$10366,MATCH(CONCATENATE('Tabular Pop Data by Age'!$C130,'Tabular Pop Data by Age'!AA$7),'Population Data by Age'!$B$7:$B$10366,0),MATCH('Tabular Pop Data by Age'!$C$6,'Population Data by Age'!$B$6:$H$6,0))</f>
        <v>166000</v>
      </c>
      <c r="AB130" s="78">
        <f>INDEX('Population Data by Age'!$B$7:$H$10366,MATCH(CONCATENATE('Tabular Pop Data by Age'!$C130,'Tabular Pop Data by Age'!AB$7),'Population Data by Age'!$B$7:$B$10366,0),MATCH('Tabular Pop Data by Age'!$C$6,'Population Data by Age'!$B$6:$H$6,0))</f>
        <v>154000</v>
      </c>
      <c r="AC130" s="78">
        <f>INDEX('Population Data by Age'!$B$7:$H$10366,MATCH(CONCATENATE('Tabular Pop Data by Age'!$C130,'Tabular Pop Data by Age'!AC$7),'Population Data by Age'!$B$7:$B$10366,0),MATCH('Tabular Pop Data by Age'!$C$6,'Population Data by Age'!$B$6:$H$6,0))</f>
        <v>126000</v>
      </c>
      <c r="AD130" s="78">
        <f>INDEX('Population Data by Age'!$B$7:$H$10366,MATCH(CONCATENATE('Tabular Pop Data by Age'!$C130,'Tabular Pop Data by Age'!AD$7),'Population Data by Age'!$B$7:$B$10366,0),MATCH('Tabular Pop Data by Age'!$C$6,'Population Data by Age'!$B$6:$H$6,0))</f>
        <v>123000</v>
      </c>
      <c r="AE130" s="78">
        <f>INDEX('Population Data by Age'!$B$7:$H$10366,MATCH(CONCATENATE('Tabular Pop Data by Age'!$C130,'Tabular Pop Data by Age'!AE$7),'Population Data by Age'!$B$7:$B$10366,0),MATCH('Tabular Pop Data by Age'!$C$6,'Population Data by Age'!$B$6:$H$6,0))</f>
        <v>99000</v>
      </c>
      <c r="AF130" s="78">
        <f>INDEX('Population Data by Age'!$B$7:$H$10366,MATCH(CONCATENATE('Tabular Pop Data by Age'!$C130,'Tabular Pop Data by Age'!AF$7),'Population Data by Age'!$B$7:$B$10366,0),MATCH('Tabular Pop Data by Age'!$C$6,'Population Data by Age'!$B$6:$H$6,0))</f>
        <v>80000</v>
      </c>
      <c r="AG130" s="78">
        <f>INDEX('Population Data by Age'!$B$7:$H$10366,MATCH(CONCATENATE('Tabular Pop Data by Age'!$C130,'Tabular Pop Data by Age'!AG$7),'Population Data by Age'!$B$7:$B$10366,0),MATCH('Tabular Pop Data by Age'!$C$6,'Population Data by Age'!$B$6:$H$6,0))</f>
        <v>61000</v>
      </c>
      <c r="AH130" s="78">
        <f>INDEX('Population Data by Age'!$B$7:$H$10366,MATCH(CONCATENATE('Tabular Pop Data by Age'!$C130,'Tabular Pop Data by Age'!AH$7),'Population Data by Age'!$B$7:$B$10366,0),MATCH('Tabular Pop Data by Age'!$C$6,'Population Data by Age'!$B$6:$H$6,0))</f>
        <v>51000</v>
      </c>
      <c r="AI130" s="78">
        <f>INDEX('Population Data by Age'!$B$7:$H$10366,MATCH(CONCATENATE('Tabular Pop Data by Age'!$C130,'Tabular Pop Data by Age'!AI$7),'Population Data by Age'!$B$7:$B$10366,0),MATCH('Tabular Pop Data by Age'!$C$6,'Population Data by Age'!$B$6:$H$6,0))</f>
        <v>39000</v>
      </c>
      <c r="AJ130" s="78">
        <f>INDEX('Population Data by Age'!$B$7:$H$10366,MATCH(CONCATENATE('Tabular Pop Data by Age'!$C130,'Tabular Pop Data by Age'!AJ$7),'Population Data by Age'!$B$7:$B$10366,0),MATCH('Tabular Pop Data by Age'!$C$6,'Population Data by Age'!$B$6:$H$6,0))</f>
        <v>28000</v>
      </c>
      <c r="AK130" s="78">
        <f>INDEX('Population Data by Age'!$B$7:$H$10366,MATCH(CONCATENATE('Tabular Pop Data by Age'!$C130,'Tabular Pop Data by Age'!AK$7),'Population Data by Age'!$B$7:$B$10366,0),MATCH('Tabular Pop Data by Age'!$C$6,'Population Data by Age'!$B$6:$H$6,0))</f>
        <v>22000</v>
      </c>
      <c r="AL130" s="78">
        <f>INDEX('Population Data by Age'!$B$7:$H$10366,MATCH(CONCATENATE('Tabular Pop Data by Age'!$C130,'Tabular Pop Data by Age'!AL$7),'Population Data by Age'!$B$7:$B$10366,0),MATCH('Tabular Pop Data by Age'!$C$6,'Population Data by Age'!$B$6:$H$6,0))</f>
        <v>10106000</v>
      </c>
      <c r="AM130" s="78">
        <f>INDEX('Population Data by Age'!$B$7:$H$10366,MATCH(CONCATENATE('Tabular Pop Data by Age'!$C130,'Tabular Pop Data by Age'!AM$7),'Population Data by Age'!$B$7:$B$10366,0),MATCH('Tabular Pop Data by Age'!$C$6,'Population Data by Age'!$B$6:$H$6,0))</f>
        <v>10145000</v>
      </c>
      <c r="AN130" s="78">
        <f>INDEX('Population Data by Age'!$B$7:$H$10366,MATCH(CONCATENATE('Tabular Pop Data by Age'!$C130,'Tabular Pop Data by Age'!AN$7),'Population Data by Age'!$B$7:$B$10366,0),MATCH('Tabular Pop Data by Age'!$C$6,'Population Data by Age'!$B$6:$H$6,0))</f>
        <v>20251000</v>
      </c>
      <c r="AO130" s="78">
        <f>INDEX('Population Data by Age'!$B$7:$H$10366,MATCH(CONCATENATE('Tabular Pop Data by Age'!$C130,'Tabular Pop Data by Age'!AO$7),'Population Data by Age'!$B$7:$B$10366,0),MATCH('Tabular Pop Data by Age'!$C$6,'Population Data by Age'!$B$6:$H$6,0))</f>
        <v>0</v>
      </c>
      <c r="AP130" s="79">
        <f t="shared" si="34"/>
        <v>3606000</v>
      </c>
      <c r="AQ130" s="79">
        <f t="shared" si="35"/>
        <v>3155000</v>
      </c>
      <c r="AR130" s="79">
        <f t="shared" si="36"/>
        <v>2759000</v>
      </c>
      <c r="AS130" s="79">
        <f t="shared" si="37"/>
        <v>2251000</v>
      </c>
      <c r="AT130" s="79">
        <f t="shared" si="38"/>
        <v>1776000</v>
      </c>
      <c r="AU130" s="79">
        <f t="shared" si="39"/>
        <v>1428000</v>
      </c>
      <c r="AV130" s="79">
        <f t="shared" si="40"/>
        <v>1167000</v>
      </c>
      <c r="AW130" s="79">
        <f t="shared" si="41"/>
        <v>993000</v>
      </c>
      <c r="AX130" s="79">
        <f t="shared" si="42"/>
        <v>827000</v>
      </c>
      <c r="AY130" s="79">
        <f t="shared" si="43"/>
        <v>659000</v>
      </c>
      <c r="AZ130" s="79">
        <f t="shared" si="44"/>
        <v>489000</v>
      </c>
      <c r="BA130" s="79">
        <f t="shared" si="45"/>
        <v>360000</v>
      </c>
      <c r="BB130" s="79">
        <f t="shared" si="46"/>
        <v>280000</v>
      </c>
      <c r="BC130" s="79">
        <f t="shared" si="47"/>
        <v>222000</v>
      </c>
      <c r="BD130" s="79">
        <f t="shared" si="48"/>
        <v>141000</v>
      </c>
      <c r="BE130" s="79">
        <f t="shared" si="49"/>
        <v>90000</v>
      </c>
      <c r="BF130" s="79">
        <f t="shared" si="50"/>
        <v>50000</v>
      </c>
    </row>
    <row r="131" spans="1:58" x14ac:dyDescent="0.25">
      <c r="A131" s="138" t="s">
        <v>1195</v>
      </c>
      <c r="B131" t="s">
        <v>567</v>
      </c>
      <c r="C131" t="s">
        <v>93</v>
      </c>
      <c r="D131" s="78">
        <f>INDEX('Population Data by Age'!$B$7:$H$10366,MATCH(CONCATENATE('Tabular Pop Data by Age'!$C131,'Tabular Pop Data by Age'!D$7),'Population Data by Age'!$B$7:$B$10366,0),MATCH('Tabular Pop Data by Age'!$C$6,'Population Data by Age'!$B$6:$H$6,0))</f>
        <v>12000</v>
      </c>
      <c r="E131" s="78">
        <f>INDEX('Population Data by Age'!$B$7:$H$10366,MATCH(CONCATENATE('Tabular Pop Data by Age'!$C131,'Tabular Pop Data by Age'!E$7),'Population Data by Age'!$B$7:$B$10366,0),MATCH('Tabular Pop Data by Age'!$C$6,'Population Data by Age'!$B$6:$H$6,0))</f>
        <v>12000</v>
      </c>
      <c r="F131" s="78">
        <f>INDEX('Population Data by Age'!$B$7:$H$10366,MATCH(CONCATENATE('Tabular Pop Data by Age'!$C131,'Tabular Pop Data by Age'!F$7),'Population Data by Age'!$B$7:$B$10366,0),MATCH('Tabular Pop Data by Age'!$C$6,'Population Data by Age'!$B$6:$H$6,0))</f>
        <v>11000</v>
      </c>
      <c r="G131" s="78">
        <f>INDEX('Population Data by Age'!$B$7:$H$10366,MATCH(CONCATENATE('Tabular Pop Data by Age'!$C131,'Tabular Pop Data by Age'!G$7),'Population Data by Age'!$B$7:$B$10366,0),MATCH('Tabular Pop Data by Age'!$C$6,'Population Data by Age'!$B$6:$H$6,0))</f>
        <v>12000</v>
      </c>
      <c r="H131" s="78">
        <f>INDEX('Population Data by Age'!$B$7:$H$10366,MATCH(CONCATENATE('Tabular Pop Data by Age'!$C131,'Tabular Pop Data by Age'!H$7),'Population Data by Age'!$B$7:$B$10366,0),MATCH('Tabular Pop Data by Age'!$C$6,'Population Data by Age'!$B$6:$H$6,0))</f>
        <v>11000</v>
      </c>
      <c r="I131" s="78">
        <f>INDEX('Population Data by Age'!$B$7:$H$10366,MATCH(CONCATENATE('Tabular Pop Data by Age'!$C131,'Tabular Pop Data by Age'!I$7),'Population Data by Age'!$B$7:$B$10366,0),MATCH('Tabular Pop Data by Age'!$C$6,'Population Data by Age'!$B$6:$H$6,0))</f>
        <v>12000</v>
      </c>
      <c r="J131" s="78">
        <f>INDEX('Population Data by Age'!$B$7:$H$10366,MATCH(CONCATENATE('Tabular Pop Data by Age'!$C131,'Tabular Pop Data by Age'!J$7),'Population Data by Age'!$B$7:$B$10366,0),MATCH('Tabular Pop Data by Age'!$C$6,'Population Data by Age'!$B$6:$H$6,0))</f>
        <v>11000</v>
      </c>
      <c r="K131" s="78">
        <f>INDEX('Population Data by Age'!$B$7:$H$10366,MATCH(CONCATENATE('Tabular Pop Data by Age'!$C131,'Tabular Pop Data by Age'!K$7),'Population Data by Age'!$B$7:$B$10366,0),MATCH('Tabular Pop Data by Age'!$C$6,'Population Data by Age'!$B$6:$H$6,0))</f>
        <v>12000</v>
      </c>
      <c r="L131" s="78">
        <f>INDEX('Population Data by Age'!$B$7:$H$10366,MATCH(CONCATENATE('Tabular Pop Data by Age'!$C131,'Tabular Pop Data by Age'!L$7),'Population Data by Age'!$B$7:$B$10366,0),MATCH('Tabular Pop Data by Age'!$C$6,'Population Data by Age'!$B$6:$H$6,0))</f>
        <v>13000</v>
      </c>
      <c r="M131" s="78">
        <f>INDEX('Population Data by Age'!$B$7:$H$10366,MATCH(CONCATENATE('Tabular Pop Data by Age'!$C131,'Tabular Pop Data by Age'!M$7),'Population Data by Age'!$B$7:$B$10366,0),MATCH('Tabular Pop Data by Age'!$C$6,'Population Data by Age'!$B$6:$H$6,0))</f>
        <v>14000</v>
      </c>
      <c r="N131" s="78">
        <f>INDEX('Population Data by Age'!$B$7:$H$10366,MATCH(CONCATENATE('Tabular Pop Data by Age'!$C131,'Tabular Pop Data by Age'!N$7),'Population Data by Age'!$B$7:$B$10366,0),MATCH('Tabular Pop Data by Age'!$C$6,'Population Data by Age'!$B$6:$H$6,0))</f>
        <v>16000</v>
      </c>
      <c r="O131" s="78">
        <f>INDEX('Population Data by Age'!$B$7:$H$10366,MATCH(CONCATENATE('Tabular Pop Data by Age'!$C131,'Tabular Pop Data by Age'!O$7),'Population Data by Age'!$B$7:$B$10366,0),MATCH('Tabular Pop Data by Age'!$C$6,'Population Data by Age'!$B$6:$H$6,0))</f>
        <v>17000</v>
      </c>
      <c r="P131" s="78">
        <f>INDEX('Population Data by Age'!$B$7:$H$10366,MATCH(CONCATENATE('Tabular Pop Data by Age'!$C131,'Tabular Pop Data by Age'!P$7),'Population Data by Age'!$B$7:$B$10366,0),MATCH('Tabular Pop Data by Age'!$C$6,'Population Data by Age'!$B$6:$H$6,0))</f>
        <v>17000</v>
      </c>
      <c r="Q131" s="78">
        <f>INDEX('Population Data by Age'!$B$7:$H$10366,MATCH(CONCATENATE('Tabular Pop Data by Age'!$C131,'Tabular Pop Data by Age'!Q$7),'Population Data by Age'!$B$7:$B$10366,0),MATCH('Tabular Pop Data by Age'!$C$6,'Population Data by Age'!$B$6:$H$6,0))</f>
        <v>19000</v>
      </c>
      <c r="R131" s="78">
        <f>INDEX('Population Data by Age'!$B$7:$H$10366,MATCH(CONCATENATE('Tabular Pop Data by Age'!$C131,'Tabular Pop Data by Age'!R$7),'Population Data by Age'!$B$7:$B$10366,0),MATCH('Tabular Pop Data by Age'!$C$6,'Population Data by Age'!$B$6:$H$6,0))</f>
        <v>17000</v>
      </c>
      <c r="S131" s="78">
        <f>INDEX('Population Data by Age'!$B$7:$H$10366,MATCH(CONCATENATE('Tabular Pop Data by Age'!$C131,'Tabular Pop Data by Age'!S$7),'Population Data by Age'!$B$7:$B$10366,0),MATCH('Tabular Pop Data by Age'!$C$6,'Population Data by Age'!$B$6:$H$6,0))</f>
        <v>19000</v>
      </c>
      <c r="T131" s="78">
        <f>INDEX('Population Data by Age'!$B$7:$H$10366,MATCH(CONCATENATE('Tabular Pop Data by Age'!$C131,'Tabular Pop Data by Age'!T$7),'Population Data by Age'!$B$7:$B$10366,0),MATCH('Tabular Pop Data by Age'!$C$6,'Population Data by Age'!$B$6:$H$6,0))</f>
        <v>17000</v>
      </c>
      <c r="U131" s="78">
        <f>INDEX('Population Data by Age'!$B$7:$H$10366,MATCH(CONCATENATE('Tabular Pop Data by Age'!$C131,'Tabular Pop Data by Age'!U$7),'Population Data by Age'!$B$7:$B$10366,0),MATCH('Tabular Pop Data by Age'!$C$6,'Population Data by Age'!$B$6:$H$6,0))</f>
        <v>18000</v>
      </c>
      <c r="V131" s="78">
        <f>INDEX('Population Data by Age'!$B$7:$H$10366,MATCH(CONCATENATE('Tabular Pop Data by Age'!$C131,'Tabular Pop Data by Age'!V$7),'Population Data by Age'!$B$7:$B$10366,0),MATCH('Tabular Pop Data by Age'!$C$6,'Population Data by Age'!$B$6:$H$6,0))</f>
        <v>15000</v>
      </c>
      <c r="W131" s="78">
        <f>INDEX('Population Data by Age'!$B$7:$H$10366,MATCH(CONCATENATE('Tabular Pop Data by Age'!$C131,'Tabular Pop Data by Age'!W$7),'Population Data by Age'!$B$7:$B$10366,0),MATCH('Tabular Pop Data by Age'!$C$6,'Population Data by Age'!$B$6:$H$6,0))</f>
        <v>16000</v>
      </c>
      <c r="X131" s="78">
        <f>INDEX('Population Data by Age'!$B$7:$H$10366,MATCH(CONCATENATE('Tabular Pop Data by Age'!$C131,'Tabular Pop Data by Age'!X$7),'Population Data by Age'!$B$7:$B$10366,0),MATCH('Tabular Pop Data by Age'!$C$6,'Population Data by Age'!$B$6:$H$6,0))</f>
        <v>14000</v>
      </c>
      <c r="Y131" s="78">
        <f>INDEX('Population Data by Age'!$B$7:$H$10366,MATCH(CONCATENATE('Tabular Pop Data by Age'!$C131,'Tabular Pop Data by Age'!Y$7),'Population Data by Age'!$B$7:$B$10366,0),MATCH('Tabular Pop Data by Age'!$C$6,'Population Data by Age'!$B$6:$H$6,0))</f>
        <v>14000</v>
      </c>
      <c r="Z131" s="78">
        <f>INDEX('Population Data by Age'!$B$7:$H$10366,MATCH(CONCATENATE('Tabular Pop Data by Age'!$C131,'Tabular Pop Data by Age'!Z$7),'Population Data by Age'!$B$7:$B$10366,0),MATCH('Tabular Pop Data by Age'!$C$6,'Population Data by Age'!$B$6:$H$6,0))</f>
        <v>15000</v>
      </c>
      <c r="AA131" s="78">
        <f>INDEX('Population Data by Age'!$B$7:$H$10366,MATCH(CONCATENATE('Tabular Pop Data by Age'!$C131,'Tabular Pop Data by Age'!AA$7),'Population Data by Age'!$B$7:$B$10366,0),MATCH('Tabular Pop Data by Age'!$C$6,'Population Data by Age'!$B$6:$H$6,0))</f>
        <v>16000</v>
      </c>
      <c r="AB131" s="78">
        <f>INDEX('Population Data by Age'!$B$7:$H$10366,MATCH(CONCATENATE('Tabular Pop Data by Age'!$C131,'Tabular Pop Data by Age'!AB$7),'Population Data by Age'!$B$7:$B$10366,0),MATCH('Tabular Pop Data by Age'!$C$6,'Population Data by Age'!$B$6:$H$6,0))</f>
        <v>17000</v>
      </c>
      <c r="AC131" s="78">
        <f>INDEX('Population Data by Age'!$B$7:$H$10366,MATCH(CONCATENATE('Tabular Pop Data by Age'!$C131,'Tabular Pop Data by Age'!AC$7),'Population Data by Age'!$B$7:$B$10366,0),MATCH('Tabular Pop Data by Age'!$C$6,'Population Data by Age'!$B$6:$H$6,0))</f>
        <v>16000</v>
      </c>
      <c r="AD131" s="78">
        <f>INDEX('Population Data by Age'!$B$7:$H$10366,MATCH(CONCATENATE('Tabular Pop Data by Age'!$C131,'Tabular Pop Data by Age'!AD$7),'Population Data by Age'!$B$7:$B$10366,0),MATCH('Tabular Pop Data by Age'!$C$6,'Population Data by Age'!$B$6:$H$6,0))</f>
        <v>15000</v>
      </c>
      <c r="AE131" s="78">
        <f>INDEX('Population Data by Age'!$B$7:$H$10366,MATCH(CONCATENATE('Tabular Pop Data by Age'!$C131,'Tabular Pop Data by Age'!AE$7),'Population Data by Age'!$B$7:$B$10366,0),MATCH('Tabular Pop Data by Age'!$C$6,'Population Data by Age'!$B$6:$H$6,0))</f>
        <v>15000</v>
      </c>
      <c r="AF131" s="78">
        <f>INDEX('Population Data by Age'!$B$7:$H$10366,MATCH(CONCATENATE('Tabular Pop Data by Age'!$C131,'Tabular Pop Data by Age'!AF$7),'Population Data by Age'!$B$7:$B$10366,0),MATCH('Tabular Pop Data by Age'!$C$6,'Population Data by Age'!$B$6:$H$6,0))</f>
        <v>16000</v>
      </c>
      <c r="AG131" s="78">
        <f>INDEX('Population Data by Age'!$B$7:$H$10366,MATCH(CONCATENATE('Tabular Pop Data by Age'!$C131,'Tabular Pop Data by Age'!AG$7),'Population Data by Age'!$B$7:$B$10366,0),MATCH('Tabular Pop Data by Age'!$C$6,'Population Data by Age'!$B$6:$H$6,0))</f>
        <v>15000</v>
      </c>
      <c r="AH131" s="78">
        <f>INDEX('Population Data by Age'!$B$7:$H$10366,MATCH(CONCATENATE('Tabular Pop Data by Age'!$C131,'Tabular Pop Data by Age'!AH$7),'Population Data by Age'!$B$7:$B$10366,0),MATCH('Tabular Pop Data by Age'!$C$6,'Population Data by Age'!$B$6:$H$6,0))</f>
        <v>10000</v>
      </c>
      <c r="AI131" s="78">
        <f>INDEX('Population Data by Age'!$B$7:$H$10366,MATCH(CONCATENATE('Tabular Pop Data by Age'!$C131,'Tabular Pop Data by Age'!AI$7),'Population Data by Age'!$B$7:$B$10366,0),MATCH('Tabular Pop Data by Age'!$C$6,'Population Data by Age'!$B$6:$H$6,0))</f>
        <v>8700</v>
      </c>
      <c r="AJ131" s="78">
        <f>INDEX('Population Data by Age'!$B$7:$H$10366,MATCH(CONCATENATE('Tabular Pop Data by Age'!$C131,'Tabular Pop Data by Age'!AJ$7),'Population Data by Age'!$B$7:$B$10366,0),MATCH('Tabular Pop Data by Age'!$C$6,'Population Data by Age'!$B$6:$H$6,0))</f>
        <v>15000</v>
      </c>
      <c r="AK131" s="78">
        <f>INDEX('Population Data by Age'!$B$7:$H$10366,MATCH(CONCATENATE('Tabular Pop Data by Age'!$C131,'Tabular Pop Data by Age'!AK$7),'Population Data by Age'!$B$7:$B$10366,0),MATCH('Tabular Pop Data by Age'!$C$6,'Population Data by Age'!$B$6:$H$6,0))</f>
        <v>8900</v>
      </c>
      <c r="AL131" s="78">
        <f>INDEX('Population Data by Age'!$B$7:$H$10366,MATCH(CONCATENATE('Tabular Pop Data by Age'!$C131,'Tabular Pop Data by Age'!AL$7),'Population Data by Age'!$B$7:$B$10366,0),MATCH('Tabular Pop Data by Age'!$C$6,'Population Data by Age'!$B$6:$H$6,0))</f>
        <v>242000</v>
      </c>
      <c r="AM131" s="78">
        <f>INDEX('Population Data by Age'!$B$7:$H$10366,MATCH(CONCATENATE('Tabular Pop Data by Age'!$C131,'Tabular Pop Data by Age'!AM$7),'Population Data by Age'!$B$7:$B$10366,0),MATCH('Tabular Pop Data by Age'!$C$6,'Population Data by Age'!$B$6:$H$6,0))</f>
        <v>244000</v>
      </c>
      <c r="AN131" s="78">
        <f>INDEX('Population Data by Age'!$B$7:$H$10366,MATCH(CONCATENATE('Tabular Pop Data by Age'!$C131,'Tabular Pop Data by Age'!AN$7),'Population Data by Age'!$B$7:$B$10366,0),MATCH('Tabular Pop Data by Age'!$C$6,'Population Data by Age'!$B$6:$H$6,0))</f>
        <v>486000</v>
      </c>
      <c r="AO131" s="78">
        <f>INDEX('Population Data by Age'!$B$7:$H$10366,MATCH(CONCATENATE('Tabular Pop Data by Age'!$C131,'Tabular Pop Data by Age'!AO$7),'Population Data by Age'!$B$7:$B$10366,0),MATCH('Tabular Pop Data by Age'!$C$6,'Population Data by Age'!$B$6:$H$6,0))</f>
        <v>0</v>
      </c>
      <c r="AP131" s="79">
        <f t="shared" si="34"/>
        <v>24000</v>
      </c>
      <c r="AQ131" s="79">
        <f t="shared" si="35"/>
        <v>23000</v>
      </c>
      <c r="AR131" s="79">
        <f t="shared" si="36"/>
        <v>23000</v>
      </c>
      <c r="AS131" s="79">
        <f t="shared" si="37"/>
        <v>23000</v>
      </c>
      <c r="AT131" s="79">
        <f t="shared" si="38"/>
        <v>27000</v>
      </c>
      <c r="AU131" s="79">
        <f t="shared" si="39"/>
        <v>33000</v>
      </c>
      <c r="AV131" s="79">
        <f t="shared" si="40"/>
        <v>36000</v>
      </c>
      <c r="AW131" s="79">
        <f t="shared" si="41"/>
        <v>36000</v>
      </c>
      <c r="AX131" s="79">
        <f t="shared" si="42"/>
        <v>35000</v>
      </c>
      <c r="AY131" s="79">
        <f t="shared" si="43"/>
        <v>31000</v>
      </c>
      <c r="AZ131" s="79">
        <f t="shared" si="44"/>
        <v>28000</v>
      </c>
      <c r="BA131" s="79">
        <f t="shared" si="45"/>
        <v>31000</v>
      </c>
      <c r="BB131" s="79">
        <f t="shared" si="46"/>
        <v>33000</v>
      </c>
      <c r="BC131" s="79">
        <f t="shared" si="47"/>
        <v>30000</v>
      </c>
      <c r="BD131" s="79">
        <f t="shared" si="48"/>
        <v>31000</v>
      </c>
      <c r="BE131" s="79">
        <f t="shared" si="49"/>
        <v>18700</v>
      </c>
      <c r="BF131" s="79">
        <f t="shared" si="50"/>
        <v>23900</v>
      </c>
    </row>
    <row r="132" spans="1:58" x14ac:dyDescent="0.25">
      <c r="A132" s="138" t="s">
        <v>1195</v>
      </c>
      <c r="B132" t="s">
        <v>568</v>
      </c>
      <c r="C132" t="s">
        <v>91</v>
      </c>
      <c r="D132" s="78">
        <f>INDEX('Population Data by Age'!$B$7:$H$10366,MATCH(CONCATENATE('Tabular Pop Data by Age'!$C132,'Tabular Pop Data by Age'!D$7),'Population Data by Age'!$B$7:$B$10366,0),MATCH('Tabular Pop Data by Age'!$C$6,'Population Data by Age'!$B$6:$H$6,0))</f>
        <v>0</v>
      </c>
      <c r="E132" s="78">
        <f>INDEX('Population Data by Age'!$B$7:$H$10366,MATCH(CONCATENATE('Tabular Pop Data by Age'!$C132,'Tabular Pop Data by Age'!E$7),'Population Data by Age'!$B$7:$B$10366,0),MATCH('Tabular Pop Data by Age'!$C$6,'Population Data by Age'!$B$6:$H$6,0))</f>
        <v>0</v>
      </c>
      <c r="F132" s="78">
        <f>INDEX('Population Data by Age'!$B$7:$H$10366,MATCH(CONCATENATE('Tabular Pop Data by Age'!$C132,'Tabular Pop Data by Age'!F$7),'Population Data by Age'!$B$7:$B$10366,0),MATCH('Tabular Pop Data by Age'!$C$6,'Population Data by Age'!$B$6:$H$6,0))</f>
        <v>0</v>
      </c>
      <c r="G132" s="78">
        <f>INDEX('Population Data by Age'!$B$7:$H$10366,MATCH(CONCATENATE('Tabular Pop Data by Age'!$C132,'Tabular Pop Data by Age'!G$7),'Population Data by Age'!$B$7:$B$10366,0),MATCH('Tabular Pop Data by Age'!$C$6,'Population Data by Age'!$B$6:$H$6,0))</f>
        <v>0</v>
      </c>
      <c r="H132" s="78">
        <f>INDEX('Population Data by Age'!$B$7:$H$10366,MATCH(CONCATENATE('Tabular Pop Data by Age'!$C132,'Tabular Pop Data by Age'!H$7),'Population Data by Age'!$B$7:$B$10366,0),MATCH('Tabular Pop Data by Age'!$C$6,'Population Data by Age'!$B$6:$H$6,0))</f>
        <v>0</v>
      </c>
      <c r="I132" s="78">
        <f>INDEX('Population Data by Age'!$B$7:$H$10366,MATCH(CONCATENATE('Tabular Pop Data by Age'!$C132,'Tabular Pop Data by Age'!I$7),'Population Data by Age'!$B$7:$B$10366,0),MATCH('Tabular Pop Data by Age'!$C$6,'Population Data by Age'!$B$6:$H$6,0))</f>
        <v>0</v>
      </c>
      <c r="J132" s="78">
        <f>INDEX('Population Data by Age'!$B$7:$H$10366,MATCH(CONCATENATE('Tabular Pop Data by Age'!$C132,'Tabular Pop Data by Age'!J$7),'Population Data by Age'!$B$7:$B$10366,0),MATCH('Tabular Pop Data by Age'!$C$6,'Population Data by Age'!$B$6:$H$6,0))</f>
        <v>0</v>
      </c>
      <c r="K132" s="78">
        <f>INDEX('Population Data by Age'!$B$7:$H$10366,MATCH(CONCATENATE('Tabular Pop Data by Age'!$C132,'Tabular Pop Data by Age'!K$7),'Population Data by Age'!$B$7:$B$10366,0),MATCH('Tabular Pop Data by Age'!$C$6,'Population Data by Age'!$B$6:$H$6,0))</f>
        <v>0</v>
      </c>
      <c r="L132" s="78">
        <f>INDEX('Population Data by Age'!$B$7:$H$10366,MATCH(CONCATENATE('Tabular Pop Data by Age'!$C132,'Tabular Pop Data by Age'!L$7),'Population Data by Age'!$B$7:$B$10366,0),MATCH('Tabular Pop Data by Age'!$C$6,'Population Data by Age'!$B$6:$H$6,0))</f>
        <v>0</v>
      </c>
      <c r="M132" s="78">
        <f>INDEX('Population Data by Age'!$B$7:$H$10366,MATCH(CONCATENATE('Tabular Pop Data by Age'!$C132,'Tabular Pop Data by Age'!M$7),'Population Data by Age'!$B$7:$B$10366,0),MATCH('Tabular Pop Data by Age'!$C$6,'Population Data by Age'!$B$6:$H$6,0))</f>
        <v>0</v>
      </c>
      <c r="N132" s="78">
        <f>INDEX('Population Data by Age'!$B$7:$H$10366,MATCH(CONCATENATE('Tabular Pop Data by Age'!$C132,'Tabular Pop Data by Age'!N$7),'Population Data by Age'!$B$7:$B$10366,0),MATCH('Tabular Pop Data by Age'!$C$6,'Population Data by Age'!$B$6:$H$6,0))</f>
        <v>0</v>
      </c>
      <c r="O132" s="78">
        <f>INDEX('Population Data by Age'!$B$7:$H$10366,MATCH(CONCATENATE('Tabular Pop Data by Age'!$C132,'Tabular Pop Data by Age'!O$7),'Population Data by Age'!$B$7:$B$10366,0),MATCH('Tabular Pop Data by Age'!$C$6,'Population Data by Age'!$B$6:$H$6,0))</f>
        <v>0</v>
      </c>
      <c r="P132" s="78">
        <f>INDEX('Population Data by Age'!$B$7:$H$10366,MATCH(CONCATENATE('Tabular Pop Data by Age'!$C132,'Tabular Pop Data by Age'!P$7),'Population Data by Age'!$B$7:$B$10366,0),MATCH('Tabular Pop Data by Age'!$C$6,'Population Data by Age'!$B$6:$H$6,0))</f>
        <v>0</v>
      </c>
      <c r="Q132" s="78">
        <f>INDEX('Population Data by Age'!$B$7:$H$10366,MATCH(CONCATENATE('Tabular Pop Data by Age'!$C132,'Tabular Pop Data by Age'!Q$7),'Population Data by Age'!$B$7:$B$10366,0),MATCH('Tabular Pop Data by Age'!$C$6,'Population Data by Age'!$B$6:$H$6,0))</f>
        <v>0</v>
      </c>
      <c r="R132" s="78">
        <f>INDEX('Population Data by Age'!$B$7:$H$10366,MATCH(CONCATENATE('Tabular Pop Data by Age'!$C132,'Tabular Pop Data by Age'!R$7),'Population Data by Age'!$B$7:$B$10366,0),MATCH('Tabular Pop Data by Age'!$C$6,'Population Data by Age'!$B$6:$H$6,0))</f>
        <v>0</v>
      </c>
      <c r="S132" s="78">
        <f>INDEX('Population Data by Age'!$B$7:$H$10366,MATCH(CONCATENATE('Tabular Pop Data by Age'!$C132,'Tabular Pop Data by Age'!S$7),'Population Data by Age'!$B$7:$B$10366,0),MATCH('Tabular Pop Data by Age'!$C$6,'Population Data by Age'!$B$6:$H$6,0))</f>
        <v>0</v>
      </c>
      <c r="T132" s="78">
        <f>INDEX('Population Data by Age'!$B$7:$H$10366,MATCH(CONCATENATE('Tabular Pop Data by Age'!$C132,'Tabular Pop Data by Age'!T$7),'Population Data by Age'!$B$7:$B$10366,0),MATCH('Tabular Pop Data by Age'!$C$6,'Population Data by Age'!$B$6:$H$6,0))</f>
        <v>0</v>
      </c>
      <c r="U132" s="78">
        <f>INDEX('Population Data by Age'!$B$7:$H$10366,MATCH(CONCATENATE('Tabular Pop Data by Age'!$C132,'Tabular Pop Data by Age'!U$7),'Population Data by Age'!$B$7:$B$10366,0),MATCH('Tabular Pop Data by Age'!$C$6,'Population Data by Age'!$B$6:$H$6,0))</f>
        <v>0</v>
      </c>
      <c r="V132" s="78">
        <f>INDEX('Population Data by Age'!$B$7:$H$10366,MATCH(CONCATENATE('Tabular Pop Data by Age'!$C132,'Tabular Pop Data by Age'!V$7),'Population Data by Age'!$B$7:$B$10366,0),MATCH('Tabular Pop Data by Age'!$C$6,'Population Data by Age'!$B$6:$H$6,0))</f>
        <v>0</v>
      </c>
      <c r="W132" s="78">
        <f>INDEX('Population Data by Age'!$B$7:$H$10366,MATCH(CONCATENATE('Tabular Pop Data by Age'!$C132,'Tabular Pop Data by Age'!W$7),'Population Data by Age'!$B$7:$B$10366,0),MATCH('Tabular Pop Data by Age'!$C$6,'Population Data by Age'!$B$6:$H$6,0))</f>
        <v>0</v>
      </c>
      <c r="X132" s="78">
        <f>INDEX('Population Data by Age'!$B$7:$H$10366,MATCH(CONCATENATE('Tabular Pop Data by Age'!$C132,'Tabular Pop Data by Age'!X$7),'Population Data by Age'!$B$7:$B$10366,0),MATCH('Tabular Pop Data by Age'!$C$6,'Population Data by Age'!$B$6:$H$6,0))</f>
        <v>0</v>
      </c>
      <c r="Y132" s="78">
        <f>INDEX('Population Data by Age'!$B$7:$H$10366,MATCH(CONCATENATE('Tabular Pop Data by Age'!$C132,'Tabular Pop Data by Age'!Y$7),'Population Data by Age'!$B$7:$B$10366,0),MATCH('Tabular Pop Data by Age'!$C$6,'Population Data by Age'!$B$6:$H$6,0))</f>
        <v>0</v>
      </c>
      <c r="Z132" s="78">
        <f>INDEX('Population Data by Age'!$B$7:$H$10366,MATCH(CONCATENATE('Tabular Pop Data by Age'!$C132,'Tabular Pop Data by Age'!Z$7),'Population Data by Age'!$B$7:$B$10366,0),MATCH('Tabular Pop Data by Age'!$C$6,'Population Data by Age'!$B$6:$H$6,0))</f>
        <v>0</v>
      </c>
      <c r="AA132" s="78">
        <f>INDEX('Population Data by Age'!$B$7:$H$10366,MATCH(CONCATENATE('Tabular Pop Data by Age'!$C132,'Tabular Pop Data by Age'!AA$7),'Population Data by Age'!$B$7:$B$10366,0),MATCH('Tabular Pop Data by Age'!$C$6,'Population Data by Age'!$B$6:$H$6,0))</f>
        <v>0</v>
      </c>
      <c r="AB132" s="78">
        <f>INDEX('Population Data by Age'!$B$7:$H$10366,MATCH(CONCATENATE('Tabular Pop Data by Age'!$C132,'Tabular Pop Data by Age'!AB$7),'Population Data by Age'!$B$7:$B$10366,0),MATCH('Tabular Pop Data by Age'!$C$6,'Population Data by Age'!$B$6:$H$6,0))</f>
        <v>0</v>
      </c>
      <c r="AC132" s="78">
        <f>INDEX('Population Data by Age'!$B$7:$H$10366,MATCH(CONCATENATE('Tabular Pop Data by Age'!$C132,'Tabular Pop Data by Age'!AC$7),'Population Data by Age'!$B$7:$B$10366,0),MATCH('Tabular Pop Data by Age'!$C$6,'Population Data by Age'!$B$6:$H$6,0))</f>
        <v>0</v>
      </c>
      <c r="AD132" s="78">
        <f>INDEX('Population Data by Age'!$B$7:$H$10366,MATCH(CONCATENATE('Tabular Pop Data by Age'!$C132,'Tabular Pop Data by Age'!AD$7),'Population Data by Age'!$B$7:$B$10366,0),MATCH('Tabular Pop Data by Age'!$C$6,'Population Data by Age'!$B$6:$H$6,0))</f>
        <v>0</v>
      </c>
      <c r="AE132" s="78">
        <f>INDEX('Population Data by Age'!$B$7:$H$10366,MATCH(CONCATENATE('Tabular Pop Data by Age'!$C132,'Tabular Pop Data by Age'!AE$7),'Population Data by Age'!$B$7:$B$10366,0),MATCH('Tabular Pop Data by Age'!$C$6,'Population Data by Age'!$B$6:$H$6,0))</f>
        <v>0</v>
      </c>
      <c r="AF132" s="78">
        <f>INDEX('Population Data by Age'!$B$7:$H$10366,MATCH(CONCATENATE('Tabular Pop Data by Age'!$C132,'Tabular Pop Data by Age'!AF$7),'Population Data by Age'!$B$7:$B$10366,0),MATCH('Tabular Pop Data by Age'!$C$6,'Population Data by Age'!$B$6:$H$6,0))</f>
        <v>0</v>
      </c>
      <c r="AG132" s="78">
        <f>INDEX('Population Data by Age'!$B$7:$H$10366,MATCH(CONCATENATE('Tabular Pop Data by Age'!$C132,'Tabular Pop Data by Age'!AG$7),'Population Data by Age'!$B$7:$B$10366,0),MATCH('Tabular Pop Data by Age'!$C$6,'Population Data by Age'!$B$6:$H$6,0))</f>
        <v>0</v>
      </c>
      <c r="AH132" s="78">
        <f>INDEX('Population Data by Age'!$B$7:$H$10366,MATCH(CONCATENATE('Tabular Pop Data by Age'!$C132,'Tabular Pop Data by Age'!AH$7),'Population Data by Age'!$B$7:$B$10366,0),MATCH('Tabular Pop Data by Age'!$C$6,'Population Data by Age'!$B$6:$H$6,0))</f>
        <v>0</v>
      </c>
      <c r="AI132" s="78">
        <f>INDEX('Population Data by Age'!$B$7:$H$10366,MATCH(CONCATENATE('Tabular Pop Data by Age'!$C132,'Tabular Pop Data by Age'!AI$7),'Population Data by Age'!$B$7:$B$10366,0),MATCH('Tabular Pop Data by Age'!$C$6,'Population Data by Age'!$B$6:$H$6,0))</f>
        <v>0</v>
      </c>
      <c r="AJ132" s="78">
        <f>INDEX('Population Data by Age'!$B$7:$H$10366,MATCH(CONCATENATE('Tabular Pop Data by Age'!$C132,'Tabular Pop Data by Age'!AJ$7),'Population Data by Age'!$B$7:$B$10366,0),MATCH('Tabular Pop Data by Age'!$C$6,'Population Data by Age'!$B$6:$H$6,0))</f>
        <v>0</v>
      </c>
      <c r="AK132" s="78">
        <f>INDEX('Population Data by Age'!$B$7:$H$10366,MATCH(CONCATENATE('Tabular Pop Data by Age'!$C132,'Tabular Pop Data by Age'!AK$7),'Population Data by Age'!$B$7:$B$10366,0),MATCH('Tabular Pop Data by Age'!$C$6,'Population Data by Age'!$B$6:$H$6,0))</f>
        <v>0</v>
      </c>
      <c r="AL132" s="78">
        <f>INDEX('Population Data by Age'!$B$7:$H$10366,MATCH(CONCATENATE('Tabular Pop Data by Age'!$C132,'Tabular Pop Data by Age'!AL$7),'Population Data by Age'!$B$7:$B$10366,0),MATCH('Tabular Pop Data by Age'!$C$6,'Population Data by Age'!$B$6:$H$6,0))</f>
        <v>0</v>
      </c>
      <c r="AM132" s="78">
        <f>INDEX('Population Data by Age'!$B$7:$H$10366,MATCH(CONCATENATE('Tabular Pop Data by Age'!$C132,'Tabular Pop Data by Age'!AM$7),'Population Data by Age'!$B$7:$B$10366,0),MATCH('Tabular Pop Data by Age'!$C$6,'Population Data by Age'!$B$6:$H$6,0))</f>
        <v>0</v>
      </c>
      <c r="AN132" s="78">
        <f>INDEX('Population Data by Age'!$B$7:$H$10366,MATCH(CONCATENATE('Tabular Pop Data by Age'!$C132,'Tabular Pop Data by Age'!AN$7),'Population Data by Age'!$B$7:$B$10366,0),MATCH('Tabular Pop Data by Age'!$C$6,'Population Data by Age'!$B$6:$H$6,0))</f>
        <v>59000</v>
      </c>
      <c r="AO132" s="78">
        <f>INDEX('Population Data by Age'!$B$7:$H$10366,MATCH(CONCATENATE('Tabular Pop Data by Age'!$C132,'Tabular Pop Data by Age'!AO$7),'Population Data by Age'!$B$7:$B$10366,0),MATCH('Tabular Pop Data by Age'!$C$6,'Population Data by Age'!$B$6:$H$6,0))</f>
        <v>0</v>
      </c>
      <c r="AP132" s="79">
        <f t="shared" si="34"/>
        <v>0</v>
      </c>
      <c r="AQ132" s="79">
        <f t="shared" si="35"/>
        <v>0</v>
      </c>
      <c r="AR132" s="79">
        <f t="shared" si="36"/>
        <v>0</v>
      </c>
      <c r="AS132" s="79">
        <f t="shared" si="37"/>
        <v>0</v>
      </c>
      <c r="AT132" s="79">
        <f t="shared" si="38"/>
        <v>0</v>
      </c>
      <c r="AU132" s="79">
        <f t="shared" si="39"/>
        <v>0</v>
      </c>
      <c r="AV132" s="79">
        <f t="shared" si="40"/>
        <v>0</v>
      </c>
      <c r="AW132" s="79">
        <f t="shared" si="41"/>
        <v>0</v>
      </c>
      <c r="AX132" s="79">
        <f t="shared" si="42"/>
        <v>0</v>
      </c>
      <c r="AY132" s="79">
        <f t="shared" si="43"/>
        <v>0</v>
      </c>
      <c r="AZ132" s="79">
        <f t="shared" si="44"/>
        <v>0</v>
      </c>
      <c r="BA132" s="79">
        <f t="shared" si="45"/>
        <v>0</v>
      </c>
      <c r="BB132" s="79">
        <f t="shared" si="46"/>
        <v>0</v>
      </c>
      <c r="BC132" s="79">
        <f t="shared" si="47"/>
        <v>0</v>
      </c>
      <c r="BD132" s="79">
        <f t="shared" si="48"/>
        <v>0</v>
      </c>
      <c r="BE132" s="79">
        <f t="shared" si="49"/>
        <v>0</v>
      </c>
      <c r="BF132" s="79">
        <f t="shared" si="50"/>
        <v>0</v>
      </c>
    </row>
    <row r="133" spans="1:58" x14ac:dyDescent="0.25">
      <c r="A133" s="138" t="s">
        <v>1195</v>
      </c>
      <c r="B133" t="s">
        <v>205</v>
      </c>
      <c r="C133" t="s">
        <v>98</v>
      </c>
      <c r="D133" s="78">
        <f>INDEX('Population Data by Age'!$B$7:$H$10366,MATCH(CONCATENATE('Tabular Pop Data by Age'!$C133,'Tabular Pop Data by Age'!D$7),'Population Data by Age'!$B$7:$B$10366,0),MATCH('Tabular Pop Data by Age'!$C$6,'Population Data by Age'!$B$6:$H$6,0))</f>
        <v>339000</v>
      </c>
      <c r="E133" s="78">
        <f>INDEX('Population Data by Age'!$B$7:$H$10366,MATCH(CONCATENATE('Tabular Pop Data by Age'!$C133,'Tabular Pop Data by Age'!E$7),'Population Data by Age'!$B$7:$B$10366,0),MATCH('Tabular Pop Data by Age'!$C$6,'Population Data by Age'!$B$6:$H$6,0))</f>
        <v>351000</v>
      </c>
      <c r="F133" s="78">
        <f>INDEX('Population Data by Age'!$B$7:$H$10366,MATCH(CONCATENATE('Tabular Pop Data by Age'!$C133,'Tabular Pop Data by Age'!F$7),'Population Data by Age'!$B$7:$B$10366,0),MATCH('Tabular Pop Data by Age'!$C$6,'Population Data by Age'!$B$6:$H$6,0))</f>
        <v>304000</v>
      </c>
      <c r="G133" s="78">
        <f>INDEX('Population Data by Age'!$B$7:$H$10366,MATCH(CONCATENATE('Tabular Pop Data by Age'!$C133,'Tabular Pop Data by Age'!G$7),'Population Data by Age'!$B$7:$B$10366,0),MATCH('Tabular Pop Data by Age'!$C$6,'Population Data by Age'!$B$6:$H$6,0))</f>
        <v>314000</v>
      </c>
      <c r="H133" s="78">
        <f>INDEX('Population Data by Age'!$B$7:$H$10366,MATCH(CONCATENATE('Tabular Pop Data by Age'!$C133,'Tabular Pop Data by Age'!H$7),'Population Data by Age'!$B$7:$B$10366,0),MATCH('Tabular Pop Data by Age'!$C$6,'Population Data by Age'!$B$6:$H$6,0))</f>
        <v>265000</v>
      </c>
      <c r="I133" s="78">
        <f>INDEX('Population Data by Age'!$B$7:$H$10366,MATCH(CONCATENATE('Tabular Pop Data by Age'!$C133,'Tabular Pop Data by Age'!I$7),'Population Data by Age'!$B$7:$B$10366,0),MATCH('Tabular Pop Data by Age'!$C$6,'Population Data by Age'!$B$6:$H$6,0))</f>
        <v>272000</v>
      </c>
      <c r="J133" s="78">
        <f>INDEX('Population Data by Age'!$B$7:$H$10366,MATCH(CONCATENATE('Tabular Pop Data by Age'!$C133,'Tabular Pop Data by Age'!J$7),'Population Data by Age'!$B$7:$B$10366,0),MATCH('Tabular Pop Data by Age'!$C$6,'Population Data by Age'!$B$6:$H$6,0))</f>
        <v>232000</v>
      </c>
      <c r="K133" s="78">
        <f>INDEX('Population Data by Age'!$B$7:$H$10366,MATCH(CONCATENATE('Tabular Pop Data by Age'!$C133,'Tabular Pop Data by Age'!K$7),'Population Data by Age'!$B$7:$B$10366,0),MATCH('Tabular Pop Data by Age'!$C$6,'Population Data by Age'!$B$6:$H$6,0))</f>
        <v>238000</v>
      </c>
      <c r="L133" s="78">
        <f>INDEX('Population Data by Age'!$B$7:$H$10366,MATCH(CONCATENATE('Tabular Pop Data by Age'!$C133,'Tabular Pop Data by Age'!L$7),'Population Data by Age'!$B$7:$B$10366,0),MATCH('Tabular Pop Data by Age'!$C$6,'Population Data by Age'!$B$6:$H$6,0))</f>
        <v>205000</v>
      </c>
      <c r="M133" s="78">
        <f>INDEX('Population Data by Age'!$B$7:$H$10366,MATCH(CONCATENATE('Tabular Pop Data by Age'!$C133,'Tabular Pop Data by Age'!M$7),'Population Data by Age'!$B$7:$B$10366,0),MATCH('Tabular Pop Data by Age'!$C$6,'Population Data by Age'!$B$6:$H$6,0))</f>
        <v>211000</v>
      </c>
      <c r="N133" s="78">
        <f>INDEX('Population Data by Age'!$B$7:$H$10366,MATCH(CONCATENATE('Tabular Pop Data by Age'!$C133,'Tabular Pop Data by Age'!N$7),'Population Data by Age'!$B$7:$B$10366,0),MATCH('Tabular Pop Data by Age'!$C$6,'Population Data by Age'!$B$6:$H$6,0))</f>
        <v>183000</v>
      </c>
      <c r="O133" s="78">
        <f>INDEX('Population Data by Age'!$B$7:$H$10366,MATCH(CONCATENATE('Tabular Pop Data by Age'!$C133,'Tabular Pop Data by Age'!O$7),'Population Data by Age'!$B$7:$B$10366,0),MATCH('Tabular Pop Data by Age'!$C$6,'Population Data by Age'!$B$6:$H$6,0))</f>
        <v>188000</v>
      </c>
      <c r="P133" s="78">
        <f>INDEX('Population Data by Age'!$B$7:$H$10366,MATCH(CONCATENATE('Tabular Pop Data by Age'!$C133,'Tabular Pop Data by Age'!P$7),'Population Data by Age'!$B$7:$B$10366,0),MATCH('Tabular Pop Data by Age'!$C$6,'Population Data by Age'!$B$6:$H$6,0))</f>
        <v>165000</v>
      </c>
      <c r="Q133" s="78">
        <f>INDEX('Population Data by Age'!$B$7:$H$10366,MATCH(CONCATENATE('Tabular Pop Data by Age'!$C133,'Tabular Pop Data by Age'!Q$7),'Population Data by Age'!$B$7:$B$10366,0),MATCH('Tabular Pop Data by Age'!$C$6,'Population Data by Age'!$B$6:$H$6,0))</f>
        <v>169000</v>
      </c>
      <c r="R133" s="78">
        <f>INDEX('Population Data by Age'!$B$7:$H$10366,MATCH(CONCATENATE('Tabular Pop Data by Age'!$C133,'Tabular Pop Data by Age'!R$7),'Population Data by Age'!$B$7:$B$10366,0),MATCH('Tabular Pop Data by Age'!$C$6,'Population Data by Age'!$B$6:$H$6,0))</f>
        <v>141000</v>
      </c>
      <c r="S133" s="78">
        <f>INDEX('Population Data by Age'!$B$7:$H$10366,MATCH(CONCATENATE('Tabular Pop Data by Age'!$C133,'Tabular Pop Data by Age'!S$7),'Population Data by Age'!$B$7:$B$10366,0),MATCH('Tabular Pop Data by Age'!$C$6,'Population Data by Age'!$B$6:$H$6,0))</f>
        <v>144000</v>
      </c>
      <c r="T133" s="78">
        <f>INDEX('Population Data by Age'!$B$7:$H$10366,MATCH(CONCATENATE('Tabular Pop Data by Age'!$C133,'Tabular Pop Data by Age'!T$7),'Population Data by Age'!$B$7:$B$10366,0),MATCH('Tabular Pop Data by Age'!$C$6,'Population Data by Age'!$B$6:$H$6,0))</f>
        <v>117000</v>
      </c>
      <c r="U133" s="78">
        <f>INDEX('Population Data by Age'!$B$7:$H$10366,MATCH(CONCATENATE('Tabular Pop Data by Age'!$C133,'Tabular Pop Data by Age'!U$7),'Population Data by Age'!$B$7:$B$10366,0),MATCH('Tabular Pop Data by Age'!$C$6,'Population Data by Age'!$B$6:$H$6,0))</f>
        <v>118000</v>
      </c>
      <c r="V133" s="78">
        <f>INDEX('Population Data by Age'!$B$7:$H$10366,MATCH(CONCATENATE('Tabular Pop Data by Age'!$C133,'Tabular Pop Data by Age'!V$7),'Population Data by Age'!$B$7:$B$10366,0),MATCH('Tabular Pop Data by Age'!$C$6,'Population Data by Age'!$B$6:$H$6,0))</f>
        <v>94000</v>
      </c>
      <c r="W133" s="78">
        <f>INDEX('Population Data by Age'!$B$7:$H$10366,MATCH(CONCATENATE('Tabular Pop Data by Age'!$C133,'Tabular Pop Data by Age'!W$7),'Population Data by Age'!$B$7:$B$10366,0),MATCH('Tabular Pop Data by Age'!$C$6,'Population Data by Age'!$B$6:$H$6,0))</f>
        <v>94000</v>
      </c>
      <c r="X133" s="78">
        <f>INDEX('Population Data by Age'!$B$7:$H$10366,MATCH(CONCATENATE('Tabular Pop Data by Age'!$C133,'Tabular Pop Data by Age'!X$7),'Population Data by Age'!$B$7:$B$10366,0),MATCH('Tabular Pop Data by Age'!$C$6,'Population Data by Age'!$B$6:$H$6,0))</f>
        <v>76000</v>
      </c>
      <c r="Y133" s="78">
        <f>INDEX('Population Data by Age'!$B$7:$H$10366,MATCH(CONCATENATE('Tabular Pop Data by Age'!$C133,'Tabular Pop Data by Age'!Y$7),'Population Data by Age'!$B$7:$B$10366,0),MATCH('Tabular Pop Data by Age'!$C$6,'Population Data by Age'!$B$6:$H$6,0))</f>
        <v>73000</v>
      </c>
      <c r="Z133" s="78">
        <f>INDEX('Population Data by Age'!$B$7:$H$10366,MATCH(CONCATENATE('Tabular Pop Data by Age'!$C133,'Tabular Pop Data by Age'!Z$7),'Population Data by Age'!$B$7:$B$10366,0),MATCH('Tabular Pop Data by Age'!$C$6,'Population Data by Age'!$B$6:$H$6,0))</f>
        <v>61000</v>
      </c>
      <c r="AA133" s="78">
        <f>INDEX('Population Data by Age'!$B$7:$H$10366,MATCH(CONCATENATE('Tabular Pop Data by Age'!$C133,'Tabular Pop Data by Age'!AA$7),'Population Data by Age'!$B$7:$B$10366,0),MATCH('Tabular Pop Data by Age'!$C$6,'Population Data by Age'!$B$6:$H$6,0))</f>
        <v>56000</v>
      </c>
      <c r="AB133" s="78">
        <f>INDEX('Population Data by Age'!$B$7:$H$10366,MATCH(CONCATENATE('Tabular Pop Data by Age'!$C133,'Tabular Pop Data by Age'!AB$7),'Population Data by Age'!$B$7:$B$10366,0),MATCH('Tabular Pop Data by Age'!$C$6,'Population Data by Age'!$B$6:$H$6,0))</f>
        <v>47000</v>
      </c>
      <c r="AC133" s="78">
        <f>INDEX('Population Data by Age'!$B$7:$H$10366,MATCH(CONCATENATE('Tabular Pop Data by Age'!$C133,'Tabular Pop Data by Age'!AC$7),'Population Data by Age'!$B$7:$B$10366,0),MATCH('Tabular Pop Data by Age'!$C$6,'Population Data by Age'!$B$6:$H$6,0))</f>
        <v>42000</v>
      </c>
      <c r="AD133" s="78">
        <f>INDEX('Population Data by Age'!$B$7:$H$10366,MATCH(CONCATENATE('Tabular Pop Data by Age'!$C133,'Tabular Pop Data by Age'!AD$7),'Population Data by Age'!$B$7:$B$10366,0),MATCH('Tabular Pop Data by Age'!$C$6,'Population Data by Age'!$B$6:$H$6,0))</f>
        <v>34000</v>
      </c>
      <c r="AE133" s="78">
        <f>INDEX('Population Data by Age'!$B$7:$H$10366,MATCH(CONCATENATE('Tabular Pop Data by Age'!$C133,'Tabular Pop Data by Age'!AE$7),'Population Data by Age'!$B$7:$B$10366,0),MATCH('Tabular Pop Data by Age'!$C$6,'Population Data by Age'!$B$6:$H$6,0))</f>
        <v>28000</v>
      </c>
      <c r="AF133" s="78">
        <f>INDEX('Population Data by Age'!$B$7:$H$10366,MATCH(CONCATENATE('Tabular Pop Data by Age'!$C133,'Tabular Pop Data by Age'!AF$7),'Population Data by Age'!$B$7:$B$10366,0),MATCH('Tabular Pop Data by Age'!$C$6,'Population Data by Age'!$B$6:$H$6,0))</f>
        <v>24000</v>
      </c>
      <c r="AG133" s="78">
        <f>INDEX('Population Data by Age'!$B$7:$H$10366,MATCH(CONCATENATE('Tabular Pop Data by Age'!$C133,'Tabular Pop Data by Age'!AG$7),'Population Data by Age'!$B$7:$B$10366,0),MATCH('Tabular Pop Data by Age'!$C$6,'Population Data by Age'!$B$6:$H$6,0))</f>
        <v>17000</v>
      </c>
      <c r="AH133" s="78">
        <f>INDEX('Population Data by Age'!$B$7:$H$10366,MATCH(CONCATENATE('Tabular Pop Data by Age'!$C133,'Tabular Pop Data by Age'!AH$7),'Population Data by Age'!$B$7:$B$10366,0),MATCH('Tabular Pop Data by Age'!$C$6,'Population Data by Age'!$B$6:$H$6,0))</f>
        <v>15000</v>
      </c>
      <c r="AI133" s="78">
        <f>INDEX('Population Data by Age'!$B$7:$H$10366,MATCH(CONCATENATE('Tabular Pop Data by Age'!$C133,'Tabular Pop Data by Age'!AI$7),'Population Data by Age'!$B$7:$B$10366,0),MATCH('Tabular Pop Data by Age'!$C$6,'Population Data by Age'!$B$6:$H$6,0))</f>
        <v>10000</v>
      </c>
      <c r="AJ133" s="78">
        <f>INDEX('Population Data by Age'!$B$7:$H$10366,MATCH(CONCATENATE('Tabular Pop Data by Age'!$C133,'Tabular Pop Data by Age'!AJ$7),'Population Data by Age'!$B$7:$B$10366,0),MATCH('Tabular Pop Data by Age'!$C$6,'Population Data by Age'!$B$6:$H$6,0))</f>
        <v>12000</v>
      </c>
      <c r="AK133" s="78">
        <f>INDEX('Population Data by Age'!$B$7:$H$10366,MATCH(CONCATENATE('Tabular Pop Data by Age'!$C133,'Tabular Pop Data by Age'!AK$7),'Population Data by Age'!$B$7:$B$10366,0),MATCH('Tabular Pop Data by Age'!$C$6,'Population Data by Age'!$B$6:$H$6,0))</f>
        <v>7000</v>
      </c>
      <c r="AL133" s="78">
        <f>INDEX('Population Data by Age'!$B$7:$H$10366,MATCH(CONCATENATE('Tabular Pop Data by Age'!$C133,'Tabular Pop Data by Age'!AL$7),'Population Data by Age'!$B$7:$B$10366,0),MATCH('Tabular Pop Data by Age'!$C$6,'Population Data by Age'!$B$6:$H$6,0))</f>
        <v>2315000</v>
      </c>
      <c r="AM133" s="78">
        <f>INDEX('Population Data by Age'!$B$7:$H$10366,MATCH(CONCATENATE('Tabular Pop Data by Age'!$C133,'Tabular Pop Data by Age'!AM$7),'Population Data by Age'!$B$7:$B$10366,0),MATCH('Tabular Pop Data by Age'!$C$6,'Population Data by Age'!$B$6:$H$6,0))</f>
        <v>2335000</v>
      </c>
      <c r="AN133" s="78">
        <f>INDEX('Population Data by Age'!$B$7:$H$10366,MATCH(CONCATENATE('Tabular Pop Data by Age'!$C133,'Tabular Pop Data by Age'!AN$7),'Population Data by Age'!$B$7:$B$10366,0),MATCH('Tabular Pop Data by Age'!$C$6,'Population Data by Age'!$B$6:$H$6,0))</f>
        <v>4650000</v>
      </c>
      <c r="AO133" s="78">
        <f>INDEX('Population Data by Age'!$B$7:$H$10366,MATCH(CONCATENATE('Tabular Pop Data by Age'!$C133,'Tabular Pop Data by Age'!AO$7),'Population Data by Age'!$B$7:$B$10366,0),MATCH('Tabular Pop Data by Age'!$C$6,'Population Data by Age'!$B$6:$H$6,0))</f>
        <v>0</v>
      </c>
      <c r="AP133" s="79">
        <f t="shared" si="34"/>
        <v>690000</v>
      </c>
      <c r="AQ133" s="79">
        <f t="shared" si="35"/>
        <v>618000</v>
      </c>
      <c r="AR133" s="79">
        <f t="shared" si="36"/>
        <v>537000</v>
      </c>
      <c r="AS133" s="79">
        <f t="shared" si="37"/>
        <v>470000</v>
      </c>
      <c r="AT133" s="79">
        <f t="shared" si="38"/>
        <v>416000</v>
      </c>
      <c r="AU133" s="79">
        <f t="shared" si="39"/>
        <v>371000</v>
      </c>
      <c r="AV133" s="79">
        <f t="shared" si="40"/>
        <v>334000</v>
      </c>
      <c r="AW133" s="79">
        <f t="shared" si="41"/>
        <v>285000</v>
      </c>
      <c r="AX133" s="79">
        <f t="shared" si="42"/>
        <v>235000</v>
      </c>
      <c r="AY133" s="79">
        <f t="shared" si="43"/>
        <v>188000</v>
      </c>
      <c r="AZ133" s="79">
        <f t="shared" si="44"/>
        <v>149000</v>
      </c>
      <c r="BA133" s="79">
        <f t="shared" si="45"/>
        <v>117000</v>
      </c>
      <c r="BB133" s="79">
        <f t="shared" si="46"/>
        <v>89000</v>
      </c>
      <c r="BC133" s="79">
        <f t="shared" si="47"/>
        <v>62000</v>
      </c>
      <c r="BD133" s="79">
        <f t="shared" si="48"/>
        <v>41000</v>
      </c>
      <c r="BE133" s="79">
        <f t="shared" si="49"/>
        <v>25000</v>
      </c>
      <c r="BF133" s="79">
        <f t="shared" si="50"/>
        <v>19000</v>
      </c>
    </row>
    <row r="134" spans="1:58" x14ac:dyDescent="0.25">
      <c r="A134" s="138" t="s">
        <v>1195</v>
      </c>
      <c r="B134" t="s">
        <v>206</v>
      </c>
      <c r="C134" t="s">
        <v>99</v>
      </c>
      <c r="D134" s="78">
        <f>INDEX('Population Data by Age'!$B$7:$H$10366,MATCH(CONCATENATE('Tabular Pop Data by Age'!$C134,'Tabular Pop Data by Age'!D$7),'Population Data by Age'!$B$7:$B$10366,0),MATCH('Tabular Pop Data by Age'!$C$6,'Population Data by Age'!$B$6:$H$6,0))</f>
        <v>31000</v>
      </c>
      <c r="E134" s="78">
        <f>INDEX('Population Data by Age'!$B$7:$H$10366,MATCH(CONCATENATE('Tabular Pop Data by Age'!$C134,'Tabular Pop Data by Age'!E$7),'Population Data by Age'!$B$7:$B$10366,0),MATCH('Tabular Pop Data by Age'!$C$6,'Population Data by Age'!$B$6:$H$6,0))</f>
        <v>33000</v>
      </c>
      <c r="F134" s="78">
        <f>INDEX('Population Data by Age'!$B$7:$H$10366,MATCH(CONCATENATE('Tabular Pop Data by Age'!$C134,'Tabular Pop Data by Age'!F$7),'Population Data by Age'!$B$7:$B$10366,0),MATCH('Tabular Pop Data by Age'!$C$6,'Population Data by Age'!$B$6:$H$6,0))</f>
        <v>34000</v>
      </c>
      <c r="G134" s="78">
        <f>INDEX('Population Data by Age'!$B$7:$H$10366,MATCH(CONCATENATE('Tabular Pop Data by Age'!$C134,'Tabular Pop Data by Age'!G$7),'Population Data by Age'!$B$7:$B$10366,0),MATCH('Tabular Pop Data by Age'!$C$6,'Population Data by Age'!$B$6:$H$6,0))</f>
        <v>35000</v>
      </c>
      <c r="H134" s="78">
        <f>INDEX('Population Data by Age'!$B$7:$H$10366,MATCH(CONCATENATE('Tabular Pop Data by Age'!$C134,'Tabular Pop Data by Age'!H$7),'Population Data by Age'!$B$7:$B$10366,0),MATCH('Tabular Pop Data by Age'!$C$6,'Population Data by Age'!$B$6:$H$6,0))</f>
        <v>39000</v>
      </c>
      <c r="I134" s="78">
        <f>INDEX('Population Data by Age'!$B$7:$H$10366,MATCH(CONCATENATE('Tabular Pop Data by Age'!$C134,'Tabular Pop Data by Age'!I$7),'Population Data by Age'!$B$7:$B$10366,0),MATCH('Tabular Pop Data by Age'!$C$6,'Population Data by Age'!$B$6:$H$6,0))</f>
        <v>41000</v>
      </c>
      <c r="J134" s="78">
        <f>INDEX('Population Data by Age'!$B$7:$H$10366,MATCH(CONCATENATE('Tabular Pop Data by Age'!$C134,'Tabular Pop Data by Age'!J$7),'Population Data by Age'!$B$7:$B$10366,0),MATCH('Tabular Pop Data by Age'!$C$6,'Population Data by Age'!$B$6:$H$6,0))</f>
        <v>46000</v>
      </c>
      <c r="K134" s="78">
        <f>INDEX('Population Data by Age'!$B$7:$H$10366,MATCH(CONCATENATE('Tabular Pop Data by Age'!$C134,'Tabular Pop Data by Age'!K$7),'Population Data by Age'!$B$7:$B$10366,0),MATCH('Tabular Pop Data by Age'!$C$6,'Population Data by Age'!$B$6:$H$6,0))</f>
        <v>48000</v>
      </c>
      <c r="L134" s="78">
        <f>INDEX('Population Data by Age'!$B$7:$H$10366,MATCH(CONCATENATE('Tabular Pop Data by Age'!$C134,'Tabular Pop Data by Age'!L$7),'Population Data by Age'!$B$7:$B$10366,0),MATCH('Tabular Pop Data by Age'!$C$6,'Population Data by Age'!$B$6:$H$6,0))</f>
        <v>47000</v>
      </c>
      <c r="M134" s="78">
        <f>INDEX('Population Data by Age'!$B$7:$H$10366,MATCH(CONCATENATE('Tabular Pop Data by Age'!$C134,'Tabular Pop Data by Age'!M$7),'Population Data by Age'!$B$7:$B$10366,0),MATCH('Tabular Pop Data by Age'!$C$6,'Population Data by Age'!$B$6:$H$6,0))</f>
        <v>47000</v>
      </c>
      <c r="N134" s="78">
        <f>INDEX('Population Data by Age'!$B$7:$H$10366,MATCH(CONCATENATE('Tabular Pop Data by Age'!$C134,'Tabular Pop Data by Age'!N$7),'Population Data by Age'!$B$7:$B$10366,0),MATCH('Tabular Pop Data by Age'!$C$6,'Population Data by Age'!$B$6:$H$6,0))</f>
        <v>51000</v>
      </c>
      <c r="O134" s="78">
        <f>INDEX('Population Data by Age'!$B$7:$H$10366,MATCH(CONCATENATE('Tabular Pop Data by Age'!$C134,'Tabular Pop Data by Age'!O$7),'Population Data by Age'!$B$7:$B$10366,0),MATCH('Tabular Pop Data by Age'!$C$6,'Population Data by Age'!$B$6:$H$6,0))</f>
        <v>52000</v>
      </c>
      <c r="P134" s="78">
        <f>INDEX('Population Data by Age'!$B$7:$H$10366,MATCH(CONCATENATE('Tabular Pop Data by Age'!$C134,'Tabular Pop Data by Age'!P$7),'Population Data by Age'!$B$7:$B$10366,0),MATCH('Tabular Pop Data by Age'!$C$6,'Population Data by Age'!$B$6:$H$6,0))</f>
        <v>44000</v>
      </c>
      <c r="Q134" s="78">
        <f>INDEX('Population Data by Age'!$B$7:$H$10366,MATCH(CONCATENATE('Tabular Pop Data by Age'!$C134,'Tabular Pop Data by Age'!Q$7),'Population Data by Age'!$B$7:$B$10366,0),MATCH('Tabular Pop Data by Age'!$C$6,'Population Data by Age'!$B$6:$H$6,0))</f>
        <v>44000</v>
      </c>
      <c r="R134" s="78">
        <f>INDEX('Population Data by Age'!$B$7:$H$10366,MATCH(CONCATENATE('Tabular Pop Data by Age'!$C134,'Tabular Pop Data by Age'!R$7),'Population Data by Age'!$B$7:$B$10366,0),MATCH('Tabular Pop Data by Age'!$C$6,'Population Data by Age'!$B$6:$H$6,0))</f>
        <v>43000</v>
      </c>
      <c r="S134" s="78">
        <f>INDEX('Population Data by Age'!$B$7:$H$10366,MATCH(CONCATENATE('Tabular Pop Data by Age'!$C134,'Tabular Pop Data by Age'!S$7),'Population Data by Age'!$B$7:$B$10366,0),MATCH('Tabular Pop Data by Age'!$C$6,'Population Data by Age'!$B$6:$H$6,0))</f>
        <v>44000</v>
      </c>
      <c r="T134" s="78">
        <f>INDEX('Population Data by Age'!$B$7:$H$10366,MATCH(CONCATENATE('Tabular Pop Data by Age'!$C134,'Tabular Pop Data by Age'!T$7),'Population Data by Age'!$B$7:$B$10366,0),MATCH('Tabular Pop Data by Age'!$C$6,'Population Data by Age'!$B$6:$H$6,0))</f>
        <v>49000</v>
      </c>
      <c r="U134" s="78">
        <f>INDEX('Population Data by Age'!$B$7:$H$10366,MATCH(CONCATENATE('Tabular Pop Data by Age'!$C134,'Tabular Pop Data by Age'!U$7),'Population Data by Age'!$B$7:$B$10366,0),MATCH('Tabular Pop Data by Age'!$C$6,'Population Data by Age'!$B$6:$H$6,0))</f>
        <v>50000</v>
      </c>
      <c r="V134" s="78">
        <f>INDEX('Population Data by Age'!$B$7:$H$10366,MATCH(CONCATENATE('Tabular Pop Data by Age'!$C134,'Tabular Pop Data by Age'!V$7),'Population Data by Age'!$B$7:$B$10366,0),MATCH('Tabular Pop Data by Age'!$C$6,'Population Data by Age'!$B$6:$H$6,0))</f>
        <v>41000</v>
      </c>
      <c r="W134" s="78">
        <f>INDEX('Population Data by Age'!$B$7:$H$10366,MATCH(CONCATENATE('Tabular Pop Data by Age'!$C134,'Tabular Pop Data by Age'!W$7),'Population Data by Age'!$B$7:$B$10366,0),MATCH('Tabular Pop Data by Age'!$C$6,'Population Data by Age'!$B$6:$H$6,0))</f>
        <v>42000</v>
      </c>
      <c r="X134" s="78">
        <f>INDEX('Population Data by Age'!$B$7:$H$10366,MATCH(CONCATENATE('Tabular Pop Data by Age'!$C134,'Tabular Pop Data by Age'!X$7),'Population Data by Age'!$B$7:$B$10366,0),MATCH('Tabular Pop Data by Age'!$C$6,'Population Data by Age'!$B$6:$H$6,0))</f>
        <v>43000</v>
      </c>
      <c r="Y134" s="78">
        <f>INDEX('Population Data by Age'!$B$7:$H$10366,MATCH(CONCATENATE('Tabular Pop Data by Age'!$C134,'Tabular Pop Data by Age'!Y$7),'Population Data by Age'!$B$7:$B$10366,0),MATCH('Tabular Pop Data by Age'!$C$6,'Population Data by Age'!$B$6:$H$6,0))</f>
        <v>42000</v>
      </c>
      <c r="Z134" s="78">
        <f>INDEX('Population Data by Age'!$B$7:$H$10366,MATCH(CONCATENATE('Tabular Pop Data by Age'!$C134,'Tabular Pop Data by Age'!Z$7),'Population Data by Age'!$B$7:$B$10366,0),MATCH('Tabular Pop Data by Age'!$C$6,'Population Data by Age'!$B$6:$H$6,0))</f>
        <v>46000</v>
      </c>
      <c r="AA134" s="78">
        <f>INDEX('Population Data by Age'!$B$7:$H$10366,MATCH(CONCATENATE('Tabular Pop Data by Age'!$C134,'Tabular Pop Data by Age'!AA$7),'Population Data by Age'!$B$7:$B$10366,0),MATCH('Tabular Pop Data by Age'!$C$6,'Population Data by Age'!$B$6:$H$6,0))</f>
        <v>44000</v>
      </c>
      <c r="AB134" s="78">
        <f>INDEX('Population Data by Age'!$B$7:$H$10366,MATCH(CONCATENATE('Tabular Pop Data by Age'!$C134,'Tabular Pop Data by Age'!AB$7),'Population Data by Age'!$B$7:$B$10366,0),MATCH('Tabular Pop Data by Age'!$C$6,'Population Data by Age'!$B$6:$H$6,0))</f>
        <v>39000</v>
      </c>
      <c r="AC134" s="78">
        <f>INDEX('Population Data by Age'!$B$7:$H$10366,MATCH(CONCATENATE('Tabular Pop Data by Age'!$C134,'Tabular Pop Data by Age'!AC$7),'Population Data by Age'!$B$7:$B$10366,0),MATCH('Tabular Pop Data by Age'!$C$6,'Population Data by Age'!$B$6:$H$6,0))</f>
        <v>36000</v>
      </c>
      <c r="AD134" s="78">
        <f>INDEX('Population Data by Age'!$B$7:$H$10366,MATCH(CONCATENATE('Tabular Pop Data by Age'!$C134,'Tabular Pop Data by Age'!AD$7),'Population Data by Age'!$B$7:$B$10366,0),MATCH('Tabular Pop Data by Age'!$C$6,'Population Data by Age'!$B$6:$H$6,0))</f>
        <v>33000</v>
      </c>
      <c r="AE134" s="78">
        <f>INDEX('Population Data by Age'!$B$7:$H$10366,MATCH(CONCATENATE('Tabular Pop Data by Age'!$C134,'Tabular Pop Data by Age'!AE$7),'Population Data by Age'!$B$7:$B$10366,0),MATCH('Tabular Pop Data by Age'!$C$6,'Population Data by Age'!$B$6:$H$6,0))</f>
        <v>29000</v>
      </c>
      <c r="AF134" s="78">
        <f>INDEX('Population Data by Age'!$B$7:$H$10366,MATCH(CONCATENATE('Tabular Pop Data by Age'!$C134,'Tabular Pop Data by Age'!AF$7),'Population Data by Age'!$B$7:$B$10366,0),MATCH('Tabular Pop Data by Age'!$C$6,'Population Data by Age'!$B$6:$H$6,0))</f>
        <v>25000</v>
      </c>
      <c r="AG134" s="78">
        <f>INDEX('Population Data by Age'!$B$7:$H$10366,MATCH(CONCATENATE('Tabular Pop Data by Age'!$C134,'Tabular Pop Data by Age'!AG$7),'Population Data by Age'!$B$7:$B$10366,0),MATCH('Tabular Pop Data by Age'!$C$6,'Population Data by Age'!$B$6:$H$6,0))</f>
        <v>20000</v>
      </c>
      <c r="AH134" s="78">
        <f>INDEX('Population Data by Age'!$B$7:$H$10366,MATCH(CONCATENATE('Tabular Pop Data by Age'!$C134,'Tabular Pop Data by Age'!AH$7),'Population Data by Age'!$B$7:$B$10366,0),MATCH('Tabular Pop Data by Age'!$C$6,'Population Data by Age'!$B$6:$H$6,0))</f>
        <v>14000</v>
      </c>
      <c r="AI134" s="78">
        <f>INDEX('Population Data by Age'!$B$7:$H$10366,MATCH(CONCATENATE('Tabular Pop Data by Age'!$C134,'Tabular Pop Data by Age'!AI$7),'Population Data by Age'!$B$7:$B$10366,0),MATCH('Tabular Pop Data by Age'!$C$6,'Population Data by Age'!$B$6:$H$6,0))</f>
        <v>10000</v>
      </c>
      <c r="AJ134" s="78">
        <f>INDEX('Population Data by Age'!$B$7:$H$10366,MATCH(CONCATENATE('Tabular Pop Data by Age'!$C134,'Tabular Pop Data by Age'!AJ$7),'Population Data by Age'!$B$7:$B$10366,0),MATCH('Tabular Pop Data by Age'!$C$6,'Population Data by Age'!$B$6:$H$6,0))</f>
        <v>18000</v>
      </c>
      <c r="AK134" s="78">
        <f>INDEX('Population Data by Age'!$B$7:$H$10366,MATCH(CONCATENATE('Tabular Pop Data by Age'!$C134,'Tabular Pop Data by Age'!AK$7),'Population Data by Age'!$B$7:$B$10366,0),MATCH('Tabular Pop Data by Age'!$C$6,'Population Data by Age'!$B$6:$H$6,0))</f>
        <v>9500</v>
      </c>
      <c r="AL134" s="78">
        <f>INDEX('Population Data by Age'!$B$7:$H$10366,MATCH(CONCATENATE('Tabular Pop Data by Age'!$C134,'Tabular Pop Data by Age'!AL$7),'Population Data by Age'!$B$7:$B$10366,0),MATCH('Tabular Pop Data by Age'!$C$6,'Population Data by Age'!$B$6:$H$6,0))</f>
        <v>644000</v>
      </c>
      <c r="AM134" s="78">
        <f>INDEX('Population Data by Age'!$B$7:$H$10366,MATCH(CONCATENATE('Tabular Pop Data by Age'!$C134,'Tabular Pop Data by Age'!AM$7),'Population Data by Age'!$B$7:$B$10366,0),MATCH('Tabular Pop Data by Age'!$C$6,'Population Data by Age'!$B$6:$H$6,0))</f>
        <v>627000</v>
      </c>
      <c r="AN134" s="78">
        <f>INDEX('Population Data by Age'!$B$7:$H$10366,MATCH(CONCATENATE('Tabular Pop Data by Age'!$C134,'Tabular Pop Data by Age'!AN$7),'Population Data by Age'!$B$7:$B$10366,0),MATCH('Tabular Pop Data by Age'!$C$6,'Population Data by Age'!$B$6:$H$6,0))</f>
        <v>1270000</v>
      </c>
      <c r="AO134" s="78">
        <f>INDEX('Population Data by Age'!$B$7:$H$10366,MATCH(CONCATENATE('Tabular Pop Data by Age'!$C134,'Tabular Pop Data by Age'!AO$7),'Population Data by Age'!$B$7:$B$10366,0),MATCH('Tabular Pop Data by Age'!$C$6,'Population Data by Age'!$B$6:$H$6,0))</f>
        <v>0</v>
      </c>
      <c r="AP134" s="79">
        <f t="shared" si="34"/>
        <v>64000</v>
      </c>
      <c r="AQ134" s="79">
        <f t="shared" si="35"/>
        <v>69000</v>
      </c>
      <c r="AR134" s="79">
        <f t="shared" si="36"/>
        <v>80000</v>
      </c>
      <c r="AS134" s="79">
        <f t="shared" si="37"/>
        <v>94000</v>
      </c>
      <c r="AT134" s="79">
        <f t="shared" si="38"/>
        <v>94000</v>
      </c>
      <c r="AU134" s="79">
        <f t="shared" si="39"/>
        <v>103000</v>
      </c>
      <c r="AV134" s="79">
        <f t="shared" si="40"/>
        <v>88000</v>
      </c>
      <c r="AW134" s="79">
        <f t="shared" si="41"/>
        <v>87000</v>
      </c>
      <c r="AX134" s="79">
        <f t="shared" si="42"/>
        <v>99000</v>
      </c>
      <c r="AY134" s="79">
        <f t="shared" si="43"/>
        <v>83000</v>
      </c>
      <c r="AZ134" s="79">
        <f t="shared" si="44"/>
        <v>85000</v>
      </c>
      <c r="BA134" s="79">
        <f t="shared" si="45"/>
        <v>90000</v>
      </c>
      <c r="BB134" s="79">
        <f t="shared" si="46"/>
        <v>75000</v>
      </c>
      <c r="BC134" s="79">
        <f t="shared" si="47"/>
        <v>62000</v>
      </c>
      <c r="BD134" s="79">
        <f t="shared" si="48"/>
        <v>45000</v>
      </c>
      <c r="BE134" s="79">
        <f t="shared" si="49"/>
        <v>24000</v>
      </c>
      <c r="BF134" s="79">
        <f t="shared" si="50"/>
        <v>27500</v>
      </c>
    </row>
    <row r="135" spans="1:58" x14ac:dyDescent="0.25">
      <c r="A135" s="138" t="s">
        <v>1195</v>
      </c>
      <c r="B135" t="s">
        <v>569</v>
      </c>
      <c r="C135" t="s">
        <v>90</v>
      </c>
      <c r="D135" s="78">
        <f>INDEX('Population Data by Age'!$B$7:$H$10366,MATCH(CONCATENATE('Tabular Pop Data by Age'!$C135,'Tabular Pop Data by Age'!D$7),'Population Data by Age'!$B$7:$B$10366,0),MATCH('Tabular Pop Data by Age'!$C$6,'Population Data by Age'!$B$6:$H$6,0))</f>
        <v>5354000</v>
      </c>
      <c r="E135" s="78">
        <f>INDEX('Population Data by Age'!$B$7:$H$10366,MATCH(CONCATENATE('Tabular Pop Data by Age'!$C135,'Tabular Pop Data by Age'!E$7),'Population Data by Age'!$B$7:$B$10366,0),MATCH('Tabular Pop Data by Age'!$C$6,'Population Data by Age'!$B$6:$H$6,0))</f>
        <v>5605000</v>
      </c>
      <c r="F135" s="78">
        <f>INDEX('Population Data by Age'!$B$7:$H$10366,MATCH(CONCATENATE('Tabular Pop Data by Age'!$C135,'Tabular Pop Data by Age'!F$7),'Population Data by Age'!$B$7:$B$10366,0),MATCH('Tabular Pop Data by Age'!$C$6,'Population Data by Age'!$B$6:$H$6,0))</f>
        <v>5479000</v>
      </c>
      <c r="G135" s="78">
        <f>INDEX('Population Data by Age'!$B$7:$H$10366,MATCH(CONCATENATE('Tabular Pop Data by Age'!$C135,'Tabular Pop Data by Age'!G$7),'Population Data by Age'!$B$7:$B$10366,0),MATCH('Tabular Pop Data by Age'!$C$6,'Population Data by Age'!$B$6:$H$6,0))</f>
        <v>5732000</v>
      </c>
      <c r="H135" s="78">
        <f>INDEX('Population Data by Age'!$B$7:$H$10366,MATCH(CONCATENATE('Tabular Pop Data by Age'!$C135,'Tabular Pop Data by Age'!H$7),'Population Data by Age'!$B$7:$B$10366,0),MATCH('Tabular Pop Data by Age'!$C$6,'Population Data by Age'!$B$6:$H$6,0))</f>
        <v>5448000</v>
      </c>
      <c r="I135" s="78">
        <f>INDEX('Population Data by Age'!$B$7:$H$10366,MATCH(CONCATENATE('Tabular Pop Data by Age'!$C135,'Tabular Pop Data by Age'!I$7),'Population Data by Age'!$B$7:$B$10366,0),MATCH('Tabular Pop Data by Age'!$C$6,'Population Data by Age'!$B$6:$H$6,0))</f>
        <v>5693000</v>
      </c>
      <c r="J135" s="78">
        <f>INDEX('Population Data by Age'!$B$7:$H$10366,MATCH(CONCATENATE('Tabular Pop Data by Age'!$C135,'Tabular Pop Data by Age'!J$7),'Population Data by Age'!$B$7:$B$10366,0),MATCH('Tabular Pop Data by Age'!$C$6,'Population Data by Age'!$B$6:$H$6,0))</f>
        <v>5515000</v>
      </c>
      <c r="K135" s="78">
        <f>INDEX('Population Data by Age'!$B$7:$H$10366,MATCH(CONCATENATE('Tabular Pop Data by Age'!$C135,'Tabular Pop Data by Age'!K$7),'Population Data by Age'!$B$7:$B$10366,0),MATCH('Tabular Pop Data by Age'!$C$6,'Population Data by Age'!$B$6:$H$6,0))</f>
        <v>5695000</v>
      </c>
      <c r="L135" s="78">
        <f>INDEX('Population Data by Age'!$B$7:$H$10366,MATCH(CONCATENATE('Tabular Pop Data by Age'!$C135,'Tabular Pop Data by Age'!L$7),'Population Data by Age'!$B$7:$B$10366,0),MATCH('Tabular Pop Data by Age'!$C$6,'Population Data by Age'!$B$6:$H$6,0))</f>
        <v>5435000</v>
      </c>
      <c r="M135" s="78">
        <f>INDEX('Population Data by Age'!$B$7:$H$10366,MATCH(CONCATENATE('Tabular Pop Data by Age'!$C135,'Tabular Pop Data by Age'!M$7),'Population Data by Age'!$B$7:$B$10366,0),MATCH('Tabular Pop Data by Age'!$C$6,'Population Data by Age'!$B$6:$H$6,0))</f>
        <v>5505000</v>
      </c>
      <c r="N135" s="78">
        <f>INDEX('Population Data by Age'!$B$7:$H$10366,MATCH(CONCATENATE('Tabular Pop Data by Age'!$C135,'Tabular Pop Data by Age'!N$7),'Population Data by Age'!$B$7:$B$10366,0),MATCH('Tabular Pop Data by Age'!$C$6,'Population Data by Age'!$B$6:$H$6,0))</f>
        <v>5412000</v>
      </c>
      <c r="O135" s="78">
        <f>INDEX('Population Data by Age'!$B$7:$H$10366,MATCH(CONCATENATE('Tabular Pop Data by Age'!$C135,'Tabular Pop Data by Age'!O$7),'Population Data by Age'!$B$7:$B$10366,0),MATCH('Tabular Pop Data by Age'!$C$6,'Population Data by Age'!$B$6:$H$6,0))</f>
        <v>5384000</v>
      </c>
      <c r="P135" s="78">
        <f>INDEX('Population Data by Age'!$B$7:$H$10366,MATCH(CONCATENATE('Tabular Pop Data by Age'!$C135,'Tabular Pop Data by Age'!P$7),'Population Data by Age'!$B$7:$B$10366,0),MATCH('Tabular Pop Data by Age'!$C$6,'Population Data by Age'!$B$6:$H$6,0))</f>
        <v>5041000</v>
      </c>
      <c r="Q135" s="78">
        <f>INDEX('Population Data by Age'!$B$7:$H$10366,MATCH(CONCATENATE('Tabular Pop Data by Age'!$C135,'Tabular Pop Data by Age'!Q$7),'Population Data by Age'!$B$7:$B$10366,0),MATCH('Tabular Pop Data by Age'!$C$6,'Population Data by Age'!$B$6:$H$6,0))</f>
        <v>4748000</v>
      </c>
      <c r="R135" s="78">
        <f>INDEX('Population Data by Age'!$B$7:$H$10366,MATCH(CONCATENATE('Tabular Pop Data by Age'!$C135,'Tabular Pop Data by Age'!R$7),'Population Data by Age'!$B$7:$B$10366,0),MATCH('Tabular Pop Data by Age'!$C$6,'Population Data by Age'!$B$6:$H$6,0))</f>
        <v>4746000</v>
      </c>
      <c r="S135" s="78">
        <f>INDEX('Population Data by Age'!$B$7:$H$10366,MATCH(CONCATENATE('Tabular Pop Data by Age'!$C135,'Tabular Pop Data by Age'!S$7),'Population Data by Age'!$B$7:$B$10366,0),MATCH('Tabular Pop Data by Age'!$C$6,'Population Data by Age'!$B$6:$H$6,0))</f>
        <v>4344000</v>
      </c>
      <c r="T135" s="78">
        <f>INDEX('Population Data by Age'!$B$7:$H$10366,MATCH(CONCATENATE('Tabular Pop Data by Age'!$C135,'Tabular Pop Data by Age'!T$7),'Population Data by Age'!$B$7:$B$10366,0),MATCH('Tabular Pop Data by Age'!$C$6,'Population Data by Age'!$B$6:$H$6,0))</f>
        <v>4502000</v>
      </c>
      <c r="U135" s="78">
        <f>INDEX('Population Data by Age'!$B$7:$H$10366,MATCH(CONCATENATE('Tabular Pop Data by Age'!$C135,'Tabular Pop Data by Age'!U$7),'Population Data by Age'!$B$7:$B$10366,0),MATCH('Tabular Pop Data by Age'!$C$6,'Population Data by Age'!$B$6:$H$6,0))</f>
        <v>4030000</v>
      </c>
      <c r="V135" s="78">
        <f>INDEX('Population Data by Age'!$B$7:$H$10366,MATCH(CONCATENATE('Tabular Pop Data by Age'!$C135,'Tabular Pop Data by Age'!V$7),'Population Data by Age'!$B$7:$B$10366,0),MATCH('Tabular Pop Data by Age'!$C$6,'Population Data by Age'!$B$6:$H$6,0))</f>
        <v>4233000</v>
      </c>
      <c r="W135" s="78">
        <f>INDEX('Population Data by Age'!$B$7:$H$10366,MATCH(CONCATENATE('Tabular Pop Data by Age'!$C135,'Tabular Pop Data by Age'!W$7),'Population Data by Age'!$B$7:$B$10366,0),MATCH('Tabular Pop Data by Age'!$C$6,'Population Data by Age'!$B$6:$H$6,0))</f>
        <v>3783000</v>
      </c>
      <c r="X135" s="78">
        <f>INDEX('Population Data by Age'!$B$7:$H$10366,MATCH(CONCATENATE('Tabular Pop Data by Age'!$C135,'Tabular Pop Data by Age'!X$7),'Population Data by Age'!$B$7:$B$10366,0),MATCH('Tabular Pop Data by Age'!$C$6,'Population Data by Age'!$B$6:$H$6,0))</f>
        <v>3689000</v>
      </c>
      <c r="Y135" s="78">
        <f>INDEX('Population Data by Age'!$B$7:$H$10366,MATCH(CONCATENATE('Tabular Pop Data by Age'!$C135,'Tabular Pop Data by Age'!Y$7),'Population Data by Age'!$B$7:$B$10366,0),MATCH('Tabular Pop Data by Age'!$C$6,'Population Data by Age'!$B$6:$H$6,0))</f>
        <v>3236000</v>
      </c>
      <c r="Z135" s="78">
        <f>INDEX('Population Data by Age'!$B$7:$H$10366,MATCH(CONCATENATE('Tabular Pop Data by Age'!$C135,'Tabular Pop Data by Age'!Z$7),'Population Data by Age'!$B$7:$B$10366,0),MATCH('Tabular Pop Data by Age'!$C$6,'Population Data by Age'!$B$6:$H$6,0))</f>
        <v>3091000</v>
      </c>
      <c r="AA135" s="78">
        <f>INDEX('Population Data by Age'!$B$7:$H$10366,MATCH(CONCATENATE('Tabular Pop Data by Age'!$C135,'Tabular Pop Data by Age'!AA$7),'Population Data by Age'!$B$7:$B$10366,0),MATCH('Tabular Pop Data by Age'!$C$6,'Population Data by Age'!$B$6:$H$6,0))</f>
        <v>2742000</v>
      </c>
      <c r="AB135" s="78">
        <f>INDEX('Population Data by Age'!$B$7:$H$10366,MATCH(CONCATENATE('Tabular Pop Data by Age'!$C135,'Tabular Pop Data by Age'!AB$7),'Population Data by Age'!$B$7:$B$10366,0),MATCH('Tabular Pop Data by Age'!$C$6,'Population Data by Age'!$B$6:$H$6,0))</f>
        <v>2500000</v>
      </c>
      <c r="AC135" s="78">
        <f>INDEX('Population Data by Age'!$B$7:$H$10366,MATCH(CONCATENATE('Tabular Pop Data by Age'!$C135,'Tabular Pop Data by Age'!AC$7),'Population Data by Age'!$B$7:$B$10366,0),MATCH('Tabular Pop Data by Age'!$C$6,'Population Data by Age'!$B$6:$H$6,0))</f>
        <v>2169000</v>
      </c>
      <c r="AD135" s="78">
        <f>INDEX('Population Data by Age'!$B$7:$H$10366,MATCH(CONCATENATE('Tabular Pop Data by Age'!$C135,'Tabular Pop Data by Age'!AD$7),'Population Data by Age'!$B$7:$B$10366,0),MATCH('Tabular Pop Data by Age'!$C$6,'Population Data by Age'!$B$6:$H$6,0))</f>
        <v>1938000</v>
      </c>
      <c r="AE135" s="78">
        <f>INDEX('Population Data by Age'!$B$7:$H$10366,MATCH(CONCATENATE('Tabular Pop Data by Age'!$C135,'Tabular Pop Data by Age'!AE$7),'Population Data by Age'!$B$7:$B$10366,0),MATCH('Tabular Pop Data by Age'!$C$6,'Population Data by Age'!$B$6:$H$6,0))</f>
        <v>1657000</v>
      </c>
      <c r="AF135" s="78">
        <f>INDEX('Population Data by Age'!$B$7:$H$10366,MATCH(CONCATENATE('Tabular Pop Data by Age'!$C135,'Tabular Pop Data by Age'!AF$7),'Population Data by Age'!$B$7:$B$10366,0),MATCH('Tabular Pop Data by Age'!$C$6,'Population Data by Age'!$B$6:$H$6,0))</f>
        <v>1341000</v>
      </c>
      <c r="AG135" s="78">
        <f>INDEX('Population Data by Age'!$B$7:$H$10366,MATCH(CONCATENATE('Tabular Pop Data by Age'!$C135,'Tabular Pop Data by Age'!AG$7),'Population Data by Age'!$B$7:$B$10366,0),MATCH('Tabular Pop Data by Age'!$C$6,'Population Data by Age'!$B$6:$H$6,0))</f>
        <v>1126000</v>
      </c>
      <c r="AH135" s="78">
        <f>INDEX('Population Data by Age'!$B$7:$H$10366,MATCH(CONCATENATE('Tabular Pop Data by Age'!$C135,'Tabular Pop Data by Age'!AH$7),'Population Data by Age'!$B$7:$B$10366,0),MATCH('Tabular Pop Data by Age'!$C$6,'Population Data by Age'!$B$6:$H$6,0))</f>
        <v>948000</v>
      </c>
      <c r="AI135" s="78">
        <f>INDEX('Population Data by Age'!$B$7:$H$10366,MATCH(CONCATENATE('Tabular Pop Data by Age'!$C135,'Tabular Pop Data by Age'!AI$7),'Population Data by Age'!$B$7:$B$10366,0),MATCH('Tabular Pop Data by Age'!$C$6,'Population Data by Age'!$B$6:$H$6,0))</f>
        <v>774000</v>
      </c>
      <c r="AJ135" s="78">
        <f>INDEX('Population Data by Age'!$B$7:$H$10366,MATCH(CONCATENATE('Tabular Pop Data by Age'!$C135,'Tabular Pop Data by Age'!AJ$7),'Population Data by Age'!$B$7:$B$10366,0),MATCH('Tabular Pop Data by Age'!$C$6,'Population Data by Age'!$B$6:$H$6,0))</f>
        <v>1190000</v>
      </c>
      <c r="AK135" s="78">
        <f>INDEX('Population Data by Age'!$B$7:$H$10366,MATCH(CONCATENATE('Tabular Pop Data by Age'!$C135,'Tabular Pop Data by Age'!AK$7),'Population Data by Age'!$B$7:$B$10366,0),MATCH('Tabular Pop Data by Age'!$C$6,'Population Data by Age'!$B$6:$H$6,0))</f>
        <v>848000</v>
      </c>
      <c r="AL135" s="78">
        <f>INDEX('Population Data by Age'!$B$7:$H$10366,MATCH(CONCATENATE('Tabular Pop Data by Age'!$C135,'Tabular Pop Data by Age'!AL$7),'Population Data by Age'!$B$7:$B$10366,0),MATCH('Tabular Pop Data by Age'!$C$6,'Population Data by Age'!$B$6:$H$6,0))</f>
        <v>65861000</v>
      </c>
      <c r="AM135" s="78">
        <f>INDEX('Population Data by Age'!$B$7:$H$10366,MATCH(CONCATENATE('Tabular Pop Data by Age'!$C135,'Tabular Pop Data by Age'!AM$7),'Population Data by Age'!$B$7:$B$10366,0),MATCH('Tabular Pop Data by Age'!$C$6,'Population Data by Age'!$B$6:$H$6,0))</f>
        <v>63071000</v>
      </c>
      <c r="AN135" s="78">
        <f>INDEX('Population Data by Age'!$B$7:$H$10366,MATCH(CONCATENATE('Tabular Pop Data by Age'!$C135,'Tabular Pop Data by Age'!AN$7),'Population Data by Age'!$B$7:$B$10366,0),MATCH('Tabular Pop Data by Age'!$C$6,'Population Data by Age'!$B$6:$H$6,0))</f>
        <v>128933000</v>
      </c>
      <c r="AO135" s="78">
        <f>INDEX('Population Data by Age'!$B$7:$H$10366,MATCH(CONCATENATE('Tabular Pop Data by Age'!$C135,'Tabular Pop Data by Age'!AO$7),'Population Data by Age'!$B$7:$B$10366,0),MATCH('Tabular Pop Data by Age'!$C$6,'Population Data by Age'!$B$6:$H$6,0))</f>
        <v>0</v>
      </c>
      <c r="AP135" s="79">
        <f t="shared" si="34"/>
        <v>10959000</v>
      </c>
      <c r="AQ135" s="79">
        <f t="shared" si="35"/>
        <v>11211000</v>
      </c>
      <c r="AR135" s="79">
        <f t="shared" si="36"/>
        <v>11141000</v>
      </c>
      <c r="AS135" s="79">
        <f t="shared" si="37"/>
        <v>11210000</v>
      </c>
      <c r="AT135" s="79">
        <f t="shared" si="38"/>
        <v>10940000</v>
      </c>
      <c r="AU135" s="79">
        <f t="shared" si="39"/>
        <v>10796000</v>
      </c>
      <c r="AV135" s="79">
        <f t="shared" si="40"/>
        <v>9789000</v>
      </c>
      <c r="AW135" s="79">
        <f t="shared" si="41"/>
        <v>9090000</v>
      </c>
      <c r="AX135" s="79">
        <f t="shared" si="42"/>
        <v>8532000</v>
      </c>
      <c r="AY135" s="79">
        <f t="shared" si="43"/>
        <v>8016000</v>
      </c>
      <c r="AZ135" s="79">
        <f t="shared" si="44"/>
        <v>6925000</v>
      </c>
      <c r="BA135" s="79">
        <f t="shared" si="45"/>
        <v>5833000</v>
      </c>
      <c r="BB135" s="79">
        <f t="shared" si="46"/>
        <v>4669000</v>
      </c>
      <c r="BC135" s="79">
        <f t="shared" si="47"/>
        <v>3595000</v>
      </c>
      <c r="BD135" s="79">
        <f t="shared" si="48"/>
        <v>2467000</v>
      </c>
      <c r="BE135" s="79">
        <f t="shared" si="49"/>
        <v>1722000</v>
      </c>
      <c r="BF135" s="79">
        <f t="shared" si="50"/>
        <v>2038000</v>
      </c>
    </row>
    <row r="136" spans="1:58" x14ac:dyDescent="0.25">
      <c r="A136" s="138" t="s">
        <v>1195</v>
      </c>
      <c r="B136" t="s">
        <v>570</v>
      </c>
      <c r="C136" t="s">
        <v>571</v>
      </c>
      <c r="D136" s="78">
        <f>INDEX('Population Data by Age'!$B$7:$H$10366,MATCH(CONCATENATE('Tabular Pop Data by Age'!$C136,'Tabular Pop Data by Age'!D$7),'Population Data by Age'!$B$7:$B$10366,0),MATCH('Tabular Pop Data by Age'!$C$6,'Population Data by Age'!$B$6:$H$6,0))</f>
        <v>6000</v>
      </c>
      <c r="E136" s="78">
        <f>INDEX('Population Data by Age'!$B$7:$H$10366,MATCH(CONCATENATE('Tabular Pop Data by Age'!$C136,'Tabular Pop Data by Age'!E$7),'Population Data by Age'!$B$7:$B$10366,0),MATCH('Tabular Pop Data by Age'!$C$6,'Population Data by Age'!$B$6:$H$6,0))</f>
        <v>6300</v>
      </c>
      <c r="F136" s="78">
        <f>INDEX('Population Data by Age'!$B$7:$H$10366,MATCH(CONCATENATE('Tabular Pop Data by Age'!$C136,'Tabular Pop Data by Age'!F$7),'Population Data by Age'!$B$7:$B$10366,0),MATCH('Tabular Pop Data by Age'!$C$6,'Population Data by Age'!$B$6:$H$6,0))</f>
        <v>5700</v>
      </c>
      <c r="G136" s="78">
        <f>INDEX('Population Data by Age'!$B$7:$H$10366,MATCH(CONCATENATE('Tabular Pop Data by Age'!$C136,'Tabular Pop Data by Age'!G$7),'Population Data by Age'!$B$7:$B$10366,0),MATCH('Tabular Pop Data by Age'!$C$6,'Population Data by Age'!$B$6:$H$6,0))</f>
        <v>6100</v>
      </c>
      <c r="H136" s="78">
        <f>INDEX('Population Data by Age'!$B$7:$H$10366,MATCH(CONCATENATE('Tabular Pop Data by Age'!$C136,'Tabular Pop Data by Age'!H$7),'Population Data by Age'!$B$7:$B$10366,0),MATCH('Tabular Pop Data by Age'!$C$6,'Population Data by Age'!$B$6:$H$6,0))</f>
        <v>5800</v>
      </c>
      <c r="I136" s="78">
        <f>INDEX('Population Data by Age'!$B$7:$H$10366,MATCH(CONCATENATE('Tabular Pop Data by Age'!$C136,'Tabular Pop Data by Age'!I$7),'Population Data by Age'!$B$7:$B$10366,0),MATCH('Tabular Pop Data by Age'!$C$6,'Population Data by Age'!$B$6:$H$6,0))</f>
        <v>6000</v>
      </c>
      <c r="J136" s="78">
        <f>INDEX('Population Data by Age'!$B$7:$H$10366,MATCH(CONCATENATE('Tabular Pop Data by Age'!$C136,'Tabular Pop Data by Age'!J$7),'Population Data by Age'!$B$7:$B$10366,0),MATCH('Tabular Pop Data by Age'!$C$6,'Population Data by Age'!$B$6:$H$6,0))</f>
        <v>5600</v>
      </c>
      <c r="K136" s="78">
        <f>INDEX('Population Data by Age'!$B$7:$H$10366,MATCH(CONCATENATE('Tabular Pop Data by Age'!$C136,'Tabular Pop Data by Age'!K$7),'Population Data by Age'!$B$7:$B$10366,0),MATCH('Tabular Pop Data by Age'!$C$6,'Population Data by Age'!$B$6:$H$6,0))</f>
        <v>5900</v>
      </c>
      <c r="L136" s="78">
        <f>INDEX('Population Data by Age'!$B$7:$H$10366,MATCH(CONCATENATE('Tabular Pop Data by Age'!$C136,'Tabular Pop Data by Age'!L$7),'Population Data by Age'!$B$7:$B$10366,0),MATCH('Tabular Pop Data by Age'!$C$6,'Population Data by Age'!$B$6:$H$6,0))</f>
        <v>5600</v>
      </c>
      <c r="M136" s="78">
        <f>INDEX('Population Data by Age'!$B$7:$H$10366,MATCH(CONCATENATE('Tabular Pop Data by Age'!$C136,'Tabular Pop Data by Age'!M$7),'Population Data by Age'!$B$7:$B$10366,0),MATCH('Tabular Pop Data by Age'!$C$6,'Population Data by Age'!$B$6:$H$6,0))</f>
        <v>6000</v>
      </c>
      <c r="N136" s="78">
        <f>INDEX('Population Data by Age'!$B$7:$H$10366,MATCH(CONCATENATE('Tabular Pop Data by Age'!$C136,'Tabular Pop Data by Age'!N$7),'Population Data by Age'!$B$7:$B$10366,0),MATCH('Tabular Pop Data by Age'!$C$6,'Population Data by Age'!$B$6:$H$6,0))</f>
        <v>5100</v>
      </c>
      <c r="O136" s="78">
        <f>INDEX('Population Data by Age'!$B$7:$H$10366,MATCH(CONCATENATE('Tabular Pop Data by Age'!$C136,'Tabular Pop Data by Age'!O$7),'Population Data by Age'!$B$7:$B$10366,0),MATCH('Tabular Pop Data by Age'!$C$6,'Population Data by Age'!$B$6:$H$6,0))</f>
        <v>5600</v>
      </c>
      <c r="P136" s="78">
        <f>INDEX('Population Data by Age'!$B$7:$H$10366,MATCH(CONCATENATE('Tabular Pop Data by Age'!$C136,'Tabular Pop Data by Age'!P$7),'Population Data by Age'!$B$7:$B$10366,0),MATCH('Tabular Pop Data by Age'!$C$6,'Population Data by Age'!$B$6:$H$6,0))</f>
        <v>3900</v>
      </c>
      <c r="Q136" s="78">
        <f>INDEX('Population Data by Age'!$B$7:$H$10366,MATCH(CONCATENATE('Tabular Pop Data by Age'!$C136,'Tabular Pop Data by Age'!Q$7),'Population Data by Age'!$B$7:$B$10366,0),MATCH('Tabular Pop Data by Age'!$C$6,'Population Data by Age'!$B$6:$H$6,0))</f>
        <v>4400</v>
      </c>
      <c r="R136" s="78">
        <f>INDEX('Population Data by Age'!$B$7:$H$10366,MATCH(CONCATENATE('Tabular Pop Data by Age'!$C136,'Tabular Pop Data by Age'!R$7),'Population Data by Age'!$B$7:$B$10366,0),MATCH('Tabular Pop Data by Age'!$C$6,'Population Data by Age'!$B$6:$H$6,0))</f>
        <v>3400</v>
      </c>
      <c r="S136" s="78">
        <f>INDEX('Population Data by Age'!$B$7:$H$10366,MATCH(CONCATENATE('Tabular Pop Data by Age'!$C136,'Tabular Pop Data by Age'!S$7),'Population Data by Age'!$B$7:$B$10366,0),MATCH('Tabular Pop Data by Age'!$C$6,'Population Data by Age'!$B$6:$H$6,0))</f>
        <v>3400</v>
      </c>
      <c r="T136" s="78">
        <f>INDEX('Population Data by Age'!$B$7:$H$10366,MATCH(CONCATENATE('Tabular Pop Data by Age'!$C136,'Tabular Pop Data by Age'!T$7),'Population Data by Age'!$B$7:$B$10366,0),MATCH('Tabular Pop Data by Age'!$C$6,'Population Data by Age'!$B$6:$H$6,0))</f>
        <v>2900</v>
      </c>
      <c r="U136" s="78">
        <f>INDEX('Population Data by Age'!$B$7:$H$10366,MATCH(CONCATENATE('Tabular Pop Data by Age'!$C136,'Tabular Pop Data by Age'!U$7),'Population Data by Age'!$B$7:$B$10366,0),MATCH('Tabular Pop Data by Age'!$C$6,'Population Data by Age'!$B$6:$H$6,0))</f>
        <v>3100</v>
      </c>
      <c r="V136" s="78">
        <f>INDEX('Population Data by Age'!$B$7:$H$10366,MATCH(CONCATENATE('Tabular Pop Data by Age'!$C136,'Tabular Pop Data by Age'!V$7),'Population Data by Age'!$B$7:$B$10366,0),MATCH('Tabular Pop Data by Age'!$C$6,'Population Data by Age'!$B$6:$H$6,0))</f>
        <v>2800</v>
      </c>
      <c r="W136" s="78">
        <f>INDEX('Population Data by Age'!$B$7:$H$10366,MATCH(CONCATENATE('Tabular Pop Data by Age'!$C136,'Tabular Pop Data by Age'!W$7),'Population Data by Age'!$B$7:$B$10366,0),MATCH('Tabular Pop Data by Age'!$C$6,'Population Data by Age'!$B$6:$H$6,0))</f>
        <v>2700</v>
      </c>
      <c r="X136" s="78">
        <f>INDEX('Population Data by Age'!$B$7:$H$10366,MATCH(CONCATENATE('Tabular Pop Data by Age'!$C136,'Tabular Pop Data by Age'!X$7),'Population Data by Age'!$B$7:$B$10366,0),MATCH('Tabular Pop Data by Age'!$C$6,'Population Data by Age'!$B$6:$H$6,0))</f>
        <v>2600</v>
      </c>
      <c r="Y136" s="78">
        <f>INDEX('Population Data by Age'!$B$7:$H$10366,MATCH(CONCATENATE('Tabular Pop Data by Age'!$C136,'Tabular Pop Data by Age'!Y$7),'Population Data by Age'!$B$7:$B$10366,0),MATCH('Tabular Pop Data by Age'!$C$6,'Population Data by Age'!$B$6:$H$6,0))</f>
        <v>2500</v>
      </c>
      <c r="Z136" s="78">
        <f>INDEX('Population Data by Age'!$B$7:$H$10366,MATCH(CONCATENATE('Tabular Pop Data by Age'!$C136,'Tabular Pop Data by Age'!Z$7),'Population Data by Age'!$B$7:$B$10366,0),MATCH('Tabular Pop Data by Age'!$C$6,'Population Data by Age'!$B$6:$H$6,0))</f>
        <v>2300</v>
      </c>
      <c r="AA136" s="78">
        <f>INDEX('Population Data by Age'!$B$7:$H$10366,MATCH(CONCATENATE('Tabular Pop Data by Age'!$C136,'Tabular Pop Data by Age'!AA$7),'Population Data by Age'!$B$7:$B$10366,0),MATCH('Tabular Pop Data by Age'!$C$6,'Population Data by Age'!$B$6:$H$6,0))</f>
        <v>2400</v>
      </c>
      <c r="AB136" s="78">
        <f>INDEX('Population Data by Age'!$B$7:$H$10366,MATCH(CONCATENATE('Tabular Pop Data by Age'!$C136,'Tabular Pop Data by Age'!AB$7),'Population Data by Age'!$B$7:$B$10366,0),MATCH('Tabular Pop Data by Age'!$C$6,'Population Data by Age'!$B$6:$H$6,0))</f>
        <v>2000</v>
      </c>
      <c r="AC136" s="78">
        <f>INDEX('Population Data by Age'!$B$7:$H$10366,MATCH(CONCATENATE('Tabular Pop Data by Age'!$C136,'Tabular Pop Data by Age'!AC$7),'Population Data by Age'!$B$7:$B$10366,0),MATCH('Tabular Pop Data by Age'!$C$6,'Population Data by Age'!$B$6:$H$6,0))</f>
        <v>1900</v>
      </c>
      <c r="AD136" s="78">
        <f>INDEX('Population Data by Age'!$B$7:$H$10366,MATCH(CONCATENATE('Tabular Pop Data by Age'!$C136,'Tabular Pop Data by Age'!AD$7),'Population Data by Age'!$B$7:$B$10366,0),MATCH('Tabular Pop Data by Age'!$C$6,'Population Data by Age'!$B$6:$H$6,0))</f>
        <v>1400</v>
      </c>
      <c r="AE136" s="78">
        <f>INDEX('Population Data by Age'!$B$7:$H$10366,MATCH(CONCATENATE('Tabular Pop Data by Age'!$C136,'Tabular Pop Data by Age'!AE$7),'Population Data by Age'!$B$7:$B$10366,0),MATCH('Tabular Pop Data by Age'!$C$6,'Population Data by Age'!$B$6:$H$6,0))</f>
        <v>1400</v>
      </c>
      <c r="AF136" s="78">
        <f>INDEX('Population Data by Age'!$B$7:$H$10366,MATCH(CONCATENATE('Tabular Pop Data by Age'!$C136,'Tabular Pop Data by Age'!AF$7),'Population Data by Age'!$B$7:$B$10366,0),MATCH('Tabular Pop Data by Age'!$C$6,'Population Data by Age'!$B$6:$H$6,0))</f>
        <v>800</v>
      </c>
      <c r="AG136" s="78">
        <f>INDEX('Population Data by Age'!$B$7:$H$10366,MATCH(CONCATENATE('Tabular Pop Data by Age'!$C136,'Tabular Pop Data by Age'!AG$7),'Population Data by Age'!$B$7:$B$10366,0),MATCH('Tabular Pop Data by Age'!$C$6,'Population Data by Age'!$B$6:$H$6,0))</f>
        <v>600</v>
      </c>
      <c r="AH136" s="78">
        <f>INDEX('Population Data by Age'!$B$7:$H$10366,MATCH(CONCATENATE('Tabular Pop Data by Age'!$C136,'Tabular Pop Data by Age'!AH$7),'Population Data by Age'!$B$7:$B$10366,0),MATCH('Tabular Pop Data by Age'!$C$6,'Population Data by Age'!$B$6:$H$6,0))</f>
        <v>300</v>
      </c>
      <c r="AI136" s="78">
        <f>INDEX('Population Data by Age'!$B$7:$H$10366,MATCH(CONCATENATE('Tabular Pop Data by Age'!$C136,'Tabular Pop Data by Age'!AI$7),'Population Data by Age'!$B$7:$B$10366,0),MATCH('Tabular Pop Data by Age'!$C$6,'Population Data by Age'!$B$6:$H$6,0))</f>
        <v>200</v>
      </c>
      <c r="AJ136" s="78">
        <f>INDEX('Population Data by Age'!$B$7:$H$10366,MATCH(CONCATENATE('Tabular Pop Data by Age'!$C136,'Tabular Pop Data by Age'!AJ$7),'Population Data by Age'!$B$7:$B$10366,0),MATCH('Tabular Pop Data by Age'!$C$6,'Population Data by Age'!$B$6:$H$6,0))</f>
        <v>300</v>
      </c>
      <c r="AK136" s="78">
        <f>INDEX('Population Data by Age'!$B$7:$H$10366,MATCH(CONCATENATE('Tabular Pop Data by Age'!$C136,'Tabular Pop Data by Age'!AK$7),'Population Data by Age'!$B$7:$B$10366,0),MATCH('Tabular Pop Data by Age'!$C$6,'Population Data by Age'!$B$6:$H$6,0))</f>
        <v>100</v>
      </c>
      <c r="AL136" s="78">
        <f>INDEX('Population Data by Age'!$B$7:$H$10366,MATCH(CONCATENATE('Tabular Pop Data by Age'!$C136,'Tabular Pop Data by Age'!AL$7),'Population Data by Age'!$B$7:$B$10366,0),MATCH('Tabular Pop Data by Age'!$C$6,'Population Data by Age'!$B$6:$H$6,0))</f>
        <v>57000</v>
      </c>
      <c r="AM136" s="78">
        <f>INDEX('Population Data by Age'!$B$7:$H$10366,MATCH(CONCATENATE('Tabular Pop Data by Age'!$C136,'Tabular Pop Data by Age'!AM$7),'Population Data by Age'!$B$7:$B$10366,0),MATCH('Tabular Pop Data by Age'!$C$6,'Population Data by Age'!$B$6:$H$6,0))</f>
        <v>58000</v>
      </c>
      <c r="AN136" s="78">
        <f>INDEX('Population Data by Age'!$B$7:$H$10366,MATCH(CONCATENATE('Tabular Pop Data by Age'!$C136,'Tabular Pop Data by Age'!AN$7),'Population Data by Age'!$B$7:$B$10366,0),MATCH('Tabular Pop Data by Age'!$C$6,'Population Data by Age'!$B$6:$H$6,0))</f>
        <v>115000</v>
      </c>
      <c r="AO136" s="78">
        <f>INDEX('Population Data by Age'!$B$7:$H$10366,MATCH(CONCATENATE('Tabular Pop Data by Age'!$C136,'Tabular Pop Data by Age'!AO$7),'Population Data by Age'!$B$7:$B$10366,0),MATCH('Tabular Pop Data by Age'!$C$6,'Population Data by Age'!$B$6:$H$6,0))</f>
        <v>0</v>
      </c>
      <c r="AP136" s="79">
        <f t="shared" si="34"/>
        <v>12300</v>
      </c>
      <c r="AQ136" s="79">
        <f t="shared" si="35"/>
        <v>11800</v>
      </c>
      <c r="AR136" s="79">
        <f t="shared" si="36"/>
        <v>11800</v>
      </c>
      <c r="AS136" s="79">
        <f t="shared" si="37"/>
        <v>11500</v>
      </c>
      <c r="AT136" s="79">
        <f t="shared" si="38"/>
        <v>11600</v>
      </c>
      <c r="AU136" s="79">
        <f t="shared" si="39"/>
        <v>10700</v>
      </c>
      <c r="AV136" s="79">
        <f t="shared" si="40"/>
        <v>8300</v>
      </c>
      <c r="AW136" s="79">
        <f t="shared" si="41"/>
        <v>6800</v>
      </c>
      <c r="AX136" s="79">
        <f t="shared" si="42"/>
        <v>6000</v>
      </c>
      <c r="AY136" s="79">
        <f t="shared" si="43"/>
        <v>5500</v>
      </c>
      <c r="AZ136" s="79">
        <f t="shared" si="44"/>
        <v>5100</v>
      </c>
      <c r="BA136" s="79">
        <f t="shared" si="45"/>
        <v>4700</v>
      </c>
      <c r="BB136" s="79">
        <f t="shared" si="46"/>
        <v>3900</v>
      </c>
      <c r="BC136" s="79">
        <f t="shared" si="47"/>
        <v>2800</v>
      </c>
      <c r="BD136" s="79">
        <f t="shared" si="48"/>
        <v>1400</v>
      </c>
      <c r="BE136" s="79">
        <f t="shared" si="49"/>
        <v>500</v>
      </c>
      <c r="BF136" s="79">
        <f t="shared" si="50"/>
        <v>400</v>
      </c>
    </row>
    <row r="137" spans="1:58" x14ac:dyDescent="0.25">
      <c r="A137" s="138" t="s">
        <v>1195</v>
      </c>
      <c r="B137" t="s">
        <v>580</v>
      </c>
      <c r="C137" t="s">
        <v>87</v>
      </c>
      <c r="D137" s="78">
        <f>INDEX('Population Data by Age'!$B$7:$H$10366,MATCH(CONCATENATE('Tabular Pop Data by Age'!$C137,'Tabular Pop Data by Age'!D$7),'Population Data by Age'!$B$7:$B$10366,0),MATCH('Tabular Pop Data by Age'!$C$6,'Population Data by Age'!$B$6:$H$6,0))</f>
        <v>86000</v>
      </c>
      <c r="E137" s="78">
        <f>INDEX('Population Data by Age'!$B$7:$H$10366,MATCH(CONCATENATE('Tabular Pop Data by Age'!$C137,'Tabular Pop Data by Age'!E$7),'Population Data by Age'!$B$7:$B$10366,0),MATCH('Tabular Pop Data by Age'!$C$6,'Population Data by Age'!$B$6:$H$6,0))</f>
        <v>91000</v>
      </c>
      <c r="F137" s="78">
        <f>INDEX('Population Data by Age'!$B$7:$H$10366,MATCH(CONCATENATE('Tabular Pop Data by Age'!$C137,'Tabular Pop Data by Age'!F$7),'Population Data by Age'!$B$7:$B$10366,0),MATCH('Tabular Pop Data by Age'!$C$6,'Population Data by Age'!$B$6:$H$6,0))</f>
        <v>94000</v>
      </c>
      <c r="G137" s="78">
        <f>INDEX('Population Data by Age'!$B$7:$H$10366,MATCH(CONCATENATE('Tabular Pop Data by Age'!$C137,'Tabular Pop Data by Age'!G$7),'Population Data by Age'!$B$7:$B$10366,0),MATCH('Tabular Pop Data by Age'!$C$6,'Population Data by Age'!$B$6:$H$6,0))</f>
        <v>100000</v>
      </c>
      <c r="H137" s="78">
        <f>INDEX('Population Data by Age'!$B$7:$H$10366,MATCH(CONCATENATE('Tabular Pop Data by Age'!$C137,'Tabular Pop Data by Age'!H$7),'Population Data by Age'!$B$7:$B$10366,0),MATCH('Tabular Pop Data by Age'!$C$6,'Population Data by Age'!$B$6:$H$6,0))</f>
        <v>92000</v>
      </c>
      <c r="I137" s="78">
        <f>INDEX('Population Data by Age'!$B$7:$H$10366,MATCH(CONCATENATE('Tabular Pop Data by Age'!$C137,'Tabular Pop Data by Age'!I$7),'Population Data by Age'!$B$7:$B$10366,0),MATCH('Tabular Pop Data by Age'!$C$6,'Population Data by Age'!$B$6:$H$6,0))</f>
        <v>97000</v>
      </c>
      <c r="J137" s="78">
        <f>INDEX('Population Data by Age'!$B$7:$H$10366,MATCH(CONCATENATE('Tabular Pop Data by Age'!$C137,'Tabular Pop Data by Age'!J$7),'Population Data by Age'!$B$7:$B$10366,0),MATCH('Tabular Pop Data by Age'!$C$6,'Population Data by Age'!$B$6:$H$6,0))</f>
        <v>85000</v>
      </c>
      <c r="K137" s="78">
        <f>INDEX('Population Data by Age'!$B$7:$H$10366,MATCH(CONCATENATE('Tabular Pop Data by Age'!$C137,'Tabular Pop Data by Age'!K$7),'Population Data by Age'!$B$7:$B$10366,0),MATCH('Tabular Pop Data by Age'!$C$6,'Population Data by Age'!$B$6:$H$6,0))</f>
        <v>91000</v>
      </c>
      <c r="L137" s="78">
        <f>INDEX('Population Data by Age'!$B$7:$H$10366,MATCH(CONCATENATE('Tabular Pop Data by Age'!$C137,'Tabular Pop Data by Age'!L$7),'Population Data by Age'!$B$7:$B$10366,0),MATCH('Tabular Pop Data by Age'!$C$6,'Population Data by Age'!$B$6:$H$6,0))</f>
        <v>103000</v>
      </c>
      <c r="M137" s="78">
        <f>INDEX('Population Data by Age'!$B$7:$H$10366,MATCH(CONCATENATE('Tabular Pop Data by Age'!$C137,'Tabular Pop Data by Age'!M$7),'Population Data by Age'!$B$7:$B$10366,0),MATCH('Tabular Pop Data by Age'!$C$6,'Population Data by Age'!$B$6:$H$6,0))</f>
        <v>108000</v>
      </c>
      <c r="N137" s="78">
        <f>INDEX('Population Data by Age'!$B$7:$H$10366,MATCH(CONCATENATE('Tabular Pop Data by Age'!$C137,'Tabular Pop Data by Age'!N$7),'Population Data by Age'!$B$7:$B$10366,0),MATCH('Tabular Pop Data by Age'!$C$6,'Population Data by Age'!$B$6:$H$6,0))</f>
        <v>141000</v>
      </c>
      <c r="O137" s="78">
        <f>INDEX('Population Data by Age'!$B$7:$H$10366,MATCH(CONCATENATE('Tabular Pop Data by Age'!$C137,'Tabular Pop Data by Age'!O$7),'Population Data by Age'!$B$7:$B$10366,0),MATCH('Tabular Pop Data by Age'!$C$6,'Population Data by Age'!$B$6:$H$6,0))</f>
        <v>147000</v>
      </c>
      <c r="P137" s="78">
        <f>INDEX('Population Data by Age'!$B$7:$H$10366,MATCH(CONCATENATE('Tabular Pop Data by Age'!$C137,'Tabular Pop Data by Age'!P$7),'Population Data by Age'!$B$7:$B$10366,0),MATCH('Tabular Pop Data by Age'!$C$6,'Population Data by Age'!$B$6:$H$6,0))</f>
        <v>180000</v>
      </c>
      <c r="Q137" s="78">
        <f>INDEX('Population Data by Age'!$B$7:$H$10366,MATCH(CONCATENATE('Tabular Pop Data by Age'!$C137,'Tabular Pop Data by Age'!Q$7),'Population Data by Age'!$B$7:$B$10366,0),MATCH('Tabular Pop Data by Age'!$C$6,'Population Data by Age'!$B$6:$H$6,0))</f>
        <v>185000</v>
      </c>
      <c r="R137" s="78">
        <f>INDEX('Population Data by Age'!$B$7:$H$10366,MATCH(CONCATENATE('Tabular Pop Data by Age'!$C137,'Tabular Pop Data by Age'!R$7),'Population Data by Age'!$B$7:$B$10366,0),MATCH('Tabular Pop Data by Age'!$C$6,'Population Data by Age'!$B$6:$H$6,0))</f>
        <v>153000</v>
      </c>
      <c r="S137" s="78">
        <f>INDEX('Population Data by Age'!$B$7:$H$10366,MATCH(CONCATENATE('Tabular Pop Data by Age'!$C137,'Tabular Pop Data by Age'!S$7),'Population Data by Age'!$B$7:$B$10366,0),MATCH('Tabular Pop Data by Age'!$C$6,'Population Data by Age'!$B$6:$H$6,0))</f>
        <v>158000</v>
      </c>
      <c r="T137" s="78">
        <f>INDEX('Population Data by Age'!$B$7:$H$10366,MATCH(CONCATENATE('Tabular Pop Data by Age'!$C137,'Tabular Pop Data by Age'!T$7),'Population Data by Age'!$B$7:$B$10366,0),MATCH('Tabular Pop Data by Age'!$C$6,'Population Data by Age'!$B$6:$H$6,0))</f>
        <v>133000</v>
      </c>
      <c r="U137" s="78">
        <f>INDEX('Population Data by Age'!$B$7:$H$10366,MATCH(CONCATENATE('Tabular Pop Data by Age'!$C137,'Tabular Pop Data by Age'!U$7),'Population Data by Age'!$B$7:$B$10366,0),MATCH('Tabular Pop Data by Age'!$C$6,'Population Data by Age'!$B$6:$H$6,0))</f>
        <v>131000</v>
      </c>
      <c r="V137" s="78">
        <f>INDEX('Population Data by Age'!$B$7:$H$10366,MATCH(CONCATENATE('Tabular Pop Data by Age'!$C137,'Tabular Pop Data by Age'!V$7),'Population Data by Age'!$B$7:$B$10366,0),MATCH('Tabular Pop Data by Age'!$C$6,'Population Data by Age'!$B$6:$H$6,0))</f>
        <v>118000</v>
      </c>
      <c r="W137" s="78">
        <f>INDEX('Population Data by Age'!$B$7:$H$10366,MATCH(CONCATENATE('Tabular Pop Data by Age'!$C137,'Tabular Pop Data by Age'!W$7),'Population Data by Age'!$B$7:$B$10366,0),MATCH('Tabular Pop Data by Age'!$C$6,'Population Data by Age'!$B$6:$H$6,0))</f>
        <v>110000</v>
      </c>
      <c r="X137" s="78">
        <f>INDEX('Population Data by Age'!$B$7:$H$10366,MATCH(CONCATENATE('Tabular Pop Data by Age'!$C137,'Tabular Pop Data by Age'!X$7),'Population Data by Age'!$B$7:$B$10366,0),MATCH('Tabular Pop Data by Age'!$C$6,'Population Data by Age'!$B$6:$H$6,0))</f>
        <v>109000</v>
      </c>
      <c r="Y137" s="78">
        <f>INDEX('Population Data by Age'!$B$7:$H$10366,MATCH(CONCATENATE('Tabular Pop Data by Age'!$C137,'Tabular Pop Data by Age'!Y$7),'Population Data by Age'!$B$7:$B$10366,0),MATCH('Tabular Pop Data by Age'!$C$6,'Population Data by Age'!$B$6:$H$6,0))</f>
        <v>96000</v>
      </c>
      <c r="Z137" s="78">
        <f>INDEX('Population Data by Age'!$B$7:$H$10366,MATCH(CONCATENATE('Tabular Pop Data by Age'!$C137,'Tabular Pop Data by Age'!Z$7),'Population Data by Age'!$B$7:$B$10366,0),MATCH('Tabular Pop Data by Age'!$C$6,'Population Data by Age'!$B$6:$H$6,0))</f>
        <v>137000</v>
      </c>
      <c r="AA137" s="78">
        <f>INDEX('Population Data by Age'!$B$7:$H$10366,MATCH(CONCATENATE('Tabular Pop Data by Age'!$C137,'Tabular Pop Data by Age'!AA$7),'Population Data by Age'!$B$7:$B$10366,0),MATCH('Tabular Pop Data by Age'!$C$6,'Population Data by Age'!$B$6:$H$6,0))</f>
        <v>113000</v>
      </c>
      <c r="AB137" s="78">
        <f>INDEX('Population Data by Age'!$B$7:$H$10366,MATCH(CONCATENATE('Tabular Pop Data by Age'!$C137,'Tabular Pop Data by Age'!AB$7),'Population Data by Age'!$B$7:$B$10366,0),MATCH('Tabular Pop Data by Age'!$C$6,'Population Data by Age'!$B$6:$H$6,0))</f>
        <v>128000</v>
      </c>
      <c r="AC137" s="78">
        <f>INDEX('Population Data by Age'!$B$7:$H$10366,MATCH(CONCATENATE('Tabular Pop Data by Age'!$C137,'Tabular Pop Data by Age'!AC$7),'Population Data by Age'!$B$7:$B$10366,0),MATCH('Tabular Pop Data by Age'!$C$6,'Population Data by Age'!$B$6:$H$6,0))</f>
        <v>98000</v>
      </c>
      <c r="AD137" s="78">
        <f>INDEX('Population Data by Age'!$B$7:$H$10366,MATCH(CONCATENATE('Tabular Pop Data by Age'!$C137,'Tabular Pop Data by Age'!AD$7),'Population Data by Age'!$B$7:$B$10366,0),MATCH('Tabular Pop Data by Age'!$C$6,'Population Data by Age'!$B$6:$H$6,0))</f>
        <v>119000</v>
      </c>
      <c r="AE137" s="78">
        <f>INDEX('Population Data by Age'!$B$7:$H$10366,MATCH(CONCATENATE('Tabular Pop Data by Age'!$C137,'Tabular Pop Data by Age'!AE$7),'Population Data by Age'!$B$7:$B$10366,0),MATCH('Tabular Pop Data by Age'!$C$6,'Population Data by Age'!$B$6:$H$6,0))</f>
        <v>82000</v>
      </c>
      <c r="AF137" s="78">
        <f>INDEX('Population Data by Age'!$B$7:$H$10366,MATCH(CONCATENATE('Tabular Pop Data by Age'!$C137,'Tabular Pop Data by Age'!AF$7),'Population Data by Age'!$B$7:$B$10366,0),MATCH('Tabular Pop Data by Age'!$C$6,'Population Data by Age'!$B$6:$H$6,0))</f>
        <v>56000</v>
      </c>
      <c r="AG137" s="78">
        <f>INDEX('Population Data by Age'!$B$7:$H$10366,MATCH(CONCATENATE('Tabular Pop Data by Age'!$C137,'Tabular Pop Data by Age'!AG$7),'Population Data by Age'!$B$7:$B$10366,0),MATCH('Tabular Pop Data by Age'!$C$6,'Population Data by Age'!$B$6:$H$6,0))</f>
        <v>36000</v>
      </c>
      <c r="AH137" s="78">
        <f>INDEX('Population Data by Age'!$B$7:$H$10366,MATCH(CONCATENATE('Tabular Pop Data by Age'!$C137,'Tabular Pop Data by Age'!AH$7),'Population Data by Age'!$B$7:$B$10366,0),MATCH('Tabular Pop Data by Age'!$C$6,'Population Data by Age'!$B$6:$H$6,0))</f>
        <v>46000</v>
      </c>
      <c r="AI137" s="78">
        <f>INDEX('Population Data by Age'!$B$7:$H$10366,MATCH(CONCATENATE('Tabular Pop Data by Age'!$C137,'Tabular Pop Data by Age'!AI$7),'Population Data by Age'!$B$7:$B$10366,0),MATCH('Tabular Pop Data by Age'!$C$6,'Population Data by Age'!$B$6:$H$6,0))</f>
        <v>24000</v>
      </c>
      <c r="AJ137" s="78">
        <f>INDEX('Population Data by Age'!$B$7:$H$10366,MATCH(CONCATENATE('Tabular Pop Data by Age'!$C137,'Tabular Pop Data by Age'!AJ$7),'Population Data by Age'!$B$7:$B$10366,0),MATCH('Tabular Pop Data by Age'!$C$6,'Population Data by Age'!$B$6:$H$6,0))</f>
        <v>56000</v>
      </c>
      <c r="AK137" s="78">
        <f>INDEX('Population Data by Age'!$B$7:$H$10366,MATCH(CONCATENATE('Tabular Pop Data by Age'!$C137,'Tabular Pop Data by Age'!AK$7),'Population Data by Age'!$B$7:$B$10366,0),MATCH('Tabular Pop Data by Age'!$C$6,'Population Data by Age'!$B$6:$H$6,0))</f>
        <v>21000</v>
      </c>
      <c r="AL137" s="78">
        <f>INDEX('Population Data by Age'!$B$7:$H$10366,MATCH(CONCATENATE('Tabular Pop Data by Age'!$C137,'Tabular Pop Data by Age'!AL$7),'Population Data by Age'!$B$7:$B$10366,0),MATCH('Tabular Pop Data by Age'!$C$6,'Population Data by Age'!$B$6:$H$6,0))</f>
        <v>1837000</v>
      </c>
      <c r="AM137" s="78">
        <f>INDEX('Population Data by Age'!$B$7:$H$10366,MATCH(CONCATENATE('Tabular Pop Data by Age'!$C137,'Tabular Pop Data by Age'!AM$7),'Population Data by Age'!$B$7:$B$10366,0),MATCH('Tabular Pop Data by Age'!$C$6,'Population Data by Age'!$B$6:$H$6,0))</f>
        <v>1688000</v>
      </c>
      <c r="AN137" s="78">
        <f>INDEX('Population Data by Age'!$B$7:$H$10366,MATCH(CONCATENATE('Tabular Pop Data by Age'!$C137,'Tabular Pop Data by Age'!AN$7),'Population Data by Age'!$B$7:$B$10366,0),MATCH('Tabular Pop Data by Age'!$C$6,'Population Data by Age'!$B$6:$H$6,0))</f>
        <v>3525000</v>
      </c>
      <c r="AO137" s="78">
        <f>INDEX('Population Data by Age'!$B$7:$H$10366,MATCH(CONCATENATE('Tabular Pop Data by Age'!$C137,'Tabular Pop Data by Age'!AO$7),'Population Data by Age'!$B$7:$B$10366,0),MATCH('Tabular Pop Data by Age'!$C$6,'Population Data by Age'!$B$6:$H$6,0))</f>
        <v>0</v>
      </c>
      <c r="AP137" s="79">
        <f t="shared" si="34"/>
        <v>177000</v>
      </c>
      <c r="AQ137" s="79">
        <f t="shared" si="35"/>
        <v>194000</v>
      </c>
      <c r="AR137" s="79">
        <f t="shared" si="36"/>
        <v>189000</v>
      </c>
      <c r="AS137" s="79">
        <f t="shared" si="37"/>
        <v>176000</v>
      </c>
      <c r="AT137" s="79">
        <f t="shared" si="38"/>
        <v>211000</v>
      </c>
      <c r="AU137" s="79">
        <f t="shared" si="39"/>
        <v>288000</v>
      </c>
      <c r="AV137" s="79">
        <f t="shared" si="40"/>
        <v>365000</v>
      </c>
      <c r="AW137" s="79">
        <f t="shared" si="41"/>
        <v>311000</v>
      </c>
      <c r="AX137" s="79">
        <f t="shared" si="42"/>
        <v>264000</v>
      </c>
      <c r="AY137" s="79">
        <f t="shared" si="43"/>
        <v>228000</v>
      </c>
      <c r="AZ137" s="79">
        <f t="shared" si="44"/>
        <v>205000</v>
      </c>
      <c r="BA137" s="79">
        <f t="shared" si="45"/>
        <v>250000</v>
      </c>
      <c r="BB137" s="79">
        <f t="shared" si="46"/>
        <v>226000</v>
      </c>
      <c r="BC137" s="79">
        <f t="shared" si="47"/>
        <v>201000</v>
      </c>
      <c r="BD137" s="79">
        <f t="shared" si="48"/>
        <v>92000</v>
      </c>
      <c r="BE137" s="79">
        <f t="shared" si="49"/>
        <v>70000</v>
      </c>
      <c r="BF137" s="79">
        <f t="shared" si="50"/>
        <v>77000</v>
      </c>
    </row>
    <row r="138" spans="1:58" x14ac:dyDescent="0.25">
      <c r="A138" s="138" t="s">
        <v>1195</v>
      </c>
      <c r="B138" t="s">
        <v>581</v>
      </c>
      <c r="C138" t="s">
        <v>86</v>
      </c>
      <c r="D138" s="78">
        <f>INDEX('Population Data by Age'!$B$7:$H$10366,MATCH(CONCATENATE('Tabular Pop Data by Age'!$C138,'Tabular Pop Data by Age'!D$7),'Population Data by Age'!$B$7:$B$10366,0),MATCH('Tabular Pop Data by Age'!$C$6,'Population Data by Age'!$B$6:$H$6,0))</f>
        <v>0</v>
      </c>
      <c r="E138" s="78">
        <f>INDEX('Population Data by Age'!$B$7:$H$10366,MATCH(CONCATENATE('Tabular Pop Data by Age'!$C138,'Tabular Pop Data by Age'!E$7),'Population Data by Age'!$B$7:$B$10366,0),MATCH('Tabular Pop Data by Age'!$C$6,'Population Data by Age'!$B$6:$H$6,0))</f>
        <v>0</v>
      </c>
      <c r="F138" s="78">
        <f>INDEX('Population Data by Age'!$B$7:$H$10366,MATCH(CONCATENATE('Tabular Pop Data by Age'!$C138,'Tabular Pop Data by Age'!F$7),'Population Data by Age'!$B$7:$B$10366,0),MATCH('Tabular Pop Data by Age'!$C$6,'Population Data by Age'!$B$6:$H$6,0))</f>
        <v>0</v>
      </c>
      <c r="G138" s="78">
        <f>INDEX('Population Data by Age'!$B$7:$H$10366,MATCH(CONCATENATE('Tabular Pop Data by Age'!$C138,'Tabular Pop Data by Age'!G$7),'Population Data by Age'!$B$7:$B$10366,0),MATCH('Tabular Pop Data by Age'!$C$6,'Population Data by Age'!$B$6:$H$6,0))</f>
        <v>0</v>
      </c>
      <c r="H138" s="78">
        <f>INDEX('Population Data by Age'!$B$7:$H$10366,MATCH(CONCATENATE('Tabular Pop Data by Age'!$C138,'Tabular Pop Data by Age'!H$7),'Population Data by Age'!$B$7:$B$10366,0),MATCH('Tabular Pop Data by Age'!$C$6,'Population Data by Age'!$B$6:$H$6,0))</f>
        <v>0</v>
      </c>
      <c r="I138" s="78">
        <f>INDEX('Population Data by Age'!$B$7:$H$10366,MATCH(CONCATENATE('Tabular Pop Data by Age'!$C138,'Tabular Pop Data by Age'!I$7),'Population Data by Age'!$B$7:$B$10366,0),MATCH('Tabular Pop Data by Age'!$C$6,'Population Data by Age'!$B$6:$H$6,0))</f>
        <v>0</v>
      </c>
      <c r="J138" s="78">
        <f>INDEX('Population Data by Age'!$B$7:$H$10366,MATCH(CONCATENATE('Tabular Pop Data by Age'!$C138,'Tabular Pop Data by Age'!J$7),'Population Data by Age'!$B$7:$B$10366,0),MATCH('Tabular Pop Data by Age'!$C$6,'Population Data by Age'!$B$6:$H$6,0))</f>
        <v>0</v>
      </c>
      <c r="K138" s="78">
        <f>INDEX('Population Data by Age'!$B$7:$H$10366,MATCH(CONCATENATE('Tabular Pop Data by Age'!$C138,'Tabular Pop Data by Age'!K$7),'Population Data by Age'!$B$7:$B$10366,0),MATCH('Tabular Pop Data by Age'!$C$6,'Population Data by Age'!$B$6:$H$6,0))</f>
        <v>0</v>
      </c>
      <c r="L138" s="78">
        <f>INDEX('Population Data by Age'!$B$7:$H$10366,MATCH(CONCATENATE('Tabular Pop Data by Age'!$C138,'Tabular Pop Data by Age'!L$7),'Population Data by Age'!$B$7:$B$10366,0),MATCH('Tabular Pop Data by Age'!$C$6,'Population Data by Age'!$B$6:$H$6,0))</f>
        <v>0</v>
      </c>
      <c r="M138" s="78">
        <f>INDEX('Population Data by Age'!$B$7:$H$10366,MATCH(CONCATENATE('Tabular Pop Data by Age'!$C138,'Tabular Pop Data by Age'!M$7),'Population Data by Age'!$B$7:$B$10366,0),MATCH('Tabular Pop Data by Age'!$C$6,'Population Data by Age'!$B$6:$H$6,0))</f>
        <v>0</v>
      </c>
      <c r="N138" s="78">
        <f>INDEX('Population Data by Age'!$B$7:$H$10366,MATCH(CONCATENATE('Tabular Pop Data by Age'!$C138,'Tabular Pop Data by Age'!N$7),'Population Data by Age'!$B$7:$B$10366,0),MATCH('Tabular Pop Data by Age'!$C$6,'Population Data by Age'!$B$6:$H$6,0))</f>
        <v>0</v>
      </c>
      <c r="O138" s="78">
        <f>INDEX('Population Data by Age'!$B$7:$H$10366,MATCH(CONCATENATE('Tabular Pop Data by Age'!$C138,'Tabular Pop Data by Age'!O$7),'Population Data by Age'!$B$7:$B$10366,0),MATCH('Tabular Pop Data by Age'!$C$6,'Population Data by Age'!$B$6:$H$6,0))</f>
        <v>0</v>
      </c>
      <c r="P138" s="78">
        <f>INDEX('Population Data by Age'!$B$7:$H$10366,MATCH(CONCATENATE('Tabular Pop Data by Age'!$C138,'Tabular Pop Data by Age'!P$7),'Population Data by Age'!$B$7:$B$10366,0),MATCH('Tabular Pop Data by Age'!$C$6,'Population Data by Age'!$B$6:$H$6,0))</f>
        <v>0</v>
      </c>
      <c r="Q138" s="78">
        <f>INDEX('Population Data by Age'!$B$7:$H$10366,MATCH(CONCATENATE('Tabular Pop Data by Age'!$C138,'Tabular Pop Data by Age'!Q$7),'Population Data by Age'!$B$7:$B$10366,0),MATCH('Tabular Pop Data by Age'!$C$6,'Population Data by Age'!$B$6:$H$6,0))</f>
        <v>0</v>
      </c>
      <c r="R138" s="78">
        <f>INDEX('Population Data by Age'!$B$7:$H$10366,MATCH(CONCATENATE('Tabular Pop Data by Age'!$C138,'Tabular Pop Data by Age'!R$7),'Population Data by Age'!$B$7:$B$10366,0),MATCH('Tabular Pop Data by Age'!$C$6,'Population Data by Age'!$B$6:$H$6,0))</f>
        <v>0</v>
      </c>
      <c r="S138" s="78">
        <f>INDEX('Population Data by Age'!$B$7:$H$10366,MATCH(CONCATENATE('Tabular Pop Data by Age'!$C138,'Tabular Pop Data by Age'!S$7),'Population Data by Age'!$B$7:$B$10366,0),MATCH('Tabular Pop Data by Age'!$C$6,'Population Data by Age'!$B$6:$H$6,0))</f>
        <v>0</v>
      </c>
      <c r="T138" s="78">
        <f>INDEX('Population Data by Age'!$B$7:$H$10366,MATCH(CONCATENATE('Tabular Pop Data by Age'!$C138,'Tabular Pop Data by Age'!T$7),'Population Data by Age'!$B$7:$B$10366,0),MATCH('Tabular Pop Data by Age'!$C$6,'Population Data by Age'!$B$6:$H$6,0))</f>
        <v>0</v>
      </c>
      <c r="U138" s="78">
        <f>INDEX('Population Data by Age'!$B$7:$H$10366,MATCH(CONCATENATE('Tabular Pop Data by Age'!$C138,'Tabular Pop Data by Age'!U$7),'Population Data by Age'!$B$7:$B$10366,0),MATCH('Tabular Pop Data by Age'!$C$6,'Population Data by Age'!$B$6:$H$6,0))</f>
        <v>0</v>
      </c>
      <c r="V138" s="78">
        <f>INDEX('Population Data by Age'!$B$7:$H$10366,MATCH(CONCATENATE('Tabular Pop Data by Age'!$C138,'Tabular Pop Data by Age'!V$7),'Population Data by Age'!$B$7:$B$10366,0),MATCH('Tabular Pop Data by Age'!$C$6,'Population Data by Age'!$B$6:$H$6,0))</f>
        <v>0</v>
      </c>
      <c r="W138" s="78">
        <f>INDEX('Population Data by Age'!$B$7:$H$10366,MATCH(CONCATENATE('Tabular Pop Data by Age'!$C138,'Tabular Pop Data by Age'!W$7),'Population Data by Age'!$B$7:$B$10366,0),MATCH('Tabular Pop Data by Age'!$C$6,'Population Data by Age'!$B$6:$H$6,0))</f>
        <v>0</v>
      </c>
      <c r="X138" s="78">
        <f>INDEX('Population Data by Age'!$B$7:$H$10366,MATCH(CONCATENATE('Tabular Pop Data by Age'!$C138,'Tabular Pop Data by Age'!X$7),'Population Data by Age'!$B$7:$B$10366,0),MATCH('Tabular Pop Data by Age'!$C$6,'Population Data by Age'!$B$6:$H$6,0))</f>
        <v>0</v>
      </c>
      <c r="Y138" s="78">
        <f>INDEX('Population Data by Age'!$B$7:$H$10366,MATCH(CONCATENATE('Tabular Pop Data by Age'!$C138,'Tabular Pop Data by Age'!Y$7),'Population Data by Age'!$B$7:$B$10366,0),MATCH('Tabular Pop Data by Age'!$C$6,'Population Data by Age'!$B$6:$H$6,0))</f>
        <v>0</v>
      </c>
      <c r="Z138" s="78">
        <f>INDEX('Population Data by Age'!$B$7:$H$10366,MATCH(CONCATENATE('Tabular Pop Data by Age'!$C138,'Tabular Pop Data by Age'!Z$7),'Population Data by Age'!$B$7:$B$10366,0),MATCH('Tabular Pop Data by Age'!$C$6,'Population Data by Age'!$B$6:$H$6,0))</f>
        <v>0</v>
      </c>
      <c r="AA138" s="78">
        <f>INDEX('Population Data by Age'!$B$7:$H$10366,MATCH(CONCATENATE('Tabular Pop Data by Age'!$C138,'Tabular Pop Data by Age'!AA$7),'Population Data by Age'!$B$7:$B$10366,0),MATCH('Tabular Pop Data by Age'!$C$6,'Population Data by Age'!$B$6:$H$6,0))</f>
        <v>0</v>
      </c>
      <c r="AB138" s="78">
        <f>INDEX('Population Data by Age'!$B$7:$H$10366,MATCH(CONCATENATE('Tabular Pop Data by Age'!$C138,'Tabular Pop Data by Age'!AB$7),'Population Data by Age'!$B$7:$B$10366,0),MATCH('Tabular Pop Data by Age'!$C$6,'Population Data by Age'!$B$6:$H$6,0))</f>
        <v>0</v>
      </c>
      <c r="AC138" s="78">
        <f>INDEX('Population Data by Age'!$B$7:$H$10366,MATCH(CONCATENATE('Tabular Pop Data by Age'!$C138,'Tabular Pop Data by Age'!AC$7),'Population Data by Age'!$B$7:$B$10366,0),MATCH('Tabular Pop Data by Age'!$C$6,'Population Data by Age'!$B$6:$H$6,0))</f>
        <v>0</v>
      </c>
      <c r="AD138" s="78">
        <f>INDEX('Population Data by Age'!$B$7:$H$10366,MATCH(CONCATENATE('Tabular Pop Data by Age'!$C138,'Tabular Pop Data by Age'!AD$7),'Population Data by Age'!$B$7:$B$10366,0),MATCH('Tabular Pop Data by Age'!$C$6,'Population Data by Age'!$B$6:$H$6,0))</f>
        <v>0</v>
      </c>
      <c r="AE138" s="78">
        <f>INDEX('Population Data by Age'!$B$7:$H$10366,MATCH(CONCATENATE('Tabular Pop Data by Age'!$C138,'Tabular Pop Data by Age'!AE$7),'Population Data by Age'!$B$7:$B$10366,0),MATCH('Tabular Pop Data by Age'!$C$6,'Population Data by Age'!$B$6:$H$6,0))</f>
        <v>0</v>
      </c>
      <c r="AF138" s="78">
        <f>INDEX('Population Data by Age'!$B$7:$H$10366,MATCH(CONCATENATE('Tabular Pop Data by Age'!$C138,'Tabular Pop Data by Age'!AF$7),'Population Data by Age'!$B$7:$B$10366,0),MATCH('Tabular Pop Data by Age'!$C$6,'Population Data by Age'!$B$6:$H$6,0))</f>
        <v>0</v>
      </c>
      <c r="AG138" s="78">
        <f>INDEX('Population Data by Age'!$B$7:$H$10366,MATCH(CONCATENATE('Tabular Pop Data by Age'!$C138,'Tabular Pop Data by Age'!AG$7),'Population Data by Age'!$B$7:$B$10366,0),MATCH('Tabular Pop Data by Age'!$C$6,'Population Data by Age'!$B$6:$H$6,0))</f>
        <v>0</v>
      </c>
      <c r="AH138" s="78">
        <f>INDEX('Population Data by Age'!$B$7:$H$10366,MATCH(CONCATENATE('Tabular Pop Data by Age'!$C138,'Tabular Pop Data by Age'!AH$7),'Population Data by Age'!$B$7:$B$10366,0),MATCH('Tabular Pop Data by Age'!$C$6,'Population Data by Age'!$B$6:$H$6,0))</f>
        <v>0</v>
      </c>
      <c r="AI138" s="78">
        <f>INDEX('Population Data by Age'!$B$7:$H$10366,MATCH(CONCATENATE('Tabular Pop Data by Age'!$C138,'Tabular Pop Data by Age'!AI$7),'Population Data by Age'!$B$7:$B$10366,0),MATCH('Tabular Pop Data by Age'!$C$6,'Population Data by Age'!$B$6:$H$6,0))</f>
        <v>0</v>
      </c>
      <c r="AJ138" s="78">
        <f>INDEX('Population Data by Age'!$B$7:$H$10366,MATCH(CONCATENATE('Tabular Pop Data by Age'!$C138,'Tabular Pop Data by Age'!AJ$7),'Population Data by Age'!$B$7:$B$10366,0),MATCH('Tabular Pop Data by Age'!$C$6,'Population Data by Age'!$B$6:$H$6,0))</f>
        <v>0</v>
      </c>
      <c r="AK138" s="78">
        <f>INDEX('Population Data by Age'!$B$7:$H$10366,MATCH(CONCATENATE('Tabular Pop Data by Age'!$C138,'Tabular Pop Data by Age'!AK$7),'Population Data by Age'!$B$7:$B$10366,0),MATCH('Tabular Pop Data by Age'!$C$6,'Population Data by Age'!$B$6:$H$6,0))</f>
        <v>0</v>
      </c>
      <c r="AL138" s="78">
        <f>INDEX('Population Data by Age'!$B$7:$H$10366,MATCH(CONCATENATE('Tabular Pop Data by Age'!$C138,'Tabular Pop Data by Age'!AL$7),'Population Data by Age'!$B$7:$B$10366,0),MATCH('Tabular Pop Data by Age'!$C$6,'Population Data by Age'!$B$6:$H$6,0))</f>
        <v>0</v>
      </c>
      <c r="AM138" s="78">
        <f>INDEX('Population Data by Age'!$B$7:$H$10366,MATCH(CONCATENATE('Tabular Pop Data by Age'!$C138,'Tabular Pop Data by Age'!AM$7),'Population Data by Age'!$B$7:$B$10366,0),MATCH('Tabular Pop Data by Age'!$C$6,'Population Data by Age'!$B$6:$H$6,0))</f>
        <v>0</v>
      </c>
      <c r="AN138" s="78">
        <f>INDEX('Population Data by Age'!$B$7:$H$10366,MATCH(CONCATENATE('Tabular Pop Data by Age'!$C138,'Tabular Pop Data by Age'!AN$7),'Population Data by Age'!$B$7:$B$10366,0),MATCH('Tabular Pop Data by Age'!$C$6,'Population Data by Age'!$B$6:$H$6,0))</f>
        <v>39000</v>
      </c>
      <c r="AO138" s="78">
        <f>INDEX('Population Data by Age'!$B$7:$H$10366,MATCH(CONCATENATE('Tabular Pop Data by Age'!$C138,'Tabular Pop Data by Age'!AO$7),'Population Data by Age'!$B$7:$B$10366,0),MATCH('Tabular Pop Data by Age'!$C$6,'Population Data by Age'!$B$6:$H$6,0))</f>
        <v>0</v>
      </c>
      <c r="AP138" s="79">
        <f t="shared" si="34"/>
        <v>0</v>
      </c>
      <c r="AQ138" s="79">
        <f t="shared" si="35"/>
        <v>0</v>
      </c>
      <c r="AR138" s="79">
        <f t="shared" si="36"/>
        <v>0</v>
      </c>
      <c r="AS138" s="79">
        <f t="shared" si="37"/>
        <v>0</v>
      </c>
      <c r="AT138" s="79">
        <f t="shared" si="38"/>
        <v>0</v>
      </c>
      <c r="AU138" s="79">
        <f t="shared" si="39"/>
        <v>0</v>
      </c>
      <c r="AV138" s="79">
        <f t="shared" si="40"/>
        <v>0</v>
      </c>
      <c r="AW138" s="79">
        <f t="shared" si="41"/>
        <v>0</v>
      </c>
      <c r="AX138" s="79">
        <f t="shared" si="42"/>
        <v>0</v>
      </c>
      <c r="AY138" s="79">
        <f t="shared" si="43"/>
        <v>0</v>
      </c>
      <c r="AZ138" s="79">
        <f t="shared" si="44"/>
        <v>0</v>
      </c>
      <c r="BA138" s="79">
        <f t="shared" si="45"/>
        <v>0</v>
      </c>
      <c r="BB138" s="79">
        <f t="shared" si="46"/>
        <v>0</v>
      </c>
      <c r="BC138" s="79">
        <f t="shared" si="47"/>
        <v>0</v>
      </c>
      <c r="BD138" s="79">
        <f t="shared" si="48"/>
        <v>0</v>
      </c>
      <c r="BE138" s="79">
        <f t="shared" si="49"/>
        <v>0</v>
      </c>
      <c r="BF138" s="79">
        <f t="shared" si="50"/>
        <v>0</v>
      </c>
    </row>
    <row r="139" spans="1:58" x14ac:dyDescent="0.25">
      <c r="A139" s="138" t="s">
        <v>1195</v>
      </c>
      <c r="B139" t="s">
        <v>250</v>
      </c>
      <c r="C139" t="s">
        <v>96</v>
      </c>
      <c r="D139" s="78">
        <f>INDEX('Population Data by Age'!$B$7:$H$10366,MATCH(CONCATENATE('Tabular Pop Data by Age'!$C139,'Tabular Pop Data by Age'!D$7),'Population Data by Age'!$B$7:$B$10366,0),MATCH('Tabular Pop Data by Age'!$C$6,'Population Data by Age'!$B$6:$H$6,0))</f>
        <v>185000</v>
      </c>
      <c r="E139" s="78">
        <f>INDEX('Population Data by Age'!$B$7:$H$10366,MATCH(CONCATENATE('Tabular Pop Data by Age'!$C139,'Tabular Pop Data by Age'!E$7),'Population Data by Age'!$B$7:$B$10366,0),MATCH('Tabular Pop Data by Age'!$C$6,'Population Data by Age'!$B$6:$H$6,0))</f>
        <v>190000</v>
      </c>
      <c r="F139" s="78">
        <f>INDEX('Population Data by Age'!$B$7:$H$10366,MATCH(CONCATENATE('Tabular Pop Data by Age'!$C139,'Tabular Pop Data by Age'!F$7),'Population Data by Age'!$B$7:$B$10366,0),MATCH('Tabular Pop Data by Age'!$C$6,'Population Data by Age'!$B$6:$H$6,0))</f>
        <v>179000</v>
      </c>
      <c r="G139" s="78">
        <f>INDEX('Population Data by Age'!$B$7:$H$10366,MATCH(CONCATENATE('Tabular Pop Data by Age'!$C139,'Tabular Pop Data by Age'!G$7),'Population Data by Age'!$B$7:$B$10366,0),MATCH('Tabular Pop Data by Age'!$C$6,'Population Data by Age'!$B$6:$H$6,0))</f>
        <v>183000</v>
      </c>
      <c r="H139" s="78">
        <f>INDEX('Population Data by Age'!$B$7:$H$10366,MATCH(CONCATENATE('Tabular Pop Data by Age'!$C139,'Tabular Pop Data by Age'!H$7),'Population Data by Age'!$B$7:$B$10366,0),MATCH('Tabular Pop Data by Age'!$C$6,'Population Data by Age'!$B$6:$H$6,0))</f>
        <v>139000</v>
      </c>
      <c r="I139" s="78">
        <f>INDEX('Population Data by Age'!$B$7:$H$10366,MATCH(CONCATENATE('Tabular Pop Data by Age'!$C139,'Tabular Pop Data by Age'!I$7),'Population Data by Age'!$B$7:$B$10366,0),MATCH('Tabular Pop Data by Age'!$C$6,'Population Data by Age'!$B$6:$H$6,0))</f>
        <v>142000</v>
      </c>
      <c r="J139" s="78">
        <f>INDEX('Population Data by Age'!$B$7:$H$10366,MATCH(CONCATENATE('Tabular Pop Data by Age'!$C139,'Tabular Pop Data by Age'!J$7),'Population Data by Age'!$B$7:$B$10366,0),MATCH('Tabular Pop Data by Age'!$C$6,'Population Data by Age'!$B$6:$H$6,0))</f>
        <v>108000</v>
      </c>
      <c r="K139" s="78">
        <f>INDEX('Population Data by Age'!$B$7:$H$10366,MATCH(CONCATENATE('Tabular Pop Data by Age'!$C139,'Tabular Pop Data by Age'!K$7),'Population Data by Age'!$B$7:$B$10366,0),MATCH('Tabular Pop Data by Age'!$C$6,'Population Data by Age'!$B$6:$H$6,0))</f>
        <v>110000</v>
      </c>
      <c r="L139" s="78">
        <f>INDEX('Population Data by Age'!$B$7:$H$10366,MATCH(CONCATENATE('Tabular Pop Data by Age'!$C139,'Tabular Pop Data by Age'!L$7),'Population Data by Age'!$B$7:$B$10366,0),MATCH('Tabular Pop Data by Age'!$C$6,'Population Data by Age'!$B$6:$H$6,0))</f>
        <v>114000</v>
      </c>
      <c r="M139" s="78">
        <f>INDEX('Population Data by Age'!$B$7:$H$10366,MATCH(CONCATENATE('Tabular Pop Data by Age'!$C139,'Tabular Pop Data by Age'!M$7),'Population Data by Age'!$B$7:$B$10366,0),MATCH('Tabular Pop Data by Age'!$C$6,'Population Data by Age'!$B$6:$H$6,0))</f>
        <v>115000</v>
      </c>
      <c r="N139" s="78">
        <f>INDEX('Population Data by Age'!$B$7:$H$10366,MATCH(CONCATENATE('Tabular Pop Data by Age'!$C139,'Tabular Pop Data by Age'!N$7),'Population Data by Age'!$B$7:$B$10366,0),MATCH('Tabular Pop Data by Age'!$C$6,'Population Data by Age'!$B$6:$H$6,0))</f>
        <v>135000</v>
      </c>
      <c r="O139" s="78">
        <f>INDEX('Population Data by Age'!$B$7:$H$10366,MATCH(CONCATENATE('Tabular Pop Data by Age'!$C139,'Tabular Pop Data by Age'!O$7),'Population Data by Age'!$B$7:$B$10366,0),MATCH('Tabular Pop Data by Age'!$C$6,'Population Data by Age'!$B$6:$H$6,0))</f>
        <v>136000</v>
      </c>
      <c r="P139" s="78">
        <f>INDEX('Population Data by Age'!$B$7:$H$10366,MATCH(CONCATENATE('Tabular Pop Data by Age'!$C139,'Tabular Pop Data by Age'!P$7),'Population Data by Age'!$B$7:$B$10366,0),MATCH('Tabular Pop Data by Age'!$C$6,'Population Data by Age'!$B$6:$H$6,0))</f>
        <v>155000</v>
      </c>
      <c r="Q139" s="78">
        <f>INDEX('Population Data by Age'!$B$7:$H$10366,MATCH(CONCATENATE('Tabular Pop Data by Age'!$C139,'Tabular Pop Data by Age'!Q$7),'Population Data by Age'!$B$7:$B$10366,0),MATCH('Tabular Pop Data by Age'!$C$6,'Population Data by Age'!$B$6:$H$6,0))</f>
        <v>154000</v>
      </c>
      <c r="R139" s="78">
        <f>INDEX('Population Data by Age'!$B$7:$H$10366,MATCH(CONCATENATE('Tabular Pop Data by Age'!$C139,'Tabular Pop Data by Age'!R$7),'Population Data by Age'!$B$7:$B$10366,0),MATCH('Tabular Pop Data by Age'!$C$6,'Population Data by Age'!$B$6:$H$6,0))</f>
        <v>126000</v>
      </c>
      <c r="S139" s="78">
        <f>INDEX('Population Data by Age'!$B$7:$H$10366,MATCH(CONCATENATE('Tabular Pop Data by Age'!$C139,'Tabular Pop Data by Age'!S$7),'Population Data by Age'!$B$7:$B$10366,0),MATCH('Tabular Pop Data by Age'!$C$6,'Population Data by Age'!$B$6:$H$6,0))</f>
        <v>129000</v>
      </c>
      <c r="T139" s="78">
        <f>INDEX('Population Data by Age'!$B$7:$H$10366,MATCH(CONCATENATE('Tabular Pop Data by Age'!$C139,'Tabular Pop Data by Age'!T$7),'Population Data by Age'!$B$7:$B$10366,0),MATCH('Tabular Pop Data by Age'!$C$6,'Population Data by Age'!$B$6:$H$6,0))</f>
        <v>113000</v>
      </c>
      <c r="U139" s="78">
        <f>INDEX('Population Data by Age'!$B$7:$H$10366,MATCH(CONCATENATE('Tabular Pop Data by Age'!$C139,'Tabular Pop Data by Age'!U$7),'Population Data by Age'!$B$7:$B$10366,0),MATCH('Tabular Pop Data by Age'!$C$6,'Population Data by Age'!$B$6:$H$6,0))</f>
        <v>110000</v>
      </c>
      <c r="V139" s="78">
        <f>INDEX('Population Data by Age'!$B$7:$H$10366,MATCH(CONCATENATE('Tabular Pop Data by Age'!$C139,'Tabular Pop Data by Age'!V$7),'Population Data by Age'!$B$7:$B$10366,0),MATCH('Tabular Pop Data by Age'!$C$6,'Population Data by Age'!$B$6:$H$6,0))</f>
        <v>102000</v>
      </c>
      <c r="W139" s="78">
        <f>INDEX('Population Data by Age'!$B$7:$H$10366,MATCH(CONCATENATE('Tabular Pop Data by Age'!$C139,'Tabular Pop Data by Age'!W$7),'Population Data by Age'!$B$7:$B$10366,0),MATCH('Tabular Pop Data by Age'!$C$6,'Population Data by Age'!$B$6:$H$6,0))</f>
        <v>98000</v>
      </c>
      <c r="X139" s="78">
        <f>INDEX('Population Data by Age'!$B$7:$H$10366,MATCH(CONCATENATE('Tabular Pop Data by Age'!$C139,'Tabular Pop Data by Age'!X$7),'Population Data by Age'!$B$7:$B$10366,0),MATCH('Tabular Pop Data by Age'!$C$6,'Population Data by Age'!$B$6:$H$6,0))</f>
        <v>88000</v>
      </c>
      <c r="Y139" s="78">
        <f>INDEX('Population Data by Age'!$B$7:$H$10366,MATCH(CONCATENATE('Tabular Pop Data by Age'!$C139,'Tabular Pop Data by Age'!Y$7),'Population Data by Age'!$B$7:$B$10366,0),MATCH('Tabular Pop Data by Age'!$C$6,'Population Data by Age'!$B$6:$H$6,0))</f>
        <v>80000</v>
      </c>
      <c r="Z139" s="78">
        <f>INDEX('Population Data by Age'!$B$7:$H$10366,MATCH(CONCATENATE('Tabular Pop Data by Age'!$C139,'Tabular Pop Data by Age'!Z$7),'Population Data by Age'!$B$7:$B$10366,0),MATCH('Tabular Pop Data by Age'!$C$6,'Population Data by Age'!$B$6:$H$6,0))</f>
        <v>79000</v>
      </c>
      <c r="AA139" s="78">
        <f>INDEX('Population Data by Age'!$B$7:$H$10366,MATCH(CONCATENATE('Tabular Pop Data by Age'!$C139,'Tabular Pop Data by Age'!AA$7),'Population Data by Age'!$B$7:$B$10366,0),MATCH('Tabular Pop Data by Age'!$C$6,'Population Data by Age'!$B$6:$H$6,0))</f>
        <v>66000</v>
      </c>
      <c r="AB139" s="78">
        <f>INDEX('Population Data by Age'!$B$7:$H$10366,MATCH(CONCATENATE('Tabular Pop Data by Age'!$C139,'Tabular Pop Data by Age'!AB$7),'Population Data by Age'!$B$7:$B$10366,0),MATCH('Tabular Pop Data by Age'!$C$6,'Population Data by Age'!$B$6:$H$6,0))</f>
        <v>55000</v>
      </c>
      <c r="AC139" s="78">
        <f>INDEX('Population Data by Age'!$B$7:$H$10366,MATCH(CONCATENATE('Tabular Pop Data by Age'!$C139,'Tabular Pop Data by Age'!AC$7),'Population Data by Age'!$B$7:$B$10366,0),MATCH('Tabular Pop Data by Age'!$C$6,'Population Data by Age'!$B$6:$H$6,0))</f>
        <v>43000</v>
      </c>
      <c r="AD139" s="78">
        <f>INDEX('Population Data by Age'!$B$7:$H$10366,MATCH(CONCATENATE('Tabular Pop Data by Age'!$C139,'Tabular Pop Data by Age'!AD$7),'Population Data by Age'!$B$7:$B$10366,0),MATCH('Tabular Pop Data by Age'!$C$6,'Population Data by Age'!$B$6:$H$6,0))</f>
        <v>34000</v>
      </c>
      <c r="AE139" s="78">
        <f>INDEX('Population Data by Age'!$B$7:$H$10366,MATCH(CONCATENATE('Tabular Pop Data by Age'!$C139,'Tabular Pop Data by Age'!AE$7),'Population Data by Age'!$B$7:$B$10366,0),MATCH('Tabular Pop Data by Age'!$C$6,'Population Data by Age'!$B$6:$H$6,0))</f>
        <v>26000</v>
      </c>
      <c r="AF139" s="78">
        <f>INDEX('Population Data by Age'!$B$7:$H$10366,MATCH(CONCATENATE('Tabular Pop Data by Age'!$C139,'Tabular Pop Data by Age'!AF$7),'Population Data by Age'!$B$7:$B$10366,0),MATCH('Tabular Pop Data by Age'!$C$6,'Population Data by Age'!$B$6:$H$6,0))</f>
        <v>21000</v>
      </c>
      <c r="AG139" s="78">
        <f>INDEX('Population Data by Age'!$B$7:$H$10366,MATCH(CONCATENATE('Tabular Pop Data by Age'!$C139,'Tabular Pop Data by Age'!AG$7),'Population Data by Age'!$B$7:$B$10366,0),MATCH('Tabular Pop Data by Age'!$C$6,'Population Data by Age'!$B$6:$H$6,0))</f>
        <v>15000</v>
      </c>
      <c r="AH139" s="78">
        <f>INDEX('Population Data by Age'!$B$7:$H$10366,MATCH(CONCATENATE('Tabular Pop Data by Age'!$C139,'Tabular Pop Data by Age'!AH$7),'Population Data by Age'!$B$7:$B$10366,0),MATCH('Tabular Pop Data by Age'!$C$6,'Population Data by Age'!$B$6:$H$6,0))</f>
        <v>15000</v>
      </c>
      <c r="AI139" s="78">
        <f>INDEX('Population Data by Age'!$B$7:$H$10366,MATCH(CONCATENATE('Tabular Pop Data by Age'!$C139,'Tabular Pop Data by Age'!AI$7),'Population Data by Age'!$B$7:$B$10366,0),MATCH('Tabular Pop Data by Age'!$C$6,'Population Data by Age'!$B$6:$H$6,0))</f>
        <v>9700</v>
      </c>
      <c r="AJ139" s="78">
        <f>INDEX('Population Data by Age'!$B$7:$H$10366,MATCH(CONCATENATE('Tabular Pop Data by Age'!$C139,'Tabular Pop Data by Age'!AJ$7),'Population Data by Age'!$B$7:$B$10366,0),MATCH('Tabular Pop Data by Age'!$C$6,'Population Data by Age'!$B$6:$H$6,0))</f>
        <v>14000</v>
      </c>
      <c r="AK139" s="78">
        <f>INDEX('Population Data by Age'!$B$7:$H$10366,MATCH(CONCATENATE('Tabular Pop Data by Age'!$C139,'Tabular Pop Data by Age'!AK$7),'Population Data by Age'!$B$7:$B$10366,0),MATCH('Tabular Pop Data by Age'!$C$6,'Population Data by Age'!$B$6:$H$6,0))</f>
        <v>7100</v>
      </c>
      <c r="AL139" s="78">
        <f>INDEX('Population Data by Age'!$B$7:$H$10366,MATCH(CONCATENATE('Tabular Pop Data by Age'!$C139,'Tabular Pop Data by Age'!AL$7),'Population Data by Age'!$B$7:$B$10366,0),MATCH('Tabular Pop Data by Age'!$C$6,'Population Data by Age'!$B$6:$H$6,0))</f>
        <v>1663000</v>
      </c>
      <c r="AM139" s="78">
        <f>INDEX('Population Data by Age'!$B$7:$H$10366,MATCH(CONCATENATE('Tabular Pop Data by Age'!$C139,'Tabular Pop Data by Age'!AM$7),'Population Data by Age'!$B$7:$B$10366,0),MATCH('Tabular Pop Data by Age'!$C$6,'Population Data by Age'!$B$6:$H$6,0))</f>
        <v>1615000</v>
      </c>
      <c r="AN139" s="78">
        <f>INDEX('Population Data by Age'!$B$7:$H$10366,MATCH(CONCATENATE('Tabular Pop Data by Age'!$C139,'Tabular Pop Data by Age'!AN$7),'Population Data by Age'!$B$7:$B$10366,0),MATCH('Tabular Pop Data by Age'!$C$6,'Population Data by Age'!$B$6:$H$6,0))</f>
        <v>3278000</v>
      </c>
      <c r="AO139" s="78">
        <f>INDEX('Population Data by Age'!$B$7:$H$10366,MATCH(CONCATENATE('Tabular Pop Data by Age'!$C139,'Tabular Pop Data by Age'!AO$7),'Population Data by Age'!$B$7:$B$10366,0),MATCH('Tabular Pop Data by Age'!$C$6,'Population Data by Age'!$B$6:$H$6,0))</f>
        <v>0</v>
      </c>
      <c r="AP139" s="79">
        <f t="shared" si="34"/>
        <v>375000</v>
      </c>
      <c r="AQ139" s="79">
        <f t="shared" si="35"/>
        <v>362000</v>
      </c>
      <c r="AR139" s="79">
        <f t="shared" si="36"/>
        <v>281000</v>
      </c>
      <c r="AS139" s="79">
        <f t="shared" si="37"/>
        <v>218000</v>
      </c>
      <c r="AT139" s="79">
        <f t="shared" si="38"/>
        <v>229000</v>
      </c>
      <c r="AU139" s="79">
        <f t="shared" si="39"/>
        <v>271000</v>
      </c>
      <c r="AV139" s="79">
        <f t="shared" si="40"/>
        <v>309000</v>
      </c>
      <c r="AW139" s="79">
        <f t="shared" si="41"/>
        <v>255000</v>
      </c>
      <c r="AX139" s="79">
        <f t="shared" si="42"/>
        <v>223000</v>
      </c>
      <c r="AY139" s="79">
        <f t="shared" si="43"/>
        <v>200000</v>
      </c>
      <c r="AZ139" s="79">
        <f t="shared" si="44"/>
        <v>168000</v>
      </c>
      <c r="BA139" s="79">
        <f t="shared" si="45"/>
        <v>145000</v>
      </c>
      <c r="BB139" s="79">
        <f t="shared" si="46"/>
        <v>98000</v>
      </c>
      <c r="BC139" s="79">
        <f t="shared" si="47"/>
        <v>60000</v>
      </c>
      <c r="BD139" s="79">
        <f t="shared" si="48"/>
        <v>36000</v>
      </c>
      <c r="BE139" s="79">
        <f t="shared" si="49"/>
        <v>24700</v>
      </c>
      <c r="BF139" s="79">
        <f t="shared" si="50"/>
        <v>21100</v>
      </c>
    </row>
    <row r="140" spans="1:58" x14ac:dyDescent="0.25">
      <c r="A140" s="138" t="s">
        <v>1195</v>
      </c>
      <c r="B140" t="s">
        <v>582</v>
      </c>
      <c r="C140" t="s">
        <v>95</v>
      </c>
      <c r="D140" s="78">
        <f>INDEX('Population Data by Age'!$B$7:$H$10366,MATCH(CONCATENATE('Tabular Pop Data by Age'!$C140,'Tabular Pop Data by Age'!D$7),'Population Data by Age'!$B$7:$B$10366,0),MATCH('Tabular Pop Data by Age'!$C$6,'Population Data by Age'!$B$6:$H$6,0))</f>
        <v>18000</v>
      </c>
      <c r="E140" s="78">
        <f>INDEX('Population Data by Age'!$B$7:$H$10366,MATCH(CONCATENATE('Tabular Pop Data by Age'!$C140,'Tabular Pop Data by Age'!E$7),'Population Data by Age'!$B$7:$B$10366,0),MATCH('Tabular Pop Data by Age'!$C$6,'Population Data by Age'!$B$6:$H$6,0))</f>
        <v>19000</v>
      </c>
      <c r="F140" s="78">
        <f>INDEX('Population Data by Age'!$B$7:$H$10366,MATCH(CONCATENATE('Tabular Pop Data by Age'!$C140,'Tabular Pop Data by Age'!F$7),'Population Data by Age'!$B$7:$B$10366,0),MATCH('Tabular Pop Data by Age'!$C$6,'Population Data by Age'!$B$6:$H$6,0))</f>
        <v>18000</v>
      </c>
      <c r="G140" s="78">
        <f>INDEX('Population Data by Age'!$B$7:$H$10366,MATCH(CONCATENATE('Tabular Pop Data by Age'!$C140,'Tabular Pop Data by Age'!G$7),'Population Data by Age'!$B$7:$B$10366,0),MATCH('Tabular Pop Data by Age'!$C$6,'Population Data by Age'!$B$6:$H$6,0))</f>
        <v>19000</v>
      </c>
      <c r="H140" s="78">
        <f>INDEX('Population Data by Age'!$B$7:$H$10366,MATCH(CONCATENATE('Tabular Pop Data by Age'!$C140,'Tabular Pop Data by Age'!H$7),'Population Data by Age'!$B$7:$B$10366,0),MATCH('Tabular Pop Data by Age'!$C$6,'Population Data by Age'!$B$6:$H$6,0))</f>
        <v>19000</v>
      </c>
      <c r="I140" s="78">
        <f>INDEX('Population Data by Age'!$B$7:$H$10366,MATCH(CONCATENATE('Tabular Pop Data by Age'!$C140,'Tabular Pop Data by Age'!I$7),'Population Data by Age'!$B$7:$B$10366,0),MATCH('Tabular Pop Data by Age'!$C$6,'Population Data by Age'!$B$6:$H$6,0))</f>
        <v>20000</v>
      </c>
      <c r="J140" s="78">
        <f>INDEX('Population Data by Age'!$B$7:$H$10366,MATCH(CONCATENATE('Tabular Pop Data by Age'!$C140,'Tabular Pop Data by Age'!J$7),'Population Data by Age'!$B$7:$B$10366,0),MATCH('Tabular Pop Data by Age'!$C$6,'Population Data by Age'!$B$6:$H$6,0))</f>
        <v>18000</v>
      </c>
      <c r="K140" s="78">
        <f>INDEX('Population Data by Age'!$B$7:$H$10366,MATCH(CONCATENATE('Tabular Pop Data by Age'!$C140,'Tabular Pop Data by Age'!K$7),'Population Data by Age'!$B$7:$B$10366,0),MATCH('Tabular Pop Data by Age'!$C$6,'Population Data by Age'!$B$6:$H$6,0))</f>
        <v>20000</v>
      </c>
      <c r="L140" s="78">
        <f>INDEX('Population Data by Age'!$B$7:$H$10366,MATCH(CONCATENATE('Tabular Pop Data by Age'!$C140,'Tabular Pop Data by Age'!L$7),'Population Data by Age'!$B$7:$B$10366,0),MATCH('Tabular Pop Data by Age'!$C$6,'Population Data by Age'!$B$6:$H$6,0))</f>
        <v>20000</v>
      </c>
      <c r="M140" s="78">
        <f>INDEX('Population Data by Age'!$B$7:$H$10366,MATCH(CONCATENATE('Tabular Pop Data by Age'!$C140,'Tabular Pop Data by Age'!M$7),'Population Data by Age'!$B$7:$B$10366,0),MATCH('Tabular Pop Data by Age'!$C$6,'Population Data by Age'!$B$6:$H$6,0))</f>
        <v>21000</v>
      </c>
      <c r="N140" s="78">
        <f>INDEX('Population Data by Age'!$B$7:$H$10366,MATCH(CONCATENATE('Tabular Pop Data by Age'!$C140,'Tabular Pop Data by Age'!N$7),'Population Data by Age'!$B$7:$B$10366,0),MATCH('Tabular Pop Data by Age'!$C$6,'Population Data by Age'!$B$6:$H$6,0))</f>
        <v>20000</v>
      </c>
      <c r="O140" s="78">
        <f>INDEX('Population Data by Age'!$B$7:$H$10366,MATCH(CONCATENATE('Tabular Pop Data by Age'!$C140,'Tabular Pop Data by Age'!O$7),'Population Data by Age'!$B$7:$B$10366,0),MATCH('Tabular Pop Data by Age'!$C$6,'Population Data by Age'!$B$6:$H$6,0))</f>
        <v>22000</v>
      </c>
      <c r="P140" s="78">
        <f>INDEX('Population Data by Age'!$B$7:$H$10366,MATCH(CONCATENATE('Tabular Pop Data by Age'!$C140,'Tabular Pop Data by Age'!P$7),'Population Data by Age'!$B$7:$B$10366,0),MATCH('Tabular Pop Data by Age'!$C$6,'Population Data by Age'!$B$6:$H$6,0))</f>
        <v>21000</v>
      </c>
      <c r="Q140" s="78">
        <f>INDEX('Population Data by Age'!$B$7:$H$10366,MATCH(CONCATENATE('Tabular Pop Data by Age'!$C140,'Tabular Pop Data by Age'!Q$7),'Population Data by Age'!$B$7:$B$10366,0),MATCH('Tabular Pop Data by Age'!$C$6,'Population Data by Age'!$B$6:$H$6,0))</f>
        <v>22000</v>
      </c>
      <c r="R140" s="78">
        <f>INDEX('Population Data by Age'!$B$7:$H$10366,MATCH(CONCATENATE('Tabular Pop Data by Age'!$C140,'Tabular Pop Data by Age'!R$7),'Population Data by Age'!$B$7:$B$10366,0),MATCH('Tabular Pop Data by Age'!$C$6,'Population Data by Age'!$B$6:$H$6,0))</f>
        <v>22000</v>
      </c>
      <c r="S140" s="78">
        <f>INDEX('Population Data by Age'!$B$7:$H$10366,MATCH(CONCATENATE('Tabular Pop Data by Age'!$C140,'Tabular Pop Data by Age'!S$7),'Population Data by Age'!$B$7:$B$10366,0),MATCH('Tabular Pop Data by Age'!$C$6,'Population Data by Age'!$B$6:$H$6,0))</f>
        <v>23000</v>
      </c>
      <c r="T140" s="78">
        <f>INDEX('Population Data by Age'!$B$7:$H$10366,MATCH(CONCATENATE('Tabular Pop Data by Age'!$C140,'Tabular Pop Data by Age'!T$7),'Population Data by Age'!$B$7:$B$10366,0),MATCH('Tabular Pop Data by Age'!$C$6,'Population Data by Age'!$B$6:$H$6,0))</f>
        <v>21000</v>
      </c>
      <c r="U140" s="78">
        <f>INDEX('Population Data by Age'!$B$7:$H$10366,MATCH(CONCATENATE('Tabular Pop Data by Age'!$C140,'Tabular Pop Data by Age'!U$7),'Population Data by Age'!$B$7:$B$10366,0),MATCH('Tabular Pop Data by Age'!$C$6,'Population Data by Age'!$B$6:$H$6,0))</f>
        <v>21000</v>
      </c>
      <c r="V140" s="78">
        <f>INDEX('Population Data by Age'!$B$7:$H$10366,MATCH(CONCATENATE('Tabular Pop Data by Age'!$C140,'Tabular Pop Data by Age'!V$7),'Population Data by Age'!$B$7:$B$10366,0),MATCH('Tabular Pop Data by Age'!$C$6,'Population Data by Age'!$B$6:$H$6,0))</f>
        <v>21000</v>
      </c>
      <c r="W140" s="78">
        <f>INDEX('Population Data by Age'!$B$7:$H$10366,MATCH(CONCATENATE('Tabular Pop Data by Age'!$C140,'Tabular Pop Data by Age'!W$7),'Population Data by Age'!$B$7:$B$10366,0),MATCH('Tabular Pop Data by Age'!$C$6,'Population Data by Age'!$B$6:$H$6,0))</f>
        <v>20000</v>
      </c>
      <c r="X140" s="78">
        <f>INDEX('Population Data by Age'!$B$7:$H$10366,MATCH(CONCATENATE('Tabular Pop Data by Age'!$C140,'Tabular Pop Data by Age'!X$7),'Population Data by Age'!$B$7:$B$10366,0),MATCH('Tabular Pop Data by Age'!$C$6,'Population Data by Age'!$B$6:$H$6,0))</f>
        <v>19000</v>
      </c>
      <c r="Y140" s="78">
        <f>INDEX('Population Data by Age'!$B$7:$H$10366,MATCH(CONCATENATE('Tabular Pop Data by Age'!$C140,'Tabular Pop Data by Age'!Y$7),'Population Data by Age'!$B$7:$B$10366,0),MATCH('Tabular Pop Data by Age'!$C$6,'Population Data by Age'!$B$6:$H$6,0))</f>
        <v>19000</v>
      </c>
      <c r="Z140" s="78">
        <f>INDEX('Population Data by Age'!$B$7:$H$10366,MATCH(CONCATENATE('Tabular Pop Data by Age'!$C140,'Tabular Pop Data by Age'!Z$7),'Population Data by Age'!$B$7:$B$10366,0),MATCH('Tabular Pop Data by Age'!$C$6,'Population Data by Age'!$B$6:$H$6,0))</f>
        <v>21000</v>
      </c>
      <c r="AA140" s="78">
        <f>INDEX('Population Data by Age'!$B$7:$H$10366,MATCH(CONCATENATE('Tabular Pop Data by Age'!$C140,'Tabular Pop Data by Age'!AA$7),'Population Data by Age'!$B$7:$B$10366,0),MATCH('Tabular Pop Data by Age'!$C$6,'Population Data by Age'!$B$6:$H$6,0))</f>
        <v>21000</v>
      </c>
      <c r="AB140" s="78">
        <f>INDEX('Population Data by Age'!$B$7:$H$10366,MATCH(CONCATENATE('Tabular Pop Data by Age'!$C140,'Tabular Pop Data by Age'!AB$7),'Population Data by Age'!$B$7:$B$10366,0),MATCH('Tabular Pop Data by Age'!$C$6,'Population Data by Age'!$B$6:$H$6,0))</f>
        <v>20000</v>
      </c>
      <c r="AC140" s="78">
        <f>INDEX('Population Data by Age'!$B$7:$H$10366,MATCH(CONCATENATE('Tabular Pop Data by Age'!$C140,'Tabular Pop Data by Age'!AC$7),'Population Data by Age'!$B$7:$B$10366,0),MATCH('Tabular Pop Data by Age'!$C$6,'Population Data by Age'!$B$6:$H$6,0))</f>
        <v>19000</v>
      </c>
      <c r="AD140" s="78">
        <f>INDEX('Population Data by Age'!$B$7:$H$10366,MATCH(CONCATENATE('Tabular Pop Data by Age'!$C140,'Tabular Pop Data by Age'!AD$7),'Population Data by Age'!$B$7:$B$10366,0),MATCH('Tabular Pop Data by Age'!$C$6,'Population Data by Age'!$B$6:$H$6,0))</f>
        <v>19000</v>
      </c>
      <c r="AE140" s="78">
        <f>INDEX('Population Data by Age'!$B$7:$H$10366,MATCH(CONCATENATE('Tabular Pop Data by Age'!$C140,'Tabular Pop Data by Age'!AE$7),'Population Data by Age'!$B$7:$B$10366,0),MATCH('Tabular Pop Data by Age'!$C$6,'Population Data by Age'!$B$6:$H$6,0))</f>
        <v>17000</v>
      </c>
      <c r="AF140" s="78">
        <f>INDEX('Population Data by Age'!$B$7:$H$10366,MATCH(CONCATENATE('Tabular Pop Data by Age'!$C140,'Tabular Pop Data by Age'!AF$7),'Population Data by Age'!$B$7:$B$10366,0),MATCH('Tabular Pop Data by Age'!$C$6,'Population Data by Age'!$B$6:$H$6,0))</f>
        <v>14000</v>
      </c>
      <c r="AG140" s="78">
        <f>INDEX('Population Data by Age'!$B$7:$H$10366,MATCH(CONCATENATE('Tabular Pop Data by Age'!$C140,'Tabular Pop Data by Age'!AG$7),'Population Data by Age'!$B$7:$B$10366,0),MATCH('Tabular Pop Data by Age'!$C$6,'Population Data by Age'!$B$6:$H$6,0))</f>
        <v>11000</v>
      </c>
      <c r="AH140" s="78">
        <f>INDEX('Population Data by Age'!$B$7:$H$10366,MATCH(CONCATENATE('Tabular Pop Data by Age'!$C140,'Tabular Pop Data by Age'!AH$7),'Population Data by Age'!$B$7:$B$10366,0),MATCH('Tabular Pop Data by Age'!$C$6,'Population Data by Age'!$B$6:$H$6,0))</f>
        <v>9700</v>
      </c>
      <c r="AI140" s="78">
        <f>INDEX('Population Data by Age'!$B$7:$H$10366,MATCH(CONCATENATE('Tabular Pop Data by Age'!$C140,'Tabular Pop Data by Age'!AI$7),'Population Data by Age'!$B$7:$B$10366,0),MATCH('Tabular Pop Data by Age'!$C$6,'Population Data by Age'!$B$6:$H$6,0))</f>
        <v>6100</v>
      </c>
      <c r="AJ140" s="78">
        <f>INDEX('Population Data by Age'!$B$7:$H$10366,MATCH(CONCATENATE('Tabular Pop Data by Age'!$C140,'Tabular Pop Data by Age'!AJ$7),'Population Data by Age'!$B$7:$B$10366,0),MATCH('Tabular Pop Data by Age'!$C$6,'Population Data by Age'!$B$6:$H$6,0))</f>
        <v>13000</v>
      </c>
      <c r="AK140" s="78">
        <f>INDEX('Population Data by Age'!$B$7:$H$10366,MATCH(CONCATENATE('Tabular Pop Data by Age'!$C140,'Tabular Pop Data by Age'!AK$7),'Population Data by Age'!$B$7:$B$10366,0),MATCH('Tabular Pop Data by Age'!$C$6,'Population Data by Age'!$B$6:$H$6,0))</f>
        <v>7900</v>
      </c>
      <c r="AL140" s="78">
        <f>INDEX('Population Data by Age'!$B$7:$H$10366,MATCH(CONCATENATE('Tabular Pop Data by Age'!$C140,'Tabular Pop Data by Age'!AL$7),'Population Data by Age'!$B$7:$B$10366,0),MATCH('Tabular Pop Data by Age'!$C$6,'Population Data by Age'!$B$6:$H$6,0))</f>
        <v>314000</v>
      </c>
      <c r="AM140" s="78">
        <f>INDEX('Population Data by Age'!$B$7:$H$10366,MATCH(CONCATENATE('Tabular Pop Data by Age'!$C140,'Tabular Pop Data by Age'!AM$7),'Population Data by Age'!$B$7:$B$10366,0),MATCH('Tabular Pop Data by Age'!$C$6,'Population Data by Age'!$B$6:$H$6,0))</f>
        <v>308000</v>
      </c>
      <c r="AN140" s="78">
        <f>INDEX('Population Data by Age'!$B$7:$H$10366,MATCH(CONCATENATE('Tabular Pop Data by Age'!$C140,'Tabular Pop Data by Age'!AN$7),'Population Data by Age'!$B$7:$B$10366,0),MATCH('Tabular Pop Data by Age'!$C$6,'Population Data by Age'!$B$6:$H$6,0))</f>
        <v>622000</v>
      </c>
      <c r="AO140" s="78">
        <f>INDEX('Population Data by Age'!$B$7:$H$10366,MATCH(CONCATENATE('Tabular Pop Data by Age'!$C140,'Tabular Pop Data by Age'!AO$7),'Population Data by Age'!$B$7:$B$10366,0),MATCH('Tabular Pop Data by Age'!$C$6,'Population Data by Age'!$B$6:$H$6,0))</f>
        <v>0</v>
      </c>
      <c r="AP140" s="79">
        <f t="shared" si="34"/>
        <v>37000</v>
      </c>
      <c r="AQ140" s="79">
        <f t="shared" si="35"/>
        <v>37000</v>
      </c>
      <c r="AR140" s="79">
        <f t="shared" si="36"/>
        <v>39000</v>
      </c>
      <c r="AS140" s="79">
        <f t="shared" si="37"/>
        <v>38000</v>
      </c>
      <c r="AT140" s="79">
        <f t="shared" si="38"/>
        <v>41000</v>
      </c>
      <c r="AU140" s="79">
        <f t="shared" si="39"/>
        <v>42000</v>
      </c>
      <c r="AV140" s="79">
        <f t="shared" si="40"/>
        <v>43000</v>
      </c>
      <c r="AW140" s="79">
        <f t="shared" si="41"/>
        <v>45000</v>
      </c>
      <c r="AX140" s="79">
        <f t="shared" si="42"/>
        <v>42000</v>
      </c>
      <c r="AY140" s="79">
        <f t="shared" si="43"/>
        <v>41000</v>
      </c>
      <c r="AZ140" s="79">
        <f t="shared" si="44"/>
        <v>38000</v>
      </c>
      <c r="BA140" s="79">
        <f t="shared" si="45"/>
        <v>42000</v>
      </c>
      <c r="BB140" s="79">
        <f t="shared" si="46"/>
        <v>39000</v>
      </c>
      <c r="BC140" s="79">
        <f t="shared" si="47"/>
        <v>36000</v>
      </c>
      <c r="BD140" s="79">
        <f t="shared" si="48"/>
        <v>25000</v>
      </c>
      <c r="BE140" s="79">
        <f t="shared" si="49"/>
        <v>15800</v>
      </c>
      <c r="BF140" s="79">
        <f t="shared" si="50"/>
        <v>20900</v>
      </c>
    </row>
    <row r="141" spans="1:58" x14ac:dyDescent="0.25">
      <c r="A141" s="138" t="s">
        <v>1195</v>
      </c>
      <c r="B141" t="s">
        <v>583</v>
      </c>
      <c r="C141" t="s">
        <v>85</v>
      </c>
      <c r="D141" s="78">
        <f>INDEX('Population Data by Age'!$B$7:$H$10366,MATCH(CONCATENATE('Tabular Pop Data by Age'!$C141,'Tabular Pop Data by Age'!D$7),'Population Data by Age'!$B$7:$B$10366,0),MATCH('Tabular Pop Data by Age'!$C$6,'Population Data by Age'!$B$6:$H$6,0))</f>
        <v>1619000</v>
      </c>
      <c r="E141" s="78">
        <f>INDEX('Population Data by Age'!$B$7:$H$10366,MATCH(CONCATENATE('Tabular Pop Data by Age'!$C141,'Tabular Pop Data by Age'!E$7),'Population Data by Age'!$B$7:$B$10366,0),MATCH('Tabular Pop Data by Age'!$C$6,'Population Data by Age'!$B$6:$H$6,0))</f>
        <v>1706000</v>
      </c>
      <c r="F141" s="78">
        <f>INDEX('Population Data by Age'!$B$7:$H$10366,MATCH(CONCATENATE('Tabular Pop Data by Age'!$C141,'Tabular Pop Data by Age'!F$7),'Population Data by Age'!$B$7:$B$10366,0),MATCH('Tabular Pop Data by Age'!$C$6,'Population Data by Age'!$B$6:$H$6,0))</f>
        <v>1670000</v>
      </c>
      <c r="G141" s="78">
        <f>INDEX('Population Data by Age'!$B$7:$H$10366,MATCH(CONCATENATE('Tabular Pop Data by Age'!$C141,'Tabular Pop Data by Age'!G$7),'Population Data by Age'!$B$7:$B$10366,0),MATCH('Tabular Pop Data by Age'!$C$6,'Population Data by Age'!$B$6:$H$6,0))</f>
        <v>1758000</v>
      </c>
      <c r="H141" s="78">
        <f>INDEX('Population Data by Age'!$B$7:$H$10366,MATCH(CONCATENATE('Tabular Pop Data by Age'!$C141,'Tabular Pop Data by Age'!H$7),'Population Data by Age'!$B$7:$B$10366,0),MATCH('Tabular Pop Data by Age'!$C$6,'Population Data by Age'!$B$6:$H$6,0))</f>
        <v>1522000</v>
      </c>
      <c r="I141" s="78">
        <f>INDEX('Population Data by Age'!$B$7:$H$10366,MATCH(CONCATENATE('Tabular Pop Data by Age'!$C141,'Tabular Pop Data by Age'!I$7),'Population Data by Age'!$B$7:$B$10366,0),MATCH('Tabular Pop Data by Age'!$C$6,'Population Data by Age'!$B$6:$H$6,0))</f>
        <v>1606000</v>
      </c>
      <c r="J141" s="78">
        <f>INDEX('Population Data by Age'!$B$7:$H$10366,MATCH(CONCATENATE('Tabular Pop Data by Age'!$C141,'Tabular Pop Data by Age'!J$7),'Population Data by Age'!$B$7:$B$10366,0),MATCH('Tabular Pop Data by Age'!$C$6,'Population Data by Age'!$B$6:$H$6,0))</f>
        <v>1451000</v>
      </c>
      <c r="K141" s="78">
        <f>INDEX('Population Data by Age'!$B$7:$H$10366,MATCH(CONCATENATE('Tabular Pop Data by Age'!$C141,'Tabular Pop Data by Age'!K$7),'Population Data by Age'!$B$7:$B$10366,0),MATCH('Tabular Pop Data by Age'!$C$6,'Population Data by Age'!$B$6:$H$6,0))</f>
        <v>1519000</v>
      </c>
      <c r="L141" s="78">
        <f>INDEX('Population Data by Age'!$B$7:$H$10366,MATCH(CONCATENATE('Tabular Pop Data by Age'!$C141,'Tabular Pop Data by Age'!L$7),'Population Data by Age'!$B$7:$B$10366,0),MATCH('Tabular Pop Data by Age'!$C$6,'Population Data by Age'!$B$6:$H$6,0))</f>
        <v>1409000</v>
      </c>
      <c r="M141" s="78">
        <f>INDEX('Population Data by Age'!$B$7:$H$10366,MATCH(CONCATENATE('Tabular Pop Data by Age'!$C141,'Tabular Pop Data by Age'!M$7),'Population Data by Age'!$B$7:$B$10366,0),MATCH('Tabular Pop Data by Age'!$C$6,'Population Data by Age'!$B$6:$H$6,0))</f>
        <v>1466000</v>
      </c>
      <c r="N141" s="78">
        <f>INDEX('Population Data by Age'!$B$7:$H$10366,MATCH(CONCATENATE('Tabular Pop Data by Age'!$C141,'Tabular Pop Data by Age'!N$7),'Population Data by Age'!$B$7:$B$10366,0),MATCH('Tabular Pop Data by Age'!$C$6,'Population Data by Age'!$B$6:$H$6,0))</f>
        <v>1487000</v>
      </c>
      <c r="O141" s="78">
        <f>INDEX('Population Data by Age'!$B$7:$H$10366,MATCH(CONCATENATE('Tabular Pop Data by Age'!$C141,'Tabular Pop Data by Age'!O$7),'Population Data by Age'!$B$7:$B$10366,0),MATCH('Tabular Pop Data by Age'!$C$6,'Population Data by Age'!$B$6:$H$6,0))</f>
        <v>1522000</v>
      </c>
      <c r="P141" s="78">
        <f>INDEX('Population Data by Age'!$B$7:$H$10366,MATCH(CONCATENATE('Tabular Pop Data by Age'!$C141,'Tabular Pop Data by Age'!P$7),'Population Data by Age'!$B$7:$B$10366,0),MATCH('Tabular Pop Data by Age'!$C$6,'Population Data by Age'!$B$6:$H$6,0))</f>
        <v>1444000</v>
      </c>
      <c r="Q141" s="78">
        <f>INDEX('Population Data by Age'!$B$7:$H$10366,MATCH(CONCATENATE('Tabular Pop Data by Age'!$C141,'Tabular Pop Data by Age'!Q$7),'Population Data by Age'!$B$7:$B$10366,0),MATCH('Tabular Pop Data by Age'!$C$6,'Population Data by Age'!$B$6:$H$6,0))</f>
        <v>1418000</v>
      </c>
      <c r="R141" s="78">
        <f>INDEX('Population Data by Age'!$B$7:$H$10366,MATCH(CONCATENATE('Tabular Pop Data by Age'!$C141,'Tabular Pop Data by Age'!R$7),'Population Data by Age'!$B$7:$B$10366,0),MATCH('Tabular Pop Data by Age'!$C$6,'Population Data by Age'!$B$6:$H$6,0))</f>
        <v>1423000</v>
      </c>
      <c r="S141" s="78">
        <f>INDEX('Population Data by Age'!$B$7:$H$10366,MATCH(CONCATENATE('Tabular Pop Data by Age'!$C141,'Tabular Pop Data by Age'!S$7),'Population Data by Age'!$B$7:$B$10366,0),MATCH('Tabular Pop Data by Age'!$C$6,'Population Data by Age'!$B$6:$H$6,0))</f>
        <v>1321000</v>
      </c>
      <c r="T141" s="78">
        <f>INDEX('Population Data by Age'!$B$7:$H$10366,MATCH(CONCATENATE('Tabular Pop Data by Age'!$C141,'Tabular Pop Data by Age'!T$7),'Population Data by Age'!$B$7:$B$10366,0),MATCH('Tabular Pop Data by Age'!$C$6,'Population Data by Age'!$B$6:$H$6,0))</f>
        <v>1249000</v>
      </c>
      <c r="U141" s="78">
        <f>INDEX('Population Data by Age'!$B$7:$H$10366,MATCH(CONCATENATE('Tabular Pop Data by Age'!$C141,'Tabular Pop Data by Age'!U$7),'Population Data by Age'!$B$7:$B$10366,0),MATCH('Tabular Pop Data by Age'!$C$6,'Population Data by Age'!$B$6:$H$6,0))</f>
        <v>1112000</v>
      </c>
      <c r="V141" s="78">
        <f>INDEX('Population Data by Age'!$B$7:$H$10366,MATCH(CONCATENATE('Tabular Pop Data by Age'!$C141,'Tabular Pop Data by Age'!V$7),'Population Data by Age'!$B$7:$B$10366,0),MATCH('Tabular Pop Data by Age'!$C$6,'Population Data by Age'!$B$6:$H$6,0))</f>
        <v>1117000</v>
      </c>
      <c r="W141" s="78">
        <f>INDEX('Population Data by Age'!$B$7:$H$10366,MATCH(CONCATENATE('Tabular Pop Data by Age'!$C141,'Tabular Pop Data by Age'!W$7),'Population Data by Age'!$B$7:$B$10366,0),MATCH('Tabular Pop Data by Age'!$C$6,'Population Data by Age'!$B$6:$H$6,0))</f>
        <v>975000</v>
      </c>
      <c r="X141" s="78">
        <f>INDEX('Population Data by Age'!$B$7:$H$10366,MATCH(CONCATENATE('Tabular Pop Data by Age'!$C141,'Tabular Pop Data by Age'!X$7),'Population Data by Age'!$B$7:$B$10366,0),MATCH('Tabular Pop Data by Age'!$C$6,'Population Data by Age'!$B$6:$H$6,0))</f>
        <v>1009000</v>
      </c>
      <c r="Y141" s="78">
        <f>INDEX('Population Data by Age'!$B$7:$H$10366,MATCH(CONCATENATE('Tabular Pop Data by Age'!$C141,'Tabular Pop Data by Age'!Y$7),'Population Data by Age'!$B$7:$B$10366,0),MATCH('Tabular Pop Data by Age'!$C$6,'Population Data by Age'!$B$6:$H$6,0))</f>
        <v>916000</v>
      </c>
      <c r="Z141" s="78">
        <f>INDEX('Population Data by Age'!$B$7:$H$10366,MATCH(CONCATENATE('Tabular Pop Data by Age'!$C141,'Tabular Pop Data by Age'!Z$7),'Population Data by Age'!$B$7:$B$10366,0),MATCH('Tabular Pop Data by Age'!$C$6,'Population Data by Age'!$B$6:$H$6,0))</f>
        <v>916000</v>
      </c>
      <c r="AA141" s="78">
        <f>INDEX('Population Data by Age'!$B$7:$H$10366,MATCH(CONCATENATE('Tabular Pop Data by Age'!$C141,'Tabular Pop Data by Age'!AA$7),'Population Data by Age'!$B$7:$B$10366,0),MATCH('Tabular Pop Data by Age'!$C$6,'Population Data by Age'!$B$6:$H$6,0))</f>
        <v>903000</v>
      </c>
      <c r="AB141" s="78">
        <f>INDEX('Population Data by Age'!$B$7:$H$10366,MATCH(CONCATENATE('Tabular Pop Data by Age'!$C141,'Tabular Pop Data by Age'!AB$7),'Population Data by Age'!$B$7:$B$10366,0),MATCH('Tabular Pop Data by Age'!$C$6,'Population Data by Age'!$B$6:$H$6,0))</f>
        <v>791000</v>
      </c>
      <c r="AC141" s="78">
        <f>INDEX('Population Data by Age'!$B$7:$H$10366,MATCH(CONCATENATE('Tabular Pop Data by Age'!$C141,'Tabular Pop Data by Age'!AC$7),'Population Data by Age'!$B$7:$B$10366,0),MATCH('Tabular Pop Data by Age'!$C$6,'Population Data by Age'!$B$6:$H$6,0))</f>
        <v>776000</v>
      </c>
      <c r="AD141" s="78">
        <f>INDEX('Population Data by Age'!$B$7:$H$10366,MATCH(CONCATENATE('Tabular Pop Data by Age'!$C141,'Tabular Pop Data by Age'!AD$7),'Population Data by Age'!$B$7:$B$10366,0),MATCH('Tabular Pop Data by Age'!$C$6,'Population Data by Age'!$B$6:$H$6,0))</f>
        <v>587000</v>
      </c>
      <c r="AE141" s="78">
        <f>INDEX('Population Data by Age'!$B$7:$H$10366,MATCH(CONCATENATE('Tabular Pop Data by Age'!$C141,'Tabular Pop Data by Age'!AE$7),'Population Data by Age'!$B$7:$B$10366,0),MATCH('Tabular Pop Data by Age'!$C$6,'Population Data by Age'!$B$6:$H$6,0))</f>
        <v>581000</v>
      </c>
      <c r="AF141" s="78">
        <f>INDEX('Population Data by Age'!$B$7:$H$10366,MATCH(CONCATENATE('Tabular Pop Data by Age'!$C141,'Tabular Pop Data by Age'!AF$7),'Population Data by Age'!$B$7:$B$10366,0),MATCH('Tabular Pop Data by Age'!$C$6,'Population Data by Age'!$B$6:$H$6,0))</f>
        <v>342000</v>
      </c>
      <c r="AG141" s="78">
        <f>INDEX('Population Data by Age'!$B$7:$H$10366,MATCH(CONCATENATE('Tabular Pop Data by Age'!$C141,'Tabular Pop Data by Age'!AG$7),'Population Data by Age'!$B$7:$B$10366,0),MATCH('Tabular Pop Data by Age'!$C$6,'Population Data by Age'!$B$6:$H$6,0))</f>
        <v>340000</v>
      </c>
      <c r="AH141" s="78">
        <f>INDEX('Population Data by Age'!$B$7:$H$10366,MATCH(CONCATENATE('Tabular Pop Data by Age'!$C141,'Tabular Pop Data by Age'!AH$7),'Population Data by Age'!$B$7:$B$10366,0),MATCH('Tabular Pop Data by Age'!$C$6,'Population Data by Age'!$B$6:$H$6,0))</f>
        <v>284000</v>
      </c>
      <c r="AI141" s="78">
        <f>INDEX('Population Data by Age'!$B$7:$H$10366,MATCH(CONCATENATE('Tabular Pop Data by Age'!$C141,'Tabular Pop Data by Age'!AI$7),'Population Data by Age'!$B$7:$B$10366,0),MATCH('Tabular Pop Data by Age'!$C$6,'Population Data by Age'!$B$6:$H$6,0))</f>
        <v>231000</v>
      </c>
      <c r="AJ141" s="78">
        <f>INDEX('Population Data by Age'!$B$7:$H$10366,MATCH(CONCATENATE('Tabular Pop Data by Age'!$C141,'Tabular Pop Data by Age'!AJ$7),'Population Data by Age'!$B$7:$B$10366,0),MATCH('Tabular Pop Data by Age'!$C$6,'Population Data by Age'!$B$6:$H$6,0))</f>
        <v>275000</v>
      </c>
      <c r="AK141" s="78">
        <f>INDEX('Population Data by Age'!$B$7:$H$10366,MATCH(CONCATENATE('Tabular Pop Data by Age'!$C141,'Tabular Pop Data by Age'!AK$7),'Population Data by Age'!$B$7:$B$10366,0),MATCH('Tabular Pop Data by Age'!$C$6,'Population Data by Age'!$B$6:$H$6,0))</f>
        <v>168000</v>
      </c>
      <c r="AL141" s="78">
        <f>INDEX('Population Data by Age'!$B$7:$H$10366,MATCH(CONCATENATE('Tabular Pop Data by Age'!$C141,'Tabular Pop Data by Age'!AL$7),'Population Data by Age'!$B$7:$B$10366,0),MATCH('Tabular Pop Data by Age'!$C$6,'Population Data by Age'!$B$6:$H$6,0))</f>
        <v>18594000</v>
      </c>
      <c r="AM141" s="78">
        <f>INDEX('Population Data by Age'!$B$7:$H$10366,MATCH(CONCATENATE('Tabular Pop Data by Age'!$C141,'Tabular Pop Data by Age'!AM$7),'Population Data by Age'!$B$7:$B$10366,0),MATCH('Tabular Pop Data by Age'!$C$6,'Population Data by Age'!$B$6:$H$6,0))</f>
        <v>18317000</v>
      </c>
      <c r="AN141" s="78">
        <f>INDEX('Population Data by Age'!$B$7:$H$10366,MATCH(CONCATENATE('Tabular Pop Data by Age'!$C141,'Tabular Pop Data by Age'!AN$7),'Population Data by Age'!$B$7:$B$10366,0),MATCH('Tabular Pop Data by Age'!$C$6,'Population Data by Age'!$B$6:$H$6,0))</f>
        <v>36911000</v>
      </c>
      <c r="AO141" s="78">
        <f>INDEX('Population Data by Age'!$B$7:$H$10366,MATCH(CONCATENATE('Tabular Pop Data by Age'!$C141,'Tabular Pop Data by Age'!AO$7),'Population Data by Age'!$B$7:$B$10366,0),MATCH('Tabular Pop Data by Age'!$C$6,'Population Data by Age'!$B$6:$H$6,0))</f>
        <v>0</v>
      </c>
      <c r="AP141" s="79">
        <f t="shared" si="34"/>
        <v>3325000</v>
      </c>
      <c r="AQ141" s="79">
        <f t="shared" si="35"/>
        <v>3428000</v>
      </c>
      <c r="AR141" s="79">
        <f t="shared" si="36"/>
        <v>3128000</v>
      </c>
      <c r="AS141" s="79">
        <f t="shared" si="37"/>
        <v>2970000</v>
      </c>
      <c r="AT141" s="79">
        <f t="shared" si="38"/>
        <v>2875000</v>
      </c>
      <c r="AU141" s="79">
        <f t="shared" si="39"/>
        <v>3009000</v>
      </c>
      <c r="AV141" s="79">
        <f t="shared" si="40"/>
        <v>2862000</v>
      </c>
      <c r="AW141" s="79">
        <f t="shared" si="41"/>
        <v>2744000</v>
      </c>
      <c r="AX141" s="79">
        <f t="shared" si="42"/>
        <v>2361000</v>
      </c>
      <c r="AY141" s="79">
        <f t="shared" si="43"/>
        <v>2092000</v>
      </c>
      <c r="AZ141" s="79">
        <f t="shared" si="44"/>
        <v>1925000</v>
      </c>
      <c r="BA141" s="79">
        <f t="shared" si="45"/>
        <v>1819000</v>
      </c>
      <c r="BB141" s="79">
        <f t="shared" si="46"/>
        <v>1567000</v>
      </c>
      <c r="BC141" s="79">
        <f t="shared" si="47"/>
        <v>1168000</v>
      </c>
      <c r="BD141" s="79">
        <f t="shared" si="48"/>
        <v>682000</v>
      </c>
      <c r="BE141" s="79">
        <f t="shared" si="49"/>
        <v>515000</v>
      </c>
      <c r="BF141" s="79">
        <f t="shared" si="50"/>
        <v>443000</v>
      </c>
    </row>
    <row r="142" spans="1:58" x14ac:dyDescent="0.25">
      <c r="A142" s="138" t="s">
        <v>1195</v>
      </c>
      <c r="B142" t="s">
        <v>207</v>
      </c>
      <c r="C142" t="s">
        <v>97</v>
      </c>
      <c r="D142" s="78">
        <f>INDEX('Population Data by Age'!$B$7:$H$10366,MATCH(CONCATENATE('Tabular Pop Data by Age'!$C142,'Tabular Pop Data by Age'!D$7),'Population Data by Age'!$B$7:$B$10366,0),MATCH('Tabular Pop Data by Age'!$C$6,'Population Data by Age'!$B$6:$H$6,0))</f>
        <v>2566000</v>
      </c>
      <c r="E142" s="78">
        <f>INDEX('Population Data by Age'!$B$7:$H$10366,MATCH(CONCATENATE('Tabular Pop Data by Age'!$C142,'Tabular Pop Data by Age'!E$7),'Population Data by Age'!$B$7:$B$10366,0),MATCH('Tabular Pop Data by Age'!$C$6,'Population Data by Age'!$B$6:$H$6,0))</f>
        <v>2591000</v>
      </c>
      <c r="F142" s="78">
        <f>INDEX('Population Data by Age'!$B$7:$H$10366,MATCH(CONCATENATE('Tabular Pop Data by Age'!$C142,'Tabular Pop Data by Age'!F$7),'Population Data by Age'!$B$7:$B$10366,0),MATCH('Tabular Pop Data by Age'!$C$6,'Population Data by Age'!$B$6:$H$6,0))</f>
        <v>2273000</v>
      </c>
      <c r="G142" s="78">
        <f>INDEX('Population Data by Age'!$B$7:$H$10366,MATCH(CONCATENATE('Tabular Pop Data by Age'!$C142,'Tabular Pop Data by Age'!G$7),'Population Data by Age'!$B$7:$B$10366,0),MATCH('Tabular Pop Data by Age'!$C$6,'Population Data by Age'!$B$6:$H$6,0))</f>
        <v>2288000</v>
      </c>
      <c r="H142" s="78">
        <f>INDEX('Population Data by Age'!$B$7:$H$10366,MATCH(CONCATENATE('Tabular Pop Data by Age'!$C142,'Tabular Pop Data by Age'!H$7),'Population Data by Age'!$B$7:$B$10366,0),MATCH('Tabular Pop Data by Age'!$C$6,'Population Data by Age'!$B$6:$H$6,0))</f>
        <v>2028000</v>
      </c>
      <c r="I142" s="78">
        <f>INDEX('Population Data by Age'!$B$7:$H$10366,MATCH(CONCATENATE('Tabular Pop Data by Age'!$C142,'Tabular Pop Data by Age'!I$7),'Population Data by Age'!$B$7:$B$10366,0),MATCH('Tabular Pop Data by Age'!$C$6,'Population Data by Age'!$B$6:$H$6,0))</f>
        <v>2026000</v>
      </c>
      <c r="J142" s="78">
        <f>INDEX('Population Data by Age'!$B$7:$H$10366,MATCH(CONCATENATE('Tabular Pop Data by Age'!$C142,'Tabular Pop Data by Age'!J$7),'Population Data by Age'!$B$7:$B$10366,0),MATCH('Tabular Pop Data by Age'!$C$6,'Population Data by Age'!$B$6:$H$6,0))</f>
        <v>1781000</v>
      </c>
      <c r="K142" s="78">
        <f>INDEX('Population Data by Age'!$B$7:$H$10366,MATCH(CONCATENATE('Tabular Pop Data by Age'!$C142,'Tabular Pop Data by Age'!K$7),'Population Data by Age'!$B$7:$B$10366,0),MATCH('Tabular Pop Data by Age'!$C$6,'Population Data by Age'!$B$6:$H$6,0))</f>
        <v>1760000</v>
      </c>
      <c r="L142" s="78">
        <f>INDEX('Population Data by Age'!$B$7:$H$10366,MATCH(CONCATENATE('Tabular Pop Data by Age'!$C142,'Tabular Pop Data by Age'!L$7),'Population Data by Age'!$B$7:$B$10366,0),MATCH('Tabular Pop Data by Age'!$C$6,'Population Data by Age'!$B$6:$H$6,0))</f>
        <v>1473000</v>
      </c>
      <c r="M142" s="78">
        <f>INDEX('Population Data by Age'!$B$7:$H$10366,MATCH(CONCATENATE('Tabular Pop Data by Age'!$C142,'Tabular Pop Data by Age'!M$7),'Population Data by Age'!$B$7:$B$10366,0),MATCH('Tabular Pop Data by Age'!$C$6,'Population Data by Age'!$B$6:$H$6,0))</f>
        <v>1439000</v>
      </c>
      <c r="N142" s="78">
        <f>INDEX('Population Data by Age'!$B$7:$H$10366,MATCH(CONCATENATE('Tabular Pop Data by Age'!$C142,'Tabular Pop Data by Age'!N$7),'Population Data by Age'!$B$7:$B$10366,0),MATCH('Tabular Pop Data by Age'!$C$6,'Population Data by Age'!$B$6:$H$6,0))</f>
        <v>1211000</v>
      </c>
      <c r="O142" s="78">
        <f>INDEX('Population Data by Age'!$B$7:$H$10366,MATCH(CONCATENATE('Tabular Pop Data by Age'!$C142,'Tabular Pop Data by Age'!O$7),'Population Data by Age'!$B$7:$B$10366,0),MATCH('Tabular Pop Data by Age'!$C$6,'Population Data by Age'!$B$6:$H$6,0))</f>
        <v>1171000</v>
      </c>
      <c r="P142" s="78">
        <f>INDEX('Population Data by Age'!$B$7:$H$10366,MATCH(CONCATENATE('Tabular Pop Data by Age'!$C142,'Tabular Pop Data by Age'!P$7),'Population Data by Age'!$B$7:$B$10366,0),MATCH('Tabular Pop Data by Age'!$C$6,'Population Data by Age'!$B$6:$H$6,0))</f>
        <v>1002000</v>
      </c>
      <c r="Q142" s="78">
        <f>INDEX('Population Data by Age'!$B$7:$H$10366,MATCH(CONCATENATE('Tabular Pop Data by Age'!$C142,'Tabular Pop Data by Age'!Q$7),'Population Data by Age'!$B$7:$B$10366,0),MATCH('Tabular Pop Data by Age'!$C$6,'Population Data by Age'!$B$6:$H$6,0))</f>
        <v>960000</v>
      </c>
      <c r="R142" s="78">
        <f>INDEX('Population Data by Age'!$B$7:$H$10366,MATCH(CONCATENATE('Tabular Pop Data by Age'!$C142,'Tabular Pop Data by Age'!R$7),'Population Data by Age'!$B$7:$B$10366,0),MATCH('Tabular Pop Data by Age'!$C$6,'Population Data by Age'!$B$6:$H$6,0))</f>
        <v>848000</v>
      </c>
      <c r="S142" s="78">
        <f>INDEX('Population Data by Age'!$B$7:$H$10366,MATCH(CONCATENATE('Tabular Pop Data by Age'!$C142,'Tabular Pop Data by Age'!S$7),'Population Data by Age'!$B$7:$B$10366,0),MATCH('Tabular Pop Data by Age'!$C$6,'Population Data by Age'!$B$6:$H$6,0))</f>
        <v>779000</v>
      </c>
      <c r="T142" s="78">
        <f>INDEX('Population Data by Age'!$B$7:$H$10366,MATCH(CONCATENATE('Tabular Pop Data by Age'!$C142,'Tabular Pop Data by Age'!T$7),'Population Data by Age'!$B$7:$B$10366,0),MATCH('Tabular Pop Data by Age'!$C$6,'Population Data by Age'!$B$6:$H$6,0))</f>
        <v>686000</v>
      </c>
      <c r="U142" s="78">
        <f>INDEX('Population Data by Age'!$B$7:$H$10366,MATCH(CONCATENATE('Tabular Pop Data by Age'!$C142,'Tabular Pop Data by Age'!U$7),'Population Data by Age'!$B$7:$B$10366,0),MATCH('Tabular Pop Data by Age'!$C$6,'Population Data by Age'!$B$6:$H$6,0))</f>
        <v>602000</v>
      </c>
      <c r="V142" s="78">
        <f>INDEX('Population Data by Age'!$B$7:$H$10366,MATCH(CONCATENATE('Tabular Pop Data by Age'!$C142,'Tabular Pop Data by Age'!V$7),'Population Data by Age'!$B$7:$B$10366,0),MATCH('Tabular Pop Data by Age'!$C$6,'Population Data by Age'!$B$6:$H$6,0))</f>
        <v>558000</v>
      </c>
      <c r="W142" s="78">
        <f>INDEX('Population Data by Age'!$B$7:$H$10366,MATCH(CONCATENATE('Tabular Pop Data by Age'!$C142,'Tabular Pop Data by Age'!W$7),'Population Data by Age'!$B$7:$B$10366,0),MATCH('Tabular Pop Data by Age'!$C$6,'Population Data by Age'!$B$6:$H$6,0))</f>
        <v>444000</v>
      </c>
      <c r="X142" s="78">
        <f>INDEX('Population Data by Age'!$B$7:$H$10366,MATCH(CONCATENATE('Tabular Pop Data by Age'!$C142,'Tabular Pop Data by Age'!X$7),'Population Data by Age'!$B$7:$B$10366,0),MATCH('Tabular Pop Data by Age'!$C$6,'Population Data by Age'!$B$6:$H$6,0))</f>
        <v>453000</v>
      </c>
      <c r="Y142" s="78">
        <f>INDEX('Population Data by Age'!$B$7:$H$10366,MATCH(CONCATENATE('Tabular Pop Data by Age'!$C142,'Tabular Pop Data by Age'!Y$7),'Population Data by Age'!$B$7:$B$10366,0),MATCH('Tabular Pop Data by Age'!$C$6,'Population Data by Age'!$B$6:$H$6,0))</f>
        <v>329000</v>
      </c>
      <c r="Z142" s="78">
        <f>INDEX('Population Data by Age'!$B$7:$H$10366,MATCH(CONCATENATE('Tabular Pop Data by Age'!$C142,'Tabular Pop Data by Age'!Z$7),'Population Data by Age'!$B$7:$B$10366,0),MATCH('Tabular Pop Data by Age'!$C$6,'Population Data by Age'!$B$6:$H$6,0))</f>
        <v>355000</v>
      </c>
      <c r="AA142" s="78">
        <f>INDEX('Population Data by Age'!$B$7:$H$10366,MATCH(CONCATENATE('Tabular Pop Data by Age'!$C142,'Tabular Pop Data by Age'!AA$7),'Population Data by Age'!$B$7:$B$10366,0),MATCH('Tabular Pop Data by Age'!$C$6,'Population Data by Age'!$B$6:$H$6,0))</f>
        <v>263000</v>
      </c>
      <c r="AB142" s="78">
        <f>INDEX('Population Data by Age'!$B$7:$H$10366,MATCH(CONCATENATE('Tabular Pop Data by Age'!$C142,'Tabular Pop Data by Age'!AB$7),'Population Data by Age'!$B$7:$B$10366,0),MATCH('Tabular Pop Data by Age'!$C$6,'Population Data by Age'!$B$6:$H$6,0))</f>
        <v>275000</v>
      </c>
      <c r="AC142" s="78">
        <f>INDEX('Population Data by Age'!$B$7:$H$10366,MATCH(CONCATENATE('Tabular Pop Data by Age'!$C142,'Tabular Pop Data by Age'!AC$7),'Population Data by Age'!$B$7:$B$10366,0),MATCH('Tabular Pop Data by Age'!$C$6,'Population Data by Age'!$B$6:$H$6,0))</f>
        <v>200000</v>
      </c>
      <c r="AD142" s="78">
        <f>INDEX('Population Data by Age'!$B$7:$H$10366,MATCH(CONCATENATE('Tabular Pop Data by Age'!$C142,'Tabular Pop Data by Age'!AD$7),'Population Data by Age'!$B$7:$B$10366,0),MATCH('Tabular Pop Data by Age'!$C$6,'Population Data by Age'!$B$6:$H$6,0))</f>
        <v>219000</v>
      </c>
      <c r="AE142" s="78">
        <f>INDEX('Population Data by Age'!$B$7:$H$10366,MATCH(CONCATENATE('Tabular Pop Data by Age'!$C142,'Tabular Pop Data by Age'!AE$7),'Population Data by Age'!$B$7:$B$10366,0),MATCH('Tabular Pop Data by Age'!$C$6,'Population Data by Age'!$B$6:$H$6,0))</f>
        <v>150000</v>
      </c>
      <c r="AF142" s="78">
        <f>INDEX('Population Data by Age'!$B$7:$H$10366,MATCH(CONCATENATE('Tabular Pop Data by Age'!$C142,'Tabular Pop Data by Age'!AF$7),'Population Data by Age'!$B$7:$B$10366,0),MATCH('Tabular Pop Data by Age'!$C$6,'Population Data by Age'!$B$6:$H$6,0))</f>
        <v>163000</v>
      </c>
      <c r="AG142" s="78">
        <f>INDEX('Population Data by Age'!$B$7:$H$10366,MATCH(CONCATENATE('Tabular Pop Data by Age'!$C142,'Tabular Pop Data by Age'!AG$7),'Population Data by Age'!$B$7:$B$10366,0),MATCH('Tabular Pop Data by Age'!$C$6,'Population Data by Age'!$B$6:$H$6,0))</f>
        <v>99000</v>
      </c>
      <c r="AH142" s="78">
        <f>INDEX('Population Data by Age'!$B$7:$H$10366,MATCH(CONCATENATE('Tabular Pop Data by Age'!$C142,'Tabular Pop Data by Age'!AH$7),'Population Data by Age'!$B$7:$B$10366,0),MATCH('Tabular Pop Data by Age'!$C$6,'Population Data by Age'!$B$6:$H$6,0))</f>
        <v>103000</v>
      </c>
      <c r="AI142" s="78">
        <f>INDEX('Population Data by Age'!$B$7:$H$10366,MATCH(CONCATENATE('Tabular Pop Data by Age'!$C142,'Tabular Pop Data by Age'!AI$7),'Population Data by Age'!$B$7:$B$10366,0),MATCH('Tabular Pop Data by Age'!$C$6,'Population Data by Age'!$B$6:$H$6,0))</f>
        <v>55000</v>
      </c>
      <c r="AJ142" s="78">
        <f>INDEX('Population Data by Age'!$B$7:$H$10366,MATCH(CONCATENATE('Tabular Pop Data by Age'!$C142,'Tabular Pop Data by Age'!AJ$7),'Population Data by Age'!$B$7:$B$10366,0),MATCH('Tabular Pop Data by Age'!$C$6,'Population Data by Age'!$B$6:$H$6,0))</f>
        <v>73000</v>
      </c>
      <c r="AK142" s="78">
        <f>INDEX('Population Data by Age'!$B$7:$H$10366,MATCH(CONCATENATE('Tabular Pop Data by Age'!$C142,'Tabular Pop Data by Age'!AK$7),'Population Data by Age'!$B$7:$B$10366,0),MATCH('Tabular Pop Data by Age'!$C$6,'Population Data by Age'!$B$6:$H$6,0))</f>
        <v>32000</v>
      </c>
      <c r="AL142" s="78">
        <f>INDEX('Population Data by Age'!$B$7:$H$10366,MATCH(CONCATENATE('Tabular Pop Data by Age'!$C142,'Tabular Pop Data by Age'!AL$7),'Population Data by Age'!$B$7:$B$10366,0),MATCH('Tabular Pop Data by Age'!$C$6,'Population Data by Age'!$B$6:$H$6,0))</f>
        <v>16067000</v>
      </c>
      <c r="AM142" s="78">
        <f>INDEX('Population Data by Age'!$B$7:$H$10366,MATCH(CONCATENATE('Tabular Pop Data by Age'!$C142,'Tabular Pop Data by Age'!AM$7),'Population Data by Age'!$B$7:$B$10366,0),MATCH('Tabular Pop Data by Age'!$C$6,'Population Data by Age'!$B$6:$H$6,0))</f>
        <v>15188000</v>
      </c>
      <c r="AN142" s="78">
        <f>INDEX('Population Data by Age'!$B$7:$H$10366,MATCH(CONCATENATE('Tabular Pop Data by Age'!$C142,'Tabular Pop Data by Age'!AN$7),'Population Data by Age'!$B$7:$B$10366,0),MATCH('Tabular Pop Data by Age'!$C$6,'Population Data by Age'!$B$6:$H$6,0))</f>
        <v>31255000</v>
      </c>
      <c r="AO142" s="78">
        <f>INDEX('Population Data by Age'!$B$7:$H$10366,MATCH(CONCATENATE('Tabular Pop Data by Age'!$C142,'Tabular Pop Data by Age'!AO$7),'Population Data by Age'!$B$7:$B$10366,0),MATCH('Tabular Pop Data by Age'!$C$6,'Population Data by Age'!$B$6:$H$6,0))</f>
        <v>0</v>
      </c>
      <c r="AP142" s="79">
        <f t="shared" si="34"/>
        <v>5157000</v>
      </c>
      <c r="AQ142" s="79">
        <f t="shared" si="35"/>
        <v>4561000</v>
      </c>
      <c r="AR142" s="79">
        <f t="shared" si="36"/>
        <v>4054000</v>
      </c>
      <c r="AS142" s="79">
        <f t="shared" si="37"/>
        <v>3541000</v>
      </c>
      <c r="AT142" s="79">
        <f t="shared" si="38"/>
        <v>2912000</v>
      </c>
      <c r="AU142" s="79">
        <f t="shared" si="39"/>
        <v>2382000</v>
      </c>
      <c r="AV142" s="79">
        <f t="shared" si="40"/>
        <v>1962000</v>
      </c>
      <c r="AW142" s="79">
        <f t="shared" si="41"/>
        <v>1627000</v>
      </c>
      <c r="AX142" s="79">
        <f t="shared" si="42"/>
        <v>1288000</v>
      </c>
      <c r="AY142" s="79">
        <f t="shared" si="43"/>
        <v>1002000</v>
      </c>
      <c r="AZ142" s="79">
        <f t="shared" si="44"/>
        <v>782000</v>
      </c>
      <c r="BA142" s="79">
        <f t="shared" si="45"/>
        <v>618000</v>
      </c>
      <c r="BB142" s="79">
        <f t="shared" si="46"/>
        <v>475000</v>
      </c>
      <c r="BC142" s="79">
        <f t="shared" si="47"/>
        <v>369000</v>
      </c>
      <c r="BD142" s="79">
        <f t="shared" si="48"/>
        <v>262000</v>
      </c>
      <c r="BE142" s="79">
        <f t="shared" si="49"/>
        <v>158000</v>
      </c>
      <c r="BF142" s="79">
        <f t="shared" si="50"/>
        <v>105000</v>
      </c>
    </row>
    <row r="143" spans="1:58" x14ac:dyDescent="0.25">
      <c r="A143" s="138" t="s">
        <v>1195</v>
      </c>
      <c r="B143" t="s">
        <v>244</v>
      </c>
      <c r="C143" t="s">
        <v>94</v>
      </c>
      <c r="D143" s="78">
        <f>INDEX('Population Data by Age'!$B$7:$H$10366,MATCH(CONCATENATE('Tabular Pop Data by Age'!$C143,'Tabular Pop Data by Age'!D$7),'Population Data by Age'!$B$7:$B$10366,0),MATCH('Tabular Pop Data by Age'!$C$6,'Population Data by Age'!$B$6:$H$6,0))</f>
        <v>2232000</v>
      </c>
      <c r="E143" s="78">
        <f>INDEX('Population Data by Age'!$B$7:$H$10366,MATCH(CONCATENATE('Tabular Pop Data by Age'!$C143,'Tabular Pop Data by Age'!E$7),'Population Data by Age'!$B$7:$B$10366,0),MATCH('Tabular Pop Data by Age'!$C$6,'Population Data by Age'!$B$6:$H$6,0))</f>
        <v>2277000</v>
      </c>
      <c r="F143" s="78">
        <f>INDEX('Population Data by Age'!$B$7:$H$10366,MATCH(CONCATENATE('Tabular Pop Data by Age'!$C143,'Tabular Pop Data by Age'!F$7),'Population Data by Age'!$B$7:$B$10366,0),MATCH('Tabular Pop Data by Age'!$C$6,'Population Data by Age'!$B$6:$H$6,0))</f>
        <v>2241000</v>
      </c>
      <c r="G143" s="78">
        <f>INDEX('Population Data by Age'!$B$7:$H$10366,MATCH(CONCATENATE('Tabular Pop Data by Age'!$C143,'Tabular Pop Data by Age'!G$7),'Population Data by Age'!$B$7:$B$10366,0),MATCH('Tabular Pop Data by Age'!$C$6,'Population Data by Age'!$B$6:$H$6,0))</f>
        <v>2272000</v>
      </c>
      <c r="H143" s="78">
        <f>INDEX('Population Data by Age'!$B$7:$H$10366,MATCH(CONCATENATE('Tabular Pop Data by Age'!$C143,'Tabular Pop Data by Age'!H$7),'Population Data by Age'!$B$7:$B$10366,0),MATCH('Tabular Pop Data by Age'!$C$6,'Population Data by Age'!$B$6:$H$6,0))</f>
        <v>2413000</v>
      </c>
      <c r="I143" s="78">
        <f>INDEX('Population Data by Age'!$B$7:$H$10366,MATCH(CONCATENATE('Tabular Pop Data by Age'!$C143,'Tabular Pop Data by Age'!I$7),'Population Data by Age'!$B$7:$B$10366,0),MATCH('Tabular Pop Data by Age'!$C$6,'Population Data by Age'!$B$6:$H$6,0))</f>
        <v>2433000</v>
      </c>
      <c r="J143" s="78">
        <f>INDEX('Population Data by Age'!$B$7:$H$10366,MATCH(CONCATENATE('Tabular Pop Data by Age'!$C143,'Tabular Pop Data by Age'!J$7),'Population Data by Age'!$B$7:$B$10366,0),MATCH('Tabular Pop Data by Age'!$C$6,'Population Data by Age'!$B$6:$H$6,0))</f>
        <v>2531000</v>
      </c>
      <c r="K143" s="78">
        <f>INDEX('Population Data by Age'!$B$7:$H$10366,MATCH(CONCATENATE('Tabular Pop Data by Age'!$C143,'Tabular Pop Data by Age'!K$7),'Population Data by Age'!$B$7:$B$10366,0),MATCH('Tabular Pop Data by Age'!$C$6,'Population Data by Age'!$B$6:$H$6,0))</f>
        <v>2541000</v>
      </c>
      <c r="L143" s="78">
        <f>INDEX('Population Data by Age'!$B$7:$H$10366,MATCH(CONCATENATE('Tabular Pop Data by Age'!$C143,'Tabular Pop Data by Age'!L$7),'Population Data by Age'!$B$7:$B$10366,0),MATCH('Tabular Pop Data by Age'!$C$6,'Population Data by Age'!$B$6:$H$6,0))</f>
        <v>2392000</v>
      </c>
      <c r="M143" s="78">
        <f>INDEX('Population Data by Age'!$B$7:$H$10366,MATCH(CONCATENATE('Tabular Pop Data by Age'!$C143,'Tabular Pop Data by Age'!M$7),'Population Data by Age'!$B$7:$B$10366,0),MATCH('Tabular Pop Data by Age'!$C$6,'Population Data by Age'!$B$6:$H$6,0))</f>
        <v>2367000</v>
      </c>
      <c r="N143" s="78">
        <f>INDEX('Population Data by Age'!$B$7:$H$10366,MATCH(CONCATENATE('Tabular Pop Data by Age'!$C143,'Tabular Pop Data by Age'!N$7),'Population Data by Age'!$B$7:$B$10366,0),MATCH('Tabular Pop Data by Age'!$C$6,'Population Data by Age'!$B$6:$H$6,0))</f>
        <v>2234000</v>
      </c>
      <c r="O143" s="78">
        <f>INDEX('Population Data by Age'!$B$7:$H$10366,MATCH(CONCATENATE('Tabular Pop Data by Age'!$C143,'Tabular Pop Data by Age'!O$7),'Population Data by Age'!$B$7:$B$10366,0),MATCH('Tabular Pop Data by Age'!$C$6,'Population Data by Age'!$B$6:$H$6,0))</f>
        <v>2170000</v>
      </c>
      <c r="P143" s="78">
        <f>INDEX('Population Data by Age'!$B$7:$H$10366,MATCH(CONCATENATE('Tabular Pop Data by Age'!$C143,'Tabular Pop Data by Age'!P$7),'Population Data by Age'!$B$7:$B$10366,0),MATCH('Tabular Pop Data by Age'!$C$6,'Population Data by Age'!$B$6:$H$6,0))</f>
        <v>2116000</v>
      </c>
      <c r="Q143" s="78">
        <f>INDEX('Population Data by Age'!$B$7:$H$10366,MATCH(CONCATENATE('Tabular Pop Data by Age'!$C143,'Tabular Pop Data by Age'!Q$7),'Population Data by Age'!$B$7:$B$10366,0),MATCH('Tabular Pop Data by Age'!$C$6,'Population Data by Age'!$B$6:$H$6,0))</f>
        <v>2012000</v>
      </c>
      <c r="R143" s="78">
        <f>INDEX('Population Data by Age'!$B$7:$H$10366,MATCH(CONCATENATE('Tabular Pop Data by Age'!$C143,'Tabular Pop Data by Age'!R$7),'Population Data by Age'!$B$7:$B$10366,0),MATCH('Tabular Pop Data by Age'!$C$6,'Population Data by Age'!$B$6:$H$6,0))</f>
        <v>2020000</v>
      </c>
      <c r="S143" s="78">
        <f>INDEX('Population Data by Age'!$B$7:$H$10366,MATCH(CONCATENATE('Tabular Pop Data by Age'!$C143,'Tabular Pop Data by Age'!S$7),'Population Data by Age'!$B$7:$B$10366,0),MATCH('Tabular Pop Data by Age'!$C$6,'Population Data by Age'!$B$6:$H$6,0))</f>
        <v>1925000</v>
      </c>
      <c r="T143" s="78">
        <f>INDEX('Population Data by Age'!$B$7:$H$10366,MATCH(CONCATENATE('Tabular Pop Data by Age'!$C143,'Tabular Pop Data by Age'!T$7),'Population Data by Age'!$B$7:$B$10366,0),MATCH('Tabular Pop Data by Age'!$C$6,'Population Data by Age'!$B$6:$H$6,0))</f>
        <v>1958000</v>
      </c>
      <c r="U143" s="78">
        <f>INDEX('Population Data by Age'!$B$7:$H$10366,MATCH(CONCATENATE('Tabular Pop Data by Age'!$C143,'Tabular Pop Data by Age'!U$7),'Population Data by Age'!$B$7:$B$10366,0),MATCH('Tabular Pop Data by Age'!$C$6,'Population Data by Age'!$B$6:$H$6,0))</f>
        <v>1802000</v>
      </c>
      <c r="V143" s="78">
        <f>INDEX('Population Data by Age'!$B$7:$H$10366,MATCH(CONCATENATE('Tabular Pop Data by Age'!$C143,'Tabular Pop Data by Age'!V$7),'Population Data by Age'!$B$7:$B$10366,0),MATCH('Tabular Pop Data by Age'!$C$6,'Population Data by Age'!$B$6:$H$6,0))</f>
        <v>1832000</v>
      </c>
      <c r="W143" s="78">
        <f>INDEX('Population Data by Age'!$B$7:$H$10366,MATCH(CONCATENATE('Tabular Pop Data by Age'!$C143,'Tabular Pop Data by Age'!W$7),'Population Data by Age'!$B$7:$B$10366,0),MATCH('Tabular Pop Data by Age'!$C$6,'Population Data by Age'!$B$6:$H$6,0))</f>
        <v>1628000</v>
      </c>
      <c r="X143" s="78">
        <f>INDEX('Population Data by Age'!$B$7:$H$10366,MATCH(CONCATENATE('Tabular Pop Data by Age'!$C143,'Tabular Pop Data by Age'!X$7),'Population Data by Age'!$B$7:$B$10366,0),MATCH('Tabular Pop Data by Age'!$C$6,'Population Data by Age'!$B$6:$H$6,0))</f>
        <v>1644000</v>
      </c>
      <c r="Y143" s="78">
        <f>INDEX('Population Data by Age'!$B$7:$H$10366,MATCH(CONCATENATE('Tabular Pop Data by Age'!$C143,'Tabular Pop Data by Age'!Y$7),'Population Data by Age'!$B$7:$B$10366,0),MATCH('Tabular Pop Data by Age'!$C$6,'Population Data by Age'!$B$6:$H$6,0))</f>
        <v>1407000</v>
      </c>
      <c r="Z143" s="78">
        <f>INDEX('Population Data by Age'!$B$7:$H$10366,MATCH(CONCATENATE('Tabular Pop Data by Age'!$C143,'Tabular Pop Data by Age'!Z$7),'Population Data by Age'!$B$7:$B$10366,0),MATCH('Tabular Pop Data by Age'!$C$6,'Population Data by Age'!$B$6:$H$6,0))</f>
        <v>1389000</v>
      </c>
      <c r="AA143" s="78">
        <f>INDEX('Population Data by Age'!$B$7:$H$10366,MATCH(CONCATENATE('Tabular Pop Data by Age'!$C143,'Tabular Pop Data by Age'!AA$7),'Population Data by Age'!$B$7:$B$10366,0),MATCH('Tabular Pop Data by Age'!$C$6,'Population Data by Age'!$B$6:$H$6,0))</f>
        <v>1132000</v>
      </c>
      <c r="AB143" s="78">
        <f>INDEX('Population Data by Age'!$B$7:$H$10366,MATCH(CONCATENATE('Tabular Pop Data by Age'!$C143,'Tabular Pop Data by Age'!AB$7),'Population Data by Age'!$B$7:$B$10366,0),MATCH('Tabular Pop Data by Age'!$C$6,'Population Data by Age'!$B$6:$H$6,0))</f>
        <v>1159000</v>
      </c>
      <c r="AC143" s="78">
        <f>INDEX('Population Data by Age'!$B$7:$H$10366,MATCH(CONCATENATE('Tabular Pop Data by Age'!$C143,'Tabular Pop Data by Age'!AC$7),'Population Data by Age'!$B$7:$B$10366,0),MATCH('Tabular Pop Data by Age'!$C$6,'Population Data by Age'!$B$6:$H$6,0))</f>
        <v>891000</v>
      </c>
      <c r="AD143" s="78">
        <f>INDEX('Population Data by Age'!$B$7:$H$10366,MATCH(CONCATENATE('Tabular Pop Data by Age'!$C143,'Tabular Pop Data by Age'!AD$7),'Population Data by Age'!$B$7:$B$10366,0),MATCH('Tabular Pop Data by Age'!$C$6,'Population Data by Age'!$B$6:$H$6,0))</f>
        <v>911000</v>
      </c>
      <c r="AE143" s="78">
        <f>INDEX('Population Data by Age'!$B$7:$H$10366,MATCH(CONCATENATE('Tabular Pop Data by Age'!$C143,'Tabular Pop Data by Age'!AE$7),'Population Data by Age'!$B$7:$B$10366,0),MATCH('Tabular Pop Data by Age'!$C$6,'Population Data by Age'!$B$6:$H$6,0))</f>
        <v>643000</v>
      </c>
      <c r="AF143" s="78">
        <f>INDEX('Population Data by Age'!$B$7:$H$10366,MATCH(CONCATENATE('Tabular Pop Data by Age'!$C143,'Tabular Pop Data by Age'!AF$7),'Population Data by Age'!$B$7:$B$10366,0),MATCH('Tabular Pop Data by Age'!$C$6,'Population Data by Age'!$B$6:$H$6,0))</f>
        <v>523000</v>
      </c>
      <c r="AG143" s="78">
        <f>INDEX('Population Data by Age'!$B$7:$H$10366,MATCH(CONCATENATE('Tabular Pop Data by Age'!$C143,'Tabular Pop Data by Age'!AG$7),'Population Data by Age'!$B$7:$B$10366,0),MATCH('Tabular Pop Data by Age'!$C$6,'Population Data by Age'!$B$6:$H$6,0))</f>
        <v>368000</v>
      </c>
      <c r="AH143" s="78">
        <f>INDEX('Population Data by Age'!$B$7:$H$10366,MATCH(CONCATENATE('Tabular Pop Data by Age'!$C143,'Tabular Pop Data by Age'!AH$7),'Population Data by Age'!$B$7:$B$10366,0),MATCH('Tabular Pop Data by Age'!$C$6,'Population Data by Age'!$B$6:$H$6,0))</f>
        <v>323000</v>
      </c>
      <c r="AI143" s="78">
        <f>INDEX('Population Data by Age'!$B$7:$H$10366,MATCH(CONCATENATE('Tabular Pop Data by Age'!$C143,'Tabular Pop Data by Age'!AI$7),'Population Data by Age'!$B$7:$B$10366,0),MATCH('Tabular Pop Data by Age'!$C$6,'Population Data by Age'!$B$6:$H$6,0))</f>
        <v>209000</v>
      </c>
      <c r="AJ143" s="78">
        <f>INDEX('Population Data by Age'!$B$7:$H$10366,MATCH(CONCATENATE('Tabular Pop Data by Age'!$C143,'Tabular Pop Data by Age'!AJ$7),'Population Data by Age'!$B$7:$B$10366,0),MATCH('Tabular Pop Data by Age'!$C$6,'Population Data by Age'!$B$6:$H$6,0))</f>
        <v>272000</v>
      </c>
      <c r="AK143" s="78">
        <f>INDEX('Population Data by Age'!$B$7:$H$10366,MATCH(CONCATENATE('Tabular Pop Data by Age'!$C143,'Tabular Pop Data by Age'!AK$7),'Population Data by Age'!$B$7:$B$10366,0),MATCH('Tabular Pop Data by Age'!$C$6,'Population Data by Age'!$B$6:$H$6,0))</f>
        <v>144000</v>
      </c>
      <c r="AL143" s="78">
        <f>INDEX('Population Data by Age'!$B$7:$H$10366,MATCH(CONCATENATE('Tabular Pop Data by Age'!$C143,'Tabular Pop Data by Age'!AL$7),'Population Data by Age'!$B$7:$B$10366,0),MATCH('Tabular Pop Data by Age'!$C$6,'Population Data by Age'!$B$6:$H$6,0))</f>
        <v>28190000</v>
      </c>
      <c r="AM143" s="78">
        <f>INDEX('Population Data by Age'!$B$7:$H$10366,MATCH(CONCATENATE('Tabular Pop Data by Age'!$C143,'Tabular Pop Data by Age'!AM$7),'Population Data by Age'!$B$7:$B$10366,0),MATCH('Tabular Pop Data by Age'!$C$6,'Population Data by Age'!$B$6:$H$6,0))</f>
        <v>26220000</v>
      </c>
      <c r="AN143" s="78">
        <f>INDEX('Population Data by Age'!$B$7:$H$10366,MATCH(CONCATENATE('Tabular Pop Data by Age'!$C143,'Tabular Pop Data by Age'!AN$7),'Population Data by Age'!$B$7:$B$10366,0),MATCH('Tabular Pop Data by Age'!$C$6,'Population Data by Age'!$B$6:$H$6,0))</f>
        <v>54410000</v>
      </c>
      <c r="AO143" s="78">
        <f>INDEX('Population Data by Age'!$B$7:$H$10366,MATCH(CONCATENATE('Tabular Pop Data by Age'!$C143,'Tabular Pop Data by Age'!AO$7),'Population Data by Age'!$B$7:$B$10366,0),MATCH('Tabular Pop Data by Age'!$C$6,'Population Data by Age'!$B$6:$H$6,0))</f>
        <v>0</v>
      </c>
      <c r="AP143" s="79">
        <f t="shared" si="34"/>
        <v>4509000</v>
      </c>
      <c r="AQ143" s="79">
        <f t="shared" si="35"/>
        <v>4513000</v>
      </c>
      <c r="AR143" s="79">
        <f t="shared" si="36"/>
        <v>4846000</v>
      </c>
      <c r="AS143" s="79">
        <f t="shared" si="37"/>
        <v>5072000</v>
      </c>
      <c r="AT143" s="79">
        <f t="shared" si="38"/>
        <v>4759000</v>
      </c>
      <c r="AU143" s="79">
        <f t="shared" si="39"/>
        <v>4404000</v>
      </c>
      <c r="AV143" s="79">
        <f t="shared" si="40"/>
        <v>4128000</v>
      </c>
      <c r="AW143" s="79">
        <f t="shared" si="41"/>
        <v>3945000</v>
      </c>
      <c r="AX143" s="79">
        <f t="shared" si="42"/>
        <v>3760000</v>
      </c>
      <c r="AY143" s="79">
        <f t="shared" si="43"/>
        <v>3460000</v>
      </c>
      <c r="AZ143" s="79">
        <f t="shared" si="44"/>
        <v>3051000</v>
      </c>
      <c r="BA143" s="79">
        <f t="shared" si="45"/>
        <v>2521000</v>
      </c>
      <c r="BB143" s="79">
        <f t="shared" si="46"/>
        <v>2050000</v>
      </c>
      <c r="BC143" s="79">
        <f t="shared" si="47"/>
        <v>1554000</v>
      </c>
      <c r="BD143" s="79">
        <f t="shared" si="48"/>
        <v>891000</v>
      </c>
      <c r="BE143" s="79">
        <f t="shared" si="49"/>
        <v>532000</v>
      </c>
      <c r="BF143" s="79">
        <f t="shared" si="50"/>
        <v>416000</v>
      </c>
    </row>
    <row r="144" spans="1:58" x14ac:dyDescent="0.25">
      <c r="A144" s="138" t="s">
        <v>1195</v>
      </c>
      <c r="B144" t="s">
        <v>208</v>
      </c>
      <c r="C144" t="s">
        <v>102</v>
      </c>
      <c r="D144" s="78">
        <f>INDEX('Population Data by Age'!$B$7:$H$10366,MATCH(CONCATENATE('Tabular Pop Data by Age'!$C144,'Tabular Pop Data by Age'!D$7),'Population Data by Age'!$B$7:$B$10366,0),MATCH('Tabular Pop Data by Age'!$C$6,'Population Data by Age'!$B$6:$H$6,0))</f>
        <v>168000</v>
      </c>
      <c r="E144" s="78">
        <f>INDEX('Population Data by Age'!$B$7:$H$10366,MATCH(CONCATENATE('Tabular Pop Data by Age'!$C144,'Tabular Pop Data by Age'!E$7),'Population Data by Age'!$B$7:$B$10366,0),MATCH('Tabular Pop Data by Age'!$C$6,'Population Data by Age'!$B$6:$H$6,0))</f>
        <v>168000</v>
      </c>
      <c r="F144" s="78">
        <f>INDEX('Population Data by Age'!$B$7:$H$10366,MATCH(CONCATENATE('Tabular Pop Data by Age'!$C144,'Tabular Pop Data by Age'!F$7),'Population Data by Age'!$B$7:$B$10366,0),MATCH('Tabular Pop Data by Age'!$C$6,'Population Data by Age'!$B$6:$H$6,0))</f>
        <v>159000</v>
      </c>
      <c r="G144" s="78">
        <f>INDEX('Population Data by Age'!$B$7:$H$10366,MATCH(CONCATENATE('Tabular Pop Data by Age'!$C144,'Tabular Pop Data by Age'!G$7),'Population Data by Age'!$B$7:$B$10366,0),MATCH('Tabular Pop Data by Age'!$C$6,'Population Data by Age'!$B$6:$H$6,0))</f>
        <v>159000</v>
      </c>
      <c r="H144" s="78">
        <f>INDEX('Population Data by Age'!$B$7:$H$10366,MATCH(CONCATENATE('Tabular Pop Data by Age'!$C144,'Tabular Pop Data by Age'!H$7),'Population Data by Age'!$B$7:$B$10366,0),MATCH('Tabular Pop Data by Age'!$C$6,'Population Data by Age'!$B$6:$H$6,0))</f>
        <v>141000</v>
      </c>
      <c r="I144" s="78">
        <f>INDEX('Population Data by Age'!$B$7:$H$10366,MATCH(CONCATENATE('Tabular Pop Data by Age'!$C144,'Tabular Pop Data by Age'!I$7),'Population Data by Age'!$B$7:$B$10366,0),MATCH('Tabular Pop Data by Age'!$C$6,'Population Data by Age'!$B$6:$H$6,0))</f>
        <v>141000</v>
      </c>
      <c r="J144" s="78">
        <f>INDEX('Population Data by Age'!$B$7:$H$10366,MATCH(CONCATENATE('Tabular Pop Data by Age'!$C144,'Tabular Pop Data by Age'!J$7),'Population Data by Age'!$B$7:$B$10366,0),MATCH('Tabular Pop Data by Age'!$C$6,'Population Data by Age'!$B$6:$H$6,0))</f>
        <v>123000</v>
      </c>
      <c r="K144" s="78">
        <f>INDEX('Population Data by Age'!$B$7:$H$10366,MATCH(CONCATENATE('Tabular Pop Data by Age'!$C144,'Tabular Pop Data by Age'!K$7),'Population Data by Age'!$B$7:$B$10366,0),MATCH('Tabular Pop Data by Age'!$C$6,'Population Data by Age'!$B$6:$H$6,0))</f>
        <v>122000</v>
      </c>
      <c r="L144" s="78">
        <f>INDEX('Population Data by Age'!$B$7:$H$10366,MATCH(CONCATENATE('Tabular Pop Data by Age'!$C144,'Tabular Pop Data by Age'!L$7),'Population Data by Age'!$B$7:$B$10366,0),MATCH('Tabular Pop Data by Age'!$C$6,'Population Data by Age'!$B$6:$H$6,0))</f>
        <v>124000</v>
      </c>
      <c r="M144" s="78">
        <f>INDEX('Population Data by Age'!$B$7:$H$10366,MATCH(CONCATENATE('Tabular Pop Data by Age'!$C144,'Tabular Pop Data by Age'!M$7),'Population Data by Age'!$B$7:$B$10366,0),MATCH('Tabular Pop Data by Age'!$C$6,'Population Data by Age'!$B$6:$H$6,0))</f>
        <v>121000</v>
      </c>
      <c r="N144" s="78">
        <f>INDEX('Population Data by Age'!$B$7:$H$10366,MATCH(CONCATENATE('Tabular Pop Data by Age'!$C144,'Tabular Pop Data by Age'!N$7),'Population Data by Age'!$B$7:$B$10366,0),MATCH('Tabular Pop Data by Age'!$C$6,'Population Data by Age'!$B$6:$H$6,0))</f>
        <v>117000</v>
      </c>
      <c r="O144" s="78">
        <f>INDEX('Population Data by Age'!$B$7:$H$10366,MATCH(CONCATENATE('Tabular Pop Data by Age'!$C144,'Tabular Pop Data by Age'!O$7),'Population Data by Age'!$B$7:$B$10366,0),MATCH('Tabular Pop Data by Age'!$C$6,'Population Data by Age'!$B$6:$H$6,0))</f>
        <v>112000</v>
      </c>
      <c r="P144" s="78">
        <f>INDEX('Population Data by Age'!$B$7:$H$10366,MATCH(CONCATENATE('Tabular Pop Data by Age'!$C144,'Tabular Pop Data by Age'!P$7),'Population Data by Age'!$B$7:$B$10366,0),MATCH('Tabular Pop Data by Age'!$C$6,'Population Data by Age'!$B$6:$H$6,0))</f>
        <v>101000</v>
      </c>
      <c r="Q144" s="78">
        <f>INDEX('Population Data by Age'!$B$7:$H$10366,MATCH(CONCATENATE('Tabular Pop Data by Age'!$C144,'Tabular Pop Data by Age'!Q$7),'Population Data by Age'!$B$7:$B$10366,0),MATCH('Tabular Pop Data by Age'!$C$6,'Population Data by Age'!$B$6:$H$6,0))</f>
        <v>96000</v>
      </c>
      <c r="R144" s="78">
        <f>INDEX('Population Data by Age'!$B$7:$H$10366,MATCH(CONCATENATE('Tabular Pop Data by Age'!$C144,'Tabular Pop Data by Age'!R$7),'Population Data by Age'!$B$7:$B$10366,0),MATCH('Tabular Pop Data by Age'!$C$6,'Population Data by Age'!$B$6:$H$6,0))</f>
        <v>82000</v>
      </c>
      <c r="S144" s="78">
        <f>INDEX('Population Data by Age'!$B$7:$H$10366,MATCH(CONCATENATE('Tabular Pop Data by Age'!$C144,'Tabular Pop Data by Age'!S$7),'Population Data by Age'!$B$7:$B$10366,0),MATCH('Tabular Pop Data by Age'!$C$6,'Population Data by Age'!$B$6:$H$6,0))</f>
        <v>78000</v>
      </c>
      <c r="T144" s="78">
        <f>INDEX('Population Data by Age'!$B$7:$H$10366,MATCH(CONCATENATE('Tabular Pop Data by Age'!$C144,'Tabular Pop Data by Age'!T$7),'Population Data by Age'!$B$7:$B$10366,0),MATCH('Tabular Pop Data by Age'!$C$6,'Population Data by Age'!$B$6:$H$6,0))</f>
        <v>67000</v>
      </c>
      <c r="U144" s="78">
        <f>INDEX('Population Data by Age'!$B$7:$H$10366,MATCH(CONCATENATE('Tabular Pop Data by Age'!$C144,'Tabular Pop Data by Age'!U$7),'Population Data by Age'!$B$7:$B$10366,0),MATCH('Tabular Pop Data by Age'!$C$6,'Population Data by Age'!$B$6:$H$6,0))</f>
        <v>63000</v>
      </c>
      <c r="V144" s="78">
        <f>INDEX('Population Data by Age'!$B$7:$H$10366,MATCH(CONCATENATE('Tabular Pop Data by Age'!$C144,'Tabular Pop Data by Age'!V$7),'Population Data by Age'!$B$7:$B$10366,0),MATCH('Tabular Pop Data by Age'!$C$6,'Population Data by Age'!$B$6:$H$6,0))</f>
        <v>56000</v>
      </c>
      <c r="W144" s="78">
        <f>INDEX('Population Data by Age'!$B$7:$H$10366,MATCH(CONCATENATE('Tabular Pop Data by Age'!$C144,'Tabular Pop Data by Age'!W$7),'Population Data by Age'!$B$7:$B$10366,0),MATCH('Tabular Pop Data by Age'!$C$6,'Population Data by Age'!$B$6:$H$6,0))</f>
        <v>51000</v>
      </c>
      <c r="X144" s="78">
        <f>INDEX('Population Data by Age'!$B$7:$H$10366,MATCH(CONCATENATE('Tabular Pop Data by Age'!$C144,'Tabular Pop Data by Age'!X$7),'Population Data by Age'!$B$7:$B$10366,0),MATCH('Tabular Pop Data by Age'!$C$6,'Population Data by Age'!$B$6:$H$6,0))</f>
        <v>45000</v>
      </c>
      <c r="Y144" s="78">
        <f>INDEX('Population Data by Age'!$B$7:$H$10366,MATCH(CONCATENATE('Tabular Pop Data by Age'!$C144,'Tabular Pop Data by Age'!Y$7),'Population Data by Age'!$B$7:$B$10366,0),MATCH('Tabular Pop Data by Age'!$C$6,'Population Data by Age'!$B$6:$H$6,0))</f>
        <v>38000</v>
      </c>
      <c r="Z144" s="78">
        <f>INDEX('Population Data by Age'!$B$7:$H$10366,MATCH(CONCATENATE('Tabular Pop Data by Age'!$C144,'Tabular Pop Data by Age'!Z$7),'Population Data by Age'!$B$7:$B$10366,0),MATCH('Tabular Pop Data by Age'!$C$6,'Population Data by Age'!$B$6:$H$6,0))</f>
        <v>38000</v>
      </c>
      <c r="AA144" s="78">
        <f>INDEX('Population Data by Age'!$B$7:$H$10366,MATCH(CONCATENATE('Tabular Pop Data by Age'!$C144,'Tabular Pop Data by Age'!AA$7),'Population Data by Age'!$B$7:$B$10366,0),MATCH('Tabular Pop Data by Age'!$C$6,'Population Data by Age'!$B$6:$H$6,0))</f>
        <v>30000</v>
      </c>
      <c r="AB144" s="78">
        <f>INDEX('Population Data by Age'!$B$7:$H$10366,MATCH(CONCATENATE('Tabular Pop Data by Age'!$C144,'Tabular Pop Data by Age'!AB$7),'Population Data by Age'!$B$7:$B$10366,0),MATCH('Tabular Pop Data by Age'!$C$6,'Population Data by Age'!$B$6:$H$6,0))</f>
        <v>30000</v>
      </c>
      <c r="AC144" s="78">
        <f>INDEX('Population Data by Age'!$B$7:$H$10366,MATCH(CONCATENATE('Tabular Pop Data by Age'!$C144,'Tabular Pop Data by Age'!AC$7),'Population Data by Age'!$B$7:$B$10366,0),MATCH('Tabular Pop Data by Age'!$C$6,'Population Data by Age'!$B$6:$H$6,0))</f>
        <v>21000</v>
      </c>
      <c r="AD144" s="78">
        <f>INDEX('Population Data by Age'!$B$7:$H$10366,MATCH(CONCATENATE('Tabular Pop Data by Age'!$C144,'Tabular Pop Data by Age'!AD$7),'Population Data by Age'!$B$7:$B$10366,0),MATCH('Tabular Pop Data by Age'!$C$6,'Population Data by Age'!$B$6:$H$6,0))</f>
        <v>22000</v>
      </c>
      <c r="AE144" s="78">
        <f>INDEX('Population Data by Age'!$B$7:$H$10366,MATCH(CONCATENATE('Tabular Pop Data by Age'!$C144,'Tabular Pop Data by Age'!AE$7),'Population Data by Age'!$B$7:$B$10366,0),MATCH('Tabular Pop Data by Age'!$C$6,'Population Data by Age'!$B$6:$H$6,0))</f>
        <v>14000</v>
      </c>
      <c r="AF144" s="78">
        <f>INDEX('Population Data by Age'!$B$7:$H$10366,MATCH(CONCATENATE('Tabular Pop Data by Age'!$C144,'Tabular Pop Data by Age'!AF$7),'Population Data by Age'!$B$7:$B$10366,0),MATCH('Tabular Pop Data by Age'!$C$6,'Population Data by Age'!$B$6:$H$6,0))</f>
        <v>15000</v>
      </c>
      <c r="AG144" s="78">
        <f>INDEX('Population Data by Age'!$B$7:$H$10366,MATCH(CONCATENATE('Tabular Pop Data by Age'!$C144,'Tabular Pop Data by Age'!AG$7),'Population Data by Age'!$B$7:$B$10366,0),MATCH('Tabular Pop Data by Age'!$C$6,'Population Data by Age'!$B$6:$H$6,0))</f>
        <v>9300</v>
      </c>
      <c r="AH144" s="78">
        <f>INDEX('Population Data by Age'!$B$7:$H$10366,MATCH(CONCATENATE('Tabular Pop Data by Age'!$C144,'Tabular Pop Data by Age'!AH$7),'Population Data by Age'!$B$7:$B$10366,0),MATCH('Tabular Pop Data by Age'!$C$6,'Population Data by Age'!$B$6:$H$6,0))</f>
        <v>11000</v>
      </c>
      <c r="AI144" s="78">
        <f>INDEX('Population Data by Age'!$B$7:$H$10366,MATCH(CONCATENATE('Tabular Pop Data by Age'!$C144,'Tabular Pop Data by Age'!AI$7),'Population Data by Age'!$B$7:$B$10366,0),MATCH('Tabular Pop Data by Age'!$C$6,'Population Data by Age'!$B$6:$H$6,0))</f>
        <v>6100</v>
      </c>
      <c r="AJ144" s="78">
        <f>INDEX('Population Data by Age'!$B$7:$H$10366,MATCH(CONCATENATE('Tabular Pop Data by Age'!$C144,'Tabular Pop Data by Age'!AJ$7),'Population Data by Age'!$B$7:$B$10366,0),MATCH('Tabular Pop Data by Age'!$C$6,'Population Data by Age'!$B$6:$H$6,0))</f>
        <v>9700</v>
      </c>
      <c r="AK144" s="78">
        <f>INDEX('Population Data by Age'!$B$7:$H$10366,MATCH(CONCATENATE('Tabular Pop Data by Age'!$C144,'Tabular Pop Data by Age'!AK$7),'Population Data by Age'!$B$7:$B$10366,0),MATCH('Tabular Pop Data by Age'!$C$6,'Population Data by Age'!$B$6:$H$6,0))</f>
        <v>4200</v>
      </c>
      <c r="AL144" s="78">
        <f>INDEX('Population Data by Age'!$B$7:$H$10366,MATCH(CONCATENATE('Tabular Pop Data by Age'!$C144,'Tabular Pop Data by Age'!AL$7),'Population Data by Age'!$B$7:$B$10366,0),MATCH('Tabular Pop Data by Age'!$C$6,'Population Data by Age'!$B$6:$H$6,0))</f>
        <v>1309000</v>
      </c>
      <c r="AM144" s="78">
        <f>INDEX('Population Data by Age'!$B$7:$H$10366,MATCH(CONCATENATE('Tabular Pop Data by Age'!$C144,'Tabular Pop Data by Age'!AM$7),'Population Data by Age'!$B$7:$B$10366,0),MATCH('Tabular Pop Data by Age'!$C$6,'Population Data by Age'!$B$6:$H$6,0))</f>
        <v>1232000</v>
      </c>
      <c r="AN144" s="78">
        <f>INDEX('Population Data by Age'!$B$7:$H$10366,MATCH(CONCATENATE('Tabular Pop Data by Age'!$C144,'Tabular Pop Data by Age'!AN$7),'Population Data by Age'!$B$7:$B$10366,0),MATCH('Tabular Pop Data by Age'!$C$6,'Population Data by Age'!$B$6:$H$6,0))</f>
        <v>2541000</v>
      </c>
      <c r="AO144" s="78">
        <f>INDEX('Population Data by Age'!$B$7:$H$10366,MATCH(CONCATENATE('Tabular Pop Data by Age'!$C144,'Tabular Pop Data by Age'!AO$7),'Population Data by Age'!$B$7:$B$10366,0),MATCH('Tabular Pop Data by Age'!$C$6,'Population Data by Age'!$B$6:$H$6,0))</f>
        <v>0</v>
      </c>
      <c r="AP144" s="79">
        <f t="shared" si="34"/>
        <v>336000</v>
      </c>
      <c r="AQ144" s="79">
        <f t="shared" si="35"/>
        <v>318000</v>
      </c>
      <c r="AR144" s="79">
        <f t="shared" si="36"/>
        <v>282000</v>
      </c>
      <c r="AS144" s="79">
        <f t="shared" si="37"/>
        <v>245000</v>
      </c>
      <c r="AT144" s="79">
        <f t="shared" si="38"/>
        <v>245000</v>
      </c>
      <c r="AU144" s="79">
        <f t="shared" si="39"/>
        <v>229000</v>
      </c>
      <c r="AV144" s="79">
        <f t="shared" si="40"/>
        <v>197000</v>
      </c>
      <c r="AW144" s="79">
        <f t="shared" si="41"/>
        <v>160000</v>
      </c>
      <c r="AX144" s="79">
        <f t="shared" si="42"/>
        <v>130000</v>
      </c>
      <c r="AY144" s="79">
        <f t="shared" si="43"/>
        <v>107000</v>
      </c>
      <c r="AZ144" s="79">
        <f t="shared" si="44"/>
        <v>83000</v>
      </c>
      <c r="BA144" s="79">
        <f t="shared" si="45"/>
        <v>68000</v>
      </c>
      <c r="BB144" s="79">
        <f t="shared" si="46"/>
        <v>51000</v>
      </c>
      <c r="BC144" s="79">
        <f t="shared" si="47"/>
        <v>36000</v>
      </c>
      <c r="BD144" s="79">
        <f t="shared" si="48"/>
        <v>24300</v>
      </c>
      <c r="BE144" s="79">
        <f t="shared" si="49"/>
        <v>17100</v>
      </c>
      <c r="BF144" s="79">
        <f t="shared" si="50"/>
        <v>13900</v>
      </c>
    </row>
    <row r="145" spans="1:58" x14ac:dyDescent="0.25">
      <c r="A145" s="138" t="s">
        <v>1195</v>
      </c>
      <c r="B145" t="s">
        <v>251</v>
      </c>
      <c r="C145" t="s">
        <v>109</v>
      </c>
      <c r="D145" s="78">
        <f>INDEX('Population Data by Age'!$B$7:$H$10366,MATCH(CONCATENATE('Tabular Pop Data by Age'!$C145,'Tabular Pop Data by Age'!D$7),'Population Data by Age'!$B$7:$B$10366,0),MATCH('Tabular Pop Data by Age'!$C$6,'Population Data by Age'!$B$6:$H$6,0))</f>
        <v>0</v>
      </c>
      <c r="E145" s="78">
        <f>INDEX('Population Data by Age'!$B$7:$H$10366,MATCH(CONCATENATE('Tabular Pop Data by Age'!$C145,'Tabular Pop Data by Age'!E$7),'Population Data by Age'!$B$7:$B$10366,0),MATCH('Tabular Pop Data by Age'!$C$6,'Population Data by Age'!$B$6:$H$6,0))</f>
        <v>0</v>
      </c>
      <c r="F145" s="78">
        <f>INDEX('Population Data by Age'!$B$7:$H$10366,MATCH(CONCATENATE('Tabular Pop Data by Age'!$C145,'Tabular Pop Data by Age'!F$7),'Population Data by Age'!$B$7:$B$10366,0),MATCH('Tabular Pop Data by Age'!$C$6,'Population Data by Age'!$B$6:$H$6,0))</f>
        <v>0</v>
      </c>
      <c r="G145" s="78">
        <f>INDEX('Population Data by Age'!$B$7:$H$10366,MATCH(CONCATENATE('Tabular Pop Data by Age'!$C145,'Tabular Pop Data by Age'!G$7),'Population Data by Age'!$B$7:$B$10366,0),MATCH('Tabular Pop Data by Age'!$C$6,'Population Data by Age'!$B$6:$H$6,0))</f>
        <v>0</v>
      </c>
      <c r="H145" s="78">
        <f>INDEX('Population Data by Age'!$B$7:$H$10366,MATCH(CONCATENATE('Tabular Pop Data by Age'!$C145,'Tabular Pop Data by Age'!H$7),'Population Data by Age'!$B$7:$B$10366,0),MATCH('Tabular Pop Data by Age'!$C$6,'Population Data by Age'!$B$6:$H$6,0))</f>
        <v>0</v>
      </c>
      <c r="I145" s="78">
        <f>INDEX('Population Data by Age'!$B$7:$H$10366,MATCH(CONCATENATE('Tabular Pop Data by Age'!$C145,'Tabular Pop Data by Age'!I$7),'Population Data by Age'!$B$7:$B$10366,0),MATCH('Tabular Pop Data by Age'!$C$6,'Population Data by Age'!$B$6:$H$6,0))</f>
        <v>0</v>
      </c>
      <c r="J145" s="78">
        <f>INDEX('Population Data by Age'!$B$7:$H$10366,MATCH(CONCATENATE('Tabular Pop Data by Age'!$C145,'Tabular Pop Data by Age'!J$7),'Population Data by Age'!$B$7:$B$10366,0),MATCH('Tabular Pop Data by Age'!$C$6,'Population Data by Age'!$B$6:$H$6,0))</f>
        <v>0</v>
      </c>
      <c r="K145" s="78">
        <f>INDEX('Population Data by Age'!$B$7:$H$10366,MATCH(CONCATENATE('Tabular Pop Data by Age'!$C145,'Tabular Pop Data by Age'!K$7),'Population Data by Age'!$B$7:$B$10366,0),MATCH('Tabular Pop Data by Age'!$C$6,'Population Data by Age'!$B$6:$H$6,0))</f>
        <v>0</v>
      </c>
      <c r="L145" s="78">
        <f>INDEX('Population Data by Age'!$B$7:$H$10366,MATCH(CONCATENATE('Tabular Pop Data by Age'!$C145,'Tabular Pop Data by Age'!L$7),'Population Data by Age'!$B$7:$B$10366,0),MATCH('Tabular Pop Data by Age'!$C$6,'Population Data by Age'!$B$6:$H$6,0))</f>
        <v>0</v>
      </c>
      <c r="M145" s="78">
        <f>INDEX('Population Data by Age'!$B$7:$H$10366,MATCH(CONCATENATE('Tabular Pop Data by Age'!$C145,'Tabular Pop Data by Age'!M$7),'Population Data by Age'!$B$7:$B$10366,0),MATCH('Tabular Pop Data by Age'!$C$6,'Population Data by Age'!$B$6:$H$6,0))</f>
        <v>0</v>
      </c>
      <c r="N145" s="78">
        <f>INDEX('Population Data by Age'!$B$7:$H$10366,MATCH(CONCATENATE('Tabular Pop Data by Age'!$C145,'Tabular Pop Data by Age'!N$7),'Population Data by Age'!$B$7:$B$10366,0),MATCH('Tabular Pop Data by Age'!$C$6,'Population Data by Age'!$B$6:$H$6,0))</f>
        <v>0</v>
      </c>
      <c r="O145" s="78">
        <f>INDEX('Population Data by Age'!$B$7:$H$10366,MATCH(CONCATENATE('Tabular Pop Data by Age'!$C145,'Tabular Pop Data by Age'!O$7),'Population Data by Age'!$B$7:$B$10366,0),MATCH('Tabular Pop Data by Age'!$C$6,'Population Data by Age'!$B$6:$H$6,0))</f>
        <v>0</v>
      </c>
      <c r="P145" s="78">
        <f>INDEX('Population Data by Age'!$B$7:$H$10366,MATCH(CONCATENATE('Tabular Pop Data by Age'!$C145,'Tabular Pop Data by Age'!P$7),'Population Data by Age'!$B$7:$B$10366,0),MATCH('Tabular Pop Data by Age'!$C$6,'Population Data by Age'!$B$6:$H$6,0))</f>
        <v>0</v>
      </c>
      <c r="Q145" s="78">
        <f>INDEX('Population Data by Age'!$B$7:$H$10366,MATCH(CONCATENATE('Tabular Pop Data by Age'!$C145,'Tabular Pop Data by Age'!Q$7),'Population Data by Age'!$B$7:$B$10366,0),MATCH('Tabular Pop Data by Age'!$C$6,'Population Data by Age'!$B$6:$H$6,0))</f>
        <v>0</v>
      </c>
      <c r="R145" s="78">
        <f>INDEX('Population Data by Age'!$B$7:$H$10366,MATCH(CONCATENATE('Tabular Pop Data by Age'!$C145,'Tabular Pop Data by Age'!R$7),'Population Data by Age'!$B$7:$B$10366,0),MATCH('Tabular Pop Data by Age'!$C$6,'Population Data by Age'!$B$6:$H$6,0))</f>
        <v>0</v>
      </c>
      <c r="S145" s="78">
        <f>INDEX('Population Data by Age'!$B$7:$H$10366,MATCH(CONCATENATE('Tabular Pop Data by Age'!$C145,'Tabular Pop Data by Age'!S$7),'Population Data by Age'!$B$7:$B$10366,0),MATCH('Tabular Pop Data by Age'!$C$6,'Population Data by Age'!$B$6:$H$6,0))</f>
        <v>0</v>
      </c>
      <c r="T145" s="78">
        <f>INDEX('Population Data by Age'!$B$7:$H$10366,MATCH(CONCATENATE('Tabular Pop Data by Age'!$C145,'Tabular Pop Data by Age'!T$7),'Population Data by Age'!$B$7:$B$10366,0),MATCH('Tabular Pop Data by Age'!$C$6,'Population Data by Age'!$B$6:$H$6,0))</f>
        <v>0</v>
      </c>
      <c r="U145" s="78">
        <f>INDEX('Population Data by Age'!$B$7:$H$10366,MATCH(CONCATENATE('Tabular Pop Data by Age'!$C145,'Tabular Pop Data by Age'!U$7),'Population Data by Age'!$B$7:$B$10366,0),MATCH('Tabular Pop Data by Age'!$C$6,'Population Data by Age'!$B$6:$H$6,0))</f>
        <v>0</v>
      </c>
      <c r="V145" s="78">
        <f>INDEX('Population Data by Age'!$B$7:$H$10366,MATCH(CONCATENATE('Tabular Pop Data by Age'!$C145,'Tabular Pop Data by Age'!V$7),'Population Data by Age'!$B$7:$B$10366,0),MATCH('Tabular Pop Data by Age'!$C$6,'Population Data by Age'!$B$6:$H$6,0))</f>
        <v>0</v>
      </c>
      <c r="W145" s="78">
        <f>INDEX('Population Data by Age'!$B$7:$H$10366,MATCH(CONCATENATE('Tabular Pop Data by Age'!$C145,'Tabular Pop Data by Age'!W$7),'Population Data by Age'!$B$7:$B$10366,0),MATCH('Tabular Pop Data by Age'!$C$6,'Population Data by Age'!$B$6:$H$6,0))</f>
        <v>0</v>
      </c>
      <c r="X145" s="78">
        <f>INDEX('Population Data by Age'!$B$7:$H$10366,MATCH(CONCATENATE('Tabular Pop Data by Age'!$C145,'Tabular Pop Data by Age'!X$7),'Population Data by Age'!$B$7:$B$10366,0),MATCH('Tabular Pop Data by Age'!$C$6,'Population Data by Age'!$B$6:$H$6,0))</f>
        <v>0</v>
      </c>
      <c r="Y145" s="78">
        <f>INDEX('Population Data by Age'!$B$7:$H$10366,MATCH(CONCATENATE('Tabular Pop Data by Age'!$C145,'Tabular Pop Data by Age'!Y$7),'Population Data by Age'!$B$7:$B$10366,0),MATCH('Tabular Pop Data by Age'!$C$6,'Population Data by Age'!$B$6:$H$6,0))</f>
        <v>0</v>
      </c>
      <c r="Z145" s="78">
        <f>INDEX('Population Data by Age'!$B$7:$H$10366,MATCH(CONCATENATE('Tabular Pop Data by Age'!$C145,'Tabular Pop Data by Age'!Z$7),'Population Data by Age'!$B$7:$B$10366,0),MATCH('Tabular Pop Data by Age'!$C$6,'Population Data by Age'!$B$6:$H$6,0))</f>
        <v>0</v>
      </c>
      <c r="AA145" s="78">
        <f>INDEX('Population Data by Age'!$B$7:$H$10366,MATCH(CONCATENATE('Tabular Pop Data by Age'!$C145,'Tabular Pop Data by Age'!AA$7),'Population Data by Age'!$B$7:$B$10366,0),MATCH('Tabular Pop Data by Age'!$C$6,'Population Data by Age'!$B$6:$H$6,0))</f>
        <v>0</v>
      </c>
      <c r="AB145" s="78">
        <f>INDEX('Population Data by Age'!$B$7:$H$10366,MATCH(CONCATENATE('Tabular Pop Data by Age'!$C145,'Tabular Pop Data by Age'!AB$7),'Population Data by Age'!$B$7:$B$10366,0),MATCH('Tabular Pop Data by Age'!$C$6,'Population Data by Age'!$B$6:$H$6,0))</f>
        <v>0</v>
      </c>
      <c r="AC145" s="78">
        <f>INDEX('Population Data by Age'!$B$7:$H$10366,MATCH(CONCATENATE('Tabular Pop Data by Age'!$C145,'Tabular Pop Data by Age'!AC$7),'Population Data by Age'!$B$7:$B$10366,0),MATCH('Tabular Pop Data by Age'!$C$6,'Population Data by Age'!$B$6:$H$6,0))</f>
        <v>0</v>
      </c>
      <c r="AD145" s="78">
        <f>INDEX('Population Data by Age'!$B$7:$H$10366,MATCH(CONCATENATE('Tabular Pop Data by Age'!$C145,'Tabular Pop Data by Age'!AD$7),'Population Data by Age'!$B$7:$B$10366,0),MATCH('Tabular Pop Data by Age'!$C$6,'Population Data by Age'!$B$6:$H$6,0))</f>
        <v>0</v>
      </c>
      <c r="AE145" s="78">
        <f>INDEX('Population Data by Age'!$B$7:$H$10366,MATCH(CONCATENATE('Tabular Pop Data by Age'!$C145,'Tabular Pop Data by Age'!AE$7),'Population Data by Age'!$B$7:$B$10366,0),MATCH('Tabular Pop Data by Age'!$C$6,'Population Data by Age'!$B$6:$H$6,0))</f>
        <v>0</v>
      </c>
      <c r="AF145" s="78">
        <f>INDEX('Population Data by Age'!$B$7:$H$10366,MATCH(CONCATENATE('Tabular Pop Data by Age'!$C145,'Tabular Pop Data by Age'!AF$7),'Population Data by Age'!$B$7:$B$10366,0),MATCH('Tabular Pop Data by Age'!$C$6,'Population Data by Age'!$B$6:$H$6,0))</f>
        <v>0</v>
      </c>
      <c r="AG145" s="78">
        <f>INDEX('Population Data by Age'!$B$7:$H$10366,MATCH(CONCATENATE('Tabular Pop Data by Age'!$C145,'Tabular Pop Data by Age'!AG$7),'Population Data by Age'!$B$7:$B$10366,0),MATCH('Tabular Pop Data by Age'!$C$6,'Population Data by Age'!$B$6:$H$6,0))</f>
        <v>0</v>
      </c>
      <c r="AH145" s="78">
        <f>INDEX('Population Data by Age'!$B$7:$H$10366,MATCH(CONCATENATE('Tabular Pop Data by Age'!$C145,'Tabular Pop Data by Age'!AH$7),'Population Data by Age'!$B$7:$B$10366,0),MATCH('Tabular Pop Data by Age'!$C$6,'Population Data by Age'!$B$6:$H$6,0))</f>
        <v>0</v>
      </c>
      <c r="AI145" s="78">
        <f>INDEX('Population Data by Age'!$B$7:$H$10366,MATCH(CONCATENATE('Tabular Pop Data by Age'!$C145,'Tabular Pop Data by Age'!AI$7),'Population Data by Age'!$B$7:$B$10366,0),MATCH('Tabular Pop Data by Age'!$C$6,'Population Data by Age'!$B$6:$H$6,0))</f>
        <v>0</v>
      </c>
      <c r="AJ145" s="78">
        <f>INDEX('Population Data by Age'!$B$7:$H$10366,MATCH(CONCATENATE('Tabular Pop Data by Age'!$C145,'Tabular Pop Data by Age'!AJ$7),'Population Data by Age'!$B$7:$B$10366,0),MATCH('Tabular Pop Data by Age'!$C$6,'Population Data by Age'!$B$6:$H$6,0))</f>
        <v>0</v>
      </c>
      <c r="AK145" s="78">
        <f>INDEX('Population Data by Age'!$B$7:$H$10366,MATCH(CONCATENATE('Tabular Pop Data by Age'!$C145,'Tabular Pop Data by Age'!AK$7),'Population Data by Age'!$B$7:$B$10366,0),MATCH('Tabular Pop Data by Age'!$C$6,'Population Data by Age'!$B$6:$H$6,0))</f>
        <v>0</v>
      </c>
      <c r="AL145" s="78">
        <f>INDEX('Population Data by Age'!$B$7:$H$10366,MATCH(CONCATENATE('Tabular Pop Data by Age'!$C145,'Tabular Pop Data by Age'!AL$7),'Population Data by Age'!$B$7:$B$10366,0),MATCH('Tabular Pop Data by Age'!$C$6,'Population Data by Age'!$B$6:$H$6,0))</f>
        <v>0</v>
      </c>
      <c r="AM145" s="78">
        <f>INDEX('Population Data by Age'!$B$7:$H$10366,MATCH(CONCATENATE('Tabular Pop Data by Age'!$C145,'Tabular Pop Data by Age'!AM$7),'Population Data by Age'!$B$7:$B$10366,0),MATCH('Tabular Pop Data by Age'!$C$6,'Population Data by Age'!$B$6:$H$6,0))</f>
        <v>0</v>
      </c>
      <c r="AN145" s="78">
        <f>INDEX('Population Data by Age'!$B$7:$H$10366,MATCH(CONCATENATE('Tabular Pop Data by Age'!$C145,'Tabular Pop Data by Age'!AN$7),'Population Data by Age'!$B$7:$B$10366,0),MATCH('Tabular Pop Data by Age'!$C$6,'Population Data by Age'!$B$6:$H$6,0))</f>
        <v>13000</v>
      </c>
      <c r="AO145" s="78">
        <f>INDEX('Population Data by Age'!$B$7:$H$10366,MATCH(CONCATENATE('Tabular Pop Data by Age'!$C145,'Tabular Pop Data by Age'!AO$7),'Population Data by Age'!$B$7:$B$10366,0),MATCH('Tabular Pop Data by Age'!$C$6,'Population Data by Age'!$B$6:$H$6,0))</f>
        <v>0</v>
      </c>
      <c r="AP145" s="79">
        <f t="shared" si="34"/>
        <v>0</v>
      </c>
      <c r="AQ145" s="79">
        <f t="shared" si="35"/>
        <v>0</v>
      </c>
      <c r="AR145" s="79">
        <f t="shared" si="36"/>
        <v>0</v>
      </c>
      <c r="AS145" s="79">
        <f t="shared" si="37"/>
        <v>0</v>
      </c>
      <c r="AT145" s="79">
        <f t="shared" si="38"/>
        <v>0</v>
      </c>
      <c r="AU145" s="79">
        <f t="shared" si="39"/>
        <v>0</v>
      </c>
      <c r="AV145" s="79">
        <f t="shared" si="40"/>
        <v>0</v>
      </c>
      <c r="AW145" s="79">
        <f t="shared" si="41"/>
        <v>0</v>
      </c>
      <c r="AX145" s="79">
        <f t="shared" si="42"/>
        <v>0</v>
      </c>
      <c r="AY145" s="79">
        <f t="shared" si="43"/>
        <v>0</v>
      </c>
      <c r="AZ145" s="79">
        <f t="shared" si="44"/>
        <v>0</v>
      </c>
      <c r="BA145" s="79">
        <f t="shared" si="45"/>
        <v>0</v>
      </c>
      <c r="BB145" s="79">
        <f t="shared" si="46"/>
        <v>0</v>
      </c>
      <c r="BC145" s="79">
        <f t="shared" si="47"/>
        <v>0</v>
      </c>
      <c r="BD145" s="79">
        <f t="shared" si="48"/>
        <v>0</v>
      </c>
      <c r="BE145" s="79">
        <f t="shared" si="49"/>
        <v>0</v>
      </c>
      <c r="BF145" s="79">
        <f t="shared" si="50"/>
        <v>0</v>
      </c>
    </row>
    <row r="146" spans="1:58" x14ac:dyDescent="0.25">
      <c r="A146" s="138" t="s">
        <v>1195</v>
      </c>
      <c r="B146" t="s">
        <v>179</v>
      </c>
      <c r="C146" t="s">
        <v>108</v>
      </c>
      <c r="D146" s="78">
        <f>INDEX('Population Data by Age'!$B$7:$H$10366,MATCH(CONCATENATE('Tabular Pop Data by Age'!$C146,'Tabular Pop Data by Age'!D$7),'Population Data by Age'!$B$7:$B$10366,0),MATCH('Tabular Pop Data by Age'!$C$6,'Population Data by Age'!$B$6:$H$6,0))</f>
        <v>1321000</v>
      </c>
      <c r="E146" s="78">
        <f>INDEX('Population Data by Age'!$B$7:$H$10366,MATCH(CONCATENATE('Tabular Pop Data by Age'!$C146,'Tabular Pop Data by Age'!E$7),'Population Data by Age'!$B$7:$B$10366,0),MATCH('Tabular Pop Data by Age'!$C$6,'Population Data by Age'!$B$6:$H$6,0))</f>
        <v>1386000</v>
      </c>
      <c r="F146" s="78">
        <f>INDEX('Population Data by Age'!$B$7:$H$10366,MATCH(CONCATENATE('Tabular Pop Data by Age'!$C146,'Tabular Pop Data by Age'!F$7),'Population Data by Age'!$B$7:$B$10366,0),MATCH('Tabular Pop Data by Age'!$C$6,'Population Data by Age'!$B$6:$H$6,0))</f>
        <v>1370000</v>
      </c>
      <c r="G146" s="78">
        <f>INDEX('Population Data by Age'!$B$7:$H$10366,MATCH(CONCATENATE('Tabular Pop Data by Age'!$C146,'Tabular Pop Data by Age'!G$7),'Population Data by Age'!$B$7:$B$10366,0),MATCH('Tabular Pop Data by Age'!$C$6,'Population Data by Age'!$B$6:$H$6,0))</f>
        <v>1386000</v>
      </c>
      <c r="H146" s="78">
        <f>INDEX('Population Data by Age'!$B$7:$H$10366,MATCH(CONCATENATE('Tabular Pop Data by Age'!$C146,'Tabular Pop Data by Age'!H$7),'Population Data by Age'!$B$7:$B$10366,0),MATCH('Tabular Pop Data by Age'!$C$6,'Population Data by Age'!$B$6:$H$6,0))</f>
        <v>1457000</v>
      </c>
      <c r="I146" s="78">
        <f>INDEX('Population Data by Age'!$B$7:$H$10366,MATCH(CONCATENATE('Tabular Pop Data by Age'!$C146,'Tabular Pop Data by Age'!I$7),'Population Data by Age'!$B$7:$B$10366,0),MATCH('Tabular Pop Data by Age'!$C$6,'Population Data by Age'!$B$6:$H$6,0))</f>
        <v>1474000</v>
      </c>
      <c r="J146" s="78">
        <f>INDEX('Population Data by Age'!$B$7:$H$10366,MATCH(CONCATENATE('Tabular Pop Data by Age'!$C146,'Tabular Pop Data by Age'!J$7),'Population Data by Age'!$B$7:$B$10366,0),MATCH('Tabular Pop Data by Age'!$C$6,'Population Data by Age'!$B$6:$H$6,0))</f>
        <v>1584000</v>
      </c>
      <c r="K146" s="78">
        <f>INDEX('Population Data by Age'!$B$7:$H$10366,MATCH(CONCATENATE('Tabular Pop Data by Age'!$C146,'Tabular Pop Data by Age'!K$7),'Population Data by Age'!$B$7:$B$10366,0),MATCH('Tabular Pop Data by Age'!$C$6,'Population Data by Age'!$B$6:$H$6,0))</f>
        <v>1605000</v>
      </c>
      <c r="L146" s="78">
        <f>INDEX('Population Data by Age'!$B$7:$H$10366,MATCH(CONCATENATE('Tabular Pop Data by Age'!$C146,'Tabular Pop Data by Age'!L$7),'Population Data by Age'!$B$7:$B$10366,0),MATCH('Tabular Pop Data by Age'!$C$6,'Population Data by Age'!$B$6:$H$6,0))</f>
        <v>1685000</v>
      </c>
      <c r="M146" s="78">
        <f>INDEX('Population Data by Age'!$B$7:$H$10366,MATCH(CONCATENATE('Tabular Pop Data by Age'!$C146,'Tabular Pop Data by Age'!M$7),'Population Data by Age'!$B$7:$B$10366,0),MATCH('Tabular Pop Data by Age'!$C$6,'Population Data by Age'!$B$6:$H$6,0))</f>
        <v>1536000</v>
      </c>
      <c r="N146" s="78">
        <f>INDEX('Population Data by Age'!$B$7:$H$10366,MATCH(CONCATENATE('Tabular Pop Data by Age'!$C146,'Tabular Pop Data by Age'!N$7),'Population Data by Age'!$B$7:$B$10366,0),MATCH('Tabular Pop Data by Age'!$C$6,'Population Data by Age'!$B$6:$H$6,0))</f>
        <v>1530000</v>
      </c>
      <c r="O146" s="78">
        <f>INDEX('Population Data by Age'!$B$7:$H$10366,MATCH(CONCATENATE('Tabular Pop Data by Age'!$C146,'Tabular Pop Data by Age'!O$7),'Population Data by Age'!$B$7:$B$10366,0),MATCH('Tabular Pop Data by Age'!$C$6,'Population Data by Age'!$B$6:$H$6,0))</f>
        <v>1135000</v>
      </c>
      <c r="P146" s="78">
        <f>INDEX('Population Data by Age'!$B$7:$H$10366,MATCH(CONCATENATE('Tabular Pop Data by Age'!$C146,'Tabular Pop Data by Age'!P$7),'Population Data by Age'!$B$7:$B$10366,0),MATCH('Tabular Pop Data by Age'!$C$6,'Population Data by Age'!$B$6:$H$6,0))</f>
        <v>1293000</v>
      </c>
      <c r="Q146" s="78">
        <f>INDEX('Population Data by Age'!$B$7:$H$10366,MATCH(CONCATENATE('Tabular Pop Data by Age'!$C146,'Tabular Pop Data by Age'!Q$7),'Population Data by Age'!$B$7:$B$10366,0),MATCH('Tabular Pop Data by Age'!$C$6,'Population Data by Age'!$B$6:$H$6,0))</f>
        <v>776000</v>
      </c>
      <c r="R146" s="78">
        <f>INDEX('Population Data by Age'!$B$7:$H$10366,MATCH(CONCATENATE('Tabular Pop Data by Age'!$C146,'Tabular Pop Data by Age'!R$7),'Population Data by Age'!$B$7:$B$10366,0),MATCH('Tabular Pop Data by Age'!$C$6,'Population Data by Age'!$B$6:$H$6,0))</f>
        <v>1120000</v>
      </c>
      <c r="S146" s="78">
        <f>INDEX('Population Data by Age'!$B$7:$H$10366,MATCH(CONCATENATE('Tabular Pop Data by Age'!$C146,'Tabular Pop Data by Age'!S$7),'Population Data by Age'!$B$7:$B$10366,0),MATCH('Tabular Pop Data by Age'!$C$6,'Population Data by Age'!$B$6:$H$6,0))</f>
        <v>604000</v>
      </c>
      <c r="T146" s="78">
        <f>INDEX('Population Data by Age'!$B$7:$H$10366,MATCH(CONCATENATE('Tabular Pop Data by Age'!$C146,'Tabular Pop Data by Age'!T$7),'Population Data by Age'!$B$7:$B$10366,0),MATCH('Tabular Pop Data by Age'!$C$6,'Population Data by Age'!$B$6:$H$6,0))</f>
        <v>991000</v>
      </c>
      <c r="U146" s="78">
        <f>INDEX('Population Data by Age'!$B$7:$H$10366,MATCH(CONCATENATE('Tabular Pop Data by Age'!$C146,'Tabular Pop Data by Age'!U$7),'Population Data by Age'!$B$7:$B$10366,0),MATCH('Tabular Pop Data by Age'!$C$6,'Population Data by Age'!$B$6:$H$6,0))</f>
        <v>606000</v>
      </c>
      <c r="V146" s="78">
        <f>INDEX('Population Data by Age'!$B$7:$H$10366,MATCH(CONCATENATE('Tabular Pop Data by Age'!$C146,'Tabular Pop Data by Age'!V$7),'Population Data by Age'!$B$7:$B$10366,0),MATCH('Tabular Pop Data by Age'!$C$6,'Population Data by Age'!$B$6:$H$6,0))</f>
        <v>826000</v>
      </c>
      <c r="W146" s="78">
        <f>INDEX('Population Data by Age'!$B$7:$H$10366,MATCH(CONCATENATE('Tabular Pop Data by Age'!$C146,'Tabular Pop Data by Age'!W$7),'Population Data by Age'!$B$7:$B$10366,0),MATCH('Tabular Pop Data by Age'!$C$6,'Population Data by Age'!$B$6:$H$6,0))</f>
        <v>623000</v>
      </c>
      <c r="X146" s="78">
        <f>INDEX('Population Data by Age'!$B$7:$H$10366,MATCH(CONCATENATE('Tabular Pop Data by Age'!$C146,'Tabular Pop Data by Age'!X$7),'Population Data by Age'!$B$7:$B$10366,0),MATCH('Tabular Pop Data by Age'!$C$6,'Population Data by Age'!$B$6:$H$6,0))</f>
        <v>684000</v>
      </c>
      <c r="Y146" s="78">
        <f>INDEX('Population Data by Age'!$B$7:$H$10366,MATCH(CONCATENATE('Tabular Pop Data by Age'!$C146,'Tabular Pop Data by Age'!Y$7),'Population Data by Age'!$B$7:$B$10366,0),MATCH('Tabular Pop Data by Age'!$C$6,'Population Data by Age'!$B$6:$H$6,0))</f>
        <v>579000</v>
      </c>
      <c r="Z146" s="78">
        <f>INDEX('Population Data by Age'!$B$7:$H$10366,MATCH(CONCATENATE('Tabular Pop Data by Age'!$C146,'Tabular Pop Data by Age'!Z$7),'Population Data by Age'!$B$7:$B$10366,0),MATCH('Tabular Pop Data by Age'!$C$6,'Population Data by Age'!$B$6:$H$6,0))</f>
        <v>559000</v>
      </c>
      <c r="AA146" s="78">
        <f>INDEX('Population Data by Age'!$B$7:$H$10366,MATCH(CONCATENATE('Tabular Pop Data by Age'!$C146,'Tabular Pop Data by Age'!AA$7),'Population Data by Age'!$B$7:$B$10366,0),MATCH('Tabular Pop Data by Age'!$C$6,'Population Data by Age'!$B$6:$H$6,0))</f>
        <v>485000</v>
      </c>
      <c r="AB146" s="78">
        <f>INDEX('Population Data by Age'!$B$7:$H$10366,MATCH(CONCATENATE('Tabular Pop Data by Age'!$C146,'Tabular Pop Data by Age'!AB$7),'Population Data by Age'!$B$7:$B$10366,0),MATCH('Tabular Pop Data by Age'!$C$6,'Population Data by Age'!$B$6:$H$6,0))</f>
        <v>441000</v>
      </c>
      <c r="AC146" s="78">
        <f>INDEX('Population Data by Age'!$B$7:$H$10366,MATCH(CONCATENATE('Tabular Pop Data by Age'!$C146,'Tabular Pop Data by Age'!AC$7),'Population Data by Age'!$B$7:$B$10366,0),MATCH('Tabular Pop Data by Age'!$C$6,'Population Data by Age'!$B$6:$H$6,0))</f>
        <v>382000</v>
      </c>
      <c r="AD146" s="78">
        <f>INDEX('Population Data by Age'!$B$7:$H$10366,MATCH(CONCATENATE('Tabular Pop Data by Age'!$C146,'Tabular Pop Data by Age'!AD$7),'Population Data by Age'!$B$7:$B$10366,0),MATCH('Tabular Pop Data by Age'!$C$6,'Population Data by Age'!$B$6:$H$6,0))</f>
        <v>352000</v>
      </c>
      <c r="AE146" s="78">
        <f>INDEX('Population Data by Age'!$B$7:$H$10366,MATCH(CONCATENATE('Tabular Pop Data by Age'!$C146,'Tabular Pop Data by Age'!AE$7),'Population Data by Age'!$B$7:$B$10366,0),MATCH('Tabular Pop Data by Age'!$C$6,'Population Data by Age'!$B$6:$H$6,0))</f>
        <v>313000</v>
      </c>
      <c r="AF146" s="78">
        <f>INDEX('Population Data by Age'!$B$7:$H$10366,MATCH(CONCATENATE('Tabular Pop Data by Age'!$C146,'Tabular Pop Data by Age'!AF$7),'Population Data by Age'!$B$7:$B$10366,0),MATCH('Tabular Pop Data by Age'!$C$6,'Population Data by Age'!$B$6:$H$6,0))</f>
        <v>264000</v>
      </c>
      <c r="AG146" s="78">
        <f>INDEX('Population Data by Age'!$B$7:$H$10366,MATCH(CONCATENATE('Tabular Pop Data by Age'!$C146,'Tabular Pop Data by Age'!AG$7),'Population Data by Age'!$B$7:$B$10366,0),MATCH('Tabular Pop Data by Age'!$C$6,'Population Data by Age'!$B$6:$H$6,0))</f>
        <v>210000</v>
      </c>
      <c r="AH146" s="78">
        <f>INDEX('Population Data by Age'!$B$7:$H$10366,MATCH(CONCATENATE('Tabular Pop Data by Age'!$C146,'Tabular Pop Data by Age'!AH$7),'Population Data by Age'!$B$7:$B$10366,0),MATCH('Tabular Pop Data by Age'!$C$6,'Population Data by Age'!$B$6:$H$6,0))</f>
        <v>187000</v>
      </c>
      <c r="AI146" s="78">
        <f>INDEX('Population Data by Age'!$B$7:$H$10366,MATCH(CONCATENATE('Tabular Pop Data by Age'!$C146,'Tabular Pop Data by Age'!AI$7),'Population Data by Age'!$B$7:$B$10366,0),MATCH('Tabular Pop Data by Age'!$C$6,'Population Data by Age'!$B$6:$H$6,0))</f>
        <v>151000</v>
      </c>
      <c r="AJ146" s="78">
        <f>INDEX('Population Data by Age'!$B$7:$H$10366,MATCH(CONCATENATE('Tabular Pop Data by Age'!$C146,'Tabular Pop Data by Age'!AJ$7),'Population Data by Age'!$B$7:$B$10366,0),MATCH('Tabular Pop Data by Age'!$C$6,'Population Data by Age'!$B$6:$H$6,0))</f>
        <v>123000</v>
      </c>
      <c r="AK146" s="78">
        <f>INDEX('Population Data by Age'!$B$7:$H$10366,MATCH(CONCATENATE('Tabular Pop Data by Age'!$C146,'Tabular Pop Data by Age'!AK$7),'Population Data by Age'!$B$7:$B$10366,0),MATCH('Tabular Pop Data by Age'!$C$6,'Population Data by Age'!$B$6:$H$6,0))</f>
        <v>98000</v>
      </c>
      <c r="AL146" s="78">
        <f>INDEX('Population Data by Age'!$B$7:$H$10366,MATCH(CONCATENATE('Tabular Pop Data by Age'!$C146,'Tabular Pop Data by Age'!AL$7),'Population Data by Age'!$B$7:$B$10366,0),MATCH('Tabular Pop Data by Age'!$C$6,'Population Data by Age'!$B$6:$H$6,0))</f>
        <v>15788000</v>
      </c>
      <c r="AM146" s="78">
        <f>INDEX('Population Data by Age'!$B$7:$H$10366,MATCH(CONCATENATE('Tabular Pop Data by Age'!$C146,'Tabular Pop Data by Age'!AM$7),'Population Data by Age'!$B$7:$B$10366,0),MATCH('Tabular Pop Data by Age'!$C$6,'Population Data by Age'!$B$6:$H$6,0))</f>
        <v>13348000</v>
      </c>
      <c r="AN146" s="78">
        <f>INDEX('Population Data by Age'!$B$7:$H$10366,MATCH(CONCATENATE('Tabular Pop Data by Age'!$C146,'Tabular Pop Data by Age'!AN$7),'Population Data by Age'!$B$7:$B$10366,0),MATCH('Tabular Pop Data by Age'!$C$6,'Population Data by Age'!$B$6:$H$6,0))</f>
        <v>29137000</v>
      </c>
      <c r="AO146" s="78">
        <f>INDEX('Population Data by Age'!$B$7:$H$10366,MATCH(CONCATENATE('Tabular Pop Data by Age'!$C146,'Tabular Pop Data by Age'!AO$7),'Population Data by Age'!$B$7:$B$10366,0),MATCH('Tabular Pop Data by Age'!$C$6,'Population Data by Age'!$B$6:$H$6,0))</f>
        <v>0</v>
      </c>
      <c r="AP146" s="79">
        <f t="shared" si="34"/>
        <v>2707000</v>
      </c>
      <c r="AQ146" s="79">
        <f t="shared" si="35"/>
        <v>2756000</v>
      </c>
      <c r="AR146" s="79">
        <f t="shared" si="36"/>
        <v>2931000</v>
      </c>
      <c r="AS146" s="79">
        <f t="shared" si="37"/>
        <v>3189000</v>
      </c>
      <c r="AT146" s="79">
        <f t="shared" si="38"/>
        <v>3221000</v>
      </c>
      <c r="AU146" s="79">
        <f t="shared" si="39"/>
        <v>2665000</v>
      </c>
      <c r="AV146" s="79">
        <f t="shared" si="40"/>
        <v>2069000</v>
      </c>
      <c r="AW146" s="79">
        <f t="shared" si="41"/>
        <v>1724000</v>
      </c>
      <c r="AX146" s="79">
        <f t="shared" si="42"/>
        <v>1597000</v>
      </c>
      <c r="AY146" s="79">
        <f t="shared" si="43"/>
        <v>1449000</v>
      </c>
      <c r="AZ146" s="79">
        <f t="shared" si="44"/>
        <v>1263000</v>
      </c>
      <c r="BA146" s="79">
        <f t="shared" si="45"/>
        <v>1044000</v>
      </c>
      <c r="BB146" s="79">
        <f t="shared" si="46"/>
        <v>823000</v>
      </c>
      <c r="BC146" s="79">
        <f t="shared" si="47"/>
        <v>665000</v>
      </c>
      <c r="BD146" s="79">
        <f t="shared" si="48"/>
        <v>474000</v>
      </c>
      <c r="BE146" s="79">
        <f t="shared" si="49"/>
        <v>338000</v>
      </c>
      <c r="BF146" s="79">
        <f t="shared" si="50"/>
        <v>221000</v>
      </c>
    </row>
    <row r="147" spans="1:58" x14ac:dyDescent="0.25">
      <c r="A147" s="138" t="s">
        <v>1195</v>
      </c>
      <c r="B147" t="s">
        <v>584</v>
      </c>
      <c r="C147" t="s">
        <v>106</v>
      </c>
      <c r="D147" s="78">
        <f>INDEX('Population Data by Age'!$B$7:$H$10366,MATCH(CONCATENATE('Tabular Pop Data by Age'!$C147,'Tabular Pop Data by Age'!D$7),'Population Data by Age'!$B$7:$B$10366,0),MATCH('Tabular Pop Data by Age'!$C$6,'Population Data by Age'!$B$6:$H$6,0))</f>
        <v>423000</v>
      </c>
      <c r="E147" s="78">
        <f>INDEX('Population Data by Age'!$B$7:$H$10366,MATCH(CONCATENATE('Tabular Pop Data by Age'!$C147,'Tabular Pop Data by Age'!E$7),'Population Data by Age'!$B$7:$B$10366,0),MATCH('Tabular Pop Data by Age'!$C$6,'Population Data by Age'!$B$6:$H$6,0))</f>
        <v>445000</v>
      </c>
      <c r="F147" s="78">
        <f>INDEX('Population Data by Age'!$B$7:$H$10366,MATCH(CONCATENATE('Tabular Pop Data by Age'!$C147,'Tabular Pop Data by Age'!F$7),'Population Data by Age'!$B$7:$B$10366,0),MATCH('Tabular Pop Data by Age'!$C$6,'Population Data by Age'!$B$6:$H$6,0))</f>
        <v>440000</v>
      </c>
      <c r="G147" s="78">
        <f>INDEX('Population Data by Age'!$B$7:$H$10366,MATCH(CONCATENATE('Tabular Pop Data by Age'!$C147,'Tabular Pop Data by Age'!G$7),'Population Data by Age'!$B$7:$B$10366,0),MATCH('Tabular Pop Data by Age'!$C$6,'Population Data by Age'!$B$6:$H$6,0))</f>
        <v>464000</v>
      </c>
      <c r="H147" s="78">
        <f>INDEX('Population Data by Age'!$B$7:$H$10366,MATCH(CONCATENATE('Tabular Pop Data by Age'!$C147,'Tabular Pop Data by Age'!H$7),'Population Data by Age'!$B$7:$B$10366,0),MATCH('Tabular Pop Data by Age'!$C$6,'Population Data by Age'!$B$6:$H$6,0))</f>
        <v>461000</v>
      </c>
      <c r="I147" s="78">
        <f>INDEX('Population Data by Age'!$B$7:$H$10366,MATCH(CONCATENATE('Tabular Pop Data by Age'!$C147,'Tabular Pop Data by Age'!I$7),'Population Data by Age'!$B$7:$B$10366,0),MATCH('Tabular Pop Data by Age'!$C$6,'Population Data by Age'!$B$6:$H$6,0))</f>
        <v>487000</v>
      </c>
      <c r="J147" s="78">
        <f>INDEX('Population Data by Age'!$B$7:$H$10366,MATCH(CONCATENATE('Tabular Pop Data by Age'!$C147,'Tabular Pop Data by Age'!J$7),'Population Data by Age'!$B$7:$B$10366,0),MATCH('Tabular Pop Data by Age'!$C$6,'Population Data by Age'!$B$6:$H$6,0))</f>
        <v>500000</v>
      </c>
      <c r="K147" s="78">
        <f>INDEX('Population Data by Age'!$B$7:$H$10366,MATCH(CONCATENATE('Tabular Pop Data by Age'!$C147,'Tabular Pop Data by Age'!K$7),'Population Data by Age'!$B$7:$B$10366,0),MATCH('Tabular Pop Data by Age'!$C$6,'Population Data by Age'!$B$6:$H$6,0))</f>
        <v>528000</v>
      </c>
      <c r="L147" s="78">
        <f>INDEX('Population Data by Age'!$B$7:$H$10366,MATCH(CONCATENATE('Tabular Pop Data by Age'!$C147,'Tabular Pop Data by Age'!L$7),'Population Data by Age'!$B$7:$B$10366,0),MATCH('Tabular Pop Data by Age'!$C$6,'Population Data by Age'!$B$6:$H$6,0))</f>
        <v>504000</v>
      </c>
      <c r="M147" s="78">
        <f>INDEX('Population Data by Age'!$B$7:$H$10366,MATCH(CONCATENATE('Tabular Pop Data by Age'!$C147,'Tabular Pop Data by Age'!M$7),'Population Data by Age'!$B$7:$B$10366,0),MATCH('Tabular Pop Data by Age'!$C$6,'Population Data by Age'!$B$6:$H$6,0))</f>
        <v>528000</v>
      </c>
      <c r="N147" s="78">
        <f>INDEX('Population Data by Age'!$B$7:$H$10366,MATCH(CONCATENATE('Tabular Pop Data by Age'!$C147,'Tabular Pop Data by Age'!N$7),'Population Data by Age'!$B$7:$B$10366,0),MATCH('Tabular Pop Data by Age'!$C$6,'Population Data by Age'!$B$6:$H$6,0))</f>
        <v>534000</v>
      </c>
      <c r="O147" s="78">
        <f>INDEX('Population Data by Age'!$B$7:$H$10366,MATCH(CONCATENATE('Tabular Pop Data by Age'!$C147,'Tabular Pop Data by Age'!O$7),'Population Data by Age'!$B$7:$B$10366,0),MATCH('Tabular Pop Data by Age'!$C$6,'Population Data by Age'!$B$6:$H$6,0))</f>
        <v>555000</v>
      </c>
      <c r="P147" s="78">
        <f>INDEX('Population Data by Age'!$B$7:$H$10366,MATCH(CONCATENATE('Tabular Pop Data by Age'!$C147,'Tabular Pop Data by Age'!P$7),'Population Data by Age'!$B$7:$B$10366,0),MATCH('Tabular Pop Data by Age'!$C$6,'Population Data by Age'!$B$6:$H$6,0))</f>
        <v>538000</v>
      </c>
      <c r="Q147" s="78">
        <f>INDEX('Population Data by Age'!$B$7:$H$10366,MATCH(CONCATENATE('Tabular Pop Data by Age'!$C147,'Tabular Pop Data by Age'!Q$7),'Population Data by Age'!$B$7:$B$10366,0),MATCH('Tabular Pop Data by Age'!$C$6,'Population Data by Age'!$B$6:$H$6,0))</f>
        <v>552000</v>
      </c>
      <c r="R147" s="78">
        <f>INDEX('Population Data by Age'!$B$7:$H$10366,MATCH(CONCATENATE('Tabular Pop Data by Age'!$C147,'Tabular Pop Data by Age'!R$7),'Population Data by Age'!$B$7:$B$10366,0),MATCH('Tabular Pop Data by Age'!$C$6,'Population Data by Age'!$B$6:$H$6,0))</f>
        <v>511000</v>
      </c>
      <c r="S147" s="78">
        <f>INDEX('Population Data by Age'!$B$7:$H$10366,MATCH(CONCATENATE('Tabular Pop Data by Age'!$C147,'Tabular Pop Data by Age'!S$7),'Population Data by Age'!$B$7:$B$10366,0),MATCH('Tabular Pop Data by Age'!$C$6,'Population Data by Age'!$B$6:$H$6,0))</f>
        <v>521000</v>
      </c>
      <c r="T147" s="78">
        <f>INDEX('Population Data by Age'!$B$7:$H$10366,MATCH(CONCATENATE('Tabular Pop Data by Age'!$C147,'Tabular Pop Data by Age'!T$7),'Population Data by Age'!$B$7:$B$10366,0),MATCH('Tabular Pop Data by Age'!$C$6,'Population Data by Age'!$B$6:$H$6,0))</f>
        <v>507000</v>
      </c>
      <c r="U147" s="78">
        <f>INDEX('Population Data by Age'!$B$7:$H$10366,MATCH(CONCATENATE('Tabular Pop Data by Age'!$C147,'Tabular Pop Data by Age'!U$7),'Population Data by Age'!$B$7:$B$10366,0),MATCH('Tabular Pop Data by Age'!$C$6,'Population Data by Age'!$B$6:$H$6,0))</f>
        <v>510000</v>
      </c>
      <c r="V147" s="78">
        <f>INDEX('Population Data by Age'!$B$7:$H$10366,MATCH(CONCATENATE('Tabular Pop Data by Age'!$C147,'Tabular Pop Data by Age'!V$7),'Population Data by Age'!$B$7:$B$10366,0),MATCH('Tabular Pop Data by Age'!$C$6,'Population Data by Age'!$B$6:$H$6,0))</f>
        <v>581000</v>
      </c>
      <c r="W147" s="78">
        <f>INDEX('Population Data by Age'!$B$7:$H$10366,MATCH(CONCATENATE('Tabular Pop Data by Age'!$C147,'Tabular Pop Data by Age'!W$7),'Population Data by Age'!$B$7:$B$10366,0),MATCH('Tabular Pop Data by Age'!$C$6,'Population Data by Age'!$B$6:$H$6,0))</f>
        <v>579000</v>
      </c>
      <c r="X147" s="78">
        <f>INDEX('Population Data by Age'!$B$7:$H$10366,MATCH(CONCATENATE('Tabular Pop Data by Age'!$C147,'Tabular Pop Data by Age'!X$7),'Population Data by Age'!$B$7:$B$10366,0),MATCH('Tabular Pop Data by Age'!$C$6,'Population Data by Age'!$B$6:$H$6,0))</f>
        <v>641000</v>
      </c>
      <c r="Y147" s="78">
        <f>INDEX('Population Data by Age'!$B$7:$H$10366,MATCH(CONCATENATE('Tabular Pop Data by Age'!$C147,'Tabular Pop Data by Age'!Y$7),'Population Data by Age'!$B$7:$B$10366,0),MATCH('Tabular Pop Data by Age'!$C$6,'Population Data by Age'!$B$6:$H$6,0))</f>
        <v>647000</v>
      </c>
      <c r="Z147" s="78">
        <f>INDEX('Population Data by Age'!$B$7:$H$10366,MATCH(CONCATENATE('Tabular Pop Data by Age'!$C147,'Tabular Pop Data by Age'!Z$7),'Population Data by Age'!$B$7:$B$10366,0),MATCH('Tabular Pop Data by Age'!$C$6,'Population Data by Age'!$B$6:$H$6,0))</f>
        <v>627000</v>
      </c>
      <c r="AA147" s="78">
        <f>INDEX('Population Data by Age'!$B$7:$H$10366,MATCH(CONCATENATE('Tabular Pop Data by Age'!$C147,'Tabular Pop Data by Age'!AA$7),'Population Data by Age'!$B$7:$B$10366,0),MATCH('Tabular Pop Data by Age'!$C$6,'Population Data by Age'!$B$6:$H$6,0))</f>
        <v>638000</v>
      </c>
      <c r="AB147" s="78">
        <f>INDEX('Population Data by Age'!$B$7:$H$10366,MATCH(CONCATENATE('Tabular Pop Data by Age'!$C147,'Tabular Pop Data by Age'!AB$7),'Population Data by Age'!$B$7:$B$10366,0),MATCH('Tabular Pop Data by Age'!$C$6,'Population Data by Age'!$B$6:$H$6,0))</f>
        <v>569000</v>
      </c>
      <c r="AC147" s="78">
        <f>INDEX('Population Data by Age'!$B$7:$H$10366,MATCH(CONCATENATE('Tabular Pop Data by Age'!$C147,'Tabular Pop Data by Age'!AC$7),'Population Data by Age'!$B$7:$B$10366,0),MATCH('Tabular Pop Data by Age'!$C$6,'Population Data by Age'!$B$6:$H$6,0))</f>
        <v>569000</v>
      </c>
      <c r="AD147" s="78">
        <f>INDEX('Population Data by Age'!$B$7:$H$10366,MATCH(CONCATENATE('Tabular Pop Data by Age'!$C147,'Tabular Pop Data by Age'!AD$7),'Population Data by Age'!$B$7:$B$10366,0),MATCH('Tabular Pop Data by Age'!$C$6,'Population Data by Age'!$B$6:$H$6,0))</f>
        <v>516000</v>
      </c>
      <c r="AE147" s="78">
        <f>INDEX('Population Data by Age'!$B$7:$H$10366,MATCH(CONCATENATE('Tabular Pop Data by Age'!$C147,'Tabular Pop Data by Age'!AE$7),'Population Data by Age'!$B$7:$B$10366,0),MATCH('Tabular Pop Data by Age'!$C$6,'Population Data by Age'!$B$6:$H$6,0))</f>
        <v>500000</v>
      </c>
      <c r="AF147" s="78">
        <f>INDEX('Population Data by Age'!$B$7:$H$10366,MATCH(CONCATENATE('Tabular Pop Data by Age'!$C147,'Tabular Pop Data by Age'!AF$7),'Population Data by Age'!$B$7:$B$10366,0),MATCH('Tabular Pop Data by Age'!$C$6,'Population Data by Age'!$B$6:$H$6,0))</f>
        <v>494000</v>
      </c>
      <c r="AG147" s="78">
        <f>INDEX('Population Data by Age'!$B$7:$H$10366,MATCH(CONCATENATE('Tabular Pop Data by Age'!$C147,'Tabular Pop Data by Age'!AG$7),'Population Data by Age'!$B$7:$B$10366,0),MATCH('Tabular Pop Data by Age'!$C$6,'Population Data by Age'!$B$6:$H$6,0))</f>
        <v>469000</v>
      </c>
      <c r="AH147" s="78">
        <f>INDEX('Population Data by Age'!$B$7:$H$10366,MATCH(CONCATENATE('Tabular Pop Data by Age'!$C147,'Tabular Pop Data by Age'!AH$7),'Population Data by Age'!$B$7:$B$10366,0),MATCH('Tabular Pop Data by Age'!$C$6,'Population Data by Age'!$B$6:$H$6,0))</f>
        <v>341000</v>
      </c>
      <c r="AI147" s="78">
        <f>INDEX('Population Data by Age'!$B$7:$H$10366,MATCH(CONCATENATE('Tabular Pop Data by Age'!$C147,'Tabular Pop Data by Age'!AI$7),'Population Data by Age'!$B$7:$B$10366,0),MATCH('Tabular Pop Data by Age'!$C$6,'Population Data by Age'!$B$6:$H$6,0))</f>
        <v>305000</v>
      </c>
      <c r="AJ147" s="78">
        <f>INDEX('Population Data by Age'!$B$7:$H$10366,MATCH(CONCATENATE('Tabular Pop Data by Age'!$C147,'Tabular Pop Data by Age'!AJ$7),'Population Data by Age'!$B$7:$B$10366,0),MATCH('Tabular Pop Data by Age'!$C$6,'Population Data by Age'!$B$6:$H$6,0))</f>
        <v>509000</v>
      </c>
      <c r="AK147" s="78">
        <f>INDEX('Population Data by Age'!$B$7:$H$10366,MATCH(CONCATENATE('Tabular Pop Data by Age'!$C147,'Tabular Pop Data by Age'!AK$7),'Population Data by Age'!$B$7:$B$10366,0),MATCH('Tabular Pop Data by Age'!$C$6,'Population Data by Age'!$B$6:$H$6,0))</f>
        <v>337000</v>
      </c>
      <c r="AL147" s="78">
        <f>INDEX('Population Data by Age'!$B$7:$H$10366,MATCH(CONCATENATE('Tabular Pop Data by Age'!$C147,'Tabular Pop Data by Age'!AL$7),'Population Data by Age'!$B$7:$B$10366,0),MATCH('Tabular Pop Data by Age'!$C$6,'Population Data by Age'!$B$6:$H$6,0))</f>
        <v>8696000</v>
      </c>
      <c r="AM147" s="78">
        <f>INDEX('Population Data by Age'!$B$7:$H$10366,MATCH(CONCATENATE('Tabular Pop Data by Age'!$C147,'Tabular Pop Data by Age'!AM$7),'Population Data by Age'!$B$7:$B$10366,0),MATCH('Tabular Pop Data by Age'!$C$6,'Population Data by Age'!$B$6:$H$6,0))</f>
        <v>8634000</v>
      </c>
      <c r="AN147" s="78">
        <f>INDEX('Population Data by Age'!$B$7:$H$10366,MATCH(CONCATENATE('Tabular Pop Data by Age'!$C147,'Tabular Pop Data by Age'!AN$7),'Population Data by Age'!$B$7:$B$10366,0),MATCH('Tabular Pop Data by Age'!$C$6,'Population Data by Age'!$B$6:$H$6,0))</f>
        <v>17330000</v>
      </c>
      <c r="AO147" s="78">
        <f>INDEX('Population Data by Age'!$B$7:$H$10366,MATCH(CONCATENATE('Tabular Pop Data by Age'!$C147,'Tabular Pop Data by Age'!AO$7),'Population Data by Age'!$B$7:$B$10366,0),MATCH('Tabular Pop Data by Age'!$C$6,'Population Data by Age'!$B$6:$H$6,0))</f>
        <v>0</v>
      </c>
      <c r="AP147" s="79">
        <f t="shared" si="34"/>
        <v>868000</v>
      </c>
      <c r="AQ147" s="79">
        <f t="shared" si="35"/>
        <v>904000</v>
      </c>
      <c r="AR147" s="79">
        <f t="shared" si="36"/>
        <v>948000</v>
      </c>
      <c r="AS147" s="79">
        <f t="shared" si="37"/>
        <v>1028000</v>
      </c>
      <c r="AT147" s="79">
        <f t="shared" si="38"/>
        <v>1032000</v>
      </c>
      <c r="AU147" s="79">
        <f t="shared" si="39"/>
        <v>1089000</v>
      </c>
      <c r="AV147" s="79">
        <f t="shared" si="40"/>
        <v>1090000</v>
      </c>
      <c r="AW147" s="79">
        <f t="shared" si="41"/>
        <v>1032000</v>
      </c>
      <c r="AX147" s="79">
        <f t="shared" si="42"/>
        <v>1017000</v>
      </c>
      <c r="AY147" s="79">
        <f t="shared" si="43"/>
        <v>1160000</v>
      </c>
      <c r="AZ147" s="79">
        <f t="shared" si="44"/>
        <v>1288000</v>
      </c>
      <c r="BA147" s="79">
        <f t="shared" si="45"/>
        <v>1265000</v>
      </c>
      <c r="BB147" s="79">
        <f t="shared" si="46"/>
        <v>1138000</v>
      </c>
      <c r="BC147" s="79">
        <f t="shared" si="47"/>
        <v>1016000</v>
      </c>
      <c r="BD147" s="79">
        <f t="shared" si="48"/>
        <v>963000</v>
      </c>
      <c r="BE147" s="79">
        <f t="shared" si="49"/>
        <v>646000</v>
      </c>
      <c r="BF147" s="79">
        <f t="shared" si="50"/>
        <v>846000</v>
      </c>
    </row>
    <row r="148" spans="1:58" x14ac:dyDescent="0.25">
      <c r="A148" s="138" t="s">
        <v>1195</v>
      </c>
      <c r="B148" t="s">
        <v>585</v>
      </c>
      <c r="C148" t="s">
        <v>586</v>
      </c>
      <c r="D148" s="78">
        <f>INDEX('Population Data by Age'!$B$7:$H$10366,MATCH(CONCATENATE('Tabular Pop Data by Age'!$C148,'Tabular Pop Data by Age'!D$7),'Population Data by Age'!$B$7:$B$10366,0),MATCH('Tabular Pop Data by Age'!$C$6,'Population Data by Age'!$B$6:$H$6,0))</f>
        <v>9900</v>
      </c>
      <c r="E148" s="78">
        <f>INDEX('Population Data by Age'!$B$7:$H$10366,MATCH(CONCATENATE('Tabular Pop Data by Age'!$C148,'Tabular Pop Data by Age'!E$7),'Population Data by Age'!$B$7:$B$10366,0),MATCH('Tabular Pop Data by Age'!$C$6,'Population Data by Age'!$B$6:$H$6,0))</f>
        <v>10000</v>
      </c>
      <c r="F148" s="78">
        <f>INDEX('Population Data by Age'!$B$7:$H$10366,MATCH(CONCATENATE('Tabular Pop Data by Age'!$C148,'Tabular Pop Data by Age'!F$7),'Population Data by Age'!$B$7:$B$10366,0),MATCH('Tabular Pop Data by Age'!$C$6,'Population Data by Age'!$B$6:$H$6,0))</f>
        <v>11000</v>
      </c>
      <c r="G148" s="78">
        <f>INDEX('Population Data by Age'!$B$7:$H$10366,MATCH(CONCATENATE('Tabular Pop Data by Age'!$C148,'Tabular Pop Data by Age'!G$7),'Population Data by Age'!$B$7:$B$10366,0),MATCH('Tabular Pop Data by Age'!$C$6,'Population Data by Age'!$B$6:$H$6,0))</f>
        <v>11000</v>
      </c>
      <c r="H148" s="78">
        <f>INDEX('Population Data by Age'!$B$7:$H$10366,MATCH(CONCATENATE('Tabular Pop Data by Age'!$C148,'Tabular Pop Data by Age'!H$7),'Population Data by Age'!$B$7:$B$10366,0),MATCH('Tabular Pop Data by Age'!$C$6,'Population Data by Age'!$B$6:$H$6,0))</f>
        <v>11000</v>
      </c>
      <c r="I148" s="78">
        <f>INDEX('Population Data by Age'!$B$7:$H$10366,MATCH(CONCATENATE('Tabular Pop Data by Age'!$C148,'Tabular Pop Data by Age'!I$7),'Population Data by Age'!$B$7:$B$10366,0),MATCH('Tabular Pop Data by Age'!$C$6,'Population Data by Age'!$B$6:$H$6,0))</f>
        <v>11000</v>
      </c>
      <c r="J148" s="78">
        <f>INDEX('Population Data by Age'!$B$7:$H$10366,MATCH(CONCATENATE('Tabular Pop Data by Age'!$C148,'Tabular Pop Data by Age'!J$7),'Population Data by Age'!$B$7:$B$10366,0),MATCH('Tabular Pop Data by Age'!$C$6,'Population Data by Age'!$B$6:$H$6,0))</f>
        <v>11000</v>
      </c>
      <c r="K148" s="78">
        <f>INDEX('Population Data by Age'!$B$7:$H$10366,MATCH(CONCATENATE('Tabular Pop Data by Age'!$C148,'Tabular Pop Data by Age'!K$7),'Population Data by Age'!$B$7:$B$10366,0),MATCH('Tabular Pop Data by Age'!$C$6,'Population Data by Age'!$B$6:$H$6,0))</f>
        <v>11000</v>
      </c>
      <c r="L148" s="78">
        <f>INDEX('Population Data by Age'!$B$7:$H$10366,MATCH(CONCATENATE('Tabular Pop Data by Age'!$C148,'Tabular Pop Data by Age'!L$7),'Population Data by Age'!$B$7:$B$10366,0),MATCH('Tabular Pop Data by Age'!$C$6,'Population Data by Age'!$B$6:$H$6,0))</f>
        <v>12000</v>
      </c>
      <c r="M148" s="78">
        <f>INDEX('Population Data by Age'!$B$7:$H$10366,MATCH(CONCATENATE('Tabular Pop Data by Age'!$C148,'Tabular Pop Data by Age'!M$7),'Population Data by Age'!$B$7:$B$10366,0),MATCH('Tabular Pop Data by Age'!$C$6,'Population Data by Age'!$B$6:$H$6,0))</f>
        <v>12000</v>
      </c>
      <c r="N148" s="78">
        <f>INDEX('Population Data by Age'!$B$7:$H$10366,MATCH(CONCATENATE('Tabular Pop Data by Age'!$C148,'Tabular Pop Data by Age'!N$7),'Population Data by Age'!$B$7:$B$10366,0),MATCH('Tabular Pop Data by Age'!$C$6,'Population Data by Age'!$B$6:$H$6,0))</f>
        <v>9600</v>
      </c>
      <c r="O148" s="78">
        <f>INDEX('Population Data by Age'!$B$7:$H$10366,MATCH(CONCATENATE('Tabular Pop Data by Age'!$C148,'Tabular Pop Data by Age'!O$7),'Population Data by Age'!$B$7:$B$10366,0),MATCH('Tabular Pop Data by Age'!$C$6,'Population Data by Age'!$B$6:$H$6,0))</f>
        <v>11000</v>
      </c>
      <c r="P148" s="78">
        <f>INDEX('Population Data by Age'!$B$7:$H$10366,MATCH(CONCATENATE('Tabular Pop Data by Age'!$C148,'Tabular Pop Data by Age'!P$7),'Population Data by Age'!$B$7:$B$10366,0),MATCH('Tabular Pop Data by Age'!$C$6,'Population Data by Age'!$B$6:$H$6,0))</f>
        <v>10000</v>
      </c>
      <c r="Q148" s="78">
        <f>INDEX('Population Data by Age'!$B$7:$H$10366,MATCH(CONCATENATE('Tabular Pop Data by Age'!$C148,'Tabular Pop Data by Age'!Q$7),'Population Data by Age'!$B$7:$B$10366,0),MATCH('Tabular Pop Data by Age'!$C$6,'Population Data by Age'!$B$6:$H$6,0))</f>
        <v>11000</v>
      </c>
      <c r="R148" s="78">
        <f>INDEX('Population Data by Age'!$B$7:$H$10366,MATCH(CONCATENATE('Tabular Pop Data by Age'!$C148,'Tabular Pop Data by Age'!R$7),'Population Data by Age'!$B$7:$B$10366,0),MATCH('Tabular Pop Data by Age'!$C$6,'Population Data by Age'!$B$6:$H$6,0))</f>
        <v>10000</v>
      </c>
      <c r="S148" s="78">
        <f>INDEX('Population Data by Age'!$B$7:$H$10366,MATCH(CONCATENATE('Tabular Pop Data by Age'!$C148,'Tabular Pop Data by Age'!S$7),'Population Data by Age'!$B$7:$B$10366,0),MATCH('Tabular Pop Data by Age'!$C$6,'Population Data by Age'!$B$6:$H$6,0))</f>
        <v>11000</v>
      </c>
      <c r="T148" s="78">
        <f>INDEX('Population Data by Age'!$B$7:$H$10366,MATCH(CONCATENATE('Tabular Pop Data by Age'!$C148,'Tabular Pop Data by Age'!T$7),'Population Data by Age'!$B$7:$B$10366,0),MATCH('Tabular Pop Data by Age'!$C$6,'Population Data by Age'!$B$6:$H$6,0))</f>
        <v>10000</v>
      </c>
      <c r="U148" s="78">
        <f>INDEX('Population Data by Age'!$B$7:$H$10366,MATCH(CONCATENATE('Tabular Pop Data by Age'!$C148,'Tabular Pop Data by Age'!U$7),'Population Data by Age'!$B$7:$B$10366,0),MATCH('Tabular Pop Data by Age'!$C$6,'Population Data by Age'!$B$6:$H$6,0))</f>
        <v>10000</v>
      </c>
      <c r="V148" s="78">
        <f>INDEX('Population Data by Age'!$B$7:$H$10366,MATCH(CONCATENATE('Tabular Pop Data by Age'!$C148,'Tabular Pop Data by Age'!V$7),'Population Data by Age'!$B$7:$B$10366,0),MATCH('Tabular Pop Data by Age'!$C$6,'Population Data by Age'!$B$6:$H$6,0))</f>
        <v>11000</v>
      </c>
      <c r="W148" s="78">
        <f>INDEX('Population Data by Age'!$B$7:$H$10366,MATCH(CONCATENATE('Tabular Pop Data by Age'!$C148,'Tabular Pop Data by Age'!W$7),'Population Data by Age'!$B$7:$B$10366,0),MATCH('Tabular Pop Data by Age'!$C$6,'Population Data by Age'!$B$6:$H$6,0))</f>
        <v>11000</v>
      </c>
      <c r="X148" s="78">
        <f>INDEX('Population Data by Age'!$B$7:$H$10366,MATCH(CONCATENATE('Tabular Pop Data by Age'!$C148,'Tabular Pop Data by Age'!X$7),'Population Data by Age'!$B$7:$B$10366,0),MATCH('Tabular Pop Data by Age'!$C$6,'Population Data by Age'!$B$6:$H$6,0))</f>
        <v>9400</v>
      </c>
      <c r="Y148" s="78">
        <f>INDEX('Population Data by Age'!$B$7:$H$10366,MATCH(CONCATENATE('Tabular Pop Data by Age'!$C148,'Tabular Pop Data by Age'!Y$7),'Population Data by Age'!$B$7:$B$10366,0),MATCH('Tabular Pop Data by Age'!$C$6,'Population Data by Age'!$B$6:$H$6,0))</f>
        <v>9200</v>
      </c>
      <c r="Z148" s="78">
        <f>INDEX('Population Data by Age'!$B$7:$H$10366,MATCH(CONCATENATE('Tabular Pop Data by Age'!$C148,'Tabular Pop Data by Age'!Z$7),'Population Data by Age'!$B$7:$B$10366,0),MATCH('Tabular Pop Data by Age'!$C$6,'Population Data by Age'!$B$6:$H$6,0))</f>
        <v>8600</v>
      </c>
      <c r="AA148" s="78">
        <f>INDEX('Population Data by Age'!$B$7:$H$10366,MATCH(CONCATENATE('Tabular Pop Data by Age'!$C148,'Tabular Pop Data by Age'!AA$7),'Population Data by Age'!$B$7:$B$10366,0),MATCH('Tabular Pop Data by Age'!$C$6,'Population Data by Age'!$B$6:$H$6,0))</f>
        <v>8400</v>
      </c>
      <c r="AB148" s="78">
        <f>INDEX('Population Data by Age'!$B$7:$H$10366,MATCH(CONCATENATE('Tabular Pop Data by Age'!$C148,'Tabular Pop Data by Age'!AB$7),'Population Data by Age'!$B$7:$B$10366,0),MATCH('Tabular Pop Data by Age'!$C$6,'Population Data by Age'!$B$6:$H$6,0))</f>
        <v>6800</v>
      </c>
      <c r="AC148" s="78">
        <f>INDEX('Population Data by Age'!$B$7:$H$10366,MATCH(CONCATENATE('Tabular Pop Data by Age'!$C148,'Tabular Pop Data by Age'!AC$7),'Population Data by Age'!$B$7:$B$10366,0),MATCH('Tabular Pop Data by Age'!$C$6,'Population Data by Age'!$B$6:$H$6,0))</f>
        <v>6300</v>
      </c>
      <c r="AD148" s="78">
        <f>INDEX('Population Data by Age'!$B$7:$H$10366,MATCH(CONCATENATE('Tabular Pop Data by Age'!$C148,'Tabular Pop Data by Age'!AD$7),'Population Data by Age'!$B$7:$B$10366,0),MATCH('Tabular Pop Data by Age'!$C$6,'Population Data by Age'!$B$6:$H$6,0))</f>
        <v>5100</v>
      </c>
      <c r="AE148" s="78">
        <f>INDEX('Population Data by Age'!$B$7:$H$10366,MATCH(CONCATENATE('Tabular Pop Data by Age'!$C148,'Tabular Pop Data by Age'!AE$7),'Population Data by Age'!$B$7:$B$10366,0),MATCH('Tabular Pop Data by Age'!$C$6,'Population Data by Age'!$B$6:$H$6,0))</f>
        <v>5000</v>
      </c>
      <c r="AF148" s="78">
        <f>INDEX('Population Data by Age'!$B$7:$H$10366,MATCH(CONCATENATE('Tabular Pop Data by Age'!$C148,'Tabular Pop Data by Age'!AF$7),'Population Data by Age'!$B$7:$B$10366,0),MATCH('Tabular Pop Data by Age'!$C$6,'Population Data by Age'!$B$6:$H$6,0))</f>
        <v>4200</v>
      </c>
      <c r="AG148" s="78">
        <f>INDEX('Population Data by Age'!$B$7:$H$10366,MATCH(CONCATENATE('Tabular Pop Data by Age'!$C148,'Tabular Pop Data by Age'!AG$7),'Population Data by Age'!$B$7:$B$10366,0),MATCH('Tabular Pop Data by Age'!$C$6,'Population Data by Age'!$B$6:$H$6,0))</f>
        <v>4100</v>
      </c>
      <c r="AH148" s="78">
        <f>INDEX('Population Data by Age'!$B$7:$H$10366,MATCH(CONCATENATE('Tabular Pop Data by Age'!$C148,'Tabular Pop Data by Age'!AH$7),'Population Data by Age'!$B$7:$B$10366,0),MATCH('Tabular Pop Data by Age'!$C$6,'Population Data by Age'!$B$6:$H$6,0))</f>
        <v>2700</v>
      </c>
      <c r="AI148" s="78">
        <f>INDEX('Population Data by Age'!$B$7:$H$10366,MATCH(CONCATENATE('Tabular Pop Data by Age'!$C148,'Tabular Pop Data by Age'!AI$7),'Population Data by Age'!$B$7:$B$10366,0),MATCH('Tabular Pop Data by Age'!$C$6,'Population Data by Age'!$B$6:$H$6,0))</f>
        <v>2600</v>
      </c>
      <c r="AJ148" s="78">
        <f>INDEX('Population Data by Age'!$B$7:$H$10366,MATCH(CONCATENATE('Tabular Pop Data by Age'!$C148,'Tabular Pop Data by Age'!AJ$7),'Population Data by Age'!$B$7:$B$10366,0),MATCH('Tabular Pop Data by Age'!$C$6,'Population Data by Age'!$B$6:$H$6,0))</f>
        <v>2900</v>
      </c>
      <c r="AK148" s="78">
        <f>INDEX('Population Data by Age'!$B$7:$H$10366,MATCH(CONCATENATE('Tabular Pop Data by Age'!$C148,'Tabular Pop Data by Age'!AK$7),'Population Data by Age'!$B$7:$B$10366,0),MATCH('Tabular Pop Data by Age'!$C$6,'Population Data by Age'!$B$6:$H$6,0))</f>
        <v>1600</v>
      </c>
      <c r="AL148" s="78">
        <f>INDEX('Population Data by Age'!$B$7:$H$10366,MATCH(CONCATENATE('Tabular Pop Data by Age'!$C148,'Tabular Pop Data by Age'!AL$7),'Population Data by Age'!$B$7:$B$10366,0),MATCH('Tabular Pop Data by Age'!$C$6,'Population Data by Age'!$B$6:$H$6,0))</f>
        <v>145000</v>
      </c>
      <c r="AM148" s="78">
        <f>INDEX('Population Data by Age'!$B$7:$H$10366,MATCH(CONCATENATE('Tabular Pop Data by Age'!$C148,'Tabular Pop Data by Age'!AM$7),'Population Data by Age'!$B$7:$B$10366,0),MATCH('Tabular Pop Data by Age'!$C$6,'Population Data by Age'!$B$6:$H$6,0))</f>
        <v>146000</v>
      </c>
      <c r="AN148" s="78">
        <f>INDEX('Population Data by Age'!$B$7:$H$10366,MATCH(CONCATENATE('Tabular Pop Data by Age'!$C148,'Tabular Pop Data by Age'!AN$7),'Population Data by Age'!$B$7:$B$10366,0),MATCH('Tabular Pop Data by Age'!$C$6,'Population Data by Age'!$B$6:$H$6,0))</f>
        <v>291000</v>
      </c>
      <c r="AO148" s="78">
        <f>INDEX('Population Data by Age'!$B$7:$H$10366,MATCH(CONCATENATE('Tabular Pop Data by Age'!$C148,'Tabular Pop Data by Age'!AO$7),'Population Data by Age'!$B$7:$B$10366,0),MATCH('Tabular Pop Data by Age'!$C$6,'Population Data by Age'!$B$6:$H$6,0))</f>
        <v>0</v>
      </c>
      <c r="AP148" s="79">
        <f t="shared" si="34"/>
        <v>19900</v>
      </c>
      <c r="AQ148" s="79">
        <f t="shared" si="35"/>
        <v>22000</v>
      </c>
      <c r="AR148" s="79">
        <f t="shared" si="36"/>
        <v>22000</v>
      </c>
      <c r="AS148" s="79">
        <f t="shared" si="37"/>
        <v>22000</v>
      </c>
      <c r="AT148" s="79">
        <f t="shared" si="38"/>
        <v>24000</v>
      </c>
      <c r="AU148" s="79">
        <f t="shared" si="39"/>
        <v>20600</v>
      </c>
      <c r="AV148" s="79">
        <f t="shared" si="40"/>
        <v>21000</v>
      </c>
      <c r="AW148" s="79">
        <f t="shared" si="41"/>
        <v>21000</v>
      </c>
      <c r="AX148" s="79">
        <f t="shared" si="42"/>
        <v>20000</v>
      </c>
      <c r="AY148" s="79">
        <f t="shared" si="43"/>
        <v>22000</v>
      </c>
      <c r="AZ148" s="79">
        <f t="shared" si="44"/>
        <v>18600</v>
      </c>
      <c r="BA148" s="79">
        <f t="shared" si="45"/>
        <v>17000</v>
      </c>
      <c r="BB148" s="79">
        <f t="shared" si="46"/>
        <v>13100</v>
      </c>
      <c r="BC148" s="79">
        <f t="shared" si="47"/>
        <v>10100</v>
      </c>
      <c r="BD148" s="79">
        <f t="shared" si="48"/>
        <v>8300</v>
      </c>
      <c r="BE148" s="79">
        <f t="shared" si="49"/>
        <v>5300</v>
      </c>
      <c r="BF148" s="79">
        <f t="shared" si="50"/>
        <v>4500</v>
      </c>
    </row>
    <row r="149" spans="1:58" x14ac:dyDescent="0.25">
      <c r="A149" s="138" t="s">
        <v>1195</v>
      </c>
      <c r="B149" t="s">
        <v>587</v>
      </c>
      <c r="C149" t="s">
        <v>110</v>
      </c>
      <c r="D149" s="78">
        <f>INDEX('Population Data by Age'!$B$7:$H$10366,MATCH(CONCATENATE('Tabular Pop Data by Age'!$C149,'Tabular Pop Data by Age'!D$7),'Population Data by Age'!$B$7:$B$10366,0),MATCH('Tabular Pop Data by Age'!$C$6,'Population Data by Age'!$B$6:$H$6,0))</f>
        <v>151000</v>
      </c>
      <c r="E149" s="78">
        <f>INDEX('Population Data by Age'!$B$7:$H$10366,MATCH(CONCATENATE('Tabular Pop Data by Age'!$C149,'Tabular Pop Data by Age'!E$7),'Population Data by Age'!$B$7:$B$10366,0),MATCH('Tabular Pop Data by Age'!$C$6,'Population Data by Age'!$B$6:$H$6,0))</f>
        <v>159000</v>
      </c>
      <c r="F149" s="78">
        <f>INDEX('Population Data by Age'!$B$7:$H$10366,MATCH(CONCATENATE('Tabular Pop Data by Age'!$C149,'Tabular Pop Data by Age'!F$7),'Population Data by Age'!$B$7:$B$10366,0),MATCH('Tabular Pop Data by Age'!$C$6,'Population Data by Age'!$B$6:$H$6,0))</f>
        <v>158000</v>
      </c>
      <c r="G149" s="78">
        <f>INDEX('Population Data by Age'!$B$7:$H$10366,MATCH(CONCATENATE('Tabular Pop Data by Age'!$C149,'Tabular Pop Data by Age'!G$7),'Population Data by Age'!$B$7:$B$10366,0),MATCH('Tabular Pop Data by Age'!$C$6,'Population Data by Age'!$B$6:$H$6,0))</f>
        <v>166000</v>
      </c>
      <c r="H149" s="78">
        <f>INDEX('Population Data by Age'!$B$7:$H$10366,MATCH(CONCATENATE('Tabular Pop Data by Age'!$C149,'Tabular Pop Data by Age'!H$7),'Population Data by Age'!$B$7:$B$10366,0),MATCH('Tabular Pop Data by Age'!$C$6,'Population Data by Age'!$B$6:$H$6,0))</f>
        <v>161000</v>
      </c>
      <c r="I149" s="78">
        <f>INDEX('Population Data by Age'!$B$7:$H$10366,MATCH(CONCATENATE('Tabular Pop Data by Age'!$C149,'Tabular Pop Data by Age'!I$7),'Population Data by Age'!$B$7:$B$10366,0),MATCH('Tabular Pop Data by Age'!$C$6,'Population Data by Age'!$B$6:$H$6,0))</f>
        <v>170000</v>
      </c>
      <c r="J149" s="78">
        <f>INDEX('Population Data by Age'!$B$7:$H$10366,MATCH(CONCATENATE('Tabular Pop Data by Age'!$C149,'Tabular Pop Data by Age'!J$7),'Population Data by Age'!$B$7:$B$10366,0),MATCH('Tabular Pop Data by Age'!$C$6,'Population Data by Age'!$B$6:$H$6,0))</f>
        <v>153000</v>
      </c>
      <c r="K149" s="78">
        <f>INDEX('Population Data by Age'!$B$7:$H$10366,MATCH(CONCATENATE('Tabular Pop Data by Age'!$C149,'Tabular Pop Data by Age'!K$7),'Population Data by Age'!$B$7:$B$10366,0),MATCH('Tabular Pop Data by Age'!$C$6,'Population Data by Age'!$B$6:$H$6,0))</f>
        <v>159000</v>
      </c>
      <c r="L149" s="78">
        <f>INDEX('Population Data by Age'!$B$7:$H$10366,MATCH(CONCATENATE('Tabular Pop Data by Age'!$C149,'Tabular Pop Data by Age'!L$7),'Population Data by Age'!$B$7:$B$10366,0),MATCH('Tabular Pop Data by Age'!$C$6,'Population Data by Age'!$B$6:$H$6,0))</f>
        <v>163000</v>
      </c>
      <c r="M149" s="78">
        <f>INDEX('Population Data by Age'!$B$7:$H$10366,MATCH(CONCATENATE('Tabular Pop Data by Age'!$C149,'Tabular Pop Data by Age'!M$7),'Population Data by Age'!$B$7:$B$10366,0),MATCH('Tabular Pop Data by Age'!$C$6,'Population Data by Age'!$B$6:$H$6,0))</f>
        <v>171000</v>
      </c>
      <c r="N149" s="78">
        <f>INDEX('Population Data by Age'!$B$7:$H$10366,MATCH(CONCATENATE('Tabular Pop Data by Age'!$C149,'Tabular Pop Data by Age'!N$7),'Population Data by Age'!$B$7:$B$10366,0),MATCH('Tabular Pop Data by Age'!$C$6,'Population Data by Age'!$B$6:$H$6,0))</f>
        <v>174000</v>
      </c>
      <c r="O149" s="78">
        <f>INDEX('Population Data by Age'!$B$7:$H$10366,MATCH(CONCATENATE('Tabular Pop Data by Age'!$C149,'Tabular Pop Data by Age'!O$7),'Population Data by Age'!$B$7:$B$10366,0),MATCH('Tabular Pop Data by Age'!$C$6,'Population Data by Age'!$B$6:$H$6,0))</f>
        <v>184000</v>
      </c>
      <c r="P149" s="78">
        <f>INDEX('Population Data by Age'!$B$7:$H$10366,MATCH(CONCATENATE('Tabular Pop Data by Age'!$C149,'Tabular Pop Data by Age'!P$7),'Population Data by Age'!$B$7:$B$10366,0),MATCH('Tabular Pop Data by Age'!$C$6,'Population Data by Age'!$B$6:$H$6,0))</f>
        <v>168000</v>
      </c>
      <c r="Q149" s="78">
        <f>INDEX('Population Data by Age'!$B$7:$H$10366,MATCH(CONCATENATE('Tabular Pop Data by Age'!$C149,'Tabular Pop Data by Age'!Q$7),'Population Data by Age'!$B$7:$B$10366,0),MATCH('Tabular Pop Data by Age'!$C$6,'Population Data by Age'!$B$6:$H$6,0))</f>
        <v>166000</v>
      </c>
      <c r="R149" s="78">
        <f>INDEX('Population Data by Age'!$B$7:$H$10366,MATCH(CONCATENATE('Tabular Pop Data by Age'!$C149,'Tabular Pop Data by Age'!R$7),'Population Data by Age'!$B$7:$B$10366,0),MATCH('Tabular Pop Data by Age'!$C$6,'Population Data by Age'!$B$6:$H$6,0))</f>
        <v>158000</v>
      </c>
      <c r="S149" s="78">
        <f>INDEX('Population Data by Age'!$B$7:$H$10366,MATCH(CONCATENATE('Tabular Pop Data by Age'!$C149,'Tabular Pop Data by Age'!S$7),'Population Data by Age'!$B$7:$B$10366,0),MATCH('Tabular Pop Data by Age'!$C$6,'Population Data by Age'!$B$6:$H$6,0))</f>
        <v>146000</v>
      </c>
      <c r="T149" s="78">
        <f>INDEX('Population Data by Age'!$B$7:$H$10366,MATCH(CONCATENATE('Tabular Pop Data by Age'!$C149,'Tabular Pop Data by Age'!T$7),'Population Data by Age'!$B$7:$B$10366,0),MATCH('Tabular Pop Data by Age'!$C$6,'Population Data by Age'!$B$6:$H$6,0))</f>
        <v>150000</v>
      </c>
      <c r="U149" s="78">
        <f>INDEX('Population Data by Age'!$B$7:$H$10366,MATCH(CONCATENATE('Tabular Pop Data by Age'!$C149,'Tabular Pop Data by Age'!U$7),'Population Data by Age'!$B$7:$B$10366,0),MATCH('Tabular Pop Data by Age'!$C$6,'Population Data by Age'!$B$6:$H$6,0))</f>
        <v>137000</v>
      </c>
      <c r="V149" s="78">
        <f>INDEX('Population Data by Age'!$B$7:$H$10366,MATCH(CONCATENATE('Tabular Pop Data by Age'!$C149,'Tabular Pop Data by Age'!V$7),'Population Data by Age'!$B$7:$B$10366,0),MATCH('Tabular Pop Data by Age'!$C$6,'Population Data by Age'!$B$6:$H$6,0))</f>
        <v>170000</v>
      </c>
      <c r="W149" s="78">
        <f>INDEX('Population Data by Age'!$B$7:$H$10366,MATCH(CONCATENATE('Tabular Pop Data by Age'!$C149,'Tabular Pop Data by Age'!W$7),'Population Data by Age'!$B$7:$B$10366,0),MATCH('Tabular Pop Data by Age'!$C$6,'Population Data by Age'!$B$6:$H$6,0))</f>
        <v>153000</v>
      </c>
      <c r="X149" s="78">
        <f>INDEX('Population Data by Age'!$B$7:$H$10366,MATCH(CONCATENATE('Tabular Pop Data by Age'!$C149,'Tabular Pop Data by Age'!X$7),'Population Data by Age'!$B$7:$B$10366,0),MATCH('Tabular Pop Data by Age'!$C$6,'Population Data by Age'!$B$6:$H$6,0))</f>
        <v>168000</v>
      </c>
      <c r="Y149" s="78">
        <f>INDEX('Population Data by Age'!$B$7:$H$10366,MATCH(CONCATENATE('Tabular Pop Data by Age'!$C149,'Tabular Pop Data by Age'!Y$7),'Population Data by Age'!$B$7:$B$10366,0),MATCH('Tabular Pop Data by Age'!$C$6,'Population Data by Age'!$B$6:$H$6,0))</f>
        <v>153000</v>
      </c>
      <c r="Z149" s="78">
        <f>INDEX('Population Data by Age'!$B$7:$H$10366,MATCH(CONCATENATE('Tabular Pop Data by Age'!$C149,'Tabular Pop Data by Age'!Z$7),'Population Data by Age'!$B$7:$B$10366,0),MATCH('Tabular Pop Data by Age'!$C$6,'Population Data by Age'!$B$6:$H$6,0))</f>
        <v>169000</v>
      </c>
      <c r="AA149" s="78">
        <f>INDEX('Population Data by Age'!$B$7:$H$10366,MATCH(CONCATENATE('Tabular Pop Data by Age'!$C149,'Tabular Pop Data by Age'!AA$7),'Population Data by Age'!$B$7:$B$10366,0),MATCH('Tabular Pop Data by Age'!$C$6,'Population Data by Age'!$B$6:$H$6,0))</f>
        <v>158000</v>
      </c>
      <c r="AB149" s="78">
        <f>INDEX('Population Data by Age'!$B$7:$H$10366,MATCH(CONCATENATE('Tabular Pop Data by Age'!$C149,'Tabular Pop Data by Age'!AB$7),'Population Data by Age'!$B$7:$B$10366,0),MATCH('Tabular Pop Data by Age'!$C$6,'Population Data by Age'!$B$6:$H$6,0))</f>
        <v>151000</v>
      </c>
      <c r="AC149" s="78">
        <f>INDEX('Population Data by Age'!$B$7:$H$10366,MATCH(CONCATENATE('Tabular Pop Data by Age'!$C149,'Tabular Pop Data by Age'!AC$7),'Population Data by Age'!$B$7:$B$10366,0),MATCH('Tabular Pop Data by Age'!$C$6,'Population Data by Age'!$B$6:$H$6,0))</f>
        <v>140000</v>
      </c>
      <c r="AD149" s="78">
        <f>INDEX('Population Data by Age'!$B$7:$H$10366,MATCH(CONCATENATE('Tabular Pop Data by Age'!$C149,'Tabular Pop Data by Age'!AD$7),'Population Data by Age'!$B$7:$B$10366,0),MATCH('Tabular Pop Data by Age'!$C$6,'Population Data by Age'!$B$6:$H$6,0))</f>
        <v>128000</v>
      </c>
      <c r="AE149" s="78">
        <f>INDEX('Population Data by Age'!$B$7:$H$10366,MATCH(CONCATENATE('Tabular Pop Data by Age'!$C149,'Tabular Pop Data by Age'!AE$7),'Population Data by Age'!$B$7:$B$10366,0),MATCH('Tabular Pop Data by Age'!$C$6,'Population Data by Age'!$B$6:$H$6,0))</f>
        <v>120000</v>
      </c>
      <c r="AF149" s="78">
        <f>INDEX('Population Data by Age'!$B$7:$H$10366,MATCH(CONCATENATE('Tabular Pop Data by Age'!$C149,'Tabular Pop Data by Age'!AF$7),'Population Data by Age'!$B$7:$B$10366,0),MATCH('Tabular Pop Data by Age'!$C$6,'Population Data by Age'!$B$6:$H$6,0))</f>
        <v>114000</v>
      </c>
      <c r="AG149" s="78">
        <f>INDEX('Population Data by Age'!$B$7:$H$10366,MATCH(CONCATENATE('Tabular Pop Data by Age'!$C149,'Tabular Pop Data by Age'!AG$7),'Population Data by Age'!$B$7:$B$10366,0),MATCH('Tabular Pop Data by Age'!$C$6,'Population Data by Age'!$B$6:$H$6,0))</f>
        <v>106000</v>
      </c>
      <c r="AH149" s="78">
        <f>INDEX('Population Data by Age'!$B$7:$H$10366,MATCH(CONCATENATE('Tabular Pop Data by Age'!$C149,'Tabular Pop Data by Age'!AH$7),'Population Data by Age'!$B$7:$B$10366,0),MATCH('Tabular Pop Data by Age'!$C$6,'Population Data by Age'!$B$6:$H$6,0))</f>
        <v>81000</v>
      </c>
      <c r="AI149" s="78">
        <f>INDEX('Population Data by Age'!$B$7:$H$10366,MATCH(CONCATENATE('Tabular Pop Data by Age'!$C149,'Tabular Pop Data by Age'!AI$7),'Population Data by Age'!$B$7:$B$10366,0),MATCH('Tabular Pop Data by Age'!$C$6,'Population Data by Age'!$B$6:$H$6,0))</f>
        <v>72000</v>
      </c>
      <c r="AJ149" s="78">
        <f>INDEX('Population Data by Age'!$B$7:$H$10366,MATCH(CONCATENATE('Tabular Pop Data by Age'!$C149,'Tabular Pop Data by Age'!AJ$7),'Population Data by Age'!$B$7:$B$10366,0),MATCH('Tabular Pop Data by Age'!$C$6,'Population Data by Age'!$B$6:$H$6,0))</f>
        <v>112000</v>
      </c>
      <c r="AK149" s="78">
        <f>INDEX('Population Data by Age'!$B$7:$H$10366,MATCH(CONCATENATE('Tabular Pop Data by Age'!$C149,'Tabular Pop Data by Age'!AK$7),'Population Data by Age'!$B$7:$B$10366,0),MATCH('Tabular Pop Data by Age'!$C$6,'Population Data by Age'!$B$6:$H$6,0))</f>
        <v>81000</v>
      </c>
      <c r="AL149" s="78">
        <f>INDEX('Population Data by Age'!$B$7:$H$10366,MATCH(CONCATENATE('Tabular Pop Data by Age'!$C149,'Tabular Pop Data by Age'!AL$7),'Population Data by Age'!$B$7:$B$10366,0),MATCH('Tabular Pop Data by Age'!$C$6,'Population Data by Age'!$B$6:$H$6,0))</f>
        <v>2528000</v>
      </c>
      <c r="AM149" s="78">
        <f>INDEX('Population Data by Age'!$B$7:$H$10366,MATCH(CONCATENATE('Tabular Pop Data by Age'!$C149,'Tabular Pop Data by Age'!AM$7),'Population Data by Age'!$B$7:$B$10366,0),MATCH('Tabular Pop Data by Age'!$C$6,'Population Data by Age'!$B$6:$H$6,0))</f>
        <v>2443000</v>
      </c>
      <c r="AN149" s="78">
        <f>INDEX('Population Data by Age'!$B$7:$H$10366,MATCH(CONCATENATE('Tabular Pop Data by Age'!$C149,'Tabular Pop Data by Age'!AN$7),'Population Data by Age'!$B$7:$B$10366,0),MATCH('Tabular Pop Data by Age'!$C$6,'Population Data by Age'!$B$6:$H$6,0))</f>
        <v>4971000</v>
      </c>
      <c r="AO149" s="78">
        <f>INDEX('Population Data by Age'!$B$7:$H$10366,MATCH(CONCATENATE('Tabular Pop Data by Age'!$C149,'Tabular Pop Data by Age'!AO$7),'Population Data by Age'!$B$7:$B$10366,0),MATCH('Tabular Pop Data by Age'!$C$6,'Population Data by Age'!$B$6:$H$6,0))</f>
        <v>0</v>
      </c>
      <c r="AP149" s="79">
        <f t="shared" si="34"/>
        <v>310000</v>
      </c>
      <c r="AQ149" s="79">
        <f t="shared" si="35"/>
        <v>324000</v>
      </c>
      <c r="AR149" s="79">
        <f t="shared" si="36"/>
        <v>331000</v>
      </c>
      <c r="AS149" s="79">
        <f t="shared" si="37"/>
        <v>312000</v>
      </c>
      <c r="AT149" s="79">
        <f t="shared" si="38"/>
        <v>334000</v>
      </c>
      <c r="AU149" s="79">
        <f t="shared" si="39"/>
        <v>358000</v>
      </c>
      <c r="AV149" s="79">
        <f t="shared" si="40"/>
        <v>334000</v>
      </c>
      <c r="AW149" s="79">
        <f t="shared" si="41"/>
        <v>304000</v>
      </c>
      <c r="AX149" s="79">
        <f t="shared" si="42"/>
        <v>287000</v>
      </c>
      <c r="AY149" s="79">
        <f t="shared" si="43"/>
        <v>323000</v>
      </c>
      <c r="AZ149" s="79">
        <f t="shared" si="44"/>
        <v>321000</v>
      </c>
      <c r="BA149" s="79">
        <f t="shared" si="45"/>
        <v>327000</v>
      </c>
      <c r="BB149" s="79">
        <f t="shared" si="46"/>
        <v>291000</v>
      </c>
      <c r="BC149" s="79">
        <f t="shared" si="47"/>
        <v>248000</v>
      </c>
      <c r="BD149" s="79">
        <f t="shared" si="48"/>
        <v>220000</v>
      </c>
      <c r="BE149" s="79">
        <f t="shared" si="49"/>
        <v>153000</v>
      </c>
      <c r="BF149" s="79">
        <f t="shared" si="50"/>
        <v>193000</v>
      </c>
    </row>
    <row r="150" spans="1:58" x14ac:dyDescent="0.25">
      <c r="A150" s="138" t="s">
        <v>1195</v>
      </c>
      <c r="B150" t="s">
        <v>227</v>
      </c>
      <c r="C150" t="s">
        <v>105</v>
      </c>
      <c r="D150" s="78">
        <f>INDEX('Population Data by Age'!$B$7:$H$10366,MATCH(CONCATENATE('Tabular Pop Data by Age'!$C150,'Tabular Pop Data by Age'!D$7),'Population Data by Age'!$B$7:$B$10366,0),MATCH('Tabular Pop Data by Age'!$C$6,'Population Data by Age'!$B$6:$H$6,0))</f>
        <v>321000</v>
      </c>
      <c r="E150" s="78">
        <f>INDEX('Population Data by Age'!$B$7:$H$10366,MATCH(CONCATENATE('Tabular Pop Data by Age'!$C150,'Tabular Pop Data by Age'!E$7),'Population Data by Age'!$B$7:$B$10366,0),MATCH('Tabular Pop Data by Age'!$C$6,'Population Data by Age'!$B$6:$H$6,0))</f>
        <v>336000</v>
      </c>
      <c r="F150" s="78">
        <f>INDEX('Population Data by Age'!$B$7:$H$10366,MATCH(CONCATENATE('Tabular Pop Data by Age'!$C150,'Tabular Pop Data by Age'!F$7),'Population Data by Age'!$B$7:$B$10366,0),MATCH('Tabular Pop Data by Age'!$C$6,'Population Data by Age'!$B$6:$H$6,0))</f>
        <v>321000</v>
      </c>
      <c r="G150" s="78">
        <f>INDEX('Population Data by Age'!$B$7:$H$10366,MATCH(CONCATENATE('Tabular Pop Data by Age'!$C150,'Tabular Pop Data by Age'!G$7),'Population Data by Age'!$B$7:$B$10366,0),MATCH('Tabular Pop Data by Age'!$C$6,'Population Data by Age'!$B$6:$H$6,0))</f>
        <v>339000</v>
      </c>
      <c r="H150" s="78">
        <f>INDEX('Population Data by Age'!$B$7:$H$10366,MATCH(CONCATENATE('Tabular Pop Data by Age'!$C150,'Tabular Pop Data by Age'!H$7),'Population Data by Age'!$B$7:$B$10366,0),MATCH('Tabular Pop Data by Age'!$C$6,'Population Data by Age'!$B$6:$H$6,0))</f>
        <v>309000</v>
      </c>
      <c r="I150" s="78">
        <f>INDEX('Population Data by Age'!$B$7:$H$10366,MATCH(CONCATENATE('Tabular Pop Data by Age'!$C150,'Tabular Pop Data by Age'!I$7),'Population Data by Age'!$B$7:$B$10366,0),MATCH('Tabular Pop Data by Age'!$C$6,'Population Data by Age'!$B$6:$H$6,0))</f>
        <v>329000</v>
      </c>
      <c r="J150" s="78">
        <f>INDEX('Population Data by Age'!$B$7:$H$10366,MATCH(CONCATENATE('Tabular Pop Data by Age'!$C150,'Tabular Pop Data by Age'!J$7),'Population Data by Age'!$B$7:$B$10366,0),MATCH('Tabular Pop Data by Age'!$C$6,'Population Data by Age'!$B$6:$H$6,0))</f>
        <v>291000</v>
      </c>
      <c r="K150" s="78">
        <f>INDEX('Population Data by Age'!$B$7:$H$10366,MATCH(CONCATENATE('Tabular Pop Data by Age'!$C150,'Tabular Pop Data by Age'!K$7),'Population Data by Age'!$B$7:$B$10366,0),MATCH('Tabular Pop Data by Age'!$C$6,'Population Data by Age'!$B$6:$H$6,0))</f>
        <v>312000</v>
      </c>
      <c r="L150" s="78">
        <f>INDEX('Population Data by Age'!$B$7:$H$10366,MATCH(CONCATENATE('Tabular Pop Data by Age'!$C150,'Tabular Pop Data by Age'!L$7),'Population Data by Age'!$B$7:$B$10366,0),MATCH('Tabular Pop Data by Age'!$C$6,'Population Data by Age'!$B$6:$H$6,0))</f>
        <v>284000</v>
      </c>
      <c r="M150" s="78">
        <f>INDEX('Population Data by Age'!$B$7:$H$10366,MATCH(CONCATENATE('Tabular Pop Data by Age'!$C150,'Tabular Pop Data by Age'!M$7),'Population Data by Age'!$B$7:$B$10366,0),MATCH('Tabular Pop Data by Age'!$C$6,'Population Data by Age'!$B$6:$H$6,0))</f>
        <v>301000</v>
      </c>
      <c r="N150" s="78">
        <f>INDEX('Population Data by Age'!$B$7:$H$10366,MATCH(CONCATENATE('Tabular Pop Data by Age'!$C150,'Tabular Pop Data by Age'!N$7),'Population Data by Age'!$B$7:$B$10366,0),MATCH('Tabular Pop Data by Age'!$C$6,'Population Data by Age'!$B$6:$H$6,0))</f>
        <v>287000</v>
      </c>
      <c r="O150" s="78">
        <f>INDEX('Population Data by Age'!$B$7:$H$10366,MATCH(CONCATENATE('Tabular Pop Data by Age'!$C150,'Tabular Pop Data by Age'!O$7),'Population Data by Age'!$B$7:$B$10366,0),MATCH('Tabular Pop Data by Age'!$C$6,'Population Data by Age'!$B$6:$H$6,0))</f>
        <v>294000</v>
      </c>
      <c r="P150" s="78">
        <f>INDEX('Population Data by Age'!$B$7:$H$10366,MATCH(CONCATENATE('Tabular Pop Data by Age'!$C150,'Tabular Pop Data by Age'!P$7),'Population Data by Age'!$B$7:$B$10366,0),MATCH('Tabular Pop Data by Age'!$C$6,'Population Data by Age'!$B$6:$H$6,0))</f>
        <v>276000</v>
      </c>
      <c r="Q150" s="78">
        <f>INDEX('Population Data by Age'!$B$7:$H$10366,MATCH(CONCATENATE('Tabular Pop Data by Age'!$C150,'Tabular Pop Data by Age'!Q$7),'Population Data by Age'!$B$7:$B$10366,0),MATCH('Tabular Pop Data by Age'!$C$6,'Population Data by Age'!$B$6:$H$6,0))</f>
        <v>273000</v>
      </c>
      <c r="R150" s="78">
        <f>INDEX('Population Data by Age'!$B$7:$H$10366,MATCH(CONCATENATE('Tabular Pop Data by Age'!$C150,'Tabular Pop Data by Age'!R$7),'Population Data by Age'!$B$7:$B$10366,0),MATCH('Tabular Pop Data by Age'!$C$6,'Population Data by Age'!$B$6:$H$6,0))</f>
        <v>260000</v>
      </c>
      <c r="S150" s="78">
        <f>INDEX('Population Data by Age'!$B$7:$H$10366,MATCH(CONCATENATE('Tabular Pop Data by Age'!$C150,'Tabular Pop Data by Age'!S$7),'Population Data by Age'!$B$7:$B$10366,0),MATCH('Tabular Pop Data by Age'!$C$6,'Population Data by Age'!$B$6:$H$6,0))</f>
        <v>246000</v>
      </c>
      <c r="T150" s="78">
        <f>INDEX('Population Data by Age'!$B$7:$H$10366,MATCH(CONCATENATE('Tabular Pop Data by Age'!$C150,'Tabular Pop Data by Age'!T$7),'Population Data by Age'!$B$7:$B$10366,0),MATCH('Tabular Pop Data by Age'!$C$6,'Population Data by Age'!$B$6:$H$6,0))</f>
        <v>222000</v>
      </c>
      <c r="U150" s="78">
        <f>INDEX('Population Data by Age'!$B$7:$H$10366,MATCH(CONCATENATE('Tabular Pop Data by Age'!$C150,'Tabular Pop Data by Age'!U$7),'Population Data by Age'!$B$7:$B$10366,0),MATCH('Tabular Pop Data by Age'!$C$6,'Population Data by Age'!$B$6:$H$6,0))</f>
        <v>199000</v>
      </c>
      <c r="V150" s="78">
        <f>INDEX('Population Data by Age'!$B$7:$H$10366,MATCH(CONCATENATE('Tabular Pop Data by Age'!$C150,'Tabular Pop Data by Age'!V$7),'Population Data by Age'!$B$7:$B$10366,0),MATCH('Tabular Pop Data by Age'!$C$6,'Population Data by Age'!$B$6:$H$6,0))</f>
        <v>185000</v>
      </c>
      <c r="W150" s="78">
        <f>INDEX('Population Data by Age'!$B$7:$H$10366,MATCH(CONCATENATE('Tabular Pop Data by Age'!$C150,'Tabular Pop Data by Age'!W$7),'Population Data by Age'!$B$7:$B$10366,0),MATCH('Tabular Pop Data by Age'!$C$6,'Population Data by Age'!$B$6:$H$6,0))</f>
        <v>157000</v>
      </c>
      <c r="X150" s="78">
        <f>INDEX('Population Data by Age'!$B$7:$H$10366,MATCH(CONCATENATE('Tabular Pop Data by Age'!$C150,'Tabular Pop Data by Age'!X$7),'Population Data by Age'!$B$7:$B$10366,0),MATCH('Tabular Pop Data by Age'!$C$6,'Population Data by Age'!$B$6:$H$6,0))</f>
        <v>150000</v>
      </c>
      <c r="Y150" s="78">
        <f>INDEX('Population Data by Age'!$B$7:$H$10366,MATCH(CONCATENATE('Tabular Pop Data by Age'!$C150,'Tabular Pop Data by Age'!Y$7),'Population Data by Age'!$B$7:$B$10366,0),MATCH('Tabular Pop Data by Age'!$C$6,'Population Data by Age'!$B$6:$H$6,0))</f>
        <v>124000</v>
      </c>
      <c r="Z150" s="78">
        <f>INDEX('Population Data by Age'!$B$7:$H$10366,MATCH(CONCATENATE('Tabular Pop Data by Age'!$C150,'Tabular Pop Data by Age'!Z$7),'Population Data by Age'!$B$7:$B$10366,0),MATCH('Tabular Pop Data by Age'!$C$6,'Population Data by Age'!$B$6:$H$6,0))</f>
        <v>128000</v>
      </c>
      <c r="AA150" s="78">
        <f>INDEX('Population Data by Age'!$B$7:$H$10366,MATCH(CONCATENATE('Tabular Pop Data by Age'!$C150,'Tabular Pop Data by Age'!AA$7),'Population Data by Age'!$B$7:$B$10366,0),MATCH('Tabular Pop Data by Age'!$C$6,'Population Data by Age'!$B$6:$H$6,0))</f>
        <v>105000</v>
      </c>
      <c r="AB150" s="78">
        <f>INDEX('Population Data by Age'!$B$7:$H$10366,MATCH(CONCATENATE('Tabular Pop Data by Age'!$C150,'Tabular Pop Data by Age'!AB$7),'Population Data by Age'!$B$7:$B$10366,0),MATCH('Tabular Pop Data by Age'!$C$6,'Population Data by Age'!$B$6:$H$6,0))</f>
        <v>110000</v>
      </c>
      <c r="AC150" s="78">
        <f>INDEX('Population Data by Age'!$B$7:$H$10366,MATCH(CONCATENATE('Tabular Pop Data by Age'!$C150,'Tabular Pop Data by Age'!AC$7),'Population Data by Age'!$B$7:$B$10366,0),MATCH('Tabular Pop Data by Age'!$C$6,'Population Data by Age'!$B$6:$H$6,0))</f>
        <v>90000</v>
      </c>
      <c r="AD150" s="78">
        <f>INDEX('Population Data by Age'!$B$7:$H$10366,MATCH(CONCATENATE('Tabular Pop Data by Age'!$C150,'Tabular Pop Data by Age'!AD$7),'Population Data by Age'!$B$7:$B$10366,0),MATCH('Tabular Pop Data by Age'!$C$6,'Population Data by Age'!$B$6:$H$6,0))</f>
        <v>84000</v>
      </c>
      <c r="AE150" s="78">
        <f>INDEX('Population Data by Age'!$B$7:$H$10366,MATCH(CONCATENATE('Tabular Pop Data by Age'!$C150,'Tabular Pop Data by Age'!AE$7),'Population Data by Age'!$B$7:$B$10366,0),MATCH('Tabular Pop Data by Age'!$C$6,'Population Data by Age'!$B$6:$H$6,0))</f>
        <v>65000</v>
      </c>
      <c r="AF150" s="78">
        <f>INDEX('Population Data by Age'!$B$7:$H$10366,MATCH(CONCATENATE('Tabular Pop Data by Age'!$C150,'Tabular Pop Data by Age'!AF$7),'Population Data by Age'!$B$7:$B$10366,0),MATCH('Tabular Pop Data by Age'!$C$6,'Population Data by Age'!$B$6:$H$6,0))</f>
        <v>47000</v>
      </c>
      <c r="AG150" s="78">
        <f>INDEX('Population Data by Age'!$B$7:$H$10366,MATCH(CONCATENATE('Tabular Pop Data by Age'!$C150,'Tabular Pop Data by Age'!AG$7),'Population Data by Age'!$B$7:$B$10366,0),MATCH('Tabular Pop Data by Age'!$C$6,'Population Data by Age'!$B$6:$H$6,0))</f>
        <v>36000</v>
      </c>
      <c r="AH150" s="78">
        <f>INDEX('Population Data by Age'!$B$7:$H$10366,MATCH(CONCATENATE('Tabular Pop Data by Age'!$C150,'Tabular Pop Data by Age'!AH$7),'Population Data by Age'!$B$7:$B$10366,0),MATCH('Tabular Pop Data by Age'!$C$6,'Population Data by Age'!$B$6:$H$6,0))</f>
        <v>38000</v>
      </c>
      <c r="AI150" s="78">
        <f>INDEX('Population Data by Age'!$B$7:$H$10366,MATCH(CONCATENATE('Tabular Pop Data by Age'!$C150,'Tabular Pop Data by Age'!AI$7),'Population Data by Age'!$B$7:$B$10366,0),MATCH('Tabular Pop Data by Age'!$C$6,'Population Data by Age'!$B$6:$H$6,0))</f>
        <v>29000</v>
      </c>
      <c r="AJ150" s="78">
        <f>INDEX('Population Data by Age'!$B$7:$H$10366,MATCH(CONCATENATE('Tabular Pop Data by Age'!$C150,'Tabular Pop Data by Age'!AJ$7),'Population Data by Age'!$B$7:$B$10366,0),MATCH('Tabular Pop Data by Age'!$C$6,'Population Data by Age'!$B$6:$H$6,0))</f>
        <v>47000</v>
      </c>
      <c r="AK150" s="78">
        <f>INDEX('Population Data by Age'!$B$7:$H$10366,MATCH(CONCATENATE('Tabular Pop Data by Age'!$C150,'Tabular Pop Data by Age'!AK$7),'Population Data by Age'!$B$7:$B$10366,0),MATCH('Tabular Pop Data by Age'!$C$6,'Population Data by Age'!$B$6:$H$6,0))</f>
        <v>29000</v>
      </c>
      <c r="AL150" s="78">
        <f>INDEX('Population Data by Age'!$B$7:$H$10366,MATCH(CONCATENATE('Tabular Pop Data by Age'!$C150,'Tabular Pop Data by Age'!AL$7),'Population Data by Age'!$B$7:$B$10366,0),MATCH('Tabular Pop Data by Age'!$C$6,'Population Data by Age'!$B$6:$H$6,0))</f>
        <v>3360000</v>
      </c>
      <c r="AM150" s="78">
        <f>INDEX('Population Data by Age'!$B$7:$H$10366,MATCH(CONCATENATE('Tabular Pop Data by Age'!$C150,'Tabular Pop Data by Age'!AM$7),'Population Data by Age'!$B$7:$B$10366,0),MATCH('Tabular Pop Data by Age'!$C$6,'Population Data by Age'!$B$6:$H$6,0))</f>
        <v>3265000</v>
      </c>
      <c r="AN150" s="78">
        <f>INDEX('Population Data by Age'!$B$7:$H$10366,MATCH(CONCATENATE('Tabular Pop Data by Age'!$C150,'Tabular Pop Data by Age'!AN$7),'Population Data by Age'!$B$7:$B$10366,0),MATCH('Tabular Pop Data by Age'!$C$6,'Population Data by Age'!$B$6:$H$6,0))</f>
        <v>6625000</v>
      </c>
      <c r="AO150" s="78">
        <f>INDEX('Population Data by Age'!$B$7:$H$10366,MATCH(CONCATENATE('Tabular Pop Data by Age'!$C150,'Tabular Pop Data by Age'!AO$7),'Population Data by Age'!$B$7:$B$10366,0),MATCH('Tabular Pop Data by Age'!$C$6,'Population Data by Age'!$B$6:$H$6,0))</f>
        <v>0</v>
      </c>
      <c r="AP150" s="79">
        <f t="shared" si="34"/>
        <v>657000</v>
      </c>
      <c r="AQ150" s="79">
        <f t="shared" si="35"/>
        <v>660000</v>
      </c>
      <c r="AR150" s="79">
        <f t="shared" si="36"/>
        <v>638000</v>
      </c>
      <c r="AS150" s="79">
        <f t="shared" si="37"/>
        <v>603000</v>
      </c>
      <c r="AT150" s="79">
        <f t="shared" si="38"/>
        <v>585000</v>
      </c>
      <c r="AU150" s="79">
        <f t="shared" si="39"/>
        <v>581000</v>
      </c>
      <c r="AV150" s="79">
        <f t="shared" si="40"/>
        <v>549000</v>
      </c>
      <c r="AW150" s="79">
        <f t="shared" si="41"/>
        <v>506000</v>
      </c>
      <c r="AX150" s="79">
        <f t="shared" si="42"/>
        <v>421000</v>
      </c>
      <c r="AY150" s="79">
        <f t="shared" si="43"/>
        <v>342000</v>
      </c>
      <c r="AZ150" s="79">
        <f t="shared" si="44"/>
        <v>274000</v>
      </c>
      <c r="BA150" s="79">
        <f t="shared" si="45"/>
        <v>233000</v>
      </c>
      <c r="BB150" s="79">
        <f t="shared" si="46"/>
        <v>200000</v>
      </c>
      <c r="BC150" s="79">
        <f t="shared" si="47"/>
        <v>149000</v>
      </c>
      <c r="BD150" s="79">
        <f t="shared" si="48"/>
        <v>83000</v>
      </c>
      <c r="BE150" s="79">
        <f t="shared" si="49"/>
        <v>67000</v>
      </c>
      <c r="BF150" s="79">
        <f t="shared" si="50"/>
        <v>76000</v>
      </c>
    </row>
    <row r="151" spans="1:58" x14ac:dyDescent="0.25">
      <c r="A151" s="138" t="s">
        <v>1195</v>
      </c>
      <c r="B151" t="s">
        <v>209</v>
      </c>
      <c r="C151" t="s">
        <v>103</v>
      </c>
      <c r="D151" s="78">
        <f>INDEX('Population Data by Age'!$B$7:$H$10366,MATCH(CONCATENATE('Tabular Pop Data by Age'!$C151,'Tabular Pop Data by Age'!D$7),'Population Data by Age'!$B$7:$B$10366,0),MATCH('Tabular Pop Data by Age'!$C$6,'Population Data by Age'!$B$6:$H$6,0))</f>
        <v>2347000</v>
      </c>
      <c r="E151" s="78">
        <f>INDEX('Population Data by Age'!$B$7:$H$10366,MATCH(CONCATENATE('Tabular Pop Data by Age'!$C151,'Tabular Pop Data by Age'!E$7),'Population Data by Age'!$B$7:$B$10366,0),MATCH('Tabular Pop Data by Age'!$C$6,'Population Data by Age'!$B$6:$H$6,0))</f>
        <v>2440000</v>
      </c>
      <c r="F151" s="78">
        <f>INDEX('Population Data by Age'!$B$7:$H$10366,MATCH(CONCATENATE('Tabular Pop Data by Age'!$C151,'Tabular Pop Data by Age'!F$7),'Population Data by Age'!$B$7:$B$10366,0),MATCH('Tabular Pop Data by Age'!$C$6,'Population Data by Age'!$B$6:$H$6,0))</f>
        <v>1952000</v>
      </c>
      <c r="G151" s="78">
        <f>INDEX('Population Data by Age'!$B$7:$H$10366,MATCH(CONCATENATE('Tabular Pop Data by Age'!$C151,'Tabular Pop Data by Age'!G$7),'Population Data by Age'!$B$7:$B$10366,0),MATCH('Tabular Pop Data by Age'!$C$6,'Population Data by Age'!$B$6:$H$6,0))</f>
        <v>2019000</v>
      </c>
      <c r="H151" s="78">
        <f>INDEX('Population Data by Age'!$B$7:$H$10366,MATCH(CONCATENATE('Tabular Pop Data by Age'!$C151,'Tabular Pop Data by Age'!H$7),'Population Data by Age'!$B$7:$B$10366,0),MATCH('Tabular Pop Data by Age'!$C$6,'Population Data by Age'!$B$6:$H$6,0))</f>
        <v>1606000</v>
      </c>
      <c r="I151" s="78">
        <f>INDEX('Population Data by Age'!$B$7:$H$10366,MATCH(CONCATENATE('Tabular Pop Data by Age'!$C151,'Tabular Pop Data by Age'!I$7),'Population Data by Age'!$B$7:$B$10366,0),MATCH('Tabular Pop Data by Age'!$C$6,'Population Data by Age'!$B$6:$H$6,0))</f>
        <v>1659000</v>
      </c>
      <c r="J151" s="78">
        <f>INDEX('Population Data by Age'!$B$7:$H$10366,MATCH(CONCATENATE('Tabular Pop Data by Age'!$C151,'Tabular Pop Data by Age'!J$7),'Population Data by Age'!$B$7:$B$10366,0),MATCH('Tabular Pop Data by Age'!$C$6,'Population Data by Age'!$B$6:$H$6,0))</f>
        <v>1295000</v>
      </c>
      <c r="K151" s="78">
        <f>INDEX('Population Data by Age'!$B$7:$H$10366,MATCH(CONCATENATE('Tabular Pop Data by Age'!$C151,'Tabular Pop Data by Age'!K$7),'Population Data by Age'!$B$7:$B$10366,0),MATCH('Tabular Pop Data by Age'!$C$6,'Population Data by Age'!$B$6:$H$6,0))</f>
        <v>1340000</v>
      </c>
      <c r="L151" s="78">
        <f>INDEX('Population Data by Age'!$B$7:$H$10366,MATCH(CONCATENATE('Tabular Pop Data by Age'!$C151,'Tabular Pop Data by Age'!L$7),'Population Data by Age'!$B$7:$B$10366,0),MATCH('Tabular Pop Data by Age'!$C$6,'Population Data by Age'!$B$6:$H$6,0))</f>
        <v>1024000</v>
      </c>
      <c r="M151" s="78">
        <f>INDEX('Population Data by Age'!$B$7:$H$10366,MATCH(CONCATENATE('Tabular Pop Data by Age'!$C151,'Tabular Pop Data by Age'!M$7),'Population Data by Age'!$B$7:$B$10366,0),MATCH('Tabular Pop Data by Age'!$C$6,'Population Data by Age'!$B$6:$H$6,0))</f>
        <v>1063000</v>
      </c>
      <c r="N151" s="78">
        <f>INDEX('Population Data by Age'!$B$7:$H$10366,MATCH(CONCATENATE('Tabular Pop Data by Age'!$C151,'Tabular Pop Data by Age'!N$7),'Population Data by Age'!$B$7:$B$10366,0),MATCH('Tabular Pop Data by Age'!$C$6,'Population Data by Age'!$B$6:$H$6,0))</f>
        <v>800000</v>
      </c>
      <c r="O151" s="78">
        <f>INDEX('Population Data by Age'!$B$7:$H$10366,MATCH(CONCATENATE('Tabular Pop Data by Age'!$C151,'Tabular Pop Data by Age'!O$7),'Population Data by Age'!$B$7:$B$10366,0),MATCH('Tabular Pop Data by Age'!$C$6,'Population Data by Age'!$B$6:$H$6,0))</f>
        <v>831000</v>
      </c>
      <c r="P151" s="78">
        <f>INDEX('Population Data by Age'!$B$7:$H$10366,MATCH(CONCATENATE('Tabular Pop Data by Age'!$C151,'Tabular Pop Data by Age'!P$7),'Population Data by Age'!$B$7:$B$10366,0),MATCH('Tabular Pop Data by Age'!$C$6,'Population Data by Age'!$B$6:$H$6,0))</f>
        <v>641000</v>
      </c>
      <c r="Q151" s="78">
        <f>INDEX('Population Data by Age'!$B$7:$H$10366,MATCH(CONCATENATE('Tabular Pop Data by Age'!$C151,'Tabular Pop Data by Age'!Q$7),'Population Data by Age'!$B$7:$B$10366,0),MATCH('Tabular Pop Data by Age'!$C$6,'Population Data by Age'!$B$6:$H$6,0))</f>
        <v>625000</v>
      </c>
      <c r="R151" s="78">
        <f>INDEX('Population Data by Age'!$B$7:$H$10366,MATCH(CONCATENATE('Tabular Pop Data by Age'!$C151,'Tabular Pop Data by Age'!R$7),'Population Data by Age'!$B$7:$B$10366,0),MATCH('Tabular Pop Data by Age'!$C$6,'Population Data by Age'!$B$6:$H$6,0))</f>
        <v>540000</v>
      </c>
      <c r="S151" s="78">
        <f>INDEX('Population Data by Age'!$B$7:$H$10366,MATCH(CONCATENATE('Tabular Pop Data by Age'!$C151,'Tabular Pop Data by Age'!S$7),'Population Data by Age'!$B$7:$B$10366,0),MATCH('Tabular Pop Data by Age'!$C$6,'Population Data by Age'!$B$6:$H$6,0))</f>
        <v>453000</v>
      </c>
      <c r="T151" s="78">
        <f>INDEX('Population Data by Age'!$B$7:$H$10366,MATCH(CONCATENATE('Tabular Pop Data by Age'!$C151,'Tabular Pop Data by Age'!T$7),'Population Data by Age'!$B$7:$B$10366,0),MATCH('Tabular Pop Data by Age'!$C$6,'Population Data by Age'!$B$6:$H$6,0))</f>
        <v>441000</v>
      </c>
      <c r="U151" s="78">
        <f>INDEX('Population Data by Age'!$B$7:$H$10366,MATCH(CONCATENATE('Tabular Pop Data by Age'!$C151,'Tabular Pop Data by Age'!U$7),'Population Data by Age'!$B$7:$B$10366,0),MATCH('Tabular Pop Data by Age'!$C$6,'Population Data by Age'!$B$6:$H$6,0))</f>
        <v>398000</v>
      </c>
      <c r="V151" s="78">
        <f>INDEX('Population Data by Age'!$B$7:$H$10366,MATCH(CONCATENATE('Tabular Pop Data by Age'!$C151,'Tabular Pop Data by Age'!V$7),'Population Data by Age'!$B$7:$B$10366,0),MATCH('Tabular Pop Data by Age'!$C$6,'Population Data by Age'!$B$6:$H$6,0))</f>
        <v>357000</v>
      </c>
      <c r="W151" s="78">
        <f>INDEX('Population Data by Age'!$B$7:$H$10366,MATCH(CONCATENATE('Tabular Pop Data by Age'!$C151,'Tabular Pop Data by Age'!W$7),'Population Data by Age'!$B$7:$B$10366,0),MATCH('Tabular Pop Data by Age'!$C$6,'Population Data by Age'!$B$6:$H$6,0))</f>
        <v>333000</v>
      </c>
      <c r="X151" s="78">
        <f>INDEX('Population Data by Age'!$B$7:$H$10366,MATCH(CONCATENATE('Tabular Pop Data by Age'!$C151,'Tabular Pop Data by Age'!X$7),'Population Data by Age'!$B$7:$B$10366,0),MATCH('Tabular Pop Data by Age'!$C$6,'Population Data by Age'!$B$6:$H$6,0))</f>
        <v>296000</v>
      </c>
      <c r="Y151" s="78">
        <f>INDEX('Population Data by Age'!$B$7:$H$10366,MATCH(CONCATENATE('Tabular Pop Data by Age'!$C151,'Tabular Pop Data by Age'!Y$7),'Population Data by Age'!$B$7:$B$10366,0),MATCH('Tabular Pop Data by Age'!$C$6,'Population Data by Age'!$B$6:$H$6,0))</f>
        <v>266000</v>
      </c>
      <c r="Z151" s="78">
        <f>INDEX('Population Data by Age'!$B$7:$H$10366,MATCH(CONCATENATE('Tabular Pop Data by Age'!$C151,'Tabular Pop Data by Age'!Z$7),'Population Data by Age'!$B$7:$B$10366,0),MATCH('Tabular Pop Data by Age'!$C$6,'Population Data by Age'!$B$6:$H$6,0))</f>
        <v>236000</v>
      </c>
      <c r="AA151" s="78">
        <f>INDEX('Population Data by Age'!$B$7:$H$10366,MATCH(CONCATENATE('Tabular Pop Data by Age'!$C151,'Tabular Pop Data by Age'!AA$7),'Population Data by Age'!$B$7:$B$10366,0),MATCH('Tabular Pop Data by Age'!$C$6,'Population Data by Age'!$B$6:$H$6,0))</f>
        <v>249000</v>
      </c>
      <c r="AB151" s="78">
        <f>INDEX('Population Data by Age'!$B$7:$H$10366,MATCH(CONCATENATE('Tabular Pop Data by Age'!$C151,'Tabular Pop Data by Age'!AB$7),'Population Data by Age'!$B$7:$B$10366,0),MATCH('Tabular Pop Data by Age'!$C$6,'Population Data by Age'!$B$6:$H$6,0))</f>
        <v>181000</v>
      </c>
      <c r="AC151" s="78">
        <f>INDEX('Population Data by Age'!$B$7:$H$10366,MATCH(CONCATENATE('Tabular Pop Data by Age'!$C151,'Tabular Pop Data by Age'!AC$7),'Population Data by Age'!$B$7:$B$10366,0),MATCH('Tabular Pop Data by Age'!$C$6,'Population Data by Age'!$B$6:$H$6,0))</f>
        <v>186000</v>
      </c>
      <c r="AD151" s="78">
        <f>INDEX('Population Data by Age'!$B$7:$H$10366,MATCH(CONCATENATE('Tabular Pop Data by Age'!$C151,'Tabular Pop Data by Age'!AD$7),'Population Data by Age'!$B$7:$B$10366,0),MATCH('Tabular Pop Data by Age'!$C$6,'Population Data by Age'!$B$6:$H$6,0))</f>
        <v>132000</v>
      </c>
      <c r="AE151" s="78">
        <f>INDEX('Population Data by Age'!$B$7:$H$10366,MATCH(CONCATENATE('Tabular Pop Data by Age'!$C151,'Tabular Pop Data by Age'!AE$7),'Population Data by Age'!$B$7:$B$10366,0),MATCH('Tabular Pop Data by Age'!$C$6,'Population Data by Age'!$B$6:$H$6,0))</f>
        <v>146000</v>
      </c>
      <c r="AF151" s="78">
        <f>INDEX('Population Data by Age'!$B$7:$H$10366,MATCH(CONCATENATE('Tabular Pop Data by Age'!$C151,'Tabular Pop Data by Age'!AF$7),'Population Data by Age'!$B$7:$B$10366,0),MATCH('Tabular Pop Data by Age'!$C$6,'Population Data by Age'!$B$6:$H$6,0))</f>
        <v>99000</v>
      </c>
      <c r="AG151" s="78">
        <f>INDEX('Population Data by Age'!$B$7:$H$10366,MATCH(CONCATENATE('Tabular Pop Data by Age'!$C151,'Tabular Pop Data by Age'!AG$7),'Population Data by Age'!$B$7:$B$10366,0),MATCH('Tabular Pop Data by Age'!$C$6,'Population Data by Age'!$B$6:$H$6,0))</f>
        <v>91000</v>
      </c>
      <c r="AH151" s="78">
        <f>INDEX('Population Data by Age'!$B$7:$H$10366,MATCH(CONCATENATE('Tabular Pop Data by Age'!$C151,'Tabular Pop Data by Age'!AH$7),'Population Data by Age'!$B$7:$B$10366,0),MATCH('Tabular Pop Data by Age'!$C$6,'Population Data by Age'!$B$6:$H$6,0))</f>
        <v>59000</v>
      </c>
      <c r="AI151" s="78">
        <f>INDEX('Population Data by Age'!$B$7:$H$10366,MATCH(CONCATENATE('Tabular Pop Data by Age'!$C151,'Tabular Pop Data by Age'!AI$7),'Population Data by Age'!$B$7:$B$10366,0),MATCH('Tabular Pop Data by Age'!$C$6,'Population Data by Age'!$B$6:$H$6,0))</f>
        <v>48000</v>
      </c>
      <c r="AJ151" s="78">
        <f>INDEX('Population Data by Age'!$B$7:$H$10366,MATCH(CONCATENATE('Tabular Pop Data by Age'!$C151,'Tabular Pop Data by Age'!AJ$7),'Population Data by Age'!$B$7:$B$10366,0),MATCH('Tabular Pop Data by Age'!$C$6,'Population Data by Age'!$B$6:$H$6,0))</f>
        <v>32000</v>
      </c>
      <c r="AK151" s="78">
        <f>INDEX('Population Data by Age'!$B$7:$H$10366,MATCH(CONCATENATE('Tabular Pop Data by Age'!$C151,'Tabular Pop Data by Age'!AK$7),'Population Data by Age'!$B$7:$B$10366,0),MATCH('Tabular Pop Data by Age'!$C$6,'Population Data by Age'!$B$6:$H$6,0))</f>
        <v>23000</v>
      </c>
      <c r="AL151" s="78">
        <f>INDEX('Population Data by Age'!$B$7:$H$10366,MATCH(CONCATENATE('Tabular Pop Data by Age'!$C151,'Tabular Pop Data by Age'!AL$7),'Population Data by Age'!$B$7:$B$10366,0),MATCH('Tabular Pop Data by Age'!$C$6,'Population Data by Age'!$B$6:$H$6,0))</f>
        <v>12036000</v>
      </c>
      <c r="AM151" s="78">
        <f>INDEX('Population Data by Age'!$B$7:$H$10366,MATCH(CONCATENATE('Tabular Pop Data by Age'!$C151,'Tabular Pop Data by Age'!AM$7),'Population Data by Age'!$B$7:$B$10366,0),MATCH('Tabular Pop Data by Age'!$C$6,'Population Data by Age'!$B$6:$H$6,0))</f>
        <v>12170000</v>
      </c>
      <c r="AN151" s="78">
        <f>INDEX('Population Data by Age'!$B$7:$H$10366,MATCH(CONCATENATE('Tabular Pop Data by Age'!$C151,'Tabular Pop Data by Age'!AN$7),'Population Data by Age'!$B$7:$B$10366,0),MATCH('Tabular Pop Data by Age'!$C$6,'Population Data by Age'!$B$6:$H$6,0))</f>
        <v>24207000</v>
      </c>
      <c r="AO151" s="78">
        <f>INDEX('Population Data by Age'!$B$7:$H$10366,MATCH(CONCATENATE('Tabular Pop Data by Age'!$C151,'Tabular Pop Data by Age'!AO$7),'Population Data by Age'!$B$7:$B$10366,0),MATCH('Tabular Pop Data by Age'!$C$6,'Population Data by Age'!$B$6:$H$6,0))</f>
        <v>0</v>
      </c>
      <c r="AP151" s="79">
        <f t="shared" si="34"/>
        <v>4787000</v>
      </c>
      <c r="AQ151" s="79">
        <f t="shared" si="35"/>
        <v>3971000</v>
      </c>
      <c r="AR151" s="79">
        <f t="shared" si="36"/>
        <v>3265000</v>
      </c>
      <c r="AS151" s="79">
        <f t="shared" si="37"/>
        <v>2635000</v>
      </c>
      <c r="AT151" s="79">
        <f t="shared" si="38"/>
        <v>2087000</v>
      </c>
      <c r="AU151" s="79">
        <f t="shared" si="39"/>
        <v>1631000</v>
      </c>
      <c r="AV151" s="79">
        <f t="shared" si="40"/>
        <v>1266000</v>
      </c>
      <c r="AW151" s="79">
        <f t="shared" si="41"/>
        <v>993000</v>
      </c>
      <c r="AX151" s="79">
        <f t="shared" si="42"/>
        <v>839000</v>
      </c>
      <c r="AY151" s="79">
        <f t="shared" si="43"/>
        <v>690000</v>
      </c>
      <c r="AZ151" s="79">
        <f t="shared" si="44"/>
        <v>562000</v>
      </c>
      <c r="BA151" s="79">
        <f t="shared" si="45"/>
        <v>485000</v>
      </c>
      <c r="BB151" s="79">
        <f t="shared" si="46"/>
        <v>367000</v>
      </c>
      <c r="BC151" s="79">
        <f t="shared" si="47"/>
        <v>278000</v>
      </c>
      <c r="BD151" s="79">
        <f t="shared" si="48"/>
        <v>190000</v>
      </c>
      <c r="BE151" s="79">
        <f t="shared" si="49"/>
        <v>107000</v>
      </c>
      <c r="BF151" s="79">
        <f t="shared" si="50"/>
        <v>55000</v>
      </c>
    </row>
    <row r="152" spans="1:58" x14ac:dyDescent="0.25">
      <c r="A152" s="138" t="s">
        <v>1195</v>
      </c>
      <c r="B152" t="s">
        <v>177</v>
      </c>
      <c r="C152" t="s">
        <v>104</v>
      </c>
      <c r="D152" s="78">
        <f>INDEX('Population Data by Age'!$B$7:$H$10366,MATCH(CONCATENATE('Tabular Pop Data by Age'!$C152,'Tabular Pop Data by Age'!D$7),'Population Data by Age'!$B$7:$B$10366,0),MATCH('Tabular Pop Data by Age'!$C$6,'Population Data by Age'!$B$6:$H$6,0))</f>
        <v>16561000</v>
      </c>
      <c r="E152" s="78">
        <f>INDEX('Population Data by Age'!$B$7:$H$10366,MATCH(CONCATENATE('Tabular Pop Data by Age'!$C152,'Tabular Pop Data by Age'!E$7),'Population Data by Age'!$B$7:$B$10366,0),MATCH('Tabular Pop Data by Age'!$C$6,'Population Data by Age'!$B$6:$H$6,0))</f>
        <v>17377000</v>
      </c>
      <c r="F152" s="78">
        <f>INDEX('Population Data by Age'!$B$7:$H$10366,MATCH(CONCATENATE('Tabular Pop Data by Age'!$C152,'Tabular Pop Data by Age'!F$7),'Population Data by Age'!$B$7:$B$10366,0),MATCH('Tabular Pop Data by Age'!$C$6,'Population Data by Age'!$B$6:$H$6,0))</f>
        <v>14626000</v>
      </c>
      <c r="G152" s="78">
        <f>INDEX('Population Data by Age'!$B$7:$H$10366,MATCH(CONCATENATE('Tabular Pop Data by Age'!$C152,'Tabular Pop Data by Age'!G$7),'Population Data by Age'!$B$7:$B$10366,0),MATCH('Tabular Pop Data by Age'!$C$6,'Population Data by Age'!$B$6:$H$6,0))</f>
        <v>15288000</v>
      </c>
      <c r="H152" s="78">
        <f>INDEX('Population Data by Age'!$B$7:$H$10366,MATCH(CONCATENATE('Tabular Pop Data by Age'!$C152,'Tabular Pop Data by Age'!H$7),'Population Data by Age'!$B$7:$B$10366,0),MATCH('Tabular Pop Data by Age'!$C$6,'Population Data by Age'!$B$6:$H$6,0))</f>
        <v>12633000</v>
      </c>
      <c r="I152" s="78">
        <f>INDEX('Population Data by Age'!$B$7:$H$10366,MATCH(CONCATENATE('Tabular Pop Data by Age'!$C152,'Tabular Pop Data by Age'!I$7),'Population Data by Age'!$B$7:$B$10366,0),MATCH('Tabular Pop Data by Age'!$C$6,'Population Data by Age'!$B$6:$H$6,0))</f>
        <v>13159000</v>
      </c>
      <c r="J152" s="78">
        <f>INDEX('Population Data by Age'!$B$7:$H$10366,MATCH(CONCATENATE('Tabular Pop Data by Age'!$C152,'Tabular Pop Data by Age'!J$7),'Population Data by Age'!$B$7:$B$10366,0),MATCH('Tabular Pop Data by Age'!$C$6,'Population Data by Age'!$B$6:$H$6,0))</f>
        <v>10759000</v>
      </c>
      <c r="K152" s="78">
        <f>INDEX('Population Data by Age'!$B$7:$H$10366,MATCH(CONCATENATE('Tabular Pop Data by Age'!$C152,'Tabular Pop Data by Age'!K$7),'Population Data by Age'!$B$7:$B$10366,0),MATCH('Tabular Pop Data by Age'!$C$6,'Population Data by Age'!$B$6:$H$6,0))</f>
        <v>11151000</v>
      </c>
      <c r="L152" s="78">
        <f>INDEX('Population Data by Age'!$B$7:$H$10366,MATCH(CONCATENATE('Tabular Pop Data by Age'!$C152,'Tabular Pop Data by Age'!L$7),'Population Data by Age'!$B$7:$B$10366,0),MATCH('Tabular Pop Data by Age'!$C$6,'Population Data by Age'!$B$6:$H$6,0))</f>
        <v>8898000</v>
      </c>
      <c r="M152" s="78">
        <f>INDEX('Population Data by Age'!$B$7:$H$10366,MATCH(CONCATENATE('Tabular Pop Data by Age'!$C152,'Tabular Pop Data by Age'!M$7),'Population Data by Age'!$B$7:$B$10366,0),MATCH('Tabular Pop Data by Age'!$C$6,'Population Data by Age'!$B$6:$H$6,0))</f>
        <v>9170000</v>
      </c>
      <c r="N152" s="78">
        <f>INDEX('Population Data by Age'!$B$7:$H$10366,MATCH(CONCATENATE('Tabular Pop Data by Age'!$C152,'Tabular Pop Data by Age'!N$7),'Population Data by Age'!$B$7:$B$10366,0),MATCH('Tabular Pop Data by Age'!$C$6,'Population Data by Age'!$B$6:$H$6,0))</f>
        <v>7448000</v>
      </c>
      <c r="O152" s="78">
        <f>INDEX('Population Data by Age'!$B$7:$H$10366,MATCH(CONCATENATE('Tabular Pop Data by Age'!$C152,'Tabular Pop Data by Age'!O$7),'Population Data by Age'!$B$7:$B$10366,0),MATCH('Tabular Pop Data by Age'!$C$6,'Population Data by Age'!$B$6:$H$6,0))</f>
        <v>7661000</v>
      </c>
      <c r="P152" s="78">
        <f>INDEX('Population Data by Age'!$B$7:$H$10366,MATCH(CONCATENATE('Tabular Pop Data by Age'!$C152,'Tabular Pop Data by Age'!P$7),'Population Data by Age'!$B$7:$B$10366,0),MATCH('Tabular Pop Data by Age'!$C$6,'Population Data by Age'!$B$6:$H$6,0))</f>
        <v>6431000</v>
      </c>
      <c r="Q152" s="78">
        <f>INDEX('Population Data by Age'!$B$7:$H$10366,MATCH(CONCATENATE('Tabular Pop Data by Age'!$C152,'Tabular Pop Data by Age'!Q$7),'Population Data by Age'!$B$7:$B$10366,0),MATCH('Tabular Pop Data by Age'!$C$6,'Population Data by Age'!$B$6:$H$6,0))</f>
        <v>6614000</v>
      </c>
      <c r="R152" s="78">
        <f>INDEX('Population Data by Age'!$B$7:$H$10366,MATCH(CONCATENATE('Tabular Pop Data by Age'!$C152,'Tabular Pop Data by Age'!R$7),'Population Data by Age'!$B$7:$B$10366,0),MATCH('Tabular Pop Data by Age'!$C$6,'Population Data by Age'!$B$6:$H$6,0))</f>
        <v>5578000</v>
      </c>
      <c r="S152" s="78">
        <f>INDEX('Population Data by Age'!$B$7:$H$10366,MATCH(CONCATENATE('Tabular Pop Data by Age'!$C152,'Tabular Pop Data by Age'!S$7),'Population Data by Age'!$B$7:$B$10366,0),MATCH('Tabular Pop Data by Age'!$C$6,'Population Data by Age'!$B$6:$H$6,0))</f>
        <v>5745000</v>
      </c>
      <c r="T152" s="78">
        <f>INDEX('Population Data by Age'!$B$7:$H$10366,MATCH(CONCATENATE('Tabular Pop Data by Age'!$C152,'Tabular Pop Data by Age'!T$7),'Population Data by Age'!$B$7:$B$10366,0),MATCH('Tabular Pop Data by Age'!$C$6,'Population Data by Age'!$B$6:$H$6,0))</f>
        <v>4673000</v>
      </c>
      <c r="U152" s="78">
        <f>INDEX('Population Data by Age'!$B$7:$H$10366,MATCH(CONCATENATE('Tabular Pop Data by Age'!$C152,'Tabular Pop Data by Age'!U$7),'Population Data by Age'!$B$7:$B$10366,0),MATCH('Tabular Pop Data by Age'!$C$6,'Population Data by Age'!$B$6:$H$6,0))</f>
        <v>4786000</v>
      </c>
      <c r="V152" s="78">
        <f>INDEX('Population Data by Age'!$B$7:$H$10366,MATCH(CONCATENATE('Tabular Pop Data by Age'!$C152,'Tabular Pop Data by Age'!V$7),'Population Data by Age'!$B$7:$B$10366,0),MATCH('Tabular Pop Data by Age'!$C$6,'Population Data by Age'!$B$6:$H$6,0))</f>
        <v>3771000</v>
      </c>
      <c r="W152" s="78">
        <f>INDEX('Population Data by Age'!$B$7:$H$10366,MATCH(CONCATENATE('Tabular Pop Data by Age'!$C152,'Tabular Pop Data by Age'!W$7),'Population Data by Age'!$B$7:$B$10366,0),MATCH('Tabular Pop Data by Age'!$C$6,'Population Data by Age'!$B$6:$H$6,0))</f>
        <v>3807000</v>
      </c>
      <c r="X152" s="78">
        <f>INDEX('Population Data by Age'!$B$7:$H$10366,MATCH(CONCATENATE('Tabular Pop Data by Age'!$C152,'Tabular Pop Data by Age'!X$7),'Population Data by Age'!$B$7:$B$10366,0),MATCH('Tabular Pop Data by Age'!$C$6,'Population Data by Age'!$B$6:$H$6,0))</f>
        <v>2996000</v>
      </c>
      <c r="Y152" s="78">
        <f>INDEX('Population Data by Age'!$B$7:$H$10366,MATCH(CONCATENATE('Tabular Pop Data by Age'!$C152,'Tabular Pop Data by Age'!Y$7),'Population Data by Age'!$B$7:$B$10366,0),MATCH('Tabular Pop Data by Age'!$C$6,'Population Data by Age'!$B$6:$H$6,0))</f>
        <v>2948000</v>
      </c>
      <c r="Z152" s="78">
        <f>INDEX('Population Data by Age'!$B$7:$H$10366,MATCH(CONCATENATE('Tabular Pop Data by Age'!$C152,'Tabular Pop Data by Age'!Z$7),'Population Data by Age'!$B$7:$B$10366,0),MATCH('Tabular Pop Data by Age'!$C$6,'Population Data by Age'!$B$6:$H$6,0))</f>
        <v>2426000</v>
      </c>
      <c r="AA152" s="78">
        <f>INDEX('Population Data by Age'!$B$7:$H$10366,MATCH(CONCATENATE('Tabular Pop Data by Age'!$C152,'Tabular Pop Data by Age'!AA$7),'Population Data by Age'!$B$7:$B$10366,0),MATCH('Tabular Pop Data by Age'!$C$6,'Population Data by Age'!$B$6:$H$6,0))</f>
        <v>2330000</v>
      </c>
      <c r="AB152" s="78">
        <f>INDEX('Population Data by Age'!$B$7:$H$10366,MATCH(CONCATENATE('Tabular Pop Data by Age'!$C152,'Tabular Pop Data by Age'!AB$7),'Population Data by Age'!$B$7:$B$10366,0),MATCH('Tabular Pop Data by Age'!$C$6,'Population Data by Age'!$B$6:$H$6,0))</f>
        <v>1892000</v>
      </c>
      <c r="AC152" s="78">
        <f>INDEX('Population Data by Age'!$B$7:$H$10366,MATCH(CONCATENATE('Tabular Pop Data by Age'!$C152,'Tabular Pop Data by Age'!AC$7),'Population Data by Age'!$B$7:$B$10366,0),MATCH('Tabular Pop Data by Age'!$C$6,'Population Data by Age'!$B$6:$H$6,0))</f>
        <v>1765000</v>
      </c>
      <c r="AD152" s="78">
        <f>INDEX('Population Data by Age'!$B$7:$H$10366,MATCH(CONCATENATE('Tabular Pop Data by Age'!$C152,'Tabular Pop Data by Age'!AD$7),'Population Data by Age'!$B$7:$B$10366,0),MATCH('Tabular Pop Data by Age'!$C$6,'Population Data by Age'!$B$6:$H$6,0))</f>
        <v>1369000</v>
      </c>
      <c r="AE152" s="78">
        <f>INDEX('Population Data by Age'!$B$7:$H$10366,MATCH(CONCATENATE('Tabular Pop Data by Age'!$C152,'Tabular Pop Data by Age'!AE$7),'Population Data by Age'!$B$7:$B$10366,0),MATCH('Tabular Pop Data by Age'!$C$6,'Population Data by Age'!$B$6:$H$6,0))</f>
        <v>1232000</v>
      </c>
      <c r="AF152" s="78">
        <f>INDEX('Population Data by Age'!$B$7:$H$10366,MATCH(CONCATENATE('Tabular Pop Data by Age'!$C152,'Tabular Pop Data by Age'!AF$7),'Population Data by Age'!$B$7:$B$10366,0),MATCH('Tabular Pop Data by Age'!$C$6,'Population Data by Age'!$B$6:$H$6,0))</f>
        <v>901000</v>
      </c>
      <c r="AG152" s="78">
        <f>INDEX('Population Data by Age'!$B$7:$H$10366,MATCH(CONCATENATE('Tabular Pop Data by Age'!$C152,'Tabular Pop Data by Age'!AG$7),'Population Data by Age'!$B$7:$B$10366,0),MATCH('Tabular Pop Data by Age'!$C$6,'Population Data by Age'!$B$6:$H$6,0))</f>
        <v>816000</v>
      </c>
      <c r="AH152" s="78">
        <f>INDEX('Population Data by Age'!$B$7:$H$10366,MATCH(CONCATENATE('Tabular Pop Data by Age'!$C152,'Tabular Pop Data by Age'!AH$7),'Population Data by Age'!$B$7:$B$10366,0),MATCH('Tabular Pop Data by Age'!$C$6,'Population Data by Age'!$B$6:$H$6,0))</f>
        <v>480000</v>
      </c>
      <c r="AI152" s="78">
        <f>INDEX('Population Data by Age'!$B$7:$H$10366,MATCH(CONCATENATE('Tabular Pop Data by Age'!$C152,'Tabular Pop Data by Age'!AI$7),'Population Data by Age'!$B$7:$B$10366,0),MATCH('Tabular Pop Data by Age'!$C$6,'Population Data by Age'!$B$6:$H$6,0))</f>
        <v>426000</v>
      </c>
      <c r="AJ152" s="78">
        <f>INDEX('Population Data by Age'!$B$7:$H$10366,MATCH(CONCATENATE('Tabular Pop Data by Age'!$C152,'Tabular Pop Data by Age'!AJ$7),'Population Data by Age'!$B$7:$B$10366,0),MATCH('Tabular Pop Data by Age'!$C$6,'Population Data by Age'!$B$6:$H$6,0))</f>
        <v>226000</v>
      </c>
      <c r="AK152" s="78">
        <f>INDEX('Population Data by Age'!$B$7:$H$10366,MATCH(CONCATENATE('Tabular Pop Data by Age'!$C152,'Tabular Pop Data by Age'!AK$7),'Population Data by Age'!$B$7:$B$10366,0),MATCH('Tabular Pop Data by Age'!$C$6,'Population Data by Age'!$B$6:$H$6,0))</f>
        <v>192000</v>
      </c>
      <c r="AL152" s="78">
        <f>INDEX('Population Data by Age'!$B$7:$H$10366,MATCH(CONCATENATE('Tabular Pop Data by Age'!$C152,'Tabular Pop Data by Age'!AL$7),'Population Data by Age'!$B$7:$B$10366,0),MATCH('Tabular Pop Data by Age'!$C$6,'Population Data by Age'!$B$6:$H$6,0))</f>
        <v>101670000</v>
      </c>
      <c r="AM152" s="78">
        <f>INDEX('Population Data by Age'!$B$7:$H$10366,MATCH(CONCATENATE('Tabular Pop Data by Age'!$C152,'Tabular Pop Data by Age'!AM$7),'Population Data by Age'!$B$7:$B$10366,0),MATCH('Tabular Pop Data by Age'!$C$6,'Population Data by Age'!$B$6:$H$6,0))</f>
        <v>104470000</v>
      </c>
      <c r="AN152" s="78">
        <f>INDEX('Population Data by Age'!$B$7:$H$10366,MATCH(CONCATENATE('Tabular Pop Data by Age'!$C152,'Tabular Pop Data by Age'!AN$7),'Population Data by Age'!$B$7:$B$10366,0),MATCH('Tabular Pop Data by Age'!$C$6,'Population Data by Age'!$B$6:$H$6,0))</f>
        <v>206140000</v>
      </c>
      <c r="AO152" s="78">
        <f>INDEX('Population Data by Age'!$B$7:$H$10366,MATCH(CONCATENATE('Tabular Pop Data by Age'!$C152,'Tabular Pop Data by Age'!AO$7),'Population Data by Age'!$B$7:$B$10366,0),MATCH('Tabular Pop Data by Age'!$C$6,'Population Data by Age'!$B$6:$H$6,0))</f>
        <v>0</v>
      </c>
      <c r="AP152" s="79">
        <f t="shared" si="34"/>
        <v>33938000</v>
      </c>
      <c r="AQ152" s="79">
        <f t="shared" si="35"/>
        <v>29914000</v>
      </c>
      <c r="AR152" s="79">
        <f t="shared" si="36"/>
        <v>25792000</v>
      </c>
      <c r="AS152" s="79">
        <f t="shared" si="37"/>
        <v>21910000</v>
      </c>
      <c r="AT152" s="79">
        <f t="shared" si="38"/>
        <v>18068000</v>
      </c>
      <c r="AU152" s="79">
        <f t="shared" si="39"/>
        <v>15109000</v>
      </c>
      <c r="AV152" s="79">
        <f t="shared" si="40"/>
        <v>13045000</v>
      </c>
      <c r="AW152" s="79">
        <f t="shared" si="41"/>
        <v>11323000</v>
      </c>
      <c r="AX152" s="79">
        <f t="shared" si="42"/>
        <v>9459000</v>
      </c>
      <c r="AY152" s="79">
        <f t="shared" si="43"/>
        <v>7578000</v>
      </c>
      <c r="AZ152" s="79">
        <f t="shared" si="44"/>
        <v>5944000</v>
      </c>
      <c r="BA152" s="79">
        <f t="shared" si="45"/>
        <v>4756000</v>
      </c>
      <c r="BB152" s="79">
        <f t="shared" si="46"/>
        <v>3657000</v>
      </c>
      <c r="BC152" s="79">
        <f t="shared" si="47"/>
        <v>2601000</v>
      </c>
      <c r="BD152" s="79">
        <f t="shared" si="48"/>
        <v>1717000</v>
      </c>
      <c r="BE152" s="79">
        <f t="shared" si="49"/>
        <v>906000</v>
      </c>
      <c r="BF152" s="79">
        <f t="shared" si="50"/>
        <v>418000</v>
      </c>
    </row>
    <row r="153" spans="1:58" x14ac:dyDescent="0.25">
      <c r="A153" s="138" t="s">
        <v>1195</v>
      </c>
      <c r="B153" t="s">
        <v>590</v>
      </c>
      <c r="C153" t="s">
        <v>591</v>
      </c>
      <c r="D153" s="78">
        <f>INDEX('Population Data by Age'!$B$7:$H$10366,MATCH(CONCATENATE('Tabular Pop Data by Age'!$C153,'Tabular Pop Data by Age'!D$7),'Population Data by Age'!$B$7:$B$10366,0),MATCH('Tabular Pop Data by Age'!$C$6,'Population Data by Age'!$B$6:$H$6,0))</f>
        <v>54000</v>
      </c>
      <c r="E153" s="78">
        <f>INDEX('Population Data by Age'!$B$7:$H$10366,MATCH(CONCATENATE('Tabular Pop Data by Age'!$C153,'Tabular Pop Data by Age'!E$7),'Population Data by Age'!$B$7:$B$10366,0),MATCH('Tabular Pop Data by Age'!$C$6,'Population Data by Age'!$B$6:$H$6,0))</f>
        <v>58000</v>
      </c>
      <c r="F153" s="78">
        <f>INDEX('Population Data by Age'!$B$7:$H$10366,MATCH(CONCATENATE('Tabular Pop Data by Age'!$C153,'Tabular Pop Data by Age'!F$7),'Population Data by Age'!$B$7:$B$10366,0),MATCH('Tabular Pop Data by Age'!$C$6,'Population Data by Age'!$B$6:$H$6,0))</f>
        <v>56000</v>
      </c>
      <c r="G153" s="78">
        <f>INDEX('Population Data by Age'!$B$7:$H$10366,MATCH(CONCATENATE('Tabular Pop Data by Age'!$C153,'Tabular Pop Data by Age'!G$7),'Population Data by Age'!$B$7:$B$10366,0),MATCH('Tabular Pop Data by Age'!$C$6,'Population Data by Age'!$B$6:$H$6,0))</f>
        <v>60000</v>
      </c>
      <c r="H153" s="78">
        <f>INDEX('Population Data by Age'!$B$7:$H$10366,MATCH(CONCATENATE('Tabular Pop Data by Age'!$C153,'Tabular Pop Data by Age'!H$7),'Population Data by Age'!$B$7:$B$10366,0),MATCH('Tabular Pop Data by Age'!$C$6,'Population Data by Age'!$B$6:$H$6,0))</f>
        <v>54000</v>
      </c>
      <c r="I153" s="78">
        <f>INDEX('Population Data by Age'!$B$7:$H$10366,MATCH(CONCATENATE('Tabular Pop Data by Age'!$C153,'Tabular Pop Data by Age'!I$7),'Population Data by Age'!$B$7:$B$10366,0),MATCH('Tabular Pop Data by Age'!$C$6,'Population Data by Age'!$B$6:$H$6,0))</f>
        <v>58000</v>
      </c>
      <c r="J153" s="78">
        <f>INDEX('Population Data by Age'!$B$7:$H$10366,MATCH(CONCATENATE('Tabular Pop Data by Age'!$C153,'Tabular Pop Data by Age'!J$7),'Population Data by Age'!$B$7:$B$10366,0),MATCH('Tabular Pop Data by Age'!$C$6,'Population Data by Age'!$B$6:$H$6,0))</f>
        <v>59000</v>
      </c>
      <c r="K153" s="78">
        <f>INDEX('Population Data by Age'!$B$7:$H$10366,MATCH(CONCATENATE('Tabular Pop Data by Age'!$C153,'Tabular Pop Data by Age'!K$7),'Population Data by Age'!$B$7:$B$10366,0),MATCH('Tabular Pop Data by Age'!$C$6,'Population Data by Age'!$B$6:$H$6,0))</f>
        <v>62000</v>
      </c>
      <c r="L153" s="78">
        <f>INDEX('Population Data by Age'!$B$7:$H$10366,MATCH(CONCATENATE('Tabular Pop Data by Age'!$C153,'Tabular Pop Data by Age'!L$7),'Population Data by Age'!$B$7:$B$10366,0),MATCH('Tabular Pop Data by Age'!$C$6,'Population Data by Age'!$B$6:$H$6,0))</f>
        <v>63000</v>
      </c>
      <c r="M153" s="78">
        <f>INDEX('Population Data by Age'!$B$7:$H$10366,MATCH(CONCATENATE('Tabular Pop Data by Age'!$C153,'Tabular Pop Data by Age'!M$7),'Population Data by Age'!$B$7:$B$10366,0),MATCH('Tabular Pop Data by Age'!$C$6,'Population Data by Age'!$B$6:$H$6,0))</f>
        <v>67000</v>
      </c>
      <c r="N153" s="78">
        <f>INDEX('Population Data by Age'!$B$7:$H$10366,MATCH(CONCATENATE('Tabular Pop Data by Age'!$C153,'Tabular Pop Data by Age'!N$7),'Population Data by Age'!$B$7:$B$10366,0),MATCH('Tabular Pop Data by Age'!$C$6,'Population Data by Age'!$B$6:$H$6,0))</f>
        <v>74000</v>
      </c>
      <c r="O153" s="78">
        <f>INDEX('Population Data by Age'!$B$7:$H$10366,MATCH(CONCATENATE('Tabular Pop Data by Age'!$C153,'Tabular Pop Data by Age'!O$7),'Population Data by Age'!$B$7:$B$10366,0),MATCH('Tabular Pop Data by Age'!$C$6,'Population Data by Age'!$B$6:$H$6,0))</f>
        <v>78000</v>
      </c>
      <c r="P153" s="78">
        <f>INDEX('Population Data by Age'!$B$7:$H$10366,MATCH(CONCATENATE('Tabular Pop Data by Age'!$C153,'Tabular Pop Data by Age'!P$7),'Population Data by Age'!$B$7:$B$10366,0),MATCH('Tabular Pop Data by Age'!$C$6,'Population Data by Age'!$B$6:$H$6,0))</f>
        <v>79000</v>
      </c>
      <c r="Q153" s="78">
        <f>INDEX('Population Data by Age'!$B$7:$H$10366,MATCH(CONCATENATE('Tabular Pop Data by Age'!$C153,'Tabular Pop Data by Age'!Q$7),'Population Data by Age'!$B$7:$B$10366,0),MATCH('Tabular Pop Data by Age'!$C$6,'Population Data by Age'!$B$6:$H$6,0))</f>
        <v>83000</v>
      </c>
      <c r="R153" s="78">
        <f>INDEX('Population Data by Age'!$B$7:$H$10366,MATCH(CONCATENATE('Tabular Pop Data by Age'!$C153,'Tabular Pop Data by Age'!R$7),'Population Data by Age'!$B$7:$B$10366,0),MATCH('Tabular Pop Data by Age'!$C$6,'Population Data by Age'!$B$6:$H$6,0))</f>
        <v>80000</v>
      </c>
      <c r="S153" s="78">
        <f>INDEX('Population Data by Age'!$B$7:$H$10366,MATCH(CONCATENATE('Tabular Pop Data by Age'!$C153,'Tabular Pop Data by Age'!S$7),'Population Data by Age'!$B$7:$B$10366,0),MATCH('Tabular Pop Data by Age'!$C$6,'Population Data by Age'!$B$6:$H$6,0))</f>
        <v>84000</v>
      </c>
      <c r="T153" s="78">
        <f>INDEX('Population Data by Age'!$B$7:$H$10366,MATCH(CONCATENATE('Tabular Pop Data by Age'!$C153,'Tabular Pop Data by Age'!T$7),'Population Data by Age'!$B$7:$B$10366,0),MATCH('Tabular Pop Data by Age'!$C$6,'Population Data by Age'!$B$6:$H$6,0))</f>
        <v>76000</v>
      </c>
      <c r="U153" s="78">
        <f>INDEX('Population Data by Age'!$B$7:$H$10366,MATCH(CONCATENATE('Tabular Pop Data by Age'!$C153,'Tabular Pop Data by Age'!U$7),'Population Data by Age'!$B$7:$B$10366,0),MATCH('Tabular Pop Data by Age'!$C$6,'Population Data by Age'!$B$6:$H$6,0))</f>
        <v>79000</v>
      </c>
      <c r="V153" s="78">
        <f>INDEX('Population Data by Age'!$B$7:$H$10366,MATCH(CONCATENATE('Tabular Pop Data by Age'!$C153,'Tabular Pop Data by Age'!V$7),'Population Data by Age'!$B$7:$B$10366,0),MATCH('Tabular Pop Data by Age'!$C$6,'Population Data by Age'!$B$6:$H$6,0))</f>
        <v>72000</v>
      </c>
      <c r="W153" s="78">
        <f>INDEX('Population Data by Age'!$B$7:$H$10366,MATCH(CONCATENATE('Tabular Pop Data by Age'!$C153,'Tabular Pop Data by Age'!W$7),'Population Data by Age'!$B$7:$B$10366,0),MATCH('Tabular Pop Data by Age'!$C$6,'Population Data by Age'!$B$6:$H$6,0))</f>
        <v>74000</v>
      </c>
      <c r="X153" s="78">
        <f>INDEX('Population Data by Age'!$B$7:$H$10366,MATCH(CONCATENATE('Tabular Pop Data by Age'!$C153,'Tabular Pop Data by Age'!X$7),'Population Data by Age'!$B$7:$B$10366,0),MATCH('Tabular Pop Data by Age'!$C$6,'Population Data by Age'!$B$6:$H$6,0))</f>
        <v>72000</v>
      </c>
      <c r="Y153" s="78">
        <f>INDEX('Population Data by Age'!$B$7:$H$10366,MATCH(CONCATENATE('Tabular Pop Data by Age'!$C153,'Tabular Pop Data by Age'!Y$7),'Population Data by Age'!$B$7:$B$10366,0),MATCH('Tabular Pop Data by Age'!$C$6,'Population Data by Age'!$B$6:$H$6,0))</f>
        <v>73000</v>
      </c>
      <c r="Z153" s="78">
        <f>INDEX('Population Data by Age'!$B$7:$H$10366,MATCH(CONCATENATE('Tabular Pop Data by Age'!$C153,'Tabular Pop Data by Age'!Z$7),'Population Data by Age'!$B$7:$B$10366,0),MATCH('Tabular Pop Data by Age'!$C$6,'Population Data by Age'!$B$6:$H$6,0))</f>
        <v>70000</v>
      </c>
      <c r="AA153" s="78">
        <f>INDEX('Population Data by Age'!$B$7:$H$10366,MATCH(CONCATENATE('Tabular Pop Data by Age'!$C153,'Tabular Pop Data by Age'!AA$7),'Population Data by Age'!$B$7:$B$10366,0),MATCH('Tabular Pop Data by Age'!$C$6,'Population Data by Age'!$B$6:$H$6,0))</f>
        <v>68000</v>
      </c>
      <c r="AB153" s="78">
        <f>INDEX('Population Data by Age'!$B$7:$H$10366,MATCH(CONCATENATE('Tabular Pop Data by Age'!$C153,'Tabular Pop Data by Age'!AB$7),'Population Data by Age'!$B$7:$B$10366,0),MATCH('Tabular Pop Data by Age'!$C$6,'Population Data by Age'!$B$6:$H$6,0))</f>
        <v>66000</v>
      </c>
      <c r="AC153" s="78">
        <f>INDEX('Population Data by Age'!$B$7:$H$10366,MATCH(CONCATENATE('Tabular Pop Data by Age'!$C153,'Tabular Pop Data by Age'!AC$7),'Population Data by Age'!$B$7:$B$10366,0),MATCH('Tabular Pop Data by Age'!$C$6,'Population Data by Age'!$B$6:$H$6,0))</f>
        <v>63000</v>
      </c>
      <c r="AD153" s="78">
        <f>INDEX('Population Data by Age'!$B$7:$H$10366,MATCH(CONCATENATE('Tabular Pop Data by Age'!$C153,'Tabular Pop Data by Age'!AD$7),'Population Data by Age'!$B$7:$B$10366,0),MATCH('Tabular Pop Data by Age'!$C$6,'Population Data by Age'!$B$6:$H$6,0))</f>
        <v>61000</v>
      </c>
      <c r="AE153" s="78">
        <f>INDEX('Population Data by Age'!$B$7:$H$10366,MATCH(CONCATENATE('Tabular Pop Data by Age'!$C153,'Tabular Pop Data by Age'!AE$7),'Population Data by Age'!$B$7:$B$10366,0),MATCH('Tabular Pop Data by Age'!$C$6,'Population Data by Age'!$B$6:$H$6,0))</f>
        <v>55000</v>
      </c>
      <c r="AF153" s="78">
        <f>INDEX('Population Data by Age'!$B$7:$H$10366,MATCH(CONCATENATE('Tabular Pop Data by Age'!$C153,'Tabular Pop Data by Age'!AF$7),'Population Data by Age'!$B$7:$B$10366,0),MATCH('Tabular Pop Data by Age'!$C$6,'Population Data by Age'!$B$6:$H$6,0))</f>
        <v>44000</v>
      </c>
      <c r="AG153" s="78">
        <f>INDEX('Population Data by Age'!$B$7:$H$10366,MATCH(CONCATENATE('Tabular Pop Data by Age'!$C153,'Tabular Pop Data by Age'!AG$7),'Population Data by Age'!$B$7:$B$10366,0),MATCH('Tabular Pop Data by Age'!$C$6,'Population Data by Age'!$B$6:$H$6,0))</f>
        <v>36000</v>
      </c>
      <c r="AH153" s="78">
        <f>INDEX('Population Data by Age'!$B$7:$H$10366,MATCH(CONCATENATE('Tabular Pop Data by Age'!$C153,'Tabular Pop Data by Age'!AH$7),'Population Data by Age'!$B$7:$B$10366,0),MATCH('Tabular Pop Data by Age'!$C$6,'Population Data by Age'!$B$6:$H$6,0))</f>
        <v>31000</v>
      </c>
      <c r="AI153" s="78">
        <f>INDEX('Population Data by Age'!$B$7:$H$10366,MATCH(CONCATENATE('Tabular Pop Data by Age'!$C153,'Tabular Pop Data by Age'!AI$7),'Population Data by Age'!$B$7:$B$10366,0),MATCH('Tabular Pop Data by Age'!$C$6,'Population Data by Age'!$B$6:$H$6,0))</f>
        <v>23000</v>
      </c>
      <c r="AJ153" s="78">
        <f>INDEX('Population Data by Age'!$B$7:$H$10366,MATCH(CONCATENATE('Tabular Pop Data by Age'!$C153,'Tabular Pop Data by Age'!AJ$7),'Population Data by Age'!$B$7:$B$10366,0),MATCH('Tabular Pop Data by Age'!$C$6,'Population Data by Age'!$B$6:$H$6,0))</f>
        <v>32000</v>
      </c>
      <c r="AK153" s="78">
        <f>INDEX('Population Data by Age'!$B$7:$H$10366,MATCH(CONCATENATE('Tabular Pop Data by Age'!$C153,'Tabular Pop Data by Age'!AK$7),'Population Data by Age'!$B$7:$B$10366,0),MATCH('Tabular Pop Data by Age'!$C$6,'Population Data by Age'!$B$6:$H$6,0))</f>
        <v>21000</v>
      </c>
      <c r="AL153" s="78">
        <f>INDEX('Population Data by Age'!$B$7:$H$10366,MATCH(CONCATENATE('Tabular Pop Data by Age'!$C153,'Tabular Pop Data by Age'!AL$7),'Population Data by Age'!$B$7:$B$10366,0),MATCH('Tabular Pop Data by Age'!$C$6,'Population Data by Age'!$B$6:$H$6,0))</f>
        <v>1041000</v>
      </c>
      <c r="AM153" s="78">
        <f>INDEX('Population Data by Age'!$B$7:$H$10366,MATCH(CONCATENATE('Tabular Pop Data by Age'!$C153,'Tabular Pop Data by Age'!AM$7),'Population Data by Age'!$B$7:$B$10366,0),MATCH('Tabular Pop Data by Age'!$C$6,'Population Data by Age'!$B$6:$H$6,0))</f>
        <v>1042000</v>
      </c>
      <c r="AN153" s="78">
        <f>INDEX('Population Data by Age'!$B$7:$H$10366,MATCH(CONCATENATE('Tabular Pop Data by Age'!$C153,'Tabular Pop Data by Age'!AN$7),'Population Data by Age'!$B$7:$B$10366,0),MATCH('Tabular Pop Data by Age'!$C$6,'Population Data by Age'!$B$6:$H$6,0))</f>
        <v>2083000</v>
      </c>
      <c r="AO153" s="78">
        <f>INDEX('Population Data by Age'!$B$7:$H$10366,MATCH(CONCATENATE('Tabular Pop Data by Age'!$C153,'Tabular Pop Data by Age'!AO$7),'Population Data by Age'!$B$7:$B$10366,0),MATCH('Tabular Pop Data by Age'!$C$6,'Population Data by Age'!$B$6:$H$6,0))</f>
        <v>0</v>
      </c>
      <c r="AP153" s="79">
        <f t="shared" si="34"/>
        <v>112000</v>
      </c>
      <c r="AQ153" s="79">
        <f t="shared" si="35"/>
        <v>116000</v>
      </c>
      <c r="AR153" s="79">
        <f t="shared" si="36"/>
        <v>112000</v>
      </c>
      <c r="AS153" s="79">
        <f t="shared" si="37"/>
        <v>121000</v>
      </c>
      <c r="AT153" s="79">
        <f t="shared" si="38"/>
        <v>130000</v>
      </c>
      <c r="AU153" s="79">
        <f t="shared" si="39"/>
        <v>152000</v>
      </c>
      <c r="AV153" s="79">
        <f t="shared" si="40"/>
        <v>162000</v>
      </c>
      <c r="AW153" s="79">
        <f t="shared" si="41"/>
        <v>164000</v>
      </c>
      <c r="AX153" s="79">
        <f t="shared" si="42"/>
        <v>155000</v>
      </c>
      <c r="AY153" s="79">
        <f t="shared" si="43"/>
        <v>146000</v>
      </c>
      <c r="AZ153" s="79">
        <f t="shared" si="44"/>
        <v>145000</v>
      </c>
      <c r="BA153" s="79">
        <f t="shared" si="45"/>
        <v>138000</v>
      </c>
      <c r="BB153" s="79">
        <f t="shared" si="46"/>
        <v>129000</v>
      </c>
      <c r="BC153" s="79">
        <f t="shared" si="47"/>
        <v>116000</v>
      </c>
      <c r="BD153" s="79">
        <f t="shared" si="48"/>
        <v>80000</v>
      </c>
      <c r="BE153" s="79">
        <f t="shared" si="49"/>
        <v>54000</v>
      </c>
      <c r="BF153" s="79">
        <f t="shared" si="50"/>
        <v>53000</v>
      </c>
    </row>
    <row r="154" spans="1:58" x14ac:dyDescent="0.25">
      <c r="A154" s="138" t="s">
        <v>1195</v>
      </c>
      <c r="B154" t="s">
        <v>592</v>
      </c>
      <c r="C154" t="s">
        <v>593</v>
      </c>
      <c r="D154" s="78">
        <f>INDEX('Population Data by Age'!$B$7:$H$10366,MATCH(CONCATENATE('Tabular Pop Data by Age'!$C154,'Tabular Pop Data by Age'!D$7),'Population Data by Age'!$B$7:$B$10366,0),MATCH('Tabular Pop Data by Age'!$C$6,'Population Data by Age'!$B$6:$H$6,0))</f>
        <v>0</v>
      </c>
      <c r="E154" s="78">
        <f>INDEX('Population Data by Age'!$B$7:$H$10366,MATCH(CONCATENATE('Tabular Pop Data by Age'!$C154,'Tabular Pop Data by Age'!E$7),'Population Data by Age'!$B$7:$B$10366,0),MATCH('Tabular Pop Data by Age'!$C$6,'Population Data by Age'!$B$6:$H$6,0))</f>
        <v>0</v>
      </c>
      <c r="F154" s="78">
        <f>INDEX('Population Data by Age'!$B$7:$H$10366,MATCH(CONCATENATE('Tabular Pop Data by Age'!$C154,'Tabular Pop Data by Age'!F$7),'Population Data by Age'!$B$7:$B$10366,0),MATCH('Tabular Pop Data by Age'!$C$6,'Population Data by Age'!$B$6:$H$6,0))</f>
        <v>0</v>
      </c>
      <c r="G154" s="78">
        <f>INDEX('Population Data by Age'!$B$7:$H$10366,MATCH(CONCATENATE('Tabular Pop Data by Age'!$C154,'Tabular Pop Data by Age'!G$7),'Population Data by Age'!$B$7:$B$10366,0),MATCH('Tabular Pop Data by Age'!$C$6,'Population Data by Age'!$B$6:$H$6,0))</f>
        <v>0</v>
      </c>
      <c r="H154" s="78">
        <f>INDEX('Population Data by Age'!$B$7:$H$10366,MATCH(CONCATENATE('Tabular Pop Data by Age'!$C154,'Tabular Pop Data by Age'!H$7),'Population Data by Age'!$B$7:$B$10366,0),MATCH('Tabular Pop Data by Age'!$C$6,'Population Data by Age'!$B$6:$H$6,0))</f>
        <v>0</v>
      </c>
      <c r="I154" s="78">
        <f>INDEX('Population Data by Age'!$B$7:$H$10366,MATCH(CONCATENATE('Tabular Pop Data by Age'!$C154,'Tabular Pop Data by Age'!I$7),'Population Data by Age'!$B$7:$B$10366,0),MATCH('Tabular Pop Data by Age'!$C$6,'Population Data by Age'!$B$6:$H$6,0))</f>
        <v>0</v>
      </c>
      <c r="J154" s="78">
        <f>INDEX('Population Data by Age'!$B$7:$H$10366,MATCH(CONCATENATE('Tabular Pop Data by Age'!$C154,'Tabular Pop Data by Age'!J$7),'Population Data by Age'!$B$7:$B$10366,0),MATCH('Tabular Pop Data by Age'!$C$6,'Population Data by Age'!$B$6:$H$6,0))</f>
        <v>0</v>
      </c>
      <c r="K154" s="78">
        <f>INDEX('Population Data by Age'!$B$7:$H$10366,MATCH(CONCATENATE('Tabular Pop Data by Age'!$C154,'Tabular Pop Data by Age'!K$7),'Population Data by Age'!$B$7:$B$10366,0),MATCH('Tabular Pop Data by Age'!$C$6,'Population Data by Age'!$B$6:$H$6,0))</f>
        <v>0</v>
      </c>
      <c r="L154" s="78">
        <f>INDEX('Population Data by Age'!$B$7:$H$10366,MATCH(CONCATENATE('Tabular Pop Data by Age'!$C154,'Tabular Pop Data by Age'!L$7),'Population Data by Age'!$B$7:$B$10366,0),MATCH('Tabular Pop Data by Age'!$C$6,'Population Data by Age'!$B$6:$H$6,0))</f>
        <v>0</v>
      </c>
      <c r="M154" s="78">
        <f>INDEX('Population Data by Age'!$B$7:$H$10366,MATCH(CONCATENATE('Tabular Pop Data by Age'!$C154,'Tabular Pop Data by Age'!M$7),'Population Data by Age'!$B$7:$B$10366,0),MATCH('Tabular Pop Data by Age'!$C$6,'Population Data by Age'!$B$6:$H$6,0))</f>
        <v>0</v>
      </c>
      <c r="N154" s="78">
        <f>INDEX('Population Data by Age'!$B$7:$H$10366,MATCH(CONCATENATE('Tabular Pop Data by Age'!$C154,'Tabular Pop Data by Age'!N$7),'Population Data by Age'!$B$7:$B$10366,0),MATCH('Tabular Pop Data by Age'!$C$6,'Population Data by Age'!$B$6:$H$6,0))</f>
        <v>0</v>
      </c>
      <c r="O154" s="78">
        <f>INDEX('Population Data by Age'!$B$7:$H$10366,MATCH(CONCATENATE('Tabular Pop Data by Age'!$C154,'Tabular Pop Data by Age'!O$7),'Population Data by Age'!$B$7:$B$10366,0),MATCH('Tabular Pop Data by Age'!$C$6,'Population Data by Age'!$B$6:$H$6,0))</f>
        <v>0</v>
      </c>
      <c r="P154" s="78">
        <f>INDEX('Population Data by Age'!$B$7:$H$10366,MATCH(CONCATENATE('Tabular Pop Data by Age'!$C154,'Tabular Pop Data by Age'!P$7),'Population Data by Age'!$B$7:$B$10366,0),MATCH('Tabular Pop Data by Age'!$C$6,'Population Data by Age'!$B$6:$H$6,0))</f>
        <v>0</v>
      </c>
      <c r="Q154" s="78">
        <f>INDEX('Population Data by Age'!$B$7:$H$10366,MATCH(CONCATENATE('Tabular Pop Data by Age'!$C154,'Tabular Pop Data by Age'!Q$7),'Population Data by Age'!$B$7:$B$10366,0),MATCH('Tabular Pop Data by Age'!$C$6,'Population Data by Age'!$B$6:$H$6,0))</f>
        <v>0</v>
      </c>
      <c r="R154" s="78">
        <f>INDEX('Population Data by Age'!$B$7:$H$10366,MATCH(CONCATENATE('Tabular Pop Data by Age'!$C154,'Tabular Pop Data by Age'!R$7),'Population Data by Age'!$B$7:$B$10366,0),MATCH('Tabular Pop Data by Age'!$C$6,'Population Data by Age'!$B$6:$H$6,0))</f>
        <v>0</v>
      </c>
      <c r="S154" s="78">
        <f>INDEX('Population Data by Age'!$B$7:$H$10366,MATCH(CONCATENATE('Tabular Pop Data by Age'!$C154,'Tabular Pop Data by Age'!S$7),'Population Data by Age'!$B$7:$B$10366,0),MATCH('Tabular Pop Data by Age'!$C$6,'Population Data by Age'!$B$6:$H$6,0))</f>
        <v>0</v>
      </c>
      <c r="T154" s="78">
        <f>INDEX('Population Data by Age'!$B$7:$H$10366,MATCH(CONCATENATE('Tabular Pop Data by Age'!$C154,'Tabular Pop Data by Age'!T$7),'Population Data by Age'!$B$7:$B$10366,0),MATCH('Tabular Pop Data by Age'!$C$6,'Population Data by Age'!$B$6:$H$6,0))</f>
        <v>0</v>
      </c>
      <c r="U154" s="78">
        <f>INDEX('Population Data by Age'!$B$7:$H$10366,MATCH(CONCATENATE('Tabular Pop Data by Age'!$C154,'Tabular Pop Data by Age'!U$7),'Population Data by Age'!$B$7:$B$10366,0),MATCH('Tabular Pop Data by Age'!$C$6,'Population Data by Age'!$B$6:$H$6,0))</f>
        <v>0</v>
      </c>
      <c r="V154" s="78">
        <f>INDEX('Population Data by Age'!$B$7:$H$10366,MATCH(CONCATENATE('Tabular Pop Data by Age'!$C154,'Tabular Pop Data by Age'!V$7),'Population Data by Age'!$B$7:$B$10366,0),MATCH('Tabular Pop Data by Age'!$C$6,'Population Data by Age'!$B$6:$H$6,0))</f>
        <v>0</v>
      </c>
      <c r="W154" s="78">
        <f>INDEX('Population Data by Age'!$B$7:$H$10366,MATCH(CONCATENATE('Tabular Pop Data by Age'!$C154,'Tabular Pop Data by Age'!W$7),'Population Data by Age'!$B$7:$B$10366,0),MATCH('Tabular Pop Data by Age'!$C$6,'Population Data by Age'!$B$6:$H$6,0))</f>
        <v>0</v>
      </c>
      <c r="X154" s="78">
        <f>INDEX('Population Data by Age'!$B$7:$H$10366,MATCH(CONCATENATE('Tabular Pop Data by Age'!$C154,'Tabular Pop Data by Age'!X$7),'Population Data by Age'!$B$7:$B$10366,0),MATCH('Tabular Pop Data by Age'!$C$6,'Population Data by Age'!$B$6:$H$6,0))</f>
        <v>0</v>
      </c>
      <c r="Y154" s="78">
        <f>INDEX('Population Data by Age'!$B$7:$H$10366,MATCH(CONCATENATE('Tabular Pop Data by Age'!$C154,'Tabular Pop Data by Age'!Y$7),'Population Data by Age'!$B$7:$B$10366,0),MATCH('Tabular Pop Data by Age'!$C$6,'Population Data by Age'!$B$6:$H$6,0))</f>
        <v>0</v>
      </c>
      <c r="Z154" s="78">
        <f>INDEX('Population Data by Age'!$B$7:$H$10366,MATCH(CONCATENATE('Tabular Pop Data by Age'!$C154,'Tabular Pop Data by Age'!Z$7),'Population Data by Age'!$B$7:$B$10366,0),MATCH('Tabular Pop Data by Age'!$C$6,'Population Data by Age'!$B$6:$H$6,0))</f>
        <v>0</v>
      </c>
      <c r="AA154" s="78">
        <f>INDEX('Population Data by Age'!$B$7:$H$10366,MATCH(CONCATENATE('Tabular Pop Data by Age'!$C154,'Tabular Pop Data by Age'!AA$7),'Population Data by Age'!$B$7:$B$10366,0),MATCH('Tabular Pop Data by Age'!$C$6,'Population Data by Age'!$B$6:$H$6,0))</f>
        <v>0</v>
      </c>
      <c r="AB154" s="78">
        <f>INDEX('Population Data by Age'!$B$7:$H$10366,MATCH(CONCATENATE('Tabular Pop Data by Age'!$C154,'Tabular Pop Data by Age'!AB$7),'Population Data by Age'!$B$7:$B$10366,0),MATCH('Tabular Pop Data by Age'!$C$6,'Population Data by Age'!$B$6:$H$6,0))</f>
        <v>0</v>
      </c>
      <c r="AC154" s="78">
        <f>INDEX('Population Data by Age'!$B$7:$H$10366,MATCH(CONCATENATE('Tabular Pop Data by Age'!$C154,'Tabular Pop Data by Age'!AC$7),'Population Data by Age'!$B$7:$B$10366,0),MATCH('Tabular Pop Data by Age'!$C$6,'Population Data by Age'!$B$6:$H$6,0))</f>
        <v>0</v>
      </c>
      <c r="AD154" s="78">
        <f>INDEX('Population Data by Age'!$B$7:$H$10366,MATCH(CONCATENATE('Tabular Pop Data by Age'!$C154,'Tabular Pop Data by Age'!AD$7),'Population Data by Age'!$B$7:$B$10366,0),MATCH('Tabular Pop Data by Age'!$C$6,'Population Data by Age'!$B$6:$H$6,0))</f>
        <v>0</v>
      </c>
      <c r="AE154" s="78">
        <f>INDEX('Population Data by Age'!$B$7:$H$10366,MATCH(CONCATENATE('Tabular Pop Data by Age'!$C154,'Tabular Pop Data by Age'!AE$7),'Population Data by Age'!$B$7:$B$10366,0),MATCH('Tabular Pop Data by Age'!$C$6,'Population Data by Age'!$B$6:$H$6,0))</f>
        <v>0</v>
      </c>
      <c r="AF154" s="78">
        <f>INDEX('Population Data by Age'!$B$7:$H$10366,MATCH(CONCATENATE('Tabular Pop Data by Age'!$C154,'Tabular Pop Data by Age'!AF$7),'Population Data by Age'!$B$7:$B$10366,0),MATCH('Tabular Pop Data by Age'!$C$6,'Population Data by Age'!$B$6:$H$6,0))</f>
        <v>0</v>
      </c>
      <c r="AG154" s="78">
        <f>INDEX('Population Data by Age'!$B$7:$H$10366,MATCH(CONCATENATE('Tabular Pop Data by Age'!$C154,'Tabular Pop Data by Age'!AG$7),'Population Data by Age'!$B$7:$B$10366,0),MATCH('Tabular Pop Data by Age'!$C$6,'Population Data by Age'!$B$6:$H$6,0))</f>
        <v>0</v>
      </c>
      <c r="AH154" s="78">
        <f>INDEX('Population Data by Age'!$B$7:$H$10366,MATCH(CONCATENATE('Tabular Pop Data by Age'!$C154,'Tabular Pop Data by Age'!AH$7),'Population Data by Age'!$B$7:$B$10366,0),MATCH('Tabular Pop Data by Age'!$C$6,'Population Data by Age'!$B$6:$H$6,0))</f>
        <v>0</v>
      </c>
      <c r="AI154" s="78">
        <f>INDEX('Population Data by Age'!$B$7:$H$10366,MATCH(CONCATENATE('Tabular Pop Data by Age'!$C154,'Tabular Pop Data by Age'!AI$7),'Population Data by Age'!$B$7:$B$10366,0),MATCH('Tabular Pop Data by Age'!$C$6,'Population Data by Age'!$B$6:$H$6,0))</f>
        <v>0</v>
      </c>
      <c r="AJ154" s="78">
        <f>INDEX('Population Data by Age'!$B$7:$H$10366,MATCH(CONCATENATE('Tabular Pop Data by Age'!$C154,'Tabular Pop Data by Age'!AJ$7),'Population Data by Age'!$B$7:$B$10366,0),MATCH('Tabular Pop Data by Age'!$C$6,'Population Data by Age'!$B$6:$H$6,0))</f>
        <v>0</v>
      </c>
      <c r="AK154" s="78">
        <f>INDEX('Population Data by Age'!$B$7:$H$10366,MATCH(CONCATENATE('Tabular Pop Data by Age'!$C154,'Tabular Pop Data by Age'!AK$7),'Population Data by Age'!$B$7:$B$10366,0),MATCH('Tabular Pop Data by Age'!$C$6,'Population Data by Age'!$B$6:$H$6,0))</f>
        <v>0</v>
      </c>
      <c r="AL154" s="78">
        <f>INDEX('Population Data by Age'!$B$7:$H$10366,MATCH(CONCATENATE('Tabular Pop Data by Age'!$C154,'Tabular Pop Data by Age'!AL$7),'Population Data by Age'!$B$7:$B$10366,0),MATCH('Tabular Pop Data by Age'!$C$6,'Population Data by Age'!$B$6:$H$6,0))</f>
        <v>0</v>
      </c>
      <c r="AM154" s="78">
        <f>INDEX('Population Data by Age'!$B$7:$H$10366,MATCH(CONCATENATE('Tabular Pop Data by Age'!$C154,'Tabular Pop Data by Age'!AM$7),'Population Data by Age'!$B$7:$B$10366,0),MATCH('Tabular Pop Data by Age'!$C$6,'Population Data by Age'!$B$6:$H$6,0))</f>
        <v>0</v>
      </c>
      <c r="AN154" s="78">
        <f>INDEX('Population Data by Age'!$B$7:$H$10366,MATCH(CONCATENATE('Tabular Pop Data by Age'!$C154,'Tabular Pop Data by Age'!AN$7),'Population Data by Age'!$B$7:$B$10366,0),MATCH('Tabular Pop Data by Age'!$C$6,'Population Data by Age'!$B$6:$H$6,0))</f>
        <v>58000</v>
      </c>
      <c r="AO154" s="78">
        <f>INDEX('Population Data by Age'!$B$7:$H$10366,MATCH(CONCATENATE('Tabular Pop Data by Age'!$C154,'Tabular Pop Data by Age'!AO$7),'Population Data by Age'!$B$7:$B$10366,0),MATCH('Tabular Pop Data by Age'!$C$6,'Population Data by Age'!$B$6:$H$6,0))</f>
        <v>0</v>
      </c>
      <c r="AP154" s="79">
        <f t="shared" si="34"/>
        <v>0</v>
      </c>
      <c r="AQ154" s="79">
        <f t="shared" si="35"/>
        <v>0</v>
      </c>
      <c r="AR154" s="79">
        <f t="shared" si="36"/>
        <v>0</v>
      </c>
      <c r="AS154" s="79">
        <f t="shared" si="37"/>
        <v>0</v>
      </c>
      <c r="AT154" s="79">
        <f t="shared" si="38"/>
        <v>0</v>
      </c>
      <c r="AU154" s="79">
        <f t="shared" si="39"/>
        <v>0</v>
      </c>
      <c r="AV154" s="79">
        <f t="shared" si="40"/>
        <v>0</v>
      </c>
      <c r="AW154" s="79">
        <f t="shared" si="41"/>
        <v>0</v>
      </c>
      <c r="AX154" s="79">
        <f t="shared" si="42"/>
        <v>0</v>
      </c>
      <c r="AY154" s="79">
        <f t="shared" si="43"/>
        <v>0</v>
      </c>
      <c r="AZ154" s="79">
        <f t="shared" si="44"/>
        <v>0</v>
      </c>
      <c r="BA154" s="79">
        <f t="shared" si="45"/>
        <v>0</v>
      </c>
      <c r="BB154" s="79">
        <f t="shared" si="46"/>
        <v>0</v>
      </c>
      <c r="BC154" s="79">
        <f t="shared" si="47"/>
        <v>0</v>
      </c>
      <c r="BD154" s="79">
        <f t="shared" si="48"/>
        <v>0</v>
      </c>
      <c r="BE154" s="79">
        <f t="shared" si="49"/>
        <v>0</v>
      </c>
      <c r="BF154" s="79">
        <f t="shared" si="50"/>
        <v>0</v>
      </c>
    </row>
    <row r="155" spans="1:58" x14ac:dyDescent="0.25">
      <c r="A155" s="138" t="s">
        <v>1195</v>
      </c>
      <c r="B155" t="s">
        <v>594</v>
      </c>
      <c r="C155" t="s">
        <v>107</v>
      </c>
      <c r="D155" s="78">
        <f>INDEX('Population Data by Age'!$B$7:$H$10366,MATCH(CONCATENATE('Tabular Pop Data by Age'!$C155,'Tabular Pop Data by Age'!D$7),'Population Data by Age'!$B$7:$B$10366,0),MATCH('Tabular Pop Data by Age'!$C$6,'Population Data by Age'!$B$6:$H$6,0))</f>
        <v>146000</v>
      </c>
      <c r="E155" s="78">
        <f>INDEX('Population Data by Age'!$B$7:$H$10366,MATCH(CONCATENATE('Tabular Pop Data by Age'!$C155,'Tabular Pop Data by Age'!E$7),'Population Data by Age'!$B$7:$B$10366,0),MATCH('Tabular Pop Data by Age'!$C$6,'Population Data by Age'!$B$6:$H$6,0))</f>
        <v>155000</v>
      </c>
      <c r="F155" s="78">
        <f>INDEX('Population Data by Age'!$B$7:$H$10366,MATCH(CONCATENATE('Tabular Pop Data by Age'!$C155,'Tabular Pop Data by Age'!F$7),'Population Data by Age'!$B$7:$B$10366,0),MATCH('Tabular Pop Data by Age'!$C$6,'Population Data by Age'!$B$6:$H$6,0))</f>
        <v>152000</v>
      </c>
      <c r="G155" s="78">
        <f>INDEX('Population Data by Age'!$B$7:$H$10366,MATCH(CONCATENATE('Tabular Pop Data by Age'!$C155,'Tabular Pop Data by Age'!G$7),'Population Data by Age'!$B$7:$B$10366,0),MATCH('Tabular Pop Data by Age'!$C$6,'Population Data by Age'!$B$6:$H$6,0))</f>
        <v>160000</v>
      </c>
      <c r="H155" s="78">
        <f>INDEX('Population Data by Age'!$B$7:$H$10366,MATCH(CONCATENATE('Tabular Pop Data by Age'!$C155,'Tabular Pop Data by Age'!H$7),'Population Data by Age'!$B$7:$B$10366,0),MATCH('Tabular Pop Data by Age'!$C$6,'Population Data by Age'!$B$6:$H$6,0))</f>
        <v>156000</v>
      </c>
      <c r="I155" s="78">
        <f>INDEX('Population Data by Age'!$B$7:$H$10366,MATCH(CONCATENATE('Tabular Pop Data by Age'!$C155,'Tabular Pop Data by Age'!I$7),'Population Data by Age'!$B$7:$B$10366,0),MATCH('Tabular Pop Data by Age'!$C$6,'Population Data by Age'!$B$6:$H$6,0))</f>
        <v>165000</v>
      </c>
      <c r="J155" s="78">
        <f>INDEX('Population Data by Age'!$B$7:$H$10366,MATCH(CONCATENATE('Tabular Pop Data by Age'!$C155,'Tabular Pop Data by Age'!J$7),'Population Data by Age'!$B$7:$B$10366,0),MATCH('Tabular Pop Data by Age'!$C$6,'Population Data by Age'!$B$6:$H$6,0))</f>
        <v>157000</v>
      </c>
      <c r="K155" s="78">
        <f>INDEX('Population Data by Age'!$B$7:$H$10366,MATCH(CONCATENATE('Tabular Pop Data by Age'!$C155,'Tabular Pop Data by Age'!K$7),'Population Data by Age'!$B$7:$B$10366,0),MATCH('Tabular Pop Data by Age'!$C$6,'Population Data by Age'!$B$6:$H$6,0))</f>
        <v>164000</v>
      </c>
      <c r="L155" s="78">
        <f>INDEX('Population Data by Age'!$B$7:$H$10366,MATCH(CONCATENATE('Tabular Pop Data by Age'!$C155,'Tabular Pop Data by Age'!L$7),'Population Data by Age'!$B$7:$B$10366,0),MATCH('Tabular Pop Data by Age'!$C$6,'Population Data by Age'!$B$6:$H$6,0))</f>
        <v>171000</v>
      </c>
      <c r="M155" s="78">
        <f>INDEX('Population Data by Age'!$B$7:$H$10366,MATCH(CONCATENATE('Tabular Pop Data by Age'!$C155,'Tabular Pop Data by Age'!M$7),'Population Data by Age'!$B$7:$B$10366,0),MATCH('Tabular Pop Data by Age'!$C$6,'Population Data by Age'!$B$6:$H$6,0))</f>
        <v>182000</v>
      </c>
      <c r="N155" s="78">
        <f>INDEX('Population Data by Age'!$B$7:$H$10366,MATCH(CONCATENATE('Tabular Pop Data by Age'!$C155,'Tabular Pop Data by Age'!N$7),'Population Data by Age'!$B$7:$B$10366,0),MATCH('Tabular Pop Data by Age'!$C$6,'Population Data by Age'!$B$6:$H$6,0))</f>
        <v>181000</v>
      </c>
      <c r="O155" s="78">
        <f>INDEX('Population Data by Age'!$B$7:$H$10366,MATCH(CONCATENATE('Tabular Pop Data by Age'!$C155,'Tabular Pop Data by Age'!O$7),'Population Data by Age'!$B$7:$B$10366,0),MATCH('Tabular Pop Data by Age'!$C$6,'Population Data by Age'!$B$6:$H$6,0))</f>
        <v>192000</v>
      </c>
      <c r="P155" s="78">
        <f>INDEX('Population Data by Age'!$B$7:$H$10366,MATCH(CONCATENATE('Tabular Pop Data by Age'!$C155,'Tabular Pop Data by Age'!P$7),'Population Data by Age'!$B$7:$B$10366,0),MATCH('Tabular Pop Data by Age'!$C$6,'Population Data by Age'!$B$6:$H$6,0))</f>
        <v>184000</v>
      </c>
      <c r="Q155" s="78">
        <f>INDEX('Population Data by Age'!$B$7:$H$10366,MATCH(CONCATENATE('Tabular Pop Data by Age'!$C155,'Tabular Pop Data by Age'!Q$7),'Population Data by Age'!$B$7:$B$10366,0),MATCH('Tabular Pop Data by Age'!$C$6,'Population Data by Age'!$B$6:$H$6,0))</f>
        <v>192000</v>
      </c>
      <c r="R155" s="78">
        <f>INDEX('Population Data by Age'!$B$7:$H$10366,MATCH(CONCATENATE('Tabular Pop Data by Age'!$C155,'Tabular Pop Data by Age'!R$7),'Population Data by Age'!$B$7:$B$10366,0),MATCH('Tabular Pop Data by Age'!$C$6,'Population Data by Age'!$B$6:$H$6,0))</f>
        <v>175000</v>
      </c>
      <c r="S155" s="78">
        <f>INDEX('Population Data by Age'!$B$7:$H$10366,MATCH(CONCATENATE('Tabular Pop Data by Age'!$C155,'Tabular Pop Data by Age'!S$7),'Population Data by Age'!$B$7:$B$10366,0),MATCH('Tabular Pop Data by Age'!$C$6,'Population Data by Age'!$B$6:$H$6,0))</f>
        <v>187000</v>
      </c>
      <c r="T155" s="78">
        <f>INDEX('Population Data by Age'!$B$7:$H$10366,MATCH(CONCATENATE('Tabular Pop Data by Age'!$C155,'Tabular Pop Data by Age'!T$7),'Population Data by Age'!$B$7:$B$10366,0),MATCH('Tabular Pop Data by Age'!$C$6,'Population Data by Age'!$B$6:$H$6,0))</f>
        <v>167000</v>
      </c>
      <c r="U155" s="78">
        <f>INDEX('Population Data by Age'!$B$7:$H$10366,MATCH(CONCATENATE('Tabular Pop Data by Age'!$C155,'Tabular Pop Data by Age'!U$7),'Population Data by Age'!$B$7:$B$10366,0),MATCH('Tabular Pop Data by Age'!$C$6,'Population Data by Age'!$B$6:$H$6,0))</f>
        <v>180000</v>
      </c>
      <c r="V155" s="78">
        <f>INDEX('Population Data by Age'!$B$7:$H$10366,MATCH(CONCATENATE('Tabular Pop Data by Age'!$C155,'Tabular Pop Data by Age'!V$7),'Population Data by Age'!$B$7:$B$10366,0),MATCH('Tabular Pop Data by Age'!$C$6,'Population Data by Age'!$B$6:$H$6,0))</f>
        <v>183000</v>
      </c>
      <c r="W155" s="78">
        <f>INDEX('Population Data by Age'!$B$7:$H$10366,MATCH(CONCATENATE('Tabular Pop Data by Age'!$C155,'Tabular Pop Data by Age'!W$7),'Population Data by Age'!$B$7:$B$10366,0),MATCH('Tabular Pop Data by Age'!$C$6,'Population Data by Age'!$B$6:$H$6,0))</f>
        <v>195000</v>
      </c>
      <c r="X155" s="78">
        <f>INDEX('Population Data by Age'!$B$7:$H$10366,MATCH(CONCATENATE('Tabular Pop Data by Age'!$C155,'Tabular Pop Data by Age'!X$7),'Population Data by Age'!$B$7:$B$10366,0),MATCH('Tabular Pop Data by Age'!$C$6,'Population Data by Age'!$B$6:$H$6,0))</f>
        <v>183000</v>
      </c>
      <c r="Y155" s="78">
        <f>INDEX('Population Data by Age'!$B$7:$H$10366,MATCH(CONCATENATE('Tabular Pop Data by Age'!$C155,'Tabular Pop Data by Age'!Y$7),'Population Data by Age'!$B$7:$B$10366,0),MATCH('Tabular Pop Data by Age'!$C$6,'Population Data by Age'!$B$6:$H$6,0))</f>
        <v>195000</v>
      </c>
      <c r="Z155" s="78">
        <f>INDEX('Population Data by Age'!$B$7:$H$10366,MATCH(CONCATENATE('Tabular Pop Data by Age'!$C155,'Tabular Pop Data by Age'!Z$7),'Population Data by Age'!$B$7:$B$10366,0),MATCH('Tabular Pop Data by Age'!$C$6,'Population Data by Age'!$B$6:$H$6,0))</f>
        <v>163000</v>
      </c>
      <c r="AA155" s="78">
        <f>INDEX('Population Data by Age'!$B$7:$H$10366,MATCH(CONCATENATE('Tabular Pop Data by Age'!$C155,'Tabular Pop Data by Age'!AA$7),'Population Data by Age'!$B$7:$B$10366,0),MATCH('Tabular Pop Data by Age'!$C$6,'Population Data by Age'!$B$6:$H$6,0))</f>
        <v>172000</v>
      </c>
      <c r="AB155" s="78">
        <f>INDEX('Population Data by Age'!$B$7:$H$10366,MATCH(CONCATENATE('Tabular Pop Data by Age'!$C155,'Tabular Pop Data by Age'!AB$7),'Population Data by Age'!$B$7:$B$10366,0),MATCH('Tabular Pop Data by Age'!$C$6,'Population Data by Age'!$B$6:$H$6,0))</f>
        <v>154000</v>
      </c>
      <c r="AC155" s="78">
        <f>INDEX('Population Data by Age'!$B$7:$H$10366,MATCH(CONCATENATE('Tabular Pop Data by Age'!$C155,'Tabular Pop Data by Age'!AC$7),'Population Data by Age'!$B$7:$B$10366,0),MATCH('Tabular Pop Data by Age'!$C$6,'Population Data by Age'!$B$6:$H$6,0))</f>
        <v>157000</v>
      </c>
      <c r="AD155" s="78">
        <f>INDEX('Population Data by Age'!$B$7:$H$10366,MATCH(CONCATENATE('Tabular Pop Data by Age'!$C155,'Tabular Pop Data by Age'!AD$7),'Population Data by Age'!$B$7:$B$10366,0),MATCH('Tabular Pop Data by Age'!$C$6,'Population Data by Age'!$B$6:$H$6,0))</f>
        <v>138000</v>
      </c>
      <c r="AE155" s="78">
        <f>INDEX('Population Data by Age'!$B$7:$H$10366,MATCH(CONCATENATE('Tabular Pop Data by Age'!$C155,'Tabular Pop Data by Age'!AE$7),'Population Data by Age'!$B$7:$B$10366,0),MATCH('Tabular Pop Data by Age'!$C$6,'Population Data by Age'!$B$6:$H$6,0))</f>
        <v>137000</v>
      </c>
      <c r="AF155" s="78">
        <f>INDEX('Population Data by Age'!$B$7:$H$10366,MATCH(CONCATENATE('Tabular Pop Data by Age'!$C155,'Tabular Pop Data by Age'!AF$7),'Population Data by Age'!$B$7:$B$10366,0),MATCH('Tabular Pop Data by Age'!$C$6,'Population Data by Age'!$B$6:$H$6,0))</f>
        <v>136000</v>
      </c>
      <c r="AG155" s="78">
        <f>INDEX('Population Data by Age'!$B$7:$H$10366,MATCH(CONCATENATE('Tabular Pop Data by Age'!$C155,'Tabular Pop Data by Age'!AG$7),'Population Data by Age'!$B$7:$B$10366,0),MATCH('Tabular Pop Data by Age'!$C$6,'Population Data by Age'!$B$6:$H$6,0))</f>
        <v>131000</v>
      </c>
      <c r="AH155" s="78">
        <f>INDEX('Population Data by Age'!$B$7:$H$10366,MATCH(CONCATENATE('Tabular Pop Data by Age'!$C155,'Tabular Pop Data by Age'!AH$7),'Population Data by Age'!$B$7:$B$10366,0),MATCH('Tabular Pop Data by Age'!$C$6,'Population Data by Age'!$B$6:$H$6,0))</f>
        <v>95000</v>
      </c>
      <c r="AI155" s="78">
        <f>INDEX('Population Data by Age'!$B$7:$H$10366,MATCH(CONCATENATE('Tabular Pop Data by Age'!$C155,'Tabular Pop Data by Age'!AI$7),'Population Data by Age'!$B$7:$B$10366,0),MATCH('Tabular Pop Data by Age'!$C$6,'Population Data by Age'!$B$6:$H$6,0))</f>
        <v>85000</v>
      </c>
      <c r="AJ155" s="78">
        <f>INDEX('Population Data by Age'!$B$7:$H$10366,MATCH(CONCATENATE('Tabular Pop Data by Age'!$C155,'Tabular Pop Data by Age'!AJ$7),'Population Data by Age'!$B$7:$B$10366,0),MATCH('Tabular Pop Data by Age'!$C$6,'Population Data by Age'!$B$6:$H$6,0))</f>
        <v>140000</v>
      </c>
      <c r="AK155" s="78">
        <f>INDEX('Population Data by Age'!$B$7:$H$10366,MATCH(CONCATENATE('Tabular Pop Data by Age'!$C155,'Tabular Pop Data by Age'!AK$7),'Population Data by Age'!$B$7:$B$10366,0),MATCH('Tabular Pop Data by Age'!$C$6,'Population Data by Age'!$B$6:$H$6,0))</f>
        <v>89000</v>
      </c>
      <c r="AL155" s="78">
        <f>INDEX('Population Data by Age'!$B$7:$H$10366,MATCH(CONCATENATE('Tabular Pop Data by Age'!$C155,'Tabular Pop Data by Age'!AL$7),'Population Data by Age'!$B$7:$B$10366,0),MATCH('Tabular Pop Data by Age'!$C$6,'Population Data by Age'!$B$6:$H$6,0))</f>
        <v>2682000</v>
      </c>
      <c r="AM155" s="78">
        <f>INDEX('Population Data by Age'!$B$7:$H$10366,MATCH(CONCATENATE('Tabular Pop Data by Age'!$C155,'Tabular Pop Data by Age'!AM$7),'Population Data by Age'!$B$7:$B$10366,0),MATCH('Tabular Pop Data by Age'!$C$6,'Population Data by Age'!$B$6:$H$6,0))</f>
        <v>2740000</v>
      </c>
      <c r="AN155" s="78">
        <f>INDEX('Population Data by Age'!$B$7:$H$10366,MATCH(CONCATENATE('Tabular Pop Data by Age'!$C155,'Tabular Pop Data by Age'!AN$7),'Population Data by Age'!$B$7:$B$10366,0),MATCH('Tabular Pop Data by Age'!$C$6,'Population Data by Age'!$B$6:$H$6,0))</f>
        <v>5422000</v>
      </c>
      <c r="AO155" s="78">
        <f>INDEX('Population Data by Age'!$B$7:$H$10366,MATCH(CONCATENATE('Tabular Pop Data by Age'!$C155,'Tabular Pop Data by Age'!AO$7),'Population Data by Age'!$B$7:$B$10366,0),MATCH('Tabular Pop Data by Age'!$C$6,'Population Data by Age'!$B$6:$H$6,0))</f>
        <v>0</v>
      </c>
      <c r="AP155" s="79">
        <f t="shared" si="34"/>
        <v>301000</v>
      </c>
      <c r="AQ155" s="79">
        <f t="shared" si="35"/>
        <v>312000</v>
      </c>
      <c r="AR155" s="79">
        <f t="shared" si="36"/>
        <v>321000</v>
      </c>
      <c r="AS155" s="79">
        <f t="shared" si="37"/>
        <v>321000</v>
      </c>
      <c r="AT155" s="79">
        <f t="shared" si="38"/>
        <v>353000</v>
      </c>
      <c r="AU155" s="79">
        <f t="shared" si="39"/>
        <v>373000</v>
      </c>
      <c r="AV155" s="79">
        <f t="shared" si="40"/>
        <v>376000</v>
      </c>
      <c r="AW155" s="79">
        <f t="shared" si="41"/>
        <v>362000</v>
      </c>
      <c r="AX155" s="79">
        <f t="shared" si="42"/>
        <v>347000</v>
      </c>
      <c r="AY155" s="79">
        <f t="shared" si="43"/>
        <v>378000</v>
      </c>
      <c r="AZ155" s="79">
        <f t="shared" si="44"/>
        <v>378000</v>
      </c>
      <c r="BA155" s="79">
        <f t="shared" si="45"/>
        <v>335000</v>
      </c>
      <c r="BB155" s="79">
        <f t="shared" si="46"/>
        <v>311000</v>
      </c>
      <c r="BC155" s="79">
        <f t="shared" si="47"/>
        <v>275000</v>
      </c>
      <c r="BD155" s="79">
        <f t="shared" si="48"/>
        <v>267000</v>
      </c>
      <c r="BE155" s="79">
        <f t="shared" si="49"/>
        <v>180000</v>
      </c>
      <c r="BF155" s="79">
        <f t="shared" si="50"/>
        <v>229000</v>
      </c>
    </row>
    <row r="156" spans="1:58" x14ac:dyDescent="0.25">
      <c r="A156" s="138" t="s">
        <v>1195</v>
      </c>
      <c r="B156" t="s">
        <v>599</v>
      </c>
      <c r="C156" t="s">
        <v>111</v>
      </c>
      <c r="D156" s="78">
        <f>INDEX('Population Data by Age'!$B$7:$H$10366,MATCH(CONCATENATE('Tabular Pop Data by Age'!$C156,'Tabular Pop Data by Age'!D$7),'Population Data by Age'!$B$7:$B$10366,0),MATCH('Tabular Pop Data by Age'!$C$6,'Population Data by Age'!$B$6:$H$6,0))</f>
        <v>222000</v>
      </c>
      <c r="E156" s="78">
        <f>INDEX('Population Data by Age'!$B$7:$H$10366,MATCH(CONCATENATE('Tabular Pop Data by Age'!$C156,'Tabular Pop Data by Age'!E$7),'Population Data by Age'!$B$7:$B$10366,0),MATCH('Tabular Pop Data by Age'!$C$6,'Population Data by Age'!$B$6:$H$6,0))</f>
        <v>232000</v>
      </c>
      <c r="F156" s="78">
        <f>INDEX('Population Data by Age'!$B$7:$H$10366,MATCH(CONCATENATE('Tabular Pop Data by Age'!$C156,'Tabular Pop Data by Age'!F$7),'Population Data by Age'!$B$7:$B$10366,0),MATCH('Tabular Pop Data by Age'!$C$6,'Population Data by Age'!$B$6:$H$6,0))</f>
        <v>187000</v>
      </c>
      <c r="G156" s="78">
        <f>INDEX('Population Data by Age'!$B$7:$H$10366,MATCH(CONCATENATE('Tabular Pop Data by Age'!$C156,'Tabular Pop Data by Age'!G$7),'Population Data by Age'!$B$7:$B$10366,0),MATCH('Tabular Pop Data by Age'!$C$6,'Population Data by Age'!$B$6:$H$6,0))</f>
        <v>192000</v>
      </c>
      <c r="H156" s="78">
        <f>INDEX('Population Data by Age'!$B$7:$H$10366,MATCH(CONCATENATE('Tabular Pop Data by Age'!$C156,'Tabular Pop Data by Age'!H$7),'Population Data by Age'!$B$7:$B$10366,0),MATCH('Tabular Pop Data by Age'!$C$6,'Population Data by Age'!$B$6:$H$6,0))</f>
        <v>150000</v>
      </c>
      <c r="I156" s="78">
        <f>INDEX('Population Data by Age'!$B$7:$H$10366,MATCH(CONCATENATE('Tabular Pop Data by Age'!$C156,'Tabular Pop Data by Age'!I$7),'Population Data by Age'!$B$7:$B$10366,0),MATCH('Tabular Pop Data by Age'!$C$6,'Population Data by Age'!$B$6:$H$6,0))</f>
        <v>166000</v>
      </c>
      <c r="J156" s="78">
        <f>INDEX('Population Data by Age'!$B$7:$H$10366,MATCH(CONCATENATE('Tabular Pop Data by Age'!$C156,'Tabular Pop Data by Age'!J$7),'Population Data by Age'!$B$7:$B$10366,0),MATCH('Tabular Pop Data by Age'!$C$6,'Population Data by Age'!$B$6:$H$6,0))</f>
        <v>121000</v>
      </c>
      <c r="K156" s="78">
        <f>INDEX('Population Data by Age'!$B$7:$H$10366,MATCH(CONCATENATE('Tabular Pop Data by Age'!$C156,'Tabular Pop Data by Age'!K$7),'Population Data by Age'!$B$7:$B$10366,0),MATCH('Tabular Pop Data by Age'!$C$6,'Population Data by Age'!$B$6:$H$6,0))</f>
        <v>94000</v>
      </c>
      <c r="L156" s="78">
        <f>INDEX('Population Data by Age'!$B$7:$H$10366,MATCH(CONCATENATE('Tabular Pop Data by Age'!$C156,'Tabular Pop Data by Age'!L$7),'Population Data by Age'!$B$7:$B$10366,0),MATCH('Tabular Pop Data by Age'!$C$6,'Population Data by Age'!$B$6:$H$6,0))</f>
        <v>129000</v>
      </c>
      <c r="M156" s="78">
        <f>INDEX('Population Data by Age'!$B$7:$H$10366,MATCH(CONCATENATE('Tabular Pop Data by Age'!$C156,'Tabular Pop Data by Age'!M$7),'Population Data by Age'!$B$7:$B$10366,0),MATCH('Tabular Pop Data by Age'!$C$6,'Population Data by Age'!$B$6:$H$6,0))</f>
        <v>200000</v>
      </c>
      <c r="N156" s="78">
        <f>INDEX('Population Data by Age'!$B$7:$H$10366,MATCH(CONCATENATE('Tabular Pop Data by Age'!$C156,'Tabular Pop Data by Age'!N$7),'Population Data by Age'!$B$7:$B$10366,0),MATCH('Tabular Pop Data by Age'!$C$6,'Population Data by Age'!$B$6:$H$6,0))</f>
        <v>177000</v>
      </c>
      <c r="O156" s="78">
        <f>INDEX('Population Data by Age'!$B$7:$H$10366,MATCH(CONCATENATE('Tabular Pop Data by Age'!$C156,'Tabular Pop Data by Age'!O$7),'Population Data by Age'!$B$7:$B$10366,0),MATCH('Tabular Pop Data by Age'!$C$6,'Population Data by Age'!$B$6:$H$6,0))</f>
        <v>580000</v>
      </c>
      <c r="P156" s="78">
        <f>INDEX('Population Data by Age'!$B$7:$H$10366,MATCH(CONCATENATE('Tabular Pop Data by Age'!$C156,'Tabular Pop Data by Age'!P$7),'Population Data by Age'!$B$7:$B$10366,0),MATCH('Tabular Pop Data by Age'!$C$6,'Population Data by Age'!$B$6:$H$6,0))</f>
        <v>199000</v>
      </c>
      <c r="Q156" s="78">
        <f>INDEX('Population Data by Age'!$B$7:$H$10366,MATCH(CONCATENATE('Tabular Pop Data by Age'!$C156,'Tabular Pop Data by Age'!Q$7),'Population Data by Age'!$B$7:$B$10366,0),MATCH('Tabular Pop Data by Age'!$C$6,'Population Data by Age'!$B$6:$H$6,0))</f>
        <v>669000</v>
      </c>
      <c r="R156" s="78">
        <f>INDEX('Population Data by Age'!$B$7:$H$10366,MATCH(CONCATENATE('Tabular Pop Data by Age'!$C156,'Tabular Pop Data by Age'!R$7),'Population Data by Age'!$B$7:$B$10366,0),MATCH('Tabular Pop Data by Age'!$C$6,'Population Data by Age'!$B$6:$H$6,0))</f>
        <v>160000</v>
      </c>
      <c r="S156" s="78">
        <f>INDEX('Population Data by Age'!$B$7:$H$10366,MATCH(CONCATENATE('Tabular Pop Data by Age'!$C156,'Tabular Pop Data by Age'!S$7),'Population Data by Age'!$B$7:$B$10366,0),MATCH('Tabular Pop Data by Age'!$C$6,'Population Data by Age'!$B$6:$H$6,0))</f>
        <v>411000</v>
      </c>
      <c r="T156" s="78">
        <f>INDEX('Population Data by Age'!$B$7:$H$10366,MATCH(CONCATENATE('Tabular Pop Data by Age'!$C156,'Tabular Pop Data by Age'!T$7),'Population Data by Age'!$B$7:$B$10366,0),MATCH('Tabular Pop Data by Age'!$C$6,'Population Data by Age'!$B$6:$H$6,0))</f>
        <v>116000</v>
      </c>
      <c r="U156" s="78">
        <f>INDEX('Population Data by Age'!$B$7:$H$10366,MATCH(CONCATENATE('Tabular Pop Data by Age'!$C156,'Tabular Pop Data by Age'!U$7),'Population Data by Age'!$B$7:$B$10366,0),MATCH('Tabular Pop Data by Age'!$C$6,'Population Data by Age'!$B$6:$H$6,0))</f>
        <v>284000</v>
      </c>
      <c r="V156" s="78">
        <f>INDEX('Population Data by Age'!$B$7:$H$10366,MATCH(CONCATENATE('Tabular Pop Data by Age'!$C156,'Tabular Pop Data by Age'!V$7),'Population Data by Age'!$B$7:$B$10366,0),MATCH('Tabular Pop Data by Age'!$C$6,'Population Data by Age'!$B$6:$H$6,0))</f>
        <v>78000</v>
      </c>
      <c r="W156" s="78">
        <f>INDEX('Population Data by Age'!$B$7:$H$10366,MATCH(CONCATENATE('Tabular Pop Data by Age'!$C156,'Tabular Pop Data by Age'!W$7),'Population Data by Age'!$B$7:$B$10366,0),MATCH('Tabular Pop Data by Age'!$C$6,'Population Data by Age'!$B$6:$H$6,0))</f>
        <v>206000</v>
      </c>
      <c r="X156" s="78">
        <f>INDEX('Population Data by Age'!$B$7:$H$10366,MATCH(CONCATENATE('Tabular Pop Data by Age'!$C156,'Tabular Pop Data by Age'!X$7),'Population Data by Age'!$B$7:$B$10366,0),MATCH('Tabular Pop Data by Age'!$C$6,'Population Data by Age'!$B$6:$H$6,0))</f>
        <v>58000</v>
      </c>
      <c r="Y156" s="78">
        <f>INDEX('Population Data by Age'!$B$7:$H$10366,MATCH(CONCATENATE('Tabular Pop Data by Age'!$C156,'Tabular Pop Data by Age'!Y$7),'Population Data by Age'!$B$7:$B$10366,0),MATCH('Tabular Pop Data by Age'!$C$6,'Population Data by Age'!$B$6:$H$6,0))</f>
        <v>124000</v>
      </c>
      <c r="Z156" s="78">
        <f>INDEX('Population Data by Age'!$B$7:$H$10366,MATCH(CONCATENATE('Tabular Pop Data by Age'!$C156,'Tabular Pop Data by Age'!Z$7),'Population Data by Age'!$B$7:$B$10366,0),MATCH('Tabular Pop Data by Age'!$C$6,'Population Data by Age'!$B$6:$H$6,0))</f>
        <v>40000</v>
      </c>
      <c r="AA156" s="78">
        <f>INDEX('Population Data by Age'!$B$7:$H$10366,MATCH(CONCATENATE('Tabular Pop Data by Age'!$C156,'Tabular Pop Data by Age'!AA$7),'Population Data by Age'!$B$7:$B$10366,0),MATCH('Tabular Pop Data by Age'!$C$6,'Population Data by Age'!$B$6:$H$6,0))</f>
        <v>94000</v>
      </c>
      <c r="AB156" s="78">
        <f>INDEX('Population Data by Age'!$B$7:$H$10366,MATCH(CONCATENATE('Tabular Pop Data by Age'!$C156,'Tabular Pop Data by Age'!AB$7),'Population Data by Age'!$B$7:$B$10366,0),MATCH('Tabular Pop Data by Age'!$C$6,'Population Data by Age'!$B$6:$H$6,0))</f>
        <v>33000</v>
      </c>
      <c r="AC156" s="78">
        <f>INDEX('Population Data by Age'!$B$7:$H$10366,MATCH(CONCATENATE('Tabular Pop Data by Age'!$C156,'Tabular Pop Data by Age'!AC$7),'Population Data by Age'!$B$7:$B$10366,0),MATCH('Tabular Pop Data by Age'!$C$6,'Population Data by Age'!$B$6:$H$6,0))</f>
        <v>57000</v>
      </c>
      <c r="AD156" s="78">
        <f>INDEX('Population Data by Age'!$B$7:$H$10366,MATCH(CONCATENATE('Tabular Pop Data by Age'!$C156,'Tabular Pop Data by Age'!AD$7),'Population Data by Age'!$B$7:$B$10366,0),MATCH('Tabular Pop Data by Age'!$C$6,'Population Data by Age'!$B$6:$H$6,0))</f>
        <v>26000</v>
      </c>
      <c r="AE156" s="78">
        <f>INDEX('Population Data by Age'!$B$7:$H$10366,MATCH(CONCATENATE('Tabular Pop Data by Age'!$C156,'Tabular Pop Data by Age'!AE$7),'Population Data by Age'!$B$7:$B$10366,0),MATCH('Tabular Pop Data by Age'!$C$6,'Population Data by Age'!$B$6:$H$6,0))</f>
        <v>28000</v>
      </c>
      <c r="AF156" s="78">
        <f>INDEX('Population Data by Age'!$B$7:$H$10366,MATCH(CONCATENATE('Tabular Pop Data by Age'!$C156,'Tabular Pop Data by Age'!AF$7),'Population Data by Age'!$B$7:$B$10366,0),MATCH('Tabular Pop Data by Age'!$C$6,'Population Data by Age'!$B$6:$H$6,0))</f>
        <v>17000</v>
      </c>
      <c r="AG156" s="78">
        <f>INDEX('Population Data by Age'!$B$7:$H$10366,MATCH(CONCATENATE('Tabular Pop Data by Age'!$C156,'Tabular Pop Data by Age'!AG$7),'Population Data by Age'!$B$7:$B$10366,0),MATCH('Tabular Pop Data by Age'!$C$6,'Population Data by Age'!$B$6:$H$6,0))</f>
        <v>12000</v>
      </c>
      <c r="AH156" s="78">
        <f>INDEX('Population Data by Age'!$B$7:$H$10366,MATCH(CONCATENATE('Tabular Pop Data by Age'!$C156,'Tabular Pop Data by Age'!AH$7),'Population Data by Age'!$B$7:$B$10366,0),MATCH('Tabular Pop Data by Age'!$C$6,'Population Data by Age'!$B$6:$H$6,0))</f>
        <v>13000</v>
      </c>
      <c r="AI156" s="78">
        <f>INDEX('Population Data by Age'!$B$7:$H$10366,MATCH(CONCATENATE('Tabular Pop Data by Age'!$C156,'Tabular Pop Data by Age'!AI$7),'Population Data by Age'!$B$7:$B$10366,0),MATCH('Tabular Pop Data by Age'!$C$6,'Population Data by Age'!$B$6:$H$6,0))</f>
        <v>12000</v>
      </c>
      <c r="AJ156" s="78">
        <f>INDEX('Population Data by Age'!$B$7:$H$10366,MATCH(CONCATENATE('Tabular Pop Data by Age'!$C156,'Tabular Pop Data by Age'!AJ$7),'Population Data by Age'!$B$7:$B$10366,0),MATCH('Tabular Pop Data by Age'!$C$6,'Population Data by Age'!$B$6:$H$6,0))</f>
        <v>11000</v>
      </c>
      <c r="AK156" s="78">
        <f>INDEX('Population Data by Age'!$B$7:$H$10366,MATCH(CONCATENATE('Tabular Pop Data by Age'!$C156,'Tabular Pop Data by Age'!AK$7),'Population Data by Age'!$B$7:$B$10366,0),MATCH('Tabular Pop Data by Age'!$C$6,'Population Data by Age'!$B$6:$H$6,0))</f>
        <v>11000</v>
      </c>
      <c r="AL156" s="78">
        <f>INDEX('Population Data by Age'!$B$7:$H$10366,MATCH(CONCATENATE('Tabular Pop Data by Age'!$C156,'Tabular Pop Data by Age'!AL$7),'Population Data by Age'!$B$7:$B$10366,0),MATCH('Tabular Pop Data by Age'!$C$6,'Population Data by Age'!$B$6:$H$6,0))</f>
        <v>1736000</v>
      </c>
      <c r="AM156" s="78">
        <f>INDEX('Population Data by Age'!$B$7:$H$10366,MATCH(CONCATENATE('Tabular Pop Data by Age'!$C156,'Tabular Pop Data by Age'!AM$7),'Population Data by Age'!$B$7:$B$10366,0),MATCH('Tabular Pop Data by Age'!$C$6,'Population Data by Age'!$B$6:$H$6,0))</f>
        <v>3370000</v>
      </c>
      <c r="AN156" s="78">
        <f>INDEX('Population Data by Age'!$B$7:$H$10366,MATCH(CONCATENATE('Tabular Pop Data by Age'!$C156,'Tabular Pop Data by Age'!AN$7),'Population Data by Age'!$B$7:$B$10366,0),MATCH('Tabular Pop Data by Age'!$C$6,'Population Data by Age'!$B$6:$H$6,0))</f>
        <v>5107000</v>
      </c>
      <c r="AO156" s="78">
        <f>INDEX('Population Data by Age'!$B$7:$H$10366,MATCH(CONCATENATE('Tabular Pop Data by Age'!$C156,'Tabular Pop Data by Age'!AO$7),'Population Data by Age'!$B$7:$B$10366,0),MATCH('Tabular Pop Data by Age'!$C$6,'Population Data by Age'!$B$6:$H$6,0))</f>
        <v>0</v>
      </c>
      <c r="AP156" s="79">
        <f t="shared" si="34"/>
        <v>454000</v>
      </c>
      <c r="AQ156" s="79">
        <f t="shared" si="35"/>
        <v>379000</v>
      </c>
      <c r="AR156" s="79">
        <f t="shared" si="36"/>
        <v>316000</v>
      </c>
      <c r="AS156" s="79">
        <f t="shared" si="37"/>
        <v>215000</v>
      </c>
      <c r="AT156" s="79">
        <f t="shared" si="38"/>
        <v>329000</v>
      </c>
      <c r="AU156" s="79">
        <f t="shared" si="39"/>
        <v>757000</v>
      </c>
      <c r="AV156" s="79">
        <f t="shared" si="40"/>
        <v>868000</v>
      </c>
      <c r="AW156" s="79">
        <f t="shared" si="41"/>
        <v>571000</v>
      </c>
      <c r="AX156" s="79">
        <f t="shared" si="42"/>
        <v>400000</v>
      </c>
      <c r="AY156" s="79">
        <f t="shared" si="43"/>
        <v>284000</v>
      </c>
      <c r="AZ156" s="79">
        <f t="shared" si="44"/>
        <v>182000</v>
      </c>
      <c r="BA156" s="79">
        <f t="shared" si="45"/>
        <v>134000</v>
      </c>
      <c r="BB156" s="79">
        <f t="shared" si="46"/>
        <v>90000</v>
      </c>
      <c r="BC156" s="79">
        <f t="shared" si="47"/>
        <v>54000</v>
      </c>
      <c r="BD156" s="79">
        <f t="shared" si="48"/>
        <v>29000</v>
      </c>
      <c r="BE156" s="79">
        <f t="shared" si="49"/>
        <v>25000</v>
      </c>
      <c r="BF156" s="79">
        <f t="shared" si="50"/>
        <v>22000</v>
      </c>
    </row>
    <row r="157" spans="1:58" x14ac:dyDescent="0.25">
      <c r="A157" s="138" t="s">
        <v>1195</v>
      </c>
      <c r="B157" t="s">
        <v>176</v>
      </c>
      <c r="C157" t="s">
        <v>112</v>
      </c>
      <c r="D157" s="78">
        <f>INDEX('Population Data by Age'!$B$7:$H$10366,MATCH(CONCATENATE('Tabular Pop Data by Age'!$C157,'Tabular Pop Data by Age'!D$7),'Population Data by Age'!$B$7:$B$10366,0),MATCH('Tabular Pop Data by Age'!$C$6,'Population Data by Age'!$B$6:$H$6,0))</f>
        <v>13454000</v>
      </c>
      <c r="E157" s="78">
        <f>INDEX('Population Data by Age'!$B$7:$H$10366,MATCH(CONCATENATE('Tabular Pop Data by Age'!$C157,'Tabular Pop Data by Age'!E$7),'Population Data by Age'!$B$7:$B$10366,0),MATCH('Tabular Pop Data by Age'!$C$6,'Population Data by Age'!$B$6:$H$6,0))</f>
        <v>14509000</v>
      </c>
      <c r="F157" s="78">
        <f>INDEX('Population Data by Age'!$B$7:$H$10366,MATCH(CONCATENATE('Tabular Pop Data by Age'!$C157,'Tabular Pop Data by Age'!F$7),'Population Data by Age'!$B$7:$B$10366,0),MATCH('Tabular Pop Data by Age'!$C$6,'Population Data by Age'!$B$6:$H$6,0))</f>
        <v>12273000</v>
      </c>
      <c r="G157" s="78">
        <f>INDEX('Population Data by Age'!$B$7:$H$10366,MATCH(CONCATENATE('Tabular Pop Data by Age'!$C157,'Tabular Pop Data by Age'!G$7),'Population Data by Age'!$B$7:$B$10366,0),MATCH('Tabular Pop Data by Age'!$C$6,'Population Data by Age'!$B$6:$H$6,0))</f>
        <v>13226000</v>
      </c>
      <c r="H157" s="78">
        <f>INDEX('Population Data by Age'!$B$7:$H$10366,MATCH(CONCATENATE('Tabular Pop Data by Age'!$C157,'Tabular Pop Data by Age'!H$7),'Population Data by Age'!$B$7:$B$10366,0),MATCH('Tabular Pop Data by Age'!$C$6,'Population Data by Age'!$B$6:$H$6,0))</f>
        <v>11297000</v>
      </c>
      <c r="I157" s="78">
        <f>INDEX('Population Data by Age'!$B$7:$H$10366,MATCH(CONCATENATE('Tabular Pop Data by Age'!$C157,'Tabular Pop Data by Age'!I$7),'Population Data by Age'!$B$7:$B$10366,0),MATCH('Tabular Pop Data by Age'!$C$6,'Population Data by Age'!$B$6:$H$6,0))</f>
        <v>12155000</v>
      </c>
      <c r="J157" s="78">
        <f>INDEX('Population Data by Age'!$B$7:$H$10366,MATCH(CONCATENATE('Tabular Pop Data by Age'!$C157,'Tabular Pop Data by Age'!J$7),'Population Data by Age'!$B$7:$B$10366,0),MATCH('Tabular Pop Data by Age'!$C$6,'Population Data by Age'!$B$6:$H$6,0))</f>
        <v>10533000</v>
      </c>
      <c r="K157" s="78">
        <f>INDEX('Population Data by Age'!$B$7:$H$10366,MATCH(CONCATENATE('Tabular Pop Data by Age'!$C157,'Tabular Pop Data by Age'!K$7),'Population Data by Age'!$B$7:$B$10366,0),MATCH('Tabular Pop Data by Age'!$C$6,'Population Data by Age'!$B$6:$H$6,0))</f>
        <v>11443000</v>
      </c>
      <c r="L157" s="78">
        <f>INDEX('Population Data by Age'!$B$7:$H$10366,MATCH(CONCATENATE('Tabular Pop Data by Age'!$C157,'Tabular Pop Data by Age'!L$7),'Population Data by Age'!$B$7:$B$10366,0),MATCH('Tabular Pop Data by Age'!$C$6,'Population Data by Age'!$B$6:$H$6,0))</f>
        <v>10030000</v>
      </c>
      <c r="M157" s="78">
        <f>INDEX('Population Data by Age'!$B$7:$H$10366,MATCH(CONCATENATE('Tabular Pop Data by Age'!$C157,'Tabular Pop Data by Age'!M$7),'Population Data by Age'!$B$7:$B$10366,0),MATCH('Tabular Pop Data by Age'!$C$6,'Population Data by Age'!$B$6:$H$6,0))</f>
        <v>10742000</v>
      </c>
      <c r="N157" s="78">
        <f>INDEX('Population Data by Age'!$B$7:$H$10366,MATCH(CONCATENATE('Tabular Pop Data by Age'!$C157,'Tabular Pop Data by Age'!N$7),'Population Data by Age'!$B$7:$B$10366,0),MATCH('Tabular Pop Data by Age'!$C$6,'Population Data by Age'!$B$6:$H$6,0))</f>
        <v>9337000</v>
      </c>
      <c r="O157" s="78">
        <f>INDEX('Population Data by Age'!$B$7:$H$10366,MATCH(CONCATENATE('Tabular Pop Data by Age'!$C157,'Tabular Pop Data by Age'!O$7),'Population Data by Age'!$B$7:$B$10366,0),MATCH('Tabular Pop Data by Age'!$C$6,'Population Data by Age'!$B$6:$H$6,0))</f>
        <v>9821000</v>
      </c>
      <c r="P157" s="78">
        <f>INDEX('Population Data by Age'!$B$7:$H$10366,MATCH(CONCATENATE('Tabular Pop Data by Age'!$C157,'Tabular Pop Data by Age'!P$7),'Population Data by Age'!$B$7:$B$10366,0),MATCH('Tabular Pop Data by Age'!$C$6,'Population Data by Age'!$B$6:$H$6,0))</f>
        <v>8221000</v>
      </c>
      <c r="Q157" s="78">
        <f>INDEX('Population Data by Age'!$B$7:$H$10366,MATCH(CONCATENATE('Tabular Pop Data by Age'!$C157,'Tabular Pop Data by Age'!Q$7),'Population Data by Age'!$B$7:$B$10366,0),MATCH('Tabular Pop Data by Age'!$C$6,'Population Data by Age'!$B$6:$H$6,0))</f>
        <v>8597000</v>
      </c>
      <c r="R157" s="78">
        <f>INDEX('Population Data by Age'!$B$7:$H$10366,MATCH(CONCATENATE('Tabular Pop Data by Age'!$C157,'Tabular Pop Data by Age'!R$7),'Population Data by Age'!$B$7:$B$10366,0),MATCH('Tabular Pop Data by Age'!$C$6,'Population Data by Age'!$B$6:$H$6,0))</f>
        <v>6853000</v>
      </c>
      <c r="S157" s="78">
        <f>INDEX('Population Data by Age'!$B$7:$H$10366,MATCH(CONCATENATE('Tabular Pop Data by Age'!$C157,'Tabular Pop Data by Age'!S$7),'Population Data by Age'!$B$7:$B$10366,0),MATCH('Tabular Pop Data by Age'!$C$6,'Population Data by Age'!$B$6:$H$6,0))</f>
        <v>7144000</v>
      </c>
      <c r="T157" s="78">
        <f>INDEX('Population Data by Age'!$B$7:$H$10366,MATCH(CONCATENATE('Tabular Pop Data by Age'!$C157,'Tabular Pop Data by Age'!T$7),'Population Data by Age'!$B$7:$B$10366,0),MATCH('Tabular Pop Data by Age'!$C$6,'Population Data by Age'!$B$6:$H$6,0))</f>
        <v>5693000</v>
      </c>
      <c r="U157" s="78">
        <f>INDEX('Population Data by Age'!$B$7:$H$10366,MATCH(CONCATENATE('Tabular Pop Data by Age'!$C157,'Tabular Pop Data by Age'!U$7),'Population Data by Age'!$B$7:$B$10366,0),MATCH('Tabular Pop Data by Age'!$C$6,'Population Data by Age'!$B$6:$H$6,0))</f>
        <v>5923000</v>
      </c>
      <c r="V157" s="78">
        <f>INDEX('Population Data by Age'!$B$7:$H$10366,MATCH(CONCATENATE('Tabular Pop Data by Age'!$C157,'Tabular Pop Data by Age'!V$7),'Population Data by Age'!$B$7:$B$10366,0),MATCH('Tabular Pop Data by Age'!$C$6,'Population Data by Age'!$B$6:$H$6,0))</f>
        <v>4728000</v>
      </c>
      <c r="W157" s="78">
        <f>INDEX('Population Data by Age'!$B$7:$H$10366,MATCH(CONCATENATE('Tabular Pop Data by Age'!$C157,'Tabular Pop Data by Age'!W$7),'Population Data by Age'!$B$7:$B$10366,0),MATCH('Tabular Pop Data by Age'!$C$6,'Population Data by Age'!$B$6:$H$6,0))</f>
        <v>4905000</v>
      </c>
      <c r="X157" s="78">
        <f>INDEX('Population Data by Age'!$B$7:$H$10366,MATCH(CONCATENATE('Tabular Pop Data by Age'!$C157,'Tabular Pop Data by Age'!X$7),'Population Data by Age'!$B$7:$B$10366,0),MATCH('Tabular Pop Data by Age'!$C$6,'Population Data by Age'!$B$6:$H$6,0))</f>
        <v>4054000</v>
      </c>
      <c r="Y157" s="78">
        <f>INDEX('Population Data by Age'!$B$7:$H$10366,MATCH(CONCATENATE('Tabular Pop Data by Age'!$C157,'Tabular Pop Data by Age'!Y$7),'Population Data by Age'!$B$7:$B$10366,0),MATCH('Tabular Pop Data by Age'!$C$6,'Population Data by Age'!$B$6:$H$6,0))</f>
        <v>4177000</v>
      </c>
      <c r="Z157" s="78">
        <f>INDEX('Population Data by Age'!$B$7:$H$10366,MATCH(CONCATENATE('Tabular Pop Data by Age'!$C157,'Tabular Pop Data by Age'!Z$7),'Population Data by Age'!$B$7:$B$10366,0),MATCH('Tabular Pop Data by Age'!$C$6,'Population Data by Age'!$B$6:$H$6,0))</f>
        <v>3406000</v>
      </c>
      <c r="AA157" s="78">
        <f>INDEX('Population Data by Age'!$B$7:$H$10366,MATCH(CONCATENATE('Tabular Pop Data by Age'!$C157,'Tabular Pop Data by Age'!AA$7),'Population Data by Age'!$B$7:$B$10366,0),MATCH('Tabular Pop Data by Age'!$C$6,'Population Data by Age'!$B$6:$H$6,0))</f>
        <v>3486000</v>
      </c>
      <c r="AB157" s="78">
        <f>INDEX('Population Data by Age'!$B$7:$H$10366,MATCH(CONCATENATE('Tabular Pop Data by Age'!$C157,'Tabular Pop Data by Age'!AB$7),'Population Data by Age'!$B$7:$B$10366,0),MATCH('Tabular Pop Data by Age'!$C$6,'Population Data by Age'!$B$6:$H$6,0))</f>
        <v>2613000</v>
      </c>
      <c r="AC157" s="78">
        <f>INDEX('Population Data by Age'!$B$7:$H$10366,MATCH(CONCATENATE('Tabular Pop Data by Age'!$C157,'Tabular Pop Data by Age'!AC$7),'Population Data by Age'!$B$7:$B$10366,0),MATCH('Tabular Pop Data by Age'!$C$6,'Population Data by Age'!$B$6:$H$6,0))</f>
        <v>2666000</v>
      </c>
      <c r="AD157" s="78">
        <f>INDEX('Population Data by Age'!$B$7:$H$10366,MATCH(CONCATENATE('Tabular Pop Data by Age'!$C157,'Tabular Pop Data by Age'!AD$7),'Population Data by Age'!$B$7:$B$10366,0),MATCH('Tabular Pop Data by Age'!$C$6,'Population Data by Age'!$B$6:$H$6,0))</f>
        <v>1802000</v>
      </c>
      <c r="AE157" s="78">
        <f>INDEX('Population Data by Age'!$B$7:$H$10366,MATCH(CONCATENATE('Tabular Pop Data by Age'!$C157,'Tabular Pop Data by Age'!AE$7),'Population Data by Age'!$B$7:$B$10366,0),MATCH('Tabular Pop Data by Age'!$C$6,'Population Data by Age'!$B$6:$H$6,0))</f>
        <v>1821000</v>
      </c>
      <c r="AF157" s="78">
        <f>INDEX('Population Data by Age'!$B$7:$H$10366,MATCH(CONCATENATE('Tabular Pop Data by Age'!$C157,'Tabular Pop Data by Age'!AF$7),'Population Data by Age'!$B$7:$B$10366,0),MATCH('Tabular Pop Data by Age'!$C$6,'Population Data by Age'!$B$6:$H$6,0))</f>
        <v>1334000</v>
      </c>
      <c r="AG157" s="78">
        <f>INDEX('Population Data by Age'!$B$7:$H$10366,MATCH(CONCATENATE('Tabular Pop Data by Age'!$C157,'Tabular Pop Data by Age'!AG$7),'Population Data by Age'!$B$7:$B$10366,0),MATCH('Tabular Pop Data by Age'!$C$6,'Population Data by Age'!$B$6:$H$6,0))</f>
        <v>1372000</v>
      </c>
      <c r="AH157" s="78">
        <f>INDEX('Population Data by Age'!$B$7:$H$10366,MATCH(CONCATENATE('Tabular Pop Data by Age'!$C157,'Tabular Pop Data by Age'!AH$7),'Population Data by Age'!$B$7:$B$10366,0),MATCH('Tabular Pop Data by Age'!$C$6,'Population Data by Age'!$B$6:$H$6,0))</f>
        <v>914000</v>
      </c>
      <c r="AI157" s="78">
        <f>INDEX('Population Data by Age'!$B$7:$H$10366,MATCH(CONCATENATE('Tabular Pop Data by Age'!$C157,'Tabular Pop Data by Age'!AI$7),'Population Data by Age'!$B$7:$B$10366,0),MATCH('Tabular Pop Data by Age'!$C$6,'Population Data by Age'!$B$6:$H$6,0))</f>
        <v>940000</v>
      </c>
      <c r="AJ157" s="78">
        <f>INDEX('Population Data by Age'!$B$7:$H$10366,MATCH(CONCATENATE('Tabular Pop Data by Age'!$C157,'Tabular Pop Data by Age'!AJ$7),'Population Data by Age'!$B$7:$B$10366,0),MATCH('Tabular Pop Data by Age'!$C$6,'Population Data by Age'!$B$6:$H$6,0))</f>
        <v>679000</v>
      </c>
      <c r="AK157" s="78">
        <f>INDEX('Population Data by Age'!$B$7:$H$10366,MATCH(CONCATENATE('Tabular Pop Data by Age'!$C157,'Tabular Pop Data by Age'!AK$7),'Population Data by Age'!$B$7:$B$10366,0),MATCH('Tabular Pop Data by Age'!$C$6,'Population Data by Age'!$B$6:$H$6,0))</f>
        <v>744000</v>
      </c>
      <c r="AL157" s="78">
        <f>INDEX('Population Data by Age'!$B$7:$H$10366,MATCH(CONCATENATE('Tabular Pop Data by Age'!$C157,'Tabular Pop Data by Age'!AL$7),'Population Data by Age'!$B$7:$B$10366,0),MATCH('Tabular Pop Data by Age'!$C$6,'Population Data by Age'!$B$6:$H$6,0))</f>
        <v>107220000</v>
      </c>
      <c r="AM157" s="78">
        <f>INDEX('Population Data by Age'!$B$7:$H$10366,MATCH(CONCATENATE('Tabular Pop Data by Age'!$C157,'Tabular Pop Data by Age'!AM$7),'Population Data by Age'!$B$7:$B$10366,0),MATCH('Tabular Pop Data by Age'!$C$6,'Population Data by Age'!$B$6:$H$6,0))</f>
        <v>113672000</v>
      </c>
      <c r="AN157" s="78">
        <f>INDEX('Population Data by Age'!$B$7:$H$10366,MATCH(CONCATENATE('Tabular Pop Data by Age'!$C157,'Tabular Pop Data by Age'!AN$7),'Population Data by Age'!$B$7:$B$10366,0),MATCH('Tabular Pop Data by Age'!$C$6,'Population Data by Age'!$B$6:$H$6,0))</f>
        <v>220892000</v>
      </c>
      <c r="AO157" s="78">
        <f>INDEX('Population Data by Age'!$B$7:$H$10366,MATCH(CONCATENATE('Tabular Pop Data by Age'!$C157,'Tabular Pop Data by Age'!AO$7),'Population Data by Age'!$B$7:$B$10366,0),MATCH('Tabular Pop Data by Age'!$C$6,'Population Data by Age'!$B$6:$H$6,0))</f>
        <v>0</v>
      </c>
      <c r="AP157" s="79">
        <f t="shared" si="34"/>
        <v>27963000</v>
      </c>
      <c r="AQ157" s="79">
        <f t="shared" si="35"/>
        <v>25499000</v>
      </c>
      <c r="AR157" s="79">
        <f t="shared" si="36"/>
        <v>23452000</v>
      </c>
      <c r="AS157" s="79">
        <f t="shared" si="37"/>
        <v>21976000</v>
      </c>
      <c r="AT157" s="79">
        <f t="shared" si="38"/>
        <v>20772000</v>
      </c>
      <c r="AU157" s="79">
        <f t="shared" si="39"/>
        <v>19158000</v>
      </c>
      <c r="AV157" s="79">
        <f t="shared" si="40"/>
        <v>16818000</v>
      </c>
      <c r="AW157" s="79">
        <f t="shared" si="41"/>
        <v>13997000</v>
      </c>
      <c r="AX157" s="79">
        <f t="shared" si="42"/>
        <v>11616000</v>
      </c>
      <c r="AY157" s="79">
        <f t="shared" si="43"/>
        <v>9633000</v>
      </c>
      <c r="AZ157" s="79">
        <f t="shared" si="44"/>
        <v>8231000</v>
      </c>
      <c r="BA157" s="79">
        <f t="shared" si="45"/>
        <v>6892000</v>
      </c>
      <c r="BB157" s="79">
        <f t="shared" si="46"/>
        <v>5279000</v>
      </c>
      <c r="BC157" s="79">
        <f t="shared" si="47"/>
        <v>3623000</v>
      </c>
      <c r="BD157" s="79">
        <f t="shared" si="48"/>
        <v>2706000</v>
      </c>
      <c r="BE157" s="79">
        <f t="shared" si="49"/>
        <v>1854000</v>
      </c>
      <c r="BF157" s="79">
        <f t="shared" si="50"/>
        <v>1423000</v>
      </c>
    </row>
    <row r="158" spans="1:58" x14ac:dyDescent="0.25">
      <c r="A158" s="138" t="s">
        <v>1195</v>
      </c>
      <c r="B158" t="s">
        <v>604</v>
      </c>
      <c r="C158" t="s">
        <v>605</v>
      </c>
      <c r="D158" s="78">
        <f>INDEX('Population Data by Age'!$B$7:$H$10366,MATCH(CONCATENATE('Tabular Pop Data by Age'!$C158,'Tabular Pop Data by Age'!D$7),'Population Data by Age'!$B$7:$B$10366,0),MATCH('Tabular Pop Data by Age'!$C$6,'Population Data by Age'!$B$6:$H$6,0))</f>
        <v>0</v>
      </c>
      <c r="E158" s="78">
        <f>INDEX('Population Data by Age'!$B$7:$H$10366,MATCH(CONCATENATE('Tabular Pop Data by Age'!$C158,'Tabular Pop Data by Age'!E$7),'Population Data by Age'!$B$7:$B$10366,0),MATCH('Tabular Pop Data by Age'!$C$6,'Population Data by Age'!$B$6:$H$6,0))</f>
        <v>0</v>
      </c>
      <c r="F158" s="78">
        <f>INDEX('Population Data by Age'!$B$7:$H$10366,MATCH(CONCATENATE('Tabular Pop Data by Age'!$C158,'Tabular Pop Data by Age'!F$7),'Population Data by Age'!$B$7:$B$10366,0),MATCH('Tabular Pop Data by Age'!$C$6,'Population Data by Age'!$B$6:$H$6,0))</f>
        <v>0</v>
      </c>
      <c r="G158" s="78">
        <f>INDEX('Population Data by Age'!$B$7:$H$10366,MATCH(CONCATENATE('Tabular Pop Data by Age'!$C158,'Tabular Pop Data by Age'!G$7),'Population Data by Age'!$B$7:$B$10366,0),MATCH('Tabular Pop Data by Age'!$C$6,'Population Data by Age'!$B$6:$H$6,0))</f>
        <v>0</v>
      </c>
      <c r="H158" s="78">
        <f>INDEX('Population Data by Age'!$B$7:$H$10366,MATCH(CONCATENATE('Tabular Pop Data by Age'!$C158,'Tabular Pop Data by Age'!H$7),'Population Data by Age'!$B$7:$B$10366,0),MATCH('Tabular Pop Data by Age'!$C$6,'Population Data by Age'!$B$6:$H$6,0))</f>
        <v>0</v>
      </c>
      <c r="I158" s="78">
        <f>INDEX('Population Data by Age'!$B$7:$H$10366,MATCH(CONCATENATE('Tabular Pop Data by Age'!$C158,'Tabular Pop Data by Age'!I$7),'Population Data by Age'!$B$7:$B$10366,0),MATCH('Tabular Pop Data by Age'!$C$6,'Population Data by Age'!$B$6:$H$6,0))</f>
        <v>0</v>
      </c>
      <c r="J158" s="78">
        <f>INDEX('Population Data by Age'!$B$7:$H$10366,MATCH(CONCATENATE('Tabular Pop Data by Age'!$C158,'Tabular Pop Data by Age'!J$7),'Population Data by Age'!$B$7:$B$10366,0),MATCH('Tabular Pop Data by Age'!$C$6,'Population Data by Age'!$B$6:$H$6,0))</f>
        <v>0</v>
      </c>
      <c r="K158" s="78">
        <f>INDEX('Population Data by Age'!$B$7:$H$10366,MATCH(CONCATENATE('Tabular Pop Data by Age'!$C158,'Tabular Pop Data by Age'!K$7),'Population Data by Age'!$B$7:$B$10366,0),MATCH('Tabular Pop Data by Age'!$C$6,'Population Data by Age'!$B$6:$H$6,0))</f>
        <v>0</v>
      </c>
      <c r="L158" s="78">
        <f>INDEX('Population Data by Age'!$B$7:$H$10366,MATCH(CONCATENATE('Tabular Pop Data by Age'!$C158,'Tabular Pop Data by Age'!L$7),'Population Data by Age'!$B$7:$B$10366,0),MATCH('Tabular Pop Data by Age'!$C$6,'Population Data by Age'!$B$6:$H$6,0))</f>
        <v>0</v>
      </c>
      <c r="M158" s="78">
        <f>INDEX('Population Data by Age'!$B$7:$H$10366,MATCH(CONCATENATE('Tabular Pop Data by Age'!$C158,'Tabular Pop Data by Age'!M$7),'Population Data by Age'!$B$7:$B$10366,0),MATCH('Tabular Pop Data by Age'!$C$6,'Population Data by Age'!$B$6:$H$6,0))</f>
        <v>0</v>
      </c>
      <c r="N158" s="78">
        <f>INDEX('Population Data by Age'!$B$7:$H$10366,MATCH(CONCATENATE('Tabular Pop Data by Age'!$C158,'Tabular Pop Data by Age'!N$7),'Population Data by Age'!$B$7:$B$10366,0),MATCH('Tabular Pop Data by Age'!$C$6,'Population Data by Age'!$B$6:$H$6,0))</f>
        <v>0</v>
      </c>
      <c r="O158" s="78">
        <f>INDEX('Population Data by Age'!$B$7:$H$10366,MATCH(CONCATENATE('Tabular Pop Data by Age'!$C158,'Tabular Pop Data by Age'!O$7),'Population Data by Age'!$B$7:$B$10366,0),MATCH('Tabular Pop Data by Age'!$C$6,'Population Data by Age'!$B$6:$H$6,0))</f>
        <v>0</v>
      </c>
      <c r="P158" s="78">
        <f>INDEX('Population Data by Age'!$B$7:$H$10366,MATCH(CONCATENATE('Tabular Pop Data by Age'!$C158,'Tabular Pop Data by Age'!P$7),'Population Data by Age'!$B$7:$B$10366,0),MATCH('Tabular Pop Data by Age'!$C$6,'Population Data by Age'!$B$6:$H$6,0))</f>
        <v>0</v>
      </c>
      <c r="Q158" s="78">
        <f>INDEX('Population Data by Age'!$B$7:$H$10366,MATCH(CONCATENATE('Tabular Pop Data by Age'!$C158,'Tabular Pop Data by Age'!Q$7),'Population Data by Age'!$B$7:$B$10366,0),MATCH('Tabular Pop Data by Age'!$C$6,'Population Data by Age'!$B$6:$H$6,0))</f>
        <v>0</v>
      </c>
      <c r="R158" s="78">
        <f>INDEX('Population Data by Age'!$B$7:$H$10366,MATCH(CONCATENATE('Tabular Pop Data by Age'!$C158,'Tabular Pop Data by Age'!R$7),'Population Data by Age'!$B$7:$B$10366,0),MATCH('Tabular Pop Data by Age'!$C$6,'Population Data by Age'!$B$6:$H$6,0))</f>
        <v>0</v>
      </c>
      <c r="S158" s="78">
        <f>INDEX('Population Data by Age'!$B$7:$H$10366,MATCH(CONCATENATE('Tabular Pop Data by Age'!$C158,'Tabular Pop Data by Age'!S$7),'Population Data by Age'!$B$7:$B$10366,0),MATCH('Tabular Pop Data by Age'!$C$6,'Population Data by Age'!$B$6:$H$6,0))</f>
        <v>0</v>
      </c>
      <c r="T158" s="78">
        <f>INDEX('Population Data by Age'!$B$7:$H$10366,MATCH(CONCATENATE('Tabular Pop Data by Age'!$C158,'Tabular Pop Data by Age'!T$7),'Population Data by Age'!$B$7:$B$10366,0),MATCH('Tabular Pop Data by Age'!$C$6,'Population Data by Age'!$B$6:$H$6,0))</f>
        <v>0</v>
      </c>
      <c r="U158" s="78">
        <f>INDEX('Population Data by Age'!$B$7:$H$10366,MATCH(CONCATENATE('Tabular Pop Data by Age'!$C158,'Tabular Pop Data by Age'!U$7),'Population Data by Age'!$B$7:$B$10366,0),MATCH('Tabular Pop Data by Age'!$C$6,'Population Data by Age'!$B$6:$H$6,0))</f>
        <v>0</v>
      </c>
      <c r="V158" s="78">
        <f>INDEX('Population Data by Age'!$B$7:$H$10366,MATCH(CONCATENATE('Tabular Pop Data by Age'!$C158,'Tabular Pop Data by Age'!V$7),'Population Data by Age'!$B$7:$B$10366,0),MATCH('Tabular Pop Data by Age'!$C$6,'Population Data by Age'!$B$6:$H$6,0))</f>
        <v>0</v>
      </c>
      <c r="W158" s="78">
        <f>INDEX('Population Data by Age'!$B$7:$H$10366,MATCH(CONCATENATE('Tabular Pop Data by Age'!$C158,'Tabular Pop Data by Age'!W$7),'Population Data by Age'!$B$7:$B$10366,0),MATCH('Tabular Pop Data by Age'!$C$6,'Population Data by Age'!$B$6:$H$6,0))</f>
        <v>0</v>
      </c>
      <c r="X158" s="78">
        <f>INDEX('Population Data by Age'!$B$7:$H$10366,MATCH(CONCATENATE('Tabular Pop Data by Age'!$C158,'Tabular Pop Data by Age'!X$7),'Population Data by Age'!$B$7:$B$10366,0),MATCH('Tabular Pop Data by Age'!$C$6,'Population Data by Age'!$B$6:$H$6,0))</f>
        <v>0</v>
      </c>
      <c r="Y158" s="78">
        <f>INDEX('Population Data by Age'!$B$7:$H$10366,MATCH(CONCATENATE('Tabular Pop Data by Age'!$C158,'Tabular Pop Data by Age'!Y$7),'Population Data by Age'!$B$7:$B$10366,0),MATCH('Tabular Pop Data by Age'!$C$6,'Population Data by Age'!$B$6:$H$6,0))</f>
        <v>0</v>
      </c>
      <c r="Z158" s="78">
        <f>INDEX('Population Data by Age'!$B$7:$H$10366,MATCH(CONCATENATE('Tabular Pop Data by Age'!$C158,'Tabular Pop Data by Age'!Z$7),'Population Data by Age'!$B$7:$B$10366,0),MATCH('Tabular Pop Data by Age'!$C$6,'Population Data by Age'!$B$6:$H$6,0))</f>
        <v>0</v>
      </c>
      <c r="AA158" s="78">
        <f>INDEX('Population Data by Age'!$B$7:$H$10366,MATCH(CONCATENATE('Tabular Pop Data by Age'!$C158,'Tabular Pop Data by Age'!AA$7),'Population Data by Age'!$B$7:$B$10366,0),MATCH('Tabular Pop Data by Age'!$C$6,'Population Data by Age'!$B$6:$H$6,0))</f>
        <v>0</v>
      </c>
      <c r="AB158" s="78">
        <f>INDEX('Population Data by Age'!$B$7:$H$10366,MATCH(CONCATENATE('Tabular Pop Data by Age'!$C158,'Tabular Pop Data by Age'!AB$7),'Population Data by Age'!$B$7:$B$10366,0),MATCH('Tabular Pop Data by Age'!$C$6,'Population Data by Age'!$B$6:$H$6,0))</f>
        <v>0</v>
      </c>
      <c r="AC158" s="78">
        <f>INDEX('Population Data by Age'!$B$7:$H$10366,MATCH(CONCATENATE('Tabular Pop Data by Age'!$C158,'Tabular Pop Data by Age'!AC$7),'Population Data by Age'!$B$7:$B$10366,0),MATCH('Tabular Pop Data by Age'!$C$6,'Population Data by Age'!$B$6:$H$6,0))</f>
        <v>0</v>
      </c>
      <c r="AD158" s="78">
        <f>INDEX('Population Data by Age'!$B$7:$H$10366,MATCH(CONCATENATE('Tabular Pop Data by Age'!$C158,'Tabular Pop Data by Age'!AD$7),'Population Data by Age'!$B$7:$B$10366,0),MATCH('Tabular Pop Data by Age'!$C$6,'Population Data by Age'!$B$6:$H$6,0))</f>
        <v>0</v>
      </c>
      <c r="AE158" s="78">
        <f>INDEX('Population Data by Age'!$B$7:$H$10366,MATCH(CONCATENATE('Tabular Pop Data by Age'!$C158,'Tabular Pop Data by Age'!AE$7),'Population Data by Age'!$B$7:$B$10366,0),MATCH('Tabular Pop Data by Age'!$C$6,'Population Data by Age'!$B$6:$H$6,0))</f>
        <v>0</v>
      </c>
      <c r="AF158" s="78">
        <f>INDEX('Population Data by Age'!$B$7:$H$10366,MATCH(CONCATENATE('Tabular Pop Data by Age'!$C158,'Tabular Pop Data by Age'!AF$7),'Population Data by Age'!$B$7:$B$10366,0),MATCH('Tabular Pop Data by Age'!$C$6,'Population Data by Age'!$B$6:$H$6,0))</f>
        <v>0</v>
      </c>
      <c r="AG158" s="78">
        <f>INDEX('Population Data by Age'!$B$7:$H$10366,MATCH(CONCATENATE('Tabular Pop Data by Age'!$C158,'Tabular Pop Data by Age'!AG$7),'Population Data by Age'!$B$7:$B$10366,0),MATCH('Tabular Pop Data by Age'!$C$6,'Population Data by Age'!$B$6:$H$6,0))</f>
        <v>0</v>
      </c>
      <c r="AH158" s="78">
        <f>INDEX('Population Data by Age'!$B$7:$H$10366,MATCH(CONCATENATE('Tabular Pop Data by Age'!$C158,'Tabular Pop Data by Age'!AH$7),'Population Data by Age'!$B$7:$B$10366,0),MATCH('Tabular Pop Data by Age'!$C$6,'Population Data by Age'!$B$6:$H$6,0))</f>
        <v>0</v>
      </c>
      <c r="AI158" s="78">
        <f>INDEX('Population Data by Age'!$B$7:$H$10366,MATCH(CONCATENATE('Tabular Pop Data by Age'!$C158,'Tabular Pop Data by Age'!AI$7),'Population Data by Age'!$B$7:$B$10366,0),MATCH('Tabular Pop Data by Age'!$C$6,'Population Data by Age'!$B$6:$H$6,0))</f>
        <v>0</v>
      </c>
      <c r="AJ158" s="78">
        <f>INDEX('Population Data by Age'!$B$7:$H$10366,MATCH(CONCATENATE('Tabular Pop Data by Age'!$C158,'Tabular Pop Data by Age'!AJ$7),'Population Data by Age'!$B$7:$B$10366,0),MATCH('Tabular Pop Data by Age'!$C$6,'Population Data by Age'!$B$6:$H$6,0))</f>
        <v>0</v>
      </c>
      <c r="AK158" s="78">
        <f>INDEX('Population Data by Age'!$B$7:$H$10366,MATCH(CONCATENATE('Tabular Pop Data by Age'!$C158,'Tabular Pop Data by Age'!AK$7),'Population Data by Age'!$B$7:$B$10366,0),MATCH('Tabular Pop Data by Age'!$C$6,'Population Data by Age'!$B$6:$H$6,0))</f>
        <v>0</v>
      </c>
      <c r="AL158" s="78">
        <f>INDEX('Population Data by Age'!$B$7:$H$10366,MATCH(CONCATENATE('Tabular Pop Data by Age'!$C158,'Tabular Pop Data by Age'!AL$7),'Population Data by Age'!$B$7:$B$10366,0),MATCH('Tabular Pop Data by Age'!$C$6,'Population Data by Age'!$B$6:$H$6,0))</f>
        <v>0</v>
      </c>
      <c r="AM158" s="78">
        <f>INDEX('Population Data by Age'!$B$7:$H$10366,MATCH(CONCATENATE('Tabular Pop Data by Age'!$C158,'Tabular Pop Data by Age'!AM$7),'Population Data by Age'!$B$7:$B$10366,0),MATCH('Tabular Pop Data by Age'!$C$6,'Population Data by Age'!$B$6:$H$6,0))</f>
        <v>0</v>
      </c>
      <c r="AN158" s="78">
        <f>INDEX('Population Data by Age'!$B$7:$H$10366,MATCH(CONCATENATE('Tabular Pop Data by Age'!$C158,'Tabular Pop Data by Age'!AN$7),'Population Data by Age'!$B$7:$B$10366,0),MATCH('Tabular Pop Data by Age'!$C$6,'Population Data by Age'!$B$6:$H$6,0))</f>
        <v>18000</v>
      </c>
      <c r="AO158" s="78">
        <f>INDEX('Population Data by Age'!$B$7:$H$10366,MATCH(CONCATENATE('Tabular Pop Data by Age'!$C158,'Tabular Pop Data by Age'!AO$7),'Population Data by Age'!$B$7:$B$10366,0),MATCH('Tabular Pop Data by Age'!$C$6,'Population Data by Age'!$B$6:$H$6,0))</f>
        <v>0</v>
      </c>
      <c r="AP158" s="79">
        <f t="shared" si="34"/>
        <v>0</v>
      </c>
      <c r="AQ158" s="79">
        <f t="shared" si="35"/>
        <v>0</v>
      </c>
      <c r="AR158" s="79">
        <f t="shared" si="36"/>
        <v>0</v>
      </c>
      <c r="AS158" s="79">
        <f t="shared" si="37"/>
        <v>0</v>
      </c>
      <c r="AT158" s="79">
        <f t="shared" si="38"/>
        <v>0</v>
      </c>
      <c r="AU158" s="79">
        <f t="shared" si="39"/>
        <v>0</v>
      </c>
      <c r="AV158" s="79">
        <f t="shared" si="40"/>
        <v>0</v>
      </c>
      <c r="AW158" s="79">
        <f t="shared" si="41"/>
        <v>0</v>
      </c>
      <c r="AX158" s="79">
        <f t="shared" si="42"/>
        <v>0</v>
      </c>
      <c r="AY158" s="79">
        <f t="shared" si="43"/>
        <v>0</v>
      </c>
      <c r="AZ158" s="79">
        <f t="shared" si="44"/>
        <v>0</v>
      </c>
      <c r="BA158" s="79">
        <f t="shared" si="45"/>
        <v>0</v>
      </c>
      <c r="BB158" s="79">
        <f t="shared" si="46"/>
        <v>0</v>
      </c>
      <c r="BC158" s="79">
        <f t="shared" si="47"/>
        <v>0</v>
      </c>
      <c r="BD158" s="79">
        <f t="shared" si="48"/>
        <v>0</v>
      </c>
      <c r="BE158" s="79">
        <f t="shared" si="49"/>
        <v>0</v>
      </c>
      <c r="BF158" s="79">
        <f t="shared" si="50"/>
        <v>0</v>
      </c>
    </row>
    <row r="159" spans="1:58" x14ac:dyDescent="0.25">
      <c r="A159" s="138" t="s">
        <v>1195</v>
      </c>
      <c r="B159" t="s">
        <v>606</v>
      </c>
      <c r="C159" t="s">
        <v>113</v>
      </c>
      <c r="D159" s="78">
        <f>INDEX('Population Data by Age'!$B$7:$H$10366,MATCH(CONCATENATE('Tabular Pop Data by Age'!$C159,'Tabular Pop Data by Age'!D$7),'Population Data by Age'!$B$7:$B$10366,0),MATCH('Tabular Pop Data by Age'!$C$6,'Population Data by Age'!$B$6:$H$6,0))</f>
        <v>190000</v>
      </c>
      <c r="E159" s="78">
        <f>INDEX('Population Data by Age'!$B$7:$H$10366,MATCH(CONCATENATE('Tabular Pop Data by Age'!$C159,'Tabular Pop Data by Age'!E$7),'Population Data by Age'!$B$7:$B$10366,0),MATCH('Tabular Pop Data by Age'!$C$6,'Population Data by Age'!$B$6:$H$6,0))</f>
        <v>199000</v>
      </c>
      <c r="F159" s="78">
        <f>INDEX('Population Data by Age'!$B$7:$H$10366,MATCH(CONCATENATE('Tabular Pop Data by Age'!$C159,'Tabular Pop Data by Age'!F$7),'Population Data by Age'!$B$7:$B$10366,0),MATCH('Tabular Pop Data by Age'!$C$6,'Population Data by Age'!$B$6:$H$6,0))</f>
        <v>188000</v>
      </c>
      <c r="G159" s="78">
        <f>INDEX('Population Data by Age'!$B$7:$H$10366,MATCH(CONCATENATE('Tabular Pop Data by Age'!$C159,'Tabular Pop Data by Age'!G$7),'Population Data by Age'!$B$7:$B$10366,0),MATCH('Tabular Pop Data by Age'!$C$6,'Population Data by Age'!$B$6:$H$6,0))</f>
        <v>196000</v>
      </c>
      <c r="H159" s="78">
        <f>INDEX('Population Data by Age'!$B$7:$H$10366,MATCH(CONCATENATE('Tabular Pop Data by Age'!$C159,'Tabular Pop Data by Age'!H$7),'Population Data by Age'!$B$7:$B$10366,0),MATCH('Tabular Pop Data by Age'!$C$6,'Population Data by Age'!$B$6:$H$6,0))</f>
        <v>181000</v>
      </c>
      <c r="I159" s="78">
        <f>INDEX('Population Data by Age'!$B$7:$H$10366,MATCH(CONCATENATE('Tabular Pop Data by Age'!$C159,'Tabular Pop Data by Age'!I$7),'Population Data by Age'!$B$7:$B$10366,0),MATCH('Tabular Pop Data by Age'!$C$6,'Population Data by Age'!$B$6:$H$6,0))</f>
        <v>189000</v>
      </c>
      <c r="J159" s="78">
        <f>INDEX('Population Data by Age'!$B$7:$H$10366,MATCH(CONCATENATE('Tabular Pop Data by Age'!$C159,'Tabular Pop Data by Age'!J$7),'Population Data by Age'!$B$7:$B$10366,0),MATCH('Tabular Pop Data by Age'!$C$6,'Population Data by Age'!$B$6:$H$6,0))</f>
        <v>175000</v>
      </c>
      <c r="K159" s="78">
        <f>INDEX('Population Data by Age'!$B$7:$H$10366,MATCH(CONCATENATE('Tabular Pop Data by Age'!$C159,'Tabular Pop Data by Age'!K$7),'Population Data by Age'!$B$7:$B$10366,0),MATCH('Tabular Pop Data by Age'!$C$6,'Population Data by Age'!$B$6:$H$6,0))</f>
        <v>182000</v>
      </c>
      <c r="L159" s="78">
        <f>INDEX('Population Data by Age'!$B$7:$H$10366,MATCH(CONCATENATE('Tabular Pop Data by Age'!$C159,'Tabular Pop Data by Age'!L$7),'Population Data by Age'!$B$7:$B$10366,0),MATCH('Tabular Pop Data by Age'!$C$6,'Population Data by Age'!$B$6:$H$6,0))</f>
        <v>172000</v>
      </c>
      <c r="M159" s="78">
        <f>INDEX('Population Data by Age'!$B$7:$H$10366,MATCH(CONCATENATE('Tabular Pop Data by Age'!$C159,'Tabular Pop Data by Age'!M$7),'Population Data by Age'!$B$7:$B$10366,0),MATCH('Tabular Pop Data by Age'!$C$6,'Population Data by Age'!$B$6:$H$6,0))</f>
        <v>177000</v>
      </c>
      <c r="N159" s="78">
        <f>INDEX('Population Data by Age'!$B$7:$H$10366,MATCH(CONCATENATE('Tabular Pop Data by Age'!$C159,'Tabular Pop Data by Age'!N$7),'Population Data by Age'!$B$7:$B$10366,0),MATCH('Tabular Pop Data by Age'!$C$6,'Population Data by Age'!$B$6:$H$6,0))</f>
        <v>163000</v>
      </c>
      <c r="O159" s="78">
        <f>INDEX('Population Data by Age'!$B$7:$H$10366,MATCH(CONCATENATE('Tabular Pop Data by Age'!$C159,'Tabular Pop Data by Age'!O$7),'Population Data by Age'!$B$7:$B$10366,0),MATCH('Tabular Pop Data by Age'!$C$6,'Population Data by Age'!$B$6:$H$6,0))</f>
        <v>166000</v>
      </c>
      <c r="P159" s="78">
        <f>INDEX('Population Data by Age'!$B$7:$H$10366,MATCH(CONCATENATE('Tabular Pop Data by Age'!$C159,'Tabular Pop Data by Age'!P$7),'Population Data by Age'!$B$7:$B$10366,0),MATCH('Tabular Pop Data by Age'!$C$6,'Population Data by Age'!$B$6:$H$6,0))</f>
        <v>158000</v>
      </c>
      <c r="Q159" s="78">
        <f>INDEX('Population Data by Age'!$B$7:$H$10366,MATCH(CONCATENATE('Tabular Pop Data by Age'!$C159,'Tabular Pop Data by Age'!Q$7),'Population Data by Age'!$B$7:$B$10366,0),MATCH('Tabular Pop Data by Age'!$C$6,'Population Data by Age'!$B$6:$H$6,0))</f>
        <v>159000</v>
      </c>
      <c r="R159" s="78">
        <f>INDEX('Population Data by Age'!$B$7:$H$10366,MATCH(CONCATENATE('Tabular Pop Data by Age'!$C159,'Tabular Pop Data by Age'!R$7),'Population Data by Age'!$B$7:$B$10366,0),MATCH('Tabular Pop Data by Age'!$C$6,'Population Data by Age'!$B$6:$H$6,0))</f>
        <v>150000</v>
      </c>
      <c r="S159" s="78">
        <f>INDEX('Population Data by Age'!$B$7:$H$10366,MATCH(CONCATENATE('Tabular Pop Data by Age'!$C159,'Tabular Pop Data by Age'!S$7),'Population Data by Age'!$B$7:$B$10366,0),MATCH('Tabular Pop Data by Age'!$C$6,'Population Data by Age'!$B$6:$H$6,0))</f>
        <v>152000</v>
      </c>
      <c r="T159" s="78">
        <f>INDEX('Population Data by Age'!$B$7:$H$10366,MATCH(CONCATENATE('Tabular Pop Data by Age'!$C159,'Tabular Pop Data by Age'!T$7),'Population Data by Age'!$B$7:$B$10366,0),MATCH('Tabular Pop Data by Age'!$C$6,'Population Data by Age'!$B$6:$H$6,0))</f>
        <v>144000</v>
      </c>
      <c r="U159" s="78">
        <f>INDEX('Population Data by Age'!$B$7:$H$10366,MATCH(CONCATENATE('Tabular Pop Data by Age'!$C159,'Tabular Pop Data by Age'!U$7),'Population Data by Age'!$B$7:$B$10366,0),MATCH('Tabular Pop Data by Age'!$C$6,'Population Data by Age'!$B$6:$H$6,0))</f>
        <v>144000</v>
      </c>
      <c r="V159" s="78">
        <f>INDEX('Population Data by Age'!$B$7:$H$10366,MATCH(CONCATENATE('Tabular Pop Data by Age'!$C159,'Tabular Pop Data by Age'!V$7),'Population Data by Age'!$B$7:$B$10366,0),MATCH('Tabular Pop Data by Age'!$C$6,'Population Data by Age'!$B$6:$H$6,0))</f>
        <v>134000</v>
      </c>
      <c r="W159" s="78">
        <f>INDEX('Population Data by Age'!$B$7:$H$10366,MATCH(CONCATENATE('Tabular Pop Data by Age'!$C159,'Tabular Pop Data by Age'!W$7),'Population Data by Age'!$B$7:$B$10366,0),MATCH('Tabular Pop Data by Age'!$C$6,'Population Data by Age'!$B$6:$H$6,0))</f>
        <v>134000</v>
      </c>
      <c r="X159" s="78">
        <f>INDEX('Population Data by Age'!$B$7:$H$10366,MATCH(CONCATENATE('Tabular Pop Data by Age'!$C159,'Tabular Pop Data by Age'!X$7),'Population Data by Age'!$B$7:$B$10366,0),MATCH('Tabular Pop Data by Age'!$C$6,'Population Data by Age'!$B$6:$H$6,0))</f>
        <v>118000</v>
      </c>
      <c r="Y159" s="78">
        <f>INDEX('Population Data by Age'!$B$7:$H$10366,MATCH(CONCATENATE('Tabular Pop Data by Age'!$C159,'Tabular Pop Data by Age'!Y$7),'Population Data by Age'!$B$7:$B$10366,0),MATCH('Tabular Pop Data by Age'!$C$6,'Population Data by Age'!$B$6:$H$6,0))</f>
        <v>117000</v>
      </c>
      <c r="Z159" s="78">
        <f>INDEX('Population Data by Age'!$B$7:$H$10366,MATCH(CONCATENATE('Tabular Pop Data by Age'!$C159,'Tabular Pop Data by Age'!Z$7),'Population Data by Age'!$B$7:$B$10366,0),MATCH('Tabular Pop Data by Age'!$C$6,'Population Data by Age'!$B$6:$H$6,0))</f>
        <v>101000</v>
      </c>
      <c r="AA159" s="78">
        <f>INDEX('Population Data by Age'!$B$7:$H$10366,MATCH(CONCATENATE('Tabular Pop Data by Age'!$C159,'Tabular Pop Data by Age'!AA$7),'Population Data by Age'!$B$7:$B$10366,0),MATCH('Tabular Pop Data by Age'!$C$6,'Population Data by Age'!$B$6:$H$6,0))</f>
        <v>98000</v>
      </c>
      <c r="AB159" s="78">
        <f>INDEX('Population Data by Age'!$B$7:$H$10366,MATCH(CONCATENATE('Tabular Pop Data by Age'!$C159,'Tabular Pop Data by Age'!AB$7),'Population Data by Age'!$B$7:$B$10366,0),MATCH('Tabular Pop Data by Age'!$C$6,'Population Data by Age'!$B$6:$H$6,0))</f>
        <v>82000</v>
      </c>
      <c r="AC159" s="78">
        <f>INDEX('Population Data by Age'!$B$7:$H$10366,MATCH(CONCATENATE('Tabular Pop Data by Age'!$C159,'Tabular Pop Data by Age'!AC$7),'Population Data by Age'!$B$7:$B$10366,0),MATCH('Tabular Pop Data by Age'!$C$6,'Population Data by Age'!$B$6:$H$6,0))</f>
        <v>78000</v>
      </c>
      <c r="AD159" s="78">
        <f>INDEX('Population Data by Age'!$B$7:$H$10366,MATCH(CONCATENATE('Tabular Pop Data by Age'!$C159,'Tabular Pop Data by Age'!AD$7),'Population Data by Age'!$B$7:$B$10366,0),MATCH('Tabular Pop Data by Age'!$C$6,'Population Data by Age'!$B$6:$H$6,0))</f>
        <v>64000</v>
      </c>
      <c r="AE159" s="78">
        <f>INDEX('Population Data by Age'!$B$7:$H$10366,MATCH(CONCATENATE('Tabular Pop Data by Age'!$C159,'Tabular Pop Data by Age'!AE$7),'Population Data by Age'!$B$7:$B$10366,0),MATCH('Tabular Pop Data by Age'!$C$6,'Population Data by Age'!$B$6:$H$6,0))</f>
        <v>59000</v>
      </c>
      <c r="AF159" s="78">
        <f>INDEX('Population Data by Age'!$B$7:$H$10366,MATCH(CONCATENATE('Tabular Pop Data by Age'!$C159,'Tabular Pop Data by Age'!AF$7),'Population Data by Age'!$B$7:$B$10366,0),MATCH('Tabular Pop Data by Age'!$C$6,'Population Data by Age'!$B$6:$H$6,0))</f>
        <v>48000</v>
      </c>
      <c r="AG159" s="78">
        <f>INDEX('Population Data by Age'!$B$7:$H$10366,MATCH(CONCATENATE('Tabular Pop Data by Age'!$C159,'Tabular Pop Data by Age'!AG$7),'Population Data by Age'!$B$7:$B$10366,0),MATCH('Tabular Pop Data by Age'!$C$6,'Population Data by Age'!$B$6:$H$6,0))</f>
        <v>43000</v>
      </c>
      <c r="AH159" s="78">
        <f>INDEX('Population Data by Age'!$B$7:$H$10366,MATCH(CONCATENATE('Tabular Pop Data by Age'!$C159,'Tabular Pop Data by Age'!AH$7),'Population Data by Age'!$B$7:$B$10366,0),MATCH('Tabular Pop Data by Age'!$C$6,'Population Data by Age'!$B$6:$H$6,0))</f>
        <v>36000</v>
      </c>
      <c r="AI159" s="78">
        <f>INDEX('Population Data by Age'!$B$7:$H$10366,MATCH(CONCATENATE('Tabular Pop Data by Age'!$C159,'Tabular Pop Data by Age'!AI$7),'Population Data by Age'!$B$7:$B$10366,0),MATCH('Tabular Pop Data by Age'!$C$6,'Population Data by Age'!$B$6:$H$6,0))</f>
        <v>31000</v>
      </c>
      <c r="AJ159" s="78">
        <f>INDEX('Population Data by Age'!$B$7:$H$10366,MATCH(CONCATENATE('Tabular Pop Data by Age'!$C159,'Tabular Pop Data by Age'!AJ$7),'Population Data by Age'!$B$7:$B$10366,0),MATCH('Tabular Pop Data by Age'!$C$6,'Population Data by Age'!$B$6:$H$6,0))</f>
        <v>49000</v>
      </c>
      <c r="AK159" s="78">
        <f>INDEX('Population Data by Age'!$B$7:$H$10366,MATCH(CONCATENATE('Tabular Pop Data by Age'!$C159,'Tabular Pop Data by Age'!AK$7),'Population Data by Age'!$B$7:$B$10366,0),MATCH('Tabular Pop Data by Age'!$C$6,'Population Data by Age'!$B$6:$H$6,0))</f>
        <v>38000</v>
      </c>
      <c r="AL159" s="78">
        <f>INDEX('Population Data by Age'!$B$7:$H$10366,MATCH(CONCATENATE('Tabular Pop Data by Age'!$C159,'Tabular Pop Data by Age'!AL$7),'Population Data by Age'!$B$7:$B$10366,0),MATCH('Tabular Pop Data by Age'!$C$6,'Population Data by Age'!$B$6:$H$6,0))</f>
        <v>2155000</v>
      </c>
      <c r="AM159" s="78">
        <f>INDEX('Population Data by Age'!$B$7:$H$10366,MATCH(CONCATENATE('Tabular Pop Data by Age'!$C159,'Tabular Pop Data by Age'!AM$7),'Population Data by Age'!$B$7:$B$10366,0),MATCH('Tabular Pop Data by Age'!$C$6,'Population Data by Age'!$B$6:$H$6,0))</f>
        <v>2160000</v>
      </c>
      <c r="AN159" s="78">
        <f>INDEX('Population Data by Age'!$B$7:$H$10366,MATCH(CONCATENATE('Tabular Pop Data by Age'!$C159,'Tabular Pop Data by Age'!AN$7),'Population Data by Age'!$B$7:$B$10366,0),MATCH('Tabular Pop Data by Age'!$C$6,'Population Data by Age'!$B$6:$H$6,0))</f>
        <v>4315000</v>
      </c>
      <c r="AO159" s="78">
        <f>INDEX('Population Data by Age'!$B$7:$H$10366,MATCH(CONCATENATE('Tabular Pop Data by Age'!$C159,'Tabular Pop Data by Age'!AO$7),'Population Data by Age'!$B$7:$B$10366,0),MATCH('Tabular Pop Data by Age'!$C$6,'Population Data by Age'!$B$6:$H$6,0))</f>
        <v>0</v>
      </c>
      <c r="AP159" s="79">
        <f t="shared" si="34"/>
        <v>389000</v>
      </c>
      <c r="AQ159" s="79">
        <f t="shared" si="35"/>
        <v>384000</v>
      </c>
      <c r="AR159" s="79">
        <f t="shared" si="36"/>
        <v>370000</v>
      </c>
      <c r="AS159" s="79">
        <f t="shared" si="37"/>
        <v>357000</v>
      </c>
      <c r="AT159" s="79">
        <f t="shared" si="38"/>
        <v>349000</v>
      </c>
      <c r="AU159" s="79">
        <f t="shared" si="39"/>
        <v>329000</v>
      </c>
      <c r="AV159" s="79">
        <f t="shared" si="40"/>
        <v>317000</v>
      </c>
      <c r="AW159" s="79">
        <f t="shared" si="41"/>
        <v>302000</v>
      </c>
      <c r="AX159" s="79">
        <f t="shared" si="42"/>
        <v>288000</v>
      </c>
      <c r="AY159" s="79">
        <f t="shared" si="43"/>
        <v>268000</v>
      </c>
      <c r="AZ159" s="79">
        <f t="shared" si="44"/>
        <v>235000</v>
      </c>
      <c r="BA159" s="79">
        <f t="shared" si="45"/>
        <v>199000</v>
      </c>
      <c r="BB159" s="79">
        <f t="shared" si="46"/>
        <v>160000</v>
      </c>
      <c r="BC159" s="79">
        <f t="shared" si="47"/>
        <v>123000</v>
      </c>
      <c r="BD159" s="79">
        <f t="shared" si="48"/>
        <v>91000</v>
      </c>
      <c r="BE159" s="79">
        <f t="shared" si="49"/>
        <v>67000</v>
      </c>
      <c r="BF159" s="79">
        <f t="shared" si="50"/>
        <v>87000</v>
      </c>
    </row>
    <row r="160" spans="1:58" x14ac:dyDescent="0.25">
      <c r="A160" s="138" t="s">
        <v>1195</v>
      </c>
      <c r="B160" t="s">
        <v>252</v>
      </c>
      <c r="C160" t="s">
        <v>116</v>
      </c>
      <c r="D160" s="78">
        <f>INDEX('Population Data by Age'!$B$7:$H$10366,MATCH(CONCATENATE('Tabular Pop Data by Age'!$C160,'Tabular Pop Data by Age'!D$7),'Population Data by Age'!$B$7:$B$10366,0),MATCH('Tabular Pop Data by Age'!$C$6,'Population Data by Age'!$B$6:$H$6,0))</f>
        <v>535000</v>
      </c>
      <c r="E160" s="78">
        <f>INDEX('Population Data by Age'!$B$7:$H$10366,MATCH(CONCATENATE('Tabular Pop Data by Age'!$C160,'Tabular Pop Data by Age'!E$7),'Population Data by Age'!$B$7:$B$10366,0),MATCH('Tabular Pop Data by Age'!$C$6,'Population Data by Age'!$B$6:$H$6,0))</f>
        <v>573000</v>
      </c>
      <c r="F160" s="78">
        <f>INDEX('Population Data by Age'!$B$7:$H$10366,MATCH(CONCATENATE('Tabular Pop Data by Age'!$C160,'Tabular Pop Data by Age'!F$7),'Population Data by Age'!$B$7:$B$10366,0),MATCH('Tabular Pop Data by Age'!$C$6,'Population Data by Age'!$B$6:$H$6,0))</f>
        <v>504000</v>
      </c>
      <c r="G160" s="78">
        <f>INDEX('Population Data by Age'!$B$7:$H$10366,MATCH(CONCATENATE('Tabular Pop Data by Age'!$C160,'Tabular Pop Data by Age'!G$7),'Population Data by Age'!$B$7:$B$10366,0),MATCH('Tabular Pop Data by Age'!$C$6,'Population Data by Age'!$B$6:$H$6,0))</f>
        <v>539000</v>
      </c>
      <c r="H160" s="78">
        <f>INDEX('Population Data by Age'!$B$7:$H$10366,MATCH(CONCATENATE('Tabular Pop Data by Age'!$C160,'Tabular Pop Data by Age'!H$7),'Population Data by Age'!$B$7:$B$10366,0),MATCH('Tabular Pop Data by Age'!$C$6,'Population Data by Age'!$B$6:$H$6,0))</f>
        <v>481000</v>
      </c>
      <c r="I160" s="78">
        <f>INDEX('Population Data by Age'!$B$7:$H$10366,MATCH(CONCATENATE('Tabular Pop Data by Age'!$C160,'Tabular Pop Data by Age'!I$7),'Population Data by Age'!$B$7:$B$10366,0),MATCH('Tabular Pop Data by Age'!$C$6,'Population Data by Age'!$B$6:$H$6,0))</f>
        <v>513000</v>
      </c>
      <c r="J160" s="78">
        <f>INDEX('Population Data by Age'!$B$7:$H$10366,MATCH(CONCATENATE('Tabular Pop Data by Age'!$C160,'Tabular Pop Data by Age'!J$7),'Population Data by Age'!$B$7:$B$10366,0),MATCH('Tabular Pop Data by Age'!$C$6,'Population Data by Age'!$B$6:$H$6,0))</f>
        <v>447000</v>
      </c>
      <c r="K160" s="78">
        <f>INDEX('Population Data by Age'!$B$7:$H$10366,MATCH(CONCATENATE('Tabular Pop Data by Age'!$C160,'Tabular Pop Data by Age'!K$7),'Population Data by Age'!$B$7:$B$10366,0),MATCH('Tabular Pop Data by Age'!$C$6,'Population Data by Age'!$B$6:$H$6,0))</f>
        <v>476000</v>
      </c>
      <c r="L160" s="78">
        <f>INDEX('Population Data by Age'!$B$7:$H$10366,MATCH(CONCATENATE('Tabular Pop Data by Age'!$C160,'Tabular Pop Data by Age'!L$7),'Population Data by Age'!$B$7:$B$10366,0),MATCH('Tabular Pop Data by Age'!$C$6,'Population Data by Age'!$B$6:$H$6,0))</f>
        <v>407000</v>
      </c>
      <c r="M160" s="78">
        <f>INDEX('Population Data by Age'!$B$7:$H$10366,MATCH(CONCATENATE('Tabular Pop Data by Age'!$C160,'Tabular Pop Data by Age'!M$7),'Population Data by Age'!$B$7:$B$10366,0),MATCH('Tabular Pop Data by Age'!$C$6,'Population Data by Age'!$B$6:$H$6,0))</f>
        <v>430000</v>
      </c>
      <c r="N160" s="78">
        <f>INDEX('Population Data by Age'!$B$7:$H$10366,MATCH(CONCATENATE('Tabular Pop Data by Age'!$C160,'Tabular Pop Data by Age'!N$7),'Population Data by Age'!$B$7:$B$10366,0),MATCH('Tabular Pop Data by Age'!$C$6,'Population Data by Age'!$B$6:$H$6,0))</f>
        <v>350000</v>
      </c>
      <c r="O160" s="78">
        <f>INDEX('Population Data by Age'!$B$7:$H$10366,MATCH(CONCATENATE('Tabular Pop Data by Age'!$C160,'Tabular Pop Data by Age'!O$7),'Population Data by Age'!$B$7:$B$10366,0),MATCH('Tabular Pop Data by Age'!$C$6,'Population Data by Age'!$B$6:$H$6,0))</f>
        <v>368000</v>
      </c>
      <c r="P160" s="78">
        <f>INDEX('Population Data by Age'!$B$7:$H$10366,MATCH(CONCATENATE('Tabular Pop Data by Age'!$C160,'Tabular Pop Data by Age'!P$7),'Population Data by Age'!$B$7:$B$10366,0),MATCH('Tabular Pop Data by Age'!$C$6,'Population Data by Age'!$B$6:$H$6,0))</f>
        <v>311000</v>
      </c>
      <c r="Q160" s="78">
        <f>INDEX('Population Data by Age'!$B$7:$H$10366,MATCH(CONCATENATE('Tabular Pop Data by Age'!$C160,'Tabular Pop Data by Age'!Q$7),'Population Data by Age'!$B$7:$B$10366,0),MATCH('Tabular Pop Data by Age'!$C$6,'Population Data by Age'!$B$6:$H$6,0))</f>
        <v>325000</v>
      </c>
      <c r="R160" s="78">
        <f>INDEX('Population Data by Age'!$B$7:$H$10366,MATCH(CONCATENATE('Tabular Pop Data by Age'!$C160,'Tabular Pop Data by Age'!R$7),'Population Data by Age'!$B$7:$B$10366,0),MATCH('Tabular Pop Data by Age'!$C$6,'Population Data by Age'!$B$6:$H$6,0))</f>
        <v>286000</v>
      </c>
      <c r="S160" s="78">
        <f>INDEX('Population Data by Age'!$B$7:$H$10366,MATCH(CONCATENATE('Tabular Pop Data by Age'!$C160,'Tabular Pop Data by Age'!S$7),'Population Data by Age'!$B$7:$B$10366,0),MATCH('Tabular Pop Data by Age'!$C$6,'Population Data by Age'!$B$6:$H$6,0))</f>
        <v>298000</v>
      </c>
      <c r="T160" s="78">
        <f>INDEX('Population Data by Age'!$B$7:$H$10366,MATCH(CONCATENATE('Tabular Pop Data by Age'!$C160,'Tabular Pop Data by Age'!T$7),'Population Data by Age'!$B$7:$B$10366,0),MATCH('Tabular Pop Data by Age'!$C$6,'Population Data by Age'!$B$6:$H$6,0))</f>
        <v>250000</v>
      </c>
      <c r="U160" s="78">
        <f>INDEX('Population Data by Age'!$B$7:$H$10366,MATCH(CONCATENATE('Tabular Pop Data by Age'!$C160,'Tabular Pop Data by Age'!U$7),'Population Data by Age'!$B$7:$B$10366,0),MATCH('Tabular Pop Data by Age'!$C$6,'Population Data by Age'!$B$6:$H$6,0))</f>
        <v>260000</v>
      </c>
      <c r="V160" s="78">
        <f>INDEX('Population Data by Age'!$B$7:$H$10366,MATCH(CONCATENATE('Tabular Pop Data by Age'!$C160,'Tabular Pop Data by Age'!V$7),'Population Data by Age'!$B$7:$B$10366,0),MATCH('Tabular Pop Data by Age'!$C$6,'Population Data by Age'!$B$6:$H$6,0))</f>
        <v>211000</v>
      </c>
      <c r="W160" s="78">
        <f>INDEX('Population Data by Age'!$B$7:$H$10366,MATCH(CONCATENATE('Tabular Pop Data by Age'!$C160,'Tabular Pop Data by Age'!W$7),'Population Data by Age'!$B$7:$B$10366,0),MATCH('Tabular Pop Data by Age'!$C$6,'Population Data by Age'!$B$6:$H$6,0))</f>
        <v>217000</v>
      </c>
      <c r="X160" s="78">
        <f>INDEX('Population Data by Age'!$B$7:$H$10366,MATCH(CONCATENATE('Tabular Pop Data by Age'!$C160,'Tabular Pop Data by Age'!X$7),'Population Data by Age'!$B$7:$B$10366,0),MATCH('Tabular Pop Data by Age'!$C$6,'Population Data by Age'!$B$6:$H$6,0))</f>
        <v>174000</v>
      </c>
      <c r="Y160" s="78">
        <f>INDEX('Population Data by Age'!$B$7:$H$10366,MATCH(CONCATENATE('Tabular Pop Data by Age'!$C160,'Tabular Pop Data by Age'!Y$7),'Population Data by Age'!$B$7:$B$10366,0),MATCH('Tabular Pop Data by Age'!$C$6,'Population Data by Age'!$B$6:$H$6,0))</f>
        <v>175000</v>
      </c>
      <c r="Z160" s="78">
        <f>INDEX('Population Data by Age'!$B$7:$H$10366,MATCH(CONCATENATE('Tabular Pop Data by Age'!$C160,'Tabular Pop Data by Age'!Z$7),'Population Data by Age'!$B$7:$B$10366,0),MATCH('Tabular Pop Data by Age'!$C$6,'Population Data by Age'!$B$6:$H$6,0))</f>
        <v>142000</v>
      </c>
      <c r="AA160" s="78">
        <f>INDEX('Population Data by Age'!$B$7:$H$10366,MATCH(CONCATENATE('Tabular Pop Data by Age'!$C160,'Tabular Pop Data by Age'!AA$7),'Population Data by Age'!$B$7:$B$10366,0),MATCH('Tabular Pop Data by Age'!$C$6,'Population Data by Age'!$B$6:$H$6,0))</f>
        <v>138000</v>
      </c>
      <c r="AB160" s="78">
        <f>INDEX('Population Data by Age'!$B$7:$H$10366,MATCH(CONCATENATE('Tabular Pop Data by Age'!$C160,'Tabular Pop Data by Age'!AB$7),'Population Data by Age'!$B$7:$B$10366,0),MATCH('Tabular Pop Data by Age'!$C$6,'Population Data by Age'!$B$6:$H$6,0))</f>
        <v>112000</v>
      </c>
      <c r="AC160" s="78">
        <f>INDEX('Population Data by Age'!$B$7:$H$10366,MATCH(CONCATENATE('Tabular Pop Data by Age'!$C160,'Tabular Pop Data by Age'!AC$7),'Population Data by Age'!$B$7:$B$10366,0),MATCH('Tabular Pop Data by Age'!$C$6,'Population Data by Age'!$B$6:$H$6,0))</f>
        <v>105000</v>
      </c>
      <c r="AD160" s="78">
        <f>INDEX('Population Data by Age'!$B$7:$H$10366,MATCH(CONCATENATE('Tabular Pop Data by Age'!$C160,'Tabular Pop Data by Age'!AD$7),'Population Data by Age'!$B$7:$B$10366,0),MATCH('Tabular Pop Data by Age'!$C$6,'Population Data by Age'!$B$6:$H$6,0))</f>
        <v>82000</v>
      </c>
      <c r="AE160" s="78">
        <f>INDEX('Population Data by Age'!$B$7:$H$10366,MATCH(CONCATENATE('Tabular Pop Data by Age'!$C160,'Tabular Pop Data by Age'!AE$7),'Population Data by Age'!$B$7:$B$10366,0),MATCH('Tabular Pop Data by Age'!$C$6,'Population Data by Age'!$B$6:$H$6,0))</f>
        <v>73000</v>
      </c>
      <c r="AF160" s="78">
        <f>INDEX('Population Data by Age'!$B$7:$H$10366,MATCH(CONCATENATE('Tabular Pop Data by Age'!$C160,'Tabular Pop Data by Age'!AF$7),'Population Data by Age'!$B$7:$B$10366,0),MATCH('Tabular Pop Data by Age'!$C$6,'Population Data by Age'!$B$6:$H$6,0))</f>
        <v>48000</v>
      </c>
      <c r="AG160" s="78">
        <f>INDEX('Population Data by Age'!$B$7:$H$10366,MATCH(CONCATENATE('Tabular Pop Data by Age'!$C160,'Tabular Pop Data by Age'!AG$7),'Population Data by Age'!$B$7:$B$10366,0),MATCH('Tabular Pop Data by Age'!$C$6,'Population Data by Age'!$B$6:$H$6,0))</f>
        <v>42000</v>
      </c>
      <c r="AH160" s="78">
        <f>INDEX('Population Data by Age'!$B$7:$H$10366,MATCH(CONCATENATE('Tabular Pop Data by Age'!$C160,'Tabular Pop Data by Age'!AH$7),'Population Data by Age'!$B$7:$B$10366,0),MATCH('Tabular Pop Data by Age'!$C$6,'Population Data by Age'!$B$6:$H$6,0))</f>
        <v>25000</v>
      </c>
      <c r="AI160" s="78">
        <f>INDEX('Population Data by Age'!$B$7:$H$10366,MATCH(CONCATENATE('Tabular Pop Data by Age'!$C160,'Tabular Pop Data by Age'!AI$7),'Population Data by Age'!$B$7:$B$10366,0),MATCH('Tabular Pop Data by Age'!$C$6,'Population Data by Age'!$B$6:$H$6,0))</f>
        <v>22000</v>
      </c>
      <c r="AJ160" s="78">
        <f>INDEX('Population Data by Age'!$B$7:$H$10366,MATCH(CONCATENATE('Tabular Pop Data by Age'!$C160,'Tabular Pop Data by Age'!AJ$7),'Population Data by Age'!$B$7:$B$10366,0),MATCH('Tabular Pop Data by Age'!$C$6,'Population Data by Age'!$B$6:$H$6,0))</f>
        <v>15000</v>
      </c>
      <c r="AK160" s="78">
        <f>INDEX('Population Data by Age'!$B$7:$H$10366,MATCH(CONCATENATE('Tabular Pop Data by Age'!$C160,'Tabular Pop Data by Age'!AK$7),'Population Data by Age'!$B$7:$B$10366,0),MATCH('Tabular Pop Data by Age'!$C$6,'Population Data by Age'!$B$6:$H$6,0))</f>
        <v>13000</v>
      </c>
      <c r="AL160" s="78">
        <f>INDEX('Population Data by Age'!$B$7:$H$10366,MATCH(CONCATENATE('Tabular Pop Data by Age'!$C160,'Tabular Pop Data by Age'!AL$7),'Population Data by Age'!$B$7:$B$10366,0),MATCH('Tabular Pop Data by Age'!$C$6,'Population Data by Age'!$B$6:$H$6,0))</f>
        <v>4379000</v>
      </c>
      <c r="AM160" s="78">
        <f>INDEX('Population Data by Age'!$B$7:$H$10366,MATCH(CONCATENATE('Tabular Pop Data by Age'!$C160,'Tabular Pop Data by Age'!AM$7),'Population Data by Age'!$B$7:$B$10366,0),MATCH('Tabular Pop Data by Age'!$C$6,'Population Data by Age'!$B$6:$H$6,0))</f>
        <v>4568000</v>
      </c>
      <c r="AN160" s="78">
        <f>INDEX('Population Data by Age'!$B$7:$H$10366,MATCH(CONCATENATE('Tabular Pop Data by Age'!$C160,'Tabular Pop Data by Age'!AN$7),'Population Data by Age'!$B$7:$B$10366,0),MATCH('Tabular Pop Data by Age'!$C$6,'Population Data by Age'!$B$6:$H$6,0))</f>
        <v>8947000</v>
      </c>
      <c r="AO160" s="78">
        <f>INDEX('Population Data by Age'!$B$7:$H$10366,MATCH(CONCATENATE('Tabular Pop Data by Age'!$C160,'Tabular Pop Data by Age'!AO$7),'Population Data by Age'!$B$7:$B$10366,0),MATCH('Tabular Pop Data by Age'!$C$6,'Population Data by Age'!$B$6:$H$6,0))</f>
        <v>0</v>
      </c>
      <c r="AP160" s="79">
        <f t="shared" si="34"/>
        <v>1108000</v>
      </c>
      <c r="AQ160" s="79">
        <f t="shared" si="35"/>
        <v>1043000</v>
      </c>
      <c r="AR160" s="79">
        <f t="shared" si="36"/>
        <v>994000</v>
      </c>
      <c r="AS160" s="79">
        <f t="shared" si="37"/>
        <v>923000</v>
      </c>
      <c r="AT160" s="79">
        <f t="shared" si="38"/>
        <v>837000</v>
      </c>
      <c r="AU160" s="79">
        <f t="shared" si="39"/>
        <v>718000</v>
      </c>
      <c r="AV160" s="79">
        <f t="shared" si="40"/>
        <v>636000</v>
      </c>
      <c r="AW160" s="79">
        <f t="shared" si="41"/>
        <v>584000</v>
      </c>
      <c r="AX160" s="79">
        <f t="shared" si="42"/>
        <v>510000</v>
      </c>
      <c r="AY160" s="79">
        <f t="shared" si="43"/>
        <v>428000</v>
      </c>
      <c r="AZ160" s="79">
        <f t="shared" si="44"/>
        <v>349000</v>
      </c>
      <c r="BA160" s="79">
        <f t="shared" si="45"/>
        <v>280000</v>
      </c>
      <c r="BB160" s="79">
        <f t="shared" si="46"/>
        <v>217000</v>
      </c>
      <c r="BC160" s="79">
        <f t="shared" si="47"/>
        <v>155000</v>
      </c>
      <c r="BD160" s="79">
        <f t="shared" si="48"/>
        <v>90000</v>
      </c>
      <c r="BE160" s="79">
        <f t="shared" si="49"/>
        <v>47000</v>
      </c>
      <c r="BF160" s="79">
        <f t="shared" si="50"/>
        <v>28000</v>
      </c>
    </row>
    <row r="161" spans="1:58" x14ac:dyDescent="0.25">
      <c r="A161" s="138" t="s">
        <v>1195</v>
      </c>
      <c r="B161" t="s">
        <v>228</v>
      </c>
      <c r="C161" t="s">
        <v>119</v>
      </c>
      <c r="D161" s="78">
        <f>INDEX('Population Data by Age'!$B$7:$H$10366,MATCH(CONCATENATE('Tabular Pop Data by Age'!$C161,'Tabular Pop Data by Age'!D$7),'Population Data by Age'!$B$7:$B$10366,0),MATCH('Tabular Pop Data by Age'!$C$6,'Population Data by Age'!$B$6:$H$6,0))</f>
        <v>342000</v>
      </c>
      <c r="E161" s="78">
        <f>INDEX('Population Data by Age'!$B$7:$H$10366,MATCH(CONCATENATE('Tabular Pop Data by Age'!$C161,'Tabular Pop Data by Age'!E$7),'Population Data by Age'!$B$7:$B$10366,0),MATCH('Tabular Pop Data by Age'!$C$6,'Population Data by Age'!$B$6:$H$6,0))</f>
        <v>359000</v>
      </c>
      <c r="F161" s="78">
        <f>INDEX('Population Data by Age'!$B$7:$H$10366,MATCH(CONCATENATE('Tabular Pop Data by Age'!$C161,'Tabular Pop Data by Age'!F$7),'Population Data by Age'!$B$7:$B$10366,0),MATCH('Tabular Pop Data by Age'!$C$6,'Population Data by Age'!$B$6:$H$6,0))</f>
        <v>334000</v>
      </c>
      <c r="G161" s="78">
        <f>INDEX('Population Data by Age'!$B$7:$H$10366,MATCH(CONCATENATE('Tabular Pop Data by Age'!$C161,'Tabular Pop Data by Age'!G$7),'Population Data by Age'!$B$7:$B$10366,0),MATCH('Tabular Pop Data by Age'!$C$6,'Population Data by Age'!$B$6:$H$6,0))</f>
        <v>349000</v>
      </c>
      <c r="H161" s="78">
        <f>INDEX('Population Data by Age'!$B$7:$H$10366,MATCH(CONCATENATE('Tabular Pop Data by Age'!$C161,'Tabular Pop Data by Age'!H$7),'Population Data by Age'!$B$7:$B$10366,0),MATCH('Tabular Pop Data by Age'!$C$6,'Population Data by Age'!$B$6:$H$6,0))</f>
        <v>331000</v>
      </c>
      <c r="I161" s="78">
        <f>INDEX('Population Data by Age'!$B$7:$H$10366,MATCH(CONCATENATE('Tabular Pop Data by Age'!$C161,'Tabular Pop Data by Age'!I$7),'Population Data by Age'!$B$7:$B$10366,0),MATCH('Tabular Pop Data by Age'!$C$6,'Population Data by Age'!$B$6:$H$6,0))</f>
        <v>346000</v>
      </c>
      <c r="J161" s="78">
        <f>INDEX('Population Data by Age'!$B$7:$H$10366,MATCH(CONCATENATE('Tabular Pop Data by Age'!$C161,'Tabular Pop Data by Age'!J$7),'Population Data by Age'!$B$7:$B$10366,0),MATCH('Tabular Pop Data by Age'!$C$6,'Population Data by Age'!$B$6:$H$6,0))</f>
        <v>322000</v>
      </c>
      <c r="K161" s="78">
        <f>INDEX('Population Data by Age'!$B$7:$H$10366,MATCH(CONCATENATE('Tabular Pop Data by Age'!$C161,'Tabular Pop Data by Age'!K$7),'Population Data by Age'!$B$7:$B$10366,0),MATCH('Tabular Pop Data by Age'!$C$6,'Population Data by Age'!$B$6:$H$6,0))</f>
        <v>337000</v>
      </c>
      <c r="L161" s="78">
        <f>INDEX('Population Data by Age'!$B$7:$H$10366,MATCH(CONCATENATE('Tabular Pop Data by Age'!$C161,'Tabular Pop Data by Age'!L$7),'Population Data by Age'!$B$7:$B$10366,0),MATCH('Tabular Pop Data by Age'!$C$6,'Population Data by Age'!$B$6:$H$6,0))</f>
        <v>331000</v>
      </c>
      <c r="M161" s="78">
        <f>INDEX('Population Data by Age'!$B$7:$H$10366,MATCH(CONCATENATE('Tabular Pop Data by Age'!$C161,'Tabular Pop Data by Age'!M$7),'Population Data by Age'!$B$7:$B$10366,0),MATCH('Tabular Pop Data by Age'!$C$6,'Population Data by Age'!$B$6:$H$6,0))</f>
        <v>346000</v>
      </c>
      <c r="N161" s="78">
        <f>INDEX('Population Data by Age'!$B$7:$H$10366,MATCH(CONCATENATE('Tabular Pop Data by Age'!$C161,'Tabular Pop Data by Age'!N$7),'Population Data by Age'!$B$7:$B$10366,0),MATCH('Tabular Pop Data by Age'!$C$6,'Population Data by Age'!$B$6:$H$6,0))</f>
        <v>315000</v>
      </c>
      <c r="O161" s="78">
        <f>INDEX('Population Data by Age'!$B$7:$H$10366,MATCH(CONCATENATE('Tabular Pop Data by Age'!$C161,'Tabular Pop Data by Age'!O$7),'Population Data by Age'!$B$7:$B$10366,0),MATCH('Tabular Pop Data by Age'!$C$6,'Population Data by Age'!$B$6:$H$6,0))</f>
        <v>328000</v>
      </c>
      <c r="P161" s="78">
        <f>INDEX('Population Data by Age'!$B$7:$H$10366,MATCH(CONCATENATE('Tabular Pop Data by Age'!$C161,'Tabular Pop Data by Age'!P$7),'Population Data by Age'!$B$7:$B$10366,0),MATCH('Tabular Pop Data by Age'!$C$6,'Population Data by Age'!$B$6:$H$6,0))</f>
        <v>291000</v>
      </c>
      <c r="Q161" s="78">
        <f>INDEX('Population Data by Age'!$B$7:$H$10366,MATCH(CONCATENATE('Tabular Pop Data by Age'!$C161,'Tabular Pop Data by Age'!Q$7),'Population Data by Age'!$B$7:$B$10366,0),MATCH('Tabular Pop Data by Age'!$C$6,'Population Data by Age'!$B$6:$H$6,0))</f>
        <v>304000</v>
      </c>
      <c r="R161" s="78">
        <f>INDEX('Population Data by Age'!$B$7:$H$10366,MATCH(CONCATENATE('Tabular Pop Data by Age'!$C161,'Tabular Pop Data by Age'!R$7),'Population Data by Age'!$B$7:$B$10366,0),MATCH('Tabular Pop Data by Age'!$C$6,'Population Data by Age'!$B$6:$H$6,0))</f>
        <v>251000</v>
      </c>
      <c r="S161" s="78">
        <f>INDEX('Population Data by Age'!$B$7:$H$10366,MATCH(CONCATENATE('Tabular Pop Data by Age'!$C161,'Tabular Pop Data by Age'!S$7),'Population Data by Age'!$B$7:$B$10366,0),MATCH('Tabular Pop Data by Age'!$C$6,'Population Data by Age'!$B$6:$H$6,0))</f>
        <v>263000</v>
      </c>
      <c r="T161" s="78">
        <f>INDEX('Population Data by Age'!$B$7:$H$10366,MATCH(CONCATENATE('Tabular Pop Data by Age'!$C161,'Tabular Pop Data by Age'!T$7),'Population Data by Age'!$B$7:$B$10366,0),MATCH('Tabular Pop Data by Age'!$C$6,'Population Data by Age'!$B$6:$H$6,0))</f>
        <v>198000</v>
      </c>
      <c r="U161" s="78">
        <f>INDEX('Population Data by Age'!$B$7:$H$10366,MATCH(CONCATENATE('Tabular Pop Data by Age'!$C161,'Tabular Pop Data by Age'!U$7),'Population Data by Age'!$B$7:$B$10366,0),MATCH('Tabular Pop Data by Age'!$C$6,'Population Data by Age'!$B$6:$H$6,0))</f>
        <v>209000</v>
      </c>
      <c r="V161" s="78">
        <f>INDEX('Population Data by Age'!$B$7:$H$10366,MATCH(CONCATENATE('Tabular Pop Data by Age'!$C161,'Tabular Pop Data by Age'!V$7),'Population Data by Age'!$B$7:$B$10366,0),MATCH('Tabular Pop Data by Age'!$C$6,'Population Data by Age'!$B$6:$H$6,0))</f>
        <v>157000</v>
      </c>
      <c r="W161" s="78">
        <f>INDEX('Population Data by Age'!$B$7:$H$10366,MATCH(CONCATENATE('Tabular Pop Data by Age'!$C161,'Tabular Pop Data by Age'!W$7),'Population Data by Age'!$B$7:$B$10366,0),MATCH('Tabular Pop Data by Age'!$C$6,'Population Data by Age'!$B$6:$H$6,0))</f>
        <v>164000</v>
      </c>
      <c r="X161" s="78">
        <f>INDEX('Population Data by Age'!$B$7:$H$10366,MATCH(CONCATENATE('Tabular Pop Data by Age'!$C161,'Tabular Pop Data by Age'!X$7),'Population Data by Age'!$B$7:$B$10366,0),MATCH('Tabular Pop Data by Age'!$C$6,'Population Data by Age'!$B$6:$H$6,0))</f>
        <v>144000</v>
      </c>
      <c r="Y161" s="78">
        <f>INDEX('Population Data by Age'!$B$7:$H$10366,MATCH(CONCATENATE('Tabular Pop Data by Age'!$C161,'Tabular Pop Data by Age'!Y$7),'Population Data by Age'!$B$7:$B$10366,0),MATCH('Tabular Pop Data by Age'!$C$6,'Population Data by Age'!$B$6:$H$6,0))</f>
        <v>147000</v>
      </c>
      <c r="Z161" s="78">
        <f>INDEX('Population Data by Age'!$B$7:$H$10366,MATCH(CONCATENATE('Tabular Pop Data by Age'!$C161,'Tabular Pop Data by Age'!Z$7),'Population Data by Age'!$B$7:$B$10366,0),MATCH('Tabular Pop Data by Age'!$C$6,'Population Data by Age'!$B$6:$H$6,0))</f>
        <v>128000</v>
      </c>
      <c r="AA161" s="78">
        <f>INDEX('Population Data by Age'!$B$7:$H$10366,MATCH(CONCATENATE('Tabular Pop Data by Age'!$C161,'Tabular Pop Data by Age'!AA$7),'Population Data by Age'!$B$7:$B$10366,0),MATCH('Tabular Pop Data by Age'!$C$6,'Population Data by Age'!$B$6:$H$6,0))</f>
        <v>130000</v>
      </c>
      <c r="AB161" s="78">
        <f>INDEX('Population Data by Age'!$B$7:$H$10366,MATCH(CONCATENATE('Tabular Pop Data by Age'!$C161,'Tabular Pop Data by Age'!AB$7),'Population Data by Age'!$B$7:$B$10366,0),MATCH('Tabular Pop Data by Age'!$C$6,'Population Data by Age'!$B$6:$H$6,0))</f>
        <v>109000</v>
      </c>
      <c r="AC161" s="78">
        <f>INDEX('Population Data by Age'!$B$7:$H$10366,MATCH(CONCATENATE('Tabular Pop Data by Age'!$C161,'Tabular Pop Data by Age'!AC$7),'Population Data by Age'!$B$7:$B$10366,0),MATCH('Tabular Pop Data by Age'!$C$6,'Population Data by Age'!$B$6:$H$6,0))</f>
        <v>111000</v>
      </c>
      <c r="AD161" s="78">
        <f>INDEX('Population Data by Age'!$B$7:$H$10366,MATCH(CONCATENATE('Tabular Pop Data by Age'!$C161,'Tabular Pop Data by Age'!AD$7),'Population Data by Age'!$B$7:$B$10366,0),MATCH('Tabular Pop Data by Age'!$C$6,'Population Data by Age'!$B$6:$H$6,0))</f>
        <v>91000</v>
      </c>
      <c r="AE161" s="78">
        <f>INDEX('Population Data by Age'!$B$7:$H$10366,MATCH(CONCATENATE('Tabular Pop Data by Age'!$C161,'Tabular Pop Data by Age'!AE$7),'Population Data by Age'!$B$7:$B$10366,0),MATCH('Tabular Pop Data by Age'!$C$6,'Population Data by Age'!$B$6:$H$6,0))</f>
        <v>91000</v>
      </c>
      <c r="AF161" s="78">
        <f>INDEX('Population Data by Age'!$B$7:$H$10366,MATCH(CONCATENATE('Tabular Pop Data by Age'!$C161,'Tabular Pop Data by Age'!AF$7),'Population Data by Age'!$B$7:$B$10366,0),MATCH('Tabular Pop Data by Age'!$C$6,'Population Data by Age'!$B$6:$H$6,0))</f>
        <v>65000</v>
      </c>
      <c r="AG161" s="78">
        <f>INDEX('Population Data by Age'!$B$7:$H$10366,MATCH(CONCATENATE('Tabular Pop Data by Age'!$C161,'Tabular Pop Data by Age'!AG$7),'Population Data by Age'!$B$7:$B$10366,0),MATCH('Tabular Pop Data by Age'!$C$6,'Population Data by Age'!$B$6:$H$6,0))</f>
        <v>62000</v>
      </c>
      <c r="AH161" s="78">
        <f>INDEX('Population Data by Age'!$B$7:$H$10366,MATCH(CONCATENATE('Tabular Pop Data by Age'!$C161,'Tabular Pop Data by Age'!AH$7),'Population Data by Age'!$B$7:$B$10366,0),MATCH('Tabular Pop Data by Age'!$C$6,'Population Data by Age'!$B$6:$H$6,0))</f>
        <v>46000</v>
      </c>
      <c r="AI161" s="78">
        <f>INDEX('Population Data by Age'!$B$7:$H$10366,MATCH(CONCATENATE('Tabular Pop Data by Age'!$C161,'Tabular Pop Data by Age'!AI$7),'Population Data by Age'!$B$7:$B$10366,0),MATCH('Tabular Pop Data by Age'!$C$6,'Population Data by Age'!$B$6:$H$6,0))</f>
        <v>41000</v>
      </c>
      <c r="AJ161" s="78">
        <f>INDEX('Population Data by Age'!$B$7:$H$10366,MATCH(CONCATENATE('Tabular Pop Data by Age'!$C161,'Tabular Pop Data by Age'!AJ$7),'Population Data by Age'!$B$7:$B$10366,0),MATCH('Tabular Pop Data by Age'!$C$6,'Population Data by Age'!$B$6:$H$6,0))</f>
        <v>52000</v>
      </c>
      <c r="AK161" s="78">
        <f>INDEX('Population Data by Age'!$B$7:$H$10366,MATCH(CONCATENATE('Tabular Pop Data by Age'!$C161,'Tabular Pop Data by Age'!AK$7),'Population Data by Age'!$B$7:$B$10366,0),MATCH('Tabular Pop Data by Age'!$C$6,'Population Data by Age'!$B$6:$H$6,0))</f>
        <v>39000</v>
      </c>
      <c r="AL161" s="78">
        <f>INDEX('Population Data by Age'!$B$7:$H$10366,MATCH(CONCATENATE('Tabular Pop Data by Age'!$C161,'Tabular Pop Data by Age'!AL$7),'Population Data by Age'!$B$7:$B$10366,0),MATCH('Tabular Pop Data by Age'!$C$6,'Population Data by Age'!$B$6:$H$6,0))</f>
        <v>3508000</v>
      </c>
      <c r="AM161" s="78">
        <f>INDEX('Population Data by Age'!$B$7:$H$10366,MATCH(CONCATENATE('Tabular Pop Data by Age'!$C161,'Tabular Pop Data by Age'!AM$7),'Population Data by Age'!$B$7:$B$10366,0),MATCH('Tabular Pop Data by Age'!$C$6,'Population Data by Age'!$B$6:$H$6,0))</f>
        <v>3624000</v>
      </c>
      <c r="AN161" s="78">
        <f>INDEX('Population Data by Age'!$B$7:$H$10366,MATCH(CONCATENATE('Tabular Pop Data by Age'!$C161,'Tabular Pop Data by Age'!AN$7),'Population Data by Age'!$B$7:$B$10366,0),MATCH('Tabular Pop Data by Age'!$C$6,'Population Data by Age'!$B$6:$H$6,0))</f>
        <v>7133000</v>
      </c>
      <c r="AO161" s="78">
        <f>INDEX('Population Data by Age'!$B$7:$H$10366,MATCH(CONCATENATE('Tabular Pop Data by Age'!$C161,'Tabular Pop Data by Age'!AO$7),'Population Data by Age'!$B$7:$B$10366,0),MATCH('Tabular Pop Data by Age'!$C$6,'Population Data by Age'!$B$6:$H$6,0))</f>
        <v>0</v>
      </c>
      <c r="AP161" s="79">
        <f t="shared" si="34"/>
        <v>701000</v>
      </c>
      <c r="AQ161" s="79">
        <f t="shared" si="35"/>
        <v>683000</v>
      </c>
      <c r="AR161" s="79">
        <f t="shared" si="36"/>
        <v>677000</v>
      </c>
      <c r="AS161" s="79">
        <f t="shared" si="37"/>
        <v>659000</v>
      </c>
      <c r="AT161" s="79">
        <f t="shared" si="38"/>
        <v>677000</v>
      </c>
      <c r="AU161" s="79">
        <f t="shared" si="39"/>
        <v>643000</v>
      </c>
      <c r="AV161" s="79">
        <f t="shared" si="40"/>
        <v>595000</v>
      </c>
      <c r="AW161" s="79">
        <f t="shared" si="41"/>
        <v>514000</v>
      </c>
      <c r="AX161" s="79">
        <f t="shared" si="42"/>
        <v>407000</v>
      </c>
      <c r="AY161" s="79">
        <f t="shared" si="43"/>
        <v>321000</v>
      </c>
      <c r="AZ161" s="79">
        <f t="shared" si="44"/>
        <v>291000</v>
      </c>
      <c r="BA161" s="79">
        <f t="shared" si="45"/>
        <v>258000</v>
      </c>
      <c r="BB161" s="79">
        <f t="shared" si="46"/>
        <v>220000</v>
      </c>
      <c r="BC161" s="79">
        <f t="shared" si="47"/>
        <v>182000</v>
      </c>
      <c r="BD161" s="79">
        <f t="shared" si="48"/>
        <v>127000</v>
      </c>
      <c r="BE161" s="79">
        <f t="shared" si="49"/>
        <v>87000</v>
      </c>
      <c r="BF161" s="79">
        <f t="shared" si="50"/>
        <v>91000</v>
      </c>
    </row>
    <row r="162" spans="1:58" x14ac:dyDescent="0.25">
      <c r="A162" s="138" t="s">
        <v>1195</v>
      </c>
      <c r="B162" t="s">
        <v>607</v>
      </c>
      <c r="C162" t="s">
        <v>114</v>
      </c>
      <c r="D162" s="78">
        <f>INDEX('Population Data by Age'!$B$7:$H$10366,MATCH(CONCATENATE('Tabular Pop Data by Age'!$C162,'Tabular Pop Data by Age'!D$7),'Population Data by Age'!$B$7:$B$10366,0),MATCH('Tabular Pop Data by Age'!$C$6,'Population Data by Age'!$B$6:$H$6,0))</f>
        <v>1383000</v>
      </c>
      <c r="E162" s="78">
        <f>INDEX('Population Data by Age'!$B$7:$H$10366,MATCH(CONCATENATE('Tabular Pop Data by Age'!$C162,'Tabular Pop Data by Age'!E$7),'Population Data by Age'!$B$7:$B$10366,0),MATCH('Tabular Pop Data by Age'!$C$6,'Population Data by Age'!$B$6:$H$6,0))</f>
        <v>1450000</v>
      </c>
      <c r="F162" s="78">
        <f>INDEX('Population Data by Age'!$B$7:$H$10366,MATCH(CONCATENATE('Tabular Pop Data by Age'!$C162,'Tabular Pop Data by Age'!F$7),'Population Data by Age'!$B$7:$B$10366,0),MATCH('Tabular Pop Data by Age'!$C$6,'Population Data by Age'!$B$6:$H$6,0))</f>
        <v>1303000</v>
      </c>
      <c r="G162" s="78">
        <f>INDEX('Population Data by Age'!$B$7:$H$10366,MATCH(CONCATENATE('Tabular Pop Data by Age'!$C162,'Tabular Pop Data by Age'!G$7),'Population Data by Age'!$B$7:$B$10366,0),MATCH('Tabular Pop Data by Age'!$C$6,'Population Data by Age'!$B$6:$H$6,0))</f>
        <v>1309000</v>
      </c>
      <c r="H162" s="78">
        <f>INDEX('Population Data by Age'!$B$7:$H$10366,MATCH(CONCATENATE('Tabular Pop Data by Age'!$C162,'Tabular Pop Data by Age'!H$7),'Population Data by Age'!$B$7:$B$10366,0),MATCH('Tabular Pop Data by Age'!$C$6,'Population Data by Age'!$B$6:$H$6,0))</f>
        <v>1370000</v>
      </c>
      <c r="I162" s="78">
        <f>INDEX('Population Data by Age'!$B$7:$H$10366,MATCH(CONCATENATE('Tabular Pop Data by Age'!$C162,'Tabular Pop Data by Age'!I$7),'Population Data by Age'!$B$7:$B$10366,0),MATCH('Tabular Pop Data by Age'!$C$6,'Population Data by Age'!$B$6:$H$6,0))</f>
        <v>1326000</v>
      </c>
      <c r="J162" s="78">
        <f>INDEX('Population Data by Age'!$B$7:$H$10366,MATCH(CONCATENATE('Tabular Pop Data by Age'!$C162,'Tabular Pop Data by Age'!J$7),'Population Data by Age'!$B$7:$B$10366,0),MATCH('Tabular Pop Data by Age'!$C$6,'Population Data by Age'!$B$6:$H$6,0))</f>
        <v>1257000</v>
      </c>
      <c r="K162" s="78">
        <f>INDEX('Population Data by Age'!$B$7:$H$10366,MATCH(CONCATENATE('Tabular Pop Data by Age'!$C162,'Tabular Pop Data by Age'!K$7),'Population Data by Age'!$B$7:$B$10366,0),MATCH('Tabular Pop Data by Age'!$C$6,'Population Data by Age'!$B$6:$H$6,0))</f>
        <v>1182000</v>
      </c>
      <c r="L162" s="78">
        <f>INDEX('Population Data by Age'!$B$7:$H$10366,MATCH(CONCATENATE('Tabular Pop Data by Age'!$C162,'Tabular Pop Data by Age'!L$7),'Population Data by Age'!$B$7:$B$10366,0),MATCH('Tabular Pop Data by Age'!$C$6,'Population Data by Age'!$B$6:$H$6,0))</f>
        <v>1399000</v>
      </c>
      <c r="M162" s="78">
        <f>INDEX('Population Data by Age'!$B$7:$H$10366,MATCH(CONCATENATE('Tabular Pop Data by Age'!$C162,'Tabular Pop Data by Age'!M$7),'Population Data by Age'!$B$7:$B$10366,0),MATCH('Tabular Pop Data by Age'!$C$6,'Population Data by Age'!$B$6:$H$6,0))</f>
        <v>1209000</v>
      </c>
      <c r="N162" s="78">
        <f>INDEX('Population Data by Age'!$B$7:$H$10366,MATCH(CONCATENATE('Tabular Pop Data by Age'!$C162,'Tabular Pop Data by Age'!N$7),'Population Data by Age'!$B$7:$B$10366,0),MATCH('Tabular Pop Data by Age'!$C$6,'Population Data by Age'!$B$6:$H$6,0))</f>
        <v>1406000</v>
      </c>
      <c r="O162" s="78">
        <f>INDEX('Population Data by Age'!$B$7:$H$10366,MATCH(CONCATENATE('Tabular Pop Data by Age'!$C162,'Tabular Pop Data by Age'!O$7),'Population Data by Age'!$B$7:$B$10366,0),MATCH('Tabular Pop Data by Age'!$C$6,'Population Data by Age'!$B$6:$H$6,0))</f>
        <v>1361000</v>
      </c>
      <c r="P162" s="78">
        <f>INDEX('Population Data by Age'!$B$7:$H$10366,MATCH(CONCATENATE('Tabular Pop Data by Age'!$C162,'Tabular Pop Data by Age'!P$7),'Population Data by Age'!$B$7:$B$10366,0),MATCH('Tabular Pop Data by Age'!$C$6,'Population Data by Age'!$B$6:$H$6,0))</f>
        <v>1320000</v>
      </c>
      <c r="Q162" s="78">
        <f>INDEX('Population Data by Age'!$B$7:$H$10366,MATCH(CONCATENATE('Tabular Pop Data by Age'!$C162,'Tabular Pop Data by Age'!Q$7),'Population Data by Age'!$B$7:$B$10366,0),MATCH('Tabular Pop Data by Age'!$C$6,'Population Data by Age'!$B$6:$H$6,0))</f>
        <v>1373000</v>
      </c>
      <c r="R162" s="78">
        <f>INDEX('Population Data by Age'!$B$7:$H$10366,MATCH(CONCATENATE('Tabular Pop Data by Age'!$C162,'Tabular Pop Data by Age'!R$7),'Population Data by Age'!$B$7:$B$10366,0),MATCH('Tabular Pop Data by Age'!$C$6,'Population Data by Age'!$B$6:$H$6,0))</f>
        <v>1229000</v>
      </c>
      <c r="S162" s="78">
        <f>INDEX('Population Data by Age'!$B$7:$H$10366,MATCH(CONCATENATE('Tabular Pop Data by Age'!$C162,'Tabular Pop Data by Age'!S$7),'Population Data by Age'!$B$7:$B$10366,0),MATCH('Tabular Pop Data by Age'!$C$6,'Population Data by Age'!$B$6:$H$6,0))</f>
        <v>1309000</v>
      </c>
      <c r="T162" s="78">
        <f>INDEX('Population Data by Age'!$B$7:$H$10366,MATCH(CONCATENATE('Tabular Pop Data by Age'!$C162,'Tabular Pop Data by Age'!T$7),'Population Data by Age'!$B$7:$B$10366,0),MATCH('Tabular Pop Data by Age'!$C$6,'Population Data by Age'!$B$6:$H$6,0))</f>
        <v>1120000</v>
      </c>
      <c r="U162" s="78">
        <f>INDEX('Population Data by Age'!$B$7:$H$10366,MATCH(CONCATENATE('Tabular Pop Data by Age'!$C162,'Tabular Pop Data by Age'!U$7),'Population Data by Age'!$B$7:$B$10366,0),MATCH('Tabular Pop Data by Age'!$C$6,'Population Data by Age'!$B$6:$H$6,0))</f>
        <v>1181000</v>
      </c>
      <c r="V162" s="78">
        <f>INDEX('Population Data by Age'!$B$7:$H$10366,MATCH(CONCATENATE('Tabular Pop Data by Age'!$C162,'Tabular Pop Data by Age'!V$7),'Population Data by Age'!$B$7:$B$10366,0),MATCH('Tabular Pop Data by Age'!$C$6,'Population Data by Age'!$B$6:$H$6,0))</f>
        <v>998000</v>
      </c>
      <c r="W162" s="78">
        <f>INDEX('Population Data by Age'!$B$7:$H$10366,MATCH(CONCATENATE('Tabular Pop Data by Age'!$C162,'Tabular Pop Data by Age'!W$7),'Population Data by Age'!$B$7:$B$10366,0),MATCH('Tabular Pop Data by Age'!$C$6,'Population Data by Age'!$B$6:$H$6,0))</f>
        <v>1048000</v>
      </c>
      <c r="X162" s="78">
        <f>INDEX('Population Data by Age'!$B$7:$H$10366,MATCH(CONCATENATE('Tabular Pop Data by Age'!$C162,'Tabular Pop Data by Age'!X$7),'Population Data by Age'!$B$7:$B$10366,0),MATCH('Tabular Pop Data by Age'!$C$6,'Population Data by Age'!$B$6:$H$6,0))</f>
        <v>892000</v>
      </c>
      <c r="Y162" s="78">
        <f>INDEX('Population Data by Age'!$B$7:$H$10366,MATCH(CONCATENATE('Tabular Pop Data by Age'!$C162,'Tabular Pop Data by Age'!Y$7),'Population Data by Age'!$B$7:$B$10366,0),MATCH('Tabular Pop Data by Age'!$C$6,'Population Data by Age'!$B$6:$H$6,0))</f>
        <v>900000</v>
      </c>
      <c r="Z162" s="78">
        <f>INDEX('Population Data by Age'!$B$7:$H$10366,MATCH(CONCATENATE('Tabular Pop Data by Age'!$C162,'Tabular Pop Data by Age'!Z$7),'Population Data by Age'!$B$7:$B$10366,0),MATCH('Tabular Pop Data by Age'!$C$6,'Population Data by Age'!$B$6:$H$6,0))</f>
        <v>764000</v>
      </c>
      <c r="AA162" s="78">
        <f>INDEX('Population Data by Age'!$B$7:$H$10366,MATCH(CONCATENATE('Tabular Pop Data by Age'!$C162,'Tabular Pop Data by Age'!AA$7),'Population Data by Age'!$B$7:$B$10366,0),MATCH('Tabular Pop Data by Age'!$C$6,'Population Data by Age'!$B$6:$H$6,0))</f>
        <v>758000</v>
      </c>
      <c r="AB162" s="78">
        <f>INDEX('Population Data by Age'!$B$7:$H$10366,MATCH(CONCATENATE('Tabular Pop Data by Age'!$C162,'Tabular Pop Data by Age'!AB$7),'Population Data by Age'!$B$7:$B$10366,0),MATCH('Tabular Pop Data by Age'!$C$6,'Population Data by Age'!$B$6:$H$6,0))</f>
        <v>630000</v>
      </c>
      <c r="AC162" s="78">
        <f>INDEX('Population Data by Age'!$B$7:$H$10366,MATCH(CONCATENATE('Tabular Pop Data by Age'!$C162,'Tabular Pop Data by Age'!AC$7),'Population Data by Age'!$B$7:$B$10366,0),MATCH('Tabular Pop Data by Age'!$C$6,'Population Data by Age'!$B$6:$H$6,0))</f>
        <v>617000</v>
      </c>
      <c r="AD162" s="78">
        <f>INDEX('Population Data by Age'!$B$7:$H$10366,MATCH(CONCATENATE('Tabular Pop Data by Age'!$C162,'Tabular Pop Data by Age'!AD$7),'Population Data by Age'!$B$7:$B$10366,0),MATCH('Tabular Pop Data by Age'!$C$6,'Population Data by Age'!$B$6:$H$6,0))</f>
        <v>528000</v>
      </c>
      <c r="AE162" s="78">
        <f>INDEX('Population Data by Age'!$B$7:$H$10366,MATCH(CONCATENATE('Tabular Pop Data by Age'!$C162,'Tabular Pop Data by Age'!AE$7),'Population Data by Age'!$B$7:$B$10366,0),MATCH('Tabular Pop Data by Age'!$C$6,'Population Data by Age'!$B$6:$H$6,0))</f>
        <v>501000</v>
      </c>
      <c r="AF162" s="78">
        <f>INDEX('Population Data by Age'!$B$7:$H$10366,MATCH(CONCATENATE('Tabular Pop Data by Age'!$C162,'Tabular Pop Data by Age'!AF$7),'Population Data by Age'!$B$7:$B$10366,0),MATCH('Tabular Pop Data by Age'!$C$6,'Population Data by Age'!$B$6:$H$6,0))</f>
        <v>379000</v>
      </c>
      <c r="AG162" s="78">
        <f>INDEX('Population Data by Age'!$B$7:$H$10366,MATCH(CONCATENATE('Tabular Pop Data by Age'!$C162,'Tabular Pop Data by Age'!AG$7),'Population Data by Age'!$B$7:$B$10366,0),MATCH('Tabular Pop Data by Age'!$C$6,'Population Data by Age'!$B$6:$H$6,0))</f>
        <v>353000</v>
      </c>
      <c r="AH162" s="78">
        <f>INDEX('Population Data by Age'!$B$7:$H$10366,MATCH(CONCATENATE('Tabular Pop Data by Age'!$C162,'Tabular Pop Data by Age'!AH$7),'Population Data by Age'!$B$7:$B$10366,0),MATCH('Tabular Pop Data by Age'!$C$6,'Population Data by Age'!$B$6:$H$6,0))</f>
        <v>280000</v>
      </c>
      <c r="AI162" s="78">
        <f>INDEX('Population Data by Age'!$B$7:$H$10366,MATCH(CONCATENATE('Tabular Pop Data by Age'!$C162,'Tabular Pop Data by Age'!AI$7),'Population Data by Age'!$B$7:$B$10366,0),MATCH('Tabular Pop Data by Age'!$C$6,'Population Data by Age'!$B$6:$H$6,0))</f>
        <v>244000</v>
      </c>
      <c r="AJ162" s="78">
        <f>INDEX('Population Data by Age'!$B$7:$H$10366,MATCH(CONCATENATE('Tabular Pop Data by Age'!$C162,'Tabular Pop Data by Age'!AJ$7),'Population Data by Age'!$B$7:$B$10366,0),MATCH('Tabular Pop Data by Age'!$C$6,'Population Data by Age'!$B$6:$H$6,0))</f>
        <v>334000</v>
      </c>
      <c r="AK162" s="78">
        <f>INDEX('Population Data by Age'!$B$7:$H$10366,MATCH(CONCATENATE('Tabular Pop Data by Age'!$C162,'Tabular Pop Data by Age'!AK$7),'Population Data by Age'!$B$7:$B$10366,0),MATCH('Tabular Pop Data by Age'!$C$6,'Population Data by Age'!$B$6:$H$6,0))</f>
        <v>258000</v>
      </c>
      <c r="AL162" s="78">
        <f>INDEX('Population Data by Age'!$B$7:$H$10366,MATCH(CONCATENATE('Tabular Pop Data by Age'!$C162,'Tabular Pop Data by Age'!AL$7),'Population Data by Age'!$B$7:$B$10366,0),MATCH('Tabular Pop Data by Age'!$C$6,'Population Data by Age'!$B$6:$H$6,0))</f>
        <v>16593000</v>
      </c>
      <c r="AM162" s="78">
        <f>INDEX('Population Data by Age'!$B$7:$H$10366,MATCH(CONCATENATE('Tabular Pop Data by Age'!$C162,'Tabular Pop Data by Age'!AM$7),'Population Data by Age'!$B$7:$B$10366,0),MATCH('Tabular Pop Data by Age'!$C$6,'Population Data by Age'!$B$6:$H$6,0))</f>
        <v>16379000</v>
      </c>
      <c r="AN162" s="78">
        <f>INDEX('Population Data by Age'!$B$7:$H$10366,MATCH(CONCATENATE('Tabular Pop Data by Age'!$C162,'Tabular Pop Data by Age'!AN$7),'Population Data by Age'!$B$7:$B$10366,0),MATCH('Tabular Pop Data by Age'!$C$6,'Population Data by Age'!$B$6:$H$6,0))</f>
        <v>32972000</v>
      </c>
      <c r="AO162" s="78">
        <f>INDEX('Population Data by Age'!$B$7:$H$10366,MATCH(CONCATENATE('Tabular Pop Data by Age'!$C162,'Tabular Pop Data by Age'!AO$7),'Population Data by Age'!$B$7:$B$10366,0),MATCH('Tabular Pop Data by Age'!$C$6,'Population Data by Age'!$B$6:$H$6,0))</f>
        <v>0</v>
      </c>
      <c r="AP162" s="79">
        <f t="shared" si="34"/>
        <v>2833000</v>
      </c>
      <c r="AQ162" s="79">
        <f t="shared" si="35"/>
        <v>2612000</v>
      </c>
      <c r="AR162" s="79">
        <f t="shared" si="36"/>
        <v>2696000</v>
      </c>
      <c r="AS162" s="79">
        <f t="shared" si="37"/>
        <v>2439000</v>
      </c>
      <c r="AT162" s="79">
        <f t="shared" si="38"/>
        <v>2608000</v>
      </c>
      <c r="AU162" s="79">
        <f t="shared" si="39"/>
        <v>2767000</v>
      </c>
      <c r="AV162" s="79">
        <f t="shared" si="40"/>
        <v>2693000</v>
      </c>
      <c r="AW162" s="79">
        <f t="shared" si="41"/>
        <v>2538000</v>
      </c>
      <c r="AX162" s="79">
        <f t="shared" si="42"/>
        <v>2301000</v>
      </c>
      <c r="AY162" s="79">
        <f t="shared" si="43"/>
        <v>2046000</v>
      </c>
      <c r="AZ162" s="79">
        <f t="shared" si="44"/>
        <v>1792000</v>
      </c>
      <c r="BA162" s="79">
        <f t="shared" si="45"/>
        <v>1522000</v>
      </c>
      <c r="BB162" s="79">
        <f t="shared" si="46"/>
        <v>1247000</v>
      </c>
      <c r="BC162" s="79">
        <f t="shared" si="47"/>
        <v>1029000</v>
      </c>
      <c r="BD162" s="79">
        <f t="shared" si="48"/>
        <v>732000</v>
      </c>
      <c r="BE162" s="79">
        <f t="shared" si="49"/>
        <v>524000</v>
      </c>
      <c r="BF162" s="79">
        <f t="shared" si="50"/>
        <v>592000</v>
      </c>
    </row>
    <row r="163" spans="1:58" x14ac:dyDescent="0.25">
      <c r="A163" s="138" t="s">
        <v>1195</v>
      </c>
      <c r="B163" t="s">
        <v>253</v>
      </c>
      <c r="C163" t="s">
        <v>115</v>
      </c>
      <c r="D163" s="78">
        <f>INDEX('Population Data by Age'!$B$7:$H$10366,MATCH(CONCATENATE('Tabular Pop Data by Age'!$C163,'Tabular Pop Data by Age'!D$7),'Population Data by Age'!$B$7:$B$10366,0),MATCH('Tabular Pop Data by Age'!$C$6,'Population Data by Age'!$B$6:$H$6,0))</f>
        <v>5166000</v>
      </c>
      <c r="E163" s="78">
        <f>INDEX('Population Data by Age'!$B$7:$H$10366,MATCH(CONCATENATE('Tabular Pop Data by Age'!$C163,'Tabular Pop Data by Age'!E$7),'Population Data by Age'!$B$7:$B$10366,0),MATCH('Tabular Pop Data by Age'!$C$6,'Population Data by Age'!$B$6:$H$6,0))</f>
        <v>5451000</v>
      </c>
      <c r="F163" s="78">
        <f>INDEX('Population Data by Age'!$B$7:$H$10366,MATCH(CONCATENATE('Tabular Pop Data by Age'!$C163,'Tabular Pop Data by Age'!F$7),'Population Data by Age'!$B$7:$B$10366,0),MATCH('Tabular Pop Data by Age'!$C$6,'Population Data by Age'!$B$6:$H$6,0))</f>
        <v>5552000</v>
      </c>
      <c r="G163" s="78">
        <f>INDEX('Population Data by Age'!$B$7:$H$10366,MATCH(CONCATENATE('Tabular Pop Data by Age'!$C163,'Tabular Pop Data by Age'!G$7),'Population Data by Age'!$B$7:$B$10366,0),MATCH('Tabular Pop Data by Age'!$C$6,'Population Data by Age'!$B$6:$H$6,0))</f>
        <v>5846000</v>
      </c>
      <c r="H163" s="78">
        <f>INDEX('Population Data by Age'!$B$7:$H$10366,MATCH(CONCATENATE('Tabular Pop Data by Age'!$C163,'Tabular Pop Data by Age'!H$7),'Population Data by Age'!$B$7:$B$10366,0),MATCH('Tabular Pop Data by Age'!$C$6,'Population Data by Age'!$B$6:$H$6,0))</f>
        <v>5329000</v>
      </c>
      <c r="I163" s="78">
        <f>INDEX('Population Data by Age'!$B$7:$H$10366,MATCH(CONCATENATE('Tabular Pop Data by Age'!$C163,'Tabular Pop Data by Age'!I$7),'Population Data by Age'!$B$7:$B$10366,0),MATCH('Tabular Pop Data by Age'!$C$6,'Population Data by Age'!$B$6:$H$6,0))</f>
        <v>5578000</v>
      </c>
      <c r="J163" s="78">
        <f>INDEX('Population Data by Age'!$B$7:$H$10366,MATCH(CONCATENATE('Tabular Pop Data by Age'!$C163,'Tabular Pop Data by Age'!J$7),'Population Data by Age'!$B$7:$B$10366,0),MATCH('Tabular Pop Data by Age'!$C$6,'Population Data by Age'!$B$6:$H$6,0))</f>
        <v>5055000</v>
      </c>
      <c r="K163" s="78">
        <f>INDEX('Population Data by Age'!$B$7:$H$10366,MATCH(CONCATENATE('Tabular Pop Data by Age'!$C163,'Tabular Pop Data by Age'!K$7),'Population Data by Age'!$B$7:$B$10366,0),MATCH('Tabular Pop Data by Age'!$C$6,'Population Data by Age'!$B$6:$H$6,0))</f>
        <v>5408000</v>
      </c>
      <c r="L163" s="78">
        <f>INDEX('Population Data by Age'!$B$7:$H$10366,MATCH(CONCATENATE('Tabular Pop Data by Age'!$C163,'Tabular Pop Data by Age'!L$7),'Population Data by Age'!$B$7:$B$10366,0),MATCH('Tabular Pop Data by Age'!$C$6,'Population Data by Age'!$B$6:$H$6,0))</f>
        <v>4913000</v>
      </c>
      <c r="M163" s="78">
        <f>INDEX('Population Data by Age'!$B$7:$H$10366,MATCH(CONCATENATE('Tabular Pop Data by Age'!$C163,'Tabular Pop Data by Age'!M$7),'Population Data by Age'!$B$7:$B$10366,0),MATCH('Tabular Pop Data by Age'!$C$6,'Population Data by Age'!$B$6:$H$6,0))</f>
        <v>5192000</v>
      </c>
      <c r="N163" s="78">
        <f>INDEX('Population Data by Age'!$B$7:$H$10366,MATCH(CONCATENATE('Tabular Pop Data by Age'!$C163,'Tabular Pop Data by Age'!N$7),'Population Data by Age'!$B$7:$B$10366,0),MATCH('Tabular Pop Data by Age'!$C$6,'Population Data by Age'!$B$6:$H$6,0))</f>
        <v>4672000</v>
      </c>
      <c r="O163" s="78">
        <f>INDEX('Population Data by Age'!$B$7:$H$10366,MATCH(CONCATENATE('Tabular Pop Data by Age'!$C163,'Tabular Pop Data by Age'!O$7),'Population Data by Age'!$B$7:$B$10366,0),MATCH('Tabular Pop Data by Age'!$C$6,'Population Data by Age'!$B$6:$H$6,0))</f>
        <v>4808000</v>
      </c>
      <c r="P163" s="78">
        <f>INDEX('Population Data by Age'!$B$7:$H$10366,MATCH(CONCATENATE('Tabular Pop Data by Age'!$C163,'Tabular Pop Data by Age'!P$7),'Population Data by Age'!$B$7:$B$10366,0),MATCH('Tabular Pop Data by Age'!$C$6,'Population Data by Age'!$B$6:$H$6,0))</f>
        <v>4080000</v>
      </c>
      <c r="Q163" s="78">
        <f>INDEX('Population Data by Age'!$B$7:$H$10366,MATCH(CONCATENATE('Tabular Pop Data by Age'!$C163,'Tabular Pop Data by Age'!Q$7),'Population Data by Age'!$B$7:$B$10366,0),MATCH('Tabular Pop Data by Age'!$C$6,'Population Data by Age'!$B$6:$H$6,0))</f>
        <v>4167000</v>
      </c>
      <c r="R163" s="78">
        <f>INDEX('Population Data by Age'!$B$7:$H$10366,MATCH(CONCATENATE('Tabular Pop Data by Age'!$C163,'Tabular Pop Data by Age'!R$7),'Population Data by Age'!$B$7:$B$10366,0),MATCH('Tabular Pop Data by Age'!$C$6,'Population Data by Age'!$B$6:$H$6,0))</f>
        <v>3610000</v>
      </c>
      <c r="S163" s="78">
        <f>INDEX('Population Data by Age'!$B$7:$H$10366,MATCH(CONCATENATE('Tabular Pop Data by Age'!$C163,'Tabular Pop Data by Age'!S$7),'Population Data by Age'!$B$7:$B$10366,0),MATCH('Tabular Pop Data by Age'!$C$6,'Population Data by Age'!$B$6:$H$6,0))</f>
        <v>3645000</v>
      </c>
      <c r="T163" s="78">
        <f>INDEX('Population Data by Age'!$B$7:$H$10366,MATCH(CONCATENATE('Tabular Pop Data by Age'!$C163,'Tabular Pop Data by Age'!T$7),'Population Data by Age'!$B$7:$B$10366,0),MATCH('Tabular Pop Data by Age'!$C$6,'Population Data by Age'!$B$6:$H$6,0))</f>
        <v>3255000</v>
      </c>
      <c r="U163" s="78">
        <f>INDEX('Population Data by Age'!$B$7:$H$10366,MATCH(CONCATENATE('Tabular Pop Data by Age'!$C163,'Tabular Pop Data by Age'!U$7),'Population Data by Age'!$B$7:$B$10366,0),MATCH('Tabular Pop Data by Age'!$C$6,'Population Data by Age'!$B$6:$H$6,0))</f>
        <v>3297000</v>
      </c>
      <c r="V163" s="78">
        <f>INDEX('Population Data by Age'!$B$7:$H$10366,MATCH(CONCATENATE('Tabular Pop Data by Age'!$C163,'Tabular Pop Data by Age'!V$7),'Population Data by Age'!$B$7:$B$10366,0),MATCH('Tabular Pop Data by Age'!$C$6,'Population Data by Age'!$B$6:$H$6,0))</f>
        <v>2876000</v>
      </c>
      <c r="W163" s="78">
        <f>INDEX('Population Data by Age'!$B$7:$H$10366,MATCH(CONCATENATE('Tabular Pop Data by Age'!$C163,'Tabular Pop Data by Age'!W$7),'Population Data by Age'!$B$7:$B$10366,0),MATCH('Tabular Pop Data by Age'!$C$6,'Population Data by Age'!$B$6:$H$6,0))</f>
        <v>2884000</v>
      </c>
      <c r="X163" s="78">
        <f>INDEX('Population Data by Age'!$B$7:$H$10366,MATCH(CONCATENATE('Tabular Pop Data by Age'!$C163,'Tabular Pop Data by Age'!X$7),'Population Data by Age'!$B$7:$B$10366,0),MATCH('Tabular Pop Data by Age'!$C$6,'Population Data by Age'!$B$6:$H$6,0))</f>
        <v>2578000</v>
      </c>
      <c r="Y163" s="78">
        <f>INDEX('Population Data by Age'!$B$7:$H$10366,MATCH(CONCATENATE('Tabular Pop Data by Age'!$C163,'Tabular Pop Data by Age'!Y$7),'Population Data by Age'!$B$7:$B$10366,0),MATCH('Tabular Pop Data by Age'!$C$6,'Population Data by Age'!$B$6:$H$6,0))</f>
        <v>2539000</v>
      </c>
      <c r="Z163" s="78">
        <f>INDEX('Population Data by Age'!$B$7:$H$10366,MATCH(CONCATENATE('Tabular Pop Data by Age'!$C163,'Tabular Pop Data by Age'!Z$7),'Population Data by Age'!$B$7:$B$10366,0),MATCH('Tabular Pop Data by Age'!$C$6,'Population Data by Age'!$B$6:$H$6,0))</f>
        <v>2174000</v>
      </c>
      <c r="AA163" s="78">
        <f>INDEX('Population Data by Age'!$B$7:$H$10366,MATCH(CONCATENATE('Tabular Pop Data by Age'!$C163,'Tabular Pop Data by Age'!AA$7),'Population Data by Age'!$B$7:$B$10366,0),MATCH('Tabular Pop Data by Age'!$C$6,'Population Data by Age'!$B$6:$H$6,0))</f>
        <v>2076000</v>
      </c>
      <c r="AB163" s="78">
        <f>INDEX('Population Data by Age'!$B$7:$H$10366,MATCH(CONCATENATE('Tabular Pop Data by Age'!$C163,'Tabular Pop Data by Age'!AB$7),'Population Data by Age'!$B$7:$B$10366,0),MATCH('Tabular Pop Data by Age'!$C$6,'Population Data by Age'!$B$6:$H$6,0))</f>
        <v>1778000</v>
      </c>
      <c r="AC163" s="78">
        <f>INDEX('Population Data by Age'!$B$7:$H$10366,MATCH(CONCATENATE('Tabular Pop Data by Age'!$C163,'Tabular Pop Data by Age'!AC$7),'Population Data by Age'!$B$7:$B$10366,0),MATCH('Tabular Pop Data by Age'!$C$6,'Population Data by Age'!$B$6:$H$6,0))</f>
        <v>1615000</v>
      </c>
      <c r="AD163" s="78">
        <f>INDEX('Population Data by Age'!$B$7:$H$10366,MATCH(CONCATENATE('Tabular Pop Data by Age'!$C163,'Tabular Pop Data by Age'!AD$7),'Population Data by Age'!$B$7:$B$10366,0),MATCH('Tabular Pop Data by Age'!$C$6,'Population Data by Age'!$B$6:$H$6,0))</f>
        <v>1349000</v>
      </c>
      <c r="AE163" s="78">
        <f>INDEX('Population Data by Age'!$B$7:$H$10366,MATCH(CONCATENATE('Tabular Pop Data by Age'!$C163,'Tabular Pop Data by Age'!AE$7),'Population Data by Age'!$B$7:$B$10366,0),MATCH('Tabular Pop Data by Age'!$C$6,'Population Data by Age'!$B$6:$H$6,0))</f>
        <v>1137000</v>
      </c>
      <c r="AF163" s="78">
        <f>INDEX('Population Data by Age'!$B$7:$H$10366,MATCH(CONCATENATE('Tabular Pop Data by Age'!$C163,'Tabular Pop Data by Age'!AF$7),'Population Data by Age'!$B$7:$B$10366,0),MATCH('Tabular Pop Data by Age'!$C$6,'Population Data by Age'!$B$6:$H$6,0))</f>
        <v>952000</v>
      </c>
      <c r="AG163" s="78">
        <f>INDEX('Population Data by Age'!$B$7:$H$10366,MATCH(CONCATENATE('Tabular Pop Data by Age'!$C163,'Tabular Pop Data by Age'!AG$7),'Population Data by Age'!$B$7:$B$10366,0),MATCH('Tabular Pop Data by Age'!$C$6,'Population Data by Age'!$B$6:$H$6,0))</f>
        <v>710000</v>
      </c>
      <c r="AH163" s="78">
        <f>INDEX('Population Data by Age'!$B$7:$H$10366,MATCH(CONCATENATE('Tabular Pop Data by Age'!$C163,'Tabular Pop Data by Age'!AH$7),'Population Data by Age'!$B$7:$B$10366,0),MATCH('Tabular Pop Data by Age'!$C$6,'Population Data by Age'!$B$6:$H$6,0))</f>
        <v>597000</v>
      </c>
      <c r="AI163" s="78">
        <f>INDEX('Population Data by Age'!$B$7:$H$10366,MATCH(CONCATENATE('Tabular Pop Data by Age'!$C163,'Tabular Pop Data by Age'!AI$7),'Population Data by Age'!$B$7:$B$10366,0),MATCH('Tabular Pop Data by Age'!$C$6,'Population Data by Age'!$B$6:$H$6,0))</f>
        <v>381000</v>
      </c>
      <c r="AJ163" s="78">
        <f>INDEX('Population Data by Age'!$B$7:$H$10366,MATCH(CONCATENATE('Tabular Pop Data by Age'!$C163,'Tabular Pop Data by Age'!AJ$7),'Population Data by Age'!$B$7:$B$10366,0),MATCH('Tabular Pop Data by Age'!$C$6,'Population Data by Age'!$B$6:$H$6,0))</f>
        <v>617000</v>
      </c>
      <c r="AK163" s="78">
        <f>INDEX('Population Data by Age'!$B$7:$H$10366,MATCH(CONCATENATE('Tabular Pop Data by Age'!$C163,'Tabular Pop Data by Age'!AK$7),'Population Data by Age'!$B$7:$B$10366,0),MATCH('Tabular Pop Data by Age'!$C$6,'Population Data by Age'!$B$6:$H$6,0))</f>
        <v>297000</v>
      </c>
      <c r="AL163" s="78">
        <f>INDEX('Population Data by Age'!$B$7:$H$10366,MATCH(CONCATENATE('Tabular Pop Data by Age'!$C163,'Tabular Pop Data by Age'!AL$7),'Population Data by Age'!$B$7:$B$10366,0),MATCH('Tabular Pop Data by Age'!$C$6,'Population Data by Age'!$B$6:$H$6,0))</f>
        <v>54552000</v>
      </c>
      <c r="AM163" s="78">
        <f>INDEX('Population Data by Age'!$B$7:$H$10366,MATCH(CONCATENATE('Tabular Pop Data by Age'!$C163,'Tabular Pop Data by Age'!AM$7),'Population Data by Age'!$B$7:$B$10366,0),MATCH('Tabular Pop Data by Age'!$C$6,'Population Data by Age'!$B$6:$H$6,0))</f>
        <v>55029000</v>
      </c>
      <c r="AN163" s="78">
        <f>INDEX('Population Data by Age'!$B$7:$H$10366,MATCH(CONCATENATE('Tabular Pop Data by Age'!$C163,'Tabular Pop Data by Age'!AN$7),'Population Data by Age'!$B$7:$B$10366,0),MATCH('Tabular Pop Data by Age'!$C$6,'Population Data by Age'!$B$6:$H$6,0))</f>
        <v>109581000</v>
      </c>
      <c r="AO163" s="78">
        <f>INDEX('Population Data by Age'!$B$7:$H$10366,MATCH(CONCATENATE('Tabular Pop Data by Age'!$C163,'Tabular Pop Data by Age'!AO$7),'Population Data by Age'!$B$7:$B$10366,0),MATCH('Tabular Pop Data by Age'!$C$6,'Population Data by Age'!$B$6:$H$6,0))</f>
        <v>0</v>
      </c>
      <c r="AP163" s="79">
        <f t="shared" si="34"/>
        <v>10617000</v>
      </c>
      <c r="AQ163" s="79">
        <f t="shared" si="35"/>
        <v>11398000</v>
      </c>
      <c r="AR163" s="79">
        <f t="shared" si="36"/>
        <v>10907000</v>
      </c>
      <c r="AS163" s="79">
        <f t="shared" si="37"/>
        <v>10463000</v>
      </c>
      <c r="AT163" s="79">
        <f t="shared" si="38"/>
        <v>10105000</v>
      </c>
      <c r="AU163" s="79">
        <f t="shared" si="39"/>
        <v>9480000</v>
      </c>
      <c r="AV163" s="79">
        <f t="shared" si="40"/>
        <v>8247000</v>
      </c>
      <c r="AW163" s="79">
        <f t="shared" si="41"/>
        <v>7255000</v>
      </c>
      <c r="AX163" s="79">
        <f t="shared" si="42"/>
        <v>6552000</v>
      </c>
      <c r="AY163" s="79">
        <f t="shared" si="43"/>
        <v>5760000</v>
      </c>
      <c r="AZ163" s="79">
        <f t="shared" si="44"/>
        <v>5117000</v>
      </c>
      <c r="BA163" s="79">
        <f t="shared" si="45"/>
        <v>4250000</v>
      </c>
      <c r="BB163" s="79">
        <f t="shared" si="46"/>
        <v>3393000</v>
      </c>
      <c r="BC163" s="79">
        <f t="shared" si="47"/>
        <v>2486000</v>
      </c>
      <c r="BD163" s="79">
        <f t="shared" si="48"/>
        <v>1662000</v>
      </c>
      <c r="BE163" s="79">
        <f t="shared" si="49"/>
        <v>978000</v>
      </c>
      <c r="BF163" s="79">
        <f t="shared" si="50"/>
        <v>914000</v>
      </c>
    </row>
    <row r="164" spans="1:58" x14ac:dyDescent="0.25">
      <c r="A164" s="138" t="s">
        <v>1195</v>
      </c>
      <c r="B164" t="s">
        <v>608</v>
      </c>
      <c r="C164" t="s">
        <v>117</v>
      </c>
      <c r="D164" s="78">
        <f>INDEX('Population Data by Age'!$B$7:$H$10366,MATCH(CONCATENATE('Tabular Pop Data by Age'!$C164,'Tabular Pop Data by Age'!D$7),'Population Data by Age'!$B$7:$B$10366,0),MATCH('Tabular Pop Data by Age'!$C$6,'Population Data by Age'!$B$6:$H$6,0))</f>
        <v>917000</v>
      </c>
      <c r="E164" s="78">
        <f>INDEX('Population Data by Age'!$B$7:$H$10366,MATCH(CONCATENATE('Tabular Pop Data by Age'!$C164,'Tabular Pop Data by Age'!E$7),'Population Data by Age'!$B$7:$B$10366,0),MATCH('Tabular Pop Data by Age'!$C$6,'Population Data by Age'!$B$6:$H$6,0))</f>
        <v>966000</v>
      </c>
      <c r="F164" s="78">
        <f>INDEX('Population Data by Age'!$B$7:$H$10366,MATCH(CONCATENATE('Tabular Pop Data by Age'!$C164,'Tabular Pop Data by Age'!F$7),'Population Data by Age'!$B$7:$B$10366,0),MATCH('Tabular Pop Data by Age'!$C$6,'Population Data by Age'!$B$6:$H$6,0))</f>
        <v>925000</v>
      </c>
      <c r="G164" s="78">
        <f>INDEX('Population Data by Age'!$B$7:$H$10366,MATCH(CONCATENATE('Tabular Pop Data by Age'!$C164,'Tabular Pop Data by Age'!G$7),'Population Data by Age'!$B$7:$B$10366,0),MATCH('Tabular Pop Data by Age'!$C$6,'Population Data by Age'!$B$6:$H$6,0))</f>
        <v>973000</v>
      </c>
      <c r="H164" s="78">
        <f>INDEX('Population Data by Age'!$B$7:$H$10366,MATCH(CONCATENATE('Tabular Pop Data by Age'!$C164,'Tabular Pop Data by Age'!H$7),'Population Data by Age'!$B$7:$B$10366,0),MATCH('Tabular Pop Data by Age'!$C$6,'Population Data by Age'!$B$6:$H$6,0))</f>
        <v>962000</v>
      </c>
      <c r="I164" s="78">
        <f>INDEX('Population Data by Age'!$B$7:$H$10366,MATCH(CONCATENATE('Tabular Pop Data by Age'!$C164,'Tabular Pop Data by Age'!I$7),'Population Data by Age'!$B$7:$B$10366,0),MATCH('Tabular Pop Data by Age'!$C$6,'Population Data by Age'!$B$6:$H$6,0))</f>
        <v>1010000</v>
      </c>
      <c r="J164" s="78">
        <f>INDEX('Population Data by Age'!$B$7:$H$10366,MATCH(CONCATENATE('Tabular Pop Data by Age'!$C164,'Tabular Pop Data by Age'!J$7),'Population Data by Age'!$B$7:$B$10366,0),MATCH('Tabular Pop Data by Age'!$C$6,'Population Data by Age'!$B$6:$H$6,0))</f>
        <v>852000</v>
      </c>
      <c r="K164" s="78">
        <f>INDEX('Population Data by Age'!$B$7:$H$10366,MATCH(CONCATENATE('Tabular Pop Data by Age'!$C164,'Tabular Pop Data by Age'!K$7),'Population Data by Age'!$B$7:$B$10366,0),MATCH('Tabular Pop Data by Age'!$C$6,'Population Data by Age'!$B$6:$H$6,0))</f>
        <v>881000</v>
      </c>
      <c r="L164" s="78">
        <f>INDEX('Population Data by Age'!$B$7:$H$10366,MATCH(CONCATENATE('Tabular Pop Data by Age'!$C164,'Tabular Pop Data by Age'!L$7),'Population Data by Age'!$B$7:$B$10366,0),MATCH('Tabular Pop Data by Age'!$C$6,'Population Data by Age'!$B$6:$H$6,0))</f>
        <v>970000</v>
      </c>
      <c r="M164" s="78">
        <f>INDEX('Population Data by Age'!$B$7:$H$10366,MATCH(CONCATENATE('Tabular Pop Data by Age'!$C164,'Tabular Pop Data by Age'!M$7),'Population Data by Age'!$B$7:$B$10366,0),MATCH('Tabular Pop Data by Age'!$C$6,'Population Data by Age'!$B$6:$H$6,0))</f>
        <v>994000</v>
      </c>
      <c r="N164" s="78">
        <f>INDEX('Population Data by Age'!$B$7:$H$10366,MATCH(CONCATENATE('Tabular Pop Data by Age'!$C164,'Tabular Pop Data by Age'!N$7),'Population Data by Age'!$B$7:$B$10366,0),MATCH('Tabular Pop Data by Age'!$C$6,'Population Data by Age'!$B$6:$H$6,0))</f>
        <v>1201000</v>
      </c>
      <c r="O164" s="78">
        <f>INDEX('Population Data by Age'!$B$7:$H$10366,MATCH(CONCATENATE('Tabular Pop Data by Age'!$C164,'Tabular Pop Data by Age'!O$7),'Population Data by Age'!$B$7:$B$10366,0),MATCH('Tabular Pop Data by Age'!$C$6,'Population Data by Age'!$B$6:$H$6,0))</f>
        <v>1262000</v>
      </c>
      <c r="P164" s="78">
        <f>INDEX('Population Data by Age'!$B$7:$H$10366,MATCH(CONCATENATE('Tabular Pop Data by Age'!$C164,'Tabular Pop Data by Age'!P$7),'Population Data by Age'!$B$7:$B$10366,0),MATCH('Tabular Pop Data by Age'!$C$6,'Population Data by Age'!$B$6:$H$6,0))</f>
        <v>1354000</v>
      </c>
      <c r="Q164" s="78">
        <f>INDEX('Population Data by Age'!$B$7:$H$10366,MATCH(CONCATENATE('Tabular Pop Data by Age'!$C164,'Tabular Pop Data by Age'!Q$7),'Population Data by Age'!$B$7:$B$10366,0),MATCH('Tabular Pop Data by Age'!$C$6,'Population Data by Age'!$B$6:$H$6,0))</f>
        <v>1469000</v>
      </c>
      <c r="R164" s="78">
        <f>INDEX('Population Data by Age'!$B$7:$H$10366,MATCH(CONCATENATE('Tabular Pop Data by Age'!$C164,'Tabular Pop Data by Age'!R$7),'Population Data by Age'!$B$7:$B$10366,0),MATCH('Tabular Pop Data by Age'!$C$6,'Population Data by Age'!$B$6:$H$6,0))</f>
        <v>1531000</v>
      </c>
      <c r="S164" s="78">
        <f>INDEX('Population Data by Age'!$B$7:$H$10366,MATCH(CONCATENATE('Tabular Pop Data by Age'!$C164,'Tabular Pop Data by Age'!S$7),'Population Data by Age'!$B$7:$B$10366,0),MATCH('Tabular Pop Data by Age'!$C$6,'Population Data by Age'!$B$6:$H$6,0))</f>
        <v>1645000</v>
      </c>
      <c r="T164" s="78">
        <f>INDEX('Population Data by Age'!$B$7:$H$10366,MATCH(CONCATENATE('Tabular Pop Data by Age'!$C164,'Tabular Pop Data by Age'!T$7),'Population Data by Age'!$B$7:$B$10366,0),MATCH('Tabular Pop Data by Age'!$C$6,'Population Data by Age'!$B$6:$H$6,0))</f>
        <v>1454000</v>
      </c>
      <c r="U164" s="78">
        <f>INDEX('Population Data by Age'!$B$7:$H$10366,MATCH(CONCATENATE('Tabular Pop Data by Age'!$C164,'Tabular Pop Data by Age'!U$7),'Population Data by Age'!$B$7:$B$10366,0),MATCH('Tabular Pop Data by Age'!$C$6,'Population Data by Age'!$B$6:$H$6,0))</f>
        <v>1501000</v>
      </c>
      <c r="V164" s="78">
        <f>INDEX('Population Data by Age'!$B$7:$H$10366,MATCH(CONCATENATE('Tabular Pop Data by Age'!$C164,'Tabular Pop Data by Age'!V$7),'Population Data by Age'!$B$7:$B$10366,0),MATCH('Tabular Pop Data by Age'!$C$6,'Population Data by Age'!$B$6:$H$6,0))</f>
        <v>1284000</v>
      </c>
      <c r="W164" s="78">
        <f>INDEX('Population Data by Age'!$B$7:$H$10366,MATCH(CONCATENATE('Tabular Pop Data by Age'!$C164,'Tabular Pop Data by Age'!W$7),'Population Data by Age'!$B$7:$B$10366,0),MATCH('Tabular Pop Data by Age'!$C$6,'Population Data by Age'!$B$6:$H$6,0))</f>
        <v>1290000</v>
      </c>
      <c r="X164" s="78">
        <f>INDEX('Population Data by Age'!$B$7:$H$10366,MATCH(CONCATENATE('Tabular Pop Data by Age'!$C164,'Tabular Pop Data by Age'!X$7),'Population Data by Age'!$B$7:$B$10366,0),MATCH('Tabular Pop Data by Age'!$C$6,'Population Data by Age'!$B$6:$H$6,0))</f>
        <v>1127000</v>
      </c>
      <c r="Y164" s="78">
        <f>INDEX('Population Data by Age'!$B$7:$H$10366,MATCH(CONCATENATE('Tabular Pop Data by Age'!$C164,'Tabular Pop Data by Age'!Y$7),'Population Data by Age'!$B$7:$B$10366,0),MATCH('Tabular Pop Data by Age'!$C$6,'Population Data by Age'!$B$6:$H$6,0))</f>
        <v>1109000</v>
      </c>
      <c r="Z164" s="78">
        <f>INDEX('Population Data by Age'!$B$7:$H$10366,MATCH(CONCATENATE('Tabular Pop Data by Age'!$C164,'Tabular Pop Data by Age'!Z$7),'Population Data by Age'!$B$7:$B$10366,0),MATCH('Tabular Pop Data by Age'!$C$6,'Population Data by Age'!$B$6:$H$6,0))</f>
        <v>1195000</v>
      </c>
      <c r="AA164" s="78">
        <f>INDEX('Population Data by Age'!$B$7:$H$10366,MATCH(CONCATENATE('Tabular Pop Data by Age'!$C164,'Tabular Pop Data by Age'!AA$7),'Population Data by Age'!$B$7:$B$10366,0),MATCH('Tabular Pop Data by Age'!$C$6,'Population Data by Age'!$B$6:$H$6,0))</f>
        <v>1127000</v>
      </c>
      <c r="AB164" s="78">
        <f>INDEX('Population Data by Age'!$B$7:$H$10366,MATCH(CONCATENATE('Tabular Pop Data by Age'!$C164,'Tabular Pop Data by Age'!AB$7),'Population Data by Age'!$B$7:$B$10366,0),MATCH('Tabular Pop Data by Age'!$C$6,'Population Data by Age'!$B$6:$H$6,0))</f>
        <v>1443000</v>
      </c>
      <c r="AC164" s="78">
        <f>INDEX('Population Data by Age'!$B$7:$H$10366,MATCH(CONCATENATE('Tabular Pop Data by Age'!$C164,'Tabular Pop Data by Age'!AC$7),'Population Data by Age'!$B$7:$B$10366,0),MATCH('Tabular Pop Data by Age'!$C$6,'Population Data by Age'!$B$6:$H$6,0))</f>
        <v>1279000</v>
      </c>
      <c r="AD164" s="78">
        <f>INDEX('Population Data by Age'!$B$7:$H$10366,MATCH(CONCATENATE('Tabular Pop Data by Age'!$C164,'Tabular Pop Data by Age'!AD$7),'Population Data by Age'!$B$7:$B$10366,0),MATCH('Tabular Pop Data by Age'!$C$6,'Population Data by Age'!$B$6:$H$6,0))</f>
        <v>1353000</v>
      </c>
      <c r="AE164" s="78">
        <f>INDEX('Population Data by Age'!$B$7:$H$10366,MATCH(CONCATENATE('Tabular Pop Data by Age'!$C164,'Tabular Pop Data by Age'!AE$7),'Population Data by Age'!$B$7:$B$10366,0),MATCH('Tabular Pop Data by Age'!$C$6,'Population Data by Age'!$B$6:$H$6,0))</f>
        <v>1093000</v>
      </c>
      <c r="AF164" s="78">
        <f>INDEX('Population Data by Age'!$B$7:$H$10366,MATCH(CONCATENATE('Tabular Pop Data by Age'!$C164,'Tabular Pop Data by Age'!AF$7),'Population Data by Age'!$B$7:$B$10366,0),MATCH('Tabular Pop Data by Age'!$C$6,'Population Data by Age'!$B$6:$H$6,0))</f>
        <v>1075000</v>
      </c>
      <c r="AG164" s="78">
        <f>INDEX('Population Data by Age'!$B$7:$H$10366,MATCH(CONCATENATE('Tabular Pop Data by Age'!$C164,'Tabular Pop Data by Age'!AG$7),'Population Data by Age'!$B$7:$B$10366,0),MATCH('Tabular Pop Data by Age'!$C$6,'Population Data by Age'!$B$6:$H$6,0))</f>
        <v>779000</v>
      </c>
      <c r="AH164" s="78">
        <f>INDEX('Population Data by Age'!$B$7:$H$10366,MATCH(CONCATENATE('Tabular Pop Data by Age'!$C164,'Tabular Pop Data by Age'!AH$7),'Population Data by Age'!$B$7:$B$10366,0),MATCH('Tabular Pop Data by Age'!$C$6,'Population Data by Age'!$B$6:$H$6,0))</f>
        <v>644000</v>
      </c>
      <c r="AI164" s="78">
        <f>INDEX('Population Data by Age'!$B$7:$H$10366,MATCH(CONCATENATE('Tabular Pop Data by Age'!$C164,'Tabular Pop Data by Age'!AI$7),'Population Data by Age'!$B$7:$B$10366,0),MATCH('Tabular Pop Data by Age'!$C$6,'Population Data by Age'!$B$6:$H$6,0))</f>
        <v>399000</v>
      </c>
      <c r="AJ164" s="78">
        <f>INDEX('Population Data by Age'!$B$7:$H$10366,MATCH(CONCATENATE('Tabular Pop Data by Age'!$C164,'Tabular Pop Data by Age'!AJ$7),'Population Data by Age'!$B$7:$B$10366,0),MATCH('Tabular Pop Data by Age'!$C$6,'Population Data by Age'!$B$6:$H$6,0))</f>
        <v>1200000</v>
      </c>
      <c r="AK164" s="78">
        <f>INDEX('Population Data by Age'!$B$7:$H$10366,MATCH(CONCATENATE('Tabular Pop Data by Age'!$C164,'Tabular Pop Data by Age'!AK$7),'Population Data by Age'!$B$7:$B$10366,0),MATCH('Tabular Pop Data by Age'!$C$6,'Population Data by Age'!$B$6:$H$6,0))</f>
        <v>541000</v>
      </c>
      <c r="AL164" s="78">
        <f>INDEX('Population Data by Age'!$B$7:$H$10366,MATCH(CONCATENATE('Tabular Pop Data by Age'!$C164,'Tabular Pop Data by Age'!AL$7),'Population Data by Age'!$B$7:$B$10366,0),MATCH('Tabular Pop Data by Age'!$C$6,'Population Data by Age'!$B$6:$H$6,0))</f>
        <v>19488000</v>
      </c>
      <c r="AM164" s="78">
        <f>INDEX('Population Data by Age'!$B$7:$H$10366,MATCH(CONCATENATE('Tabular Pop Data by Age'!$C164,'Tabular Pop Data by Age'!AM$7),'Population Data by Age'!$B$7:$B$10366,0),MATCH('Tabular Pop Data by Age'!$C$6,'Population Data by Age'!$B$6:$H$6,0))</f>
        <v>18318000</v>
      </c>
      <c r="AN164" s="78">
        <f>INDEX('Population Data by Age'!$B$7:$H$10366,MATCH(CONCATENATE('Tabular Pop Data by Age'!$C164,'Tabular Pop Data by Age'!AN$7),'Population Data by Age'!$B$7:$B$10366,0),MATCH('Tabular Pop Data by Age'!$C$6,'Population Data by Age'!$B$6:$H$6,0))</f>
        <v>37806000</v>
      </c>
      <c r="AO164" s="78">
        <f>INDEX('Population Data by Age'!$B$7:$H$10366,MATCH(CONCATENATE('Tabular Pop Data by Age'!$C164,'Tabular Pop Data by Age'!AO$7),'Population Data by Age'!$B$7:$B$10366,0),MATCH('Tabular Pop Data by Age'!$C$6,'Population Data by Age'!$B$6:$H$6,0))</f>
        <v>0</v>
      </c>
      <c r="AP164" s="79">
        <f t="shared" si="34"/>
        <v>1883000</v>
      </c>
      <c r="AQ164" s="79">
        <f t="shared" si="35"/>
        <v>1898000</v>
      </c>
      <c r="AR164" s="79">
        <f t="shared" si="36"/>
        <v>1972000</v>
      </c>
      <c r="AS164" s="79">
        <f t="shared" si="37"/>
        <v>1733000</v>
      </c>
      <c r="AT164" s="79">
        <f t="shared" si="38"/>
        <v>1964000</v>
      </c>
      <c r="AU164" s="79">
        <f t="shared" si="39"/>
        <v>2463000</v>
      </c>
      <c r="AV164" s="79">
        <f t="shared" si="40"/>
        <v>2823000</v>
      </c>
      <c r="AW164" s="79">
        <f t="shared" si="41"/>
        <v>3176000</v>
      </c>
      <c r="AX164" s="79">
        <f t="shared" si="42"/>
        <v>2955000</v>
      </c>
      <c r="AY164" s="79">
        <f t="shared" si="43"/>
        <v>2574000</v>
      </c>
      <c r="AZ164" s="79">
        <f t="shared" si="44"/>
        <v>2236000</v>
      </c>
      <c r="BA164" s="79">
        <f t="shared" si="45"/>
        <v>2322000</v>
      </c>
      <c r="BB164" s="79">
        <f t="shared" si="46"/>
        <v>2722000</v>
      </c>
      <c r="BC164" s="79">
        <f t="shared" si="47"/>
        <v>2446000</v>
      </c>
      <c r="BD164" s="79">
        <f t="shared" si="48"/>
        <v>1854000</v>
      </c>
      <c r="BE164" s="79">
        <f t="shared" si="49"/>
        <v>1043000</v>
      </c>
      <c r="BF164" s="79">
        <f t="shared" si="50"/>
        <v>1741000</v>
      </c>
    </row>
    <row r="165" spans="1:58" x14ac:dyDescent="0.25">
      <c r="A165" s="138" t="s">
        <v>1195</v>
      </c>
      <c r="B165" t="s">
        <v>609</v>
      </c>
      <c r="C165" t="s">
        <v>118</v>
      </c>
      <c r="D165" s="78">
        <f>INDEX('Population Data by Age'!$B$7:$H$10366,MATCH(CONCATENATE('Tabular Pop Data by Age'!$C165,'Tabular Pop Data by Age'!D$7),'Population Data by Age'!$B$7:$B$10366,0),MATCH('Tabular Pop Data by Age'!$C$6,'Population Data by Age'!$B$6:$H$6,0))</f>
        <v>194000</v>
      </c>
      <c r="E165" s="78">
        <f>INDEX('Population Data by Age'!$B$7:$H$10366,MATCH(CONCATENATE('Tabular Pop Data by Age'!$C165,'Tabular Pop Data by Age'!E$7),'Population Data by Age'!$B$7:$B$10366,0),MATCH('Tabular Pop Data by Age'!$C$6,'Population Data by Age'!$B$6:$H$6,0))</f>
        <v>206000</v>
      </c>
      <c r="F165" s="78">
        <f>INDEX('Population Data by Age'!$B$7:$H$10366,MATCH(CONCATENATE('Tabular Pop Data by Age'!$C165,'Tabular Pop Data by Age'!F$7),'Population Data by Age'!$B$7:$B$10366,0),MATCH('Tabular Pop Data by Age'!$C$6,'Population Data by Age'!$B$6:$H$6,0))</f>
        <v>214000</v>
      </c>
      <c r="G165" s="78">
        <f>INDEX('Population Data by Age'!$B$7:$H$10366,MATCH(CONCATENATE('Tabular Pop Data by Age'!$C165,'Tabular Pop Data by Age'!G$7),'Population Data by Age'!$B$7:$B$10366,0),MATCH('Tabular Pop Data by Age'!$C$6,'Population Data by Age'!$B$6:$H$6,0))</f>
        <v>227000</v>
      </c>
      <c r="H165" s="78">
        <f>INDEX('Population Data by Age'!$B$7:$H$10366,MATCH(CONCATENATE('Tabular Pop Data by Age'!$C165,'Tabular Pop Data by Age'!H$7),'Population Data by Age'!$B$7:$B$10366,0),MATCH('Tabular Pop Data by Age'!$C$6,'Population Data by Age'!$B$6:$H$6,0))</f>
        <v>240000</v>
      </c>
      <c r="I165" s="78">
        <f>INDEX('Population Data by Age'!$B$7:$H$10366,MATCH(CONCATENATE('Tabular Pop Data by Age'!$C165,'Tabular Pop Data by Age'!I$7),'Population Data by Age'!$B$7:$B$10366,0),MATCH('Tabular Pop Data by Age'!$C$6,'Population Data by Age'!$B$6:$H$6,0))</f>
        <v>250000</v>
      </c>
      <c r="J165" s="78">
        <f>INDEX('Population Data by Age'!$B$7:$H$10366,MATCH(CONCATENATE('Tabular Pop Data by Age'!$C165,'Tabular Pop Data by Age'!J$7),'Population Data by Age'!$B$7:$B$10366,0),MATCH('Tabular Pop Data by Age'!$C$6,'Population Data by Age'!$B$6:$H$6,0))</f>
        <v>257000</v>
      </c>
      <c r="K165" s="78">
        <f>INDEX('Population Data by Age'!$B$7:$H$10366,MATCH(CONCATENATE('Tabular Pop Data by Age'!$C165,'Tabular Pop Data by Age'!K$7),'Population Data by Age'!$B$7:$B$10366,0),MATCH('Tabular Pop Data by Age'!$C$6,'Population Data by Age'!$B$6:$H$6,0))</f>
        <v>268000</v>
      </c>
      <c r="L165" s="78">
        <f>INDEX('Population Data by Age'!$B$7:$H$10366,MATCH(CONCATENATE('Tabular Pop Data by Age'!$C165,'Tabular Pop Data by Age'!L$7),'Population Data by Age'!$B$7:$B$10366,0),MATCH('Tabular Pop Data by Age'!$C$6,'Population Data by Age'!$B$6:$H$6,0))</f>
        <v>270000</v>
      </c>
      <c r="M165" s="78">
        <f>INDEX('Population Data by Age'!$B$7:$H$10366,MATCH(CONCATENATE('Tabular Pop Data by Age'!$C165,'Tabular Pop Data by Age'!M$7),'Population Data by Age'!$B$7:$B$10366,0),MATCH('Tabular Pop Data by Age'!$C$6,'Population Data by Age'!$B$6:$H$6,0))</f>
        <v>270000</v>
      </c>
      <c r="N165" s="78">
        <f>INDEX('Population Data by Age'!$B$7:$H$10366,MATCH(CONCATENATE('Tabular Pop Data by Age'!$C165,'Tabular Pop Data by Age'!N$7),'Population Data by Age'!$B$7:$B$10366,0),MATCH('Tabular Pop Data by Age'!$C$6,'Population Data by Age'!$B$6:$H$6,0))</f>
        <v>271000</v>
      </c>
      <c r="O165" s="78">
        <f>INDEX('Population Data by Age'!$B$7:$H$10366,MATCH(CONCATENATE('Tabular Pop Data by Age'!$C165,'Tabular Pop Data by Age'!O$7),'Population Data by Age'!$B$7:$B$10366,0),MATCH('Tabular Pop Data by Age'!$C$6,'Population Data by Age'!$B$6:$H$6,0))</f>
        <v>263000</v>
      </c>
      <c r="P165" s="78">
        <f>INDEX('Population Data by Age'!$B$7:$H$10366,MATCH(CONCATENATE('Tabular Pop Data by Age'!$C165,'Tabular Pop Data by Age'!P$7),'Population Data by Age'!$B$7:$B$10366,0),MATCH('Tabular Pop Data by Age'!$C$6,'Population Data by Age'!$B$6:$H$6,0))</f>
        <v>287000</v>
      </c>
      <c r="Q165" s="78">
        <f>INDEX('Population Data by Age'!$B$7:$H$10366,MATCH(CONCATENATE('Tabular Pop Data by Age'!$C165,'Tabular Pop Data by Age'!Q$7),'Population Data by Age'!$B$7:$B$10366,0),MATCH('Tabular Pop Data by Age'!$C$6,'Population Data by Age'!$B$6:$H$6,0))</f>
        <v>274000</v>
      </c>
      <c r="R165" s="78">
        <f>INDEX('Population Data by Age'!$B$7:$H$10366,MATCH(CONCATENATE('Tabular Pop Data by Age'!$C165,'Tabular Pop Data by Age'!R$7),'Population Data by Age'!$B$7:$B$10366,0),MATCH('Tabular Pop Data by Age'!$C$6,'Population Data by Age'!$B$6:$H$6,0))</f>
        <v>337000</v>
      </c>
      <c r="S165" s="78">
        <f>INDEX('Population Data by Age'!$B$7:$H$10366,MATCH(CONCATENATE('Tabular Pop Data by Age'!$C165,'Tabular Pop Data by Age'!S$7),'Population Data by Age'!$B$7:$B$10366,0),MATCH('Tabular Pop Data by Age'!$C$6,'Population Data by Age'!$B$6:$H$6,0))</f>
        <v>318000</v>
      </c>
      <c r="T165" s="78">
        <f>INDEX('Population Data by Age'!$B$7:$H$10366,MATCH(CONCATENATE('Tabular Pop Data by Age'!$C165,'Tabular Pop Data by Age'!T$7),'Population Data by Age'!$B$7:$B$10366,0),MATCH('Tabular Pop Data by Age'!$C$6,'Population Data by Age'!$B$6:$H$6,0))</f>
        <v>396000</v>
      </c>
      <c r="U165" s="78">
        <f>INDEX('Population Data by Age'!$B$7:$H$10366,MATCH(CONCATENATE('Tabular Pop Data by Age'!$C165,'Tabular Pop Data by Age'!U$7),'Population Data by Age'!$B$7:$B$10366,0),MATCH('Tabular Pop Data by Age'!$C$6,'Population Data by Age'!$B$6:$H$6,0))</f>
        <v>369000</v>
      </c>
      <c r="V165" s="78">
        <f>INDEX('Population Data by Age'!$B$7:$H$10366,MATCH(CONCATENATE('Tabular Pop Data by Age'!$C165,'Tabular Pop Data by Age'!V$7),'Population Data by Age'!$B$7:$B$10366,0),MATCH('Tabular Pop Data by Age'!$C$6,'Population Data by Age'!$B$6:$H$6,0))</f>
        <v>420000</v>
      </c>
      <c r="W165" s="78">
        <f>INDEX('Population Data by Age'!$B$7:$H$10366,MATCH(CONCATENATE('Tabular Pop Data by Age'!$C165,'Tabular Pop Data by Age'!W$7),'Population Data by Age'!$B$7:$B$10366,0),MATCH('Tabular Pop Data by Age'!$C$6,'Population Data by Age'!$B$6:$H$6,0))</f>
        <v>390000</v>
      </c>
      <c r="X165" s="78">
        <f>INDEX('Population Data by Age'!$B$7:$H$10366,MATCH(CONCATENATE('Tabular Pop Data by Age'!$C165,'Tabular Pop Data by Age'!X$7),'Population Data by Age'!$B$7:$B$10366,0),MATCH('Tabular Pop Data by Age'!$C$6,'Population Data by Age'!$B$6:$H$6,0))</f>
        <v>389000</v>
      </c>
      <c r="Y165" s="78">
        <f>INDEX('Population Data by Age'!$B$7:$H$10366,MATCH(CONCATENATE('Tabular Pop Data by Age'!$C165,'Tabular Pop Data by Age'!Y$7),'Population Data by Age'!$B$7:$B$10366,0),MATCH('Tabular Pop Data by Age'!$C$6,'Population Data by Age'!$B$6:$H$6,0))</f>
        <v>354000</v>
      </c>
      <c r="Z165" s="78">
        <f>INDEX('Population Data by Age'!$B$7:$H$10366,MATCH(CONCATENATE('Tabular Pop Data by Age'!$C165,'Tabular Pop Data by Age'!Z$7),'Population Data by Age'!$B$7:$B$10366,0),MATCH('Tabular Pop Data by Age'!$C$6,'Population Data by Age'!$B$6:$H$6,0))</f>
        <v>391000</v>
      </c>
      <c r="AA165" s="78">
        <f>INDEX('Population Data by Age'!$B$7:$H$10366,MATCH(CONCATENATE('Tabular Pop Data by Age'!$C165,'Tabular Pop Data by Age'!AA$7),'Population Data by Age'!$B$7:$B$10366,0),MATCH('Tabular Pop Data by Age'!$C$6,'Population Data by Age'!$B$6:$H$6,0))</f>
        <v>347000</v>
      </c>
      <c r="AB165" s="78">
        <f>INDEX('Population Data by Age'!$B$7:$H$10366,MATCH(CONCATENATE('Tabular Pop Data by Age'!$C165,'Tabular Pop Data by Age'!AB$7),'Population Data by Age'!$B$7:$B$10366,0),MATCH('Tabular Pop Data by Age'!$C$6,'Population Data by Age'!$B$6:$H$6,0))</f>
        <v>360000</v>
      </c>
      <c r="AC165" s="78">
        <f>INDEX('Population Data by Age'!$B$7:$H$10366,MATCH(CONCATENATE('Tabular Pop Data by Age'!$C165,'Tabular Pop Data by Age'!AC$7),'Population Data by Age'!$B$7:$B$10366,0),MATCH('Tabular Pop Data by Age'!$C$6,'Population Data by Age'!$B$6:$H$6,0))</f>
        <v>313000</v>
      </c>
      <c r="AD165" s="78">
        <f>INDEX('Population Data by Age'!$B$7:$H$10366,MATCH(CONCATENATE('Tabular Pop Data by Age'!$C165,'Tabular Pop Data by Age'!AD$7),'Population Data by Age'!$B$7:$B$10366,0),MATCH('Tabular Pop Data by Age'!$C$6,'Population Data by Age'!$B$6:$H$6,0))</f>
        <v>337000</v>
      </c>
      <c r="AE165" s="78">
        <f>INDEX('Population Data by Age'!$B$7:$H$10366,MATCH(CONCATENATE('Tabular Pop Data by Age'!$C165,'Tabular Pop Data by Age'!AE$7),'Population Data by Age'!$B$7:$B$10366,0),MATCH('Tabular Pop Data by Age'!$C$6,'Population Data by Age'!$B$6:$H$6,0))</f>
        <v>284000</v>
      </c>
      <c r="AF165" s="78">
        <f>INDEX('Population Data by Age'!$B$7:$H$10366,MATCH(CONCATENATE('Tabular Pop Data by Age'!$C165,'Tabular Pop Data by Age'!AF$7),'Population Data by Age'!$B$7:$B$10366,0),MATCH('Tabular Pop Data by Age'!$C$6,'Population Data by Age'!$B$6:$H$6,0))</f>
        <v>314000</v>
      </c>
      <c r="AG165" s="78">
        <f>INDEX('Population Data by Age'!$B$7:$H$10366,MATCH(CONCATENATE('Tabular Pop Data by Age'!$C165,'Tabular Pop Data by Age'!AG$7),'Population Data by Age'!$B$7:$B$10366,0),MATCH('Tabular Pop Data by Age'!$C$6,'Population Data by Age'!$B$6:$H$6,0))</f>
        <v>253000</v>
      </c>
      <c r="AH165" s="78">
        <f>INDEX('Population Data by Age'!$B$7:$H$10366,MATCH(CONCATENATE('Tabular Pop Data by Age'!$C165,'Tabular Pop Data by Age'!AH$7),'Population Data by Age'!$B$7:$B$10366,0),MATCH('Tabular Pop Data by Age'!$C$6,'Population Data by Age'!$B$6:$H$6,0))</f>
        <v>260000</v>
      </c>
      <c r="AI165" s="78">
        <f>INDEX('Population Data by Age'!$B$7:$H$10366,MATCH(CONCATENATE('Tabular Pop Data by Age'!$C165,'Tabular Pop Data by Age'!AI$7),'Population Data by Age'!$B$7:$B$10366,0),MATCH('Tabular Pop Data by Age'!$C$6,'Population Data by Age'!$B$6:$H$6,0))</f>
        <v>191000</v>
      </c>
      <c r="AJ165" s="78">
        <f>INDEX('Population Data by Age'!$B$7:$H$10366,MATCH(CONCATENATE('Tabular Pop Data by Age'!$C165,'Tabular Pop Data by Age'!AJ$7),'Population Data by Age'!$B$7:$B$10366,0),MATCH('Tabular Pop Data by Age'!$C$6,'Population Data by Age'!$B$6:$H$6,0))</f>
        <v>435000</v>
      </c>
      <c r="AK165" s="78">
        <f>INDEX('Population Data by Age'!$B$7:$H$10366,MATCH(CONCATENATE('Tabular Pop Data by Age'!$C165,'Tabular Pop Data by Age'!AK$7),'Population Data by Age'!$B$7:$B$10366,0),MATCH('Tabular Pop Data by Age'!$C$6,'Population Data by Age'!$B$6:$H$6,0))</f>
        <v>247000</v>
      </c>
      <c r="AL165" s="78">
        <f>INDEX('Population Data by Age'!$B$7:$H$10366,MATCH(CONCATENATE('Tabular Pop Data by Age'!$C165,'Tabular Pop Data by Age'!AL$7),'Population Data by Age'!$B$7:$B$10366,0),MATCH('Tabular Pop Data by Age'!$C$6,'Population Data by Age'!$B$6:$H$6,0))</f>
        <v>5372000</v>
      </c>
      <c r="AM165" s="78">
        <f>INDEX('Population Data by Age'!$B$7:$H$10366,MATCH(CONCATENATE('Tabular Pop Data by Age'!$C165,'Tabular Pop Data by Age'!AM$7),'Population Data by Age'!$B$7:$B$10366,0),MATCH('Tabular Pop Data by Age'!$C$6,'Population Data by Age'!$B$6:$H$6,0))</f>
        <v>4823000</v>
      </c>
      <c r="AN165" s="78">
        <f>INDEX('Population Data by Age'!$B$7:$H$10366,MATCH(CONCATENATE('Tabular Pop Data by Age'!$C165,'Tabular Pop Data by Age'!AN$7),'Population Data by Age'!$B$7:$B$10366,0),MATCH('Tabular Pop Data by Age'!$C$6,'Population Data by Age'!$B$6:$H$6,0))</f>
        <v>10195000</v>
      </c>
      <c r="AO165" s="78">
        <f>INDEX('Population Data by Age'!$B$7:$H$10366,MATCH(CONCATENATE('Tabular Pop Data by Age'!$C165,'Tabular Pop Data by Age'!AO$7),'Population Data by Age'!$B$7:$B$10366,0),MATCH('Tabular Pop Data by Age'!$C$6,'Population Data by Age'!$B$6:$H$6,0))</f>
        <v>0</v>
      </c>
      <c r="AP165" s="79">
        <f t="shared" si="34"/>
        <v>400000</v>
      </c>
      <c r="AQ165" s="79">
        <f t="shared" si="35"/>
        <v>441000</v>
      </c>
      <c r="AR165" s="79">
        <f t="shared" si="36"/>
        <v>490000</v>
      </c>
      <c r="AS165" s="79">
        <f t="shared" si="37"/>
        <v>525000</v>
      </c>
      <c r="AT165" s="79">
        <f t="shared" si="38"/>
        <v>540000</v>
      </c>
      <c r="AU165" s="79">
        <f t="shared" si="39"/>
        <v>534000</v>
      </c>
      <c r="AV165" s="79">
        <f t="shared" si="40"/>
        <v>561000</v>
      </c>
      <c r="AW165" s="79">
        <f t="shared" si="41"/>
        <v>655000</v>
      </c>
      <c r="AX165" s="79">
        <f t="shared" si="42"/>
        <v>765000</v>
      </c>
      <c r="AY165" s="79">
        <f t="shared" si="43"/>
        <v>810000</v>
      </c>
      <c r="AZ165" s="79">
        <f t="shared" si="44"/>
        <v>743000</v>
      </c>
      <c r="BA165" s="79">
        <f t="shared" si="45"/>
        <v>738000</v>
      </c>
      <c r="BB165" s="79">
        <f t="shared" si="46"/>
        <v>673000</v>
      </c>
      <c r="BC165" s="79">
        <f t="shared" si="47"/>
        <v>621000</v>
      </c>
      <c r="BD165" s="79">
        <f t="shared" si="48"/>
        <v>567000</v>
      </c>
      <c r="BE165" s="79">
        <f t="shared" si="49"/>
        <v>451000</v>
      </c>
      <c r="BF165" s="79">
        <f t="shared" si="50"/>
        <v>682000</v>
      </c>
    </row>
    <row r="166" spans="1:58" x14ac:dyDescent="0.25">
      <c r="A166" s="138" t="s">
        <v>1195</v>
      </c>
      <c r="B166" t="s">
        <v>614</v>
      </c>
      <c r="C166" t="s">
        <v>615</v>
      </c>
      <c r="D166" s="78">
        <f>INDEX('Population Data by Age'!$B$7:$H$10366,MATCH(CONCATENATE('Tabular Pop Data by Age'!$C166,'Tabular Pop Data by Age'!D$7),'Population Data by Age'!$B$7:$B$10366,0),MATCH('Tabular Pop Data by Age'!$C$6,'Population Data by Age'!$B$6:$H$6,0))</f>
        <v>45000</v>
      </c>
      <c r="E166" s="78">
        <f>INDEX('Population Data by Age'!$B$7:$H$10366,MATCH(CONCATENATE('Tabular Pop Data by Age'!$C166,'Tabular Pop Data by Age'!E$7),'Population Data by Age'!$B$7:$B$10366,0),MATCH('Tabular Pop Data by Age'!$C$6,'Population Data by Age'!$B$6:$H$6,0))</f>
        <v>48000</v>
      </c>
      <c r="F166" s="78">
        <f>INDEX('Population Data by Age'!$B$7:$H$10366,MATCH(CONCATENATE('Tabular Pop Data by Age'!$C166,'Tabular Pop Data by Age'!F$7),'Population Data by Age'!$B$7:$B$10366,0),MATCH('Tabular Pop Data by Age'!$C$6,'Population Data by Age'!$B$6:$H$6,0))</f>
        <v>84000</v>
      </c>
      <c r="G166" s="78">
        <f>INDEX('Population Data by Age'!$B$7:$H$10366,MATCH(CONCATENATE('Tabular Pop Data by Age'!$C166,'Tabular Pop Data by Age'!G$7),'Population Data by Age'!$B$7:$B$10366,0),MATCH('Tabular Pop Data by Age'!$C$6,'Population Data by Age'!$B$6:$H$6,0))</f>
        <v>89000</v>
      </c>
      <c r="H166" s="78">
        <f>INDEX('Population Data by Age'!$B$7:$H$10366,MATCH(CONCATENATE('Tabular Pop Data by Age'!$C166,'Tabular Pop Data by Age'!H$7),'Population Data by Age'!$B$7:$B$10366,0),MATCH('Tabular Pop Data by Age'!$C$6,'Population Data by Age'!$B$6:$H$6,0))</f>
        <v>114000</v>
      </c>
      <c r="I166" s="78">
        <f>INDEX('Population Data by Age'!$B$7:$H$10366,MATCH(CONCATENATE('Tabular Pop Data by Age'!$C166,'Tabular Pop Data by Age'!I$7),'Population Data by Age'!$B$7:$B$10366,0),MATCH('Tabular Pop Data by Age'!$C$6,'Population Data by Age'!$B$6:$H$6,0))</f>
        <v>120000</v>
      </c>
      <c r="J166" s="78">
        <f>INDEX('Population Data by Age'!$B$7:$H$10366,MATCH(CONCATENATE('Tabular Pop Data by Age'!$C166,'Tabular Pop Data by Age'!J$7),'Population Data by Age'!$B$7:$B$10366,0),MATCH('Tabular Pop Data by Age'!$C$6,'Population Data by Age'!$B$6:$H$6,0))</f>
        <v>95000</v>
      </c>
      <c r="K166" s="78">
        <f>INDEX('Population Data by Age'!$B$7:$H$10366,MATCH(CONCATENATE('Tabular Pop Data by Age'!$C166,'Tabular Pop Data by Age'!K$7),'Population Data by Age'!$B$7:$B$10366,0),MATCH('Tabular Pop Data by Age'!$C$6,'Population Data by Age'!$B$6:$H$6,0))</f>
        <v>110000</v>
      </c>
      <c r="L166" s="78">
        <f>INDEX('Population Data by Age'!$B$7:$H$10366,MATCH(CONCATENATE('Tabular Pop Data by Age'!$C166,'Tabular Pop Data by Age'!L$7),'Population Data by Age'!$B$7:$B$10366,0),MATCH('Tabular Pop Data by Age'!$C$6,'Population Data by Age'!$B$6:$H$6,0))</f>
        <v>72000</v>
      </c>
      <c r="M166" s="78">
        <f>INDEX('Population Data by Age'!$B$7:$H$10366,MATCH(CONCATENATE('Tabular Pop Data by Age'!$C166,'Tabular Pop Data by Age'!M$7),'Population Data by Age'!$B$7:$B$10366,0),MATCH('Tabular Pop Data by Age'!$C$6,'Population Data by Age'!$B$6:$H$6,0))</f>
        <v>88000</v>
      </c>
      <c r="N166" s="78">
        <f>INDEX('Population Data by Age'!$B$7:$H$10366,MATCH(CONCATENATE('Tabular Pop Data by Age'!$C166,'Tabular Pop Data by Age'!N$7),'Population Data by Age'!$B$7:$B$10366,0),MATCH('Tabular Pop Data by Age'!$C$6,'Population Data by Age'!$B$6:$H$6,0))</f>
        <v>79000</v>
      </c>
      <c r="O166" s="78">
        <f>INDEX('Population Data by Age'!$B$7:$H$10366,MATCH(CONCATENATE('Tabular Pop Data by Age'!$C166,'Tabular Pop Data by Age'!O$7),'Population Data by Age'!$B$7:$B$10366,0),MATCH('Tabular Pop Data by Age'!$C$6,'Population Data by Age'!$B$6:$H$6,0))</f>
        <v>83000</v>
      </c>
      <c r="P166" s="78">
        <f>INDEX('Population Data by Age'!$B$7:$H$10366,MATCH(CONCATENATE('Tabular Pop Data by Age'!$C166,'Tabular Pop Data by Age'!P$7),'Population Data by Age'!$B$7:$B$10366,0),MATCH('Tabular Pop Data by Age'!$C$6,'Population Data by Age'!$B$6:$H$6,0))</f>
        <v>87000</v>
      </c>
      <c r="Q166" s="78">
        <f>INDEX('Population Data by Age'!$B$7:$H$10366,MATCH(CONCATENATE('Tabular Pop Data by Age'!$C166,'Tabular Pop Data by Age'!Q$7),'Population Data by Age'!$B$7:$B$10366,0),MATCH('Tabular Pop Data by Age'!$C$6,'Population Data by Age'!$B$6:$H$6,0))</f>
        <v>87000</v>
      </c>
      <c r="R166" s="78">
        <f>INDEX('Population Data by Age'!$B$7:$H$10366,MATCH(CONCATENATE('Tabular Pop Data by Age'!$C166,'Tabular Pop Data by Age'!R$7),'Population Data by Age'!$B$7:$B$10366,0),MATCH('Tabular Pop Data by Age'!$C$6,'Population Data by Age'!$B$6:$H$6,0))</f>
        <v>101000</v>
      </c>
      <c r="S166" s="78">
        <f>INDEX('Population Data by Age'!$B$7:$H$10366,MATCH(CONCATENATE('Tabular Pop Data by Age'!$C166,'Tabular Pop Data by Age'!S$7),'Population Data by Age'!$B$7:$B$10366,0),MATCH('Tabular Pop Data by Age'!$C$6,'Population Data by Age'!$B$6:$H$6,0))</f>
        <v>94000</v>
      </c>
      <c r="T166" s="78">
        <f>INDEX('Population Data by Age'!$B$7:$H$10366,MATCH(CONCATENATE('Tabular Pop Data by Age'!$C166,'Tabular Pop Data by Age'!T$7),'Population Data by Age'!$B$7:$B$10366,0),MATCH('Tabular Pop Data by Age'!$C$6,'Population Data by Age'!$B$6:$H$6,0))</f>
        <v>114000</v>
      </c>
      <c r="U166" s="78">
        <f>INDEX('Population Data by Age'!$B$7:$H$10366,MATCH(CONCATENATE('Tabular Pop Data by Age'!$C166,'Tabular Pop Data by Age'!U$7),'Population Data by Age'!$B$7:$B$10366,0),MATCH('Tabular Pop Data by Age'!$C$6,'Population Data by Age'!$B$6:$H$6,0))</f>
        <v>104000</v>
      </c>
      <c r="V166" s="78">
        <f>INDEX('Population Data by Age'!$B$7:$H$10366,MATCH(CONCATENATE('Tabular Pop Data by Age'!$C166,'Tabular Pop Data by Age'!V$7),'Population Data by Age'!$B$7:$B$10366,0),MATCH('Tabular Pop Data by Age'!$C$6,'Population Data by Age'!$B$6:$H$6,0))</f>
        <v>121000</v>
      </c>
      <c r="W166" s="78">
        <f>INDEX('Population Data by Age'!$B$7:$H$10366,MATCH(CONCATENATE('Tabular Pop Data by Age'!$C166,'Tabular Pop Data by Age'!W$7),'Population Data by Age'!$B$7:$B$10366,0),MATCH('Tabular Pop Data by Age'!$C$6,'Population Data by Age'!$B$6:$H$6,0))</f>
        <v>105000</v>
      </c>
      <c r="X166" s="78">
        <f>INDEX('Population Data by Age'!$B$7:$H$10366,MATCH(CONCATENATE('Tabular Pop Data by Age'!$C166,'Tabular Pop Data by Age'!X$7),'Population Data by Age'!$B$7:$B$10366,0),MATCH('Tabular Pop Data by Age'!$C$6,'Population Data by Age'!$B$6:$H$6,0))</f>
        <v>129000</v>
      </c>
      <c r="Y166" s="78">
        <f>INDEX('Population Data by Age'!$B$7:$H$10366,MATCH(CONCATENATE('Tabular Pop Data by Age'!$C166,'Tabular Pop Data by Age'!Y$7),'Population Data by Age'!$B$7:$B$10366,0),MATCH('Tabular Pop Data by Age'!$C$6,'Population Data by Age'!$B$6:$H$6,0))</f>
        <v>107000</v>
      </c>
      <c r="Z166" s="78">
        <f>INDEX('Population Data by Age'!$B$7:$H$10366,MATCH(CONCATENATE('Tabular Pop Data by Age'!$C166,'Tabular Pop Data by Age'!Z$7),'Population Data by Age'!$B$7:$B$10366,0),MATCH('Tabular Pop Data by Age'!$C$6,'Population Data by Age'!$B$6:$H$6,0))</f>
        <v>124000</v>
      </c>
      <c r="AA166" s="78">
        <f>INDEX('Population Data by Age'!$B$7:$H$10366,MATCH(CONCATENATE('Tabular Pop Data by Age'!$C166,'Tabular Pop Data by Age'!AA$7),'Population Data by Age'!$B$7:$B$10366,0),MATCH('Tabular Pop Data by Age'!$C$6,'Population Data by Age'!$B$6:$H$6,0))</f>
        <v>101000</v>
      </c>
      <c r="AB166" s="78">
        <f>INDEX('Population Data by Age'!$B$7:$H$10366,MATCH(CONCATENATE('Tabular Pop Data by Age'!$C166,'Tabular Pop Data by Age'!AB$7),'Population Data by Age'!$B$7:$B$10366,0),MATCH('Tabular Pop Data by Age'!$C$6,'Population Data by Age'!$B$6:$H$6,0))</f>
        <v>121000</v>
      </c>
      <c r="AC166" s="78">
        <f>INDEX('Population Data by Age'!$B$7:$H$10366,MATCH(CONCATENATE('Tabular Pop Data by Age'!$C166,'Tabular Pop Data by Age'!AC$7),'Population Data by Age'!$B$7:$B$10366,0),MATCH('Tabular Pop Data by Age'!$C$6,'Population Data by Age'!$B$6:$H$6,0))</f>
        <v>97000</v>
      </c>
      <c r="AD166" s="78">
        <f>INDEX('Population Data by Age'!$B$7:$H$10366,MATCH(CONCATENATE('Tabular Pop Data by Age'!$C166,'Tabular Pop Data by Age'!AD$7),'Population Data by Age'!$B$7:$B$10366,0),MATCH('Tabular Pop Data by Age'!$C$6,'Population Data by Age'!$B$6:$H$6,0))</f>
        <v>106000</v>
      </c>
      <c r="AE166" s="78">
        <f>INDEX('Population Data by Age'!$B$7:$H$10366,MATCH(CONCATENATE('Tabular Pop Data by Age'!$C166,'Tabular Pop Data by Age'!AE$7),'Population Data by Age'!$B$7:$B$10366,0),MATCH('Tabular Pop Data by Age'!$C$6,'Population Data by Age'!$B$6:$H$6,0))</f>
        <v>78000</v>
      </c>
      <c r="AF166" s="78">
        <f>INDEX('Population Data by Age'!$B$7:$H$10366,MATCH(CONCATENATE('Tabular Pop Data by Age'!$C166,'Tabular Pop Data by Age'!AF$7),'Population Data by Age'!$B$7:$B$10366,0),MATCH('Tabular Pop Data by Age'!$C$6,'Population Data by Age'!$B$6:$H$6,0))</f>
        <v>100000</v>
      </c>
      <c r="AG166" s="78">
        <f>INDEX('Population Data by Age'!$B$7:$H$10366,MATCH(CONCATENATE('Tabular Pop Data by Age'!$C166,'Tabular Pop Data by Age'!AG$7),'Population Data by Age'!$B$7:$B$10366,0),MATCH('Tabular Pop Data by Age'!$C$6,'Population Data by Age'!$B$6:$H$6,0))</f>
        <v>75000</v>
      </c>
      <c r="AH166" s="78">
        <f>INDEX('Population Data by Age'!$B$7:$H$10366,MATCH(CONCATENATE('Tabular Pop Data by Age'!$C166,'Tabular Pop Data by Age'!AH$7),'Population Data by Age'!$B$7:$B$10366,0),MATCH('Tabular Pop Data by Age'!$C$6,'Population Data by Age'!$B$6:$H$6,0))</f>
        <v>74000</v>
      </c>
      <c r="AI166" s="78">
        <f>INDEX('Population Data by Age'!$B$7:$H$10366,MATCH(CONCATENATE('Tabular Pop Data by Age'!$C166,'Tabular Pop Data by Age'!AI$7),'Population Data by Age'!$B$7:$B$10366,0),MATCH('Tabular Pop Data by Age'!$C$6,'Population Data by Age'!$B$6:$H$6,0))</f>
        <v>55000</v>
      </c>
      <c r="AJ166" s="78">
        <f>INDEX('Population Data by Age'!$B$7:$H$10366,MATCH(CONCATENATE('Tabular Pop Data by Age'!$C166,'Tabular Pop Data by Age'!AJ$7),'Population Data by Age'!$B$7:$B$10366,0),MATCH('Tabular Pop Data by Age'!$C$6,'Population Data by Age'!$B$6:$H$6,0))</f>
        <v>110000</v>
      </c>
      <c r="AK166" s="78">
        <f>INDEX('Population Data by Age'!$B$7:$H$10366,MATCH(CONCATENATE('Tabular Pop Data by Age'!$C166,'Tabular Pop Data by Age'!AK$7),'Population Data by Age'!$B$7:$B$10366,0),MATCH('Tabular Pop Data by Age'!$C$6,'Population Data by Age'!$B$6:$H$6,0))</f>
        <v>65000</v>
      </c>
      <c r="AL166" s="78">
        <f>INDEX('Population Data by Age'!$B$7:$H$10366,MATCH(CONCATENATE('Tabular Pop Data by Age'!$C166,'Tabular Pop Data by Age'!AL$7),'Population Data by Age'!$B$7:$B$10366,0),MATCH('Tabular Pop Data by Age'!$C$6,'Population Data by Age'!$B$6:$H$6,0))</f>
        <v>1675000</v>
      </c>
      <c r="AM166" s="78">
        <f>INDEX('Population Data by Age'!$B$7:$H$10366,MATCH(CONCATENATE('Tabular Pop Data by Age'!$C166,'Tabular Pop Data by Age'!AM$7),'Population Data by Age'!$B$7:$B$10366,0),MATCH('Tabular Pop Data by Age'!$C$6,'Population Data by Age'!$B$6:$H$6,0))</f>
        <v>1508000</v>
      </c>
      <c r="AN166" s="78">
        <f>INDEX('Population Data by Age'!$B$7:$H$10366,MATCH(CONCATENATE('Tabular Pop Data by Age'!$C166,'Tabular Pop Data by Age'!AN$7),'Population Data by Age'!$B$7:$B$10366,0),MATCH('Tabular Pop Data by Age'!$C$6,'Population Data by Age'!$B$6:$H$6,0))</f>
        <v>3184000</v>
      </c>
      <c r="AO166" s="78">
        <f>INDEX('Population Data by Age'!$B$7:$H$10366,MATCH(CONCATENATE('Tabular Pop Data by Age'!$C166,'Tabular Pop Data by Age'!AO$7),'Population Data by Age'!$B$7:$B$10366,0),MATCH('Tabular Pop Data by Age'!$C$6,'Population Data by Age'!$B$6:$H$6,0))</f>
        <v>0</v>
      </c>
      <c r="AP166" s="79">
        <f t="shared" si="34"/>
        <v>93000</v>
      </c>
      <c r="AQ166" s="79">
        <f t="shared" si="35"/>
        <v>173000</v>
      </c>
      <c r="AR166" s="79">
        <f t="shared" si="36"/>
        <v>234000</v>
      </c>
      <c r="AS166" s="79">
        <f t="shared" si="37"/>
        <v>205000</v>
      </c>
      <c r="AT166" s="79">
        <f t="shared" si="38"/>
        <v>160000</v>
      </c>
      <c r="AU166" s="79">
        <f t="shared" si="39"/>
        <v>162000</v>
      </c>
      <c r="AV166" s="79">
        <f t="shared" si="40"/>
        <v>174000</v>
      </c>
      <c r="AW166" s="79">
        <f t="shared" si="41"/>
        <v>195000</v>
      </c>
      <c r="AX166" s="79">
        <f t="shared" si="42"/>
        <v>218000</v>
      </c>
      <c r="AY166" s="79">
        <f t="shared" si="43"/>
        <v>226000</v>
      </c>
      <c r="AZ166" s="79">
        <f t="shared" si="44"/>
        <v>236000</v>
      </c>
      <c r="BA166" s="79">
        <f t="shared" si="45"/>
        <v>225000</v>
      </c>
      <c r="BB166" s="79">
        <f t="shared" si="46"/>
        <v>218000</v>
      </c>
      <c r="BC166" s="79">
        <f t="shared" si="47"/>
        <v>184000</v>
      </c>
      <c r="BD166" s="79">
        <f t="shared" si="48"/>
        <v>175000</v>
      </c>
      <c r="BE166" s="79">
        <f t="shared" si="49"/>
        <v>129000</v>
      </c>
      <c r="BF166" s="79">
        <f t="shared" si="50"/>
        <v>175000</v>
      </c>
    </row>
    <row r="167" spans="1:58" x14ac:dyDescent="0.25">
      <c r="A167" s="138" t="s">
        <v>1195</v>
      </c>
      <c r="B167" t="s">
        <v>616</v>
      </c>
      <c r="C167" t="s">
        <v>120</v>
      </c>
      <c r="D167" s="78">
        <f>INDEX('Population Data by Age'!$B$7:$H$10366,MATCH(CONCATENATE('Tabular Pop Data by Age'!$C167,'Tabular Pop Data by Age'!D$7),'Population Data by Age'!$B$7:$B$10366,0),MATCH('Tabular Pop Data by Age'!$C$6,'Population Data by Age'!$B$6:$H$6,0))</f>
        <v>66000</v>
      </c>
      <c r="E167" s="78">
        <f>INDEX('Population Data by Age'!$B$7:$H$10366,MATCH(CONCATENATE('Tabular Pop Data by Age'!$C167,'Tabular Pop Data by Age'!E$7),'Population Data by Age'!$B$7:$B$10366,0),MATCH('Tabular Pop Data by Age'!$C$6,'Population Data by Age'!$B$6:$H$6,0))</f>
        <v>69000</v>
      </c>
      <c r="F167" s="78">
        <f>INDEX('Population Data by Age'!$B$7:$H$10366,MATCH(CONCATENATE('Tabular Pop Data by Age'!$C167,'Tabular Pop Data by Age'!F$7),'Population Data by Age'!$B$7:$B$10366,0),MATCH('Tabular Pop Data by Age'!$C$6,'Population Data by Age'!$B$6:$H$6,0))</f>
        <v>66000</v>
      </c>
      <c r="G167" s="78">
        <f>INDEX('Population Data by Age'!$B$7:$H$10366,MATCH(CONCATENATE('Tabular Pop Data by Age'!$C167,'Tabular Pop Data by Age'!G$7),'Population Data by Age'!$B$7:$B$10366,0),MATCH('Tabular Pop Data by Age'!$C$6,'Population Data by Age'!$B$6:$H$6,0))</f>
        <v>70000</v>
      </c>
      <c r="H167" s="78">
        <f>INDEX('Population Data by Age'!$B$7:$H$10366,MATCH(CONCATENATE('Tabular Pop Data by Age'!$C167,'Tabular Pop Data by Age'!H$7),'Population Data by Age'!$B$7:$B$10366,0),MATCH('Tabular Pop Data by Age'!$C$6,'Population Data by Age'!$B$6:$H$6,0))</f>
        <v>59000</v>
      </c>
      <c r="I167" s="78">
        <f>INDEX('Population Data by Age'!$B$7:$H$10366,MATCH(CONCATENATE('Tabular Pop Data by Age'!$C167,'Tabular Pop Data by Age'!I$7),'Population Data by Age'!$B$7:$B$10366,0),MATCH('Tabular Pop Data by Age'!$C$6,'Population Data by Age'!$B$6:$H$6,0))</f>
        <v>63000</v>
      </c>
      <c r="J167" s="78">
        <f>INDEX('Population Data by Age'!$B$7:$H$10366,MATCH(CONCATENATE('Tabular Pop Data by Age'!$C167,'Tabular Pop Data by Age'!J$7),'Population Data by Age'!$B$7:$B$10366,0),MATCH('Tabular Pop Data by Age'!$C$6,'Population Data by Age'!$B$6:$H$6,0))</f>
        <v>48000</v>
      </c>
      <c r="K167" s="78">
        <f>INDEX('Population Data by Age'!$B$7:$H$10366,MATCH(CONCATENATE('Tabular Pop Data by Age'!$C167,'Tabular Pop Data by Age'!K$7),'Population Data by Age'!$B$7:$B$10366,0),MATCH('Tabular Pop Data by Age'!$C$6,'Population Data by Age'!$B$6:$H$6,0))</f>
        <v>58000</v>
      </c>
      <c r="L167" s="78">
        <f>INDEX('Population Data by Age'!$B$7:$H$10366,MATCH(CONCATENATE('Tabular Pop Data by Age'!$C167,'Tabular Pop Data by Age'!L$7),'Population Data by Age'!$B$7:$B$10366,0),MATCH('Tabular Pop Data by Age'!$C$6,'Population Data by Age'!$B$6:$H$6,0))</f>
        <v>48000</v>
      </c>
      <c r="M167" s="78">
        <f>INDEX('Population Data by Age'!$B$7:$H$10366,MATCH(CONCATENATE('Tabular Pop Data by Age'!$C167,'Tabular Pop Data by Age'!M$7),'Population Data by Age'!$B$7:$B$10366,0),MATCH('Tabular Pop Data by Age'!$C$6,'Population Data by Age'!$B$6:$H$6,0))</f>
        <v>189000</v>
      </c>
      <c r="N167" s="78">
        <f>INDEX('Population Data by Age'!$B$7:$H$10366,MATCH(CONCATENATE('Tabular Pop Data by Age'!$C167,'Tabular Pop Data by Age'!N$7),'Population Data by Age'!$B$7:$B$10366,0),MATCH('Tabular Pop Data by Age'!$C$6,'Population Data by Age'!$B$6:$H$6,0))</f>
        <v>73000</v>
      </c>
      <c r="O167" s="78">
        <f>INDEX('Population Data by Age'!$B$7:$H$10366,MATCH(CONCATENATE('Tabular Pop Data by Age'!$C167,'Tabular Pop Data by Age'!O$7),'Population Data by Age'!$B$7:$B$10366,0),MATCH('Tabular Pop Data by Age'!$C$6,'Population Data by Age'!$B$6:$H$6,0))</f>
        <v>407000</v>
      </c>
      <c r="P167" s="78">
        <f>INDEX('Population Data by Age'!$B$7:$H$10366,MATCH(CONCATENATE('Tabular Pop Data by Age'!$C167,'Tabular Pop Data by Age'!P$7),'Population Data by Age'!$B$7:$B$10366,0),MATCH('Tabular Pop Data by Age'!$C$6,'Population Data by Age'!$B$6:$H$6,0))</f>
        <v>94000</v>
      </c>
      <c r="Q167" s="78">
        <f>INDEX('Population Data by Age'!$B$7:$H$10366,MATCH(CONCATENATE('Tabular Pop Data by Age'!$C167,'Tabular Pop Data by Age'!Q$7),'Population Data by Age'!$B$7:$B$10366,0),MATCH('Tabular Pop Data by Age'!$C$6,'Population Data by Age'!$B$6:$H$6,0))</f>
        <v>401000</v>
      </c>
      <c r="R167" s="78">
        <f>INDEX('Population Data by Age'!$B$7:$H$10366,MATCH(CONCATENATE('Tabular Pop Data by Age'!$C167,'Tabular Pop Data by Age'!R$7),'Population Data by Age'!$B$7:$B$10366,0),MATCH('Tabular Pop Data by Age'!$C$6,'Population Data by Age'!$B$6:$H$6,0))</f>
        <v>87000</v>
      </c>
      <c r="S167" s="78">
        <f>INDEX('Population Data by Age'!$B$7:$H$10366,MATCH(CONCATENATE('Tabular Pop Data by Age'!$C167,'Tabular Pop Data by Age'!S$7),'Population Data by Age'!$B$7:$B$10366,0),MATCH('Tabular Pop Data by Age'!$C$6,'Population Data by Age'!$B$6:$H$6,0))</f>
        <v>264000</v>
      </c>
      <c r="T167" s="78">
        <f>INDEX('Population Data by Age'!$B$7:$H$10366,MATCH(CONCATENATE('Tabular Pop Data by Age'!$C167,'Tabular Pop Data by Age'!T$7),'Population Data by Age'!$B$7:$B$10366,0),MATCH('Tabular Pop Data by Age'!$C$6,'Population Data by Age'!$B$6:$H$6,0))</f>
        <v>58000</v>
      </c>
      <c r="U167" s="78">
        <f>INDEX('Population Data by Age'!$B$7:$H$10366,MATCH(CONCATENATE('Tabular Pop Data by Age'!$C167,'Tabular Pop Data by Age'!U$7),'Population Data by Age'!$B$7:$B$10366,0),MATCH('Tabular Pop Data by Age'!$C$6,'Population Data by Age'!$B$6:$H$6,0))</f>
        <v>197000</v>
      </c>
      <c r="V167" s="78">
        <f>INDEX('Population Data by Age'!$B$7:$H$10366,MATCH(CONCATENATE('Tabular Pop Data by Age'!$C167,'Tabular Pop Data by Age'!V$7),'Population Data by Age'!$B$7:$B$10366,0),MATCH('Tabular Pop Data by Age'!$C$6,'Population Data by Age'!$B$6:$H$6,0))</f>
        <v>42000</v>
      </c>
      <c r="W167" s="78">
        <f>INDEX('Population Data by Age'!$B$7:$H$10366,MATCH(CONCATENATE('Tabular Pop Data by Age'!$C167,'Tabular Pop Data by Age'!W$7),'Population Data by Age'!$B$7:$B$10366,0),MATCH('Tabular Pop Data by Age'!$C$6,'Population Data by Age'!$B$6:$H$6,0))</f>
        <v>165000</v>
      </c>
      <c r="X167" s="78">
        <f>INDEX('Population Data by Age'!$B$7:$H$10366,MATCH(CONCATENATE('Tabular Pop Data by Age'!$C167,'Tabular Pop Data by Age'!X$7),'Population Data by Age'!$B$7:$B$10366,0),MATCH('Tabular Pop Data by Age'!$C$6,'Population Data by Age'!$B$6:$H$6,0))</f>
        <v>31000</v>
      </c>
      <c r="Y167" s="78">
        <f>INDEX('Population Data by Age'!$B$7:$H$10366,MATCH(CONCATENATE('Tabular Pop Data by Age'!$C167,'Tabular Pop Data by Age'!Y$7),'Population Data by Age'!$B$7:$B$10366,0),MATCH('Tabular Pop Data by Age'!$C$6,'Population Data by Age'!$B$6:$H$6,0))</f>
        <v>125000</v>
      </c>
      <c r="Z167" s="78">
        <f>INDEX('Population Data by Age'!$B$7:$H$10366,MATCH(CONCATENATE('Tabular Pop Data by Age'!$C167,'Tabular Pop Data by Age'!Z$7),'Population Data by Age'!$B$7:$B$10366,0),MATCH('Tabular Pop Data by Age'!$C$6,'Population Data by Age'!$B$6:$H$6,0))</f>
        <v>19000</v>
      </c>
      <c r="AA167" s="78">
        <f>INDEX('Population Data by Age'!$B$7:$H$10366,MATCH(CONCATENATE('Tabular Pop Data by Age'!$C167,'Tabular Pop Data by Age'!AA$7),'Population Data by Age'!$B$7:$B$10366,0),MATCH('Tabular Pop Data by Age'!$C$6,'Population Data by Age'!$B$6:$H$6,0))</f>
        <v>79000</v>
      </c>
      <c r="AB167" s="78">
        <f>INDEX('Population Data by Age'!$B$7:$H$10366,MATCH(CONCATENATE('Tabular Pop Data by Age'!$C167,'Tabular Pop Data by Age'!AB$7),'Population Data by Age'!$B$7:$B$10366,0),MATCH('Tabular Pop Data by Age'!$C$6,'Population Data by Age'!$B$6:$H$6,0))</f>
        <v>11000</v>
      </c>
      <c r="AC167" s="78">
        <f>INDEX('Population Data by Age'!$B$7:$H$10366,MATCH(CONCATENATE('Tabular Pop Data by Age'!$C167,'Tabular Pop Data by Age'!AC$7),'Population Data by Age'!$B$7:$B$10366,0),MATCH('Tabular Pop Data by Age'!$C$6,'Population Data by Age'!$B$6:$H$6,0))</f>
        <v>43000</v>
      </c>
      <c r="AD167" s="78">
        <f>INDEX('Population Data by Age'!$B$7:$H$10366,MATCH(CONCATENATE('Tabular Pop Data by Age'!$C167,'Tabular Pop Data by Age'!AD$7),'Population Data by Age'!$B$7:$B$10366,0),MATCH('Tabular Pop Data by Age'!$C$6,'Population Data by Age'!$B$6:$H$6,0))</f>
        <v>5900</v>
      </c>
      <c r="AE167" s="78">
        <f>INDEX('Population Data by Age'!$B$7:$H$10366,MATCH(CONCATENATE('Tabular Pop Data by Age'!$C167,'Tabular Pop Data by Age'!AE$7),'Population Data by Age'!$B$7:$B$10366,0),MATCH('Tabular Pop Data by Age'!$C$6,'Population Data by Age'!$B$6:$H$6,0))</f>
        <v>22000</v>
      </c>
      <c r="AF167" s="78">
        <f>INDEX('Population Data by Age'!$B$7:$H$10366,MATCH(CONCATENATE('Tabular Pop Data by Age'!$C167,'Tabular Pop Data by Age'!AF$7),'Population Data by Age'!$B$7:$B$10366,0),MATCH('Tabular Pop Data by Age'!$C$6,'Population Data by Age'!$B$6:$H$6,0))</f>
        <v>3800</v>
      </c>
      <c r="AG167" s="78">
        <f>INDEX('Population Data by Age'!$B$7:$H$10366,MATCH(CONCATENATE('Tabular Pop Data by Age'!$C167,'Tabular Pop Data by Age'!AG$7),'Population Data by Age'!$B$7:$B$10366,0),MATCH('Tabular Pop Data by Age'!$C$6,'Population Data by Age'!$B$6:$H$6,0))</f>
        <v>9100</v>
      </c>
      <c r="AH167" s="78">
        <f>INDEX('Population Data by Age'!$B$7:$H$10366,MATCH(CONCATENATE('Tabular Pop Data by Age'!$C167,'Tabular Pop Data by Age'!AH$7),'Population Data by Age'!$B$7:$B$10366,0),MATCH('Tabular Pop Data by Age'!$C$6,'Population Data by Age'!$B$6:$H$6,0))</f>
        <v>1800</v>
      </c>
      <c r="AI167" s="78">
        <f>INDEX('Population Data by Age'!$B$7:$H$10366,MATCH(CONCATENATE('Tabular Pop Data by Age'!$C167,'Tabular Pop Data by Age'!AI$7),'Population Data by Age'!$B$7:$B$10366,0),MATCH('Tabular Pop Data by Age'!$C$6,'Population Data by Age'!$B$6:$H$6,0))</f>
        <v>2000</v>
      </c>
      <c r="AJ167" s="78">
        <f>INDEX('Population Data by Age'!$B$7:$H$10366,MATCH(CONCATENATE('Tabular Pop Data by Age'!$C167,'Tabular Pop Data by Age'!AJ$7),'Population Data by Age'!$B$7:$B$10366,0),MATCH('Tabular Pop Data by Age'!$C$6,'Population Data by Age'!$B$6:$H$6,0))</f>
        <v>2200</v>
      </c>
      <c r="AK167" s="78">
        <f>INDEX('Population Data by Age'!$B$7:$H$10366,MATCH(CONCATENATE('Tabular Pop Data by Age'!$C167,'Tabular Pop Data by Age'!AK$7),'Population Data by Age'!$B$7:$B$10366,0),MATCH('Tabular Pop Data by Age'!$C$6,'Population Data by Age'!$B$6:$H$6,0))</f>
        <v>1900</v>
      </c>
      <c r="AL167" s="78">
        <f>INDEX('Population Data by Age'!$B$7:$H$10366,MATCH(CONCATENATE('Tabular Pop Data by Age'!$C167,'Tabular Pop Data by Age'!AL$7),'Population Data by Age'!$B$7:$B$10366,0),MATCH('Tabular Pop Data by Age'!$C$6,'Population Data by Age'!$B$6:$H$6,0))</f>
        <v>716000</v>
      </c>
      <c r="AM167" s="78">
        <f>INDEX('Population Data by Age'!$B$7:$H$10366,MATCH(CONCATENATE('Tabular Pop Data by Age'!$C167,'Tabular Pop Data by Age'!AM$7),'Population Data by Age'!$B$7:$B$10366,0),MATCH('Tabular Pop Data by Age'!$C$6,'Population Data by Age'!$B$6:$H$6,0))</f>
        <v>2165000</v>
      </c>
      <c r="AN167" s="78">
        <f>INDEX('Population Data by Age'!$B$7:$H$10366,MATCH(CONCATENATE('Tabular Pop Data by Age'!$C167,'Tabular Pop Data by Age'!AN$7),'Population Data by Age'!$B$7:$B$10366,0),MATCH('Tabular Pop Data by Age'!$C$6,'Population Data by Age'!$B$6:$H$6,0))</f>
        <v>2881000</v>
      </c>
      <c r="AO167" s="78">
        <f>INDEX('Population Data by Age'!$B$7:$H$10366,MATCH(CONCATENATE('Tabular Pop Data by Age'!$C167,'Tabular Pop Data by Age'!AO$7),'Population Data by Age'!$B$7:$B$10366,0),MATCH('Tabular Pop Data by Age'!$C$6,'Population Data by Age'!$B$6:$H$6,0))</f>
        <v>0</v>
      </c>
      <c r="AP167" s="79">
        <f t="shared" ref="AP167:AP222" si="51">SUM(D167:E167)</f>
        <v>135000</v>
      </c>
      <c r="AQ167" s="79">
        <f t="shared" ref="AQ167:AQ222" si="52">SUM(F167:G167)</f>
        <v>136000</v>
      </c>
      <c r="AR167" s="79">
        <f t="shared" ref="AR167:AR222" si="53">SUM(H167:I167)</f>
        <v>122000</v>
      </c>
      <c r="AS167" s="79">
        <f t="shared" ref="AS167:AS222" si="54">SUM(J167:K167)</f>
        <v>106000</v>
      </c>
      <c r="AT167" s="79">
        <f t="shared" ref="AT167:AT222" si="55">SUM(L167+M167)</f>
        <v>237000</v>
      </c>
      <c r="AU167" s="79">
        <f t="shared" ref="AU167:AU222" si="56">SUM(N167:O167)</f>
        <v>480000</v>
      </c>
      <c r="AV167" s="79">
        <f t="shared" ref="AV167:AV222" si="57">SUM(P167:Q167)</f>
        <v>495000</v>
      </c>
      <c r="AW167" s="79">
        <f t="shared" ref="AW167:AW222" si="58">SUM(R167:S167)</f>
        <v>351000</v>
      </c>
      <c r="AX167" s="79">
        <f t="shared" ref="AX167:AX222" si="59">SUM(T167:U167)</f>
        <v>255000</v>
      </c>
      <c r="AY167" s="79">
        <f t="shared" ref="AY167:AY222" si="60">SUM(V167:W167)</f>
        <v>207000</v>
      </c>
      <c r="AZ167" s="79">
        <f t="shared" ref="AZ167:AZ222" si="61">SUM(X167:Y167)</f>
        <v>156000</v>
      </c>
      <c r="BA167" s="79">
        <f t="shared" ref="BA167:BA222" si="62">SUM(Z167:AA167)</f>
        <v>98000</v>
      </c>
      <c r="BB167" s="79">
        <f t="shared" ref="BB167:BB222" si="63">SUM(AB167:AC167)</f>
        <v>54000</v>
      </c>
      <c r="BC167" s="79">
        <f t="shared" ref="BC167:BC222" si="64">SUM(AD167:AE167)</f>
        <v>27900</v>
      </c>
      <c r="BD167" s="79">
        <f t="shared" ref="BD167:BD222" si="65">SUM(AF167:AG167)</f>
        <v>12900</v>
      </c>
      <c r="BE167" s="79">
        <f t="shared" ref="BE167:BE222" si="66">SUM(AH167:AI167)</f>
        <v>3800</v>
      </c>
      <c r="BF167" s="79">
        <f t="shared" ref="BF167:BF222" si="67">SUM(AJ167:AK167)</f>
        <v>4100</v>
      </c>
    </row>
    <row r="168" spans="1:58" x14ac:dyDescent="0.25">
      <c r="A168" s="138" t="s">
        <v>1195</v>
      </c>
      <c r="B168" t="s">
        <v>617</v>
      </c>
      <c r="C168" t="s">
        <v>121</v>
      </c>
      <c r="D168" s="78">
        <f>INDEX('Population Data by Age'!$B$7:$H$10366,MATCH(CONCATENATE('Tabular Pop Data by Age'!$C168,'Tabular Pop Data by Age'!D$7),'Population Data by Age'!$B$7:$B$10366,0),MATCH('Tabular Pop Data by Age'!$C$6,'Population Data by Age'!$B$6:$H$6,0))</f>
        <v>457000</v>
      </c>
      <c r="E168" s="78">
        <f>INDEX('Population Data by Age'!$B$7:$H$10366,MATCH(CONCATENATE('Tabular Pop Data by Age'!$C168,'Tabular Pop Data by Age'!E$7),'Population Data by Age'!$B$7:$B$10366,0),MATCH('Tabular Pop Data by Age'!$C$6,'Population Data by Age'!$B$6:$H$6,0))</f>
        <v>483000</v>
      </c>
      <c r="F168" s="78">
        <f>INDEX('Population Data by Age'!$B$7:$H$10366,MATCH(CONCATENATE('Tabular Pop Data by Age'!$C168,'Tabular Pop Data by Age'!F$7),'Population Data by Age'!$B$7:$B$10366,0),MATCH('Tabular Pop Data by Age'!$C$6,'Population Data by Age'!$B$6:$H$6,0))</f>
        <v>469000</v>
      </c>
      <c r="G168" s="78">
        <f>INDEX('Population Data by Age'!$B$7:$H$10366,MATCH(CONCATENATE('Tabular Pop Data by Age'!$C168,'Tabular Pop Data by Age'!G$7),'Population Data by Age'!$B$7:$B$10366,0),MATCH('Tabular Pop Data by Age'!$C$6,'Population Data by Age'!$B$6:$H$6,0))</f>
        <v>497000</v>
      </c>
      <c r="H168" s="78">
        <f>INDEX('Population Data by Age'!$B$7:$H$10366,MATCH(CONCATENATE('Tabular Pop Data by Age'!$C168,'Tabular Pop Data by Age'!H$7),'Population Data by Age'!$B$7:$B$10366,0),MATCH('Tabular Pop Data by Age'!$C$6,'Population Data by Age'!$B$6:$H$6,0))</f>
        <v>526000</v>
      </c>
      <c r="I168" s="78">
        <f>INDEX('Population Data by Age'!$B$7:$H$10366,MATCH(CONCATENATE('Tabular Pop Data by Age'!$C168,'Tabular Pop Data by Age'!I$7),'Population Data by Age'!$B$7:$B$10366,0),MATCH('Tabular Pop Data by Age'!$C$6,'Population Data by Age'!$B$6:$H$6,0))</f>
        <v>556000</v>
      </c>
      <c r="J168" s="78">
        <f>INDEX('Population Data by Age'!$B$7:$H$10366,MATCH(CONCATENATE('Tabular Pop Data by Age'!$C168,'Tabular Pop Data by Age'!J$7),'Population Data by Age'!$B$7:$B$10366,0),MATCH('Tabular Pop Data by Age'!$C$6,'Population Data by Age'!$B$6:$H$6,0))</f>
        <v>483000</v>
      </c>
      <c r="K168" s="78">
        <f>INDEX('Population Data by Age'!$B$7:$H$10366,MATCH(CONCATENATE('Tabular Pop Data by Age'!$C168,'Tabular Pop Data by Age'!K$7),'Population Data by Age'!$B$7:$B$10366,0),MATCH('Tabular Pop Data by Age'!$C$6,'Population Data by Age'!$B$6:$H$6,0))</f>
        <v>512000</v>
      </c>
      <c r="L168" s="78">
        <f>INDEX('Population Data by Age'!$B$7:$H$10366,MATCH(CONCATENATE('Tabular Pop Data by Age'!$C168,'Tabular Pop Data by Age'!L$7),'Population Data by Age'!$B$7:$B$10366,0),MATCH('Tabular Pop Data by Age'!$C$6,'Population Data by Age'!$B$6:$H$6,0))</f>
        <v>488000</v>
      </c>
      <c r="M168" s="78">
        <f>INDEX('Population Data by Age'!$B$7:$H$10366,MATCH(CONCATENATE('Tabular Pop Data by Age'!$C168,'Tabular Pop Data by Age'!M$7),'Population Data by Age'!$B$7:$B$10366,0),MATCH('Tabular Pop Data by Age'!$C$6,'Population Data by Age'!$B$6:$H$6,0))</f>
        <v>523000</v>
      </c>
      <c r="N168" s="78">
        <f>INDEX('Population Data by Age'!$B$7:$H$10366,MATCH(CONCATENATE('Tabular Pop Data by Age'!$C168,'Tabular Pop Data by Age'!N$7),'Population Data by Age'!$B$7:$B$10366,0),MATCH('Tabular Pop Data by Age'!$C$6,'Population Data by Age'!$B$6:$H$6,0))</f>
        <v>514000</v>
      </c>
      <c r="O168" s="78">
        <f>INDEX('Population Data by Age'!$B$7:$H$10366,MATCH(CONCATENATE('Tabular Pop Data by Age'!$C168,'Tabular Pop Data by Age'!O$7),'Population Data by Age'!$B$7:$B$10366,0),MATCH('Tabular Pop Data by Age'!$C$6,'Population Data by Age'!$B$6:$H$6,0))</f>
        <v>563000</v>
      </c>
      <c r="P168" s="78">
        <f>INDEX('Population Data by Age'!$B$7:$H$10366,MATCH(CONCATENATE('Tabular Pop Data by Age'!$C168,'Tabular Pop Data by Age'!P$7),'Population Data by Age'!$B$7:$B$10366,0),MATCH('Tabular Pop Data by Age'!$C$6,'Population Data by Age'!$B$6:$H$6,0))</f>
        <v>667000</v>
      </c>
      <c r="Q168" s="78">
        <f>INDEX('Population Data by Age'!$B$7:$H$10366,MATCH(CONCATENATE('Tabular Pop Data by Age'!$C168,'Tabular Pop Data by Age'!Q$7),'Population Data by Age'!$B$7:$B$10366,0),MATCH('Tabular Pop Data by Age'!$C$6,'Population Data by Age'!$B$6:$H$6,0))</f>
        <v>730000</v>
      </c>
      <c r="R168" s="78">
        <f>INDEX('Population Data by Age'!$B$7:$H$10366,MATCH(CONCATENATE('Tabular Pop Data by Age'!$C168,'Tabular Pop Data by Age'!R$7),'Population Data by Age'!$B$7:$B$10366,0),MATCH('Tabular Pop Data by Age'!$C$6,'Population Data by Age'!$B$6:$H$6,0))</f>
        <v>577000</v>
      </c>
      <c r="S168" s="78">
        <f>INDEX('Population Data by Age'!$B$7:$H$10366,MATCH(CONCATENATE('Tabular Pop Data by Age'!$C168,'Tabular Pop Data by Age'!S$7),'Population Data by Age'!$B$7:$B$10366,0),MATCH('Tabular Pop Data by Age'!$C$6,'Population Data by Age'!$B$6:$H$6,0))</f>
        <v>614000</v>
      </c>
      <c r="T168" s="78">
        <f>INDEX('Population Data by Age'!$B$7:$H$10366,MATCH(CONCATENATE('Tabular Pop Data by Age'!$C168,'Tabular Pop Data by Age'!T$7),'Population Data by Age'!$B$7:$B$10366,0),MATCH('Tabular Pop Data by Age'!$C$6,'Population Data by Age'!$B$6:$H$6,0))</f>
        <v>750000</v>
      </c>
      <c r="U168" s="78">
        <f>INDEX('Population Data by Age'!$B$7:$H$10366,MATCH(CONCATENATE('Tabular Pop Data by Age'!$C168,'Tabular Pop Data by Age'!U$7),'Population Data by Age'!$B$7:$B$10366,0),MATCH('Tabular Pop Data by Age'!$C$6,'Population Data by Age'!$B$6:$H$6,0))</f>
        <v>774000</v>
      </c>
      <c r="V168" s="78">
        <f>INDEX('Population Data by Age'!$B$7:$H$10366,MATCH(CONCATENATE('Tabular Pop Data by Age'!$C168,'Tabular Pop Data by Age'!V$7),'Population Data by Age'!$B$7:$B$10366,0),MATCH('Tabular Pop Data by Age'!$C$6,'Population Data by Age'!$B$6:$H$6,0))</f>
        <v>741000</v>
      </c>
      <c r="W168" s="78">
        <f>INDEX('Population Data by Age'!$B$7:$H$10366,MATCH(CONCATENATE('Tabular Pop Data by Age'!$C168,'Tabular Pop Data by Age'!W$7),'Population Data by Age'!$B$7:$B$10366,0),MATCH('Tabular Pop Data by Age'!$C$6,'Population Data by Age'!$B$6:$H$6,0))</f>
        <v>763000</v>
      </c>
      <c r="X168" s="78">
        <f>INDEX('Population Data by Age'!$B$7:$H$10366,MATCH(CONCATENATE('Tabular Pop Data by Age'!$C168,'Tabular Pop Data by Age'!X$7),'Population Data by Age'!$B$7:$B$10366,0),MATCH('Tabular Pop Data by Age'!$C$6,'Population Data by Age'!$B$6:$H$6,0))</f>
        <v>765000</v>
      </c>
      <c r="Y168" s="78">
        <f>INDEX('Population Data by Age'!$B$7:$H$10366,MATCH(CONCATENATE('Tabular Pop Data by Age'!$C168,'Tabular Pop Data by Age'!Y$7),'Population Data by Age'!$B$7:$B$10366,0),MATCH('Tabular Pop Data by Age'!$C$6,'Population Data by Age'!$B$6:$H$6,0))</f>
        <v>762000</v>
      </c>
      <c r="Z168" s="78">
        <f>INDEX('Population Data by Age'!$B$7:$H$10366,MATCH(CONCATENATE('Tabular Pop Data by Age'!$C168,'Tabular Pop Data by Age'!Z$7),'Population Data by Age'!$B$7:$B$10366,0),MATCH('Tabular Pop Data by Age'!$C$6,'Population Data by Age'!$B$6:$H$6,0))</f>
        <v>538000</v>
      </c>
      <c r="AA168" s="78">
        <f>INDEX('Population Data by Age'!$B$7:$H$10366,MATCH(CONCATENATE('Tabular Pop Data by Age'!$C168,'Tabular Pop Data by Age'!AA$7),'Population Data by Age'!$B$7:$B$10366,0),MATCH('Tabular Pop Data by Age'!$C$6,'Population Data by Age'!$B$6:$H$6,0))</f>
        <v>506000</v>
      </c>
      <c r="AB168" s="78">
        <f>INDEX('Population Data by Age'!$B$7:$H$10366,MATCH(CONCATENATE('Tabular Pop Data by Age'!$C168,'Tabular Pop Data by Age'!AB$7),'Population Data by Age'!$B$7:$B$10366,0),MATCH('Tabular Pop Data by Age'!$C$6,'Population Data by Age'!$B$6:$H$6,0))</f>
        <v>694000</v>
      </c>
      <c r="AC168" s="78">
        <f>INDEX('Population Data by Age'!$B$7:$H$10366,MATCH(CONCATENATE('Tabular Pop Data by Age'!$C168,'Tabular Pop Data by Age'!AC$7),'Population Data by Age'!$B$7:$B$10366,0),MATCH('Tabular Pop Data by Age'!$C$6,'Population Data by Age'!$B$6:$H$6,0))</f>
        <v>596000</v>
      </c>
      <c r="AD168" s="78">
        <f>INDEX('Population Data by Age'!$B$7:$H$10366,MATCH(CONCATENATE('Tabular Pop Data by Age'!$C168,'Tabular Pop Data by Age'!AD$7),'Population Data by Age'!$B$7:$B$10366,0),MATCH('Tabular Pop Data by Age'!$C$6,'Population Data by Age'!$B$6:$H$6,0))</f>
        <v>698000</v>
      </c>
      <c r="AE168" s="78">
        <f>INDEX('Population Data by Age'!$B$7:$H$10366,MATCH(CONCATENATE('Tabular Pop Data by Age'!$C168,'Tabular Pop Data by Age'!AE$7),'Population Data by Age'!$B$7:$B$10366,0),MATCH('Tabular Pop Data by Age'!$C$6,'Population Data by Age'!$B$6:$H$6,0))</f>
        <v>548000</v>
      </c>
      <c r="AF168" s="78">
        <f>INDEX('Population Data by Age'!$B$7:$H$10366,MATCH(CONCATENATE('Tabular Pop Data by Age'!$C168,'Tabular Pop Data by Age'!AF$7),'Population Data by Age'!$B$7:$B$10366,0),MATCH('Tabular Pop Data by Age'!$C$6,'Population Data by Age'!$B$6:$H$6,0))</f>
        <v>542000</v>
      </c>
      <c r="AG168" s="78">
        <f>INDEX('Population Data by Age'!$B$7:$H$10366,MATCH(CONCATENATE('Tabular Pop Data by Age'!$C168,'Tabular Pop Data by Age'!AG$7),'Population Data by Age'!$B$7:$B$10366,0),MATCH('Tabular Pop Data by Age'!$C$6,'Population Data by Age'!$B$6:$H$6,0))</f>
        <v>386000</v>
      </c>
      <c r="AH168" s="78">
        <f>INDEX('Population Data by Age'!$B$7:$H$10366,MATCH(CONCATENATE('Tabular Pop Data by Age'!$C168,'Tabular Pop Data by Age'!AH$7),'Population Data by Age'!$B$7:$B$10366,0),MATCH('Tabular Pop Data by Age'!$C$6,'Population Data by Age'!$B$6:$H$6,0))</f>
        <v>371000</v>
      </c>
      <c r="AI168" s="78">
        <f>INDEX('Population Data by Age'!$B$7:$H$10366,MATCH(CONCATENATE('Tabular Pop Data by Age'!$C168,'Tabular Pop Data by Age'!AI$7),'Population Data by Age'!$B$7:$B$10366,0),MATCH('Tabular Pop Data by Age'!$C$6,'Population Data by Age'!$B$6:$H$6,0))</f>
        <v>232000</v>
      </c>
      <c r="AJ168" s="78">
        <f>INDEX('Population Data by Age'!$B$7:$H$10366,MATCH(CONCATENATE('Tabular Pop Data by Age'!$C168,'Tabular Pop Data by Age'!AJ$7),'Population Data by Age'!$B$7:$B$10366,0),MATCH('Tabular Pop Data by Age'!$C$6,'Population Data by Age'!$B$6:$H$6,0))</f>
        <v>608000</v>
      </c>
      <c r="AK168" s="78">
        <f>INDEX('Population Data by Age'!$B$7:$H$10366,MATCH(CONCATENATE('Tabular Pop Data by Age'!$C168,'Tabular Pop Data by Age'!AK$7),'Population Data by Age'!$B$7:$B$10366,0),MATCH('Tabular Pop Data by Age'!$C$6,'Population Data by Age'!$B$6:$H$6,0))</f>
        <v>315000</v>
      </c>
      <c r="AL168" s="78">
        <f>INDEX('Population Data by Age'!$B$7:$H$10366,MATCH(CONCATENATE('Tabular Pop Data by Age'!$C168,'Tabular Pop Data by Age'!AL$7),'Population Data by Age'!$B$7:$B$10366,0),MATCH('Tabular Pop Data by Age'!$C$6,'Population Data by Age'!$B$6:$H$6,0))</f>
        <v>9888000</v>
      </c>
      <c r="AM168" s="78">
        <f>INDEX('Population Data by Age'!$B$7:$H$10366,MATCH(CONCATENATE('Tabular Pop Data by Age'!$C168,'Tabular Pop Data by Age'!AM$7),'Population Data by Age'!$B$7:$B$10366,0),MATCH('Tabular Pop Data by Age'!$C$6,'Population Data by Age'!$B$6:$H$6,0))</f>
        <v>9358000</v>
      </c>
      <c r="AN168" s="78">
        <f>INDEX('Population Data by Age'!$B$7:$H$10366,MATCH(CONCATENATE('Tabular Pop Data by Age'!$C168,'Tabular Pop Data by Age'!AN$7),'Population Data by Age'!$B$7:$B$10366,0),MATCH('Tabular Pop Data by Age'!$C$6,'Population Data by Age'!$B$6:$H$6,0))</f>
        <v>19247000</v>
      </c>
      <c r="AO168" s="78">
        <f>INDEX('Population Data by Age'!$B$7:$H$10366,MATCH(CONCATENATE('Tabular Pop Data by Age'!$C168,'Tabular Pop Data by Age'!AO$7),'Population Data by Age'!$B$7:$B$10366,0),MATCH('Tabular Pop Data by Age'!$C$6,'Population Data by Age'!$B$6:$H$6,0))</f>
        <v>0</v>
      </c>
      <c r="AP168" s="79">
        <f t="shared" si="51"/>
        <v>940000</v>
      </c>
      <c r="AQ168" s="79">
        <f t="shared" si="52"/>
        <v>966000</v>
      </c>
      <c r="AR168" s="79">
        <f t="shared" si="53"/>
        <v>1082000</v>
      </c>
      <c r="AS168" s="79">
        <f t="shared" si="54"/>
        <v>995000</v>
      </c>
      <c r="AT168" s="79">
        <f t="shared" si="55"/>
        <v>1011000</v>
      </c>
      <c r="AU168" s="79">
        <f t="shared" si="56"/>
        <v>1077000</v>
      </c>
      <c r="AV168" s="79">
        <f t="shared" si="57"/>
        <v>1397000</v>
      </c>
      <c r="AW168" s="79">
        <f t="shared" si="58"/>
        <v>1191000</v>
      </c>
      <c r="AX168" s="79">
        <f t="shared" si="59"/>
        <v>1524000</v>
      </c>
      <c r="AY168" s="79">
        <f t="shared" si="60"/>
        <v>1504000</v>
      </c>
      <c r="AZ168" s="79">
        <f t="shared" si="61"/>
        <v>1527000</v>
      </c>
      <c r="BA168" s="79">
        <f t="shared" si="62"/>
        <v>1044000</v>
      </c>
      <c r="BB168" s="79">
        <f t="shared" si="63"/>
        <v>1290000</v>
      </c>
      <c r="BC168" s="79">
        <f t="shared" si="64"/>
        <v>1246000</v>
      </c>
      <c r="BD168" s="79">
        <f t="shared" si="65"/>
        <v>928000</v>
      </c>
      <c r="BE168" s="79">
        <f t="shared" si="66"/>
        <v>603000</v>
      </c>
      <c r="BF168" s="79">
        <f t="shared" si="67"/>
        <v>923000</v>
      </c>
    </row>
    <row r="169" spans="1:58" x14ac:dyDescent="0.25">
      <c r="A169" s="138" t="s">
        <v>1195</v>
      </c>
      <c r="B169" t="s">
        <v>618</v>
      </c>
      <c r="C169" t="s">
        <v>122</v>
      </c>
      <c r="D169" s="78">
        <f>INDEX('Population Data by Age'!$B$7:$H$10366,MATCH(CONCATENATE('Tabular Pop Data by Age'!$C169,'Tabular Pop Data by Age'!D$7),'Population Data by Age'!$B$7:$B$10366,0),MATCH('Tabular Pop Data by Age'!$C$6,'Population Data by Age'!$B$6:$H$6,0))</f>
        <v>4456000</v>
      </c>
      <c r="E169" s="78">
        <f>INDEX('Population Data by Age'!$B$7:$H$10366,MATCH(CONCATENATE('Tabular Pop Data by Age'!$C169,'Tabular Pop Data by Age'!E$7),'Population Data by Age'!$B$7:$B$10366,0),MATCH('Tabular Pop Data by Age'!$C$6,'Population Data by Age'!$B$6:$H$6,0))</f>
        <v>4707000</v>
      </c>
      <c r="F169" s="78">
        <f>INDEX('Population Data by Age'!$B$7:$H$10366,MATCH(CONCATENATE('Tabular Pop Data by Age'!$C169,'Tabular Pop Data by Age'!F$7),'Population Data by Age'!$B$7:$B$10366,0),MATCH('Tabular Pop Data by Age'!$C$6,'Population Data by Age'!$B$6:$H$6,0))</f>
        <v>4495000</v>
      </c>
      <c r="G169" s="78">
        <f>INDEX('Population Data by Age'!$B$7:$H$10366,MATCH(CONCATENATE('Tabular Pop Data by Age'!$C169,'Tabular Pop Data by Age'!G$7),'Population Data by Age'!$B$7:$B$10366,0),MATCH('Tabular Pop Data by Age'!$C$6,'Population Data by Age'!$B$6:$H$6,0))</f>
        <v>4746000</v>
      </c>
      <c r="H169" s="78">
        <f>INDEX('Population Data by Age'!$B$7:$H$10366,MATCH(CONCATENATE('Tabular Pop Data by Age'!$C169,'Tabular Pop Data by Age'!H$7),'Population Data by Age'!$B$7:$B$10366,0),MATCH('Tabular Pop Data by Age'!$C$6,'Population Data by Age'!$B$6:$H$6,0))</f>
        <v>3941000</v>
      </c>
      <c r="I169" s="78">
        <f>INDEX('Population Data by Age'!$B$7:$H$10366,MATCH(CONCATENATE('Tabular Pop Data by Age'!$C169,'Tabular Pop Data by Age'!I$7),'Population Data by Age'!$B$7:$B$10366,0),MATCH('Tabular Pop Data by Age'!$C$6,'Population Data by Age'!$B$6:$H$6,0))</f>
        <v>4137000</v>
      </c>
      <c r="J169" s="78">
        <f>INDEX('Population Data by Age'!$B$7:$H$10366,MATCH(CONCATENATE('Tabular Pop Data by Age'!$C169,'Tabular Pop Data by Age'!J$7),'Population Data by Age'!$B$7:$B$10366,0),MATCH('Tabular Pop Data by Age'!$C$6,'Population Data by Age'!$B$6:$H$6,0))</f>
        <v>3420000</v>
      </c>
      <c r="K169" s="78">
        <f>INDEX('Population Data by Age'!$B$7:$H$10366,MATCH(CONCATENATE('Tabular Pop Data by Age'!$C169,'Tabular Pop Data by Age'!K$7),'Population Data by Age'!$B$7:$B$10366,0),MATCH('Tabular Pop Data by Age'!$C$6,'Population Data by Age'!$B$6:$H$6,0))</f>
        <v>3578000</v>
      </c>
      <c r="L169" s="78">
        <f>INDEX('Population Data by Age'!$B$7:$H$10366,MATCH(CONCATENATE('Tabular Pop Data by Age'!$C169,'Tabular Pop Data by Age'!L$7),'Population Data by Age'!$B$7:$B$10366,0),MATCH('Tabular Pop Data by Age'!$C$6,'Population Data by Age'!$B$6:$H$6,0))</f>
        <v>3203000</v>
      </c>
      <c r="M169" s="78">
        <f>INDEX('Population Data by Age'!$B$7:$H$10366,MATCH(CONCATENATE('Tabular Pop Data by Age'!$C169,'Tabular Pop Data by Age'!M$7),'Population Data by Age'!$B$7:$B$10366,0),MATCH('Tabular Pop Data by Age'!$C$6,'Population Data by Age'!$B$6:$H$6,0))</f>
        <v>3334000</v>
      </c>
      <c r="N169" s="78">
        <f>INDEX('Population Data by Age'!$B$7:$H$10366,MATCH(CONCATENATE('Tabular Pop Data by Age'!$C169,'Tabular Pop Data by Age'!N$7),'Population Data by Age'!$B$7:$B$10366,0),MATCH('Tabular Pop Data by Age'!$C$6,'Population Data by Age'!$B$6:$H$6,0))</f>
        <v>4365000</v>
      </c>
      <c r="O169" s="78">
        <f>INDEX('Population Data by Age'!$B$7:$H$10366,MATCH(CONCATENATE('Tabular Pop Data by Age'!$C169,'Tabular Pop Data by Age'!O$7),'Population Data by Age'!$B$7:$B$10366,0),MATCH('Tabular Pop Data by Age'!$C$6,'Population Data by Age'!$B$6:$H$6,0))</f>
        <v>4522000</v>
      </c>
      <c r="P169" s="78">
        <f>INDEX('Population Data by Age'!$B$7:$H$10366,MATCH(CONCATENATE('Tabular Pop Data by Age'!$C169,'Tabular Pop Data by Age'!P$7),'Population Data by Age'!$B$7:$B$10366,0),MATCH('Tabular Pop Data by Age'!$C$6,'Population Data by Age'!$B$6:$H$6,0))</f>
        <v>6170000</v>
      </c>
      <c r="Q169" s="78">
        <f>INDEX('Population Data by Age'!$B$7:$H$10366,MATCH(CONCATENATE('Tabular Pop Data by Age'!$C169,'Tabular Pop Data by Age'!Q$7),'Population Data by Age'!$B$7:$B$10366,0),MATCH('Tabular Pop Data by Age'!$C$6,'Population Data by Age'!$B$6:$H$6,0))</f>
        <v>6227000</v>
      </c>
      <c r="R169" s="78">
        <f>INDEX('Population Data by Age'!$B$7:$H$10366,MATCH(CONCATENATE('Tabular Pop Data by Age'!$C169,'Tabular Pop Data by Age'!R$7),'Population Data by Age'!$B$7:$B$10366,0),MATCH('Tabular Pop Data by Age'!$C$6,'Population Data by Age'!$B$6:$H$6,0))</f>
        <v>5943000</v>
      </c>
      <c r="S169" s="78">
        <f>INDEX('Population Data by Age'!$B$7:$H$10366,MATCH(CONCATENATE('Tabular Pop Data by Age'!$C169,'Tabular Pop Data by Age'!S$7),'Population Data by Age'!$B$7:$B$10366,0),MATCH('Tabular Pop Data by Age'!$C$6,'Population Data by Age'!$B$6:$H$6,0))</f>
        <v>5842000</v>
      </c>
      <c r="T169" s="78">
        <f>INDEX('Population Data by Age'!$B$7:$H$10366,MATCH(CONCATENATE('Tabular Pop Data by Age'!$C169,'Tabular Pop Data by Age'!T$7),'Population Data by Age'!$B$7:$B$10366,0),MATCH('Tabular Pop Data by Age'!$C$6,'Population Data by Age'!$B$6:$H$6,0))</f>
        <v>5412000</v>
      </c>
      <c r="U169" s="78">
        <f>INDEX('Population Data by Age'!$B$7:$H$10366,MATCH(CONCATENATE('Tabular Pop Data by Age'!$C169,'Tabular Pop Data by Age'!U$7),'Population Data by Age'!$B$7:$B$10366,0),MATCH('Tabular Pop Data by Age'!$C$6,'Population Data by Age'!$B$6:$H$6,0))</f>
        <v>5068000</v>
      </c>
      <c r="V169" s="78">
        <f>INDEX('Population Data by Age'!$B$7:$H$10366,MATCH(CONCATENATE('Tabular Pop Data by Age'!$C169,'Tabular Pop Data by Age'!V$7),'Population Data by Age'!$B$7:$B$10366,0),MATCH('Tabular Pop Data by Age'!$C$6,'Population Data by Age'!$B$6:$H$6,0))</f>
        <v>5036000</v>
      </c>
      <c r="W169" s="78">
        <f>INDEX('Population Data by Age'!$B$7:$H$10366,MATCH(CONCATENATE('Tabular Pop Data by Age'!$C169,'Tabular Pop Data by Age'!W$7),'Population Data by Age'!$B$7:$B$10366,0),MATCH('Tabular Pop Data by Age'!$C$6,'Population Data by Age'!$B$6:$H$6,0))</f>
        <v>4620000</v>
      </c>
      <c r="X169" s="78">
        <f>INDEX('Population Data by Age'!$B$7:$H$10366,MATCH(CONCATENATE('Tabular Pop Data by Age'!$C169,'Tabular Pop Data by Age'!X$7),'Population Data by Age'!$B$7:$B$10366,0),MATCH('Tabular Pop Data by Age'!$C$6,'Population Data by Age'!$B$6:$H$6,0))</f>
        <v>4497000</v>
      </c>
      <c r="Y169" s="78">
        <f>INDEX('Population Data by Age'!$B$7:$H$10366,MATCH(CONCATENATE('Tabular Pop Data by Age'!$C169,'Tabular Pop Data by Age'!Y$7),'Population Data by Age'!$B$7:$B$10366,0),MATCH('Tabular Pop Data by Age'!$C$6,'Population Data by Age'!$B$6:$H$6,0))</f>
        <v>3883000</v>
      </c>
      <c r="Z169" s="78">
        <f>INDEX('Population Data by Age'!$B$7:$H$10366,MATCH(CONCATENATE('Tabular Pop Data by Age'!$C169,'Tabular Pop Data by Age'!Z$7),'Population Data by Age'!$B$7:$B$10366,0),MATCH('Tabular Pop Data by Age'!$C$6,'Population Data by Age'!$B$6:$H$6,0))</f>
        <v>5690000</v>
      </c>
      <c r="AA169" s="78">
        <f>INDEX('Population Data by Age'!$B$7:$H$10366,MATCH(CONCATENATE('Tabular Pop Data by Age'!$C169,'Tabular Pop Data by Age'!AA$7),'Population Data by Age'!$B$7:$B$10366,0),MATCH('Tabular Pop Data by Age'!$C$6,'Population Data by Age'!$B$6:$H$6,0))</f>
        <v>4606000</v>
      </c>
      <c r="AB169" s="78">
        <f>INDEX('Population Data by Age'!$B$7:$H$10366,MATCH(CONCATENATE('Tabular Pop Data by Age'!$C169,'Tabular Pop Data by Age'!AB$7),'Population Data by Age'!$B$7:$B$10366,0),MATCH('Tabular Pop Data by Age'!$C$6,'Population Data by Age'!$B$6:$H$6,0))</f>
        <v>5780000</v>
      </c>
      <c r="AC169" s="78">
        <f>INDEX('Population Data by Age'!$B$7:$H$10366,MATCH(CONCATENATE('Tabular Pop Data by Age'!$C169,'Tabular Pop Data by Age'!AC$7),'Population Data by Age'!$B$7:$B$10366,0),MATCH('Tabular Pop Data by Age'!$C$6,'Population Data by Age'!$B$6:$H$6,0))</f>
        <v>4176000</v>
      </c>
      <c r="AD169" s="78">
        <f>INDEX('Population Data by Age'!$B$7:$H$10366,MATCH(CONCATENATE('Tabular Pop Data by Age'!$C169,'Tabular Pop Data by Age'!AD$7),'Population Data by Age'!$B$7:$B$10366,0),MATCH('Tabular Pop Data by Age'!$C$6,'Population Data by Age'!$B$6:$H$6,0))</f>
        <v>5111000</v>
      </c>
      <c r="AE169" s="78">
        <f>INDEX('Population Data by Age'!$B$7:$H$10366,MATCH(CONCATENATE('Tabular Pop Data by Age'!$C169,'Tabular Pop Data by Age'!AE$7),'Population Data by Age'!$B$7:$B$10366,0),MATCH('Tabular Pop Data by Age'!$C$6,'Population Data by Age'!$B$6:$H$6,0))</f>
        <v>3218000</v>
      </c>
      <c r="AF169" s="78">
        <f>INDEX('Population Data by Age'!$B$7:$H$10366,MATCH(CONCATENATE('Tabular Pop Data by Age'!$C169,'Tabular Pop Data by Age'!AF$7),'Population Data by Age'!$B$7:$B$10366,0),MATCH('Tabular Pop Data by Age'!$C$6,'Population Data by Age'!$B$6:$H$6,0))</f>
        <v>3427000</v>
      </c>
      <c r="AG169" s="78">
        <f>INDEX('Population Data by Age'!$B$7:$H$10366,MATCH(CONCATENATE('Tabular Pop Data by Age'!$C169,'Tabular Pop Data by Age'!AG$7),'Population Data by Age'!$B$7:$B$10366,0),MATCH('Tabular Pop Data by Age'!$C$6,'Population Data by Age'!$B$6:$H$6,0))</f>
        <v>1900000</v>
      </c>
      <c r="AH169" s="78">
        <f>INDEX('Population Data by Age'!$B$7:$H$10366,MATCH(CONCATENATE('Tabular Pop Data by Age'!$C169,'Tabular Pop Data by Age'!AH$7),'Population Data by Age'!$B$7:$B$10366,0),MATCH('Tabular Pop Data by Age'!$C$6,'Population Data by Age'!$B$6:$H$6,0))</f>
        <v>2196000</v>
      </c>
      <c r="AI169" s="78">
        <f>INDEX('Population Data by Age'!$B$7:$H$10366,MATCH(CONCATENATE('Tabular Pop Data by Age'!$C169,'Tabular Pop Data by Age'!AI$7),'Population Data by Age'!$B$7:$B$10366,0),MATCH('Tabular Pop Data by Age'!$C$6,'Population Data by Age'!$B$6:$H$6,0))</f>
        <v>926000</v>
      </c>
      <c r="AJ169" s="78">
        <f>INDEX('Population Data by Age'!$B$7:$H$10366,MATCH(CONCATENATE('Tabular Pop Data by Age'!$C169,'Tabular Pop Data by Age'!AJ$7),'Population Data by Age'!$B$7:$B$10366,0),MATCH('Tabular Pop Data by Age'!$C$6,'Population Data by Age'!$B$6:$H$6,0))</f>
        <v>4232000</v>
      </c>
      <c r="AK169" s="78">
        <f>INDEX('Population Data by Age'!$B$7:$H$10366,MATCH(CONCATENATE('Tabular Pop Data by Age'!$C169,'Tabular Pop Data by Age'!AK$7),'Population Data by Age'!$B$7:$B$10366,0),MATCH('Tabular Pop Data by Age'!$C$6,'Population Data by Age'!$B$6:$H$6,0))</f>
        <v>1357000</v>
      </c>
      <c r="AL169" s="78">
        <f>INDEX('Population Data by Age'!$B$7:$H$10366,MATCH(CONCATENATE('Tabular Pop Data by Age'!$C169,'Tabular Pop Data by Age'!AL$7),'Population Data by Age'!$B$7:$B$10366,0),MATCH('Tabular Pop Data by Age'!$C$6,'Population Data by Age'!$B$6:$H$6,0))</f>
        <v>77375000</v>
      </c>
      <c r="AM169" s="78">
        <f>INDEX('Population Data by Age'!$B$7:$H$10366,MATCH(CONCATENATE('Tabular Pop Data by Age'!$C169,'Tabular Pop Data by Age'!AM$7),'Population Data by Age'!$B$7:$B$10366,0),MATCH('Tabular Pop Data by Age'!$C$6,'Population Data by Age'!$B$6:$H$6,0))</f>
        <v>66847000</v>
      </c>
      <c r="AN169" s="78">
        <f>INDEX('Population Data by Age'!$B$7:$H$10366,MATCH(CONCATENATE('Tabular Pop Data by Age'!$C169,'Tabular Pop Data by Age'!AN$7),'Population Data by Age'!$B$7:$B$10366,0),MATCH('Tabular Pop Data by Age'!$C$6,'Population Data by Age'!$B$6:$H$6,0))</f>
        <v>144222000</v>
      </c>
      <c r="AO169" s="78">
        <f>INDEX('Population Data by Age'!$B$7:$H$10366,MATCH(CONCATENATE('Tabular Pop Data by Age'!$C169,'Tabular Pop Data by Age'!AO$7),'Population Data by Age'!$B$7:$B$10366,0),MATCH('Tabular Pop Data by Age'!$C$6,'Population Data by Age'!$B$6:$H$6,0))</f>
        <v>0</v>
      </c>
      <c r="AP169" s="79">
        <f t="shared" si="51"/>
        <v>9163000</v>
      </c>
      <c r="AQ169" s="79">
        <f t="shared" si="52"/>
        <v>9241000</v>
      </c>
      <c r="AR169" s="79">
        <f t="shared" si="53"/>
        <v>8078000</v>
      </c>
      <c r="AS169" s="79">
        <f t="shared" si="54"/>
        <v>6998000</v>
      </c>
      <c r="AT169" s="79">
        <f t="shared" si="55"/>
        <v>6537000</v>
      </c>
      <c r="AU169" s="79">
        <f t="shared" si="56"/>
        <v>8887000</v>
      </c>
      <c r="AV169" s="79">
        <f t="shared" si="57"/>
        <v>12397000</v>
      </c>
      <c r="AW169" s="79">
        <f t="shared" si="58"/>
        <v>11785000</v>
      </c>
      <c r="AX169" s="79">
        <f t="shared" si="59"/>
        <v>10480000</v>
      </c>
      <c r="AY169" s="79">
        <f t="shared" si="60"/>
        <v>9656000</v>
      </c>
      <c r="AZ169" s="79">
        <f t="shared" si="61"/>
        <v>8380000</v>
      </c>
      <c r="BA169" s="79">
        <f t="shared" si="62"/>
        <v>10296000</v>
      </c>
      <c r="BB169" s="79">
        <f t="shared" si="63"/>
        <v>9956000</v>
      </c>
      <c r="BC169" s="79">
        <f t="shared" si="64"/>
        <v>8329000</v>
      </c>
      <c r="BD169" s="79">
        <f t="shared" si="65"/>
        <v>5327000</v>
      </c>
      <c r="BE169" s="79">
        <f t="shared" si="66"/>
        <v>3122000</v>
      </c>
      <c r="BF169" s="79">
        <f t="shared" si="67"/>
        <v>5589000</v>
      </c>
    </row>
    <row r="170" spans="1:58" x14ac:dyDescent="0.25">
      <c r="A170" s="138" t="s">
        <v>1195</v>
      </c>
      <c r="B170" t="s">
        <v>210</v>
      </c>
      <c r="C170" t="s">
        <v>123</v>
      </c>
      <c r="D170" s="78">
        <f>INDEX('Population Data by Age'!$B$7:$H$10366,MATCH(CONCATENATE('Tabular Pop Data by Age'!$C170,'Tabular Pop Data by Age'!D$7),'Population Data by Age'!$B$7:$B$10366,0),MATCH('Tabular Pop Data by Age'!$C$6,'Population Data by Age'!$B$6:$H$6,0))</f>
        <v>935000</v>
      </c>
      <c r="E170" s="78">
        <f>INDEX('Population Data by Age'!$B$7:$H$10366,MATCH(CONCATENATE('Tabular Pop Data by Age'!$C170,'Tabular Pop Data by Age'!E$7),'Population Data by Age'!$B$7:$B$10366,0),MATCH('Tabular Pop Data by Age'!$C$6,'Population Data by Age'!$B$6:$H$6,0))</f>
        <v>950000</v>
      </c>
      <c r="F170" s="78">
        <f>INDEX('Population Data by Age'!$B$7:$H$10366,MATCH(CONCATENATE('Tabular Pop Data by Age'!$C170,'Tabular Pop Data by Age'!F$7),'Population Data by Age'!$B$7:$B$10366,0),MATCH('Tabular Pop Data by Age'!$C$6,'Population Data by Age'!$B$6:$H$6,0))</f>
        <v>835000</v>
      </c>
      <c r="G170" s="78">
        <f>INDEX('Population Data by Age'!$B$7:$H$10366,MATCH(CONCATENATE('Tabular Pop Data by Age'!$C170,'Tabular Pop Data by Age'!G$7),'Population Data by Age'!$B$7:$B$10366,0),MATCH('Tabular Pop Data by Age'!$C$6,'Population Data by Age'!$B$6:$H$6,0))</f>
        <v>841000</v>
      </c>
      <c r="H170" s="78">
        <f>INDEX('Population Data by Age'!$B$7:$H$10366,MATCH(CONCATENATE('Tabular Pop Data by Age'!$C170,'Tabular Pop Data by Age'!H$7),'Population Data by Age'!$B$7:$B$10366,0),MATCH('Tabular Pop Data by Age'!$C$6,'Population Data by Age'!$B$6:$H$6,0))</f>
        <v>777000</v>
      </c>
      <c r="I170" s="78">
        <f>INDEX('Population Data by Age'!$B$7:$H$10366,MATCH(CONCATENATE('Tabular Pop Data by Age'!$C170,'Tabular Pop Data by Age'!I$7),'Population Data by Age'!$B$7:$B$10366,0),MATCH('Tabular Pop Data by Age'!$C$6,'Population Data by Age'!$B$6:$H$6,0))</f>
        <v>775000</v>
      </c>
      <c r="J170" s="78">
        <f>INDEX('Population Data by Age'!$B$7:$H$10366,MATCH(CONCATENATE('Tabular Pop Data by Age'!$C170,'Tabular Pop Data by Age'!J$7),'Population Data by Age'!$B$7:$B$10366,0),MATCH('Tabular Pop Data by Age'!$C$6,'Population Data by Age'!$B$6:$H$6,0))</f>
        <v>681000</v>
      </c>
      <c r="K170" s="78">
        <f>INDEX('Population Data by Age'!$B$7:$H$10366,MATCH(CONCATENATE('Tabular Pop Data by Age'!$C170,'Tabular Pop Data by Age'!K$7),'Population Data by Age'!$B$7:$B$10366,0),MATCH('Tabular Pop Data by Age'!$C$6,'Population Data by Age'!$B$6:$H$6,0))</f>
        <v>673000</v>
      </c>
      <c r="L170" s="78">
        <f>INDEX('Population Data by Age'!$B$7:$H$10366,MATCH(CONCATENATE('Tabular Pop Data by Age'!$C170,'Tabular Pop Data by Age'!L$7),'Population Data by Age'!$B$7:$B$10366,0),MATCH('Tabular Pop Data by Age'!$C$6,'Population Data by Age'!$B$6:$H$6,0))</f>
        <v>597000</v>
      </c>
      <c r="M170" s="78">
        <f>INDEX('Population Data by Age'!$B$7:$H$10366,MATCH(CONCATENATE('Tabular Pop Data by Age'!$C170,'Tabular Pop Data by Age'!M$7),'Population Data by Age'!$B$7:$B$10366,0),MATCH('Tabular Pop Data by Age'!$C$6,'Population Data by Age'!$B$6:$H$6,0))</f>
        <v>586000</v>
      </c>
      <c r="N170" s="78">
        <f>INDEX('Population Data by Age'!$B$7:$H$10366,MATCH(CONCATENATE('Tabular Pop Data by Age'!$C170,'Tabular Pop Data by Age'!N$7),'Population Data by Age'!$B$7:$B$10366,0),MATCH('Tabular Pop Data by Age'!$C$6,'Population Data by Age'!$B$6:$H$6,0))</f>
        <v>525000</v>
      </c>
      <c r="O170" s="78">
        <f>INDEX('Population Data by Age'!$B$7:$H$10366,MATCH(CONCATENATE('Tabular Pop Data by Age'!$C170,'Tabular Pop Data by Age'!O$7),'Population Data by Age'!$B$7:$B$10366,0),MATCH('Tabular Pop Data by Age'!$C$6,'Population Data by Age'!$B$6:$H$6,0))</f>
        <v>503000</v>
      </c>
      <c r="P170" s="78">
        <f>INDEX('Population Data by Age'!$B$7:$H$10366,MATCH(CONCATENATE('Tabular Pop Data by Age'!$C170,'Tabular Pop Data by Age'!P$7),'Population Data by Age'!$B$7:$B$10366,0),MATCH('Tabular Pop Data by Age'!$C$6,'Population Data by Age'!$B$6:$H$6,0))</f>
        <v>494000</v>
      </c>
      <c r="Q170" s="78">
        <f>INDEX('Population Data by Age'!$B$7:$H$10366,MATCH(CONCATENATE('Tabular Pop Data by Age'!$C170,'Tabular Pop Data by Age'!Q$7),'Population Data by Age'!$B$7:$B$10366,0),MATCH('Tabular Pop Data by Age'!$C$6,'Population Data by Age'!$B$6:$H$6,0))</f>
        <v>485000</v>
      </c>
      <c r="R170" s="78">
        <f>INDEX('Population Data by Age'!$B$7:$H$10366,MATCH(CONCATENATE('Tabular Pop Data by Age'!$C170,'Tabular Pop Data by Age'!R$7),'Population Data by Age'!$B$7:$B$10366,0),MATCH('Tabular Pop Data by Age'!$C$6,'Population Data by Age'!$B$6:$H$6,0))</f>
        <v>444000</v>
      </c>
      <c r="S170" s="78">
        <f>INDEX('Population Data by Age'!$B$7:$H$10366,MATCH(CONCATENATE('Tabular Pop Data by Age'!$C170,'Tabular Pop Data by Age'!S$7),'Population Data by Age'!$B$7:$B$10366,0),MATCH('Tabular Pop Data by Age'!$C$6,'Population Data by Age'!$B$6:$H$6,0))</f>
        <v>390000</v>
      </c>
      <c r="T170" s="78">
        <f>INDEX('Population Data by Age'!$B$7:$H$10366,MATCH(CONCATENATE('Tabular Pop Data by Age'!$C170,'Tabular Pop Data by Age'!T$7),'Population Data by Age'!$B$7:$B$10366,0),MATCH('Tabular Pop Data by Age'!$C$6,'Population Data by Age'!$B$6:$H$6,0))</f>
        <v>317000</v>
      </c>
      <c r="U170" s="78">
        <f>INDEX('Population Data by Age'!$B$7:$H$10366,MATCH(CONCATENATE('Tabular Pop Data by Age'!$C170,'Tabular Pop Data by Age'!U$7),'Population Data by Age'!$B$7:$B$10366,0),MATCH('Tabular Pop Data by Age'!$C$6,'Population Data by Age'!$B$6:$H$6,0))</f>
        <v>292000</v>
      </c>
      <c r="V170" s="78">
        <f>INDEX('Population Data by Age'!$B$7:$H$10366,MATCH(CONCATENATE('Tabular Pop Data by Age'!$C170,'Tabular Pop Data by Age'!V$7),'Population Data by Age'!$B$7:$B$10366,0),MATCH('Tabular Pop Data by Age'!$C$6,'Population Data by Age'!$B$6:$H$6,0))</f>
        <v>244000</v>
      </c>
      <c r="W170" s="78">
        <f>INDEX('Population Data by Age'!$B$7:$H$10366,MATCH(CONCATENATE('Tabular Pop Data by Age'!$C170,'Tabular Pop Data by Age'!W$7),'Population Data by Age'!$B$7:$B$10366,0),MATCH('Tabular Pop Data by Age'!$C$6,'Population Data by Age'!$B$6:$H$6,0))</f>
        <v>217000</v>
      </c>
      <c r="X170" s="78">
        <f>INDEX('Population Data by Age'!$B$7:$H$10366,MATCH(CONCATENATE('Tabular Pop Data by Age'!$C170,'Tabular Pop Data by Age'!X$7),'Population Data by Age'!$B$7:$B$10366,0),MATCH('Tabular Pop Data by Age'!$C$6,'Population Data by Age'!$B$6:$H$6,0))</f>
        <v>179000</v>
      </c>
      <c r="Y170" s="78">
        <f>INDEX('Population Data by Age'!$B$7:$H$10366,MATCH(CONCATENATE('Tabular Pop Data by Age'!$C170,'Tabular Pop Data by Age'!Y$7),'Population Data by Age'!$B$7:$B$10366,0),MATCH('Tabular Pop Data by Age'!$C$6,'Population Data by Age'!$B$6:$H$6,0))</f>
        <v>176000</v>
      </c>
      <c r="Z170" s="78">
        <f>INDEX('Population Data by Age'!$B$7:$H$10366,MATCH(CONCATENATE('Tabular Pop Data by Age'!$C170,'Tabular Pop Data by Age'!Z$7),'Population Data by Age'!$B$7:$B$10366,0),MATCH('Tabular Pop Data by Age'!$C$6,'Population Data by Age'!$B$6:$H$6,0))</f>
        <v>186000</v>
      </c>
      <c r="AA170" s="78">
        <f>INDEX('Population Data by Age'!$B$7:$H$10366,MATCH(CONCATENATE('Tabular Pop Data by Age'!$C170,'Tabular Pop Data by Age'!AA$7),'Population Data by Age'!$B$7:$B$10366,0),MATCH('Tabular Pop Data by Age'!$C$6,'Population Data by Age'!$B$6:$H$6,0))</f>
        <v>188000</v>
      </c>
      <c r="AB170" s="78">
        <f>INDEX('Population Data by Age'!$B$7:$H$10366,MATCH(CONCATENATE('Tabular Pop Data by Age'!$C170,'Tabular Pop Data by Age'!AB$7),'Population Data by Age'!$B$7:$B$10366,0),MATCH('Tabular Pop Data by Age'!$C$6,'Population Data by Age'!$B$6:$H$6,0))</f>
        <v>136000</v>
      </c>
      <c r="AC170" s="78">
        <f>INDEX('Population Data by Age'!$B$7:$H$10366,MATCH(CONCATENATE('Tabular Pop Data by Age'!$C170,'Tabular Pop Data by Age'!AC$7),'Population Data by Age'!$B$7:$B$10366,0),MATCH('Tabular Pop Data by Age'!$C$6,'Population Data by Age'!$B$6:$H$6,0))</f>
        <v>123000</v>
      </c>
      <c r="AD170" s="78">
        <f>INDEX('Population Data by Age'!$B$7:$H$10366,MATCH(CONCATENATE('Tabular Pop Data by Age'!$C170,'Tabular Pop Data by Age'!AD$7),'Population Data by Age'!$B$7:$B$10366,0),MATCH('Tabular Pop Data by Age'!$C$6,'Population Data by Age'!$B$6:$H$6,0))</f>
        <v>103000</v>
      </c>
      <c r="AE170" s="78">
        <f>INDEX('Population Data by Age'!$B$7:$H$10366,MATCH(CONCATENATE('Tabular Pop Data by Age'!$C170,'Tabular Pop Data by Age'!AE$7),'Population Data by Age'!$B$7:$B$10366,0),MATCH('Tabular Pop Data by Age'!$C$6,'Population Data by Age'!$B$6:$H$6,0))</f>
        <v>83000</v>
      </c>
      <c r="AF170" s="78">
        <f>INDEX('Population Data by Age'!$B$7:$H$10366,MATCH(CONCATENATE('Tabular Pop Data by Age'!$C170,'Tabular Pop Data by Age'!AF$7),'Population Data by Age'!$B$7:$B$10366,0),MATCH('Tabular Pop Data by Age'!$C$6,'Population Data by Age'!$B$6:$H$6,0))</f>
        <v>65000</v>
      </c>
      <c r="AG170" s="78">
        <f>INDEX('Population Data by Age'!$B$7:$H$10366,MATCH(CONCATENATE('Tabular Pop Data by Age'!$C170,'Tabular Pop Data by Age'!AG$7),'Population Data by Age'!$B$7:$B$10366,0),MATCH('Tabular Pop Data by Age'!$C$6,'Population Data by Age'!$B$6:$H$6,0))</f>
        <v>44000</v>
      </c>
      <c r="AH170" s="78">
        <f>INDEX('Population Data by Age'!$B$7:$H$10366,MATCH(CONCATENATE('Tabular Pop Data by Age'!$C170,'Tabular Pop Data by Age'!AH$7),'Population Data by Age'!$B$7:$B$10366,0),MATCH('Tabular Pop Data by Age'!$C$6,'Population Data by Age'!$B$6:$H$6,0))</f>
        <v>41000</v>
      </c>
      <c r="AI170" s="78">
        <f>INDEX('Population Data by Age'!$B$7:$H$10366,MATCH(CONCATENATE('Tabular Pop Data by Age'!$C170,'Tabular Pop Data by Age'!AI$7),'Population Data by Age'!$B$7:$B$10366,0),MATCH('Tabular Pop Data by Age'!$C$6,'Population Data by Age'!$B$6:$H$6,0))</f>
        <v>25000</v>
      </c>
      <c r="AJ170" s="78">
        <f>INDEX('Population Data by Age'!$B$7:$H$10366,MATCH(CONCATENATE('Tabular Pop Data by Age'!$C170,'Tabular Pop Data by Age'!AJ$7),'Population Data by Age'!$B$7:$B$10366,0),MATCH('Tabular Pop Data by Age'!$C$6,'Population Data by Age'!$B$6:$H$6,0))</f>
        <v>27000</v>
      </c>
      <c r="AK170" s="78">
        <f>INDEX('Population Data by Age'!$B$7:$H$10366,MATCH(CONCATENATE('Tabular Pop Data by Age'!$C170,'Tabular Pop Data by Age'!AK$7),'Population Data by Age'!$B$7:$B$10366,0),MATCH('Tabular Pop Data by Age'!$C$6,'Population Data by Age'!$B$6:$H$6,0))</f>
        <v>16000</v>
      </c>
      <c r="AL170" s="78">
        <f>INDEX('Population Data by Age'!$B$7:$H$10366,MATCH(CONCATENATE('Tabular Pop Data by Age'!$C170,'Tabular Pop Data by Age'!AL$7),'Population Data by Age'!$B$7:$B$10366,0),MATCH('Tabular Pop Data by Age'!$C$6,'Population Data by Age'!$B$6:$H$6,0))</f>
        <v>6585000</v>
      </c>
      <c r="AM170" s="78">
        <f>INDEX('Population Data by Age'!$B$7:$H$10366,MATCH(CONCATENATE('Tabular Pop Data by Age'!$C170,'Tabular Pop Data by Age'!AM$7),'Population Data by Age'!$B$7:$B$10366,0),MATCH('Tabular Pop Data by Age'!$C$6,'Population Data by Age'!$B$6:$H$6,0))</f>
        <v>6367000</v>
      </c>
      <c r="AN170" s="78">
        <f>INDEX('Population Data by Age'!$B$7:$H$10366,MATCH(CONCATENATE('Tabular Pop Data by Age'!$C170,'Tabular Pop Data by Age'!AN$7),'Population Data by Age'!$B$7:$B$10366,0),MATCH('Tabular Pop Data by Age'!$C$6,'Population Data by Age'!$B$6:$H$6,0))</f>
        <v>12952000</v>
      </c>
      <c r="AO170" s="78">
        <f>INDEX('Population Data by Age'!$B$7:$H$10366,MATCH(CONCATENATE('Tabular Pop Data by Age'!$C170,'Tabular Pop Data by Age'!AO$7),'Population Data by Age'!$B$7:$B$10366,0),MATCH('Tabular Pop Data by Age'!$C$6,'Population Data by Age'!$B$6:$H$6,0))</f>
        <v>0</v>
      </c>
      <c r="AP170" s="79">
        <f t="shared" si="51"/>
        <v>1885000</v>
      </c>
      <c r="AQ170" s="79">
        <f t="shared" si="52"/>
        <v>1676000</v>
      </c>
      <c r="AR170" s="79">
        <f t="shared" si="53"/>
        <v>1552000</v>
      </c>
      <c r="AS170" s="79">
        <f t="shared" si="54"/>
        <v>1354000</v>
      </c>
      <c r="AT170" s="79">
        <f t="shared" si="55"/>
        <v>1183000</v>
      </c>
      <c r="AU170" s="79">
        <f t="shared" si="56"/>
        <v>1028000</v>
      </c>
      <c r="AV170" s="79">
        <f t="shared" si="57"/>
        <v>979000</v>
      </c>
      <c r="AW170" s="79">
        <f t="shared" si="58"/>
        <v>834000</v>
      </c>
      <c r="AX170" s="79">
        <f t="shared" si="59"/>
        <v>609000</v>
      </c>
      <c r="AY170" s="79">
        <f t="shared" si="60"/>
        <v>461000</v>
      </c>
      <c r="AZ170" s="79">
        <f t="shared" si="61"/>
        <v>355000</v>
      </c>
      <c r="BA170" s="79">
        <f t="shared" si="62"/>
        <v>374000</v>
      </c>
      <c r="BB170" s="79">
        <f t="shared" si="63"/>
        <v>259000</v>
      </c>
      <c r="BC170" s="79">
        <f t="shared" si="64"/>
        <v>186000</v>
      </c>
      <c r="BD170" s="79">
        <f t="shared" si="65"/>
        <v>109000</v>
      </c>
      <c r="BE170" s="79">
        <f t="shared" si="66"/>
        <v>66000</v>
      </c>
      <c r="BF170" s="79">
        <f t="shared" si="67"/>
        <v>43000</v>
      </c>
    </row>
    <row r="171" spans="1:58" x14ac:dyDescent="0.25">
      <c r="A171" s="138" t="s">
        <v>1195</v>
      </c>
      <c r="B171" t="s">
        <v>254</v>
      </c>
      <c r="C171" t="s">
        <v>152</v>
      </c>
      <c r="D171" s="78">
        <f>INDEX('Population Data by Age'!$B$7:$H$10366,MATCH(CONCATENATE('Tabular Pop Data by Age'!$C171,'Tabular Pop Data by Age'!D$7),'Population Data by Age'!$B$7:$B$10366,0),MATCH('Tabular Pop Data by Age'!$C$6,'Population Data by Age'!$B$6:$H$6,0))</f>
        <v>13000</v>
      </c>
      <c r="E171" s="78">
        <f>INDEX('Population Data by Age'!$B$7:$H$10366,MATCH(CONCATENATE('Tabular Pop Data by Age'!$C171,'Tabular Pop Data by Age'!E$7),'Population Data by Age'!$B$7:$B$10366,0),MATCH('Tabular Pop Data by Age'!$C$6,'Population Data by Age'!$B$6:$H$6,0))</f>
        <v>14000</v>
      </c>
      <c r="F171" s="78">
        <f>INDEX('Population Data by Age'!$B$7:$H$10366,MATCH(CONCATENATE('Tabular Pop Data by Age'!$C171,'Tabular Pop Data by Age'!F$7),'Population Data by Age'!$B$7:$B$10366,0),MATCH('Tabular Pop Data by Age'!$C$6,'Population Data by Age'!$B$6:$H$6,0))</f>
        <v>12000</v>
      </c>
      <c r="G171" s="78">
        <f>INDEX('Population Data by Age'!$B$7:$H$10366,MATCH(CONCATENATE('Tabular Pop Data by Age'!$C171,'Tabular Pop Data by Age'!G$7),'Population Data by Age'!$B$7:$B$10366,0),MATCH('Tabular Pop Data by Age'!$C$6,'Population Data by Age'!$B$6:$H$6,0))</f>
        <v>13000</v>
      </c>
      <c r="H171" s="78">
        <f>INDEX('Population Data by Age'!$B$7:$H$10366,MATCH(CONCATENATE('Tabular Pop Data by Age'!$C171,'Tabular Pop Data by Age'!H$7),'Population Data by Age'!$B$7:$B$10366,0),MATCH('Tabular Pop Data by Age'!$C$6,'Population Data by Age'!$B$6:$H$6,0))</f>
        <v>11000</v>
      </c>
      <c r="I171" s="78">
        <f>INDEX('Population Data by Age'!$B$7:$H$10366,MATCH(CONCATENATE('Tabular Pop Data by Age'!$C171,'Tabular Pop Data by Age'!I$7),'Population Data by Age'!$B$7:$B$10366,0),MATCH('Tabular Pop Data by Age'!$C$6,'Population Data by Age'!$B$6:$H$6,0))</f>
        <v>12000</v>
      </c>
      <c r="J171" s="78">
        <f>INDEX('Population Data by Age'!$B$7:$H$10366,MATCH(CONCATENATE('Tabular Pop Data by Age'!$C171,'Tabular Pop Data by Age'!J$7),'Population Data by Age'!$B$7:$B$10366,0),MATCH('Tabular Pop Data by Age'!$C$6,'Population Data by Age'!$B$6:$H$6,0))</f>
        <v>9300</v>
      </c>
      <c r="K171" s="78">
        <f>INDEX('Population Data by Age'!$B$7:$H$10366,MATCH(CONCATENATE('Tabular Pop Data by Age'!$C171,'Tabular Pop Data by Age'!K$7),'Population Data by Age'!$B$7:$B$10366,0),MATCH('Tabular Pop Data by Age'!$C$6,'Population Data by Age'!$B$6:$H$6,0))</f>
        <v>10000</v>
      </c>
      <c r="L171" s="78">
        <f>INDEX('Population Data by Age'!$B$7:$H$10366,MATCH(CONCATENATE('Tabular Pop Data by Age'!$C171,'Tabular Pop Data by Age'!L$7),'Population Data by Age'!$B$7:$B$10366,0),MATCH('Tabular Pop Data by Age'!$C$6,'Population Data by Age'!$B$6:$H$6,0))</f>
        <v>7800</v>
      </c>
      <c r="M171" s="78">
        <f>INDEX('Population Data by Age'!$B$7:$H$10366,MATCH(CONCATENATE('Tabular Pop Data by Age'!$C171,'Tabular Pop Data by Age'!M$7),'Population Data by Age'!$B$7:$B$10366,0),MATCH('Tabular Pop Data by Age'!$C$6,'Population Data by Age'!$B$6:$H$6,0))</f>
        <v>8800</v>
      </c>
      <c r="N171" s="78">
        <f>INDEX('Population Data by Age'!$B$7:$H$10366,MATCH(CONCATENATE('Tabular Pop Data by Age'!$C171,'Tabular Pop Data by Age'!N$7),'Population Data by Age'!$B$7:$B$10366,0),MATCH('Tabular Pop Data by Age'!$C$6,'Population Data by Age'!$B$6:$H$6,0))</f>
        <v>6900</v>
      </c>
      <c r="O171" s="78">
        <f>INDEX('Population Data by Age'!$B$7:$H$10366,MATCH(CONCATENATE('Tabular Pop Data by Age'!$C171,'Tabular Pop Data by Age'!O$7),'Population Data by Age'!$B$7:$B$10366,0),MATCH('Tabular Pop Data by Age'!$C$6,'Population Data by Age'!$B$6:$H$6,0))</f>
        <v>7900</v>
      </c>
      <c r="P171" s="78">
        <f>INDEX('Population Data by Age'!$B$7:$H$10366,MATCH(CONCATENATE('Tabular Pop Data by Age'!$C171,'Tabular Pop Data by Age'!P$7),'Population Data by Age'!$B$7:$B$10366,0),MATCH('Tabular Pop Data by Age'!$C$6,'Population Data by Age'!$B$6:$H$6,0))</f>
        <v>5500</v>
      </c>
      <c r="Q171" s="78">
        <f>INDEX('Population Data by Age'!$B$7:$H$10366,MATCH(CONCATENATE('Tabular Pop Data by Age'!$C171,'Tabular Pop Data by Age'!Q$7),'Population Data by Age'!$B$7:$B$10366,0),MATCH('Tabular Pop Data by Age'!$C$6,'Population Data by Age'!$B$6:$H$6,0))</f>
        <v>6200</v>
      </c>
      <c r="R171" s="78">
        <f>INDEX('Population Data by Age'!$B$7:$H$10366,MATCH(CONCATENATE('Tabular Pop Data by Age'!$C171,'Tabular Pop Data by Age'!R$7),'Population Data by Age'!$B$7:$B$10366,0),MATCH('Tabular Pop Data by Age'!$C$6,'Population Data by Age'!$B$6:$H$6,0))</f>
        <v>5000</v>
      </c>
      <c r="S171" s="78">
        <f>INDEX('Population Data by Age'!$B$7:$H$10366,MATCH(CONCATENATE('Tabular Pop Data by Age'!$C171,'Tabular Pop Data by Age'!S$7),'Population Data by Age'!$B$7:$B$10366,0),MATCH('Tabular Pop Data by Age'!$C$6,'Population Data by Age'!$B$6:$H$6,0))</f>
        <v>5400</v>
      </c>
      <c r="T171" s="78">
        <f>INDEX('Population Data by Age'!$B$7:$H$10366,MATCH(CONCATENATE('Tabular Pop Data by Age'!$C171,'Tabular Pop Data by Age'!T$7),'Population Data by Age'!$B$7:$B$10366,0),MATCH('Tabular Pop Data by Age'!$C$6,'Population Data by Age'!$B$6:$H$6,0))</f>
        <v>4800</v>
      </c>
      <c r="U171" s="78">
        <f>INDEX('Population Data by Age'!$B$7:$H$10366,MATCH(CONCATENATE('Tabular Pop Data by Age'!$C171,'Tabular Pop Data by Age'!U$7),'Population Data by Age'!$B$7:$B$10366,0),MATCH('Tabular Pop Data by Age'!$C$6,'Population Data by Age'!$B$6:$H$6,0))</f>
        <v>5100</v>
      </c>
      <c r="V171" s="78">
        <f>INDEX('Population Data by Age'!$B$7:$H$10366,MATCH(CONCATENATE('Tabular Pop Data by Age'!$C171,'Tabular Pop Data by Age'!V$7),'Population Data by Age'!$B$7:$B$10366,0),MATCH('Tabular Pop Data by Age'!$C$6,'Population Data by Age'!$B$6:$H$6,0))</f>
        <v>4600</v>
      </c>
      <c r="W171" s="78">
        <f>INDEX('Population Data by Age'!$B$7:$H$10366,MATCH(CONCATENATE('Tabular Pop Data by Age'!$C171,'Tabular Pop Data by Age'!W$7),'Population Data by Age'!$B$7:$B$10366,0),MATCH('Tabular Pop Data by Age'!$C$6,'Population Data by Age'!$B$6:$H$6,0))</f>
        <v>5100</v>
      </c>
      <c r="X171" s="78">
        <f>INDEX('Population Data by Age'!$B$7:$H$10366,MATCH(CONCATENATE('Tabular Pop Data by Age'!$C171,'Tabular Pop Data by Age'!X$7),'Population Data by Age'!$B$7:$B$10366,0),MATCH('Tabular Pop Data by Age'!$C$6,'Population Data by Age'!$B$6:$H$6,0))</f>
        <v>4200</v>
      </c>
      <c r="Y171" s="78">
        <f>INDEX('Population Data by Age'!$B$7:$H$10366,MATCH(CONCATENATE('Tabular Pop Data by Age'!$C171,'Tabular Pop Data by Age'!Y$7),'Population Data by Age'!$B$7:$B$10366,0),MATCH('Tabular Pop Data by Age'!$C$6,'Population Data by Age'!$B$6:$H$6,0))</f>
        <v>4700</v>
      </c>
      <c r="Z171" s="78">
        <f>INDEX('Population Data by Age'!$B$7:$H$10366,MATCH(CONCATENATE('Tabular Pop Data by Age'!$C171,'Tabular Pop Data by Age'!Z$7),'Population Data by Age'!$B$7:$B$10366,0),MATCH('Tabular Pop Data by Age'!$C$6,'Population Data by Age'!$B$6:$H$6,0))</f>
        <v>3700</v>
      </c>
      <c r="AA171" s="78">
        <f>INDEX('Population Data by Age'!$B$7:$H$10366,MATCH(CONCATENATE('Tabular Pop Data by Age'!$C171,'Tabular Pop Data by Age'!AA$7),'Population Data by Age'!$B$7:$B$10366,0),MATCH('Tabular Pop Data by Age'!$C$6,'Population Data by Age'!$B$6:$H$6,0))</f>
        <v>3800</v>
      </c>
      <c r="AB171" s="78">
        <f>INDEX('Population Data by Age'!$B$7:$H$10366,MATCH(CONCATENATE('Tabular Pop Data by Age'!$C171,'Tabular Pop Data by Age'!AB$7),'Population Data by Age'!$B$7:$B$10366,0),MATCH('Tabular Pop Data by Age'!$C$6,'Population Data by Age'!$B$6:$H$6,0))</f>
        <v>2900</v>
      </c>
      <c r="AC171" s="78">
        <f>INDEX('Population Data by Age'!$B$7:$H$10366,MATCH(CONCATENATE('Tabular Pop Data by Age'!$C171,'Tabular Pop Data by Age'!AC$7),'Population Data by Age'!$B$7:$B$10366,0),MATCH('Tabular Pop Data by Age'!$C$6,'Population Data by Age'!$B$6:$H$6,0))</f>
        <v>3000</v>
      </c>
      <c r="AD171" s="78">
        <f>INDEX('Population Data by Age'!$B$7:$H$10366,MATCH(CONCATENATE('Tabular Pop Data by Age'!$C171,'Tabular Pop Data by Age'!AD$7),'Population Data by Age'!$B$7:$B$10366,0),MATCH('Tabular Pop Data by Age'!$C$6,'Population Data by Age'!$B$6:$H$6,0))</f>
        <v>2100</v>
      </c>
      <c r="AE171" s="78">
        <f>INDEX('Population Data by Age'!$B$7:$H$10366,MATCH(CONCATENATE('Tabular Pop Data by Age'!$C171,'Tabular Pop Data by Age'!AE$7),'Population Data by Age'!$B$7:$B$10366,0),MATCH('Tabular Pop Data by Age'!$C$6,'Population Data by Age'!$B$6:$H$6,0))</f>
        <v>2000</v>
      </c>
      <c r="AF171" s="78">
        <f>INDEX('Population Data by Age'!$B$7:$H$10366,MATCH(CONCATENATE('Tabular Pop Data by Age'!$C171,'Tabular Pop Data by Age'!AF$7),'Population Data by Age'!$B$7:$B$10366,0),MATCH('Tabular Pop Data by Age'!$C$6,'Population Data by Age'!$B$6:$H$6,0))</f>
        <v>1500</v>
      </c>
      <c r="AG171" s="78">
        <f>INDEX('Population Data by Age'!$B$7:$H$10366,MATCH(CONCATENATE('Tabular Pop Data by Age'!$C171,'Tabular Pop Data by Age'!AG$7),'Population Data by Age'!$B$7:$B$10366,0),MATCH('Tabular Pop Data by Age'!$C$6,'Population Data by Age'!$B$6:$H$6,0))</f>
        <v>1200</v>
      </c>
      <c r="AH171" s="78">
        <f>INDEX('Population Data by Age'!$B$7:$H$10366,MATCH(CONCATENATE('Tabular Pop Data by Age'!$C171,'Tabular Pop Data by Age'!AH$7),'Population Data by Age'!$B$7:$B$10366,0),MATCH('Tabular Pop Data by Age'!$C$6,'Population Data by Age'!$B$6:$H$6,0))</f>
        <v>1100</v>
      </c>
      <c r="AI171" s="78">
        <f>INDEX('Population Data by Age'!$B$7:$H$10366,MATCH(CONCATENATE('Tabular Pop Data by Age'!$C171,'Tabular Pop Data by Age'!AI$7),'Population Data by Age'!$B$7:$B$10366,0),MATCH('Tabular Pop Data by Age'!$C$6,'Population Data by Age'!$B$6:$H$6,0))</f>
        <v>700</v>
      </c>
      <c r="AJ171" s="78">
        <f>INDEX('Population Data by Age'!$B$7:$H$10366,MATCH(CONCATENATE('Tabular Pop Data by Age'!$C171,'Tabular Pop Data by Age'!AJ$7),'Population Data by Age'!$B$7:$B$10366,0),MATCH('Tabular Pop Data by Age'!$C$6,'Population Data by Age'!$B$6:$H$6,0))</f>
        <v>900</v>
      </c>
      <c r="AK171" s="78">
        <f>INDEX('Population Data by Age'!$B$7:$H$10366,MATCH(CONCATENATE('Tabular Pop Data by Age'!$C171,'Tabular Pop Data by Age'!AK$7),'Population Data by Age'!$B$7:$B$10366,0),MATCH('Tabular Pop Data by Age'!$C$6,'Population Data by Age'!$B$6:$H$6,0))</f>
        <v>500</v>
      </c>
      <c r="AL171" s="78">
        <f>INDEX('Population Data by Age'!$B$7:$H$10366,MATCH(CONCATENATE('Tabular Pop Data by Age'!$C171,'Tabular Pop Data by Age'!AL$7),'Population Data by Age'!$B$7:$B$10366,0),MATCH('Tabular Pop Data by Age'!$C$6,'Population Data by Age'!$B$6:$H$6,0))</f>
        <v>96000</v>
      </c>
      <c r="AM171" s="78">
        <f>INDEX('Population Data by Age'!$B$7:$H$10366,MATCH(CONCATENATE('Tabular Pop Data by Age'!$C171,'Tabular Pop Data by Age'!AM$7),'Population Data by Age'!$B$7:$B$10366,0),MATCH('Tabular Pop Data by Age'!$C$6,'Population Data by Age'!$B$6:$H$6,0))</f>
        <v>103000</v>
      </c>
      <c r="AN171" s="78">
        <f>INDEX('Population Data by Age'!$B$7:$H$10366,MATCH(CONCATENATE('Tabular Pop Data by Age'!$C171,'Tabular Pop Data by Age'!AN$7),'Population Data by Age'!$B$7:$B$10366,0),MATCH('Tabular Pop Data by Age'!$C$6,'Population Data by Age'!$B$6:$H$6,0))</f>
        <v>198000</v>
      </c>
      <c r="AO171" s="78">
        <f>INDEX('Population Data by Age'!$B$7:$H$10366,MATCH(CONCATENATE('Tabular Pop Data by Age'!$C171,'Tabular Pop Data by Age'!AO$7),'Population Data by Age'!$B$7:$B$10366,0),MATCH('Tabular Pop Data by Age'!$C$6,'Population Data by Age'!$B$6:$H$6,0))</f>
        <v>0</v>
      </c>
      <c r="AP171" s="79">
        <f t="shared" si="51"/>
        <v>27000</v>
      </c>
      <c r="AQ171" s="79">
        <f t="shared" si="52"/>
        <v>25000</v>
      </c>
      <c r="AR171" s="79">
        <f t="shared" si="53"/>
        <v>23000</v>
      </c>
      <c r="AS171" s="79">
        <f t="shared" si="54"/>
        <v>19300</v>
      </c>
      <c r="AT171" s="79">
        <f t="shared" si="55"/>
        <v>16600</v>
      </c>
      <c r="AU171" s="79">
        <f t="shared" si="56"/>
        <v>14800</v>
      </c>
      <c r="AV171" s="79">
        <f t="shared" si="57"/>
        <v>11700</v>
      </c>
      <c r="AW171" s="79">
        <f t="shared" si="58"/>
        <v>10400</v>
      </c>
      <c r="AX171" s="79">
        <f t="shared" si="59"/>
        <v>9900</v>
      </c>
      <c r="AY171" s="79">
        <f t="shared" si="60"/>
        <v>9700</v>
      </c>
      <c r="AZ171" s="79">
        <f t="shared" si="61"/>
        <v>8900</v>
      </c>
      <c r="BA171" s="79">
        <f t="shared" si="62"/>
        <v>7500</v>
      </c>
      <c r="BB171" s="79">
        <f t="shared" si="63"/>
        <v>5900</v>
      </c>
      <c r="BC171" s="79">
        <f t="shared" si="64"/>
        <v>4100</v>
      </c>
      <c r="BD171" s="79">
        <f t="shared" si="65"/>
        <v>2700</v>
      </c>
      <c r="BE171" s="79">
        <f t="shared" si="66"/>
        <v>1800</v>
      </c>
      <c r="BF171" s="79">
        <f t="shared" si="67"/>
        <v>1400</v>
      </c>
    </row>
    <row r="172" spans="1:58" x14ac:dyDescent="0.25">
      <c r="A172" s="138" t="s">
        <v>1195</v>
      </c>
      <c r="B172" t="s">
        <v>619</v>
      </c>
      <c r="C172" t="s">
        <v>130</v>
      </c>
      <c r="D172" s="78">
        <f>INDEX('Population Data by Age'!$B$7:$H$10366,MATCH(CONCATENATE('Tabular Pop Data by Age'!$C172,'Tabular Pop Data by Age'!D$7),'Population Data by Age'!$B$7:$B$10366,0),MATCH('Tabular Pop Data by Age'!$C$6,'Population Data by Age'!$B$6:$H$6,0))</f>
        <v>0</v>
      </c>
      <c r="E172" s="78">
        <f>INDEX('Population Data by Age'!$B$7:$H$10366,MATCH(CONCATENATE('Tabular Pop Data by Age'!$C172,'Tabular Pop Data by Age'!E$7),'Population Data by Age'!$B$7:$B$10366,0),MATCH('Tabular Pop Data by Age'!$C$6,'Population Data by Age'!$B$6:$H$6,0))</f>
        <v>0</v>
      </c>
      <c r="F172" s="78">
        <f>INDEX('Population Data by Age'!$B$7:$H$10366,MATCH(CONCATENATE('Tabular Pop Data by Age'!$C172,'Tabular Pop Data by Age'!F$7),'Population Data by Age'!$B$7:$B$10366,0),MATCH('Tabular Pop Data by Age'!$C$6,'Population Data by Age'!$B$6:$H$6,0))</f>
        <v>0</v>
      </c>
      <c r="G172" s="78">
        <f>INDEX('Population Data by Age'!$B$7:$H$10366,MATCH(CONCATENATE('Tabular Pop Data by Age'!$C172,'Tabular Pop Data by Age'!G$7),'Population Data by Age'!$B$7:$B$10366,0),MATCH('Tabular Pop Data by Age'!$C$6,'Population Data by Age'!$B$6:$H$6,0))</f>
        <v>0</v>
      </c>
      <c r="H172" s="78">
        <f>INDEX('Population Data by Age'!$B$7:$H$10366,MATCH(CONCATENATE('Tabular Pop Data by Age'!$C172,'Tabular Pop Data by Age'!H$7),'Population Data by Age'!$B$7:$B$10366,0),MATCH('Tabular Pop Data by Age'!$C$6,'Population Data by Age'!$B$6:$H$6,0))</f>
        <v>0</v>
      </c>
      <c r="I172" s="78">
        <f>INDEX('Population Data by Age'!$B$7:$H$10366,MATCH(CONCATENATE('Tabular Pop Data by Age'!$C172,'Tabular Pop Data by Age'!I$7),'Population Data by Age'!$B$7:$B$10366,0),MATCH('Tabular Pop Data by Age'!$C$6,'Population Data by Age'!$B$6:$H$6,0))</f>
        <v>0</v>
      </c>
      <c r="J172" s="78">
        <f>INDEX('Population Data by Age'!$B$7:$H$10366,MATCH(CONCATENATE('Tabular Pop Data by Age'!$C172,'Tabular Pop Data by Age'!J$7),'Population Data by Age'!$B$7:$B$10366,0),MATCH('Tabular Pop Data by Age'!$C$6,'Population Data by Age'!$B$6:$H$6,0))</f>
        <v>0</v>
      </c>
      <c r="K172" s="78">
        <f>INDEX('Population Data by Age'!$B$7:$H$10366,MATCH(CONCATENATE('Tabular Pop Data by Age'!$C172,'Tabular Pop Data by Age'!K$7),'Population Data by Age'!$B$7:$B$10366,0),MATCH('Tabular Pop Data by Age'!$C$6,'Population Data by Age'!$B$6:$H$6,0))</f>
        <v>0</v>
      </c>
      <c r="L172" s="78">
        <f>INDEX('Population Data by Age'!$B$7:$H$10366,MATCH(CONCATENATE('Tabular Pop Data by Age'!$C172,'Tabular Pop Data by Age'!L$7),'Population Data by Age'!$B$7:$B$10366,0),MATCH('Tabular Pop Data by Age'!$C$6,'Population Data by Age'!$B$6:$H$6,0))</f>
        <v>0</v>
      </c>
      <c r="M172" s="78">
        <f>INDEX('Population Data by Age'!$B$7:$H$10366,MATCH(CONCATENATE('Tabular Pop Data by Age'!$C172,'Tabular Pop Data by Age'!M$7),'Population Data by Age'!$B$7:$B$10366,0),MATCH('Tabular Pop Data by Age'!$C$6,'Population Data by Age'!$B$6:$H$6,0))</f>
        <v>0</v>
      </c>
      <c r="N172" s="78">
        <f>INDEX('Population Data by Age'!$B$7:$H$10366,MATCH(CONCATENATE('Tabular Pop Data by Age'!$C172,'Tabular Pop Data by Age'!N$7),'Population Data by Age'!$B$7:$B$10366,0),MATCH('Tabular Pop Data by Age'!$C$6,'Population Data by Age'!$B$6:$H$6,0))</f>
        <v>0</v>
      </c>
      <c r="O172" s="78">
        <f>INDEX('Population Data by Age'!$B$7:$H$10366,MATCH(CONCATENATE('Tabular Pop Data by Age'!$C172,'Tabular Pop Data by Age'!O$7),'Population Data by Age'!$B$7:$B$10366,0),MATCH('Tabular Pop Data by Age'!$C$6,'Population Data by Age'!$B$6:$H$6,0))</f>
        <v>0</v>
      </c>
      <c r="P172" s="78">
        <f>INDEX('Population Data by Age'!$B$7:$H$10366,MATCH(CONCATENATE('Tabular Pop Data by Age'!$C172,'Tabular Pop Data by Age'!P$7),'Population Data by Age'!$B$7:$B$10366,0),MATCH('Tabular Pop Data by Age'!$C$6,'Population Data by Age'!$B$6:$H$6,0))</f>
        <v>0</v>
      </c>
      <c r="Q172" s="78">
        <f>INDEX('Population Data by Age'!$B$7:$H$10366,MATCH(CONCATENATE('Tabular Pop Data by Age'!$C172,'Tabular Pop Data by Age'!Q$7),'Population Data by Age'!$B$7:$B$10366,0),MATCH('Tabular Pop Data by Age'!$C$6,'Population Data by Age'!$B$6:$H$6,0))</f>
        <v>0</v>
      </c>
      <c r="R172" s="78">
        <f>INDEX('Population Data by Age'!$B$7:$H$10366,MATCH(CONCATENATE('Tabular Pop Data by Age'!$C172,'Tabular Pop Data by Age'!R$7),'Population Data by Age'!$B$7:$B$10366,0),MATCH('Tabular Pop Data by Age'!$C$6,'Population Data by Age'!$B$6:$H$6,0))</f>
        <v>0</v>
      </c>
      <c r="S172" s="78">
        <f>INDEX('Population Data by Age'!$B$7:$H$10366,MATCH(CONCATENATE('Tabular Pop Data by Age'!$C172,'Tabular Pop Data by Age'!S$7),'Population Data by Age'!$B$7:$B$10366,0),MATCH('Tabular Pop Data by Age'!$C$6,'Population Data by Age'!$B$6:$H$6,0))</f>
        <v>0</v>
      </c>
      <c r="T172" s="78">
        <f>INDEX('Population Data by Age'!$B$7:$H$10366,MATCH(CONCATENATE('Tabular Pop Data by Age'!$C172,'Tabular Pop Data by Age'!T$7),'Population Data by Age'!$B$7:$B$10366,0),MATCH('Tabular Pop Data by Age'!$C$6,'Population Data by Age'!$B$6:$H$6,0))</f>
        <v>0</v>
      </c>
      <c r="U172" s="78">
        <f>INDEX('Population Data by Age'!$B$7:$H$10366,MATCH(CONCATENATE('Tabular Pop Data by Age'!$C172,'Tabular Pop Data by Age'!U$7),'Population Data by Age'!$B$7:$B$10366,0),MATCH('Tabular Pop Data by Age'!$C$6,'Population Data by Age'!$B$6:$H$6,0))</f>
        <v>0</v>
      </c>
      <c r="V172" s="78">
        <f>INDEX('Population Data by Age'!$B$7:$H$10366,MATCH(CONCATENATE('Tabular Pop Data by Age'!$C172,'Tabular Pop Data by Age'!V$7),'Population Data by Age'!$B$7:$B$10366,0),MATCH('Tabular Pop Data by Age'!$C$6,'Population Data by Age'!$B$6:$H$6,0))</f>
        <v>0</v>
      </c>
      <c r="W172" s="78">
        <f>INDEX('Population Data by Age'!$B$7:$H$10366,MATCH(CONCATENATE('Tabular Pop Data by Age'!$C172,'Tabular Pop Data by Age'!W$7),'Population Data by Age'!$B$7:$B$10366,0),MATCH('Tabular Pop Data by Age'!$C$6,'Population Data by Age'!$B$6:$H$6,0))</f>
        <v>0</v>
      </c>
      <c r="X172" s="78">
        <f>INDEX('Population Data by Age'!$B$7:$H$10366,MATCH(CONCATENATE('Tabular Pop Data by Age'!$C172,'Tabular Pop Data by Age'!X$7),'Population Data by Age'!$B$7:$B$10366,0),MATCH('Tabular Pop Data by Age'!$C$6,'Population Data by Age'!$B$6:$H$6,0))</f>
        <v>0</v>
      </c>
      <c r="Y172" s="78">
        <f>INDEX('Population Data by Age'!$B$7:$H$10366,MATCH(CONCATENATE('Tabular Pop Data by Age'!$C172,'Tabular Pop Data by Age'!Y$7),'Population Data by Age'!$B$7:$B$10366,0),MATCH('Tabular Pop Data by Age'!$C$6,'Population Data by Age'!$B$6:$H$6,0))</f>
        <v>0</v>
      </c>
      <c r="Z172" s="78">
        <f>INDEX('Population Data by Age'!$B$7:$H$10366,MATCH(CONCATENATE('Tabular Pop Data by Age'!$C172,'Tabular Pop Data by Age'!Z$7),'Population Data by Age'!$B$7:$B$10366,0),MATCH('Tabular Pop Data by Age'!$C$6,'Population Data by Age'!$B$6:$H$6,0))</f>
        <v>0</v>
      </c>
      <c r="AA172" s="78">
        <f>INDEX('Population Data by Age'!$B$7:$H$10366,MATCH(CONCATENATE('Tabular Pop Data by Age'!$C172,'Tabular Pop Data by Age'!AA$7),'Population Data by Age'!$B$7:$B$10366,0),MATCH('Tabular Pop Data by Age'!$C$6,'Population Data by Age'!$B$6:$H$6,0))</f>
        <v>0</v>
      </c>
      <c r="AB172" s="78">
        <f>INDEX('Population Data by Age'!$B$7:$H$10366,MATCH(CONCATENATE('Tabular Pop Data by Age'!$C172,'Tabular Pop Data by Age'!AB$7),'Population Data by Age'!$B$7:$B$10366,0),MATCH('Tabular Pop Data by Age'!$C$6,'Population Data by Age'!$B$6:$H$6,0))</f>
        <v>0</v>
      </c>
      <c r="AC172" s="78">
        <f>INDEX('Population Data by Age'!$B$7:$H$10366,MATCH(CONCATENATE('Tabular Pop Data by Age'!$C172,'Tabular Pop Data by Age'!AC$7),'Population Data by Age'!$B$7:$B$10366,0),MATCH('Tabular Pop Data by Age'!$C$6,'Population Data by Age'!$B$6:$H$6,0))</f>
        <v>0</v>
      </c>
      <c r="AD172" s="78">
        <f>INDEX('Population Data by Age'!$B$7:$H$10366,MATCH(CONCATENATE('Tabular Pop Data by Age'!$C172,'Tabular Pop Data by Age'!AD$7),'Population Data by Age'!$B$7:$B$10366,0),MATCH('Tabular Pop Data by Age'!$C$6,'Population Data by Age'!$B$6:$H$6,0))</f>
        <v>0</v>
      </c>
      <c r="AE172" s="78">
        <f>INDEX('Population Data by Age'!$B$7:$H$10366,MATCH(CONCATENATE('Tabular Pop Data by Age'!$C172,'Tabular Pop Data by Age'!AE$7),'Population Data by Age'!$B$7:$B$10366,0),MATCH('Tabular Pop Data by Age'!$C$6,'Population Data by Age'!$B$6:$H$6,0))</f>
        <v>0</v>
      </c>
      <c r="AF172" s="78">
        <f>INDEX('Population Data by Age'!$B$7:$H$10366,MATCH(CONCATENATE('Tabular Pop Data by Age'!$C172,'Tabular Pop Data by Age'!AF$7),'Population Data by Age'!$B$7:$B$10366,0),MATCH('Tabular Pop Data by Age'!$C$6,'Population Data by Age'!$B$6:$H$6,0))</f>
        <v>0</v>
      </c>
      <c r="AG172" s="78">
        <f>INDEX('Population Data by Age'!$B$7:$H$10366,MATCH(CONCATENATE('Tabular Pop Data by Age'!$C172,'Tabular Pop Data by Age'!AG$7),'Population Data by Age'!$B$7:$B$10366,0),MATCH('Tabular Pop Data by Age'!$C$6,'Population Data by Age'!$B$6:$H$6,0))</f>
        <v>0</v>
      </c>
      <c r="AH172" s="78">
        <f>INDEX('Population Data by Age'!$B$7:$H$10366,MATCH(CONCATENATE('Tabular Pop Data by Age'!$C172,'Tabular Pop Data by Age'!AH$7),'Population Data by Age'!$B$7:$B$10366,0),MATCH('Tabular Pop Data by Age'!$C$6,'Population Data by Age'!$B$6:$H$6,0))</f>
        <v>0</v>
      </c>
      <c r="AI172" s="78">
        <f>INDEX('Population Data by Age'!$B$7:$H$10366,MATCH(CONCATENATE('Tabular Pop Data by Age'!$C172,'Tabular Pop Data by Age'!AI$7),'Population Data by Age'!$B$7:$B$10366,0),MATCH('Tabular Pop Data by Age'!$C$6,'Population Data by Age'!$B$6:$H$6,0))</f>
        <v>0</v>
      </c>
      <c r="AJ172" s="78">
        <f>INDEX('Population Data by Age'!$B$7:$H$10366,MATCH(CONCATENATE('Tabular Pop Data by Age'!$C172,'Tabular Pop Data by Age'!AJ$7),'Population Data by Age'!$B$7:$B$10366,0),MATCH('Tabular Pop Data by Age'!$C$6,'Population Data by Age'!$B$6:$H$6,0))</f>
        <v>0</v>
      </c>
      <c r="AK172" s="78">
        <f>INDEX('Population Data by Age'!$B$7:$H$10366,MATCH(CONCATENATE('Tabular Pop Data by Age'!$C172,'Tabular Pop Data by Age'!AK$7),'Population Data by Age'!$B$7:$B$10366,0),MATCH('Tabular Pop Data by Age'!$C$6,'Population Data by Age'!$B$6:$H$6,0))</f>
        <v>0</v>
      </c>
      <c r="AL172" s="78">
        <f>INDEX('Population Data by Age'!$B$7:$H$10366,MATCH(CONCATENATE('Tabular Pop Data by Age'!$C172,'Tabular Pop Data by Age'!AL$7),'Population Data by Age'!$B$7:$B$10366,0),MATCH('Tabular Pop Data by Age'!$C$6,'Population Data by Age'!$B$6:$H$6,0))</f>
        <v>0</v>
      </c>
      <c r="AM172" s="78">
        <f>INDEX('Population Data by Age'!$B$7:$H$10366,MATCH(CONCATENATE('Tabular Pop Data by Age'!$C172,'Tabular Pop Data by Age'!AM$7),'Population Data by Age'!$B$7:$B$10366,0),MATCH('Tabular Pop Data by Age'!$C$6,'Population Data by Age'!$B$6:$H$6,0))</f>
        <v>0</v>
      </c>
      <c r="AN172" s="78">
        <f>INDEX('Population Data by Age'!$B$7:$H$10366,MATCH(CONCATENATE('Tabular Pop Data by Age'!$C172,'Tabular Pop Data by Age'!AN$7),'Population Data by Age'!$B$7:$B$10366,0),MATCH('Tabular Pop Data by Age'!$C$6,'Population Data by Age'!$B$6:$H$6,0))</f>
        <v>34000</v>
      </c>
      <c r="AO172" s="78">
        <f>INDEX('Population Data by Age'!$B$7:$H$10366,MATCH(CONCATENATE('Tabular Pop Data by Age'!$C172,'Tabular Pop Data by Age'!AO$7),'Population Data by Age'!$B$7:$B$10366,0),MATCH('Tabular Pop Data by Age'!$C$6,'Population Data by Age'!$B$6:$H$6,0))</f>
        <v>0</v>
      </c>
      <c r="AP172" s="79">
        <f t="shared" si="51"/>
        <v>0</v>
      </c>
      <c r="AQ172" s="79">
        <f t="shared" si="52"/>
        <v>0</v>
      </c>
      <c r="AR172" s="79">
        <f t="shared" si="53"/>
        <v>0</v>
      </c>
      <c r="AS172" s="79">
        <f t="shared" si="54"/>
        <v>0</v>
      </c>
      <c r="AT172" s="79">
        <f t="shared" si="55"/>
        <v>0</v>
      </c>
      <c r="AU172" s="79">
        <f t="shared" si="56"/>
        <v>0</v>
      </c>
      <c r="AV172" s="79">
        <f t="shared" si="57"/>
        <v>0</v>
      </c>
      <c r="AW172" s="79">
        <f t="shared" si="58"/>
        <v>0</v>
      </c>
      <c r="AX172" s="79">
        <f t="shared" si="59"/>
        <v>0</v>
      </c>
      <c r="AY172" s="79">
        <f t="shared" si="60"/>
        <v>0</v>
      </c>
      <c r="AZ172" s="79">
        <f t="shared" si="61"/>
        <v>0</v>
      </c>
      <c r="BA172" s="79">
        <f t="shared" si="62"/>
        <v>0</v>
      </c>
      <c r="BB172" s="79">
        <f t="shared" si="63"/>
        <v>0</v>
      </c>
      <c r="BC172" s="79">
        <f t="shared" si="64"/>
        <v>0</v>
      </c>
      <c r="BD172" s="79">
        <f t="shared" si="65"/>
        <v>0</v>
      </c>
      <c r="BE172" s="79">
        <f t="shared" si="66"/>
        <v>0</v>
      </c>
      <c r="BF172" s="79">
        <f t="shared" si="67"/>
        <v>0</v>
      </c>
    </row>
    <row r="173" spans="1:58" x14ac:dyDescent="0.25">
      <c r="A173" s="138" t="s">
        <v>1195</v>
      </c>
      <c r="B173" t="s">
        <v>211</v>
      </c>
      <c r="C173" t="s">
        <v>175</v>
      </c>
      <c r="D173" s="78">
        <f>INDEX('Population Data by Age'!$B$7:$H$10366,MATCH(CONCATENATE('Tabular Pop Data by Age'!$C173,'Tabular Pop Data by Age'!D$7),'Population Data by Age'!$B$7:$B$10366,0),MATCH('Tabular Pop Data by Age'!$C$6,'Population Data by Age'!$B$6:$H$6,0))</f>
        <v>16000</v>
      </c>
      <c r="E173" s="78">
        <f>INDEX('Population Data by Age'!$B$7:$H$10366,MATCH(CONCATENATE('Tabular Pop Data by Age'!$C173,'Tabular Pop Data by Age'!E$7),'Population Data by Age'!$B$7:$B$10366,0),MATCH('Tabular Pop Data by Age'!$C$6,'Population Data by Age'!$B$6:$H$6,0))</f>
        <v>16000</v>
      </c>
      <c r="F173" s="78">
        <f>INDEX('Population Data by Age'!$B$7:$H$10366,MATCH(CONCATENATE('Tabular Pop Data by Age'!$C173,'Tabular Pop Data by Age'!F$7),'Population Data by Age'!$B$7:$B$10366,0),MATCH('Tabular Pop Data by Age'!$C$6,'Population Data by Age'!$B$6:$H$6,0))</f>
        <v>15000</v>
      </c>
      <c r="G173" s="78">
        <f>INDEX('Population Data by Age'!$B$7:$H$10366,MATCH(CONCATENATE('Tabular Pop Data by Age'!$C173,'Tabular Pop Data by Age'!G$7),'Population Data by Age'!$B$7:$B$10366,0),MATCH('Tabular Pop Data by Age'!$C$6,'Population Data by Age'!$B$6:$H$6,0))</f>
        <v>15000</v>
      </c>
      <c r="H173" s="78">
        <f>INDEX('Population Data by Age'!$B$7:$H$10366,MATCH(CONCATENATE('Tabular Pop Data by Age'!$C173,'Tabular Pop Data by Age'!H$7),'Population Data by Age'!$B$7:$B$10366,0),MATCH('Tabular Pop Data by Age'!$C$6,'Population Data by Age'!$B$6:$H$6,0))</f>
        <v>14000</v>
      </c>
      <c r="I173" s="78">
        <f>INDEX('Population Data by Age'!$B$7:$H$10366,MATCH(CONCATENATE('Tabular Pop Data by Age'!$C173,'Tabular Pop Data by Age'!I$7),'Population Data by Age'!$B$7:$B$10366,0),MATCH('Tabular Pop Data by Age'!$C$6,'Population Data by Age'!$B$6:$H$6,0))</f>
        <v>15000</v>
      </c>
      <c r="J173" s="78">
        <f>INDEX('Population Data by Age'!$B$7:$H$10366,MATCH(CONCATENATE('Tabular Pop Data by Age'!$C173,'Tabular Pop Data by Age'!J$7),'Population Data by Age'!$B$7:$B$10366,0),MATCH('Tabular Pop Data by Age'!$C$6,'Population Data by Age'!$B$6:$H$6,0))</f>
        <v>12000</v>
      </c>
      <c r="K173" s="78">
        <f>INDEX('Population Data by Age'!$B$7:$H$10366,MATCH(CONCATENATE('Tabular Pop Data by Age'!$C173,'Tabular Pop Data by Age'!K$7),'Population Data by Age'!$B$7:$B$10366,0),MATCH('Tabular Pop Data by Age'!$C$6,'Population Data by Age'!$B$6:$H$6,0))</f>
        <v>13000</v>
      </c>
      <c r="L173" s="78">
        <f>INDEX('Population Data by Age'!$B$7:$H$10366,MATCH(CONCATENATE('Tabular Pop Data by Age'!$C173,'Tabular Pop Data by Age'!L$7),'Population Data by Age'!$B$7:$B$10366,0),MATCH('Tabular Pop Data by Age'!$C$6,'Population Data by Age'!$B$6:$H$6,0))</f>
        <v>9200</v>
      </c>
      <c r="M173" s="78">
        <f>INDEX('Population Data by Age'!$B$7:$H$10366,MATCH(CONCATENATE('Tabular Pop Data by Age'!$C173,'Tabular Pop Data by Age'!M$7),'Population Data by Age'!$B$7:$B$10366,0),MATCH('Tabular Pop Data by Age'!$C$6,'Population Data by Age'!$B$6:$H$6,0))</f>
        <v>9500</v>
      </c>
      <c r="N173" s="78">
        <f>INDEX('Population Data by Age'!$B$7:$H$10366,MATCH(CONCATENATE('Tabular Pop Data by Age'!$C173,'Tabular Pop Data by Age'!N$7),'Population Data by Age'!$B$7:$B$10366,0),MATCH('Tabular Pop Data by Age'!$C$6,'Population Data by Age'!$B$6:$H$6,0))</f>
        <v>7400</v>
      </c>
      <c r="O173" s="78">
        <f>INDEX('Population Data by Age'!$B$7:$H$10366,MATCH(CONCATENATE('Tabular Pop Data by Age'!$C173,'Tabular Pop Data by Age'!O$7),'Population Data by Age'!$B$7:$B$10366,0),MATCH('Tabular Pop Data by Age'!$C$6,'Population Data by Age'!$B$6:$H$6,0))</f>
        <v>7600</v>
      </c>
      <c r="P173" s="78">
        <f>INDEX('Population Data by Age'!$B$7:$H$10366,MATCH(CONCATENATE('Tabular Pop Data by Age'!$C173,'Tabular Pop Data by Age'!P$7),'Population Data by Age'!$B$7:$B$10366,0),MATCH('Tabular Pop Data by Age'!$C$6,'Population Data by Age'!$B$6:$H$6,0))</f>
        <v>7000</v>
      </c>
      <c r="Q173" s="78">
        <f>INDEX('Population Data by Age'!$B$7:$H$10366,MATCH(CONCATENATE('Tabular Pop Data by Age'!$C173,'Tabular Pop Data by Age'!Q$7),'Population Data by Age'!$B$7:$B$10366,0),MATCH('Tabular Pop Data by Age'!$C$6,'Population Data by Age'!$B$6:$H$6,0))</f>
        <v>7100</v>
      </c>
      <c r="R173" s="78">
        <f>INDEX('Population Data by Age'!$B$7:$H$10366,MATCH(CONCATENATE('Tabular Pop Data by Age'!$C173,'Tabular Pop Data by Age'!R$7),'Population Data by Age'!$B$7:$B$10366,0),MATCH('Tabular Pop Data by Age'!$C$6,'Population Data by Age'!$B$6:$H$6,0))</f>
        <v>6200</v>
      </c>
      <c r="S173" s="78">
        <f>INDEX('Population Data by Age'!$B$7:$H$10366,MATCH(CONCATENATE('Tabular Pop Data by Age'!$C173,'Tabular Pop Data by Age'!S$7),'Population Data by Age'!$B$7:$B$10366,0),MATCH('Tabular Pop Data by Age'!$C$6,'Population Data by Age'!$B$6:$H$6,0))</f>
        <v>6300</v>
      </c>
      <c r="T173" s="78">
        <f>INDEX('Population Data by Age'!$B$7:$H$10366,MATCH(CONCATENATE('Tabular Pop Data by Age'!$C173,'Tabular Pop Data by Age'!T$7),'Population Data by Age'!$B$7:$B$10366,0),MATCH('Tabular Pop Data by Age'!$C$6,'Population Data by Age'!$B$6:$H$6,0))</f>
        <v>5500</v>
      </c>
      <c r="U173" s="78">
        <f>INDEX('Population Data by Age'!$B$7:$H$10366,MATCH(CONCATENATE('Tabular Pop Data by Age'!$C173,'Tabular Pop Data by Age'!U$7),'Population Data by Age'!$B$7:$B$10366,0),MATCH('Tabular Pop Data by Age'!$C$6,'Population Data by Age'!$B$6:$H$6,0))</f>
        <v>5500</v>
      </c>
      <c r="V173" s="78">
        <f>INDEX('Population Data by Age'!$B$7:$H$10366,MATCH(CONCATENATE('Tabular Pop Data by Age'!$C173,'Tabular Pop Data by Age'!V$7),'Population Data by Age'!$B$7:$B$10366,0),MATCH('Tabular Pop Data by Age'!$C$6,'Population Data by Age'!$B$6:$H$6,0))</f>
        <v>3900</v>
      </c>
      <c r="W173" s="78">
        <f>INDEX('Population Data by Age'!$B$7:$H$10366,MATCH(CONCATENATE('Tabular Pop Data by Age'!$C173,'Tabular Pop Data by Age'!W$7),'Population Data by Age'!$B$7:$B$10366,0),MATCH('Tabular Pop Data by Age'!$C$6,'Population Data by Age'!$B$6:$H$6,0))</f>
        <v>3800</v>
      </c>
      <c r="X173" s="78">
        <f>INDEX('Population Data by Age'!$B$7:$H$10366,MATCH(CONCATENATE('Tabular Pop Data by Age'!$C173,'Tabular Pop Data by Age'!X$7),'Population Data by Age'!$B$7:$B$10366,0),MATCH('Tabular Pop Data by Age'!$C$6,'Population Data by Age'!$B$6:$H$6,0))</f>
        <v>3700</v>
      </c>
      <c r="Y173" s="78">
        <f>INDEX('Population Data by Age'!$B$7:$H$10366,MATCH(CONCATENATE('Tabular Pop Data by Age'!$C173,'Tabular Pop Data by Age'!Y$7),'Population Data by Age'!$B$7:$B$10366,0),MATCH('Tabular Pop Data by Age'!$C$6,'Population Data by Age'!$B$6:$H$6,0))</f>
        <v>3600</v>
      </c>
      <c r="Z173" s="78">
        <f>INDEX('Population Data by Age'!$B$7:$H$10366,MATCH(CONCATENATE('Tabular Pop Data by Age'!$C173,'Tabular Pop Data by Age'!Z$7),'Population Data by Age'!$B$7:$B$10366,0),MATCH('Tabular Pop Data by Age'!$C$6,'Population Data by Age'!$B$6:$H$6,0))</f>
        <v>2900</v>
      </c>
      <c r="AA173" s="78">
        <f>INDEX('Population Data by Age'!$B$7:$H$10366,MATCH(CONCATENATE('Tabular Pop Data by Age'!$C173,'Tabular Pop Data by Age'!AA$7),'Population Data by Age'!$B$7:$B$10366,0),MATCH('Tabular Pop Data by Age'!$C$6,'Population Data by Age'!$B$6:$H$6,0))</f>
        <v>2500</v>
      </c>
      <c r="AB173" s="78">
        <f>INDEX('Population Data by Age'!$B$7:$H$10366,MATCH(CONCATENATE('Tabular Pop Data by Age'!$C173,'Tabular Pop Data by Age'!AB$7),'Population Data by Age'!$B$7:$B$10366,0),MATCH('Tabular Pop Data by Age'!$C$6,'Population Data by Age'!$B$6:$H$6,0))</f>
        <v>2300</v>
      </c>
      <c r="AC173" s="78">
        <f>INDEX('Population Data by Age'!$B$7:$H$10366,MATCH(CONCATENATE('Tabular Pop Data by Age'!$C173,'Tabular Pop Data by Age'!AC$7),'Population Data by Age'!$B$7:$B$10366,0),MATCH('Tabular Pop Data by Age'!$C$6,'Population Data by Age'!$B$6:$H$6,0))</f>
        <v>2000</v>
      </c>
      <c r="AD173" s="78">
        <f>INDEX('Population Data by Age'!$B$7:$H$10366,MATCH(CONCATENATE('Tabular Pop Data by Age'!$C173,'Tabular Pop Data by Age'!AD$7),'Population Data by Age'!$B$7:$B$10366,0),MATCH('Tabular Pop Data by Age'!$C$6,'Population Data by Age'!$B$6:$H$6,0))</f>
        <v>1500</v>
      </c>
      <c r="AE173" s="78">
        <f>INDEX('Population Data by Age'!$B$7:$H$10366,MATCH(CONCATENATE('Tabular Pop Data by Age'!$C173,'Tabular Pop Data by Age'!AE$7),'Population Data by Age'!$B$7:$B$10366,0),MATCH('Tabular Pop Data by Age'!$C$6,'Population Data by Age'!$B$6:$H$6,0))</f>
        <v>1200</v>
      </c>
      <c r="AF173" s="78">
        <f>INDEX('Population Data by Age'!$B$7:$H$10366,MATCH(CONCATENATE('Tabular Pop Data by Age'!$C173,'Tabular Pop Data by Age'!AF$7),'Population Data by Age'!$B$7:$B$10366,0),MATCH('Tabular Pop Data by Age'!$C$6,'Population Data by Age'!$B$6:$H$6,0))</f>
        <v>900</v>
      </c>
      <c r="AG173" s="78">
        <f>INDEX('Population Data by Age'!$B$7:$H$10366,MATCH(CONCATENATE('Tabular Pop Data by Age'!$C173,'Tabular Pop Data by Age'!AG$7),'Population Data by Age'!$B$7:$B$10366,0),MATCH('Tabular Pop Data by Age'!$C$6,'Population Data by Age'!$B$6:$H$6,0))</f>
        <v>800</v>
      </c>
      <c r="AH173" s="78">
        <f>INDEX('Population Data by Age'!$B$7:$H$10366,MATCH(CONCATENATE('Tabular Pop Data by Age'!$C173,'Tabular Pop Data by Age'!AH$7),'Population Data by Age'!$B$7:$B$10366,0),MATCH('Tabular Pop Data by Age'!$C$6,'Population Data by Age'!$B$6:$H$6,0))</f>
        <v>600</v>
      </c>
      <c r="AI173" s="78">
        <f>INDEX('Population Data by Age'!$B$7:$H$10366,MATCH(CONCATENATE('Tabular Pop Data by Age'!$C173,'Tabular Pop Data by Age'!AI$7),'Population Data by Age'!$B$7:$B$10366,0),MATCH('Tabular Pop Data by Age'!$C$6,'Population Data by Age'!$B$6:$H$6,0))</f>
        <v>400</v>
      </c>
      <c r="AJ173" s="78">
        <f>INDEX('Population Data by Age'!$B$7:$H$10366,MATCH(CONCATENATE('Tabular Pop Data by Age'!$C173,'Tabular Pop Data by Age'!AJ$7),'Population Data by Age'!$B$7:$B$10366,0),MATCH('Tabular Pop Data by Age'!$C$6,'Population Data by Age'!$B$6:$H$6,0))</f>
        <v>700</v>
      </c>
      <c r="AK173" s="78">
        <f>INDEX('Population Data by Age'!$B$7:$H$10366,MATCH(CONCATENATE('Tabular Pop Data by Age'!$C173,'Tabular Pop Data by Age'!AK$7),'Population Data by Age'!$B$7:$B$10366,0),MATCH('Tabular Pop Data by Age'!$C$6,'Population Data by Age'!$B$6:$H$6,0))</f>
        <v>400</v>
      </c>
      <c r="AL173" s="78">
        <f>INDEX('Population Data by Age'!$B$7:$H$10366,MATCH(CONCATENATE('Tabular Pop Data by Age'!$C173,'Tabular Pop Data by Age'!AL$7),'Population Data by Age'!$B$7:$B$10366,0),MATCH('Tabular Pop Data by Age'!$C$6,'Population Data by Age'!$B$6:$H$6,0))</f>
        <v>109000</v>
      </c>
      <c r="AM173" s="78">
        <f>INDEX('Population Data by Age'!$B$7:$H$10366,MATCH(CONCATENATE('Tabular Pop Data by Age'!$C173,'Tabular Pop Data by Age'!AM$7),'Population Data by Age'!$B$7:$B$10366,0),MATCH('Tabular Pop Data by Age'!$C$6,'Population Data by Age'!$B$6:$H$6,0))</f>
        <v>110000</v>
      </c>
      <c r="AN173" s="78">
        <f>INDEX('Population Data by Age'!$B$7:$H$10366,MATCH(CONCATENATE('Tabular Pop Data by Age'!$C173,'Tabular Pop Data by Age'!AN$7),'Population Data by Age'!$B$7:$B$10366,0),MATCH('Tabular Pop Data by Age'!$C$6,'Population Data by Age'!$B$6:$H$6,0))</f>
        <v>219000</v>
      </c>
      <c r="AO173" s="78">
        <f>INDEX('Population Data by Age'!$B$7:$H$10366,MATCH(CONCATENATE('Tabular Pop Data by Age'!$C173,'Tabular Pop Data by Age'!AO$7),'Population Data by Age'!$B$7:$B$10366,0),MATCH('Tabular Pop Data by Age'!$C$6,'Population Data by Age'!$B$6:$H$6,0))</f>
        <v>0</v>
      </c>
      <c r="AP173" s="79">
        <f t="shared" si="51"/>
        <v>32000</v>
      </c>
      <c r="AQ173" s="79">
        <f t="shared" si="52"/>
        <v>30000</v>
      </c>
      <c r="AR173" s="79">
        <f t="shared" si="53"/>
        <v>29000</v>
      </c>
      <c r="AS173" s="79">
        <f t="shared" si="54"/>
        <v>25000</v>
      </c>
      <c r="AT173" s="79">
        <f t="shared" si="55"/>
        <v>18700</v>
      </c>
      <c r="AU173" s="79">
        <f t="shared" si="56"/>
        <v>15000</v>
      </c>
      <c r="AV173" s="79">
        <f t="shared" si="57"/>
        <v>14100</v>
      </c>
      <c r="AW173" s="79">
        <f t="shared" si="58"/>
        <v>12500</v>
      </c>
      <c r="AX173" s="79">
        <f t="shared" si="59"/>
        <v>11000</v>
      </c>
      <c r="AY173" s="79">
        <f t="shared" si="60"/>
        <v>7700</v>
      </c>
      <c r="AZ173" s="79">
        <f t="shared" si="61"/>
        <v>7300</v>
      </c>
      <c r="BA173" s="79">
        <f t="shared" si="62"/>
        <v>5400</v>
      </c>
      <c r="BB173" s="79">
        <f t="shared" si="63"/>
        <v>4300</v>
      </c>
      <c r="BC173" s="79">
        <f t="shared" si="64"/>
        <v>2700</v>
      </c>
      <c r="BD173" s="79">
        <f t="shared" si="65"/>
        <v>1700</v>
      </c>
      <c r="BE173" s="79">
        <f t="shared" si="66"/>
        <v>1000</v>
      </c>
      <c r="BF173" s="79">
        <f t="shared" si="67"/>
        <v>1100</v>
      </c>
    </row>
    <row r="174" spans="1:58" x14ac:dyDescent="0.25">
      <c r="A174" s="138" t="s">
        <v>1195</v>
      </c>
      <c r="B174" t="s">
        <v>620</v>
      </c>
      <c r="C174" t="s">
        <v>124</v>
      </c>
      <c r="D174" s="78">
        <f>INDEX('Population Data by Age'!$B$7:$H$10366,MATCH(CONCATENATE('Tabular Pop Data by Age'!$C174,'Tabular Pop Data by Age'!D$7),'Population Data by Age'!$B$7:$B$10366,0),MATCH('Tabular Pop Data by Age'!$C$6,'Population Data by Age'!$B$6:$H$6,0))</f>
        <v>1468000</v>
      </c>
      <c r="E174" s="78">
        <f>INDEX('Population Data by Age'!$B$7:$H$10366,MATCH(CONCATENATE('Tabular Pop Data by Age'!$C174,'Tabular Pop Data by Age'!E$7),'Population Data by Age'!$B$7:$B$10366,0),MATCH('Tabular Pop Data by Age'!$C$6,'Population Data by Age'!$B$6:$H$6,0))</f>
        <v>1511000</v>
      </c>
      <c r="F174" s="78">
        <f>INDEX('Population Data by Age'!$B$7:$H$10366,MATCH(CONCATENATE('Tabular Pop Data by Age'!$C174,'Tabular Pop Data by Age'!F$7),'Population Data by Age'!$B$7:$B$10366,0),MATCH('Tabular Pop Data by Age'!$C$6,'Population Data by Age'!$B$6:$H$6,0))</f>
        <v>1467000</v>
      </c>
      <c r="G174" s="78">
        <f>INDEX('Population Data by Age'!$B$7:$H$10366,MATCH(CONCATENATE('Tabular Pop Data by Age'!$C174,'Tabular Pop Data by Age'!G$7),'Population Data by Age'!$B$7:$B$10366,0),MATCH('Tabular Pop Data by Age'!$C$6,'Population Data by Age'!$B$6:$H$6,0))</f>
        <v>1510000</v>
      </c>
      <c r="H174" s="78">
        <f>INDEX('Population Data by Age'!$B$7:$H$10366,MATCH(CONCATENATE('Tabular Pop Data by Age'!$C174,'Tabular Pop Data by Age'!H$7),'Population Data by Age'!$B$7:$B$10366,0),MATCH('Tabular Pop Data by Age'!$C$6,'Population Data by Age'!$B$6:$H$6,0))</f>
        <v>1301000</v>
      </c>
      <c r="I174" s="78">
        <f>INDEX('Population Data by Age'!$B$7:$H$10366,MATCH(CONCATENATE('Tabular Pop Data by Age'!$C174,'Tabular Pop Data by Age'!I$7),'Population Data by Age'!$B$7:$B$10366,0),MATCH('Tabular Pop Data by Age'!$C$6,'Population Data by Age'!$B$6:$H$6,0))</f>
        <v>1341000</v>
      </c>
      <c r="J174" s="78">
        <f>INDEX('Population Data by Age'!$B$7:$H$10366,MATCH(CONCATENATE('Tabular Pop Data by Age'!$C174,'Tabular Pop Data by Age'!J$7),'Population Data by Age'!$B$7:$B$10366,0),MATCH('Tabular Pop Data by Age'!$C$6,'Population Data by Age'!$B$6:$H$6,0))</f>
        <v>1090000</v>
      </c>
      <c r="K174" s="78">
        <f>INDEX('Population Data by Age'!$B$7:$H$10366,MATCH(CONCATENATE('Tabular Pop Data by Age'!$C174,'Tabular Pop Data by Age'!K$7),'Population Data by Age'!$B$7:$B$10366,0),MATCH('Tabular Pop Data by Age'!$C$6,'Population Data by Age'!$B$6:$H$6,0))</f>
        <v>1129000</v>
      </c>
      <c r="L174" s="78">
        <f>INDEX('Population Data by Age'!$B$7:$H$10366,MATCH(CONCATENATE('Tabular Pop Data by Age'!$C174,'Tabular Pop Data by Age'!L$7),'Population Data by Age'!$B$7:$B$10366,0),MATCH('Tabular Pop Data by Age'!$C$6,'Population Data by Age'!$B$6:$H$6,0))</f>
        <v>1105000</v>
      </c>
      <c r="M174" s="78">
        <f>INDEX('Population Data by Age'!$B$7:$H$10366,MATCH(CONCATENATE('Tabular Pop Data by Age'!$C174,'Tabular Pop Data by Age'!M$7),'Population Data by Age'!$B$7:$B$10366,0),MATCH('Tabular Pop Data by Age'!$C$6,'Population Data by Age'!$B$6:$H$6,0))</f>
        <v>1228000</v>
      </c>
      <c r="N174" s="78">
        <f>INDEX('Population Data by Age'!$B$7:$H$10366,MATCH(CONCATENATE('Tabular Pop Data by Age'!$C174,'Tabular Pop Data by Age'!N$7),'Population Data by Age'!$B$7:$B$10366,0),MATCH('Tabular Pop Data by Age'!$C$6,'Population Data by Age'!$B$6:$H$6,0))</f>
        <v>1358000</v>
      </c>
      <c r="O174" s="78">
        <f>INDEX('Population Data by Age'!$B$7:$H$10366,MATCH(CONCATENATE('Tabular Pop Data by Age'!$C174,'Tabular Pop Data by Age'!O$7),'Population Data by Age'!$B$7:$B$10366,0),MATCH('Tabular Pop Data by Age'!$C$6,'Population Data by Age'!$B$6:$H$6,0))</f>
        <v>1664000</v>
      </c>
      <c r="P174" s="78">
        <f>INDEX('Population Data by Age'!$B$7:$H$10366,MATCH(CONCATENATE('Tabular Pop Data by Age'!$C174,'Tabular Pop Data by Age'!P$7),'Population Data by Age'!$B$7:$B$10366,0),MATCH('Tabular Pop Data by Age'!$C$6,'Population Data by Age'!$B$6:$H$6,0))</f>
        <v>1417000</v>
      </c>
      <c r="Q174" s="78">
        <f>INDEX('Population Data by Age'!$B$7:$H$10366,MATCH(CONCATENATE('Tabular Pop Data by Age'!$C174,'Tabular Pop Data by Age'!Q$7),'Population Data by Age'!$B$7:$B$10366,0),MATCH('Tabular Pop Data by Age'!$C$6,'Population Data by Age'!$B$6:$H$6,0))</f>
        <v>2021000</v>
      </c>
      <c r="R174" s="78">
        <f>INDEX('Population Data by Age'!$B$7:$H$10366,MATCH(CONCATENATE('Tabular Pop Data by Age'!$C174,'Tabular Pop Data by Age'!R$7),'Population Data by Age'!$B$7:$B$10366,0),MATCH('Tabular Pop Data by Age'!$C$6,'Population Data by Age'!$B$6:$H$6,0))</f>
        <v>1333000</v>
      </c>
      <c r="S174" s="78">
        <f>INDEX('Population Data by Age'!$B$7:$H$10366,MATCH(CONCATENATE('Tabular Pop Data by Age'!$C174,'Tabular Pop Data by Age'!S$7),'Population Data by Age'!$B$7:$B$10366,0),MATCH('Tabular Pop Data by Age'!$C$6,'Population Data by Age'!$B$6:$H$6,0))</f>
        <v>2210000</v>
      </c>
      <c r="T174" s="78">
        <f>INDEX('Population Data by Age'!$B$7:$H$10366,MATCH(CONCATENATE('Tabular Pop Data by Age'!$C174,'Tabular Pop Data by Age'!T$7),'Population Data by Age'!$B$7:$B$10366,0),MATCH('Tabular Pop Data by Age'!$C$6,'Population Data by Age'!$B$6:$H$6,0))</f>
        <v>1284000</v>
      </c>
      <c r="U174" s="78">
        <f>INDEX('Population Data by Age'!$B$7:$H$10366,MATCH(CONCATENATE('Tabular Pop Data by Age'!$C174,'Tabular Pop Data by Age'!U$7),'Population Data by Age'!$B$7:$B$10366,0),MATCH('Tabular Pop Data by Age'!$C$6,'Population Data by Age'!$B$6:$H$6,0))</f>
        <v>2294000</v>
      </c>
      <c r="V174" s="78">
        <f>INDEX('Population Data by Age'!$B$7:$H$10366,MATCH(CONCATENATE('Tabular Pop Data by Age'!$C174,'Tabular Pop Data by Age'!V$7),'Population Data by Age'!$B$7:$B$10366,0),MATCH('Tabular Pop Data by Age'!$C$6,'Population Data by Age'!$B$6:$H$6,0))</f>
        <v>969000</v>
      </c>
      <c r="W174" s="78">
        <f>INDEX('Population Data by Age'!$B$7:$H$10366,MATCH(CONCATENATE('Tabular Pop Data by Age'!$C174,'Tabular Pop Data by Age'!W$7),'Population Data by Age'!$B$7:$B$10366,0),MATCH('Tabular Pop Data by Age'!$C$6,'Population Data by Age'!$B$6:$H$6,0))</f>
        <v>1862000</v>
      </c>
      <c r="X174" s="78">
        <f>INDEX('Population Data by Age'!$B$7:$H$10366,MATCH(CONCATENATE('Tabular Pop Data by Age'!$C174,'Tabular Pop Data by Age'!X$7),'Population Data by Age'!$B$7:$B$10366,0),MATCH('Tabular Pop Data by Age'!$C$6,'Population Data by Age'!$B$6:$H$6,0))</f>
        <v>607000</v>
      </c>
      <c r="Y174" s="78">
        <f>INDEX('Population Data by Age'!$B$7:$H$10366,MATCH(CONCATENATE('Tabular Pop Data by Age'!$C174,'Tabular Pop Data by Age'!Y$7),'Population Data by Age'!$B$7:$B$10366,0),MATCH('Tabular Pop Data by Age'!$C$6,'Population Data by Age'!$B$6:$H$6,0))</f>
        <v>1285000</v>
      </c>
      <c r="Z174" s="78">
        <f>INDEX('Population Data by Age'!$B$7:$H$10366,MATCH(CONCATENATE('Tabular Pop Data by Age'!$C174,'Tabular Pop Data by Age'!Z$7),'Population Data by Age'!$B$7:$B$10366,0),MATCH('Tabular Pop Data by Age'!$C$6,'Population Data by Age'!$B$6:$H$6,0))</f>
        <v>426000</v>
      </c>
      <c r="AA174" s="78">
        <f>INDEX('Population Data by Age'!$B$7:$H$10366,MATCH(CONCATENATE('Tabular Pop Data by Age'!$C174,'Tabular Pop Data by Age'!AA$7),'Population Data by Age'!$B$7:$B$10366,0),MATCH('Tabular Pop Data by Age'!$C$6,'Population Data by Age'!$B$6:$H$6,0))</f>
        <v>898000</v>
      </c>
      <c r="AB174" s="78">
        <f>INDEX('Population Data by Age'!$B$7:$H$10366,MATCH(CONCATENATE('Tabular Pop Data by Age'!$C174,'Tabular Pop Data by Age'!AB$7),'Population Data by Age'!$B$7:$B$10366,0),MATCH('Tabular Pop Data by Age'!$C$6,'Population Data by Age'!$B$6:$H$6,0))</f>
        <v>287000</v>
      </c>
      <c r="AC174" s="78">
        <f>INDEX('Population Data by Age'!$B$7:$H$10366,MATCH(CONCATENATE('Tabular Pop Data by Age'!$C174,'Tabular Pop Data by Age'!AC$7),'Population Data by Age'!$B$7:$B$10366,0),MATCH('Tabular Pop Data by Age'!$C$6,'Population Data by Age'!$B$6:$H$6,0))</f>
        <v>532000</v>
      </c>
      <c r="AD174" s="78">
        <f>INDEX('Population Data by Age'!$B$7:$H$10366,MATCH(CONCATENATE('Tabular Pop Data by Age'!$C174,'Tabular Pop Data by Age'!AD$7),'Population Data by Age'!$B$7:$B$10366,0),MATCH('Tabular Pop Data by Age'!$C$6,'Population Data by Age'!$B$6:$H$6,0))</f>
        <v>239000</v>
      </c>
      <c r="AE174" s="78">
        <f>INDEX('Population Data by Age'!$B$7:$H$10366,MATCH(CONCATENATE('Tabular Pop Data by Age'!$C174,'Tabular Pop Data by Age'!AE$7),'Population Data by Age'!$B$7:$B$10366,0),MATCH('Tabular Pop Data by Age'!$C$6,'Population Data by Age'!$B$6:$H$6,0))</f>
        <v>315000</v>
      </c>
      <c r="AF174" s="78">
        <f>INDEX('Population Data by Age'!$B$7:$H$10366,MATCH(CONCATENATE('Tabular Pop Data by Age'!$C174,'Tabular Pop Data by Age'!AF$7),'Population Data by Age'!$B$7:$B$10366,0),MATCH('Tabular Pop Data by Age'!$C$6,'Population Data by Age'!$B$6:$H$6,0))</f>
        <v>142000</v>
      </c>
      <c r="AG174" s="78">
        <f>INDEX('Population Data by Age'!$B$7:$H$10366,MATCH(CONCATENATE('Tabular Pop Data by Age'!$C174,'Tabular Pop Data by Age'!AG$7),'Population Data by Age'!$B$7:$B$10366,0),MATCH('Tabular Pop Data by Age'!$C$6,'Population Data by Age'!$B$6:$H$6,0))</f>
        <v>151000</v>
      </c>
      <c r="AH174" s="78">
        <f>INDEX('Population Data by Age'!$B$7:$H$10366,MATCH(CONCATENATE('Tabular Pop Data by Age'!$C174,'Tabular Pop Data by Age'!AH$7),'Population Data by Age'!$B$7:$B$10366,0),MATCH('Tabular Pop Data by Age'!$C$6,'Population Data by Age'!$B$6:$H$6,0))</f>
        <v>99000</v>
      </c>
      <c r="AI174" s="78">
        <f>INDEX('Population Data by Age'!$B$7:$H$10366,MATCH(CONCATENATE('Tabular Pop Data by Age'!$C174,'Tabular Pop Data by Age'!AI$7),'Population Data by Age'!$B$7:$B$10366,0),MATCH('Tabular Pop Data by Age'!$C$6,'Population Data by Age'!$B$6:$H$6,0))</f>
        <v>102000</v>
      </c>
      <c r="AJ174" s="78">
        <f>INDEX('Population Data by Age'!$B$7:$H$10366,MATCH(CONCATENATE('Tabular Pop Data by Age'!$C174,'Tabular Pop Data by Age'!AJ$7),'Population Data by Age'!$B$7:$B$10366,0),MATCH('Tabular Pop Data by Age'!$C$6,'Population Data by Age'!$B$6:$H$6,0))</f>
        <v>91000</v>
      </c>
      <c r="AK174" s="78">
        <f>INDEX('Population Data by Age'!$B$7:$H$10366,MATCH(CONCATENATE('Tabular Pop Data by Age'!$C174,'Tabular Pop Data by Age'!AK$7),'Population Data by Age'!$B$7:$B$10366,0),MATCH('Tabular Pop Data by Age'!$C$6,'Population Data by Age'!$B$6:$H$6,0))</f>
        <v>79000</v>
      </c>
      <c r="AL174" s="78">
        <f>INDEX('Population Data by Age'!$B$7:$H$10366,MATCH(CONCATENATE('Tabular Pop Data by Age'!$C174,'Tabular Pop Data by Age'!AL$7),'Population Data by Age'!$B$7:$B$10366,0),MATCH('Tabular Pop Data by Age'!$C$6,'Population Data by Age'!$B$6:$H$6,0))</f>
        <v>14683000</v>
      </c>
      <c r="AM174" s="78">
        <f>INDEX('Population Data by Age'!$B$7:$H$10366,MATCH(CONCATENATE('Tabular Pop Data by Age'!$C174,'Tabular Pop Data by Age'!AM$7),'Population Data by Age'!$B$7:$B$10366,0),MATCH('Tabular Pop Data by Age'!$C$6,'Population Data by Age'!$B$6:$H$6,0))</f>
        <v>20131000</v>
      </c>
      <c r="AN174" s="78">
        <f>INDEX('Population Data by Age'!$B$7:$H$10366,MATCH(CONCATENATE('Tabular Pop Data by Age'!$C174,'Tabular Pop Data by Age'!AN$7),'Population Data by Age'!$B$7:$B$10366,0),MATCH('Tabular Pop Data by Age'!$C$6,'Population Data by Age'!$B$6:$H$6,0))</f>
        <v>34814000</v>
      </c>
      <c r="AO174" s="78">
        <f>INDEX('Population Data by Age'!$B$7:$H$10366,MATCH(CONCATENATE('Tabular Pop Data by Age'!$C174,'Tabular Pop Data by Age'!AO$7),'Population Data by Age'!$B$7:$B$10366,0),MATCH('Tabular Pop Data by Age'!$C$6,'Population Data by Age'!$B$6:$H$6,0))</f>
        <v>0</v>
      </c>
      <c r="AP174" s="79">
        <f t="shared" si="51"/>
        <v>2979000</v>
      </c>
      <c r="AQ174" s="79">
        <f t="shared" si="52"/>
        <v>2977000</v>
      </c>
      <c r="AR174" s="79">
        <f t="shared" si="53"/>
        <v>2642000</v>
      </c>
      <c r="AS174" s="79">
        <f t="shared" si="54"/>
        <v>2219000</v>
      </c>
      <c r="AT174" s="79">
        <f t="shared" si="55"/>
        <v>2333000</v>
      </c>
      <c r="AU174" s="79">
        <f t="shared" si="56"/>
        <v>3022000</v>
      </c>
      <c r="AV174" s="79">
        <f t="shared" si="57"/>
        <v>3438000</v>
      </c>
      <c r="AW174" s="79">
        <f t="shared" si="58"/>
        <v>3543000</v>
      </c>
      <c r="AX174" s="79">
        <f t="shared" si="59"/>
        <v>3578000</v>
      </c>
      <c r="AY174" s="79">
        <f t="shared" si="60"/>
        <v>2831000</v>
      </c>
      <c r="AZ174" s="79">
        <f t="shared" si="61"/>
        <v>1892000</v>
      </c>
      <c r="BA174" s="79">
        <f t="shared" si="62"/>
        <v>1324000</v>
      </c>
      <c r="BB174" s="79">
        <f t="shared" si="63"/>
        <v>819000</v>
      </c>
      <c r="BC174" s="79">
        <f t="shared" si="64"/>
        <v>554000</v>
      </c>
      <c r="BD174" s="79">
        <f t="shared" si="65"/>
        <v>293000</v>
      </c>
      <c r="BE174" s="79">
        <f t="shared" si="66"/>
        <v>201000</v>
      </c>
      <c r="BF174" s="79">
        <f t="shared" si="67"/>
        <v>170000</v>
      </c>
    </row>
    <row r="175" spans="1:58" x14ac:dyDescent="0.25">
      <c r="A175" s="138" t="s">
        <v>1195</v>
      </c>
      <c r="B175" t="s">
        <v>212</v>
      </c>
      <c r="C175" t="s">
        <v>126</v>
      </c>
      <c r="D175" s="78">
        <f>INDEX('Population Data by Age'!$B$7:$H$10366,MATCH(CONCATENATE('Tabular Pop Data by Age'!$C175,'Tabular Pop Data by Age'!D$7),'Population Data by Age'!$B$7:$B$10366,0),MATCH('Tabular Pop Data by Age'!$C$6,'Population Data by Age'!$B$6:$H$6,0))</f>
        <v>1289000</v>
      </c>
      <c r="E175" s="78">
        <f>INDEX('Population Data by Age'!$B$7:$H$10366,MATCH(CONCATENATE('Tabular Pop Data by Age'!$C175,'Tabular Pop Data by Age'!E$7),'Population Data by Age'!$B$7:$B$10366,0),MATCH('Tabular Pop Data by Age'!$C$6,'Population Data by Age'!$B$6:$H$6,0))</f>
        <v>1326000</v>
      </c>
      <c r="F175" s="78">
        <f>INDEX('Population Data by Age'!$B$7:$H$10366,MATCH(CONCATENATE('Tabular Pop Data by Age'!$C175,'Tabular Pop Data by Age'!F$7),'Population Data by Age'!$B$7:$B$10366,0),MATCH('Tabular Pop Data by Age'!$C$6,'Population Data by Age'!$B$6:$H$6,0))</f>
        <v>1192000</v>
      </c>
      <c r="G175" s="78">
        <f>INDEX('Population Data by Age'!$B$7:$H$10366,MATCH(CONCATENATE('Tabular Pop Data by Age'!$C175,'Tabular Pop Data by Age'!G$7),'Population Data by Age'!$B$7:$B$10366,0),MATCH('Tabular Pop Data by Age'!$C$6,'Population Data by Age'!$B$6:$H$6,0))</f>
        <v>1225000</v>
      </c>
      <c r="H175" s="78">
        <f>INDEX('Population Data by Age'!$B$7:$H$10366,MATCH(CONCATENATE('Tabular Pop Data by Age'!$C175,'Tabular Pop Data by Age'!H$7),'Population Data by Age'!$B$7:$B$10366,0),MATCH('Tabular Pop Data by Age'!$C$6,'Population Data by Age'!$B$6:$H$6,0))</f>
        <v>1037000</v>
      </c>
      <c r="I175" s="78">
        <f>INDEX('Population Data by Age'!$B$7:$H$10366,MATCH(CONCATENATE('Tabular Pop Data by Age'!$C175,'Tabular Pop Data by Age'!I$7),'Population Data by Age'!$B$7:$B$10366,0),MATCH('Tabular Pop Data by Age'!$C$6,'Population Data by Age'!$B$6:$H$6,0))</f>
        <v>1062000</v>
      </c>
      <c r="J175" s="78">
        <f>INDEX('Population Data by Age'!$B$7:$H$10366,MATCH(CONCATENATE('Tabular Pop Data by Age'!$C175,'Tabular Pop Data by Age'!J$7),'Population Data by Age'!$B$7:$B$10366,0),MATCH('Tabular Pop Data by Age'!$C$6,'Population Data by Age'!$B$6:$H$6,0))</f>
        <v>875000</v>
      </c>
      <c r="K175" s="78">
        <f>INDEX('Population Data by Age'!$B$7:$H$10366,MATCH(CONCATENATE('Tabular Pop Data by Age'!$C175,'Tabular Pop Data by Age'!K$7),'Population Data by Age'!$B$7:$B$10366,0),MATCH('Tabular Pop Data by Age'!$C$6,'Population Data by Age'!$B$6:$H$6,0))</f>
        <v>890000</v>
      </c>
      <c r="L175" s="78">
        <f>INDEX('Population Data by Age'!$B$7:$H$10366,MATCH(CONCATENATE('Tabular Pop Data by Age'!$C175,'Tabular Pop Data by Age'!L$7),'Population Data by Age'!$B$7:$B$10366,0),MATCH('Tabular Pop Data by Age'!$C$6,'Population Data by Age'!$B$6:$H$6,0))</f>
        <v>760000</v>
      </c>
      <c r="M175" s="78">
        <f>INDEX('Population Data by Age'!$B$7:$H$10366,MATCH(CONCATENATE('Tabular Pop Data by Age'!$C175,'Tabular Pop Data by Age'!M$7),'Population Data by Age'!$B$7:$B$10366,0),MATCH('Tabular Pop Data by Age'!$C$6,'Population Data by Age'!$B$6:$H$6,0))</f>
        <v>759000</v>
      </c>
      <c r="N175" s="78">
        <f>INDEX('Population Data by Age'!$B$7:$H$10366,MATCH(CONCATENATE('Tabular Pop Data by Age'!$C175,'Tabular Pop Data by Age'!N$7),'Population Data by Age'!$B$7:$B$10366,0),MATCH('Tabular Pop Data by Age'!$C$6,'Population Data by Age'!$B$6:$H$6,0))</f>
        <v>664000</v>
      </c>
      <c r="O175" s="78">
        <f>INDEX('Population Data by Age'!$B$7:$H$10366,MATCH(CONCATENATE('Tabular Pop Data by Age'!$C175,'Tabular Pop Data by Age'!O$7),'Population Data by Age'!$B$7:$B$10366,0),MATCH('Tabular Pop Data by Age'!$C$6,'Population Data by Age'!$B$6:$H$6,0))</f>
        <v>641000</v>
      </c>
      <c r="P175" s="78">
        <f>INDEX('Population Data by Age'!$B$7:$H$10366,MATCH(CONCATENATE('Tabular Pop Data by Age'!$C175,'Tabular Pop Data by Age'!P$7),'Population Data by Age'!$B$7:$B$10366,0),MATCH('Tabular Pop Data by Age'!$C$6,'Population Data by Age'!$B$6:$H$6,0))</f>
        <v>579000</v>
      </c>
      <c r="Q175" s="78">
        <f>INDEX('Population Data by Age'!$B$7:$H$10366,MATCH(CONCATENATE('Tabular Pop Data by Age'!$C175,'Tabular Pop Data by Age'!Q$7),'Population Data by Age'!$B$7:$B$10366,0),MATCH('Tabular Pop Data by Age'!$C$6,'Population Data by Age'!$B$6:$H$6,0))</f>
        <v>531000</v>
      </c>
      <c r="R175" s="78">
        <f>INDEX('Population Data by Age'!$B$7:$H$10366,MATCH(CONCATENATE('Tabular Pop Data by Age'!$C175,'Tabular Pop Data by Age'!R$7),'Population Data by Age'!$B$7:$B$10366,0),MATCH('Tabular Pop Data by Age'!$C$6,'Population Data by Age'!$B$6:$H$6,0))</f>
        <v>503000</v>
      </c>
      <c r="S175" s="78">
        <f>INDEX('Population Data by Age'!$B$7:$H$10366,MATCH(CONCATENATE('Tabular Pop Data by Age'!$C175,'Tabular Pop Data by Age'!S$7),'Population Data by Age'!$B$7:$B$10366,0),MATCH('Tabular Pop Data by Age'!$C$6,'Population Data by Age'!$B$6:$H$6,0))</f>
        <v>437000</v>
      </c>
      <c r="T175" s="78">
        <f>INDEX('Population Data by Age'!$B$7:$H$10366,MATCH(CONCATENATE('Tabular Pop Data by Age'!$C175,'Tabular Pop Data by Age'!T$7),'Population Data by Age'!$B$7:$B$10366,0),MATCH('Tabular Pop Data by Age'!$C$6,'Population Data by Age'!$B$6:$H$6,0))</f>
        <v>408000</v>
      </c>
      <c r="U175" s="78">
        <f>INDEX('Population Data by Age'!$B$7:$H$10366,MATCH(CONCATENATE('Tabular Pop Data by Age'!$C175,'Tabular Pop Data by Age'!U$7),'Population Data by Age'!$B$7:$B$10366,0),MATCH('Tabular Pop Data by Age'!$C$6,'Population Data by Age'!$B$6:$H$6,0))</f>
        <v>334000</v>
      </c>
      <c r="V175" s="78">
        <f>INDEX('Population Data by Age'!$B$7:$H$10366,MATCH(CONCATENATE('Tabular Pop Data by Age'!$C175,'Tabular Pop Data by Age'!V$7),'Population Data by Age'!$B$7:$B$10366,0),MATCH('Tabular Pop Data by Age'!$C$6,'Population Data by Age'!$B$6:$H$6,0))</f>
        <v>329000</v>
      </c>
      <c r="W175" s="78">
        <f>INDEX('Population Data by Age'!$B$7:$H$10366,MATCH(CONCATENATE('Tabular Pop Data by Age'!$C175,'Tabular Pop Data by Age'!W$7),'Population Data by Age'!$B$7:$B$10366,0),MATCH('Tabular Pop Data by Age'!$C$6,'Population Data by Age'!$B$6:$H$6,0))</f>
        <v>261000</v>
      </c>
      <c r="X175" s="78">
        <f>INDEX('Population Data by Age'!$B$7:$H$10366,MATCH(CONCATENATE('Tabular Pop Data by Age'!$C175,'Tabular Pop Data by Age'!X$7),'Population Data by Age'!$B$7:$B$10366,0),MATCH('Tabular Pop Data by Age'!$C$6,'Population Data by Age'!$B$6:$H$6,0))</f>
        <v>262000</v>
      </c>
      <c r="Y175" s="78">
        <f>INDEX('Population Data by Age'!$B$7:$H$10366,MATCH(CONCATENATE('Tabular Pop Data by Age'!$C175,'Tabular Pop Data by Age'!Y$7),'Population Data by Age'!$B$7:$B$10366,0),MATCH('Tabular Pop Data by Age'!$C$6,'Population Data by Age'!$B$6:$H$6,0))</f>
        <v>205000</v>
      </c>
      <c r="Z175" s="78">
        <f>INDEX('Population Data by Age'!$B$7:$H$10366,MATCH(CONCATENATE('Tabular Pop Data by Age'!$C175,'Tabular Pop Data by Age'!Z$7),'Population Data by Age'!$B$7:$B$10366,0),MATCH('Tabular Pop Data by Age'!$C$6,'Population Data by Age'!$B$6:$H$6,0))</f>
        <v>208000</v>
      </c>
      <c r="AA175" s="78">
        <f>INDEX('Population Data by Age'!$B$7:$H$10366,MATCH(CONCATENATE('Tabular Pop Data by Age'!$C175,'Tabular Pop Data by Age'!AA$7),'Population Data by Age'!$B$7:$B$10366,0),MATCH('Tabular Pop Data by Age'!$C$6,'Population Data by Age'!$B$6:$H$6,0))</f>
        <v>160000</v>
      </c>
      <c r="AB175" s="78">
        <f>INDEX('Population Data by Age'!$B$7:$H$10366,MATCH(CONCATENATE('Tabular Pop Data by Age'!$C175,'Tabular Pop Data by Age'!AB$7),'Population Data by Age'!$B$7:$B$10366,0),MATCH('Tabular Pop Data by Age'!$C$6,'Population Data by Age'!$B$6:$H$6,0))</f>
        <v>164000</v>
      </c>
      <c r="AC175" s="78">
        <f>INDEX('Population Data by Age'!$B$7:$H$10366,MATCH(CONCATENATE('Tabular Pop Data by Age'!$C175,'Tabular Pop Data by Age'!AC$7),'Population Data by Age'!$B$7:$B$10366,0),MATCH('Tabular Pop Data by Age'!$C$6,'Population Data by Age'!$B$6:$H$6,0))</f>
        <v>122000</v>
      </c>
      <c r="AD175" s="78">
        <f>INDEX('Population Data by Age'!$B$7:$H$10366,MATCH(CONCATENATE('Tabular Pop Data by Age'!$C175,'Tabular Pop Data by Age'!AD$7),'Population Data by Age'!$B$7:$B$10366,0),MATCH('Tabular Pop Data by Age'!$C$6,'Population Data by Age'!$B$6:$H$6,0))</f>
        <v>126000</v>
      </c>
      <c r="AE175" s="78">
        <f>INDEX('Population Data by Age'!$B$7:$H$10366,MATCH(CONCATENATE('Tabular Pop Data by Age'!$C175,'Tabular Pop Data by Age'!AE$7),'Population Data by Age'!$B$7:$B$10366,0),MATCH('Tabular Pop Data by Age'!$C$6,'Population Data by Age'!$B$6:$H$6,0))</f>
        <v>93000</v>
      </c>
      <c r="AF175" s="78">
        <f>INDEX('Population Data by Age'!$B$7:$H$10366,MATCH(CONCATENATE('Tabular Pop Data by Age'!$C175,'Tabular Pop Data by Age'!AF$7),'Population Data by Age'!$B$7:$B$10366,0),MATCH('Tabular Pop Data by Age'!$C$6,'Population Data by Age'!$B$6:$H$6,0))</f>
        <v>85000</v>
      </c>
      <c r="AG175" s="78">
        <f>INDEX('Population Data by Age'!$B$7:$H$10366,MATCH(CONCATENATE('Tabular Pop Data by Age'!$C175,'Tabular Pop Data by Age'!AG$7),'Population Data by Age'!$B$7:$B$10366,0),MATCH('Tabular Pop Data by Age'!$C$6,'Population Data by Age'!$B$6:$H$6,0))</f>
        <v>60000</v>
      </c>
      <c r="AH175" s="78">
        <f>INDEX('Population Data by Age'!$B$7:$H$10366,MATCH(CONCATENATE('Tabular Pop Data by Age'!$C175,'Tabular Pop Data by Age'!AH$7),'Population Data by Age'!$B$7:$B$10366,0),MATCH('Tabular Pop Data by Age'!$C$6,'Population Data by Age'!$B$6:$H$6,0))</f>
        <v>55000</v>
      </c>
      <c r="AI175" s="78">
        <f>INDEX('Population Data by Age'!$B$7:$H$10366,MATCH(CONCATENATE('Tabular Pop Data by Age'!$C175,'Tabular Pop Data by Age'!AI$7),'Population Data by Age'!$B$7:$B$10366,0),MATCH('Tabular Pop Data by Age'!$C$6,'Population Data by Age'!$B$6:$H$6,0))</f>
        <v>39000</v>
      </c>
      <c r="AJ175" s="78">
        <f>INDEX('Population Data by Age'!$B$7:$H$10366,MATCH(CONCATENATE('Tabular Pop Data by Age'!$C175,'Tabular Pop Data by Age'!AJ$7),'Population Data by Age'!$B$7:$B$10366,0),MATCH('Tabular Pop Data by Age'!$C$6,'Population Data by Age'!$B$6:$H$6,0))</f>
        <v>37000</v>
      </c>
      <c r="AK175" s="78">
        <f>INDEX('Population Data by Age'!$B$7:$H$10366,MATCH(CONCATENATE('Tabular Pop Data by Age'!$C175,'Tabular Pop Data by Age'!AK$7),'Population Data by Age'!$B$7:$B$10366,0),MATCH('Tabular Pop Data by Age'!$C$6,'Population Data by Age'!$B$6:$H$6,0))</f>
        <v>24000</v>
      </c>
      <c r="AL175" s="78">
        <f>INDEX('Population Data by Age'!$B$7:$H$10366,MATCH(CONCATENATE('Tabular Pop Data by Age'!$C175,'Tabular Pop Data by Age'!AL$7),'Population Data by Age'!$B$7:$B$10366,0),MATCH('Tabular Pop Data by Age'!$C$6,'Population Data by Age'!$B$6:$H$6,0))</f>
        <v>8573000</v>
      </c>
      <c r="AM175" s="78">
        <f>INDEX('Population Data by Age'!$B$7:$H$10366,MATCH(CONCATENATE('Tabular Pop Data by Age'!$C175,'Tabular Pop Data by Age'!AM$7),'Population Data by Age'!$B$7:$B$10366,0),MATCH('Tabular Pop Data by Age'!$C$6,'Population Data by Age'!$B$6:$H$6,0))</f>
        <v>8171000</v>
      </c>
      <c r="AN175" s="78">
        <f>INDEX('Population Data by Age'!$B$7:$H$10366,MATCH(CONCATENATE('Tabular Pop Data by Age'!$C175,'Tabular Pop Data by Age'!AN$7),'Population Data by Age'!$B$7:$B$10366,0),MATCH('Tabular Pop Data by Age'!$C$6,'Population Data by Age'!$B$6:$H$6,0))</f>
        <v>16744000</v>
      </c>
      <c r="AO175" s="78">
        <f>INDEX('Population Data by Age'!$B$7:$H$10366,MATCH(CONCATENATE('Tabular Pop Data by Age'!$C175,'Tabular Pop Data by Age'!AO$7),'Population Data by Age'!$B$7:$B$10366,0),MATCH('Tabular Pop Data by Age'!$C$6,'Population Data by Age'!$B$6:$H$6,0))</f>
        <v>0</v>
      </c>
      <c r="AP175" s="79">
        <f t="shared" si="51"/>
        <v>2615000</v>
      </c>
      <c r="AQ175" s="79">
        <f t="shared" si="52"/>
        <v>2417000</v>
      </c>
      <c r="AR175" s="79">
        <f t="shared" si="53"/>
        <v>2099000</v>
      </c>
      <c r="AS175" s="79">
        <f t="shared" si="54"/>
        <v>1765000</v>
      </c>
      <c r="AT175" s="79">
        <f t="shared" si="55"/>
        <v>1519000</v>
      </c>
      <c r="AU175" s="79">
        <f t="shared" si="56"/>
        <v>1305000</v>
      </c>
      <c r="AV175" s="79">
        <f t="shared" si="57"/>
        <v>1110000</v>
      </c>
      <c r="AW175" s="79">
        <f t="shared" si="58"/>
        <v>940000</v>
      </c>
      <c r="AX175" s="79">
        <f t="shared" si="59"/>
        <v>742000</v>
      </c>
      <c r="AY175" s="79">
        <f t="shared" si="60"/>
        <v>590000</v>
      </c>
      <c r="AZ175" s="79">
        <f t="shared" si="61"/>
        <v>467000</v>
      </c>
      <c r="BA175" s="79">
        <f t="shared" si="62"/>
        <v>368000</v>
      </c>
      <c r="BB175" s="79">
        <f t="shared" si="63"/>
        <v>286000</v>
      </c>
      <c r="BC175" s="79">
        <f t="shared" si="64"/>
        <v>219000</v>
      </c>
      <c r="BD175" s="79">
        <f t="shared" si="65"/>
        <v>145000</v>
      </c>
      <c r="BE175" s="79">
        <f t="shared" si="66"/>
        <v>94000</v>
      </c>
      <c r="BF175" s="79">
        <f t="shared" si="67"/>
        <v>61000</v>
      </c>
    </row>
    <row r="176" spans="1:58" x14ac:dyDescent="0.25">
      <c r="A176" s="138" t="s">
        <v>1195</v>
      </c>
      <c r="B176" t="s">
        <v>621</v>
      </c>
      <c r="C176" t="s">
        <v>131</v>
      </c>
      <c r="D176" s="78">
        <f>INDEX('Population Data by Age'!$B$7:$H$10366,MATCH(CONCATENATE('Tabular Pop Data by Age'!$C176,'Tabular Pop Data by Age'!D$7),'Population Data by Age'!$B$7:$B$10366,0),MATCH('Tabular Pop Data by Age'!$C$6,'Population Data by Age'!$B$6:$H$6,0))</f>
        <v>160000</v>
      </c>
      <c r="E176" s="78">
        <f>INDEX('Population Data by Age'!$B$7:$H$10366,MATCH(CONCATENATE('Tabular Pop Data by Age'!$C176,'Tabular Pop Data by Age'!E$7),'Population Data by Age'!$B$7:$B$10366,0),MATCH('Tabular Pop Data by Age'!$C$6,'Population Data by Age'!$B$6:$H$6,0))</f>
        <v>172000</v>
      </c>
      <c r="F176" s="78">
        <f>INDEX('Population Data by Age'!$B$7:$H$10366,MATCH(CONCATENATE('Tabular Pop Data by Age'!$C176,'Tabular Pop Data by Age'!F$7),'Population Data by Age'!$B$7:$B$10366,0),MATCH('Tabular Pop Data by Age'!$C$6,'Population Data by Age'!$B$6:$H$6,0))</f>
        <v>167000</v>
      </c>
      <c r="G176" s="78">
        <f>INDEX('Population Data by Age'!$B$7:$H$10366,MATCH(CONCATENATE('Tabular Pop Data by Age'!$C176,'Tabular Pop Data by Age'!G$7),'Population Data by Age'!$B$7:$B$10366,0),MATCH('Tabular Pop Data by Age'!$C$6,'Population Data by Age'!$B$6:$H$6,0))</f>
        <v>179000</v>
      </c>
      <c r="H176" s="78">
        <f>INDEX('Population Data by Age'!$B$7:$H$10366,MATCH(CONCATENATE('Tabular Pop Data by Age'!$C176,'Tabular Pop Data by Age'!H$7),'Population Data by Age'!$B$7:$B$10366,0),MATCH('Tabular Pop Data by Age'!$C$6,'Population Data by Age'!$B$6:$H$6,0))</f>
        <v>186000</v>
      </c>
      <c r="I176" s="78">
        <f>INDEX('Population Data by Age'!$B$7:$H$10366,MATCH(CONCATENATE('Tabular Pop Data by Age'!$C176,'Tabular Pop Data by Age'!I$7),'Population Data by Age'!$B$7:$B$10366,0),MATCH('Tabular Pop Data by Age'!$C$6,'Population Data by Age'!$B$6:$H$6,0))</f>
        <v>200000</v>
      </c>
      <c r="J176" s="78">
        <f>INDEX('Population Data by Age'!$B$7:$H$10366,MATCH(CONCATENATE('Tabular Pop Data by Age'!$C176,'Tabular Pop Data by Age'!J$7),'Population Data by Age'!$B$7:$B$10366,0),MATCH('Tabular Pop Data by Age'!$C$6,'Population Data by Age'!$B$6:$H$6,0))</f>
        <v>197000</v>
      </c>
      <c r="K176" s="78">
        <f>INDEX('Population Data by Age'!$B$7:$H$10366,MATCH(CONCATENATE('Tabular Pop Data by Age'!$C176,'Tabular Pop Data by Age'!K$7),'Population Data by Age'!$B$7:$B$10366,0),MATCH('Tabular Pop Data by Age'!$C$6,'Population Data by Age'!$B$6:$H$6,0))</f>
        <v>210000</v>
      </c>
      <c r="L176" s="78">
        <f>INDEX('Population Data by Age'!$B$7:$H$10366,MATCH(CONCATENATE('Tabular Pop Data by Age'!$C176,'Tabular Pop Data by Age'!L$7),'Population Data by Age'!$B$7:$B$10366,0),MATCH('Tabular Pop Data by Age'!$C$6,'Population Data by Age'!$B$6:$H$6,0))</f>
        <v>203000</v>
      </c>
      <c r="M176" s="78">
        <f>INDEX('Population Data by Age'!$B$7:$H$10366,MATCH(CONCATENATE('Tabular Pop Data by Age'!$C176,'Tabular Pop Data by Age'!M$7),'Population Data by Age'!$B$7:$B$10366,0),MATCH('Tabular Pop Data by Age'!$C$6,'Population Data by Age'!$B$6:$H$6,0))</f>
        <v>217000</v>
      </c>
      <c r="N176" s="78">
        <f>INDEX('Population Data by Age'!$B$7:$H$10366,MATCH(CONCATENATE('Tabular Pop Data by Age'!$C176,'Tabular Pop Data by Age'!N$7),'Population Data by Age'!$B$7:$B$10366,0),MATCH('Tabular Pop Data by Age'!$C$6,'Population Data by Age'!$B$6:$H$6,0))</f>
        <v>220000</v>
      </c>
      <c r="O176" s="78">
        <f>INDEX('Population Data by Age'!$B$7:$H$10366,MATCH(CONCATENATE('Tabular Pop Data by Age'!$C176,'Tabular Pop Data by Age'!O$7),'Population Data by Age'!$B$7:$B$10366,0),MATCH('Tabular Pop Data by Age'!$C$6,'Population Data by Age'!$B$6:$H$6,0))</f>
        <v>234000</v>
      </c>
      <c r="P176" s="78">
        <f>INDEX('Population Data by Age'!$B$7:$H$10366,MATCH(CONCATENATE('Tabular Pop Data by Age'!$C176,'Tabular Pop Data by Age'!P$7),'Population Data by Age'!$B$7:$B$10366,0),MATCH('Tabular Pop Data by Age'!$C$6,'Population Data by Age'!$B$6:$H$6,0))</f>
        <v>238000</v>
      </c>
      <c r="Q176" s="78">
        <f>INDEX('Population Data by Age'!$B$7:$H$10366,MATCH(CONCATENATE('Tabular Pop Data by Age'!$C176,'Tabular Pop Data by Age'!Q$7),'Population Data by Age'!$B$7:$B$10366,0),MATCH('Tabular Pop Data by Age'!$C$6,'Population Data by Age'!$B$6:$H$6,0))</f>
        <v>252000</v>
      </c>
      <c r="R176" s="78">
        <f>INDEX('Population Data by Age'!$B$7:$H$10366,MATCH(CONCATENATE('Tabular Pop Data by Age'!$C176,'Tabular Pop Data by Age'!R$7),'Population Data by Age'!$B$7:$B$10366,0),MATCH('Tabular Pop Data by Age'!$C$6,'Population Data by Age'!$B$6:$H$6,0))</f>
        <v>234000</v>
      </c>
      <c r="S176" s="78">
        <f>INDEX('Population Data by Age'!$B$7:$H$10366,MATCH(CONCATENATE('Tabular Pop Data by Age'!$C176,'Tabular Pop Data by Age'!S$7),'Population Data by Age'!$B$7:$B$10366,0),MATCH('Tabular Pop Data by Age'!$C$6,'Population Data by Age'!$B$6:$H$6,0))</f>
        <v>239000</v>
      </c>
      <c r="T176" s="78">
        <f>INDEX('Population Data by Age'!$B$7:$H$10366,MATCH(CONCATENATE('Tabular Pop Data by Age'!$C176,'Tabular Pop Data by Age'!T$7),'Population Data by Age'!$B$7:$B$10366,0),MATCH('Tabular Pop Data by Age'!$C$6,'Population Data by Age'!$B$6:$H$6,0))</f>
        <v>246000</v>
      </c>
      <c r="U176" s="78">
        <f>INDEX('Population Data by Age'!$B$7:$H$10366,MATCH(CONCATENATE('Tabular Pop Data by Age'!$C176,'Tabular Pop Data by Age'!U$7),'Population Data by Age'!$B$7:$B$10366,0),MATCH('Tabular Pop Data by Age'!$C$6,'Population Data by Age'!$B$6:$H$6,0))</f>
        <v>247000</v>
      </c>
      <c r="V176" s="78">
        <f>INDEX('Population Data by Age'!$B$7:$H$10366,MATCH(CONCATENATE('Tabular Pop Data by Age'!$C176,'Tabular Pop Data by Age'!V$7),'Population Data by Age'!$B$7:$B$10366,0),MATCH('Tabular Pop Data by Age'!$C$6,'Population Data by Age'!$B$6:$H$6,0))</f>
        <v>243000</v>
      </c>
      <c r="W176" s="78">
        <f>INDEX('Population Data by Age'!$B$7:$H$10366,MATCH(CONCATENATE('Tabular Pop Data by Age'!$C176,'Tabular Pop Data by Age'!W$7),'Population Data by Age'!$B$7:$B$10366,0),MATCH('Tabular Pop Data by Age'!$C$6,'Population Data by Age'!$B$6:$H$6,0))</f>
        <v>239000</v>
      </c>
      <c r="X176" s="78">
        <f>INDEX('Population Data by Age'!$B$7:$H$10366,MATCH(CONCATENATE('Tabular Pop Data by Age'!$C176,'Tabular Pop Data by Age'!X$7),'Population Data by Age'!$B$7:$B$10366,0),MATCH('Tabular Pop Data by Age'!$C$6,'Population Data by Age'!$B$6:$H$6,0))</f>
        <v>230000</v>
      </c>
      <c r="Y176" s="78">
        <f>INDEX('Population Data by Age'!$B$7:$H$10366,MATCH(CONCATENATE('Tabular Pop Data by Age'!$C176,'Tabular Pop Data by Age'!Y$7),'Population Data by Age'!$B$7:$B$10366,0),MATCH('Tabular Pop Data by Age'!$C$6,'Population Data by Age'!$B$6:$H$6,0))</f>
        <v>222000</v>
      </c>
      <c r="Z176" s="78">
        <f>INDEX('Population Data by Age'!$B$7:$H$10366,MATCH(CONCATENATE('Tabular Pop Data by Age'!$C176,'Tabular Pop Data by Age'!Z$7),'Population Data by Age'!$B$7:$B$10366,0),MATCH('Tabular Pop Data by Age'!$C$6,'Population Data by Age'!$B$6:$H$6,0))</f>
        <v>226000</v>
      </c>
      <c r="AA176" s="78">
        <f>INDEX('Population Data by Age'!$B$7:$H$10366,MATCH(CONCATENATE('Tabular Pop Data by Age'!$C176,'Tabular Pop Data by Age'!AA$7),'Population Data by Age'!$B$7:$B$10366,0),MATCH('Tabular Pop Data by Age'!$C$6,'Population Data by Age'!$B$6:$H$6,0))</f>
        <v>211000</v>
      </c>
      <c r="AB176" s="78">
        <f>INDEX('Population Data by Age'!$B$7:$H$10366,MATCH(CONCATENATE('Tabular Pop Data by Age'!$C176,'Tabular Pop Data by Age'!AB$7),'Population Data by Age'!$B$7:$B$10366,0),MATCH('Tabular Pop Data by Age'!$C$6,'Population Data by Age'!$B$6:$H$6,0))</f>
        <v>229000</v>
      </c>
      <c r="AC176" s="78">
        <f>INDEX('Population Data by Age'!$B$7:$H$10366,MATCH(CONCATENATE('Tabular Pop Data by Age'!$C176,'Tabular Pop Data by Age'!AC$7),'Population Data by Age'!$B$7:$B$10366,0),MATCH('Tabular Pop Data by Age'!$C$6,'Population Data by Age'!$B$6:$H$6,0))</f>
        <v>205000</v>
      </c>
      <c r="AD176" s="78">
        <f>INDEX('Population Data by Age'!$B$7:$H$10366,MATCH(CONCATENATE('Tabular Pop Data by Age'!$C176,'Tabular Pop Data by Age'!AD$7),'Population Data by Age'!$B$7:$B$10366,0),MATCH('Tabular Pop Data by Age'!$C$6,'Population Data by Age'!$B$6:$H$6,0))</f>
        <v>256000</v>
      </c>
      <c r="AE176" s="78">
        <f>INDEX('Population Data by Age'!$B$7:$H$10366,MATCH(CONCATENATE('Tabular Pop Data by Age'!$C176,'Tabular Pop Data by Age'!AE$7),'Population Data by Age'!$B$7:$B$10366,0),MATCH('Tabular Pop Data by Age'!$C$6,'Population Data by Age'!$B$6:$H$6,0))</f>
        <v>216000</v>
      </c>
      <c r="AF176" s="78">
        <f>INDEX('Population Data by Age'!$B$7:$H$10366,MATCH(CONCATENATE('Tabular Pop Data by Age'!$C176,'Tabular Pop Data by Age'!AF$7),'Population Data by Age'!$B$7:$B$10366,0),MATCH('Tabular Pop Data by Age'!$C$6,'Population Data by Age'!$B$6:$H$6,0))</f>
        <v>205000</v>
      </c>
      <c r="AG176" s="78">
        <f>INDEX('Population Data by Age'!$B$7:$H$10366,MATCH(CONCATENATE('Tabular Pop Data by Age'!$C176,'Tabular Pop Data by Age'!AG$7),'Population Data by Age'!$B$7:$B$10366,0),MATCH('Tabular Pop Data by Age'!$C$6,'Population Data by Age'!$B$6:$H$6,0))</f>
        <v>163000</v>
      </c>
      <c r="AH176" s="78">
        <f>INDEX('Population Data by Age'!$B$7:$H$10366,MATCH(CONCATENATE('Tabular Pop Data by Age'!$C176,'Tabular Pop Data by Age'!AH$7),'Population Data by Age'!$B$7:$B$10366,0),MATCH('Tabular Pop Data by Age'!$C$6,'Population Data by Age'!$B$6:$H$6,0))</f>
        <v>123000</v>
      </c>
      <c r="AI176" s="78">
        <f>INDEX('Population Data by Age'!$B$7:$H$10366,MATCH(CONCATENATE('Tabular Pop Data by Age'!$C176,'Tabular Pop Data by Age'!AI$7),'Population Data by Age'!$B$7:$B$10366,0),MATCH('Tabular Pop Data by Age'!$C$6,'Population Data by Age'!$B$6:$H$6,0))</f>
        <v>87000</v>
      </c>
      <c r="AJ176" s="78">
        <f>INDEX('Population Data by Age'!$B$7:$H$10366,MATCH(CONCATENATE('Tabular Pop Data by Age'!$C176,'Tabular Pop Data by Age'!AJ$7),'Population Data by Age'!$B$7:$B$10366,0),MATCH('Tabular Pop Data by Age'!$C$6,'Population Data by Age'!$B$6:$H$6,0))</f>
        <v>169000</v>
      </c>
      <c r="AK176" s="78">
        <f>INDEX('Population Data by Age'!$B$7:$H$10366,MATCH(CONCATENATE('Tabular Pop Data by Age'!$C176,'Tabular Pop Data by Age'!AK$7),'Population Data by Age'!$B$7:$B$10366,0),MATCH('Tabular Pop Data by Age'!$C$6,'Population Data by Age'!$B$6:$H$6,0))</f>
        <v>101000</v>
      </c>
      <c r="AL176" s="78">
        <f>INDEX('Population Data by Age'!$B$7:$H$10366,MATCH(CONCATENATE('Tabular Pop Data by Age'!$C176,'Tabular Pop Data by Age'!AL$7),'Population Data by Age'!$B$7:$B$10366,0),MATCH('Tabular Pop Data by Age'!$C$6,'Population Data by Age'!$B$6:$H$6,0))</f>
        <v>3535000</v>
      </c>
      <c r="AM176" s="78">
        <f>INDEX('Population Data by Age'!$B$7:$H$10366,MATCH(CONCATENATE('Tabular Pop Data by Age'!$C176,'Tabular Pop Data by Age'!AM$7),'Population Data by Age'!$B$7:$B$10366,0),MATCH('Tabular Pop Data by Age'!$C$6,'Population Data by Age'!$B$6:$H$6,0))</f>
        <v>3394000</v>
      </c>
      <c r="AN176" s="78">
        <f>INDEX('Population Data by Age'!$B$7:$H$10366,MATCH(CONCATENATE('Tabular Pop Data by Age'!$C176,'Tabular Pop Data by Age'!AN$7),'Population Data by Age'!$B$7:$B$10366,0),MATCH('Tabular Pop Data by Age'!$C$6,'Population Data by Age'!$B$6:$H$6,0))</f>
        <v>6929000</v>
      </c>
      <c r="AO176" s="78">
        <f>INDEX('Population Data by Age'!$B$7:$H$10366,MATCH(CONCATENATE('Tabular Pop Data by Age'!$C176,'Tabular Pop Data by Age'!AO$7),'Population Data by Age'!$B$7:$B$10366,0),MATCH('Tabular Pop Data by Age'!$C$6,'Population Data by Age'!$B$6:$H$6,0))</f>
        <v>0</v>
      </c>
      <c r="AP176" s="79">
        <f t="shared" si="51"/>
        <v>332000</v>
      </c>
      <c r="AQ176" s="79">
        <f t="shared" si="52"/>
        <v>346000</v>
      </c>
      <c r="AR176" s="79">
        <f t="shared" si="53"/>
        <v>386000</v>
      </c>
      <c r="AS176" s="79">
        <f t="shared" si="54"/>
        <v>407000</v>
      </c>
      <c r="AT176" s="79">
        <f t="shared" si="55"/>
        <v>420000</v>
      </c>
      <c r="AU176" s="79">
        <f t="shared" si="56"/>
        <v>454000</v>
      </c>
      <c r="AV176" s="79">
        <f t="shared" si="57"/>
        <v>490000</v>
      </c>
      <c r="AW176" s="79">
        <f t="shared" si="58"/>
        <v>473000</v>
      </c>
      <c r="AX176" s="79">
        <f t="shared" si="59"/>
        <v>493000</v>
      </c>
      <c r="AY176" s="79">
        <f t="shared" si="60"/>
        <v>482000</v>
      </c>
      <c r="AZ176" s="79">
        <f t="shared" si="61"/>
        <v>452000</v>
      </c>
      <c r="BA176" s="79">
        <f t="shared" si="62"/>
        <v>437000</v>
      </c>
      <c r="BB176" s="79">
        <f t="shared" si="63"/>
        <v>434000</v>
      </c>
      <c r="BC176" s="79">
        <f t="shared" si="64"/>
        <v>472000</v>
      </c>
      <c r="BD176" s="79">
        <f t="shared" si="65"/>
        <v>368000</v>
      </c>
      <c r="BE176" s="79">
        <f t="shared" si="66"/>
        <v>210000</v>
      </c>
      <c r="BF176" s="79">
        <f t="shared" si="67"/>
        <v>270000</v>
      </c>
    </row>
    <row r="177" spans="1:58" x14ac:dyDescent="0.25">
      <c r="A177" s="138" t="s">
        <v>1195</v>
      </c>
      <c r="B177" t="s">
        <v>213</v>
      </c>
      <c r="C177" t="s">
        <v>135</v>
      </c>
      <c r="D177" s="78">
        <f>INDEX('Population Data by Age'!$B$7:$H$10366,MATCH(CONCATENATE('Tabular Pop Data by Age'!$C177,'Tabular Pop Data by Age'!D$7),'Population Data by Age'!$B$7:$B$10366,0),MATCH('Tabular Pop Data by Age'!$C$6,'Population Data by Age'!$B$6:$H$6,0))</f>
        <v>3800</v>
      </c>
      <c r="E177" s="78">
        <f>INDEX('Population Data by Age'!$B$7:$H$10366,MATCH(CONCATENATE('Tabular Pop Data by Age'!$C177,'Tabular Pop Data by Age'!E$7),'Population Data by Age'!$B$7:$B$10366,0),MATCH('Tabular Pop Data by Age'!$C$6,'Population Data by Age'!$B$6:$H$6,0))</f>
        <v>4100</v>
      </c>
      <c r="F177" s="78">
        <f>INDEX('Population Data by Age'!$B$7:$H$10366,MATCH(CONCATENATE('Tabular Pop Data by Age'!$C177,'Tabular Pop Data by Age'!F$7),'Population Data by Age'!$B$7:$B$10366,0),MATCH('Tabular Pop Data by Age'!$C$6,'Population Data by Age'!$B$6:$H$6,0))</f>
        <v>3800</v>
      </c>
      <c r="G177" s="78">
        <f>INDEX('Population Data by Age'!$B$7:$H$10366,MATCH(CONCATENATE('Tabular Pop Data by Age'!$C177,'Tabular Pop Data by Age'!G$7),'Population Data by Age'!$B$7:$B$10366,0),MATCH('Tabular Pop Data by Age'!$C$6,'Population Data by Age'!$B$6:$H$6,0))</f>
        <v>4100</v>
      </c>
      <c r="H177" s="78">
        <f>INDEX('Population Data by Age'!$B$7:$H$10366,MATCH(CONCATENATE('Tabular Pop Data by Age'!$C177,'Tabular Pop Data by Age'!H$7),'Population Data by Age'!$B$7:$B$10366,0),MATCH('Tabular Pop Data by Age'!$C$6,'Population Data by Age'!$B$6:$H$6,0))</f>
        <v>3600</v>
      </c>
      <c r="I177" s="78">
        <f>INDEX('Population Data by Age'!$B$7:$H$10366,MATCH(CONCATENATE('Tabular Pop Data by Age'!$C177,'Tabular Pop Data by Age'!I$7),'Population Data by Age'!$B$7:$B$10366,0),MATCH('Tabular Pop Data by Age'!$C$6,'Population Data by Age'!$B$6:$H$6,0))</f>
        <v>3800</v>
      </c>
      <c r="J177" s="78">
        <f>INDEX('Population Data by Age'!$B$7:$H$10366,MATCH(CONCATENATE('Tabular Pop Data by Age'!$C177,'Tabular Pop Data by Age'!J$7),'Population Data by Age'!$B$7:$B$10366,0),MATCH('Tabular Pop Data by Age'!$C$6,'Population Data by Age'!$B$6:$H$6,0))</f>
        <v>3100</v>
      </c>
      <c r="K177" s="78">
        <f>INDEX('Population Data by Age'!$B$7:$H$10366,MATCH(CONCATENATE('Tabular Pop Data by Age'!$C177,'Tabular Pop Data by Age'!K$7),'Population Data by Age'!$B$7:$B$10366,0),MATCH('Tabular Pop Data by Age'!$C$6,'Population Data by Age'!$B$6:$H$6,0))</f>
        <v>3300</v>
      </c>
      <c r="L177" s="78">
        <f>INDEX('Population Data by Age'!$B$7:$H$10366,MATCH(CONCATENATE('Tabular Pop Data by Age'!$C177,'Tabular Pop Data by Age'!L$7),'Population Data by Age'!$B$7:$B$10366,0),MATCH('Tabular Pop Data by Age'!$C$6,'Population Data by Age'!$B$6:$H$6,0))</f>
        <v>3100</v>
      </c>
      <c r="M177" s="78">
        <f>INDEX('Population Data by Age'!$B$7:$H$10366,MATCH(CONCATENATE('Tabular Pop Data by Age'!$C177,'Tabular Pop Data by Age'!M$7),'Population Data by Age'!$B$7:$B$10366,0),MATCH('Tabular Pop Data by Age'!$C$6,'Population Data by Age'!$B$6:$H$6,0))</f>
        <v>3200</v>
      </c>
      <c r="N177" s="78">
        <f>INDEX('Population Data by Age'!$B$7:$H$10366,MATCH(CONCATENATE('Tabular Pop Data by Age'!$C177,'Tabular Pop Data by Age'!N$7),'Population Data by Age'!$B$7:$B$10366,0),MATCH('Tabular Pop Data by Age'!$C$6,'Population Data by Age'!$B$6:$H$6,0))</f>
        <v>3300</v>
      </c>
      <c r="O177" s="78">
        <f>INDEX('Population Data by Age'!$B$7:$H$10366,MATCH(CONCATENATE('Tabular Pop Data by Age'!$C177,'Tabular Pop Data by Age'!O$7),'Population Data by Age'!$B$7:$B$10366,0),MATCH('Tabular Pop Data by Age'!$C$6,'Population Data by Age'!$B$6:$H$6,0))</f>
        <v>3700</v>
      </c>
      <c r="P177" s="78">
        <f>INDEX('Population Data by Age'!$B$7:$H$10366,MATCH(CONCATENATE('Tabular Pop Data by Age'!$C177,'Tabular Pop Data by Age'!P$7),'Population Data by Age'!$B$7:$B$10366,0),MATCH('Tabular Pop Data by Age'!$C$6,'Population Data by Age'!$B$6:$H$6,0))</f>
        <v>3200</v>
      </c>
      <c r="Q177" s="78">
        <f>INDEX('Population Data by Age'!$B$7:$H$10366,MATCH(CONCATENATE('Tabular Pop Data by Age'!$C177,'Tabular Pop Data by Age'!Q$7),'Population Data by Age'!$B$7:$B$10366,0),MATCH('Tabular Pop Data by Age'!$C$6,'Population Data by Age'!$B$6:$H$6,0))</f>
        <v>3800</v>
      </c>
      <c r="R177" s="78">
        <f>INDEX('Population Data by Age'!$B$7:$H$10366,MATCH(CONCATENATE('Tabular Pop Data by Age'!$C177,'Tabular Pop Data by Age'!R$7),'Population Data by Age'!$B$7:$B$10366,0),MATCH('Tabular Pop Data by Age'!$C$6,'Population Data by Age'!$B$6:$H$6,0))</f>
        <v>3300</v>
      </c>
      <c r="S177" s="78">
        <f>INDEX('Population Data by Age'!$B$7:$H$10366,MATCH(CONCATENATE('Tabular Pop Data by Age'!$C177,'Tabular Pop Data by Age'!S$7),'Population Data by Age'!$B$7:$B$10366,0),MATCH('Tabular Pop Data by Age'!$C$6,'Population Data by Age'!$B$6:$H$6,0))</f>
        <v>4000</v>
      </c>
      <c r="T177" s="78">
        <f>INDEX('Population Data by Age'!$B$7:$H$10366,MATCH(CONCATENATE('Tabular Pop Data by Age'!$C177,'Tabular Pop Data by Age'!T$7),'Population Data by Age'!$B$7:$B$10366,0),MATCH('Tabular Pop Data by Age'!$C$6,'Population Data by Age'!$B$6:$H$6,0))</f>
        <v>3400</v>
      </c>
      <c r="U177" s="78">
        <f>INDEX('Population Data by Age'!$B$7:$H$10366,MATCH(CONCATENATE('Tabular Pop Data by Age'!$C177,'Tabular Pop Data by Age'!U$7),'Population Data by Age'!$B$7:$B$10366,0),MATCH('Tabular Pop Data by Age'!$C$6,'Population Data by Age'!$B$6:$H$6,0))</f>
        <v>4000</v>
      </c>
      <c r="V177" s="78">
        <f>INDEX('Population Data by Age'!$B$7:$H$10366,MATCH(CONCATENATE('Tabular Pop Data by Age'!$C177,'Tabular Pop Data by Age'!V$7),'Population Data by Age'!$B$7:$B$10366,0),MATCH('Tabular Pop Data by Age'!$C$6,'Population Data by Age'!$B$6:$H$6,0))</f>
        <v>3500</v>
      </c>
      <c r="W177" s="78">
        <f>INDEX('Population Data by Age'!$B$7:$H$10366,MATCH(CONCATENATE('Tabular Pop Data by Age'!$C177,'Tabular Pop Data by Age'!W$7),'Population Data by Age'!$B$7:$B$10366,0),MATCH('Tabular Pop Data by Age'!$C$6,'Population Data by Age'!$B$6:$H$6,0))</f>
        <v>3900</v>
      </c>
      <c r="X177" s="78">
        <f>INDEX('Population Data by Age'!$B$7:$H$10366,MATCH(CONCATENATE('Tabular Pop Data by Age'!$C177,'Tabular Pop Data by Age'!X$7),'Population Data by Age'!$B$7:$B$10366,0),MATCH('Tabular Pop Data by Age'!$C$6,'Population Data by Age'!$B$6:$H$6,0))</f>
        <v>3300</v>
      </c>
      <c r="Y177" s="78">
        <f>INDEX('Population Data by Age'!$B$7:$H$10366,MATCH(CONCATENATE('Tabular Pop Data by Age'!$C177,'Tabular Pop Data by Age'!Y$7),'Population Data by Age'!$B$7:$B$10366,0),MATCH('Tabular Pop Data by Age'!$C$6,'Population Data by Age'!$B$6:$H$6,0))</f>
        <v>3400</v>
      </c>
      <c r="Z177" s="78">
        <f>INDEX('Population Data by Age'!$B$7:$H$10366,MATCH(CONCATENATE('Tabular Pop Data by Age'!$C177,'Tabular Pop Data by Age'!Z$7),'Population Data by Age'!$B$7:$B$10366,0),MATCH('Tabular Pop Data by Age'!$C$6,'Population Data by Age'!$B$6:$H$6,0))</f>
        <v>3100</v>
      </c>
      <c r="AA177" s="78">
        <f>INDEX('Population Data by Age'!$B$7:$H$10366,MATCH(CONCATENATE('Tabular Pop Data by Age'!$C177,'Tabular Pop Data by Age'!AA$7),'Population Data by Age'!$B$7:$B$10366,0),MATCH('Tabular Pop Data by Age'!$C$6,'Population Data by Age'!$B$6:$H$6,0))</f>
        <v>3000</v>
      </c>
      <c r="AB177" s="78">
        <f>INDEX('Population Data by Age'!$B$7:$H$10366,MATCH(CONCATENATE('Tabular Pop Data by Age'!$C177,'Tabular Pop Data by Age'!AB$7),'Population Data by Age'!$B$7:$B$10366,0),MATCH('Tabular Pop Data by Age'!$C$6,'Population Data by Age'!$B$6:$H$6,0))</f>
        <v>2400</v>
      </c>
      <c r="AC177" s="78">
        <f>INDEX('Population Data by Age'!$B$7:$H$10366,MATCH(CONCATENATE('Tabular Pop Data by Age'!$C177,'Tabular Pop Data by Age'!AC$7),'Population Data by Age'!$B$7:$B$10366,0),MATCH('Tabular Pop Data by Age'!$C$6,'Population Data by Age'!$B$6:$H$6,0))</f>
        <v>2400</v>
      </c>
      <c r="AD177" s="78">
        <f>INDEX('Population Data by Age'!$B$7:$H$10366,MATCH(CONCATENATE('Tabular Pop Data by Age'!$C177,'Tabular Pop Data by Age'!AD$7),'Population Data by Age'!$B$7:$B$10366,0),MATCH('Tabular Pop Data by Age'!$C$6,'Population Data by Age'!$B$6:$H$6,0))</f>
        <v>1600</v>
      </c>
      <c r="AE177" s="78">
        <f>INDEX('Population Data by Age'!$B$7:$H$10366,MATCH(CONCATENATE('Tabular Pop Data by Age'!$C177,'Tabular Pop Data by Age'!AE$7),'Population Data by Age'!$B$7:$B$10366,0),MATCH('Tabular Pop Data by Age'!$C$6,'Population Data by Age'!$B$6:$H$6,0))</f>
        <v>1500</v>
      </c>
      <c r="AF177" s="78">
        <f>INDEX('Population Data by Age'!$B$7:$H$10366,MATCH(CONCATENATE('Tabular Pop Data by Age'!$C177,'Tabular Pop Data by Age'!AF$7),'Population Data by Age'!$B$7:$B$10366,0),MATCH('Tabular Pop Data by Age'!$C$6,'Population Data by Age'!$B$6:$H$6,0))</f>
        <v>900</v>
      </c>
      <c r="AG177" s="78">
        <f>INDEX('Population Data by Age'!$B$7:$H$10366,MATCH(CONCATENATE('Tabular Pop Data by Age'!$C177,'Tabular Pop Data by Age'!AG$7),'Population Data by Age'!$B$7:$B$10366,0),MATCH('Tabular Pop Data by Age'!$C$6,'Population Data by Age'!$B$6:$H$6,0))</f>
        <v>800</v>
      </c>
      <c r="AH177" s="78">
        <f>INDEX('Population Data by Age'!$B$7:$H$10366,MATCH(CONCATENATE('Tabular Pop Data by Age'!$C177,'Tabular Pop Data by Age'!AH$7),'Population Data by Age'!$B$7:$B$10366,0),MATCH('Tabular Pop Data by Age'!$C$6,'Population Data by Age'!$B$6:$H$6,0))</f>
        <v>900</v>
      </c>
      <c r="AI177" s="78">
        <f>INDEX('Population Data by Age'!$B$7:$H$10366,MATCH(CONCATENATE('Tabular Pop Data by Age'!$C177,'Tabular Pop Data by Age'!AI$7),'Population Data by Age'!$B$7:$B$10366,0),MATCH('Tabular Pop Data by Age'!$C$6,'Population Data by Age'!$B$6:$H$6,0))</f>
        <v>700</v>
      </c>
      <c r="AJ177" s="78">
        <f>INDEX('Population Data by Age'!$B$7:$H$10366,MATCH(CONCATENATE('Tabular Pop Data by Age'!$C177,'Tabular Pop Data by Age'!AJ$7),'Population Data by Age'!$B$7:$B$10366,0),MATCH('Tabular Pop Data by Age'!$C$6,'Population Data by Age'!$B$6:$H$6,0))</f>
        <v>1100</v>
      </c>
      <c r="AK177" s="78">
        <f>INDEX('Population Data by Age'!$B$7:$H$10366,MATCH(CONCATENATE('Tabular Pop Data by Age'!$C177,'Tabular Pop Data by Age'!AK$7),'Population Data by Age'!$B$7:$B$10366,0),MATCH('Tabular Pop Data by Age'!$C$6,'Population Data by Age'!$B$6:$H$6,0))</f>
        <v>500</v>
      </c>
      <c r="AL177" s="78">
        <f>INDEX('Population Data by Age'!$B$7:$H$10366,MATCH(CONCATENATE('Tabular Pop Data by Age'!$C177,'Tabular Pop Data by Age'!AL$7),'Population Data by Age'!$B$7:$B$10366,0),MATCH('Tabular Pop Data by Age'!$C$6,'Population Data by Age'!$B$6:$H$6,0))</f>
        <v>48000</v>
      </c>
      <c r="AM177" s="78">
        <f>INDEX('Population Data by Age'!$B$7:$H$10366,MATCH(CONCATENATE('Tabular Pop Data by Age'!$C177,'Tabular Pop Data by Age'!AM$7),'Population Data by Age'!$B$7:$B$10366,0),MATCH('Tabular Pop Data by Age'!$C$6,'Population Data by Age'!$B$6:$H$6,0))</f>
        <v>50000</v>
      </c>
      <c r="AN177" s="78">
        <f>INDEX('Population Data by Age'!$B$7:$H$10366,MATCH(CONCATENATE('Tabular Pop Data by Age'!$C177,'Tabular Pop Data by Age'!AN$7),'Population Data by Age'!$B$7:$B$10366,0),MATCH('Tabular Pop Data by Age'!$C$6,'Population Data by Age'!$B$6:$H$6,0))</f>
        <v>98000</v>
      </c>
      <c r="AO177" s="78">
        <f>INDEX('Population Data by Age'!$B$7:$H$10366,MATCH(CONCATENATE('Tabular Pop Data by Age'!$C177,'Tabular Pop Data by Age'!AO$7),'Population Data by Age'!$B$7:$B$10366,0),MATCH('Tabular Pop Data by Age'!$C$6,'Population Data by Age'!$B$6:$H$6,0))</f>
        <v>0</v>
      </c>
      <c r="AP177" s="79">
        <f t="shared" si="51"/>
        <v>7900</v>
      </c>
      <c r="AQ177" s="79">
        <f t="shared" si="52"/>
        <v>7900</v>
      </c>
      <c r="AR177" s="79">
        <f t="shared" si="53"/>
        <v>7400</v>
      </c>
      <c r="AS177" s="79">
        <f t="shared" si="54"/>
        <v>6400</v>
      </c>
      <c r="AT177" s="79">
        <f t="shared" si="55"/>
        <v>6300</v>
      </c>
      <c r="AU177" s="79">
        <f t="shared" si="56"/>
        <v>7000</v>
      </c>
      <c r="AV177" s="79">
        <f t="shared" si="57"/>
        <v>7000</v>
      </c>
      <c r="AW177" s="79">
        <f t="shared" si="58"/>
        <v>7300</v>
      </c>
      <c r="AX177" s="79">
        <f t="shared" si="59"/>
        <v>7400</v>
      </c>
      <c r="AY177" s="79">
        <f t="shared" si="60"/>
        <v>7400</v>
      </c>
      <c r="AZ177" s="79">
        <f t="shared" si="61"/>
        <v>6700</v>
      </c>
      <c r="BA177" s="79">
        <f t="shared" si="62"/>
        <v>6100</v>
      </c>
      <c r="BB177" s="79">
        <f t="shared" si="63"/>
        <v>4800</v>
      </c>
      <c r="BC177" s="79">
        <f t="shared" si="64"/>
        <v>3100</v>
      </c>
      <c r="BD177" s="79">
        <f t="shared" si="65"/>
        <v>1700</v>
      </c>
      <c r="BE177" s="79">
        <f t="shared" si="66"/>
        <v>1600</v>
      </c>
      <c r="BF177" s="79">
        <f t="shared" si="67"/>
        <v>1600</v>
      </c>
    </row>
    <row r="178" spans="1:58" x14ac:dyDescent="0.25">
      <c r="A178" s="138" t="s">
        <v>1195</v>
      </c>
      <c r="B178" t="s">
        <v>214</v>
      </c>
      <c r="C178" t="s">
        <v>129</v>
      </c>
      <c r="D178" s="78">
        <f>INDEX('Population Data by Age'!$B$7:$H$10366,MATCH(CONCATENATE('Tabular Pop Data by Age'!$C178,'Tabular Pop Data by Age'!D$7),'Population Data by Age'!$B$7:$B$10366,0),MATCH('Tabular Pop Data by Age'!$C$6,'Population Data by Age'!$B$6:$H$6,0))</f>
        <v>578000</v>
      </c>
      <c r="E178" s="78">
        <f>INDEX('Population Data by Age'!$B$7:$H$10366,MATCH(CONCATENATE('Tabular Pop Data by Age'!$C178,'Tabular Pop Data by Age'!E$7),'Population Data by Age'!$B$7:$B$10366,0),MATCH('Tabular Pop Data by Age'!$C$6,'Population Data by Age'!$B$6:$H$6,0))</f>
        <v>581000</v>
      </c>
      <c r="F178" s="78">
        <f>INDEX('Population Data by Age'!$B$7:$H$10366,MATCH(CONCATENATE('Tabular Pop Data by Age'!$C178,'Tabular Pop Data by Age'!F$7),'Population Data by Age'!$B$7:$B$10366,0),MATCH('Tabular Pop Data by Age'!$C$6,'Population Data by Age'!$B$6:$H$6,0))</f>
        <v>533000</v>
      </c>
      <c r="G178" s="78">
        <f>INDEX('Population Data by Age'!$B$7:$H$10366,MATCH(CONCATENATE('Tabular Pop Data by Age'!$C178,'Tabular Pop Data by Age'!G$7),'Population Data by Age'!$B$7:$B$10366,0),MATCH('Tabular Pop Data by Age'!$C$6,'Population Data by Age'!$B$6:$H$6,0))</f>
        <v>534000</v>
      </c>
      <c r="H178" s="78">
        <f>INDEX('Population Data by Age'!$B$7:$H$10366,MATCH(CONCATENATE('Tabular Pop Data by Age'!$C178,'Tabular Pop Data by Age'!H$7),'Population Data by Age'!$B$7:$B$10366,0),MATCH('Tabular Pop Data by Age'!$C$6,'Population Data by Age'!$B$6:$H$6,0))</f>
        <v>495000</v>
      </c>
      <c r="I178" s="78">
        <f>INDEX('Population Data by Age'!$B$7:$H$10366,MATCH(CONCATENATE('Tabular Pop Data by Age'!$C178,'Tabular Pop Data by Age'!I$7),'Population Data by Age'!$B$7:$B$10366,0),MATCH('Tabular Pop Data by Age'!$C$6,'Population Data by Age'!$B$6:$H$6,0))</f>
        <v>497000</v>
      </c>
      <c r="J178" s="78">
        <f>INDEX('Population Data by Age'!$B$7:$H$10366,MATCH(CONCATENATE('Tabular Pop Data by Age'!$C178,'Tabular Pop Data by Age'!J$7),'Population Data by Age'!$B$7:$B$10366,0),MATCH('Tabular Pop Data by Age'!$C$6,'Population Data by Age'!$B$6:$H$6,0))</f>
        <v>436000</v>
      </c>
      <c r="K178" s="78">
        <f>INDEX('Population Data by Age'!$B$7:$H$10366,MATCH(CONCATENATE('Tabular Pop Data by Age'!$C178,'Tabular Pop Data by Age'!K$7),'Population Data by Age'!$B$7:$B$10366,0),MATCH('Tabular Pop Data by Age'!$C$6,'Population Data by Age'!$B$6:$H$6,0))</f>
        <v>439000</v>
      </c>
      <c r="L178" s="78">
        <f>INDEX('Population Data by Age'!$B$7:$H$10366,MATCH(CONCATENATE('Tabular Pop Data by Age'!$C178,'Tabular Pop Data by Age'!L$7),'Population Data by Age'!$B$7:$B$10366,0),MATCH('Tabular Pop Data by Age'!$C$6,'Population Data by Age'!$B$6:$H$6,0))</f>
        <v>376000</v>
      </c>
      <c r="M178" s="78">
        <f>INDEX('Population Data by Age'!$B$7:$H$10366,MATCH(CONCATENATE('Tabular Pop Data by Age'!$C178,'Tabular Pop Data by Age'!M$7),'Population Data by Age'!$B$7:$B$10366,0),MATCH('Tabular Pop Data by Age'!$C$6,'Population Data by Age'!$B$6:$H$6,0))</f>
        <v>378000</v>
      </c>
      <c r="N178" s="78">
        <f>INDEX('Population Data by Age'!$B$7:$H$10366,MATCH(CONCATENATE('Tabular Pop Data by Age'!$C178,'Tabular Pop Data by Age'!N$7),'Population Data by Age'!$B$7:$B$10366,0),MATCH('Tabular Pop Data by Age'!$C$6,'Population Data by Age'!$B$6:$H$6,0))</f>
        <v>323000</v>
      </c>
      <c r="O178" s="78">
        <f>INDEX('Population Data by Age'!$B$7:$H$10366,MATCH(CONCATENATE('Tabular Pop Data by Age'!$C178,'Tabular Pop Data by Age'!O$7),'Population Data by Age'!$B$7:$B$10366,0),MATCH('Tabular Pop Data by Age'!$C$6,'Population Data by Age'!$B$6:$H$6,0))</f>
        <v>329000</v>
      </c>
      <c r="P178" s="78">
        <f>INDEX('Population Data by Age'!$B$7:$H$10366,MATCH(CONCATENATE('Tabular Pop Data by Age'!$C178,'Tabular Pop Data by Age'!P$7),'Population Data by Age'!$B$7:$B$10366,0),MATCH('Tabular Pop Data by Age'!$C$6,'Population Data by Age'!$B$6:$H$6,0))</f>
        <v>272000</v>
      </c>
      <c r="Q178" s="78">
        <f>INDEX('Population Data by Age'!$B$7:$H$10366,MATCH(CONCATENATE('Tabular Pop Data by Age'!$C178,'Tabular Pop Data by Age'!Q$7),'Population Data by Age'!$B$7:$B$10366,0),MATCH('Tabular Pop Data by Age'!$C$6,'Population Data by Age'!$B$6:$H$6,0))</f>
        <v>281000</v>
      </c>
      <c r="R178" s="78">
        <f>INDEX('Population Data by Age'!$B$7:$H$10366,MATCH(CONCATENATE('Tabular Pop Data by Age'!$C178,'Tabular Pop Data by Age'!R$7),'Population Data by Age'!$B$7:$B$10366,0),MATCH('Tabular Pop Data by Age'!$C$6,'Population Data by Age'!$B$6:$H$6,0))</f>
        <v>227000</v>
      </c>
      <c r="S178" s="78">
        <f>INDEX('Population Data by Age'!$B$7:$H$10366,MATCH(CONCATENATE('Tabular Pop Data by Age'!$C178,'Tabular Pop Data by Age'!S$7),'Population Data by Age'!$B$7:$B$10366,0),MATCH('Tabular Pop Data by Age'!$C$6,'Population Data by Age'!$B$6:$H$6,0))</f>
        <v>236000</v>
      </c>
      <c r="T178" s="78">
        <f>INDEX('Population Data by Age'!$B$7:$H$10366,MATCH(CONCATENATE('Tabular Pop Data by Age'!$C178,'Tabular Pop Data by Age'!T$7),'Population Data by Age'!$B$7:$B$10366,0),MATCH('Tabular Pop Data by Age'!$C$6,'Population Data by Age'!$B$6:$H$6,0))</f>
        <v>183000</v>
      </c>
      <c r="U178" s="78">
        <f>INDEX('Population Data by Age'!$B$7:$H$10366,MATCH(CONCATENATE('Tabular Pop Data by Age'!$C178,'Tabular Pop Data by Age'!U$7),'Population Data by Age'!$B$7:$B$10366,0),MATCH('Tabular Pop Data by Age'!$C$6,'Population Data by Age'!$B$6:$H$6,0))</f>
        <v>190000</v>
      </c>
      <c r="V178" s="78">
        <f>INDEX('Population Data by Age'!$B$7:$H$10366,MATCH(CONCATENATE('Tabular Pop Data by Age'!$C178,'Tabular Pop Data by Age'!V$7),'Population Data by Age'!$B$7:$B$10366,0),MATCH('Tabular Pop Data by Age'!$C$6,'Population Data by Age'!$B$6:$H$6,0))</f>
        <v>149000</v>
      </c>
      <c r="W178" s="78">
        <f>INDEX('Population Data by Age'!$B$7:$H$10366,MATCH(CONCATENATE('Tabular Pop Data by Age'!$C178,'Tabular Pop Data by Age'!W$7),'Population Data by Age'!$B$7:$B$10366,0),MATCH('Tabular Pop Data by Age'!$C$6,'Population Data by Age'!$B$6:$H$6,0))</f>
        <v>150000</v>
      </c>
      <c r="X178" s="78">
        <f>INDEX('Population Data by Age'!$B$7:$H$10366,MATCH(CONCATENATE('Tabular Pop Data by Age'!$C178,'Tabular Pop Data by Age'!X$7),'Population Data by Age'!$B$7:$B$10366,0),MATCH('Tabular Pop Data by Age'!$C$6,'Population Data by Age'!$B$6:$H$6,0))</f>
        <v>120000</v>
      </c>
      <c r="Y178" s="78">
        <f>INDEX('Population Data by Age'!$B$7:$H$10366,MATCH(CONCATENATE('Tabular Pop Data by Age'!$C178,'Tabular Pop Data by Age'!Y$7),'Population Data by Age'!$B$7:$B$10366,0),MATCH('Tabular Pop Data by Age'!$C$6,'Population Data by Age'!$B$6:$H$6,0))</f>
        <v>116000</v>
      </c>
      <c r="Z178" s="78">
        <f>INDEX('Population Data by Age'!$B$7:$H$10366,MATCH(CONCATENATE('Tabular Pop Data by Age'!$C178,'Tabular Pop Data by Age'!Z$7),'Population Data by Age'!$B$7:$B$10366,0),MATCH('Tabular Pop Data by Age'!$C$6,'Population Data by Age'!$B$6:$H$6,0))</f>
        <v>95000</v>
      </c>
      <c r="AA178" s="78">
        <f>INDEX('Population Data by Age'!$B$7:$H$10366,MATCH(CONCATENATE('Tabular Pop Data by Age'!$C178,'Tabular Pop Data by Age'!AA$7),'Population Data by Age'!$B$7:$B$10366,0),MATCH('Tabular Pop Data by Age'!$C$6,'Population Data by Age'!$B$6:$H$6,0))</f>
        <v>87000</v>
      </c>
      <c r="AB178" s="78">
        <f>INDEX('Population Data by Age'!$B$7:$H$10366,MATCH(CONCATENATE('Tabular Pop Data by Age'!$C178,'Tabular Pop Data by Age'!AB$7),'Population Data by Age'!$B$7:$B$10366,0),MATCH('Tabular Pop Data by Age'!$C$6,'Population Data by Age'!$B$6:$H$6,0))</f>
        <v>73000</v>
      </c>
      <c r="AC178" s="78">
        <f>INDEX('Population Data by Age'!$B$7:$H$10366,MATCH(CONCATENATE('Tabular Pop Data by Age'!$C178,'Tabular Pop Data by Age'!AC$7),'Population Data by Age'!$B$7:$B$10366,0),MATCH('Tabular Pop Data by Age'!$C$6,'Population Data by Age'!$B$6:$H$6,0))</f>
        <v>62000</v>
      </c>
      <c r="AD178" s="78">
        <f>INDEX('Population Data by Age'!$B$7:$H$10366,MATCH(CONCATENATE('Tabular Pop Data by Age'!$C178,'Tabular Pop Data by Age'!AD$7),'Population Data by Age'!$B$7:$B$10366,0),MATCH('Tabular Pop Data by Age'!$C$6,'Population Data by Age'!$B$6:$H$6,0))</f>
        <v>55000</v>
      </c>
      <c r="AE178" s="78">
        <f>INDEX('Population Data by Age'!$B$7:$H$10366,MATCH(CONCATENATE('Tabular Pop Data by Age'!$C178,'Tabular Pop Data by Age'!AE$7),'Population Data by Age'!$B$7:$B$10366,0),MATCH('Tabular Pop Data by Age'!$C$6,'Population Data by Age'!$B$6:$H$6,0))</f>
        <v>43000</v>
      </c>
      <c r="AF178" s="78">
        <f>INDEX('Population Data by Age'!$B$7:$H$10366,MATCH(CONCATENATE('Tabular Pop Data by Age'!$C178,'Tabular Pop Data by Age'!AF$7),'Population Data by Age'!$B$7:$B$10366,0),MATCH('Tabular Pop Data by Age'!$C$6,'Population Data by Age'!$B$6:$H$6,0))</f>
        <v>39000</v>
      </c>
      <c r="AG178" s="78">
        <f>INDEX('Population Data by Age'!$B$7:$H$10366,MATCH(CONCATENATE('Tabular Pop Data by Age'!$C178,'Tabular Pop Data by Age'!AG$7),'Population Data by Age'!$B$7:$B$10366,0),MATCH('Tabular Pop Data by Age'!$C$6,'Population Data by Age'!$B$6:$H$6,0))</f>
        <v>29000</v>
      </c>
      <c r="AH178" s="78">
        <f>INDEX('Population Data by Age'!$B$7:$H$10366,MATCH(CONCATENATE('Tabular Pop Data by Age'!$C178,'Tabular Pop Data by Age'!AH$7),'Population Data by Age'!$B$7:$B$10366,0),MATCH('Tabular Pop Data by Age'!$C$6,'Population Data by Age'!$B$6:$H$6,0))</f>
        <v>24000</v>
      </c>
      <c r="AI178" s="78">
        <f>INDEX('Population Data by Age'!$B$7:$H$10366,MATCH(CONCATENATE('Tabular Pop Data by Age'!$C178,'Tabular Pop Data by Age'!AI$7),'Population Data by Age'!$B$7:$B$10366,0),MATCH('Tabular Pop Data by Age'!$C$6,'Population Data by Age'!$B$6:$H$6,0))</f>
        <v>17000</v>
      </c>
      <c r="AJ178" s="78">
        <f>INDEX('Population Data by Age'!$B$7:$H$10366,MATCH(CONCATENATE('Tabular Pop Data by Age'!$C178,'Tabular Pop Data by Age'!AJ$7),'Population Data by Age'!$B$7:$B$10366,0),MATCH('Tabular Pop Data by Age'!$C$6,'Population Data by Age'!$B$6:$H$6,0))</f>
        <v>16000</v>
      </c>
      <c r="AK178" s="78">
        <f>INDEX('Population Data by Age'!$B$7:$H$10366,MATCH(CONCATENATE('Tabular Pop Data by Age'!$C178,'Tabular Pop Data by Age'!AK$7),'Population Data by Age'!$B$7:$B$10366,0),MATCH('Tabular Pop Data by Age'!$C$6,'Population Data by Age'!$B$6:$H$6,0))</f>
        <v>10000</v>
      </c>
      <c r="AL178" s="78">
        <f>INDEX('Population Data by Age'!$B$7:$H$10366,MATCH(CONCATENATE('Tabular Pop Data by Age'!$C178,'Tabular Pop Data by Age'!AL$7),'Population Data by Age'!$B$7:$B$10366,0),MATCH('Tabular Pop Data by Age'!$C$6,'Population Data by Age'!$B$6:$H$6,0))</f>
        <v>3996000</v>
      </c>
      <c r="AM178" s="78">
        <f>INDEX('Population Data by Age'!$B$7:$H$10366,MATCH(CONCATENATE('Tabular Pop Data by Age'!$C178,'Tabular Pop Data by Age'!AM$7),'Population Data by Age'!$B$7:$B$10366,0),MATCH('Tabular Pop Data by Age'!$C$6,'Population Data by Age'!$B$6:$H$6,0))</f>
        <v>3981000</v>
      </c>
      <c r="AN178" s="78">
        <f>INDEX('Population Data by Age'!$B$7:$H$10366,MATCH(CONCATENATE('Tabular Pop Data by Age'!$C178,'Tabular Pop Data by Age'!AN$7),'Population Data by Age'!$B$7:$B$10366,0),MATCH('Tabular Pop Data by Age'!$C$6,'Population Data by Age'!$B$6:$H$6,0))</f>
        <v>7977000</v>
      </c>
      <c r="AO178" s="78">
        <f>INDEX('Population Data by Age'!$B$7:$H$10366,MATCH(CONCATENATE('Tabular Pop Data by Age'!$C178,'Tabular Pop Data by Age'!AO$7),'Population Data by Age'!$B$7:$B$10366,0),MATCH('Tabular Pop Data by Age'!$C$6,'Population Data by Age'!$B$6:$H$6,0))</f>
        <v>0</v>
      </c>
      <c r="AP178" s="79">
        <f t="shared" si="51"/>
        <v>1159000</v>
      </c>
      <c r="AQ178" s="79">
        <f t="shared" si="52"/>
        <v>1067000</v>
      </c>
      <c r="AR178" s="79">
        <f t="shared" si="53"/>
        <v>992000</v>
      </c>
      <c r="AS178" s="79">
        <f t="shared" si="54"/>
        <v>875000</v>
      </c>
      <c r="AT178" s="79">
        <f t="shared" si="55"/>
        <v>754000</v>
      </c>
      <c r="AU178" s="79">
        <f t="shared" si="56"/>
        <v>652000</v>
      </c>
      <c r="AV178" s="79">
        <f t="shared" si="57"/>
        <v>553000</v>
      </c>
      <c r="AW178" s="79">
        <f t="shared" si="58"/>
        <v>463000</v>
      </c>
      <c r="AX178" s="79">
        <f t="shared" si="59"/>
        <v>373000</v>
      </c>
      <c r="AY178" s="79">
        <f t="shared" si="60"/>
        <v>299000</v>
      </c>
      <c r="AZ178" s="79">
        <f t="shared" si="61"/>
        <v>236000</v>
      </c>
      <c r="BA178" s="79">
        <f t="shared" si="62"/>
        <v>182000</v>
      </c>
      <c r="BB178" s="79">
        <f t="shared" si="63"/>
        <v>135000</v>
      </c>
      <c r="BC178" s="79">
        <f t="shared" si="64"/>
        <v>98000</v>
      </c>
      <c r="BD178" s="79">
        <f t="shared" si="65"/>
        <v>68000</v>
      </c>
      <c r="BE178" s="79">
        <f t="shared" si="66"/>
        <v>41000</v>
      </c>
      <c r="BF178" s="79">
        <f t="shared" si="67"/>
        <v>26000</v>
      </c>
    </row>
    <row r="179" spans="1:58" x14ac:dyDescent="0.25">
      <c r="A179" s="138" t="s">
        <v>1195</v>
      </c>
      <c r="B179" t="s">
        <v>622</v>
      </c>
      <c r="C179" t="s">
        <v>127</v>
      </c>
      <c r="D179" s="78">
        <f>INDEX('Population Data by Age'!$B$7:$H$10366,MATCH(CONCATENATE('Tabular Pop Data by Age'!$C179,'Tabular Pop Data by Age'!D$7),'Population Data by Age'!$B$7:$B$10366,0),MATCH('Tabular Pop Data by Age'!$C$6,'Population Data by Age'!$B$6:$H$6,0))</f>
        <v>122000</v>
      </c>
      <c r="E179" s="78">
        <f>INDEX('Population Data by Age'!$B$7:$H$10366,MATCH(CONCATENATE('Tabular Pop Data by Age'!$C179,'Tabular Pop Data by Age'!E$7),'Population Data by Age'!$B$7:$B$10366,0),MATCH('Tabular Pop Data by Age'!$C$6,'Population Data by Age'!$B$6:$H$6,0))</f>
        <v>132000</v>
      </c>
      <c r="F179" s="78">
        <f>INDEX('Population Data by Age'!$B$7:$H$10366,MATCH(CONCATENATE('Tabular Pop Data by Age'!$C179,'Tabular Pop Data by Age'!F$7),'Population Data by Age'!$B$7:$B$10366,0),MATCH('Tabular Pop Data by Age'!$C$6,'Population Data by Age'!$B$6:$H$6,0))</f>
        <v>106000</v>
      </c>
      <c r="G179" s="78">
        <f>INDEX('Population Data by Age'!$B$7:$H$10366,MATCH(CONCATENATE('Tabular Pop Data by Age'!$C179,'Tabular Pop Data by Age'!G$7),'Population Data by Age'!$B$7:$B$10366,0),MATCH('Tabular Pop Data by Age'!$C$6,'Population Data by Age'!$B$6:$H$6,0))</f>
        <v>112000</v>
      </c>
      <c r="H179" s="78">
        <f>INDEX('Population Data by Age'!$B$7:$H$10366,MATCH(CONCATENATE('Tabular Pop Data by Age'!$C179,'Tabular Pop Data by Age'!H$7),'Population Data by Age'!$B$7:$B$10366,0),MATCH('Tabular Pop Data by Age'!$C$6,'Population Data by Age'!$B$6:$H$6,0))</f>
        <v>116000</v>
      </c>
      <c r="I179" s="78">
        <f>INDEX('Population Data by Age'!$B$7:$H$10366,MATCH(CONCATENATE('Tabular Pop Data by Age'!$C179,'Tabular Pop Data by Age'!I$7),'Population Data by Age'!$B$7:$B$10366,0),MATCH('Tabular Pop Data by Age'!$C$6,'Population Data by Age'!$B$6:$H$6,0))</f>
        <v>121000</v>
      </c>
      <c r="J179" s="78">
        <f>INDEX('Population Data by Age'!$B$7:$H$10366,MATCH(CONCATENATE('Tabular Pop Data by Age'!$C179,'Tabular Pop Data by Age'!J$7),'Population Data by Age'!$B$7:$B$10366,0),MATCH('Tabular Pop Data by Age'!$C$6,'Population Data by Age'!$B$6:$H$6,0))</f>
        <v>127000</v>
      </c>
      <c r="K179" s="78">
        <f>INDEX('Population Data by Age'!$B$7:$H$10366,MATCH(CONCATENATE('Tabular Pop Data by Age'!$C179,'Tabular Pop Data by Age'!K$7),'Population Data by Age'!$B$7:$B$10366,0),MATCH('Tabular Pop Data by Age'!$C$6,'Population Data by Age'!$B$6:$H$6,0))</f>
        <v>135000</v>
      </c>
      <c r="L179" s="78">
        <f>INDEX('Population Data by Age'!$B$7:$H$10366,MATCH(CONCATENATE('Tabular Pop Data by Age'!$C179,'Tabular Pop Data by Age'!L$7),'Population Data by Age'!$B$7:$B$10366,0),MATCH('Tabular Pop Data by Age'!$C$6,'Population Data by Age'!$B$6:$H$6,0))</f>
        <v>176000</v>
      </c>
      <c r="M179" s="78">
        <f>INDEX('Population Data by Age'!$B$7:$H$10366,MATCH(CONCATENATE('Tabular Pop Data by Age'!$C179,'Tabular Pop Data by Age'!M$7),'Population Data by Age'!$B$7:$B$10366,0),MATCH('Tabular Pop Data by Age'!$C$6,'Population Data by Age'!$B$6:$H$6,0))</f>
        <v>216000</v>
      </c>
      <c r="N179" s="78">
        <f>INDEX('Population Data by Age'!$B$7:$H$10366,MATCH(CONCATENATE('Tabular Pop Data by Age'!$C179,'Tabular Pop Data by Age'!N$7),'Population Data by Age'!$B$7:$B$10366,0),MATCH('Tabular Pop Data by Age'!$C$6,'Population Data by Age'!$B$6:$H$6,0))</f>
        <v>195000</v>
      </c>
      <c r="O179" s="78">
        <f>INDEX('Population Data by Age'!$B$7:$H$10366,MATCH(CONCATENATE('Tabular Pop Data by Age'!$C179,'Tabular Pop Data by Age'!O$7),'Population Data by Age'!$B$7:$B$10366,0),MATCH('Tabular Pop Data by Age'!$C$6,'Population Data by Age'!$B$6:$H$6,0))</f>
        <v>235000</v>
      </c>
      <c r="P179" s="78">
        <f>INDEX('Population Data by Age'!$B$7:$H$10366,MATCH(CONCATENATE('Tabular Pop Data by Age'!$C179,'Tabular Pop Data by Age'!P$7),'Population Data by Age'!$B$7:$B$10366,0),MATCH('Tabular Pop Data by Age'!$C$6,'Population Data by Age'!$B$6:$H$6,0))</f>
        <v>201000</v>
      </c>
      <c r="Q179" s="78">
        <f>INDEX('Population Data by Age'!$B$7:$H$10366,MATCH(CONCATENATE('Tabular Pop Data by Age'!$C179,'Tabular Pop Data by Age'!Q$7),'Population Data by Age'!$B$7:$B$10366,0),MATCH('Tabular Pop Data by Age'!$C$6,'Population Data by Age'!$B$6:$H$6,0))</f>
        <v>227000</v>
      </c>
      <c r="R179" s="78">
        <f>INDEX('Population Data by Age'!$B$7:$H$10366,MATCH(CONCATENATE('Tabular Pop Data by Age'!$C179,'Tabular Pop Data by Age'!R$7),'Population Data by Age'!$B$7:$B$10366,0),MATCH('Tabular Pop Data by Age'!$C$6,'Population Data by Age'!$B$6:$H$6,0))</f>
        <v>221000</v>
      </c>
      <c r="S179" s="78">
        <f>INDEX('Population Data by Age'!$B$7:$H$10366,MATCH(CONCATENATE('Tabular Pop Data by Age'!$C179,'Tabular Pop Data by Age'!S$7),'Population Data by Age'!$B$7:$B$10366,0),MATCH('Tabular Pop Data by Age'!$C$6,'Population Data by Age'!$B$6:$H$6,0))</f>
        <v>235000</v>
      </c>
      <c r="T179" s="78">
        <f>INDEX('Population Data by Age'!$B$7:$H$10366,MATCH(CONCATENATE('Tabular Pop Data by Age'!$C179,'Tabular Pop Data by Age'!T$7),'Population Data by Age'!$B$7:$B$10366,0),MATCH('Tabular Pop Data by Age'!$C$6,'Population Data by Age'!$B$6:$H$6,0))</f>
        <v>225000</v>
      </c>
      <c r="U179" s="78">
        <f>INDEX('Population Data by Age'!$B$7:$H$10366,MATCH(CONCATENATE('Tabular Pop Data by Age'!$C179,'Tabular Pop Data by Age'!U$7),'Population Data by Age'!$B$7:$B$10366,0),MATCH('Tabular Pop Data by Age'!$C$6,'Population Data by Age'!$B$6:$H$6,0))</f>
        <v>242000</v>
      </c>
      <c r="V179" s="78">
        <f>INDEX('Population Data by Age'!$B$7:$H$10366,MATCH(CONCATENATE('Tabular Pop Data by Age'!$C179,'Tabular Pop Data by Age'!V$7),'Population Data by Age'!$B$7:$B$10366,0),MATCH('Tabular Pop Data by Age'!$C$6,'Population Data by Age'!$B$6:$H$6,0))</f>
        <v>229000</v>
      </c>
      <c r="W179" s="78">
        <f>INDEX('Population Data by Age'!$B$7:$H$10366,MATCH(CONCATENATE('Tabular Pop Data by Age'!$C179,'Tabular Pop Data by Age'!W$7),'Population Data by Age'!$B$7:$B$10366,0),MATCH('Tabular Pop Data by Age'!$C$6,'Population Data by Age'!$B$6:$H$6,0))</f>
        <v>256000</v>
      </c>
      <c r="X179" s="78">
        <f>INDEX('Population Data by Age'!$B$7:$H$10366,MATCH(CONCATENATE('Tabular Pop Data by Age'!$C179,'Tabular Pop Data by Age'!X$7),'Population Data by Age'!$B$7:$B$10366,0),MATCH('Tabular Pop Data by Age'!$C$6,'Population Data by Age'!$B$6:$H$6,0))</f>
        <v>215000</v>
      </c>
      <c r="Y179" s="78">
        <f>INDEX('Population Data by Age'!$B$7:$H$10366,MATCH(CONCATENATE('Tabular Pop Data by Age'!$C179,'Tabular Pop Data by Age'!Y$7),'Population Data by Age'!$B$7:$B$10366,0),MATCH('Tabular Pop Data by Age'!$C$6,'Population Data by Age'!$B$6:$H$6,0))</f>
        <v>245000</v>
      </c>
      <c r="Z179" s="78">
        <f>INDEX('Population Data by Age'!$B$7:$H$10366,MATCH(CONCATENATE('Tabular Pop Data by Age'!$C179,'Tabular Pop Data by Age'!Z$7),'Population Data by Age'!$B$7:$B$10366,0),MATCH('Tabular Pop Data by Age'!$C$6,'Population Data by Age'!$B$6:$H$6,0))</f>
        <v>217000</v>
      </c>
      <c r="AA179" s="78">
        <f>INDEX('Population Data by Age'!$B$7:$H$10366,MATCH(CONCATENATE('Tabular Pop Data by Age'!$C179,'Tabular Pop Data by Age'!AA$7),'Population Data by Age'!$B$7:$B$10366,0),MATCH('Tabular Pop Data by Age'!$C$6,'Population Data by Age'!$B$6:$H$6,0))</f>
        <v>256000</v>
      </c>
      <c r="AB179" s="78">
        <f>INDEX('Population Data by Age'!$B$7:$H$10366,MATCH(CONCATENATE('Tabular Pop Data by Age'!$C179,'Tabular Pop Data by Age'!AB$7),'Population Data by Age'!$B$7:$B$10366,0),MATCH('Tabular Pop Data by Age'!$C$6,'Population Data by Age'!$B$6:$H$6,0))</f>
        <v>202000</v>
      </c>
      <c r="AC179" s="78">
        <f>INDEX('Population Data by Age'!$B$7:$H$10366,MATCH(CONCATENATE('Tabular Pop Data by Age'!$C179,'Tabular Pop Data by Age'!AC$7),'Population Data by Age'!$B$7:$B$10366,0),MATCH('Tabular Pop Data by Age'!$C$6,'Population Data by Age'!$B$6:$H$6,0))</f>
        <v>236000</v>
      </c>
      <c r="AD179" s="78">
        <f>INDEX('Population Data by Age'!$B$7:$H$10366,MATCH(CONCATENATE('Tabular Pop Data by Age'!$C179,'Tabular Pop Data by Age'!AD$7),'Population Data by Age'!$B$7:$B$10366,0),MATCH('Tabular Pop Data by Age'!$C$6,'Population Data by Age'!$B$6:$H$6,0))</f>
        <v>164000</v>
      </c>
      <c r="AE179" s="78">
        <f>INDEX('Population Data by Age'!$B$7:$H$10366,MATCH(CONCATENATE('Tabular Pop Data by Age'!$C179,'Tabular Pop Data by Age'!AE$7),'Population Data by Age'!$B$7:$B$10366,0),MATCH('Tabular Pop Data by Age'!$C$6,'Population Data by Age'!$B$6:$H$6,0))</f>
        <v>187000</v>
      </c>
      <c r="AF179" s="78">
        <f>INDEX('Population Data by Age'!$B$7:$H$10366,MATCH(CONCATENATE('Tabular Pop Data by Age'!$C179,'Tabular Pop Data by Age'!AF$7),'Population Data by Age'!$B$7:$B$10366,0),MATCH('Tabular Pop Data by Age'!$C$6,'Population Data by Age'!$B$6:$H$6,0))</f>
        <v>99000</v>
      </c>
      <c r="AG179" s="78">
        <f>INDEX('Population Data by Age'!$B$7:$H$10366,MATCH(CONCATENATE('Tabular Pop Data by Age'!$C179,'Tabular Pop Data by Age'!AG$7),'Population Data by Age'!$B$7:$B$10366,0),MATCH('Tabular Pop Data by Age'!$C$6,'Population Data by Age'!$B$6:$H$6,0))</f>
        <v>89000</v>
      </c>
      <c r="AH179" s="78">
        <f>INDEX('Population Data by Age'!$B$7:$H$10366,MATCH(CONCATENATE('Tabular Pop Data by Age'!$C179,'Tabular Pop Data by Age'!AH$7),'Population Data by Age'!$B$7:$B$10366,0),MATCH('Tabular Pop Data by Age'!$C$6,'Population Data by Age'!$B$6:$H$6,0))</f>
        <v>55000</v>
      </c>
      <c r="AI179" s="78">
        <f>INDEX('Population Data by Age'!$B$7:$H$10366,MATCH(CONCATENATE('Tabular Pop Data by Age'!$C179,'Tabular Pop Data by Age'!AI$7),'Population Data by Age'!$B$7:$B$10366,0),MATCH('Tabular Pop Data by Age'!$C$6,'Population Data by Age'!$B$6:$H$6,0))</f>
        <v>44000</v>
      </c>
      <c r="AJ179" s="78">
        <f>INDEX('Population Data by Age'!$B$7:$H$10366,MATCH(CONCATENATE('Tabular Pop Data by Age'!$C179,'Tabular Pop Data by Age'!AJ$7),'Population Data by Age'!$B$7:$B$10366,0),MATCH('Tabular Pop Data by Age'!$C$6,'Population Data by Age'!$B$6:$H$6,0))</f>
        <v>82000</v>
      </c>
      <c r="AK179" s="78">
        <f>INDEX('Population Data by Age'!$B$7:$H$10366,MATCH(CONCATENATE('Tabular Pop Data by Age'!$C179,'Tabular Pop Data by Age'!AK$7),'Population Data by Age'!$B$7:$B$10366,0),MATCH('Tabular Pop Data by Age'!$C$6,'Population Data by Age'!$B$6:$H$6,0))</f>
        <v>52000</v>
      </c>
      <c r="AL179" s="78">
        <f>INDEX('Population Data by Age'!$B$7:$H$10366,MATCH(CONCATENATE('Tabular Pop Data by Age'!$C179,'Tabular Pop Data by Age'!AL$7),'Population Data by Age'!$B$7:$B$10366,0),MATCH('Tabular Pop Data by Age'!$C$6,'Population Data by Age'!$B$6:$H$6,0))</f>
        <v>2751000</v>
      </c>
      <c r="AM179" s="78">
        <f>INDEX('Population Data by Age'!$B$7:$H$10366,MATCH(CONCATENATE('Tabular Pop Data by Age'!$C179,'Tabular Pop Data by Age'!AM$7),'Population Data by Age'!$B$7:$B$10366,0),MATCH('Tabular Pop Data by Age'!$C$6,'Population Data by Age'!$B$6:$H$6,0))</f>
        <v>3021000</v>
      </c>
      <c r="AN179" s="78">
        <f>INDEX('Population Data by Age'!$B$7:$H$10366,MATCH(CONCATENATE('Tabular Pop Data by Age'!$C179,'Tabular Pop Data by Age'!AN$7),'Population Data by Age'!$B$7:$B$10366,0),MATCH('Tabular Pop Data by Age'!$C$6,'Population Data by Age'!$B$6:$H$6,0))</f>
        <v>5772000</v>
      </c>
      <c r="AO179" s="78">
        <f>INDEX('Population Data by Age'!$B$7:$H$10366,MATCH(CONCATENATE('Tabular Pop Data by Age'!$C179,'Tabular Pop Data by Age'!AO$7),'Population Data by Age'!$B$7:$B$10366,0),MATCH('Tabular Pop Data by Age'!$C$6,'Population Data by Age'!$B$6:$H$6,0))</f>
        <v>0</v>
      </c>
      <c r="AP179" s="79">
        <f t="shared" si="51"/>
        <v>254000</v>
      </c>
      <c r="AQ179" s="79">
        <f t="shared" si="52"/>
        <v>218000</v>
      </c>
      <c r="AR179" s="79">
        <f t="shared" si="53"/>
        <v>237000</v>
      </c>
      <c r="AS179" s="79">
        <f t="shared" si="54"/>
        <v>262000</v>
      </c>
      <c r="AT179" s="79">
        <f t="shared" si="55"/>
        <v>392000</v>
      </c>
      <c r="AU179" s="79">
        <f t="shared" si="56"/>
        <v>430000</v>
      </c>
      <c r="AV179" s="79">
        <f t="shared" si="57"/>
        <v>428000</v>
      </c>
      <c r="AW179" s="79">
        <f t="shared" si="58"/>
        <v>456000</v>
      </c>
      <c r="AX179" s="79">
        <f t="shared" si="59"/>
        <v>467000</v>
      </c>
      <c r="AY179" s="79">
        <f t="shared" si="60"/>
        <v>485000</v>
      </c>
      <c r="AZ179" s="79">
        <f t="shared" si="61"/>
        <v>460000</v>
      </c>
      <c r="BA179" s="79">
        <f t="shared" si="62"/>
        <v>473000</v>
      </c>
      <c r="BB179" s="79">
        <f t="shared" si="63"/>
        <v>438000</v>
      </c>
      <c r="BC179" s="79">
        <f t="shared" si="64"/>
        <v>351000</v>
      </c>
      <c r="BD179" s="79">
        <f t="shared" si="65"/>
        <v>188000</v>
      </c>
      <c r="BE179" s="79">
        <f t="shared" si="66"/>
        <v>99000</v>
      </c>
      <c r="BF179" s="79">
        <f t="shared" si="67"/>
        <v>134000</v>
      </c>
    </row>
    <row r="180" spans="1:58" x14ac:dyDescent="0.25">
      <c r="A180" s="138" t="s">
        <v>1195</v>
      </c>
      <c r="B180" t="s">
        <v>623</v>
      </c>
      <c r="C180" t="s">
        <v>624</v>
      </c>
      <c r="D180" s="78">
        <f>INDEX('Population Data by Age'!$B$7:$H$10366,MATCH(CONCATENATE('Tabular Pop Data by Age'!$C180,'Tabular Pop Data by Age'!D$7),'Population Data by Age'!$B$7:$B$10366,0),MATCH('Tabular Pop Data by Age'!$C$6,'Population Data by Age'!$B$6:$H$6,0))</f>
        <v>0</v>
      </c>
      <c r="E180" s="78">
        <f>INDEX('Population Data by Age'!$B$7:$H$10366,MATCH(CONCATENATE('Tabular Pop Data by Age'!$C180,'Tabular Pop Data by Age'!E$7),'Population Data by Age'!$B$7:$B$10366,0),MATCH('Tabular Pop Data by Age'!$C$6,'Population Data by Age'!$B$6:$H$6,0))</f>
        <v>0</v>
      </c>
      <c r="F180" s="78">
        <f>INDEX('Population Data by Age'!$B$7:$H$10366,MATCH(CONCATENATE('Tabular Pop Data by Age'!$C180,'Tabular Pop Data by Age'!F$7),'Population Data by Age'!$B$7:$B$10366,0),MATCH('Tabular Pop Data by Age'!$C$6,'Population Data by Age'!$B$6:$H$6,0))</f>
        <v>0</v>
      </c>
      <c r="G180" s="78">
        <f>INDEX('Population Data by Age'!$B$7:$H$10366,MATCH(CONCATENATE('Tabular Pop Data by Age'!$C180,'Tabular Pop Data by Age'!G$7),'Population Data by Age'!$B$7:$B$10366,0),MATCH('Tabular Pop Data by Age'!$C$6,'Population Data by Age'!$B$6:$H$6,0))</f>
        <v>0</v>
      </c>
      <c r="H180" s="78">
        <f>INDEX('Population Data by Age'!$B$7:$H$10366,MATCH(CONCATENATE('Tabular Pop Data by Age'!$C180,'Tabular Pop Data by Age'!H$7),'Population Data by Age'!$B$7:$B$10366,0),MATCH('Tabular Pop Data by Age'!$C$6,'Population Data by Age'!$B$6:$H$6,0))</f>
        <v>0</v>
      </c>
      <c r="I180" s="78">
        <f>INDEX('Population Data by Age'!$B$7:$H$10366,MATCH(CONCATENATE('Tabular Pop Data by Age'!$C180,'Tabular Pop Data by Age'!I$7),'Population Data by Age'!$B$7:$B$10366,0),MATCH('Tabular Pop Data by Age'!$C$6,'Population Data by Age'!$B$6:$H$6,0))</f>
        <v>0</v>
      </c>
      <c r="J180" s="78">
        <f>INDEX('Population Data by Age'!$B$7:$H$10366,MATCH(CONCATENATE('Tabular Pop Data by Age'!$C180,'Tabular Pop Data by Age'!J$7),'Population Data by Age'!$B$7:$B$10366,0),MATCH('Tabular Pop Data by Age'!$C$6,'Population Data by Age'!$B$6:$H$6,0))</f>
        <v>0</v>
      </c>
      <c r="K180" s="78">
        <f>INDEX('Population Data by Age'!$B$7:$H$10366,MATCH(CONCATENATE('Tabular Pop Data by Age'!$C180,'Tabular Pop Data by Age'!K$7),'Population Data by Age'!$B$7:$B$10366,0),MATCH('Tabular Pop Data by Age'!$C$6,'Population Data by Age'!$B$6:$H$6,0))</f>
        <v>0</v>
      </c>
      <c r="L180" s="78">
        <f>INDEX('Population Data by Age'!$B$7:$H$10366,MATCH(CONCATENATE('Tabular Pop Data by Age'!$C180,'Tabular Pop Data by Age'!L$7),'Population Data by Age'!$B$7:$B$10366,0),MATCH('Tabular Pop Data by Age'!$C$6,'Population Data by Age'!$B$6:$H$6,0))</f>
        <v>0</v>
      </c>
      <c r="M180" s="78">
        <f>INDEX('Population Data by Age'!$B$7:$H$10366,MATCH(CONCATENATE('Tabular Pop Data by Age'!$C180,'Tabular Pop Data by Age'!M$7),'Population Data by Age'!$B$7:$B$10366,0),MATCH('Tabular Pop Data by Age'!$C$6,'Population Data by Age'!$B$6:$H$6,0))</f>
        <v>0</v>
      </c>
      <c r="N180" s="78">
        <f>INDEX('Population Data by Age'!$B$7:$H$10366,MATCH(CONCATENATE('Tabular Pop Data by Age'!$C180,'Tabular Pop Data by Age'!N$7),'Population Data by Age'!$B$7:$B$10366,0),MATCH('Tabular Pop Data by Age'!$C$6,'Population Data by Age'!$B$6:$H$6,0))</f>
        <v>0</v>
      </c>
      <c r="O180" s="78">
        <f>INDEX('Population Data by Age'!$B$7:$H$10366,MATCH(CONCATENATE('Tabular Pop Data by Age'!$C180,'Tabular Pop Data by Age'!O$7),'Population Data by Age'!$B$7:$B$10366,0),MATCH('Tabular Pop Data by Age'!$C$6,'Population Data by Age'!$B$6:$H$6,0))</f>
        <v>0</v>
      </c>
      <c r="P180" s="78">
        <f>INDEX('Population Data by Age'!$B$7:$H$10366,MATCH(CONCATENATE('Tabular Pop Data by Age'!$C180,'Tabular Pop Data by Age'!P$7),'Population Data by Age'!$B$7:$B$10366,0),MATCH('Tabular Pop Data by Age'!$C$6,'Population Data by Age'!$B$6:$H$6,0))</f>
        <v>0</v>
      </c>
      <c r="Q180" s="78">
        <f>INDEX('Population Data by Age'!$B$7:$H$10366,MATCH(CONCATENATE('Tabular Pop Data by Age'!$C180,'Tabular Pop Data by Age'!Q$7),'Population Data by Age'!$B$7:$B$10366,0),MATCH('Tabular Pop Data by Age'!$C$6,'Population Data by Age'!$B$6:$H$6,0))</f>
        <v>0</v>
      </c>
      <c r="R180" s="78">
        <f>INDEX('Population Data by Age'!$B$7:$H$10366,MATCH(CONCATENATE('Tabular Pop Data by Age'!$C180,'Tabular Pop Data by Age'!R$7),'Population Data by Age'!$B$7:$B$10366,0),MATCH('Tabular Pop Data by Age'!$C$6,'Population Data by Age'!$B$6:$H$6,0))</f>
        <v>0</v>
      </c>
      <c r="S180" s="78">
        <f>INDEX('Population Data by Age'!$B$7:$H$10366,MATCH(CONCATENATE('Tabular Pop Data by Age'!$C180,'Tabular Pop Data by Age'!S$7),'Population Data by Age'!$B$7:$B$10366,0),MATCH('Tabular Pop Data by Age'!$C$6,'Population Data by Age'!$B$6:$H$6,0))</f>
        <v>0</v>
      </c>
      <c r="T180" s="78">
        <f>INDEX('Population Data by Age'!$B$7:$H$10366,MATCH(CONCATENATE('Tabular Pop Data by Age'!$C180,'Tabular Pop Data by Age'!T$7),'Population Data by Age'!$B$7:$B$10366,0),MATCH('Tabular Pop Data by Age'!$C$6,'Population Data by Age'!$B$6:$H$6,0))</f>
        <v>0</v>
      </c>
      <c r="U180" s="78">
        <f>INDEX('Population Data by Age'!$B$7:$H$10366,MATCH(CONCATENATE('Tabular Pop Data by Age'!$C180,'Tabular Pop Data by Age'!U$7),'Population Data by Age'!$B$7:$B$10366,0),MATCH('Tabular Pop Data by Age'!$C$6,'Population Data by Age'!$B$6:$H$6,0))</f>
        <v>0</v>
      </c>
      <c r="V180" s="78">
        <f>INDEX('Population Data by Age'!$B$7:$H$10366,MATCH(CONCATENATE('Tabular Pop Data by Age'!$C180,'Tabular Pop Data by Age'!V$7),'Population Data by Age'!$B$7:$B$10366,0),MATCH('Tabular Pop Data by Age'!$C$6,'Population Data by Age'!$B$6:$H$6,0))</f>
        <v>0</v>
      </c>
      <c r="W180" s="78">
        <f>INDEX('Population Data by Age'!$B$7:$H$10366,MATCH(CONCATENATE('Tabular Pop Data by Age'!$C180,'Tabular Pop Data by Age'!W$7),'Population Data by Age'!$B$7:$B$10366,0),MATCH('Tabular Pop Data by Age'!$C$6,'Population Data by Age'!$B$6:$H$6,0))</f>
        <v>0</v>
      </c>
      <c r="X180" s="78">
        <f>INDEX('Population Data by Age'!$B$7:$H$10366,MATCH(CONCATENATE('Tabular Pop Data by Age'!$C180,'Tabular Pop Data by Age'!X$7),'Population Data by Age'!$B$7:$B$10366,0),MATCH('Tabular Pop Data by Age'!$C$6,'Population Data by Age'!$B$6:$H$6,0))</f>
        <v>0</v>
      </c>
      <c r="Y180" s="78">
        <f>INDEX('Population Data by Age'!$B$7:$H$10366,MATCH(CONCATENATE('Tabular Pop Data by Age'!$C180,'Tabular Pop Data by Age'!Y$7),'Population Data by Age'!$B$7:$B$10366,0),MATCH('Tabular Pop Data by Age'!$C$6,'Population Data by Age'!$B$6:$H$6,0))</f>
        <v>0</v>
      </c>
      <c r="Z180" s="78">
        <f>INDEX('Population Data by Age'!$B$7:$H$10366,MATCH(CONCATENATE('Tabular Pop Data by Age'!$C180,'Tabular Pop Data by Age'!Z$7),'Population Data by Age'!$B$7:$B$10366,0),MATCH('Tabular Pop Data by Age'!$C$6,'Population Data by Age'!$B$6:$H$6,0))</f>
        <v>0</v>
      </c>
      <c r="AA180" s="78">
        <f>INDEX('Population Data by Age'!$B$7:$H$10366,MATCH(CONCATENATE('Tabular Pop Data by Age'!$C180,'Tabular Pop Data by Age'!AA$7),'Population Data by Age'!$B$7:$B$10366,0),MATCH('Tabular Pop Data by Age'!$C$6,'Population Data by Age'!$B$6:$H$6,0))</f>
        <v>0</v>
      </c>
      <c r="AB180" s="78">
        <f>INDEX('Population Data by Age'!$B$7:$H$10366,MATCH(CONCATENATE('Tabular Pop Data by Age'!$C180,'Tabular Pop Data by Age'!AB$7),'Population Data by Age'!$B$7:$B$10366,0),MATCH('Tabular Pop Data by Age'!$C$6,'Population Data by Age'!$B$6:$H$6,0))</f>
        <v>0</v>
      </c>
      <c r="AC180" s="78">
        <f>INDEX('Population Data by Age'!$B$7:$H$10366,MATCH(CONCATENATE('Tabular Pop Data by Age'!$C180,'Tabular Pop Data by Age'!AC$7),'Population Data by Age'!$B$7:$B$10366,0),MATCH('Tabular Pop Data by Age'!$C$6,'Population Data by Age'!$B$6:$H$6,0))</f>
        <v>0</v>
      </c>
      <c r="AD180" s="78">
        <f>INDEX('Population Data by Age'!$B$7:$H$10366,MATCH(CONCATENATE('Tabular Pop Data by Age'!$C180,'Tabular Pop Data by Age'!AD$7),'Population Data by Age'!$B$7:$B$10366,0),MATCH('Tabular Pop Data by Age'!$C$6,'Population Data by Age'!$B$6:$H$6,0))</f>
        <v>0</v>
      </c>
      <c r="AE180" s="78">
        <f>INDEX('Population Data by Age'!$B$7:$H$10366,MATCH(CONCATENATE('Tabular Pop Data by Age'!$C180,'Tabular Pop Data by Age'!AE$7),'Population Data by Age'!$B$7:$B$10366,0),MATCH('Tabular Pop Data by Age'!$C$6,'Population Data by Age'!$B$6:$H$6,0))</f>
        <v>0</v>
      </c>
      <c r="AF180" s="78">
        <f>INDEX('Population Data by Age'!$B$7:$H$10366,MATCH(CONCATENATE('Tabular Pop Data by Age'!$C180,'Tabular Pop Data by Age'!AF$7),'Population Data by Age'!$B$7:$B$10366,0),MATCH('Tabular Pop Data by Age'!$C$6,'Population Data by Age'!$B$6:$H$6,0))</f>
        <v>0</v>
      </c>
      <c r="AG180" s="78">
        <f>INDEX('Population Data by Age'!$B$7:$H$10366,MATCH(CONCATENATE('Tabular Pop Data by Age'!$C180,'Tabular Pop Data by Age'!AG$7),'Population Data by Age'!$B$7:$B$10366,0),MATCH('Tabular Pop Data by Age'!$C$6,'Population Data by Age'!$B$6:$H$6,0))</f>
        <v>0</v>
      </c>
      <c r="AH180" s="78">
        <f>INDEX('Population Data by Age'!$B$7:$H$10366,MATCH(CONCATENATE('Tabular Pop Data by Age'!$C180,'Tabular Pop Data by Age'!AH$7),'Population Data by Age'!$B$7:$B$10366,0),MATCH('Tabular Pop Data by Age'!$C$6,'Population Data by Age'!$B$6:$H$6,0))</f>
        <v>0</v>
      </c>
      <c r="AI180" s="78">
        <f>INDEX('Population Data by Age'!$B$7:$H$10366,MATCH(CONCATENATE('Tabular Pop Data by Age'!$C180,'Tabular Pop Data by Age'!AI$7),'Population Data by Age'!$B$7:$B$10366,0),MATCH('Tabular Pop Data by Age'!$C$6,'Population Data by Age'!$B$6:$H$6,0))</f>
        <v>0</v>
      </c>
      <c r="AJ180" s="78">
        <f>INDEX('Population Data by Age'!$B$7:$H$10366,MATCH(CONCATENATE('Tabular Pop Data by Age'!$C180,'Tabular Pop Data by Age'!AJ$7),'Population Data by Age'!$B$7:$B$10366,0),MATCH('Tabular Pop Data by Age'!$C$6,'Population Data by Age'!$B$6:$H$6,0))</f>
        <v>0</v>
      </c>
      <c r="AK180" s="78">
        <f>INDEX('Population Data by Age'!$B$7:$H$10366,MATCH(CONCATENATE('Tabular Pop Data by Age'!$C180,'Tabular Pop Data by Age'!AK$7),'Population Data by Age'!$B$7:$B$10366,0),MATCH('Tabular Pop Data by Age'!$C$6,'Population Data by Age'!$B$6:$H$6,0))</f>
        <v>0</v>
      </c>
      <c r="AL180" s="78">
        <f>INDEX('Population Data by Age'!$B$7:$H$10366,MATCH(CONCATENATE('Tabular Pop Data by Age'!$C180,'Tabular Pop Data by Age'!AL$7),'Population Data by Age'!$B$7:$B$10366,0),MATCH('Tabular Pop Data by Age'!$C$6,'Population Data by Age'!$B$6:$H$6,0))</f>
        <v>0</v>
      </c>
      <c r="AM180" s="78">
        <f>INDEX('Population Data by Age'!$B$7:$H$10366,MATCH(CONCATENATE('Tabular Pop Data by Age'!$C180,'Tabular Pop Data by Age'!AM$7),'Population Data by Age'!$B$7:$B$10366,0),MATCH('Tabular Pop Data by Age'!$C$6,'Population Data by Age'!$B$6:$H$6,0))</f>
        <v>0</v>
      </c>
      <c r="AN180" s="85">
        <v>43847</v>
      </c>
      <c r="AO180" s="78">
        <f>INDEX('Population Data by Age'!$B$7:$H$10366,MATCH(CONCATENATE('Tabular Pop Data by Age'!$C180,'Tabular Pop Data by Age'!AO$7),'Population Data by Age'!$B$7:$B$10366,0),MATCH('Tabular Pop Data by Age'!$C$6,'Population Data by Age'!$B$6:$H$6,0))</f>
        <v>0</v>
      </c>
      <c r="AP180" s="79">
        <f t="shared" si="51"/>
        <v>0</v>
      </c>
      <c r="AQ180" s="79">
        <f t="shared" si="52"/>
        <v>0</v>
      </c>
      <c r="AR180" s="79">
        <f t="shared" si="53"/>
        <v>0</v>
      </c>
      <c r="AS180" s="79">
        <f t="shared" si="54"/>
        <v>0</v>
      </c>
      <c r="AT180" s="79">
        <f t="shared" si="55"/>
        <v>0</v>
      </c>
      <c r="AU180" s="79">
        <f t="shared" si="56"/>
        <v>0</v>
      </c>
      <c r="AV180" s="79">
        <f t="shared" si="57"/>
        <v>0</v>
      </c>
      <c r="AW180" s="79">
        <f t="shared" si="58"/>
        <v>0</v>
      </c>
      <c r="AX180" s="79">
        <f t="shared" si="59"/>
        <v>0</v>
      </c>
      <c r="AY180" s="79">
        <f t="shared" si="60"/>
        <v>0</v>
      </c>
      <c r="AZ180" s="79">
        <f t="shared" si="61"/>
        <v>0</v>
      </c>
      <c r="BA180" s="79">
        <f t="shared" si="62"/>
        <v>0</v>
      </c>
      <c r="BB180" s="79">
        <f t="shared" si="63"/>
        <v>0</v>
      </c>
      <c r="BC180" s="79">
        <f t="shared" si="64"/>
        <v>0</v>
      </c>
      <c r="BD180" s="79">
        <f t="shared" si="65"/>
        <v>0</v>
      </c>
      <c r="BE180" s="79">
        <f t="shared" si="66"/>
        <v>0</v>
      </c>
      <c r="BF180" s="79">
        <f t="shared" si="67"/>
        <v>0</v>
      </c>
    </row>
    <row r="181" spans="1:58" x14ac:dyDescent="0.25">
      <c r="A181" s="138" t="s">
        <v>1195</v>
      </c>
      <c r="B181" t="s">
        <v>625</v>
      </c>
      <c r="C181" t="s">
        <v>626</v>
      </c>
      <c r="D181" s="78">
        <f>INDEX('Population Data by Age'!$B$7:$H$10366,MATCH(CONCATENATE('Tabular Pop Data by Age'!$C181,'Tabular Pop Data by Age'!D$7),'Population Data by Age'!$B$7:$B$10366,0),MATCH('Tabular Pop Data by Age'!$C$6,'Population Data by Age'!$B$6:$H$6,0))</f>
        <v>138000</v>
      </c>
      <c r="E181" s="78">
        <f>INDEX('Population Data by Age'!$B$7:$H$10366,MATCH(CONCATENATE('Tabular Pop Data by Age'!$C181,'Tabular Pop Data by Age'!E$7),'Population Data by Age'!$B$7:$B$10366,0),MATCH('Tabular Pop Data by Age'!$C$6,'Population Data by Age'!$B$6:$H$6,0))</f>
        <v>145000</v>
      </c>
      <c r="F181" s="78">
        <f>INDEX('Population Data by Age'!$B$7:$H$10366,MATCH(CONCATENATE('Tabular Pop Data by Age'!$C181,'Tabular Pop Data by Age'!F$7),'Population Data by Age'!$B$7:$B$10366,0),MATCH('Tabular Pop Data by Age'!$C$6,'Population Data by Age'!$B$6:$H$6,0))</f>
        <v>138000</v>
      </c>
      <c r="G181" s="78">
        <f>INDEX('Population Data by Age'!$B$7:$H$10366,MATCH(CONCATENATE('Tabular Pop Data by Age'!$C181,'Tabular Pop Data by Age'!G$7),'Population Data by Age'!$B$7:$B$10366,0),MATCH('Tabular Pop Data by Age'!$C$6,'Population Data by Age'!$B$6:$H$6,0))</f>
        <v>144000</v>
      </c>
      <c r="H181" s="78">
        <f>INDEX('Population Data by Age'!$B$7:$H$10366,MATCH(CONCATENATE('Tabular Pop Data by Age'!$C181,'Tabular Pop Data by Age'!H$7),'Population Data by Age'!$B$7:$B$10366,0),MATCH('Tabular Pop Data by Age'!$C$6,'Population Data by Age'!$B$6:$H$6,0))</f>
        <v>138000</v>
      </c>
      <c r="I181" s="78">
        <f>INDEX('Population Data by Age'!$B$7:$H$10366,MATCH(CONCATENATE('Tabular Pop Data by Age'!$C181,'Tabular Pop Data by Age'!I$7),'Population Data by Age'!$B$7:$B$10366,0),MATCH('Tabular Pop Data by Age'!$C$6,'Population Data by Age'!$B$6:$H$6,0))</f>
        <v>144000</v>
      </c>
      <c r="J181" s="78">
        <f>INDEX('Population Data by Age'!$B$7:$H$10366,MATCH(CONCATENATE('Tabular Pop Data by Age'!$C181,'Tabular Pop Data by Age'!J$7),'Population Data by Age'!$B$7:$B$10366,0),MATCH('Tabular Pop Data by Age'!$C$6,'Population Data by Age'!$B$6:$H$6,0))</f>
        <v>128000</v>
      </c>
      <c r="K181" s="78">
        <f>INDEX('Population Data by Age'!$B$7:$H$10366,MATCH(CONCATENATE('Tabular Pop Data by Age'!$C181,'Tabular Pop Data by Age'!K$7),'Population Data by Age'!$B$7:$B$10366,0),MATCH('Tabular Pop Data by Age'!$C$6,'Population Data by Age'!$B$6:$H$6,0))</f>
        <v>134000</v>
      </c>
      <c r="L181" s="78">
        <f>INDEX('Population Data by Age'!$B$7:$H$10366,MATCH(CONCATENATE('Tabular Pop Data by Age'!$C181,'Tabular Pop Data by Age'!L$7),'Population Data by Age'!$B$7:$B$10366,0),MATCH('Tabular Pop Data by Age'!$C$6,'Population Data by Age'!$B$6:$H$6,0))</f>
        <v>141000</v>
      </c>
      <c r="M181" s="78">
        <f>INDEX('Population Data by Age'!$B$7:$H$10366,MATCH(CONCATENATE('Tabular Pop Data by Age'!$C181,'Tabular Pop Data by Age'!M$7),'Population Data by Age'!$B$7:$B$10366,0),MATCH('Tabular Pop Data by Age'!$C$6,'Population Data by Age'!$B$6:$H$6,0))</f>
        <v>149000</v>
      </c>
      <c r="N181" s="78">
        <f>INDEX('Population Data by Age'!$B$7:$H$10366,MATCH(CONCATENATE('Tabular Pop Data by Age'!$C181,'Tabular Pop Data by Age'!N$7),'Population Data by Age'!$B$7:$B$10366,0),MATCH('Tabular Pop Data by Age'!$C$6,'Population Data by Age'!$B$6:$H$6,0))</f>
        <v>178000</v>
      </c>
      <c r="O181" s="78">
        <f>INDEX('Population Data by Age'!$B$7:$H$10366,MATCH(CONCATENATE('Tabular Pop Data by Age'!$C181,'Tabular Pop Data by Age'!O$7),'Population Data by Age'!$B$7:$B$10366,0),MATCH('Tabular Pop Data by Age'!$C$6,'Population Data by Age'!$B$6:$H$6,0))</f>
        <v>187000</v>
      </c>
      <c r="P181" s="78">
        <f>INDEX('Population Data by Age'!$B$7:$H$10366,MATCH(CONCATENATE('Tabular Pop Data by Age'!$C181,'Tabular Pop Data by Age'!P$7),'Population Data by Age'!$B$7:$B$10366,0),MATCH('Tabular Pop Data by Age'!$C$6,'Population Data by Age'!$B$6:$H$6,0))</f>
        <v>200000</v>
      </c>
      <c r="Q181" s="78">
        <f>INDEX('Population Data by Age'!$B$7:$H$10366,MATCH(CONCATENATE('Tabular Pop Data by Age'!$C181,'Tabular Pop Data by Age'!Q$7),'Population Data by Age'!$B$7:$B$10366,0),MATCH('Tabular Pop Data by Age'!$C$6,'Population Data by Age'!$B$6:$H$6,0))</f>
        <v>209000</v>
      </c>
      <c r="R181" s="78">
        <f>INDEX('Population Data by Age'!$B$7:$H$10366,MATCH(CONCATENATE('Tabular Pop Data by Age'!$C181,'Tabular Pop Data by Age'!R$7),'Population Data by Age'!$B$7:$B$10366,0),MATCH('Tabular Pop Data by Age'!$C$6,'Population Data by Age'!$B$6:$H$6,0))</f>
        <v>212000</v>
      </c>
      <c r="S181" s="78">
        <f>INDEX('Population Data by Age'!$B$7:$H$10366,MATCH(CONCATENATE('Tabular Pop Data by Age'!$C181,'Tabular Pop Data by Age'!S$7),'Population Data by Age'!$B$7:$B$10366,0),MATCH('Tabular Pop Data by Age'!$C$6,'Population Data by Age'!$B$6:$H$6,0))</f>
        <v>224000</v>
      </c>
      <c r="T181" s="78">
        <f>INDEX('Population Data by Age'!$B$7:$H$10366,MATCH(CONCATENATE('Tabular Pop Data by Age'!$C181,'Tabular Pop Data by Age'!T$7),'Population Data by Age'!$B$7:$B$10366,0),MATCH('Tabular Pop Data by Age'!$C$6,'Population Data by Age'!$B$6:$H$6,0))</f>
        <v>222000</v>
      </c>
      <c r="U181" s="78">
        <f>INDEX('Population Data by Age'!$B$7:$H$10366,MATCH(CONCATENATE('Tabular Pop Data by Age'!$C181,'Tabular Pop Data by Age'!U$7),'Population Data by Age'!$B$7:$B$10366,0),MATCH('Tabular Pop Data by Age'!$C$6,'Population Data by Age'!$B$6:$H$6,0))</f>
        <v>235000</v>
      </c>
      <c r="V181" s="78">
        <f>INDEX('Population Data by Age'!$B$7:$H$10366,MATCH(CONCATENATE('Tabular Pop Data by Age'!$C181,'Tabular Pop Data by Age'!V$7),'Population Data by Age'!$B$7:$B$10366,0),MATCH('Tabular Pop Data by Age'!$C$6,'Population Data by Age'!$B$6:$H$6,0))</f>
        <v>198000</v>
      </c>
      <c r="W181" s="78">
        <f>INDEX('Population Data by Age'!$B$7:$H$10366,MATCH(CONCATENATE('Tabular Pop Data by Age'!$C181,'Tabular Pop Data by Age'!W$7),'Population Data by Age'!$B$7:$B$10366,0),MATCH('Tabular Pop Data by Age'!$C$6,'Population Data by Age'!$B$6:$H$6,0))</f>
        <v>204000</v>
      </c>
      <c r="X181" s="78">
        <f>INDEX('Population Data by Age'!$B$7:$H$10366,MATCH(CONCATENATE('Tabular Pop Data by Age'!$C181,'Tabular Pop Data by Age'!X$7),'Population Data by Age'!$B$7:$B$10366,0),MATCH('Tabular Pop Data by Age'!$C$6,'Population Data by Age'!$B$6:$H$6,0))</f>
        <v>174000</v>
      </c>
      <c r="Y181" s="78">
        <f>INDEX('Population Data by Age'!$B$7:$H$10366,MATCH(CONCATENATE('Tabular Pop Data by Age'!$C181,'Tabular Pop Data by Age'!Y$7),'Population Data by Age'!$B$7:$B$10366,0),MATCH('Tabular Pop Data by Age'!$C$6,'Population Data by Age'!$B$6:$H$6,0))</f>
        <v>172000</v>
      </c>
      <c r="Z181" s="78">
        <f>INDEX('Population Data by Age'!$B$7:$H$10366,MATCH(CONCATENATE('Tabular Pop Data by Age'!$C181,'Tabular Pop Data by Age'!Z$7),'Population Data by Age'!$B$7:$B$10366,0),MATCH('Tabular Pop Data by Age'!$C$6,'Population Data by Age'!$B$6:$H$6,0))</f>
        <v>186000</v>
      </c>
      <c r="AA181" s="78">
        <f>INDEX('Population Data by Age'!$B$7:$H$10366,MATCH(CONCATENATE('Tabular Pop Data by Age'!$C181,'Tabular Pop Data by Age'!AA$7),'Population Data by Age'!$B$7:$B$10366,0),MATCH('Tabular Pop Data by Age'!$C$6,'Population Data by Age'!$B$6:$H$6,0))</f>
        <v>175000</v>
      </c>
      <c r="AB181" s="78">
        <f>INDEX('Population Data by Age'!$B$7:$H$10366,MATCH(CONCATENATE('Tabular Pop Data by Age'!$C181,'Tabular Pop Data by Age'!AB$7),'Population Data by Age'!$B$7:$B$10366,0),MATCH('Tabular Pop Data by Age'!$C$6,'Population Data by Age'!$B$6:$H$6,0))</f>
        <v>192000</v>
      </c>
      <c r="AC181" s="78">
        <f>INDEX('Population Data by Age'!$B$7:$H$10366,MATCH(CONCATENATE('Tabular Pop Data by Age'!$C181,'Tabular Pop Data by Age'!AC$7),'Population Data by Age'!$B$7:$B$10366,0),MATCH('Tabular Pop Data by Age'!$C$6,'Population Data by Age'!$B$6:$H$6,0))</f>
        <v>169000</v>
      </c>
      <c r="AD181" s="78">
        <f>INDEX('Population Data by Age'!$B$7:$H$10366,MATCH(CONCATENATE('Tabular Pop Data by Age'!$C181,'Tabular Pop Data by Age'!AD$7),'Population Data by Age'!$B$7:$B$10366,0),MATCH('Tabular Pop Data by Age'!$C$6,'Population Data by Age'!$B$6:$H$6,0))</f>
        <v>184000</v>
      </c>
      <c r="AE181" s="78">
        <f>INDEX('Population Data by Age'!$B$7:$H$10366,MATCH(CONCATENATE('Tabular Pop Data by Age'!$C181,'Tabular Pop Data by Age'!AE$7),'Population Data by Age'!$B$7:$B$10366,0),MATCH('Tabular Pop Data by Age'!$C$6,'Population Data by Age'!$B$6:$H$6,0))</f>
        <v>149000</v>
      </c>
      <c r="AF181" s="78">
        <f>INDEX('Population Data by Age'!$B$7:$H$10366,MATCH(CONCATENATE('Tabular Pop Data by Age'!$C181,'Tabular Pop Data by Age'!AF$7),'Population Data by Age'!$B$7:$B$10366,0),MATCH('Tabular Pop Data by Age'!$C$6,'Population Data by Age'!$B$6:$H$6,0))</f>
        <v>138000</v>
      </c>
      <c r="AG181" s="78">
        <f>INDEX('Population Data by Age'!$B$7:$H$10366,MATCH(CONCATENATE('Tabular Pop Data by Age'!$C181,'Tabular Pop Data by Age'!AG$7),'Population Data by Age'!$B$7:$B$10366,0),MATCH('Tabular Pop Data by Age'!$C$6,'Population Data by Age'!$B$6:$H$6,0))</f>
        <v>98000</v>
      </c>
      <c r="AH181" s="78">
        <f>INDEX('Population Data by Age'!$B$7:$H$10366,MATCH(CONCATENATE('Tabular Pop Data by Age'!$C181,'Tabular Pop Data by Age'!AH$7),'Population Data by Age'!$B$7:$B$10366,0),MATCH('Tabular Pop Data by Age'!$C$6,'Population Data by Age'!$B$6:$H$6,0))</f>
        <v>102000</v>
      </c>
      <c r="AI181" s="78">
        <f>INDEX('Population Data by Age'!$B$7:$H$10366,MATCH(CONCATENATE('Tabular Pop Data by Age'!$C181,'Tabular Pop Data by Age'!AI$7),'Population Data by Age'!$B$7:$B$10366,0),MATCH('Tabular Pop Data by Age'!$C$6,'Population Data by Age'!$B$6:$H$6,0))</f>
        <v>60000</v>
      </c>
      <c r="AJ181" s="78">
        <f>INDEX('Population Data by Age'!$B$7:$H$10366,MATCH(CONCATENATE('Tabular Pop Data by Age'!$C181,'Tabular Pop Data by Age'!AJ$7),'Population Data by Age'!$B$7:$B$10366,0),MATCH('Tabular Pop Data by Age'!$C$6,'Population Data by Age'!$B$6:$H$6,0))</f>
        <v>124000</v>
      </c>
      <c r="AK181" s="78">
        <f>INDEX('Population Data by Age'!$B$7:$H$10366,MATCH(CONCATENATE('Tabular Pop Data by Age'!$C181,'Tabular Pop Data by Age'!AK$7),'Population Data by Age'!$B$7:$B$10366,0),MATCH('Tabular Pop Data by Age'!$C$6,'Population Data by Age'!$B$6:$H$6,0))</f>
        <v>55000</v>
      </c>
      <c r="AL181" s="78">
        <f>INDEX('Population Data by Age'!$B$7:$H$10366,MATCH(CONCATENATE('Tabular Pop Data by Age'!$C181,'Tabular Pop Data by Age'!AL$7),'Population Data by Age'!$B$7:$B$10366,0),MATCH('Tabular Pop Data by Age'!$C$6,'Population Data by Age'!$B$6:$H$6,0))</f>
        <v>2795000</v>
      </c>
      <c r="AM181" s="78">
        <f>INDEX('Population Data by Age'!$B$7:$H$10366,MATCH(CONCATENATE('Tabular Pop Data by Age'!$C181,'Tabular Pop Data by Age'!AM$7),'Population Data by Age'!$B$7:$B$10366,0),MATCH('Tabular Pop Data by Age'!$C$6,'Population Data by Age'!$B$6:$H$6,0))</f>
        <v>2653000</v>
      </c>
      <c r="AN181" s="78">
        <f>INDEX('Population Data by Age'!$B$7:$H$10366,MATCH(CONCATENATE('Tabular Pop Data by Age'!$C181,'Tabular Pop Data by Age'!AN$7),'Population Data by Age'!$B$7:$B$10366,0),MATCH('Tabular Pop Data by Age'!$C$6,'Population Data by Age'!$B$6:$H$6,0))</f>
        <v>5448000</v>
      </c>
      <c r="AO181" s="78">
        <f>INDEX('Population Data by Age'!$B$7:$H$10366,MATCH(CONCATENATE('Tabular Pop Data by Age'!$C181,'Tabular Pop Data by Age'!AO$7),'Population Data by Age'!$B$7:$B$10366,0),MATCH('Tabular Pop Data by Age'!$C$6,'Population Data by Age'!$B$6:$H$6,0))</f>
        <v>0</v>
      </c>
      <c r="AP181" s="79">
        <f t="shared" si="51"/>
        <v>283000</v>
      </c>
      <c r="AQ181" s="79">
        <f t="shared" si="52"/>
        <v>282000</v>
      </c>
      <c r="AR181" s="79">
        <f t="shared" si="53"/>
        <v>282000</v>
      </c>
      <c r="AS181" s="79">
        <f t="shared" si="54"/>
        <v>262000</v>
      </c>
      <c r="AT181" s="79">
        <f t="shared" si="55"/>
        <v>290000</v>
      </c>
      <c r="AU181" s="79">
        <f t="shared" si="56"/>
        <v>365000</v>
      </c>
      <c r="AV181" s="79">
        <f t="shared" si="57"/>
        <v>409000</v>
      </c>
      <c r="AW181" s="79">
        <f t="shared" si="58"/>
        <v>436000</v>
      </c>
      <c r="AX181" s="79">
        <f t="shared" si="59"/>
        <v>457000</v>
      </c>
      <c r="AY181" s="79">
        <f t="shared" si="60"/>
        <v>402000</v>
      </c>
      <c r="AZ181" s="79">
        <f t="shared" si="61"/>
        <v>346000</v>
      </c>
      <c r="BA181" s="79">
        <f t="shared" si="62"/>
        <v>361000</v>
      </c>
      <c r="BB181" s="79">
        <f t="shared" si="63"/>
        <v>361000</v>
      </c>
      <c r="BC181" s="79">
        <f t="shared" si="64"/>
        <v>333000</v>
      </c>
      <c r="BD181" s="79">
        <f t="shared" si="65"/>
        <v>236000</v>
      </c>
      <c r="BE181" s="79">
        <f t="shared" si="66"/>
        <v>162000</v>
      </c>
      <c r="BF181" s="79">
        <f t="shared" si="67"/>
        <v>179000</v>
      </c>
    </row>
    <row r="182" spans="1:58" x14ac:dyDescent="0.25">
      <c r="A182" s="138" t="s">
        <v>1195</v>
      </c>
      <c r="B182" t="s">
        <v>627</v>
      </c>
      <c r="C182" t="s">
        <v>132</v>
      </c>
      <c r="D182" s="78">
        <f>INDEX('Population Data by Age'!$B$7:$H$10366,MATCH(CONCATENATE('Tabular Pop Data by Age'!$C182,'Tabular Pop Data by Age'!D$7),'Population Data by Age'!$B$7:$B$10366,0),MATCH('Tabular Pop Data by Age'!$C$6,'Population Data by Age'!$B$6:$H$6,0))</f>
        <v>49000</v>
      </c>
      <c r="E182" s="78">
        <f>INDEX('Population Data by Age'!$B$7:$H$10366,MATCH(CONCATENATE('Tabular Pop Data by Age'!$C182,'Tabular Pop Data by Age'!E$7),'Population Data by Age'!$B$7:$B$10366,0),MATCH('Tabular Pop Data by Age'!$C$6,'Population Data by Age'!$B$6:$H$6,0))</f>
        <v>52000</v>
      </c>
      <c r="F182" s="78">
        <f>INDEX('Population Data by Age'!$B$7:$H$10366,MATCH(CONCATENATE('Tabular Pop Data by Age'!$C182,'Tabular Pop Data by Age'!F$7),'Population Data by Age'!$B$7:$B$10366,0),MATCH('Tabular Pop Data by Age'!$C$6,'Population Data by Age'!$B$6:$H$6,0))</f>
        <v>53000</v>
      </c>
      <c r="G182" s="78">
        <f>INDEX('Population Data by Age'!$B$7:$H$10366,MATCH(CONCATENATE('Tabular Pop Data by Age'!$C182,'Tabular Pop Data by Age'!G$7),'Population Data by Age'!$B$7:$B$10366,0),MATCH('Tabular Pop Data by Age'!$C$6,'Population Data by Age'!$B$6:$H$6,0))</f>
        <v>56000</v>
      </c>
      <c r="H182" s="78">
        <f>INDEX('Population Data by Age'!$B$7:$H$10366,MATCH(CONCATENATE('Tabular Pop Data by Age'!$C182,'Tabular Pop Data by Age'!H$7),'Population Data by Age'!$B$7:$B$10366,0),MATCH('Tabular Pop Data by Age'!$C$6,'Population Data by Age'!$B$6:$H$6,0))</f>
        <v>50000</v>
      </c>
      <c r="I182" s="78">
        <f>INDEX('Population Data by Age'!$B$7:$H$10366,MATCH(CONCATENATE('Tabular Pop Data by Age'!$C182,'Tabular Pop Data by Age'!I$7),'Population Data by Age'!$B$7:$B$10366,0),MATCH('Tabular Pop Data by Age'!$C$6,'Population Data by Age'!$B$6:$H$6,0))</f>
        <v>54000</v>
      </c>
      <c r="J182" s="78">
        <f>INDEX('Population Data by Age'!$B$7:$H$10366,MATCH(CONCATENATE('Tabular Pop Data by Age'!$C182,'Tabular Pop Data by Age'!J$7),'Population Data by Age'!$B$7:$B$10366,0),MATCH('Tabular Pop Data by Age'!$C$6,'Population Data by Age'!$B$6:$H$6,0))</f>
        <v>44000</v>
      </c>
      <c r="K182" s="78">
        <f>INDEX('Population Data by Age'!$B$7:$H$10366,MATCH(CONCATENATE('Tabular Pop Data by Age'!$C182,'Tabular Pop Data by Age'!K$7),'Population Data by Age'!$B$7:$B$10366,0),MATCH('Tabular Pop Data by Age'!$C$6,'Population Data by Age'!$B$6:$H$6,0))</f>
        <v>47000</v>
      </c>
      <c r="L182" s="78">
        <f>INDEX('Population Data by Age'!$B$7:$H$10366,MATCH(CONCATENATE('Tabular Pop Data by Age'!$C182,'Tabular Pop Data by Age'!L$7),'Population Data by Age'!$B$7:$B$10366,0),MATCH('Tabular Pop Data by Age'!$C$6,'Population Data by Age'!$B$6:$H$6,0))</f>
        <v>46000</v>
      </c>
      <c r="M182" s="78">
        <f>INDEX('Population Data by Age'!$B$7:$H$10366,MATCH(CONCATENATE('Tabular Pop Data by Age'!$C182,'Tabular Pop Data by Age'!M$7),'Population Data by Age'!$B$7:$B$10366,0),MATCH('Tabular Pop Data by Age'!$C$6,'Population Data by Age'!$B$6:$H$6,0))</f>
        <v>50000</v>
      </c>
      <c r="N182" s="78">
        <f>INDEX('Population Data by Age'!$B$7:$H$10366,MATCH(CONCATENATE('Tabular Pop Data by Age'!$C182,'Tabular Pop Data by Age'!N$7),'Population Data by Age'!$B$7:$B$10366,0),MATCH('Tabular Pop Data by Age'!$C$6,'Population Data by Age'!$B$6:$H$6,0))</f>
        <v>53000</v>
      </c>
      <c r="O182" s="78">
        <f>INDEX('Population Data by Age'!$B$7:$H$10366,MATCH(CONCATENATE('Tabular Pop Data by Age'!$C182,'Tabular Pop Data by Age'!O$7),'Population Data by Age'!$B$7:$B$10366,0),MATCH('Tabular Pop Data by Age'!$C$6,'Population Data by Age'!$B$6:$H$6,0))</f>
        <v>56000</v>
      </c>
      <c r="P182" s="78">
        <f>INDEX('Population Data by Age'!$B$7:$H$10366,MATCH(CONCATENATE('Tabular Pop Data by Age'!$C182,'Tabular Pop Data by Age'!P$7),'Population Data by Age'!$B$7:$B$10366,0),MATCH('Tabular Pop Data by Age'!$C$6,'Population Data by Age'!$B$6:$H$6,0))</f>
        <v>64000</v>
      </c>
      <c r="Q182" s="78">
        <f>INDEX('Population Data by Age'!$B$7:$H$10366,MATCH(CONCATENATE('Tabular Pop Data by Age'!$C182,'Tabular Pop Data by Age'!Q$7),'Population Data by Age'!$B$7:$B$10366,0),MATCH('Tabular Pop Data by Age'!$C$6,'Population Data by Age'!$B$6:$H$6,0))</f>
        <v>69000</v>
      </c>
      <c r="R182" s="78">
        <f>INDEX('Population Data by Age'!$B$7:$H$10366,MATCH(CONCATENATE('Tabular Pop Data by Age'!$C182,'Tabular Pop Data by Age'!R$7),'Population Data by Age'!$B$7:$B$10366,0),MATCH('Tabular Pop Data by Age'!$C$6,'Population Data by Age'!$B$6:$H$6,0))</f>
        <v>71000</v>
      </c>
      <c r="S182" s="78">
        <f>INDEX('Population Data by Age'!$B$7:$H$10366,MATCH(CONCATENATE('Tabular Pop Data by Age'!$C182,'Tabular Pop Data by Age'!S$7),'Population Data by Age'!$B$7:$B$10366,0),MATCH('Tabular Pop Data by Age'!$C$6,'Population Data by Age'!$B$6:$H$6,0))</f>
        <v>78000</v>
      </c>
      <c r="T182" s="78">
        <f>INDEX('Population Data by Age'!$B$7:$H$10366,MATCH(CONCATENATE('Tabular Pop Data by Age'!$C182,'Tabular Pop Data by Age'!T$7),'Population Data by Age'!$B$7:$B$10366,0),MATCH('Tabular Pop Data by Age'!$C$6,'Population Data by Age'!$B$6:$H$6,0))</f>
        <v>74000</v>
      </c>
      <c r="U182" s="78">
        <f>INDEX('Population Data by Age'!$B$7:$H$10366,MATCH(CONCATENATE('Tabular Pop Data by Age'!$C182,'Tabular Pop Data by Age'!U$7),'Population Data by Age'!$B$7:$B$10366,0),MATCH('Tabular Pop Data by Age'!$C$6,'Population Data by Age'!$B$6:$H$6,0))</f>
        <v>83000</v>
      </c>
      <c r="V182" s="78">
        <f>INDEX('Population Data by Age'!$B$7:$H$10366,MATCH(CONCATENATE('Tabular Pop Data by Age'!$C182,'Tabular Pop Data by Age'!V$7),'Population Data by Age'!$B$7:$B$10366,0),MATCH('Tabular Pop Data by Age'!$C$6,'Population Data by Age'!$B$6:$H$6,0))</f>
        <v>69000</v>
      </c>
      <c r="W182" s="78">
        <f>INDEX('Population Data by Age'!$B$7:$H$10366,MATCH(CONCATENATE('Tabular Pop Data by Age'!$C182,'Tabular Pop Data by Age'!W$7),'Population Data by Age'!$B$7:$B$10366,0),MATCH('Tabular Pop Data by Age'!$C$6,'Population Data by Age'!$B$6:$H$6,0))</f>
        <v>77000</v>
      </c>
      <c r="X182" s="78">
        <f>INDEX('Population Data by Age'!$B$7:$H$10366,MATCH(CONCATENATE('Tabular Pop Data by Age'!$C182,'Tabular Pop Data by Age'!X$7),'Population Data by Age'!$B$7:$B$10366,0),MATCH('Tabular Pop Data by Age'!$C$6,'Population Data by Age'!$B$6:$H$6,0))</f>
        <v>74000</v>
      </c>
      <c r="Y182" s="78">
        <f>INDEX('Population Data by Age'!$B$7:$H$10366,MATCH(CONCATENATE('Tabular Pop Data by Age'!$C182,'Tabular Pop Data by Age'!Y$7),'Population Data by Age'!$B$7:$B$10366,0),MATCH('Tabular Pop Data by Age'!$C$6,'Population Data by Age'!$B$6:$H$6,0))</f>
        <v>76000</v>
      </c>
      <c r="Z182" s="78">
        <f>INDEX('Population Data by Age'!$B$7:$H$10366,MATCH(CONCATENATE('Tabular Pop Data by Age'!$C182,'Tabular Pop Data by Age'!Z$7),'Population Data by Age'!$B$7:$B$10366,0),MATCH('Tabular Pop Data by Age'!$C$6,'Population Data by Age'!$B$6:$H$6,0))</f>
        <v>74000</v>
      </c>
      <c r="AA182" s="78">
        <f>INDEX('Population Data by Age'!$B$7:$H$10366,MATCH(CONCATENATE('Tabular Pop Data by Age'!$C182,'Tabular Pop Data by Age'!AA$7),'Population Data by Age'!$B$7:$B$10366,0),MATCH('Tabular Pop Data by Age'!$C$6,'Population Data by Age'!$B$6:$H$6,0))</f>
        <v>75000</v>
      </c>
      <c r="AB182" s="78">
        <f>INDEX('Population Data by Age'!$B$7:$H$10366,MATCH(CONCATENATE('Tabular Pop Data by Age'!$C182,'Tabular Pop Data by Age'!AB$7),'Population Data by Age'!$B$7:$B$10366,0),MATCH('Tabular Pop Data by Age'!$C$6,'Population Data by Age'!$B$6:$H$6,0))</f>
        <v>72000</v>
      </c>
      <c r="AC182" s="78">
        <f>INDEX('Population Data by Age'!$B$7:$H$10366,MATCH(CONCATENATE('Tabular Pop Data by Age'!$C182,'Tabular Pop Data by Age'!AC$7),'Population Data by Age'!$B$7:$B$10366,0),MATCH('Tabular Pop Data by Age'!$C$6,'Population Data by Age'!$B$6:$H$6,0))</f>
        <v>72000</v>
      </c>
      <c r="AD182" s="78">
        <f>INDEX('Population Data by Age'!$B$7:$H$10366,MATCH(CONCATENATE('Tabular Pop Data by Age'!$C182,'Tabular Pop Data by Age'!AD$7),'Population Data by Age'!$B$7:$B$10366,0),MATCH('Tabular Pop Data by Age'!$C$6,'Population Data by Age'!$B$6:$H$6,0))</f>
        <v>70000</v>
      </c>
      <c r="AE182" s="78">
        <f>INDEX('Population Data by Age'!$B$7:$H$10366,MATCH(CONCATENATE('Tabular Pop Data by Age'!$C182,'Tabular Pop Data by Age'!AE$7),'Population Data by Age'!$B$7:$B$10366,0),MATCH('Tabular Pop Data by Age'!$C$6,'Population Data by Age'!$B$6:$H$6,0))</f>
        <v>68000</v>
      </c>
      <c r="AF182" s="78">
        <f>INDEX('Population Data by Age'!$B$7:$H$10366,MATCH(CONCATENATE('Tabular Pop Data by Age'!$C182,'Tabular Pop Data by Age'!AF$7),'Population Data by Age'!$B$7:$B$10366,0),MATCH('Tabular Pop Data by Age'!$C$6,'Population Data by Age'!$B$6:$H$6,0))</f>
        <v>52000</v>
      </c>
      <c r="AG182" s="78">
        <f>INDEX('Population Data by Age'!$B$7:$H$10366,MATCH(CONCATENATE('Tabular Pop Data by Age'!$C182,'Tabular Pop Data by Age'!AG$7),'Population Data by Age'!$B$7:$B$10366,0),MATCH('Tabular Pop Data by Age'!$C$6,'Population Data by Age'!$B$6:$H$6,0))</f>
        <v>45000</v>
      </c>
      <c r="AH182" s="78">
        <f>INDEX('Population Data by Age'!$B$7:$H$10366,MATCH(CONCATENATE('Tabular Pop Data by Age'!$C182,'Tabular Pop Data by Age'!AH$7),'Population Data by Age'!$B$7:$B$10366,0),MATCH('Tabular Pop Data by Age'!$C$6,'Population Data by Age'!$B$6:$H$6,0))</f>
        <v>46000</v>
      </c>
      <c r="AI182" s="78">
        <f>INDEX('Population Data by Age'!$B$7:$H$10366,MATCH(CONCATENATE('Tabular Pop Data by Age'!$C182,'Tabular Pop Data by Age'!AI$7),'Population Data by Age'!$B$7:$B$10366,0),MATCH('Tabular Pop Data by Age'!$C$6,'Population Data by Age'!$B$6:$H$6,0))</f>
        <v>34000</v>
      </c>
      <c r="AJ182" s="78">
        <f>INDEX('Population Data by Age'!$B$7:$H$10366,MATCH(CONCATENATE('Tabular Pop Data by Age'!$C182,'Tabular Pop Data by Age'!AJ$7),'Population Data by Age'!$B$7:$B$10366,0),MATCH('Tabular Pop Data by Age'!$C$6,'Population Data by Age'!$B$6:$H$6,0))</f>
        <v>76000</v>
      </c>
      <c r="AK182" s="78">
        <f>INDEX('Population Data by Age'!$B$7:$H$10366,MATCH(CONCATENATE('Tabular Pop Data by Age'!$C182,'Tabular Pop Data by Age'!AK$7),'Population Data by Age'!$B$7:$B$10366,0),MATCH('Tabular Pop Data by Age'!$C$6,'Population Data by Age'!$B$6:$H$6,0))</f>
        <v>38000</v>
      </c>
      <c r="AL182" s="78">
        <f>INDEX('Population Data by Age'!$B$7:$H$10366,MATCH(CONCATENATE('Tabular Pop Data by Age'!$C182,'Tabular Pop Data by Age'!AL$7),'Population Data by Age'!$B$7:$B$10366,0),MATCH('Tabular Pop Data by Age'!$C$6,'Population Data by Age'!$B$6:$H$6,0))</f>
        <v>1038000</v>
      </c>
      <c r="AM182" s="78">
        <f>INDEX('Population Data by Age'!$B$7:$H$10366,MATCH(CONCATENATE('Tabular Pop Data by Age'!$C182,'Tabular Pop Data by Age'!AM$7),'Population Data by Age'!$B$7:$B$10366,0),MATCH('Tabular Pop Data by Age'!$C$6,'Population Data by Age'!$B$6:$H$6,0))</f>
        <v>1029000</v>
      </c>
      <c r="AN182" s="78">
        <f>INDEX('Population Data by Age'!$B$7:$H$10366,MATCH(CONCATENATE('Tabular Pop Data by Age'!$C182,'Tabular Pop Data by Age'!AN$7),'Population Data by Age'!$B$7:$B$10366,0),MATCH('Tabular Pop Data by Age'!$C$6,'Population Data by Age'!$B$6:$H$6,0))</f>
        <v>2067000</v>
      </c>
      <c r="AO182" s="78">
        <f>INDEX('Population Data by Age'!$B$7:$H$10366,MATCH(CONCATENATE('Tabular Pop Data by Age'!$C182,'Tabular Pop Data by Age'!AO$7),'Population Data by Age'!$B$7:$B$10366,0),MATCH('Tabular Pop Data by Age'!$C$6,'Population Data by Age'!$B$6:$H$6,0))</f>
        <v>0</v>
      </c>
      <c r="AP182" s="79">
        <f t="shared" si="51"/>
        <v>101000</v>
      </c>
      <c r="AQ182" s="79">
        <f t="shared" si="52"/>
        <v>109000</v>
      </c>
      <c r="AR182" s="79">
        <f t="shared" si="53"/>
        <v>104000</v>
      </c>
      <c r="AS182" s="79">
        <f t="shared" si="54"/>
        <v>91000</v>
      </c>
      <c r="AT182" s="79">
        <f t="shared" si="55"/>
        <v>96000</v>
      </c>
      <c r="AU182" s="79">
        <f t="shared" si="56"/>
        <v>109000</v>
      </c>
      <c r="AV182" s="79">
        <f t="shared" si="57"/>
        <v>133000</v>
      </c>
      <c r="AW182" s="79">
        <f t="shared" si="58"/>
        <v>149000</v>
      </c>
      <c r="AX182" s="79">
        <f t="shared" si="59"/>
        <v>157000</v>
      </c>
      <c r="AY182" s="79">
        <f t="shared" si="60"/>
        <v>146000</v>
      </c>
      <c r="AZ182" s="79">
        <f t="shared" si="61"/>
        <v>150000</v>
      </c>
      <c r="BA182" s="79">
        <f t="shared" si="62"/>
        <v>149000</v>
      </c>
      <c r="BB182" s="79">
        <f t="shared" si="63"/>
        <v>144000</v>
      </c>
      <c r="BC182" s="79">
        <f t="shared" si="64"/>
        <v>138000</v>
      </c>
      <c r="BD182" s="79">
        <f t="shared" si="65"/>
        <v>97000</v>
      </c>
      <c r="BE182" s="79">
        <f t="shared" si="66"/>
        <v>80000</v>
      </c>
      <c r="BF182" s="79">
        <f t="shared" si="67"/>
        <v>114000</v>
      </c>
    </row>
    <row r="183" spans="1:58" x14ac:dyDescent="0.25">
      <c r="A183" s="138" t="s">
        <v>1195</v>
      </c>
      <c r="B183" t="s">
        <v>255</v>
      </c>
      <c r="C183" t="s">
        <v>128</v>
      </c>
      <c r="D183" s="78">
        <f>INDEX('Population Data by Age'!$B$7:$H$10366,MATCH(CONCATENATE('Tabular Pop Data by Age'!$C183,'Tabular Pop Data by Age'!D$7),'Population Data by Age'!$B$7:$B$10366,0),MATCH('Tabular Pop Data by Age'!$C$6,'Population Data by Age'!$B$6:$H$6,0))</f>
        <v>50000</v>
      </c>
      <c r="E183" s="78">
        <f>INDEX('Population Data by Age'!$B$7:$H$10366,MATCH(CONCATENATE('Tabular Pop Data by Age'!$C183,'Tabular Pop Data by Age'!E$7),'Population Data by Age'!$B$7:$B$10366,0),MATCH('Tabular Pop Data by Age'!$C$6,'Population Data by Age'!$B$6:$H$6,0))</f>
        <v>53000</v>
      </c>
      <c r="F183" s="78">
        <f>INDEX('Population Data by Age'!$B$7:$H$10366,MATCH(CONCATENATE('Tabular Pop Data by Age'!$C183,'Tabular Pop Data by Age'!F$7),'Population Data by Age'!$B$7:$B$10366,0),MATCH('Tabular Pop Data by Age'!$C$6,'Population Data by Age'!$B$6:$H$6,0))</f>
        <v>45000</v>
      </c>
      <c r="G183" s="78">
        <f>INDEX('Population Data by Age'!$B$7:$H$10366,MATCH(CONCATENATE('Tabular Pop Data by Age'!$C183,'Tabular Pop Data by Age'!G$7),'Population Data by Age'!$B$7:$B$10366,0),MATCH('Tabular Pop Data by Age'!$C$6,'Population Data by Age'!$B$6:$H$6,0))</f>
        <v>48000</v>
      </c>
      <c r="H183" s="78">
        <f>INDEX('Population Data by Age'!$B$7:$H$10366,MATCH(CONCATENATE('Tabular Pop Data by Age'!$C183,'Tabular Pop Data by Age'!H$7),'Population Data by Age'!$B$7:$B$10366,0),MATCH('Tabular Pop Data by Age'!$C$6,'Population Data by Age'!$B$6:$H$6,0))</f>
        <v>38000</v>
      </c>
      <c r="I183" s="78">
        <f>INDEX('Population Data by Age'!$B$7:$H$10366,MATCH(CONCATENATE('Tabular Pop Data by Age'!$C183,'Tabular Pop Data by Age'!I$7),'Population Data by Age'!$B$7:$B$10366,0),MATCH('Tabular Pop Data by Age'!$C$6,'Population Data by Age'!$B$6:$H$6,0))</f>
        <v>41000</v>
      </c>
      <c r="J183" s="78">
        <f>INDEX('Population Data by Age'!$B$7:$H$10366,MATCH(CONCATENATE('Tabular Pop Data by Age'!$C183,'Tabular Pop Data by Age'!J$7),'Population Data by Age'!$B$7:$B$10366,0),MATCH('Tabular Pop Data by Age'!$C$6,'Population Data by Age'!$B$6:$H$6,0))</f>
        <v>34000</v>
      </c>
      <c r="K183" s="78">
        <f>INDEX('Population Data by Age'!$B$7:$H$10366,MATCH(CONCATENATE('Tabular Pop Data by Age'!$C183,'Tabular Pop Data by Age'!K$7),'Population Data by Age'!$B$7:$B$10366,0),MATCH('Tabular Pop Data by Age'!$C$6,'Population Data by Age'!$B$6:$H$6,0))</f>
        <v>36000</v>
      </c>
      <c r="L183" s="78">
        <f>INDEX('Population Data by Age'!$B$7:$H$10366,MATCH(CONCATENATE('Tabular Pop Data by Age'!$C183,'Tabular Pop Data by Age'!L$7),'Population Data by Age'!$B$7:$B$10366,0),MATCH('Tabular Pop Data by Age'!$C$6,'Population Data by Age'!$B$6:$H$6,0))</f>
        <v>29000</v>
      </c>
      <c r="M183" s="78">
        <f>INDEX('Population Data by Age'!$B$7:$H$10366,MATCH(CONCATENATE('Tabular Pop Data by Age'!$C183,'Tabular Pop Data by Age'!M$7),'Population Data by Age'!$B$7:$B$10366,0),MATCH('Tabular Pop Data by Age'!$C$6,'Population Data by Age'!$B$6:$H$6,0))</f>
        <v>32000</v>
      </c>
      <c r="N183" s="78">
        <f>INDEX('Population Data by Age'!$B$7:$H$10366,MATCH(CONCATENATE('Tabular Pop Data by Age'!$C183,'Tabular Pop Data by Age'!N$7),'Population Data by Age'!$B$7:$B$10366,0),MATCH('Tabular Pop Data by Age'!$C$6,'Population Data by Age'!$B$6:$H$6,0))</f>
        <v>25000</v>
      </c>
      <c r="O183" s="78">
        <f>INDEX('Population Data by Age'!$B$7:$H$10366,MATCH(CONCATENATE('Tabular Pop Data by Age'!$C183,'Tabular Pop Data by Age'!O$7),'Population Data by Age'!$B$7:$B$10366,0),MATCH('Tabular Pop Data by Age'!$C$6,'Population Data by Age'!$B$6:$H$6,0))</f>
        <v>26000</v>
      </c>
      <c r="P183" s="78">
        <f>INDEX('Population Data by Age'!$B$7:$H$10366,MATCH(CONCATENATE('Tabular Pop Data by Age'!$C183,'Tabular Pop Data by Age'!P$7),'Population Data by Age'!$B$7:$B$10366,0),MATCH('Tabular Pop Data by Age'!$C$6,'Population Data by Age'!$B$6:$H$6,0))</f>
        <v>21000</v>
      </c>
      <c r="Q183" s="78">
        <f>INDEX('Population Data by Age'!$B$7:$H$10366,MATCH(CONCATENATE('Tabular Pop Data by Age'!$C183,'Tabular Pop Data by Age'!Q$7),'Population Data by Age'!$B$7:$B$10366,0),MATCH('Tabular Pop Data by Age'!$C$6,'Population Data by Age'!$B$6:$H$6,0))</f>
        <v>21000</v>
      </c>
      <c r="R183" s="78">
        <f>INDEX('Population Data by Age'!$B$7:$H$10366,MATCH(CONCATENATE('Tabular Pop Data by Age'!$C183,'Tabular Pop Data by Age'!R$7),'Population Data by Age'!$B$7:$B$10366,0),MATCH('Tabular Pop Data by Age'!$C$6,'Population Data by Age'!$B$6:$H$6,0))</f>
        <v>20000</v>
      </c>
      <c r="S183" s="78">
        <f>INDEX('Population Data by Age'!$B$7:$H$10366,MATCH(CONCATENATE('Tabular Pop Data by Age'!$C183,'Tabular Pop Data by Age'!S$7),'Population Data by Age'!$B$7:$B$10366,0),MATCH('Tabular Pop Data by Age'!$C$6,'Population Data by Age'!$B$6:$H$6,0))</f>
        <v>19000</v>
      </c>
      <c r="T183" s="78">
        <f>INDEX('Population Data by Age'!$B$7:$H$10366,MATCH(CONCATENATE('Tabular Pop Data by Age'!$C183,'Tabular Pop Data by Age'!T$7),'Population Data by Age'!$B$7:$B$10366,0),MATCH('Tabular Pop Data by Age'!$C$6,'Population Data by Age'!$B$6:$H$6,0))</f>
        <v>19000</v>
      </c>
      <c r="U183" s="78">
        <f>INDEX('Population Data by Age'!$B$7:$H$10366,MATCH(CONCATENATE('Tabular Pop Data by Age'!$C183,'Tabular Pop Data by Age'!U$7),'Population Data by Age'!$B$7:$B$10366,0),MATCH('Tabular Pop Data by Age'!$C$6,'Population Data by Age'!$B$6:$H$6,0))</f>
        <v>18000</v>
      </c>
      <c r="V183" s="78">
        <f>INDEX('Population Data by Age'!$B$7:$H$10366,MATCH(CONCATENATE('Tabular Pop Data by Age'!$C183,'Tabular Pop Data by Age'!V$7),'Population Data by Age'!$B$7:$B$10366,0),MATCH('Tabular Pop Data by Age'!$C$6,'Population Data by Age'!$B$6:$H$6,0))</f>
        <v>16000</v>
      </c>
      <c r="W183" s="78">
        <f>INDEX('Population Data by Age'!$B$7:$H$10366,MATCH(CONCATENATE('Tabular Pop Data by Age'!$C183,'Tabular Pop Data by Age'!W$7),'Population Data by Age'!$B$7:$B$10366,0),MATCH('Tabular Pop Data by Age'!$C$6,'Population Data by Age'!$B$6:$H$6,0))</f>
        <v>16000</v>
      </c>
      <c r="X183" s="78">
        <f>INDEX('Population Data by Age'!$B$7:$H$10366,MATCH(CONCATENATE('Tabular Pop Data by Age'!$C183,'Tabular Pop Data by Age'!X$7),'Population Data by Age'!$B$7:$B$10366,0),MATCH('Tabular Pop Data by Age'!$C$6,'Population Data by Age'!$B$6:$H$6,0))</f>
        <v>11000</v>
      </c>
      <c r="Y183" s="78">
        <f>INDEX('Population Data by Age'!$B$7:$H$10366,MATCH(CONCATENATE('Tabular Pop Data by Age'!$C183,'Tabular Pop Data by Age'!Y$7),'Population Data by Age'!$B$7:$B$10366,0),MATCH('Tabular Pop Data by Age'!$C$6,'Population Data by Age'!$B$6:$H$6,0))</f>
        <v>11000</v>
      </c>
      <c r="Z183" s="78">
        <f>INDEX('Population Data by Age'!$B$7:$H$10366,MATCH(CONCATENATE('Tabular Pop Data by Age'!$C183,'Tabular Pop Data by Age'!Z$7),'Population Data by Age'!$B$7:$B$10366,0),MATCH('Tabular Pop Data by Age'!$C$6,'Population Data by Age'!$B$6:$H$6,0))</f>
        <v>8900</v>
      </c>
      <c r="AA183" s="78">
        <f>INDEX('Population Data by Age'!$B$7:$H$10366,MATCH(CONCATENATE('Tabular Pop Data by Age'!$C183,'Tabular Pop Data by Age'!AA$7),'Population Data by Age'!$B$7:$B$10366,0),MATCH('Tabular Pop Data by Age'!$C$6,'Population Data by Age'!$B$6:$H$6,0))</f>
        <v>9000</v>
      </c>
      <c r="AB183" s="78">
        <f>INDEX('Population Data by Age'!$B$7:$H$10366,MATCH(CONCATENATE('Tabular Pop Data by Age'!$C183,'Tabular Pop Data by Age'!AB$7),'Population Data by Age'!$B$7:$B$10366,0),MATCH('Tabular Pop Data by Age'!$C$6,'Population Data by Age'!$B$6:$H$6,0))</f>
        <v>6700</v>
      </c>
      <c r="AC183" s="78">
        <f>INDEX('Population Data by Age'!$B$7:$H$10366,MATCH(CONCATENATE('Tabular Pop Data by Age'!$C183,'Tabular Pop Data by Age'!AC$7),'Population Data by Age'!$B$7:$B$10366,0),MATCH('Tabular Pop Data by Age'!$C$6,'Population Data by Age'!$B$6:$H$6,0))</f>
        <v>6800</v>
      </c>
      <c r="AD183" s="78">
        <f>INDEX('Population Data by Age'!$B$7:$H$10366,MATCH(CONCATENATE('Tabular Pop Data by Age'!$C183,'Tabular Pop Data by Age'!AD$7),'Population Data by Age'!$B$7:$B$10366,0),MATCH('Tabular Pop Data by Age'!$C$6,'Population Data by Age'!$B$6:$H$6,0))</f>
        <v>4800</v>
      </c>
      <c r="AE183" s="78">
        <f>INDEX('Population Data by Age'!$B$7:$H$10366,MATCH(CONCATENATE('Tabular Pop Data by Age'!$C183,'Tabular Pop Data by Age'!AE$7),'Population Data by Age'!$B$7:$B$10366,0),MATCH('Tabular Pop Data by Age'!$C$6,'Population Data by Age'!$B$6:$H$6,0))</f>
        <v>4700</v>
      </c>
      <c r="AF183" s="78">
        <f>INDEX('Population Data by Age'!$B$7:$H$10366,MATCH(CONCATENATE('Tabular Pop Data by Age'!$C183,'Tabular Pop Data by Age'!AF$7),'Population Data by Age'!$B$7:$B$10366,0),MATCH('Tabular Pop Data by Age'!$C$6,'Population Data by Age'!$B$6:$H$6,0))</f>
        <v>3800</v>
      </c>
      <c r="AG183" s="78">
        <f>INDEX('Population Data by Age'!$B$7:$H$10366,MATCH(CONCATENATE('Tabular Pop Data by Age'!$C183,'Tabular Pop Data by Age'!AG$7),'Population Data by Age'!$B$7:$B$10366,0),MATCH('Tabular Pop Data by Age'!$C$6,'Population Data by Age'!$B$6:$H$6,0))</f>
        <v>3400</v>
      </c>
      <c r="AH183" s="78">
        <f>INDEX('Population Data by Age'!$B$7:$H$10366,MATCH(CONCATENATE('Tabular Pop Data by Age'!$C183,'Tabular Pop Data by Age'!AH$7),'Population Data by Age'!$B$7:$B$10366,0),MATCH('Tabular Pop Data by Age'!$C$6,'Population Data by Age'!$B$6:$H$6,0))</f>
        <v>2500</v>
      </c>
      <c r="AI183" s="78">
        <f>INDEX('Population Data by Age'!$B$7:$H$10366,MATCH(CONCATENATE('Tabular Pop Data by Age'!$C183,'Tabular Pop Data by Age'!AI$7),'Population Data by Age'!$B$7:$B$10366,0),MATCH('Tabular Pop Data by Age'!$C$6,'Population Data by Age'!$B$6:$H$6,0))</f>
        <v>2300</v>
      </c>
      <c r="AJ183" s="78">
        <f>INDEX('Population Data by Age'!$B$7:$H$10366,MATCH(CONCATENATE('Tabular Pop Data by Age'!$C183,'Tabular Pop Data by Age'!AJ$7),'Population Data by Age'!$B$7:$B$10366,0),MATCH('Tabular Pop Data by Age'!$C$6,'Population Data by Age'!$B$6:$H$6,0))</f>
        <v>1900</v>
      </c>
      <c r="AK183" s="78">
        <f>INDEX('Population Data by Age'!$B$7:$H$10366,MATCH(CONCATENATE('Tabular Pop Data by Age'!$C183,'Tabular Pop Data by Age'!AK$7),'Population Data by Age'!$B$7:$B$10366,0),MATCH('Tabular Pop Data by Age'!$C$6,'Population Data by Age'!$B$6:$H$6,0))</f>
        <v>1700</v>
      </c>
      <c r="AL183" s="78">
        <f>INDEX('Population Data by Age'!$B$7:$H$10366,MATCH(CONCATENATE('Tabular Pop Data by Age'!$C183,'Tabular Pop Data by Age'!AL$7),'Population Data by Age'!$B$7:$B$10366,0),MATCH('Tabular Pop Data by Age'!$C$6,'Population Data by Age'!$B$6:$H$6,0))</f>
        <v>338000</v>
      </c>
      <c r="AM183" s="78">
        <f>INDEX('Population Data by Age'!$B$7:$H$10366,MATCH(CONCATENATE('Tabular Pop Data by Age'!$C183,'Tabular Pop Data by Age'!AM$7),'Population Data by Age'!$B$7:$B$10366,0),MATCH('Tabular Pop Data by Age'!$C$6,'Population Data by Age'!$B$6:$H$6,0))</f>
        <v>349000</v>
      </c>
      <c r="AN183" s="78">
        <f>INDEX('Population Data by Age'!$B$7:$H$10366,MATCH(CONCATENATE('Tabular Pop Data by Age'!$C183,'Tabular Pop Data by Age'!AN$7),'Population Data by Age'!$B$7:$B$10366,0),MATCH('Tabular Pop Data by Age'!$C$6,'Population Data by Age'!$B$6:$H$6,0))</f>
        <v>687000</v>
      </c>
      <c r="AO183" s="78">
        <f>INDEX('Population Data by Age'!$B$7:$H$10366,MATCH(CONCATENATE('Tabular Pop Data by Age'!$C183,'Tabular Pop Data by Age'!AO$7),'Population Data by Age'!$B$7:$B$10366,0),MATCH('Tabular Pop Data by Age'!$C$6,'Population Data by Age'!$B$6:$H$6,0))</f>
        <v>0</v>
      </c>
      <c r="AP183" s="79">
        <f t="shared" si="51"/>
        <v>103000</v>
      </c>
      <c r="AQ183" s="79">
        <f t="shared" si="52"/>
        <v>93000</v>
      </c>
      <c r="AR183" s="79">
        <f t="shared" si="53"/>
        <v>79000</v>
      </c>
      <c r="AS183" s="79">
        <f t="shared" si="54"/>
        <v>70000</v>
      </c>
      <c r="AT183" s="79">
        <f t="shared" si="55"/>
        <v>61000</v>
      </c>
      <c r="AU183" s="79">
        <f t="shared" si="56"/>
        <v>51000</v>
      </c>
      <c r="AV183" s="79">
        <f t="shared" si="57"/>
        <v>42000</v>
      </c>
      <c r="AW183" s="79">
        <f t="shared" si="58"/>
        <v>39000</v>
      </c>
      <c r="AX183" s="79">
        <f t="shared" si="59"/>
        <v>37000</v>
      </c>
      <c r="AY183" s="79">
        <f t="shared" si="60"/>
        <v>32000</v>
      </c>
      <c r="AZ183" s="79">
        <f t="shared" si="61"/>
        <v>22000</v>
      </c>
      <c r="BA183" s="79">
        <f t="shared" si="62"/>
        <v>17900</v>
      </c>
      <c r="BB183" s="79">
        <f t="shared" si="63"/>
        <v>13500</v>
      </c>
      <c r="BC183" s="79">
        <f t="shared" si="64"/>
        <v>9500</v>
      </c>
      <c r="BD183" s="79">
        <f t="shared" si="65"/>
        <v>7200</v>
      </c>
      <c r="BE183" s="79">
        <f t="shared" si="66"/>
        <v>4800</v>
      </c>
      <c r="BF183" s="79">
        <f t="shared" si="67"/>
        <v>3600</v>
      </c>
    </row>
    <row r="184" spans="1:58" x14ac:dyDescent="0.25">
      <c r="A184" s="138" t="s">
        <v>1195</v>
      </c>
      <c r="B184" t="s">
        <v>232</v>
      </c>
      <c r="C184" t="s">
        <v>171</v>
      </c>
      <c r="D184" s="78">
        <f>INDEX('Population Data by Age'!$B$7:$H$10366,MATCH(CONCATENATE('Tabular Pop Data by Age'!$C184,'Tabular Pop Data by Age'!D$7),'Population Data by Age'!$B$7:$B$10366,0),MATCH('Tabular Pop Data by Age'!$C$6,'Population Data by Age'!$B$6:$H$6,0))</f>
        <v>1403000</v>
      </c>
      <c r="E184" s="78">
        <f>INDEX('Population Data by Age'!$B$7:$H$10366,MATCH(CONCATENATE('Tabular Pop Data by Age'!$C184,'Tabular Pop Data by Age'!E$7),'Population Data by Age'!$B$7:$B$10366,0),MATCH('Tabular Pop Data by Age'!$C$6,'Population Data by Age'!$B$6:$H$6,0))</f>
        <v>1424000</v>
      </c>
      <c r="F184" s="78">
        <f>INDEX('Population Data by Age'!$B$7:$H$10366,MATCH(CONCATENATE('Tabular Pop Data by Age'!$C184,'Tabular Pop Data by Age'!F$7),'Population Data by Age'!$B$7:$B$10366,0),MATCH('Tabular Pop Data by Age'!$C$6,'Population Data by Age'!$B$6:$H$6,0))</f>
        <v>1187000</v>
      </c>
      <c r="G184" s="78">
        <f>INDEX('Population Data by Age'!$B$7:$H$10366,MATCH(CONCATENATE('Tabular Pop Data by Age'!$C184,'Tabular Pop Data by Age'!G$7),'Population Data by Age'!$B$7:$B$10366,0),MATCH('Tabular Pop Data by Age'!$C$6,'Population Data by Age'!$B$6:$H$6,0))</f>
        <v>1202000</v>
      </c>
      <c r="H184" s="78">
        <f>INDEX('Population Data by Age'!$B$7:$H$10366,MATCH(CONCATENATE('Tabular Pop Data by Age'!$C184,'Tabular Pop Data by Age'!H$7),'Population Data by Age'!$B$7:$B$10366,0),MATCH('Tabular Pop Data by Age'!$C$6,'Population Data by Age'!$B$6:$H$6,0))</f>
        <v>1054000</v>
      </c>
      <c r="I184" s="78">
        <f>INDEX('Population Data by Age'!$B$7:$H$10366,MATCH(CONCATENATE('Tabular Pop Data by Age'!$C184,'Tabular Pop Data by Age'!I$7),'Population Data by Age'!$B$7:$B$10366,0),MATCH('Tabular Pop Data by Age'!$C$6,'Population Data by Age'!$B$6:$H$6,0))</f>
        <v>1066000</v>
      </c>
      <c r="J184" s="78">
        <f>INDEX('Population Data by Age'!$B$7:$H$10366,MATCH(CONCATENATE('Tabular Pop Data by Age'!$C184,'Tabular Pop Data by Age'!J$7),'Population Data by Age'!$B$7:$B$10366,0),MATCH('Tabular Pop Data by Age'!$C$6,'Population Data by Age'!$B$6:$H$6,0))</f>
        <v>906000</v>
      </c>
      <c r="K184" s="78">
        <f>INDEX('Population Data by Age'!$B$7:$H$10366,MATCH(CONCATENATE('Tabular Pop Data by Age'!$C184,'Tabular Pop Data by Age'!K$7),'Population Data by Age'!$B$7:$B$10366,0),MATCH('Tabular Pop Data by Age'!$C$6,'Population Data by Age'!$B$6:$H$6,0))</f>
        <v>913000</v>
      </c>
      <c r="L184" s="78">
        <f>INDEX('Population Data by Age'!$B$7:$H$10366,MATCH(CONCATENATE('Tabular Pop Data by Age'!$C184,'Tabular Pop Data by Age'!L$7),'Population Data by Age'!$B$7:$B$10366,0),MATCH('Tabular Pop Data by Age'!$C$6,'Population Data by Age'!$B$6:$H$6,0))</f>
        <v>766000</v>
      </c>
      <c r="M184" s="78">
        <f>INDEX('Population Data by Age'!$B$7:$H$10366,MATCH(CONCATENATE('Tabular Pop Data by Age'!$C184,'Tabular Pop Data by Age'!M$7),'Population Data by Age'!$B$7:$B$10366,0),MATCH('Tabular Pop Data by Age'!$C$6,'Population Data by Age'!$B$6:$H$6,0))</f>
        <v>768000</v>
      </c>
      <c r="N184" s="78">
        <f>INDEX('Population Data by Age'!$B$7:$H$10366,MATCH(CONCATENATE('Tabular Pop Data by Age'!$C184,'Tabular Pop Data by Age'!N$7),'Population Data by Age'!$B$7:$B$10366,0),MATCH('Tabular Pop Data by Age'!$C$6,'Population Data by Age'!$B$6:$H$6,0))</f>
        <v>583000</v>
      </c>
      <c r="O184" s="78">
        <f>INDEX('Population Data by Age'!$B$7:$H$10366,MATCH(CONCATENATE('Tabular Pop Data by Age'!$C184,'Tabular Pop Data by Age'!O$7),'Population Data by Age'!$B$7:$B$10366,0),MATCH('Tabular Pop Data by Age'!$C$6,'Population Data by Age'!$B$6:$H$6,0))</f>
        <v>577000</v>
      </c>
      <c r="P184" s="78">
        <f>INDEX('Population Data by Age'!$B$7:$H$10366,MATCH(CONCATENATE('Tabular Pop Data by Age'!$C184,'Tabular Pop Data by Age'!P$7),'Population Data by Age'!$B$7:$B$10366,0),MATCH('Tabular Pop Data by Age'!$C$6,'Population Data by Age'!$B$6:$H$6,0))</f>
        <v>438000</v>
      </c>
      <c r="Q184" s="78">
        <f>INDEX('Population Data by Age'!$B$7:$H$10366,MATCH(CONCATENATE('Tabular Pop Data by Age'!$C184,'Tabular Pop Data by Age'!Q$7),'Population Data by Age'!$B$7:$B$10366,0),MATCH('Tabular Pop Data by Age'!$C$6,'Population Data by Age'!$B$6:$H$6,0))</f>
        <v>430000</v>
      </c>
      <c r="R184" s="78">
        <f>INDEX('Population Data by Age'!$B$7:$H$10366,MATCH(CONCATENATE('Tabular Pop Data by Age'!$C184,'Tabular Pop Data by Age'!R$7),'Population Data by Age'!$B$7:$B$10366,0),MATCH('Tabular Pop Data by Age'!$C$6,'Population Data by Age'!$B$6:$H$6,0))</f>
        <v>339000</v>
      </c>
      <c r="S184" s="78">
        <f>INDEX('Population Data by Age'!$B$7:$H$10366,MATCH(CONCATENATE('Tabular Pop Data by Age'!$C184,'Tabular Pop Data by Age'!S$7),'Population Data by Age'!$B$7:$B$10366,0),MATCH('Tabular Pop Data by Age'!$C$6,'Population Data by Age'!$B$6:$H$6,0))</f>
        <v>327000</v>
      </c>
      <c r="T184" s="78">
        <f>INDEX('Population Data by Age'!$B$7:$H$10366,MATCH(CONCATENATE('Tabular Pop Data by Age'!$C184,'Tabular Pop Data by Age'!T$7),'Population Data by Age'!$B$7:$B$10366,0),MATCH('Tabular Pop Data by Age'!$C$6,'Population Data by Age'!$B$6:$H$6,0))</f>
        <v>288000</v>
      </c>
      <c r="U184" s="78">
        <f>INDEX('Population Data by Age'!$B$7:$H$10366,MATCH(CONCATENATE('Tabular Pop Data by Age'!$C184,'Tabular Pop Data by Age'!U$7),'Population Data by Age'!$B$7:$B$10366,0),MATCH('Tabular Pop Data by Age'!$C$6,'Population Data by Age'!$B$6:$H$6,0))</f>
        <v>273000</v>
      </c>
      <c r="V184" s="78">
        <f>INDEX('Population Data by Age'!$B$7:$H$10366,MATCH(CONCATENATE('Tabular Pop Data by Age'!$C184,'Tabular Pop Data by Age'!V$7),'Population Data by Age'!$B$7:$B$10366,0),MATCH('Tabular Pop Data by Age'!$C$6,'Population Data by Age'!$B$6:$H$6,0))</f>
        <v>256000</v>
      </c>
      <c r="W184" s="78">
        <f>INDEX('Population Data by Age'!$B$7:$H$10366,MATCH(CONCATENATE('Tabular Pop Data by Age'!$C184,'Tabular Pop Data by Age'!W$7),'Population Data by Age'!$B$7:$B$10366,0),MATCH('Tabular Pop Data by Age'!$C$6,'Population Data by Age'!$B$6:$H$6,0))</f>
        <v>237000</v>
      </c>
      <c r="X184" s="78">
        <f>INDEX('Population Data by Age'!$B$7:$H$10366,MATCH(CONCATENATE('Tabular Pop Data by Age'!$C184,'Tabular Pop Data by Age'!X$7),'Population Data by Age'!$B$7:$B$10366,0),MATCH('Tabular Pop Data by Age'!$C$6,'Population Data by Age'!$B$6:$H$6,0))</f>
        <v>212000</v>
      </c>
      <c r="Y184" s="78">
        <f>INDEX('Population Data by Age'!$B$7:$H$10366,MATCH(CONCATENATE('Tabular Pop Data by Age'!$C184,'Tabular Pop Data by Age'!Y$7),'Population Data by Age'!$B$7:$B$10366,0),MATCH('Tabular Pop Data by Age'!$C$6,'Population Data by Age'!$B$6:$H$6,0))</f>
        <v>195000</v>
      </c>
      <c r="Z184" s="78">
        <f>INDEX('Population Data by Age'!$B$7:$H$10366,MATCH(CONCATENATE('Tabular Pop Data by Age'!$C184,'Tabular Pop Data by Age'!Z$7),'Population Data by Age'!$B$7:$B$10366,0),MATCH('Tabular Pop Data by Age'!$C$6,'Population Data by Age'!$B$6:$H$6,0))</f>
        <v>168000</v>
      </c>
      <c r="AA184" s="78">
        <f>INDEX('Population Data by Age'!$B$7:$H$10366,MATCH(CONCATENATE('Tabular Pop Data by Age'!$C184,'Tabular Pop Data by Age'!AA$7),'Population Data by Age'!$B$7:$B$10366,0),MATCH('Tabular Pop Data by Age'!$C$6,'Population Data by Age'!$B$6:$H$6,0))</f>
        <v>159000</v>
      </c>
      <c r="AB184" s="78">
        <f>INDEX('Population Data by Age'!$B$7:$H$10366,MATCH(CONCATENATE('Tabular Pop Data by Age'!$C184,'Tabular Pop Data by Age'!AB$7),'Population Data by Age'!$B$7:$B$10366,0),MATCH('Tabular Pop Data by Age'!$C$6,'Population Data by Age'!$B$6:$H$6,0))</f>
        <v>132000</v>
      </c>
      <c r="AC184" s="78">
        <f>INDEX('Population Data by Age'!$B$7:$H$10366,MATCH(CONCATENATE('Tabular Pop Data by Age'!$C184,'Tabular Pop Data by Age'!AC$7),'Population Data by Age'!$B$7:$B$10366,0),MATCH('Tabular Pop Data by Age'!$C$6,'Population Data by Age'!$B$6:$H$6,0))</f>
        <v>130000</v>
      </c>
      <c r="AD184" s="78">
        <f>INDEX('Population Data by Age'!$B$7:$H$10366,MATCH(CONCATENATE('Tabular Pop Data by Age'!$C184,'Tabular Pop Data by Age'!AD$7),'Population Data by Age'!$B$7:$B$10366,0),MATCH('Tabular Pop Data by Age'!$C$6,'Population Data by Age'!$B$6:$H$6,0))</f>
        <v>101000</v>
      </c>
      <c r="AE184" s="78">
        <f>INDEX('Population Data by Age'!$B$7:$H$10366,MATCH(CONCATENATE('Tabular Pop Data by Age'!$C184,'Tabular Pop Data by Age'!AE$7),'Population Data by Age'!$B$7:$B$10366,0),MATCH('Tabular Pop Data by Age'!$C$6,'Population Data by Age'!$B$6:$H$6,0))</f>
        <v>99000</v>
      </c>
      <c r="AF184" s="78">
        <f>INDEX('Population Data by Age'!$B$7:$H$10366,MATCH(CONCATENATE('Tabular Pop Data by Age'!$C184,'Tabular Pop Data by Age'!AF$7),'Population Data by Age'!$B$7:$B$10366,0),MATCH('Tabular Pop Data by Age'!$C$6,'Population Data by Age'!$B$6:$H$6,0))</f>
        <v>69000</v>
      </c>
      <c r="AG184" s="78">
        <f>INDEX('Population Data by Age'!$B$7:$H$10366,MATCH(CONCATENATE('Tabular Pop Data by Age'!$C184,'Tabular Pop Data by Age'!AG$7),'Population Data by Age'!$B$7:$B$10366,0),MATCH('Tabular Pop Data by Age'!$C$6,'Population Data by Age'!$B$6:$H$6,0))</f>
        <v>66000</v>
      </c>
      <c r="AH184" s="78">
        <f>INDEX('Population Data by Age'!$B$7:$H$10366,MATCH(CONCATENATE('Tabular Pop Data by Age'!$C184,'Tabular Pop Data by Age'!AH$7),'Population Data by Age'!$B$7:$B$10366,0),MATCH('Tabular Pop Data by Age'!$C$6,'Population Data by Age'!$B$6:$H$6,0))</f>
        <v>40000</v>
      </c>
      <c r="AI184" s="78">
        <f>INDEX('Population Data by Age'!$B$7:$H$10366,MATCH(CONCATENATE('Tabular Pop Data by Age'!$C184,'Tabular Pop Data by Age'!AI$7),'Population Data by Age'!$B$7:$B$10366,0),MATCH('Tabular Pop Data by Age'!$C$6,'Population Data by Age'!$B$6:$H$6,0))</f>
        <v>35000</v>
      </c>
      <c r="AJ184" s="78">
        <f>INDEX('Population Data by Age'!$B$7:$H$10366,MATCH(CONCATENATE('Tabular Pop Data by Age'!$C184,'Tabular Pop Data by Age'!AJ$7),'Population Data by Age'!$B$7:$B$10366,0),MATCH('Tabular Pop Data by Age'!$C$6,'Population Data by Age'!$B$6:$H$6,0))</f>
        <v>29000</v>
      </c>
      <c r="AK184" s="78">
        <f>INDEX('Population Data by Age'!$B$7:$H$10366,MATCH(CONCATENATE('Tabular Pop Data by Age'!$C184,'Tabular Pop Data by Age'!AK$7),'Population Data by Age'!$B$7:$B$10366,0),MATCH('Tabular Pop Data by Age'!$C$6,'Population Data by Age'!$B$6:$H$6,0))</f>
        <v>22000</v>
      </c>
      <c r="AL184" s="78">
        <f>INDEX('Population Data by Age'!$B$7:$H$10366,MATCH(CONCATENATE('Tabular Pop Data by Age'!$C184,'Tabular Pop Data by Age'!AL$7),'Population Data by Age'!$B$7:$B$10366,0),MATCH('Tabular Pop Data by Age'!$C$6,'Population Data by Age'!$B$6:$H$6,0))</f>
        <v>7969000</v>
      </c>
      <c r="AM184" s="78">
        <f>INDEX('Population Data by Age'!$B$7:$H$10366,MATCH(CONCATENATE('Tabular Pop Data by Age'!$C184,'Tabular Pop Data by Age'!AM$7),'Population Data by Age'!$B$7:$B$10366,0),MATCH('Tabular Pop Data by Age'!$C$6,'Population Data by Age'!$B$6:$H$6,0))</f>
        <v>7924000</v>
      </c>
      <c r="AN184" s="78">
        <f>INDEX('Population Data by Age'!$B$7:$H$10366,MATCH(CONCATENATE('Tabular Pop Data by Age'!$C184,'Tabular Pop Data by Age'!AN$7),'Population Data by Age'!$B$7:$B$10366,0),MATCH('Tabular Pop Data by Age'!$C$6,'Population Data by Age'!$B$6:$H$6,0))</f>
        <v>15893000</v>
      </c>
      <c r="AO184" s="78">
        <f>INDEX('Population Data by Age'!$B$7:$H$10366,MATCH(CONCATENATE('Tabular Pop Data by Age'!$C184,'Tabular Pop Data by Age'!AO$7),'Population Data by Age'!$B$7:$B$10366,0),MATCH('Tabular Pop Data by Age'!$C$6,'Population Data by Age'!$B$6:$H$6,0))</f>
        <v>0</v>
      </c>
      <c r="AP184" s="79">
        <f t="shared" si="51"/>
        <v>2827000</v>
      </c>
      <c r="AQ184" s="79">
        <f t="shared" si="52"/>
        <v>2389000</v>
      </c>
      <c r="AR184" s="79">
        <f t="shared" si="53"/>
        <v>2120000</v>
      </c>
      <c r="AS184" s="79">
        <f t="shared" si="54"/>
        <v>1819000</v>
      </c>
      <c r="AT184" s="79">
        <f t="shared" si="55"/>
        <v>1534000</v>
      </c>
      <c r="AU184" s="79">
        <f t="shared" si="56"/>
        <v>1160000</v>
      </c>
      <c r="AV184" s="79">
        <f t="shared" si="57"/>
        <v>868000</v>
      </c>
      <c r="AW184" s="79">
        <f t="shared" si="58"/>
        <v>666000</v>
      </c>
      <c r="AX184" s="79">
        <f t="shared" si="59"/>
        <v>561000</v>
      </c>
      <c r="AY184" s="79">
        <f t="shared" si="60"/>
        <v>493000</v>
      </c>
      <c r="AZ184" s="79">
        <f t="shared" si="61"/>
        <v>407000</v>
      </c>
      <c r="BA184" s="79">
        <f t="shared" si="62"/>
        <v>327000</v>
      </c>
      <c r="BB184" s="79">
        <f t="shared" si="63"/>
        <v>262000</v>
      </c>
      <c r="BC184" s="79">
        <f t="shared" si="64"/>
        <v>200000</v>
      </c>
      <c r="BD184" s="79">
        <f t="shared" si="65"/>
        <v>135000</v>
      </c>
      <c r="BE184" s="79">
        <f t="shared" si="66"/>
        <v>75000</v>
      </c>
      <c r="BF184" s="79">
        <f t="shared" si="67"/>
        <v>51000</v>
      </c>
    </row>
    <row r="185" spans="1:58" x14ac:dyDescent="0.25">
      <c r="A185" s="138" t="s">
        <v>1195</v>
      </c>
      <c r="B185" t="s">
        <v>178</v>
      </c>
      <c r="C185" t="s">
        <v>154</v>
      </c>
      <c r="D185" s="78">
        <f>INDEX('Population Data by Age'!$B$7:$H$10366,MATCH(CONCATENATE('Tabular Pop Data by Age'!$C185,'Tabular Pop Data by Age'!D$7),'Population Data by Age'!$B$7:$B$10366,0),MATCH('Tabular Pop Data by Age'!$C$6,'Population Data by Age'!$B$6:$H$6,0))</f>
        <v>2846000</v>
      </c>
      <c r="E185" s="78">
        <f>INDEX('Population Data by Age'!$B$7:$H$10366,MATCH(CONCATENATE('Tabular Pop Data by Age'!$C185,'Tabular Pop Data by Age'!E$7),'Population Data by Age'!$B$7:$B$10366,0),MATCH('Tabular Pop Data by Age'!$C$6,'Population Data by Age'!$B$6:$H$6,0))</f>
        <v>2919000</v>
      </c>
      <c r="F185" s="78">
        <f>INDEX('Population Data by Age'!$B$7:$H$10366,MATCH(CONCATENATE('Tabular Pop Data by Age'!$C185,'Tabular Pop Data by Age'!F$7),'Population Data by Age'!$B$7:$B$10366,0),MATCH('Tabular Pop Data by Age'!$C$6,'Population Data by Age'!$B$6:$H$6,0))</f>
        <v>2877000</v>
      </c>
      <c r="G185" s="78">
        <f>INDEX('Population Data by Age'!$B$7:$H$10366,MATCH(CONCATENATE('Tabular Pop Data by Age'!$C185,'Tabular Pop Data by Age'!G$7),'Population Data by Age'!$B$7:$B$10366,0),MATCH('Tabular Pop Data by Age'!$C$6,'Population Data by Age'!$B$6:$H$6,0))</f>
        <v>2943000</v>
      </c>
      <c r="H185" s="78">
        <f>INDEX('Population Data by Age'!$B$7:$H$10366,MATCH(CONCATENATE('Tabular Pop Data by Age'!$C185,'Tabular Pop Data by Age'!H$7),'Population Data by Age'!$B$7:$B$10366,0),MATCH('Tabular Pop Data by Age'!$C$6,'Population Data by Age'!$B$6:$H$6,0))</f>
        <v>2721000</v>
      </c>
      <c r="I185" s="78">
        <f>INDEX('Population Data by Age'!$B$7:$H$10366,MATCH(CONCATENATE('Tabular Pop Data by Age'!$C185,'Tabular Pop Data by Age'!I$7),'Population Data by Age'!$B$7:$B$10366,0),MATCH('Tabular Pop Data by Age'!$C$6,'Population Data by Age'!$B$6:$H$6,0))</f>
        <v>2775000</v>
      </c>
      <c r="J185" s="78">
        <f>INDEX('Population Data by Age'!$B$7:$H$10366,MATCH(CONCATENATE('Tabular Pop Data by Age'!$C185,'Tabular Pop Data by Age'!J$7),'Population Data by Age'!$B$7:$B$10366,0),MATCH('Tabular Pop Data by Age'!$C$6,'Population Data by Age'!$B$6:$H$6,0))</f>
        <v>2441000</v>
      </c>
      <c r="K185" s="78">
        <f>INDEX('Population Data by Age'!$B$7:$H$10366,MATCH(CONCATENATE('Tabular Pop Data by Age'!$C185,'Tabular Pop Data by Age'!K$7),'Population Data by Age'!$B$7:$B$10366,0),MATCH('Tabular Pop Data by Age'!$C$6,'Population Data by Age'!$B$6:$H$6,0))</f>
        <v>2472000</v>
      </c>
      <c r="L185" s="78">
        <f>INDEX('Population Data by Age'!$B$7:$H$10366,MATCH(CONCATENATE('Tabular Pop Data by Age'!$C185,'Tabular Pop Data by Age'!L$7),'Population Data by Age'!$B$7:$B$10366,0),MATCH('Tabular Pop Data by Age'!$C$6,'Population Data by Age'!$B$6:$H$6,0))</f>
        <v>2447000</v>
      </c>
      <c r="M185" s="78">
        <f>INDEX('Population Data by Age'!$B$7:$H$10366,MATCH(CONCATENATE('Tabular Pop Data by Age'!$C185,'Tabular Pop Data by Age'!M$7),'Population Data by Age'!$B$7:$B$10366,0),MATCH('Tabular Pop Data by Age'!$C$6,'Population Data by Age'!$B$6:$H$6,0))</f>
        <v>2477000</v>
      </c>
      <c r="N185" s="78">
        <f>INDEX('Population Data by Age'!$B$7:$H$10366,MATCH(CONCATENATE('Tabular Pop Data by Age'!$C185,'Tabular Pop Data by Age'!N$7),'Population Data by Age'!$B$7:$B$10366,0),MATCH('Tabular Pop Data by Age'!$C$6,'Population Data by Age'!$B$6:$H$6,0))</f>
        <v>2589000</v>
      </c>
      <c r="O185" s="78">
        <f>INDEX('Population Data by Age'!$B$7:$H$10366,MATCH(CONCATENATE('Tabular Pop Data by Age'!$C185,'Tabular Pop Data by Age'!O$7),'Population Data by Age'!$B$7:$B$10366,0),MATCH('Tabular Pop Data by Age'!$C$6,'Population Data by Age'!$B$6:$H$6,0))</f>
        <v>2629000</v>
      </c>
      <c r="P185" s="78">
        <f>INDEX('Population Data by Age'!$B$7:$H$10366,MATCH(CONCATENATE('Tabular Pop Data by Age'!$C185,'Tabular Pop Data by Age'!P$7),'Population Data by Age'!$B$7:$B$10366,0),MATCH('Tabular Pop Data by Age'!$C$6,'Population Data by Age'!$B$6:$H$6,0))</f>
        <v>2664000</v>
      </c>
      <c r="Q185" s="78">
        <f>INDEX('Population Data by Age'!$B$7:$H$10366,MATCH(CONCATENATE('Tabular Pop Data by Age'!$C185,'Tabular Pop Data by Age'!Q$7),'Population Data by Age'!$B$7:$B$10366,0),MATCH('Tabular Pop Data by Age'!$C$6,'Population Data by Age'!$B$6:$H$6,0))</f>
        <v>2710000</v>
      </c>
      <c r="R185" s="78">
        <f>INDEX('Population Data by Age'!$B$7:$H$10366,MATCH(CONCATENATE('Tabular Pop Data by Age'!$C185,'Tabular Pop Data by Age'!R$7),'Population Data by Age'!$B$7:$B$10366,0),MATCH('Tabular Pop Data by Age'!$C$6,'Population Data by Age'!$B$6:$H$6,0))</f>
        <v>2378000</v>
      </c>
      <c r="S185" s="78">
        <f>INDEX('Population Data by Age'!$B$7:$H$10366,MATCH(CONCATENATE('Tabular Pop Data by Age'!$C185,'Tabular Pop Data by Age'!S$7),'Population Data by Age'!$B$7:$B$10366,0),MATCH('Tabular Pop Data by Age'!$C$6,'Population Data by Age'!$B$6:$H$6,0))</f>
        <v>2404000</v>
      </c>
      <c r="T185" s="78">
        <f>INDEX('Population Data by Age'!$B$7:$H$10366,MATCH(CONCATENATE('Tabular Pop Data by Age'!$C185,'Tabular Pop Data by Age'!T$7),'Population Data by Age'!$B$7:$B$10366,0),MATCH('Tabular Pop Data by Age'!$C$6,'Population Data by Age'!$B$6:$H$6,0))</f>
        <v>1917000</v>
      </c>
      <c r="U185" s="78">
        <f>INDEX('Population Data by Age'!$B$7:$H$10366,MATCH(CONCATENATE('Tabular Pop Data by Age'!$C185,'Tabular Pop Data by Age'!U$7),'Population Data by Age'!$B$7:$B$10366,0),MATCH('Tabular Pop Data by Age'!$C$6,'Population Data by Age'!$B$6:$H$6,0))</f>
        <v>1893000</v>
      </c>
      <c r="V185" s="78">
        <f>INDEX('Population Data by Age'!$B$7:$H$10366,MATCH(CONCATENATE('Tabular Pop Data by Age'!$C185,'Tabular Pop Data by Age'!V$7),'Population Data by Age'!$B$7:$B$10366,0),MATCH('Tabular Pop Data by Age'!$C$6,'Population Data by Age'!$B$6:$H$6,0))</f>
        <v>1655000</v>
      </c>
      <c r="W185" s="78">
        <f>INDEX('Population Data by Age'!$B$7:$H$10366,MATCH(CONCATENATE('Tabular Pop Data by Age'!$C185,'Tabular Pop Data by Age'!W$7),'Population Data by Age'!$B$7:$B$10366,0),MATCH('Tabular Pop Data by Age'!$C$6,'Population Data by Age'!$B$6:$H$6,0))</f>
        <v>1578000</v>
      </c>
      <c r="X185" s="78">
        <f>INDEX('Population Data by Age'!$B$7:$H$10366,MATCH(CONCATENATE('Tabular Pop Data by Age'!$C185,'Tabular Pop Data by Age'!X$7),'Population Data by Age'!$B$7:$B$10366,0),MATCH('Tabular Pop Data by Age'!$C$6,'Population Data by Age'!$B$6:$H$6,0))</f>
        <v>1401000</v>
      </c>
      <c r="Y185" s="78">
        <f>INDEX('Population Data by Age'!$B$7:$H$10366,MATCH(CONCATENATE('Tabular Pop Data by Age'!$C185,'Tabular Pop Data by Age'!Y$7),'Population Data by Age'!$B$7:$B$10366,0),MATCH('Tabular Pop Data by Age'!$C$6,'Population Data by Age'!$B$6:$H$6,0))</f>
        <v>1291000</v>
      </c>
      <c r="Z185" s="78">
        <f>INDEX('Population Data by Age'!$B$7:$H$10366,MATCH(CONCATENATE('Tabular Pop Data by Age'!$C185,'Tabular Pop Data by Age'!Z$7),'Population Data by Age'!$B$7:$B$10366,0),MATCH('Tabular Pop Data by Age'!$C$6,'Population Data by Age'!$B$6:$H$6,0))</f>
        <v>1184000</v>
      </c>
      <c r="AA185" s="78">
        <f>INDEX('Population Data by Age'!$B$7:$H$10366,MATCH(CONCATENATE('Tabular Pop Data by Age'!$C185,'Tabular Pop Data by Age'!AA$7),'Population Data by Age'!$B$7:$B$10366,0),MATCH('Tabular Pop Data by Age'!$C$6,'Population Data by Age'!$B$6:$H$6,0))</f>
        <v>1036000</v>
      </c>
      <c r="AB185" s="78">
        <f>INDEX('Population Data by Age'!$B$7:$H$10366,MATCH(CONCATENATE('Tabular Pop Data by Age'!$C185,'Tabular Pop Data by Age'!AB$7),'Population Data by Age'!$B$7:$B$10366,0),MATCH('Tabular Pop Data by Age'!$C$6,'Population Data by Age'!$B$6:$H$6,0))</f>
        <v>990000</v>
      </c>
      <c r="AC185" s="78">
        <f>INDEX('Population Data by Age'!$B$7:$H$10366,MATCH(CONCATENATE('Tabular Pop Data by Age'!$C185,'Tabular Pop Data by Age'!AC$7),'Population Data by Age'!$B$7:$B$10366,0),MATCH('Tabular Pop Data by Age'!$C$6,'Population Data by Age'!$B$6:$H$6,0))</f>
        <v>804000</v>
      </c>
      <c r="AD185" s="78">
        <f>INDEX('Population Data by Age'!$B$7:$H$10366,MATCH(CONCATENATE('Tabular Pop Data by Age'!$C185,'Tabular Pop Data by Age'!AD$7),'Population Data by Age'!$B$7:$B$10366,0),MATCH('Tabular Pop Data by Age'!$C$6,'Population Data by Age'!$B$6:$H$6,0))</f>
        <v>785000</v>
      </c>
      <c r="AE185" s="78">
        <f>INDEX('Population Data by Age'!$B$7:$H$10366,MATCH(CONCATENATE('Tabular Pop Data by Age'!$C185,'Tabular Pop Data by Age'!AE$7),'Population Data by Age'!$B$7:$B$10366,0),MATCH('Tabular Pop Data by Age'!$C$6,'Population Data by Age'!$B$6:$H$6,0))</f>
        <v>585000</v>
      </c>
      <c r="AF185" s="78">
        <f>INDEX('Population Data by Age'!$B$7:$H$10366,MATCH(CONCATENATE('Tabular Pop Data by Age'!$C185,'Tabular Pop Data by Age'!AF$7),'Population Data by Age'!$B$7:$B$10366,0),MATCH('Tabular Pop Data by Age'!$C$6,'Population Data by Age'!$B$6:$H$6,0))</f>
        <v>536000</v>
      </c>
      <c r="AG185" s="78">
        <f>INDEX('Population Data by Age'!$B$7:$H$10366,MATCH(CONCATENATE('Tabular Pop Data by Age'!$C185,'Tabular Pop Data by Age'!AG$7),'Population Data by Age'!$B$7:$B$10366,0),MATCH('Tabular Pop Data by Age'!$C$6,'Population Data by Age'!$B$6:$H$6,0))</f>
        <v>359000</v>
      </c>
      <c r="AH185" s="78">
        <f>INDEX('Population Data by Age'!$B$7:$H$10366,MATCH(CONCATENATE('Tabular Pop Data by Age'!$C185,'Tabular Pop Data by Age'!AH$7),'Population Data by Age'!$B$7:$B$10366,0),MATCH('Tabular Pop Data by Age'!$C$6,'Population Data by Age'!$B$6:$H$6,0))</f>
        <v>368000</v>
      </c>
      <c r="AI185" s="78">
        <f>INDEX('Population Data by Age'!$B$7:$H$10366,MATCH(CONCATENATE('Tabular Pop Data by Age'!$C185,'Tabular Pop Data by Age'!AI$7),'Population Data by Age'!$B$7:$B$10366,0),MATCH('Tabular Pop Data by Age'!$C$6,'Population Data by Age'!$B$6:$H$6,0))</f>
        <v>213000</v>
      </c>
      <c r="AJ185" s="78">
        <f>INDEX('Population Data by Age'!$B$7:$H$10366,MATCH(CONCATENATE('Tabular Pop Data by Age'!$C185,'Tabular Pop Data by Age'!AJ$7),'Population Data by Age'!$B$7:$B$10366,0),MATCH('Tabular Pop Data by Age'!$C$6,'Population Data by Age'!$B$6:$H$6,0))</f>
        <v>293000</v>
      </c>
      <c r="AK185" s="78">
        <f>INDEX('Population Data by Age'!$B$7:$H$10366,MATCH(CONCATENATE('Tabular Pop Data by Age'!$C185,'Tabular Pop Data by Age'!AK$7),'Population Data by Age'!$B$7:$B$10366,0),MATCH('Tabular Pop Data by Age'!$C$6,'Population Data by Age'!$B$6:$H$6,0))</f>
        <v>128000</v>
      </c>
      <c r="AL185" s="78">
        <f>INDEX('Population Data by Age'!$B$7:$H$10366,MATCH(CONCATENATE('Tabular Pop Data by Age'!$C185,'Tabular Pop Data by Age'!AL$7),'Population Data by Age'!$B$7:$B$10366,0),MATCH('Tabular Pop Data by Age'!$C$6,'Population Data by Age'!$B$6:$H$6,0))</f>
        <v>30093000</v>
      </c>
      <c r="AM185" s="78">
        <f>INDEX('Population Data by Age'!$B$7:$H$10366,MATCH(CONCATENATE('Tabular Pop Data by Age'!$C185,'Tabular Pop Data by Age'!AM$7),'Population Data by Age'!$B$7:$B$10366,0),MATCH('Tabular Pop Data by Age'!$C$6,'Population Data by Age'!$B$6:$H$6,0))</f>
        <v>29216000</v>
      </c>
      <c r="AN185" s="78">
        <f>INDEX('Population Data by Age'!$B$7:$H$10366,MATCH(CONCATENATE('Tabular Pop Data by Age'!$C185,'Tabular Pop Data by Age'!AN$7),'Population Data by Age'!$B$7:$B$10366,0),MATCH('Tabular Pop Data by Age'!$C$6,'Population Data by Age'!$B$6:$H$6,0))</f>
        <v>59309000</v>
      </c>
      <c r="AO185" s="78">
        <f>INDEX('Population Data by Age'!$B$7:$H$10366,MATCH(CONCATENATE('Tabular Pop Data by Age'!$C185,'Tabular Pop Data by Age'!AO$7),'Population Data by Age'!$B$7:$B$10366,0),MATCH('Tabular Pop Data by Age'!$C$6,'Population Data by Age'!$B$6:$H$6,0))</f>
        <v>0</v>
      </c>
      <c r="AP185" s="79">
        <f t="shared" si="51"/>
        <v>5765000</v>
      </c>
      <c r="AQ185" s="79">
        <f t="shared" si="52"/>
        <v>5820000</v>
      </c>
      <c r="AR185" s="79">
        <f t="shared" si="53"/>
        <v>5496000</v>
      </c>
      <c r="AS185" s="79">
        <f t="shared" si="54"/>
        <v>4913000</v>
      </c>
      <c r="AT185" s="79">
        <f t="shared" si="55"/>
        <v>4924000</v>
      </c>
      <c r="AU185" s="79">
        <f t="shared" si="56"/>
        <v>5218000</v>
      </c>
      <c r="AV185" s="79">
        <f t="shared" si="57"/>
        <v>5374000</v>
      </c>
      <c r="AW185" s="79">
        <f t="shared" si="58"/>
        <v>4782000</v>
      </c>
      <c r="AX185" s="79">
        <f t="shared" si="59"/>
        <v>3810000</v>
      </c>
      <c r="AY185" s="79">
        <f t="shared" si="60"/>
        <v>3233000</v>
      </c>
      <c r="AZ185" s="79">
        <f t="shared" si="61"/>
        <v>2692000</v>
      </c>
      <c r="BA185" s="79">
        <f t="shared" si="62"/>
        <v>2220000</v>
      </c>
      <c r="BB185" s="79">
        <f t="shared" si="63"/>
        <v>1794000</v>
      </c>
      <c r="BC185" s="79">
        <f t="shared" si="64"/>
        <v>1370000</v>
      </c>
      <c r="BD185" s="79">
        <f t="shared" si="65"/>
        <v>895000</v>
      </c>
      <c r="BE185" s="79">
        <f t="shared" si="66"/>
        <v>581000</v>
      </c>
      <c r="BF185" s="79">
        <f t="shared" si="67"/>
        <v>421000</v>
      </c>
    </row>
    <row r="186" spans="1:58" x14ac:dyDescent="0.25">
      <c r="A186" s="138" t="s">
        <v>1195</v>
      </c>
      <c r="B186" t="s">
        <v>634</v>
      </c>
      <c r="C186" t="s">
        <v>635</v>
      </c>
      <c r="D186" s="78">
        <f>INDEX('Population Data by Age'!$B$7:$H$10366,MATCH(CONCATENATE('Tabular Pop Data by Age'!$C186,'Tabular Pop Data by Age'!D$7),'Population Data by Age'!$B$7:$B$10366,0),MATCH('Tabular Pop Data by Age'!$C$6,'Population Data by Age'!$B$6:$H$6,0))</f>
        <v>843000</v>
      </c>
      <c r="E186" s="78">
        <f>INDEX('Population Data by Age'!$B$7:$H$10366,MATCH(CONCATENATE('Tabular Pop Data by Age'!$C186,'Tabular Pop Data by Age'!E$7),'Population Data by Age'!$B$7:$B$10366,0),MATCH('Tabular Pop Data by Age'!$C$6,'Population Data by Age'!$B$6:$H$6,0))</f>
        <v>865000</v>
      </c>
      <c r="F186" s="78">
        <f>INDEX('Population Data by Age'!$B$7:$H$10366,MATCH(CONCATENATE('Tabular Pop Data by Age'!$C186,'Tabular Pop Data by Age'!F$7),'Population Data by Age'!$B$7:$B$10366,0),MATCH('Tabular Pop Data by Age'!$C$6,'Population Data by Age'!$B$6:$H$6,0))</f>
        <v>760000</v>
      </c>
      <c r="G186" s="78">
        <f>INDEX('Population Data by Age'!$B$7:$H$10366,MATCH(CONCATENATE('Tabular Pop Data by Age'!$C186,'Tabular Pop Data by Age'!G$7),'Population Data by Age'!$B$7:$B$10366,0),MATCH('Tabular Pop Data by Age'!$C$6,'Population Data by Age'!$B$6:$H$6,0))</f>
        <v>779000</v>
      </c>
      <c r="H186" s="78">
        <f>INDEX('Population Data by Age'!$B$7:$H$10366,MATCH(CONCATENATE('Tabular Pop Data by Age'!$C186,'Tabular Pop Data by Age'!H$7),'Population Data by Age'!$B$7:$B$10366,0),MATCH('Tabular Pop Data by Age'!$C$6,'Population Data by Age'!$B$6:$H$6,0))</f>
        <v>682000</v>
      </c>
      <c r="I186" s="78">
        <f>INDEX('Population Data by Age'!$B$7:$H$10366,MATCH(CONCATENATE('Tabular Pop Data by Age'!$C186,'Tabular Pop Data by Age'!I$7),'Population Data by Age'!$B$7:$B$10366,0),MATCH('Tabular Pop Data by Age'!$C$6,'Population Data by Age'!$B$6:$H$6,0))</f>
        <v>698000</v>
      </c>
      <c r="J186" s="78">
        <f>INDEX('Population Data by Age'!$B$7:$H$10366,MATCH(CONCATENATE('Tabular Pop Data by Age'!$C186,'Tabular Pop Data by Age'!J$7),'Population Data by Age'!$B$7:$B$10366,0),MATCH('Tabular Pop Data by Age'!$C$6,'Population Data by Age'!$B$6:$H$6,0))</f>
        <v>595000</v>
      </c>
      <c r="K186" s="78">
        <f>INDEX('Population Data by Age'!$B$7:$H$10366,MATCH(CONCATENATE('Tabular Pop Data by Age'!$C186,'Tabular Pop Data by Age'!K$7),'Population Data by Age'!$B$7:$B$10366,0),MATCH('Tabular Pop Data by Age'!$C$6,'Population Data by Age'!$B$6:$H$6,0))</f>
        <v>607000</v>
      </c>
      <c r="L186" s="78">
        <f>INDEX('Population Data by Age'!$B$7:$H$10366,MATCH(CONCATENATE('Tabular Pop Data by Age'!$C186,'Tabular Pop Data by Age'!L$7),'Population Data by Age'!$B$7:$B$10366,0),MATCH('Tabular Pop Data by Age'!$C$6,'Population Data by Age'!$B$6:$H$6,0))</f>
        <v>528000</v>
      </c>
      <c r="M186" s="78">
        <f>INDEX('Population Data by Age'!$B$7:$H$10366,MATCH(CONCATENATE('Tabular Pop Data by Age'!$C186,'Tabular Pop Data by Age'!M$7),'Population Data by Age'!$B$7:$B$10366,0),MATCH('Tabular Pop Data by Age'!$C$6,'Population Data by Age'!$B$6:$H$6,0))</f>
        <v>534000</v>
      </c>
      <c r="N186" s="78">
        <f>INDEX('Population Data by Age'!$B$7:$H$10366,MATCH(CONCATENATE('Tabular Pop Data by Age'!$C186,'Tabular Pop Data by Age'!N$7),'Population Data by Age'!$B$7:$B$10366,0),MATCH('Tabular Pop Data by Age'!$C$6,'Population Data by Age'!$B$6:$H$6,0))</f>
        <v>450000</v>
      </c>
      <c r="O186" s="78">
        <f>INDEX('Population Data by Age'!$B$7:$H$10366,MATCH(CONCATENATE('Tabular Pop Data by Age'!$C186,'Tabular Pop Data by Age'!O$7),'Population Data by Age'!$B$7:$B$10366,0),MATCH('Tabular Pop Data by Age'!$C$6,'Population Data by Age'!$B$6:$H$6,0))</f>
        <v>451000</v>
      </c>
      <c r="P186" s="78">
        <f>INDEX('Population Data by Age'!$B$7:$H$10366,MATCH(CONCATENATE('Tabular Pop Data by Age'!$C186,'Tabular Pop Data by Age'!P$7),'Population Data by Age'!$B$7:$B$10366,0),MATCH('Tabular Pop Data by Age'!$C$6,'Population Data by Age'!$B$6:$H$6,0))</f>
        <v>372000</v>
      </c>
      <c r="Q186" s="78">
        <f>INDEX('Population Data by Age'!$B$7:$H$10366,MATCH(CONCATENATE('Tabular Pop Data by Age'!$C186,'Tabular Pop Data by Age'!Q$7),'Population Data by Age'!$B$7:$B$10366,0),MATCH('Tabular Pop Data by Age'!$C$6,'Population Data by Age'!$B$6:$H$6,0))</f>
        <v>372000</v>
      </c>
      <c r="R186" s="78">
        <f>INDEX('Population Data by Age'!$B$7:$H$10366,MATCH(CONCATENATE('Tabular Pop Data by Age'!$C186,'Tabular Pop Data by Age'!R$7),'Population Data by Age'!$B$7:$B$10366,0),MATCH('Tabular Pop Data by Age'!$C$6,'Population Data by Age'!$B$6:$H$6,0))</f>
        <v>296000</v>
      </c>
      <c r="S186" s="78">
        <f>INDEX('Population Data by Age'!$B$7:$H$10366,MATCH(CONCATENATE('Tabular Pop Data by Age'!$C186,'Tabular Pop Data by Age'!S$7),'Population Data by Age'!$B$7:$B$10366,0),MATCH('Tabular Pop Data by Age'!$C$6,'Population Data by Age'!$B$6:$H$6,0))</f>
        <v>294000</v>
      </c>
      <c r="T186" s="78">
        <f>INDEX('Population Data by Age'!$B$7:$H$10366,MATCH(CONCATENATE('Tabular Pop Data by Age'!$C186,'Tabular Pop Data by Age'!T$7),'Population Data by Age'!$B$7:$B$10366,0),MATCH('Tabular Pop Data by Age'!$C$6,'Population Data by Age'!$B$6:$H$6,0))</f>
        <v>247000</v>
      </c>
      <c r="U186" s="78">
        <f>INDEX('Population Data by Age'!$B$7:$H$10366,MATCH(CONCATENATE('Tabular Pop Data by Age'!$C186,'Tabular Pop Data by Age'!U$7),'Population Data by Age'!$B$7:$B$10366,0),MATCH('Tabular Pop Data by Age'!$C$6,'Population Data by Age'!$B$6:$H$6,0))</f>
        <v>245000</v>
      </c>
      <c r="V186" s="78">
        <f>INDEX('Population Data by Age'!$B$7:$H$10366,MATCH(CONCATENATE('Tabular Pop Data by Age'!$C186,'Tabular Pop Data by Age'!V$7),'Population Data by Age'!$B$7:$B$10366,0),MATCH('Tabular Pop Data by Age'!$C$6,'Population Data by Age'!$B$6:$H$6,0))</f>
        <v>204000</v>
      </c>
      <c r="W186" s="78">
        <f>INDEX('Population Data by Age'!$B$7:$H$10366,MATCH(CONCATENATE('Tabular Pop Data by Age'!$C186,'Tabular Pop Data by Age'!W$7),'Population Data by Age'!$B$7:$B$10366,0),MATCH('Tabular Pop Data by Age'!$C$6,'Population Data by Age'!$B$6:$H$6,0))</f>
        <v>201000</v>
      </c>
      <c r="X186" s="78">
        <f>INDEX('Population Data by Age'!$B$7:$H$10366,MATCH(CONCATENATE('Tabular Pop Data by Age'!$C186,'Tabular Pop Data by Age'!X$7),'Population Data by Age'!$B$7:$B$10366,0),MATCH('Tabular Pop Data by Age'!$C$6,'Population Data by Age'!$B$6:$H$6,0))</f>
        <v>169000</v>
      </c>
      <c r="Y186" s="78">
        <f>INDEX('Population Data by Age'!$B$7:$H$10366,MATCH(CONCATENATE('Tabular Pop Data by Age'!$C186,'Tabular Pop Data by Age'!Y$7),'Population Data by Age'!$B$7:$B$10366,0),MATCH('Tabular Pop Data by Age'!$C$6,'Population Data by Age'!$B$6:$H$6,0))</f>
        <v>163000</v>
      </c>
      <c r="Z186" s="78">
        <f>INDEX('Population Data by Age'!$B$7:$H$10366,MATCH(CONCATENATE('Tabular Pop Data by Age'!$C186,'Tabular Pop Data by Age'!Z$7),'Population Data by Age'!$B$7:$B$10366,0),MATCH('Tabular Pop Data by Age'!$C$6,'Population Data by Age'!$B$6:$H$6,0))</f>
        <v>136000</v>
      </c>
      <c r="AA186" s="78">
        <f>INDEX('Population Data by Age'!$B$7:$H$10366,MATCH(CONCATENATE('Tabular Pop Data by Age'!$C186,'Tabular Pop Data by Age'!AA$7),'Population Data by Age'!$B$7:$B$10366,0),MATCH('Tabular Pop Data by Age'!$C$6,'Population Data by Age'!$B$6:$H$6,0))</f>
        <v>127000</v>
      </c>
      <c r="AB186" s="78">
        <f>INDEX('Population Data by Age'!$B$7:$H$10366,MATCH(CONCATENATE('Tabular Pop Data by Age'!$C186,'Tabular Pop Data by Age'!AB$7),'Population Data by Age'!$B$7:$B$10366,0),MATCH('Tabular Pop Data by Age'!$C$6,'Population Data by Age'!$B$6:$H$6,0))</f>
        <v>106000</v>
      </c>
      <c r="AC186" s="78">
        <f>INDEX('Population Data by Age'!$B$7:$H$10366,MATCH(CONCATENATE('Tabular Pop Data by Age'!$C186,'Tabular Pop Data by Age'!AC$7),'Population Data by Age'!$B$7:$B$10366,0),MATCH('Tabular Pop Data by Age'!$C$6,'Population Data by Age'!$B$6:$H$6,0))</f>
        <v>95000</v>
      </c>
      <c r="AD186" s="78">
        <f>INDEX('Population Data by Age'!$B$7:$H$10366,MATCH(CONCATENATE('Tabular Pop Data by Age'!$C186,'Tabular Pop Data by Age'!AD$7),'Population Data by Age'!$B$7:$B$10366,0),MATCH('Tabular Pop Data by Age'!$C$6,'Population Data by Age'!$B$6:$H$6,0))</f>
        <v>77000</v>
      </c>
      <c r="AE186" s="78">
        <f>INDEX('Population Data by Age'!$B$7:$H$10366,MATCH(CONCATENATE('Tabular Pop Data by Age'!$C186,'Tabular Pop Data by Age'!AE$7),'Population Data by Age'!$B$7:$B$10366,0),MATCH('Tabular Pop Data by Age'!$C$6,'Population Data by Age'!$B$6:$H$6,0))</f>
        <v>67000</v>
      </c>
      <c r="AF186" s="78">
        <f>INDEX('Population Data by Age'!$B$7:$H$10366,MATCH(CONCATENATE('Tabular Pop Data by Age'!$C186,'Tabular Pop Data by Age'!AF$7),'Population Data by Age'!$B$7:$B$10366,0),MATCH('Tabular Pop Data by Age'!$C$6,'Population Data by Age'!$B$6:$H$6,0))</f>
        <v>60000</v>
      </c>
      <c r="AG186" s="78">
        <f>INDEX('Population Data by Age'!$B$7:$H$10366,MATCH(CONCATENATE('Tabular Pop Data by Age'!$C186,'Tabular Pop Data by Age'!AG$7),'Population Data by Age'!$B$7:$B$10366,0),MATCH('Tabular Pop Data by Age'!$C$6,'Population Data by Age'!$B$6:$H$6,0))</f>
        <v>52000</v>
      </c>
      <c r="AH186" s="78">
        <f>INDEX('Population Data by Age'!$B$7:$H$10366,MATCH(CONCATENATE('Tabular Pop Data by Age'!$C186,'Tabular Pop Data by Age'!AH$7),'Population Data by Age'!$B$7:$B$10366,0),MATCH('Tabular Pop Data by Age'!$C$6,'Population Data by Age'!$B$6:$H$6,0))</f>
        <v>38000</v>
      </c>
      <c r="AI186" s="78">
        <f>INDEX('Population Data by Age'!$B$7:$H$10366,MATCH(CONCATENATE('Tabular Pop Data by Age'!$C186,'Tabular Pop Data by Age'!AI$7),'Population Data by Age'!$B$7:$B$10366,0),MATCH('Tabular Pop Data by Age'!$C$6,'Population Data by Age'!$B$6:$H$6,0))</f>
        <v>32000</v>
      </c>
      <c r="AJ186" s="78">
        <f>INDEX('Population Data by Age'!$B$7:$H$10366,MATCH(CONCATENATE('Tabular Pop Data by Age'!$C186,'Tabular Pop Data by Age'!AJ$7),'Population Data by Age'!$B$7:$B$10366,0),MATCH('Tabular Pop Data by Age'!$C$6,'Population Data by Age'!$B$6:$H$6,0))</f>
        <v>28000</v>
      </c>
      <c r="AK186" s="78">
        <f>INDEX('Population Data by Age'!$B$7:$H$10366,MATCH(CONCATENATE('Tabular Pop Data by Age'!$C186,'Tabular Pop Data by Age'!AK$7),'Population Data by Age'!$B$7:$B$10366,0),MATCH('Tabular Pop Data by Age'!$C$6,'Population Data by Age'!$B$6:$H$6,0))</f>
        <v>21000</v>
      </c>
      <c r="AL186" s="78">
        <f>INDEX('Population Data by Age'!$B$7:$H$10366,MATCH(CONCATENATE('Tabular Pop Data by Age'!$C186,'Tabular Pop Data by Age'!AL$7),'Population Data by Age'!$B$7:$B$10366,0),MATCH('Tabular Pop Data by Age'!$C$6,'Population Data by Age'!$B$6:$H$6,0))</f>
        <v>5591000</v>
      </c>
      <c r="AM186" s="78">
        <f>INDEX('Population Data by Age'!$B$7:$H$10366,MATCH(CONCATENATE('Tabular Pop Data by Age'!$C186,'Tabular Pop Data by Age'!AM$7),'Population Data by Age'!$B$7:$B$10366,0),MATCH('Tabular Pop Data by Age'!$C$6,'Population Data by Age'!$B$6:$H$6,0))</f>
        <v>5603000</v>
      </c>
      <c r="AN186" s="78">
        <f>INDEX('Population Data by Age'!$B$7:$H$10366,MATCH(CONCATENATE('Tabular Pop Data by Age'!$C186,'Tabular Pop Data by Age'!AN$7),'Population Data by Age'!$B$7:$B$10366,0),MATCH('Tabular Pop Data by Age'!$C$6,'Population Data by Age'!$B$6:$H$6,0))</f>
        <v>11194000</v>
      </c>
      <c r="AO186" s="78">
        <f>INDEX('Population Data by Age'!$B$7:$H$10366,MATCH(CONCATENATE('Tabular Pop Data by Age'!$C186,'Tabular Pop Data by Age'!AO$7),'Population Data by Age'!$B$7:$B$10366,0),MATCH('Tabular Pop Data by Age'!$C$6,'Population Data by Age'!$B$6:$H$6,0))</f>
        <v>0</v>
      </c>
      <c r="AP186" s="79">
        <f t="shared" si="51"/>
        <v>1708000</v>
      </c>
      <c r="AQ186" s="79">
        <f t="shared" si="52"/>
        <v>1539000</v>
      </c>
      <c r="AR186" s="79">
        <f t="shared" si="53"/>
        <v>1380000</v>
      </c>
      <c r="AS186" s="79">
        <f t="shared" si="54"/>
        <v>1202000</v>
      </c>
      <c r="AT186" s="79">
        <f t="shared" si="55"/>
        <v>1062000</v>
      </c>
      <c r="AU186" s="79">
        <f t="shared" si="56"/>
        <v>901000</v>
      </c>
      <c r="AV186" s="79">
        <f t="shared" si="57"/>
        <v>744000</v>
      </c>
      <c r="AW186" s="79">
        <f t="shared" si="58"/>
        <v>590000</v>
      </c>
      <c r="AX186" s="79">
        <f t="shared" si="59"/>
        <v>492000</v>
      </c>
      <c r="AY186" s="79">
        <f t="shared" si="60"/>
        <v>405000</v>
      </c>
      <c r="AZ186" s="79">
        <f t="shared" si="61"/>
        <v>332000</v>
      </c>
      <c r="BA186" s="79">
        <f t="shared" si="62"/>
        <v>263000</v>
      </c>
      <c r="BB186" s="79">
        <f t="shared" si="63"/>
        <v>201000</v>
      </c>
      <c r="BC186" s="79">
        <f t="shared" si="64"/>
        <v>144000</v>
      </c>
      <c r="BD186" s="79">
        <f t="shared" si="65"/>
        <v>112000</v>
      </c>
      <c r="BE186" s="79">
        <f t="shared" si="66"/>
        <v>70000</v>
      </c>
      <c r="BF186" s="79">
        <f t="shared" si="67"/>
        <v>49000</v>
      </c>
    </row>
    <row r="187" spans="1:58" x14ac:dyDescent="0.25">
      <c r="A187" s="138" t="s">
        <v>1195</v>
      </c>
      <c r="B187" t="s">
        <v>636</v>
      </c>
      <c r="C187" t="s">
        <v>40</v>
      </c>
      <c r="D187" s="78">
        <f>INDEX('Population Data by Age'!$B$7:$H$10366,MATCH(CONCATENATE('Tabular Pop Data by Age'!$C187,'Tabular Pop Data by Age'!D$7),'Population Data by Age'!$B$7:$B$10366,0),MATCH('Tabular Pop Data by Age'!$C$6,'Population Data by Age'!$B$6:$H$6,0))</f>
        <v>964000</v>
      </c>
      <c r="E187" s="78">
        <f>INDEX('Population Data by Age'!$B$7:$H$10366,MATCH(CONCATENATE('Tabular Pop Data by Age'!$C187,'Tabular Pop Data by Age'!E$7),'Population Data by Age'!$B$7:$B$10366,0),MATCH('Tabular Pop Data by Age'!$C$6,'Population Data by Age'!$B$6:$H$6,0))</f>
        <v>1025000</v>
      </c>
      <c r="F187" s="78">
        <f>INDEX('Population Data by Age'!$B$7:$H$10366,MATCH(CONCATENATE('Tabular Pop Data by Age'!$C187,'Tabular Pop Data by Age'!F$7),'Population Data by Age'!$B$7:$B$10366,0),MATCH('Tabular Pop Data by Age'!$C$6,'Population Data by Age'!$B$6:$H$6,0))</f>
        <v>1087000</v>
      </c>
      <c r="G187" s="78">
        <f>INDEX('Population Data by Age'!$B$7:$H$10366,MATCH(CONCATENATE('Tabular Pop Data by Age'!$C187,'Tabular Pop Data by Age'!G$7),'Population Data by Age'!$B$7:$B$10366,0),MATCH('Tabular Pop Data by Age'!$C$6,'Population Data by Age'!$B$6:$H$6,0))</f>
        <v>1156000</v>
      </c>
      <c r="H187" s="78">
        <f>INDEX('Population Data by Age'!$B$7:$H$10366,MATCH(CONCATENATE('Tabular Pop Data by Age'!$C187,'Tabular Pop Data by Age'!H$7),'Population Data by Age'!$B$7:$B$10366,0),MATCH('Tabular Pop Data by Age'!$C$6,'Population Data by Age'!$B$6:$H$6,0))</f>
        <v>1206000</v>
      </c>
      <c r="I187" s="78">
        <f>INDEX('Population Data by Age'!$B$7:$H$10366,MATCH(CONCATENATE('Tabular Pop Data by Age'!$C187,'Tabular Pop Data by Age'!I$7),'Population Data by Age'!$B$7:$B$10366,0),MATCH('Tabular Pop Data by Age'!$C$6,'Population Data by Age'!$B$6:$H$6,0))</f>
        <v>1289000</v>
      </c>
      <c r="J187" s="78">
        <f>INDEX('Population Data by Age'!$B$7:$H$10366,MATCH(CONCATENATE('Tabular Pop Data by Age'!$C187,'Tabular Pop Data by Age'!J$7),'Population Data by Age'!$B$7:$B$10366,0),MATCH('Tabular Pop Data by Age'!$C$6,'Population Data by Age'!$B$6:$H$6,0))</f>
        <v>1086000</v>
      </c>
      <c r="K187" s="78">
        <f>INDEX('Population Data by Age'!$B$7:$H$10366,MATCH(CONCATENATE('Tabular Pop Data by Age'!$C187,'Tabular Pop Data by Age'!K$7),'Population Data by Age'!$B$7:$B$10366,0),MATCH('Tabular Pop Data by Age'!$C$6,'Population Data by Age'!$B$6:$H$6,0))</f>
        <v>1150000</v>
      </c>
      <c r="L187" s="78">
        <f>INDEX('Population Data by Age'!$B$7:$H$10366,MATCH(CONCATENATE('Tabular Pop Data by Age'!$C187,'Tabular Pop Data by Age'!L$7),'Population Data by Age'!$B$7:$B$10366,0),MATCH('Tabular Pop Data by Age'!$C$6,'Population Data by Age'!$B$6:$H$6,0))</f>
        <v>1100000</v>
      </c>
      <c r="M187" s="78">
        <f>INDEX('Population Data by Age'!$B$7:$H$10366,MATCH(CONCATENATE('Tabular Pop Data by Age'!$C187,'Tabular Pop Data by Age'!M$7),'Population Data by Age'!$B$7:$B$10366,0),MATCH('Tabular Pop Data by Age'!$C$6,'Population Data by Age'!$B$6:$H$6,0))</f>
        <v>1154000</v>
      </c>
      <c r="N187" s="78">
        <f>INDEX('Population Data by Age'!$B$7:$H$10366,MATCH(CONCATENATE('Tabular Pop Data by Age'!$C187,'Tabular Pop Data by Age'!N$7),'Population Data by Age'!$B$7:$B$10366,0),MATCH('Tabular Pop Data by Age'!$C$6,'Population Data by Age'!$B$6:$H$6,0))</f>
        <v>1156000</v>
      </c>
      <c r="O187" s="78">
        <f>INDEX('Population Data by Age'!$B$7:$H$10366,MATCH(CONCATENATE('Tabular Pop Data by Age'!$C187,'Tabular Pop Data by Age'!O$7),'Population Data by Age'!$B$7:$B$10366,0),MATCH('Tabular Pop Data by Age'!$C$6,'Population Data by Age'!$B$6:$H$6,0))</f>
        <v>1203000</v>
      </c>
      <c r="P187" s="78">
        <f>INDEX('Population Data by Age'!$B$7:$H$10366,MATCH(CONCATENATE('Tabular Pop Data by Age'!$C187,'Tabular Pop Data by Age'!P$7),'Population Data by Age'!$B$7:$B$10366,0),MATCH('Tabular Pop Data by Age'!$C$6,'Population Data by Age'!$B$6:$H$6,0))</f>
        <v>1302000</v>
      </c>
      <c r="Q187" s="78">
        <f>INDEX('Population Data by Age'!$B$7:$H$10366,MATCH(CONCATENATE('Tabular Pop Data by Age'!$C187,'Tabular Pop Data by Age'!Q$7),'Population Data by Age'!$B$7:$B$10366,0),MATCH('Tabular Pop Data by Age'!$C$6,'Population Data by Age'!$B$6:$H$6,0))</f>
        <v>1315000</v>
      </c>
      <c r="R187" s="78">
        <f>INDEX('Population Data by Age'!$B$7:$H$10366,MATCH(CONCATENATE('Tabular Pop Data by Age'!$C187,'Tabular Pop Data by Age'!R$7),'Population Data by Age'!$B$7:$B$10366,0),MATCH('Tabular Pop Data by Age'!$C$6,'Population Data by Age'!$B$6:$H$6,0))</f>
        <v>1645000</v>
      </c>
      <c r="S187" s="78">
        <f>INDEX('Population Data by Age'!$B$7:$H$10366,MATCH(CONCATENATE('Tabular Pop Data by Age'!$C187,'Tabular Pop Data by Age'!S$7),'Population Data by Age'!$B$7:$B$10366,0),MATCH('Tabular Pop Data by Age'!$C$6,'Population Data by Age'!$B$6:$H$6,0))</f>
        <v>1635000</v>
      </c>
      <c r="T187" s="78">
        <f>INDEX('Population Data by Age'!$B$7:$H$10366,MATCH(CONCATENATE('Tabular Pop Data by Age'!$C187,'Tabular Pop Data by Age'!T$7),'Population Data by Age'!$B$7:$B$10366,0),MATCH('Tabular Pop Data by Age'!$C$6,'Population Data by Age'!$B$6:$H$6,0))</f>
        <v>1973000</v>
      </c>
      <c r="U187" s="78">
        <f>INDEX('Population Data by Age'!$B$7:$H$10366,MATCH(CONCATENATE('Tabular Pop Data by Age'!$C187,'Tabular Pop Data by Age'!U$7),'Population Data by Age'!$B$7:$B$10366,0),MATCH('Tabular Pop Data by Age'!$C$6,'Population Data by Age'!$B$6:$H$6,0))</f>
        <v>2025000</v>
      </c>
      <c r="V187" s="78">
        <f>INDEX('Population Data by Age'!$B$7:$H$10366,MATCH(CONCATENATE('Tabular Pop Data by Age'!$C187,'Tabular Pop Data by Age'!V$7),'Population Data by Age'!$B$7:$B$10366,0),MATCH('Tabular Pop Data by Age'!$C$6,'Population Data by Age'!$B$6:$H$6,0))</f>
        <v>1923000</v>
      </c>
      <c r="W187" s="78">
        <f>INDEX('Population Data by Age'!$B$7:$H$10366,MATCH(CONCATENATE('Tabular Pop Data by Age'!$C187,'Tabular Pop Data by Age'!W$7),'Population Data by Age'!$B$7:$B$10366,0),MATCH('Tabular Pop Data by Age'!$C$6,'Population Data by Age'!$B$6:$H$6,0))</f>
        <v>2011000</v>
      </c>
      <c r="X187" s="78">
        <f>INDEX('Population Data by Age'!$B$7:$H$10366,MATCH(CONCATENATE('Tabular Pop Data by Age'!$C187,'Tabular Pop Data by Age'!X$7),'Population Data by Age'!$B$7:$B$10366,0),MATCH('Tabular Pop Data by Age'!$C$6,'Population Data by Age'!$B$6:$H$6,0))</f>
        <v>1802000</v>
      </c>
      <c r="Y187" s="78">
        <f>INDEX('Population Data by Age'!$B$7:$H$10366,MATCH(CONCATENATE('Tabular Pop Data by Age'!$C187,'Tabular Pop Data by Age'!Y$7),'Population Data by Age'!$B$7:$B$10366,0),MATCH('Tabular Pop Data by Age'!$C$6,'Population Data by Age'!$B$6:$H$6,0))</f>
        <v>1827000</v>
      </c>
      <c r="Z187" s="78">
        <f>INDEX('Population Data by Age'!$B$7:$H$10366,MATCH(CONCATENATE('Tabular Pop Data by Age'!$C187,'Tabular Pop Data by Age'!Z$7),'Population Data by Age'!$B$7:$B$10366,0),MATCH('Tabular Pop Data by Age'!$C$6,'Population Data by Age'!$B$6:$H$6,0))</f>
        <v>1728000</v>
      </c>
      <c r="AA187" s="78">
        <f>INDEX('Population Data by Age'!$B$7:$H$10366,MATCH(CONCATENATE('Tabular Pop Data by Age'!$C187,'Tabular Pop Data by Age'!AA$7),'Population Data by Age'!$B$7:$B$10366,0),MATCH('Tabular Pop Data by Age'!$C$6,'Population Data by Age'!$B$6:$H$6,0))</f>
        <v>1683000</v>
      </c>
      <c r="AB187" s="78">
        <f>INDEX('Population Data by Age'!$B$7:$H$10366,MATCH(CONCATENATE('Tabular Pop Data by Age'!$C187,'Tabular Pop Data by Age'!AB$7),'Population Data by Age'!$B$7:$B$10366,0),MATCH('Tabular Pop Data by Age'!$C$6,'Population Data by Age'!$B$6:$H$6,0))</f>
        <v>1512000</v>
      </c>
      <c r="AC187" s="78">
        <f>INDEX('Population Data by Age'!$B$7:$H$10366,MATCH(CONCATENATE('Tabular Pop Data by Age'!$C187,'Tabular Pop Data by Age'!AC$7),'Population Data by Age'!$B$7:$B$10366,0),MATCH('Tabular Pop Data by Age'!$C$6,'Population Data by Age'!$B$6:$H$6,0))</f>
        <v>1425000</v>
      </c>
      <c r="AD187" s="78">
        <f>INDEX('Population Data by Age'!$B$7:$H$10366,MATCH(CONCATENATE('Tabular Pop Data by Age'!$C187,'Tabular Pop Data by Age'!AD$7),'Population Data by Age'!$B$7:$B$10366,0),MATCH('Tabular Pop Data by Age'!$C$6,'Population Data by Age'!$B$6:$H$6,0))</f>
        <v>1252000</v>
      </c>
      <c r="AE187" s="78">
        <f>INDEX('Population Data by Age'!$B$7:$H$10366,MATCH(CONCATENATE('Tabular Pop Data by Age'!$C187,'Tabular Pop Data by Age'!AE$7),'Population Data by Age'!$B$7:$B$10366,0),MATCH('Tabular Pop Data by Age'!$C$6,'Population Data by Age'!$B$6:$H$6,0))</f>
        <v>1147000</v>
      </c>
      <c r="AF187" s="78">
        <f>INDEX('Population Data by Age'!$B$7:$H$10366,MATCH(CONCATENATE('Tabular Pop Data by Age'!$C187,'Tabular Pop Data by Age'!AF$7),'Population Data by Age'!$B$7:$B$10366,0),MATCH('Tabular Pop Data by Age'!$C$6,'Population Data by Age'!$B$6:$H$6,0))</f>
        <v>1180000</v>
      </c>
      <c r="AG187" s="78">
        <f>INDEX('Population Data by Age'!$B$7:$H$10366,MATCH(CONCATENATE('Tabular Pop Data by Age'!$C187,'Tabular Pop Data by Age'!AG$7),'Population Data by Age'!$B$7:$B$10366,0),MATCH('Tabular Pop Data by Age'!$C$6,'Population Data by Age'!$B$6:$H$6,0))</f>
        <v>1022000</v>
      </c>
      <c r="AH187" s="78">
        <f>INDEX('Population Data by Age'!$B$7:$H$10366,MATCH(CONCATENATE('Tabular Pop Data by Age'!$C187,'Tabular Pop Data by Age'!AH$7),'Population Data by Age'!$B$7:$B$10366,0),MATCH('Tabular Pop Data by Age'!$C$6,'Population Data by Age'!$B$6:$H$6,0))</f>
        <v>1004000</v>
      </c>
      <c r="AI187" s="78">
        <f>INDEX('Population Data by Age'!$B$7:$H$10366,MATCH(CONCATENATE('Tabular Pop Data by Age'!$C187,'Tabular Pop Data by Age'!AI$7),'Population Data by Age'!$B$7:$B$10366,0),MATCH('Tabular Pop Data by Age'!$C$6,'Population Data by Age'!$B$6:$H$6,0))</f>
        <v>805000</v>
      </c>
      <c r="AJ187" s="78">
        <f>INDEX('Population Data by Age'!$B$7:$H$10366,MATCH(CONCATENATE('Tabular Pop Data by Age'!$C187,'Tabular Pop Data by Age'!AJ$7),'Population Data by Age'!$B$7:$B$10366,0),MATCH('Tabular Pop Data by Age'!$C$6,'Population Data by Age'!$B$6:$H$6,0))</f>
        <v>1834000</v>
      </c>
      <c r="AK187" s="78">
        <f>INDEX('Population Data by Age'!$B$7:$H$10366,MATCH(CONCATENATE('Tabular Pop Data by Age'!$C187,'Tabular Pop Data by Age'!AK$7),'Population Data by Age'!$B$7:$B$10366,0),MATCH('Tabular Pop Data by Age'!$C$6,'Population Data by Age'!$B$6:$H$6,0))</f>
        <v>1087000</v>
      </c>
      <c r="AL187" s="78">
        <f>INDEX('Population Data by Age'!$B$7:$H$10366,MATCH(CONCATENATE('Tabular Pop Data by Age'!$C187,'Tabular Pop Data by Age'!AL$7),'Population Data by Age'!$B$7:$B$10366,0),MATCH('Tabular Pop Data by Age'!$C$6,'Population Data by Age'!$B$6:$H$6,0))</f>
        <v>23754000</v>
      </c>
      <c r="AM187" s="78">
        <f>INDEX('Population Data by Age'!$B$7:$H$10366,MATCH(CONCATENATE('Tabular Pop Data by Age'!$C187,'Tabular Pop Data by Age'!AM$7),'Population Data by Age'!$B$7:$B$10366,0),MATCH('Tabular Pop Data by Age'!$C$6,'Population Data by Age'!$B$6:$H$6,0))</f>
        <v>22957000</v>
      </c>
      <c r="AN187" s="78">
        <f>INDEX('Population Data by Age'!$B$7:$H$10366,MATCH(CONCATENATE('Tabular Pop Data by Age'!$C187,'Tabular Pop Data by Age'!AN$7),'Population Data by Age'!$B$7:$B$10366,0),MATCH('Tabular Pop Data by Age'!$C$6,'Population Data by Age'!$B$6:$H$6,0))</f>
        <v>46711000</v>
      </c>
      <c r="AO187" s="78">
        <f>INDEX('Population Data by Age'!$B$7:$H$10366,MATCH(CONCATENATE('Tabular Pop Data by Age'!$C187,'Tabular Pop Data by Age'!AO$7),'Population Data by Age'!$B$7:$B$10366,0),MATCH('Tabular Pop Data by Age'!$C$6,'Population Data by Age'!$B$6:$H$6,0))</f>
        <v>0</v>
      </c>
      <c r="AP187" s="79">
        <f t="shared" si="51"/>
        <v>1989000</v>
      </c>
      <c r="AQ187" s="79">
        <f t="shared" si="52"/>
        <v>2243000</v>
      </c>
      <c r="AR187" s="79">
        <f t="shared" si="53"/>
        <v>2495000</v>
      </c>
      <c r="AS187" s="79">
        <f t="shared" si="54"/>
        <v>2236000</v>
      </c>
      <c r="AT187" s="79">
        <f t="shared" si="55"/>
        <v>2254000</v>
      </c>
      <c r="AU187" s="79">
        <f t="shared" si="56"/>
        <v>2359000</v>
      </c>
      <c r="AV187" s="79">
        <f t="shared" si="57"/>
        <v>2617000</v>
      </c>
      <c r="AW187" s="79">
        <f t="shared" si="58"/>
        <v>3280000</v>
      </c>
      <c r="AX187" s="79">
        <f t="shared" si="59"/>
        <v>3998000</v>
      </c>
      <c r="AY187" s="79">
        <f t="shared" si="60"/>
        <v>3934000</v>
      </c>
      <c r="AZ187" s="79">
        <f t="shared" si="61"/>
        <v>3629000</v>
      </c>
      <c r="BA187" s="79">
        <f t="shared" si="62"/>
        <v>3411000</v>
      </c>
      <c r="BB187" s="79">
        <f t="shared" si="63"/>
        <v>2937000</v>
      </c>
      <c r="BC187" s="79">
        <f t="shared" si="64"/>
        <v>2399000</v>
      </c>
      <c r="BD187" s="79">
        <f t="shared" si="65"/>
        <v>2202000</v>
      </c>
      <c r="BE187" s="79">
        <f t="shared" si="66"/>
        <v>1809000</v>
      </c>
      <c r="BF187" s="79">
        <f t="shared" si="67"/>
        <v>2921000</v>
      </c>
    </row>
    <row r="188" spans="1:58" x14ac:dyDescent="0.25">
      <c r="A188" s="138" t="s">
        <v>1195</v>
      </c>
      <c r="B188" t="s">
        <v>245</v>
      </c>
      <c r="C188" t="s">
        <v>81</v>
      </c>
      <c r="D188" s="78">
        <f>INDEX('Population Data by Age'!$B$7:$H$10366,MATCH(CONCATENATE('Tabular Pop Data by Age'!$C188,'Tabular Pop Data by Age'!D$7),'Population Data by Age'!$B$7:$B$10366,0),MATCH('Tabular Pop Data by Age'!$C$6,'Population Data by Age'!$B$6:$H$6,0))</f>
        <v>832000</v>
      </c>
      <c r="E188" s="78">
        <f>INDEX('Population Data by Age'!$B$7:$H$10366,MATCH(CONCATENATE('Tabular Pop Data by Age'!$C188,'Tabular Pop Data by Age'!E$7),'Population Data by Age'!$B$7:$B$10366,0),MATCH('Tabular Pop Data by Age'!$C$6,'Population Data by Age'!$B$6:$H$6,0))</f>
        <v>861000</v>
      </c>
      <c r="F188" s="78">
        <f>INDEX('Population Data by Age'!$B$7:$H$10366,MATCH(CONCATENATE('Tabular Pop Data by Age'!$C188,'Tabular Pop Data by Age'!F$7),'Population Data by Age'!$B$7:$B$10366,0),MATCH('Tabular Pop Data by Age'!$C$6,'Population Data by Age'!$B$6:$H$6,0))</f>
        <v>850000</v>
      </c>
      <c r="G188" s="78">
        <f>INDEX('Population Data by Age'!$B$7:$H$10366,MATCH(CONCATENATE('Tabular Pop Data by Age'!$C188,'Tabular Pop Data by Age'!G$7),'Population Data by Age'!$B$7:$B$10366,0),MATCH('Tabular Pop Data by Age'!$C$6,'Population Data by Age'!$B$6:$H$6,0))</f>
        <v>873000</v>
      </c>
      <c r="H188" s="78">
        <f>INDEX('Population Data by Age'!$B$7:$H$10366,MATCH(CONCATENATE('Tabular Pop Data by Age'!$C188,'Tabular Pop Data by Age'!H$7),'Population Data by Age'!$B$7:$B$10366,0),MATCH('Tabular Pop Data by Age'!$C$6,'Population Data by Age'!$B$6:$H$6,0))</f>
        <v>874000</v>
      </c>
      <c r="I188" s="78">
        <f>INDEX('Population Data by Age'!$B$7:$H$10366,MATCH(CONCATENATE('Tabular Pop Data by Age'!$C188,'Tabular Pop Data by Age'!I$7),'Population Data by Age'!$B$7:$B$10366,0),MATCH('Tabular Pop Data by Age'!$C$6,'Population Data by Age'!$B$6:$H$6,0))</f>
        <v>882000</v>
      </c>
      <c r="J188" s="78">
        <f>INDEX('Population Data by Age'!$B$7:$H$10366,MATCH(CONCATENATE('Tabular Pop Data by Age'!$C188,'Tabular Pop Data by Age'!J$7),'Population Data by Age'!$B$7:$B$10366,0),MATCH('Tabular Pop Data by Age'!$C$6,'Population Data by Age'!$B$6:$H$6,0))</f>
        <v>850000</v>
      </c>
      <c r="K188" s="78">
        <f>INDEX('Population Data by Age'!$B$7:$H$10366,MATCH(CONCATENATE('Tabular Pop Data by Age'!$C188,'Tabular Pop Data by Age'!K$7),'Population Data by Age'!$B$7:$B$10366,0),MATCH('Tabular Pop Data by Age'!$C$6,'Population Data by Age'!$B$6:$H$6,0))</f>
        <v>847000</v>
      </c>
      <c r="L188" s="78">
        <f>INDEX('Population Data by Age'!$B$7:$H$10366,MATCH(CONCATENATE('Tabular Pop Data by Age'!$C188,'Tabular Pop Data by Age'!L$7),'Population Data by Age'!$B$7:$B$10366,0),MATCH('Tabular Pop Data by Age'!$C$6,'Population Data by Age'!$B$6:$H$6,0))</f>
        <v>768000</v>
      </c>
      <c r="M188" s="78">
        <f>INDEX('Population Data by Age'!$B$7:$H$10366,MATCH(CONCATENATE('Tabular Pop Data by Age'!$C188,'Tabular Pop Data by Age'!M$7),'Population Data by Age'!$B$7:$B$10366,0),MATCH('Tabular Pop Data by Age'!$C$6,'Population Data by Age'!$B$6:$H$6,0))</f>
        <v>758000</v>
      </c>
      <c r="N188" s="78">
        <f>INDEX('Population Data by Age'!$B$7:$H$10366,MATCH(CONCATENATE('Tabular Pop Data by Age'!$C188,'Tabular Pop Data by Age'!N$7),'Population Data by Age'!$B$7:$B$10366,0),MATCH('Tabular Pop Data by Age'!$C$6,'Population Data by Age'!$B$6:$H$6,0))</f>
        <v>746000</v>
      </c>
      <c r="O188" s="78">
        <f>INDEX('Population Data by Age'!$B$7:$H$10366,MATCH(CONCATENATE('Tabular Pop Data by Age'!$C188,'Tabular Pop Data by Age'!O$7),'Population Data by Age'!$B$7:$B$10366,0),MATCH('Tabular Pop Data by Age'!$C$6,'Population Data by Age'!$B$6:$H$6,0))</f>
        <v>688000</v>
      </c>
      <c r="P188" s="78">
        <f>INDEX('Population Data by Age'!$B$7:$H$10366,MATCH(CONCATENATE('Tabular Pop Data by Age'!$C188,'Tabular Pop Data by Age'!P$7),'Population Data by Age'!$B$7:$B$10366,0),MATCH('Tabular Pop Data by Age'!$C$6,'Population Data by Age'!$B$6:$H$6,0))</f>
        <v>744000</v>
      </c>
      <c r="Q188" s="78">
        <f>INDEX('Population Data by Age'!$B$7:$H$10366,MATCH(CONCATENATE('Tabular Pop Data by Age'!$C188,'Tabular Pop Data by Age'!Q$7),'Population Data by Age'!$B$7:$B$10366,0),MATCH('Tabular Pop Data by Age'!$C$6,'Population Data by Age'!$B$6:$H$6,0))</f>
        <v>636000</v>
      </c>
      <c r="R188" s="78">
        <f>INDEX('Population Data by Age'!$B$7:$H$10366,MATCH(CONCATENATE('Tabular Pop Data by Age'!$C188,'Tabular Pop Data by Age'!R$7),'Population Data by Age'!$B$7:$B$10366,0),MATCH('Tabular Pop Data by Age'!$C$6,'Population Data by Age'!$B$6:$H$6,0))</f>
        <v>802000</v>
      </c>
      <c r="S188" s="78">
        <f>INDEX('Population Data by Age'!$B$7:$H$10366,MATCH(CONCATENATE('Tabular Pop Data by Age'!$C188,'Tabular Pop Data by Age'!S$7),'Population Data by Age'!$B$7:$B$10366,0),MATCH('Tabular Pop Data by Age'!$C$6,'Population Data by Age'!$B$6:$H$6,0))</f>
        <v>695000</v>
      </c>
      <c r="T188" s="78">
        <f>INDEX('Population Data by Age'!$B$7:$H$10366,MATCH(CONCATENATE('Tabular Pop Data by Age'!$C188,'Tabular Pop Data by Age'!T$7),'Population Data by Age'!$B$7:$B$10366,0),MATCH('Tabular Pop Data by Age'!$C$6,'Population Data by Age'!$B$6:$H$6,0))</f>
        <v>809000</v>
      </c>
      <c r="U188" s="78">
        <f>INDEX('Population Data by Age'!$B$7:$H$10366,MATCH(CONCATENATE('Tabular Pop Data by Age'!$C188,'Tabular Pop Data by Age'!U$7),'Population Data by Age'!$B$7:$B$10366,0),MATCH('Tabular Pop Data by Age'!$C$6,'Population Data by Age'!$B$6:$H$6,0))</f>
        <v>745000</v>
      </c>
      <c r="V188" s="78">
        <f>INDEX('Population Data by Age'!$B$7:$H$10366,MATCH(CONCATENATE('Tabular Pop Data by Age'!$C188,'Tabular Pop Data by Age'!V$7),'Population Data by Age'!$B$7:$B$10366,0),MATCH('Tabular Pop Data by Age'!$C$6,'Population Data by Age'!$B$6:$H$6,0))</f>
        <v>711000</v>
      </c>
      <c r="W188" s="78">
        <f>INDEX('Population Data by Age'!$B$7:$H$10366,MATCH(CONCATENATE('Tabular Pop Data by Age'!$C188,'Tabular Pop Data by Age'!W$7),'Population Data by Age'!$B$7:$B$10366,0),MATCH('Tabular Pop Data by Age'!$C$6,'Population Data by Age'!$B$6:$H$6,0))</f>
        <v>673000</v>
      </c>
      <c r="X188" s="78">
        <f>INDEX('Population Data by Age'!$B$7:$H$10366,MATCH(CONCATENATE('Tabular Pop Data by Age'!$C188,'Tabular Pop Data by Age'!X$7),'Population Data by Age'!$B$7:$B$10366,0),MATCH('Tabular Pop Data by Age'!$C$6,'Population Data by Age'!$B$6:$H$6,0))</f>
        <v>691000</v>
      </c>
      <c r="Y188" s="78">
        <f>INDEX('Population Data by Age'!$B$7:$H$10366,MATCH(CONCATENATE('Tabular Pop Data by Age'!$C188,'Tabular Pop Data by Age'!Y$7),'Population Data by Age'!$B$7:$B$10366,0),MATCH('Tabular Pop Data by Age'!$C$6,'Population Data by Age'!$B$6:$H$6,0))</f>
        <v>653000</v>
      </c>
      <c r="Z188" s="78">
        <f>INDEX('Population Data by Age'!$B$7:$H$10366,MATCH(CONCATENATE('Tabular Pop Data by Age'!$C188,'Tabular Pop Data by Age'!Z$7),'Population Data by Age'!$B$7:$B$10366,0),MATCH('Tabular Pop Data by Age'!$C$6,'Population Data by Age'!$B$6:$H$6,0))</f>
        <v>661000</v>
      </c>
      <c r="AA188" s="78">
        <f>INDEX('Population Data by Age'!$B$7:$H$10366,MATCH(CONCATENATE('Tabular Pop Data by Age'!$C188,'Tabular Pop Data by Age'!AA$7),'Population Data by Age'!$B$7:$B$10366,0),MATCH('Tabular Pop Data by Age'!$C$6,'Population Data by Age'!$B$6:$H$6,0))</f>
        <v>601000</v>
      </c>
      <c r="AB188" s="78">
        <f>INDEX('Population Data by Age'!$B$7:$H$10366,MATCH(CONCATENATE('Tabular Pop Data by Age'!$C188,'Tabular Pop Data by Age'!AB$7),'Population Data by Age'!$B$7:$B$10366,0),MATCH('Tabular Pop Data by Age'!$C$6,'Population Data by Age'!$B$6:$H$6,0))</f>
        <v>613000</v>
      </c>
      <c r="AC188" s="78">
        <f>INDEX('Population Data by Age'!$B$7:$H$10366,MATCH(CONCATENATE('Tabular Pop Data by Age'!$C188,'Tabular Pop Data by Age'!AC$7),'Population Data by Age'!$B$7:$B$10366,0),MATCH('Tabular Pop Data by Age'!$C$6,'Population Data by Age'!$B$6:$H$6,0))</f>
        <v>523000</v>
      </c>
      <c r="AD188" s="78">
        <f>INDEX('Population Data by Age'!$B$7:$H$10366,MATCH(CONCATENATE('Tabular Pop Data by Age'!$C188,'Tabular Pop Data by Age'!AD$7),'Population Data by Age'!$B$7:$B$10366,0),MATCH('Tabular Pop Data by Age'!$C$6,'Population Data by Age'!$B$6:$H$6,0))</f>
        <v>504000</v>
      </c>
      <c r="AE188" s="78">
        <f>INDEX('Population Data by Age'!$B$7:$H$10366,MATCH(CONCATENATE('Tabular Pop Data by Age'!$C188,'Tabular Pop Data by Age'!AE$7),'Population Data by Age'!$B$7:$B$10366,0),MATCH('Tabular Pop Data by Age'!$C$6,'Population Data by Age'!$B$6:$H$6,0))</f>
        <v>413000</v>
      </c>
      <c r="AF188" s="78">
        <f>INDEX('Population Data by Age'!$B$7:$H$10366,MATCH(CONCATENATE('Tabular Pop Data by Age'!$C188,'Tabular Pop Data by Age'!AF$7),'Population Data by Age'!$B$7:$B$10366,0),MATCH('Tabular Pop Data by Age'!$C$6,'Population Data by Age'!$B$6:$H$6,0))</f>
        <v>423000</v>
      </c>
      <c r="AG188" s="78">
        <f>INDEX('Population Data by Age'!$B$7:$H$10366,MATCH(CONCATENATE('Tabular Pop Data by Age'!$C188,'Tabular Pop Data by Age'!AG$7),'Population Data by Age'!$B$7:$B$10366,0),MATCH('Tabular Pop Data by Age'!$C$6,'Population Data by Age'!$B$6:$H$6,0))</f>
        <v>318000</v>
      </c>
      <c r="AH188" s="78">
        <f>INDEX('Population Data by Age'!$B$7:$H$10366,MATCH(CONCATENATE('Tabular Pop Data by Age'!$C188,'Tabular Pop Data by Age'!AH$7),'Population Data by Age'!$B$7:$B$10366,0),MATCH('Tabular Pop Data by Age'!$C$6,'Population Data by Age'!$B$6:$H$6,0))</f>
        <v>259000</v>
      </c>
      <c r="AI188" s="78">
        <f>INDEX('Population Data by Age'!$B$7:$H$10366,MATCH(CONCATENATE('Tabular Pop Data by Age'!$C188,'Tabular Pop Data by Age'!AI$7),'Population Data by Age'!$B$7:$B$10366,0),MATCH('Tabular Pop Data by Age'!$C$6,'Population Data by Age'!$B$6:$H$6,0))</f>
        <v>168000</v>
      </c>
      <c r="AJ188" s="78">
        <f>INDEX('Population Data by Age'!$B$7:$H$10366,MATCH(CONCATENATE('Tabular Pop Data by Age'!$C188,'Tabular Pop Data by Age'!AJ$7),'Population Data by Age'!$B$7:$B$10366,0),MATCH('Tabular Pop Data by Age'!$C$6,'Population Data by Age'!$B$6:$H$6,0))</f>
        <v>230000</v>
      </c>
      <c r="AK188" s="78">
        <f>INDEX('Population Data by Age'!$B$7:$H$10366,MATCH(CONCATENATE('Tabular Pop Data by Age'!$C188,'Tabular Pop Data by Age'!AK$7),'Population Data by Age'!$B$7:$B$10366,0),MATCH('Tabular Pop Data by Age'!$C$6,'Population Data by Age'!$B$6:$H$6,0))</f>
        <v>137000</v>
      </c>
      <c r="AL188" s="78">
        <f>INDEX('Population Data by Age'!$B$7:$H$10366,MATCH(CONCATENATE('Tabular Pop Data by Age'!$C188,'Tabular Pop Data by Age'!AL$7),'Population Data by Age'!$B$7:$B$10366,0),MATCH('Tabular Pop Data by Age'!$C$6,'Population Data by Age'!$B$6:$H$6,0))</f>
        <v>11367000</v>
      </c>
      <c r="AM188" s="78">
        <f>INDEX('Population Data by Age'!$B$7:$H$10366,MATCH(CONCATENATE('Tabular Pop Data by Age'!$C188,'Tabular Pop Data by Age'!AM$7),'Population Data by Age'!$B$7:$B$10366,0),MATCH('Tabular Pop Data by Age'!$C$6,'Population Data by Age'!$B$6:$H$6,0))</f>
        <v>10471000</v>
      </c>
      <c r="AN188" s="78">
        <f>INDEX('Population Data by Age'!$B$7:$H$10366,MATCH(CONCATENATE('Tabular Pop Data by Age'!$C188,'Tabular Pop Data by Age'!AN$7),'Population Data by Age'!$B$7:$B$10366,0),MATCH('Tabular Pop Data by Age'!$C$6,'Population Data by Age'!$B$6:$H$6,0))</f>
        <v>21837000</v>
      </c>
      <c r="AO188" s="78">
        <f>INDEX('Population Data by Age'!$B$7:$H$10366,MATCH(CONCATENATE('Tabular Pop Data by Age'!$C188,'Tabular Pop Data by Age'!AO$7),'Population Data by Age'!$B$7:$B$10366,0),MATCH('Tabular Pop Data by Age'!$C$6,'Population Data by Age'!$B$6:$H$6,0))</f>
        <v>0</v>
      </c>
      <c r="AP188" s="79">
        <f t="shared" si="51"/>
        <v>1693000</v>
      </c>
      <c r="AQ188" s="79">
        <f t="shared" si="52"/>
        <v>1723000</v>
      </c>
      <c r="AR188" s="79">
        <f t="shared" si="53"/>
        <v>1756000</v>
      </c>
      <c r="AS188" s="79">
        <f t="shared" si="54"/>
        <v>1697000</v>
      </c>
      <c r="AT188" s="79">
        <f t="shared" si="55"/>
        <v>1526000</v>
      </c>
      <c r="AU188" s="79">
        <f t="shared" si="56"/>
        <v>1434000</v>
      </c>
      <c r="AV188" s="79">
        <f t="shared" si="57"/>
        <v>1380000</v>
      </c>
      <c r="AW188" s="79">
        <f t="shared" si="58"/>
        <v>1497000</v>
      </c>
      <c r="AX188" s="79">
        <f t="shared" si="59"/>
        <v>1554000</v>
      </c>
      <c r="AY188" s="79">
        <f t="shared" si="60"/>
        <v>1384000</v>
      </c>
      <c r="AZ188" s="79">
        <f t="shared" si="61"/>
        <v>1344000</v>
      </c>
      <c r="BA188" s="79">
        <f t="shared" si="62"/>
        <v>1262000</v>
      </c>
      <c r="BB188" s="79">
        <f t="shared" si="63"/>
        <v>1136000</v>
      </c>
      <c r="BC188" s="79">
        <f t="shared" si="64"/>
        <v>917000</v>
      </c>
      <c r="BD188" s="79">
        <f t="shared" si="65"/>
        <v>741000</v>
      </c>
      <c r="BE188" s="79">
        <f t="shared" si="66"/>
        <v>427000</v>
      </c>
      <c r="BF188" s="79">
        <f t="shared" si="67"/>
        <v>367000</v>
      </c>
    </row>
    <row r="189" spans="1:58" x14ac:dyDescent="0.25">
      <c r="A189" s="138" t="s">
        <v>1195</v>
      </c>
      <c r="B189" t="s">
        <v>637</v>
      </c>
      <c r="C189" t="s">
        <v>638</v>
      </c>
      <c r="D189" s="78">
        <f>INDEX('Population Data by Age'!$B$7:$H$10366,MATCH(CONCATENATE('Tabular Pop Data by Age'!$C189,'Tabular Pop Data by Age'!D$7),'Population Data by Age'!$B$7:$B$10366,0),MATCH('Tabular Pop Data by Age'!$C$6,'Population Data by Age'!$B$6:$H$6,0))</f>
        <v>0</v>
      </c>
      <c r="E189" s="78">
        <f>INDEX('Population Data by Age'!$B$7:$H$10366,MATCH(CONCATENATE('Tabular Pop Data by Age'!$C189,'Tabular Pop Data by Age'!E$7),'Population Data by Age'!$B$7:$B$10366,0),MATCH('Tabular Pop Data by Age'!$C$6,'Population Data by Age'!$B$6:$H$6,0))</f>
        <v>0</v>
      </c>
      <c r="F189" s="78">
        <f>INDEX('Population Data by Age'!$B$7:$H$10366,MATCH(CONCATENATE('Tabular Pop Data by Age'!$C189,'Tabular Pop Data by Age'!F$7),'Population Data by Age'!$B$7:$B$10366,0),MATCH('Tabular Pop Data by Age'!$C$6,'Population Data by Age'!$B$6:$H$6,0))</f>
        <v>0</v>
      </c>
      <c r="G189" s="78">
        <f>INDEX('Population Data by Age'!$B$7:$H$10366,MATCH(CONCATENATE('Tabular Pop Data by Age'!$C189,'Tabular Pop Data by Age'!G$7),'Population Data by Age'!$B$7:$B$10366,0),MATCH('Tabular Pop Data by Age'!$C$6,'Population Data by Age'!$B$6:$H$6,0))</f>
        <v>0</v>
      </c>
      <c r="H189" s="78">
        <f>INDEX('Population Data by Age'!$B$7:$H$10366,MATCH(CONCATENATE('Tabular Pop Data by Age'!$C189,'Tabular Pop Data by Age'!H$7),'Population Data by Age'!$B$7:$B$10366,0),MATCH('Tabular Pop Data by Age'!$C$6,'Population Data by Age'!$B$6:$H$6,0))</f>
        <v>0</v>
      </c>
      <c r="I189" s="78">
        <f>INDEX('Population Data by Age'!$B$7:$H$10366,MATCH(CONCATENATE('Tabular Pop Data by Age'!$C189,'Tabular Pop Data by Age'!I$7),'Population Data by Age'!$B$7:$B$10366,0),MATCH('Tabular Pop Data by Age'!$C$6,'Population Data by Age'!$B$6:$H$6,0))</f>
        <v>0</v>
      </c>
      <c r="J189" s="78">
        <f>INDEX('Population Data by Age'!$B$7:$H$10366,MATCH(CONCATENATE('Tabular Pop Data by Age'!$C189,'Tabular Pop Data by Age'!J$7),'Population Data by Age'!$B$7:$B$10366,0),MATCH('Tabular Pop Data by Age'!$C$6,'Population Data by Age'!$B$6:$H$6,0))</f>
        <v>0</v>
      </c>
      <c r="K189" s="78">
        <f>INDEX('Population Data by Age'!$B$7:$H$10366,MATCH(CONCATENATE('Tabular Pop Data by Age'!$C189,'Tabular Pop Data by Age'!K$7),'Population Data by Age'!$B$7:$B$10366,0),MATCH('Tabular Pop Data by Age'!$C$6,'Population Data by Age'!$B$6:$H$6,0))</f>
        <v>0</v>
      </c>
      <c r="L189" s="78">
        <f>INDEX('Population Data by Age'!$B$7:$H$10366,MATCH(CONCATENATE('Tabular Pop Data by Age'!$C189,'Tabular Pop Data by Age'!L$7),'Population Data by Age'!$B$7:$B$10366,0),MATCH('Tabular Pop Data by Age'!$C$6,'Population Data by Age'!$B$6:$H$6,0))</f>
        <v>0</v>
      </c>
      <c r="M189" s="78">
        <f>INDEX('Population Data by Age'!$B$7:$H$10366,MATCH(CONCATENATE('Tabular Pop Data by Age'!$C189,'Tabular Pop Data by Age'!M$7),'Population Data by Age'!$B$7:$B$10366,0),MATCH('Tabular Pop Data by Age'!$C$6,'Population Data by Age'!$B$6:$H$6,0))</f>
        <v>0</v>
      </c>
      <c r="N189" s="78">
        <f>INDEX('Population Data by Age'!$B$7:$H$10366,MATCH(CONCATENATE('Tabular Pop Data by Age'!$C189,'Tabular Pop Data by Age'!N$7),'Population Data by Age'!$B$7:$B$10366,0),MATCH('Tabular Pop Data by Age'!$C$6,'Population Data by Age'!$B$6:$H$6,0))</f>
        <v>0</v>
      </c>
      <c r="O189" s="78">
        <f>INDEX('Population Data by Age'!$B$7:$H$10366,MATCH(CONCATENATE('Tabular Pop Data by Age'!$C189,'Tabular Pop Data by Age'!O$7),'Population Data by Age'!$B$7:$B$10366,0),MATCH('Tabular Pop Data by Age'!$C$6,'Population Data by Age'!$B$6:$H$6,0))</f>
        <v>0</v>
      </c>
      <c r="P189" s="78">
        <f>INDEX('Population Data by Age'!$B$7:$H$10366,MATCH(CONCATENATE('Tabular Pop Data by Age'!$C189,'Tabular Pop Data by Age'!P$7),'Population Data by Age'!$B$7:$B$10366,0),MATCH('Tabular Pop Data by Age'!$C$6,'Population Data by Age'!$B$6:$H$6,0))</f>
        <v>0</v>
      </c>
      <c r="Q189" s="78">
        <f>INDEX('Population Data by Age'!$B$7:$H$10366,MATCH(CONCATENATE('Tabular Pop Data by Age'!$C189,'Tabular Pop Data by Age'!Q$7),'Population Data by Age'!$B$7:$B$10366,0),MATCH('Tabular Pop Data by Age'!$C$6,'Population Data by Age'!$B$6:$H$6,0))</f>
        <v>0</v>
      </c>
      <c r="R189" s="78">
        <f>INDEX('Population Data by Age'!$B$7:$H$10366,MATCH(CONCATENATE('Tabular Pop Data by Age'!$C189,'Tabular Pop Data by Age'!R$7),'Population Data by Age'!$B$7:$B$10366,0),MATCH('Tabular Pop Data by Age'!$C$6,'Population Data by Age'!$B$6:$H$6,0))</f>
        <v>0</v>
      </c>
      <c r="S189" s="78">
        <f>INDEX('Population Data by Age'!$B$7:$H$10366,MATCH(CONCATENATE('Tabular Pop Data by Age'!$C189,'Tabular Pop Data by Age'!S$7),'Population Data by Age'!$B$7:$B$10366,0),MATCH('Tabular Pop Data by Age'!$C$6,'Population Data by Age'!$B$6:$H$6,0))</f>
        <v>0</v>
      </c>
      <c r="T189" s="78">
        <f>INDEX('Population Data by Age'!$B$7:$H$10366,MATCH(CONCATENATE('Tabular Pop Data by Age'!$C189,'Tabular Pop Data by Age'!T$7),'Population Data by Age'!$B$7:$B$10366,0),MATCH('Tabular Pop Data by Age'!$C$6,'Population Data by Age'!$B$6:$H$6,0))</f>
        <v>0</v>
      </c>
      <c r="U189" s="78">
        <f>INDEX('Population Data by Age'!$B$7:$H$10366,MATCH(CONCATENATE('Tabular Pop Data by Age'!$C189,'Tabular Pop Data by Age'!U$7),'Population Data by Age'!$B$7:$B$10366,0),MATCH('Tabular Pop Data by Age'!$C$6,'Population Data by Age'!$B$6:$H$6,0))</f>
        <v>0</v>
      </c>
      <c r="V189" s="78">
        <f>INDEX('Population Data by Age'!$B$7:$H$10366,MATCH(CONCATENATE('Tabular Pop Data by Age'!$C189,'Tabular Pop Data by Age'!V$7),'Population Data by Age'!$B$7:$B$10366,0),MATCH('Tabular Pop Data by Age'!$C$6,'Population Data by Age'!$B$6:$H$6,0))</f>
        <v>0</v>
      </c>
      <c r="W189" s="78">
        <f>INDEX('Population Data by Age'!$B$7:$H$10366,MATCH(CONCATENATE('Tabular Pop Data by Age'!$C189,'Tabular Pop Data by Age'!W$7),'Population Data by Age'!$B$7:$B$10366,0),MATCH('Tabular Pop Data by Age'!$C$6,'Population Data by Age'!$B$6:$H$6,0))</f>
        <v>0</v>
      </c>
      <c r="X189" s="78">
        <f>INDEX('Population Data by Age'!$B$7:$H$10366,MATCH(CONCATENATE('Tabular Pop Data by Age'!$C189,'Tabular Pop Data by Age'!X$7),'Population Data by Age'!$B$7:$B$10366,0),MATCH('Tabular Pop Data by Age'!$C$6,'Population Data by Age'!$B$6:$H$6,0))</f>
        <v>0</v>
      </c>
      <c r="Y189" s="78">
        <f>INDEX('Population Data by Age'!$B$7:$H$10366,MATCH(CONCATENATE('Tabular Pop Data by Age'!$C189,'Tabular Pop Data by Age'!Y$7),'Population Data by Age'!$B$7:$B$10366,0),MATCH('Tabular Pop Data by Age'!$C$6,'Population Data by Age'!$B$6:$H$6,0))</f>
        <v>0</v>
      </c>
      <c r="Z189" s="78">
        <f>INDEX('Population Data by Age'!$B$7:$H$10366,MATCH(CONCATENATE('Tabular Pop Data by Age'!$C189,'Tabular Pop Data by Age'!Z$7),'Population Data by Age'!$B$7:$B$10366,0),MATCH('Tabular Pop Data by Age'!$C$6,'Population Data by Age'!$B$6:$H$6,0))</f>
        <v>0</v>
      </c>
      <c r="AA189" s="78">
        <f>INDEX('Population Data by Age'!$B$7:$H$10366,MATCH(CONCATENATE('Tabular Pop Data by Age'!$C189,'Tabular Pop Data by Age'!AA$7),'Population Data by Age'!$B$7:$B$10366,0),MATCH('Tabular Pop Data by Age'!$C$6,'Population Data by Age'!$B$6:$H$6,0))</f>
        <v>0</v>
      </c>
      <c r="AB189" s="78">
        <f>INDEX('Population Data by Age'!$B$7:$H$10366,MATCH(CONCATENATE('Tabular Pop Data by Age'!$C189,'Tabular Pop Data by Age'!AB$7),'Population Data by Age'!$B$7:$B$10366,0),MATCH('Tabular Pop Data by Age'!$C$6,'Population Data by Age'!$B$6:$H$6,0))</f>
        <v>0</v>
      </c>
      <c r="AC189" s="78">
        <f>INDEX('Population Data by Age'!$B$7:$H$10366,MATCH(CONCATENATE('Tabular Pop Data by Age'!$C189,'Tabular Pop Data by Age'!AC$7),'Population Data by Age'!$B$7:$B$10366,0),MATCH('Tabular Pop Data by Age'!$C$6,'Population Data by Age'!$B$6:$H$6,0))</f>
        <v>0</v>
      </c>
      <c r="AD189" s="78">
        <f>INDEX('Population Data by Age'!$B$7:$H$10366,MATCH(CONCATENATE('Tabular Pop Data by Age'!$C189,'Tabular Pop Data by Age'!AD$7),'Population Data by Age'!$B$7:$B$10366,0),MATCH('Tabular Pop Data by Age'!$C$6,'Population Data by Age'!$B$6:$H$6,0))</f>
        <v>0</v>
      </c>
      <c r="AE189" s="78">
        <f>INDEX('Population Data by Age'!$B$7:$H$10366,MATCH(CONCATENATE('Tabular Pop Data by Age'!$C189,'Tabular Pop Data by Age'!AE$7),'Population Data by Age'!$B$7:$B$10366,0),MATCH('Tabular Pop Data by Age'!$C$6,'Population Data by Age'!$B$6:$H$6,0))</f>
        <v>0</v>
      </c>
      <c r="AF189" s="78">
        <f>INDEX('Population Data by Age'!$B$7:$H$10366,MATCH(CONCATENATE('Tabular Pop Data by Age'!$C189,'Tabular Pop Data by Age'!AF$7),'Population Data by Age'!$B$7:$B$10366,0),MATCH('Tabular Pop Data by Age'!$C$6,'Population Data by Age'!$B$6:$H$6,0))</f>
        <v>0</v>
      </c>
      <c r="AG189" s="78">
        <f>INDEX('Population Data by Age'!$B$7:$H$10366,MATCH(CONCATENATE('Tabular Pop Data by Age'!$C189,'Tabular Pop Data by Age'!AG$7),'Population Data by Age'!$B$7:$B$10366,0),MATCH('Tabular Pop Data by Age'!$C$6,'Population Data by Age'!$B$6:$H$6,0))</f>
        <v>0</v>
      </c>
      <c r="AH189" s="78">
        <f>INDEX('Population Data by Age'!$B$7:$H$10366,MATCH(CONCATENATE('Tabular Pop Data by Age'!$C189,'Tabular Pop Data by Age'!AH$7),'Population Data by Age'!$B$7:$B$10366,0),MATCH('Tabular Pop Data by Age'!$C$6,'Population Data by Age'!$B$6:$H$6,0))</f>
        <v>0</v>
      </c>
      <c r="AI189" s="78">
        <f>INDEX('Population Data by Age'!$B$7:$H$10366,MATCH(CONCATENATE('Tabular Pop Data by Age'!$C189,'Tabular Pop Data by Age'!AI$7),'Population Data by Age'!$B$7:$B$10366,0),MATCH('Tabular Pop Data by Age'!$C$6,'Population Data by Age'!$B$6:$H$6,0))</f>
        <v>0</v>
      </c>
      <c r="AJ189" s="78">
        <f>INDEX('Population Data by Age'!$B$7:$H$10366,MATCH(CONCATENATE('Tabular Pop Data by Age'!$C189,'Tabular Pop Data by Age'!AJ$7),'Population Data by Age'!$B$7:$B$10366,0),MATCH('Tabular Pop Data by Age'!$C$6,'Population Data by Age'!$B$6:$H$6,0))</f>
        <v>0</v>
      </c>
      <c r="AK189" s="78">
        <f>INDEX('Population Data by Age'!$B$7:$H$10366,MATCH(CONCATENATE('Tabular Pop Data by Age'!$C189,'Tabular Pop Data by Age'!AK$7),'Population Data by Age'!$B$7:$B$10366,0),MATCH('Tabular Pop Data by Age'!$C$6,'Population Data by Age'!$B$6:$H$6,0))</f>
        <v>0</v>
      </c>
      <c r="AL189" s="78">
        <f>INDEX('Population Data by Age'!$B$7:$H$10366,MATCH(CONCATENATE('Tabular Pop Data by Age'!$C189,'Tabular Pop Data by Age'!AL$7),'Population Data by Age'!$B$7:$B$10366,0),MATCH('Tabular Pop Data by Age'!$C$6,'Population Data by Age'!$B$6:$H$6,0))</f>
        <v>0</v>
      </c>
      <c r="AM189" s="78">
        <f>INDEX('Population Data by Age'!$B$7:$H$10366,MATCH(CONCATENATE('Tabular Pop Data by Age'!$C189,'Tabular Pop Data by Age'!AM$7),'Population Data by Age'!$B$7:$B$10366,0),MATCH('Tabular Pop Data by Age'!$C$6,'Population Data by Age'!$B$6:$H$6,0))</f>
        <v>0</v>
      </c>
      <c r="AN189" s="78">
        <f>INDEX('Population Data by Age'!$B$7:$H$10366,MATCH(CONCATENATE('Tabular Pop Data by Age'!$C189,'Tabular Pop Data by Age'!AN$7),'Population Data by Age'!$B$7:$B$10366,0),MATCH('Tabular Pop Data by Age'!$C$6,'Population Data by Age'!$B$6:$H$6,0))</f>
        <v>53000</v>
      </c>
      <c r="AO189" s="78">
        <f>INDEX('Population Data by Age'!$B$7:$H$10366,MATCH(CONCATENATE('Tabular Pop Data by Age'!$C189,'Tabular Pop Data by Age'!AO$7),'Population Data by Age'!$B$7:$B$10366,0),MATCH('Tabular Pop Data by Age'!$C$6,'Population Data by Age'!$B$6:$H$6,0))</f>
        <v>0</v>
      </c>
      <c r="AP189" s="79">
        <f t="shared" si="51"/>
        <v>0</v>
      </c>
      <c r="AQ189" s="79">
        <f t="shared" si="52"/>
        <v>0</v>
      </c>
      <c r="AR189" s="79">
        <f t="shared" si="53"/>
        <v>0</v>
      </c>
      <c r="AS189" s="79">
        <f t="shared" si="54"/>
        <v>0</v>
      </c>
      <c r="AT189" s="79">
        <f t="shared" si="55"/>
        <v>0</v>
      </c>
      <c r="AU189" s="79">
        <f t="shared" si="56"/>
        <v>0</v>
      </c>
      <c r="AV189" s="79">
        <f t="shared" si="57"/>
        <v>0</v>
      </c>
      <c r="AW189" s="79">
        <f t="shared" si="58"/>
        <v>0</v>
      </c>
      <c r="AX189" s="79">
        <f t="shared" si="59"/>
        <v>0</v>
      </c>
      <c r="AY189" s="79">
        <f t="shared" si="60"/>
        <v>0</v>
      </c>
      <c r="AZ189" s="79">
        <f t="shared" si="61"/>
        <v>0</v>
      </c>
      <c r="BA189" s="79">
        <f t="shared" si="62"/>
        <v>0</v>
      </c>
      <c r="BB189" s="79">
        <f t="shared" si="63"/>
        <v>0</v>
      </c>
      <c r="BC189" s="79">
        <f t="shared" si="64"/>
        <v>0</v>
      </c>
      <c r="BD189" s="79">
        <f t="shared" si="65"/>
        <v>0</v>
      </c>
      <c r="BE189" s="79">
        <f t="shared" si="66"/>
        <v>0</v>
      </c>
      <c r="BF189" s="79">
        <f t="shared" si="67"/>
        <v>0</v>
      </c>
    </row>
    <row r="190" spans="1:58" x14ac:dyDescent="0.25">
      <c r="A190" s="138" t="s">
        <v>1195</v>
      </c>
      <c r="B190" t="s">
        <v>639</v>
      </c>
      <c r="C190" t="s">
        <v>80</v>
      </c>
      <c r="D190" s="78">
        <f>INDEX('Population Data by Age'!$B$7:$H$10366,MATCH(CONCATENATE('Tabular Pop Data by Age'!$C190,'Tabular Pop Data by Age'!D$7),'Population Data by Age'!$B$7:$B$10366,0),MATCH('Tabular Pop Data by Age'!$C$6,'Population Data by Age'!$B$6:$H$6,0))</f>
        <v>5300</v>
      </c>
      <c r="E190" s="78">
        <f>INDEX('Population Data by Age'!$B$7:$H$10366,MATCH(CONCATENATE('Tabular Pop Data by Age'!$C190,'Tabular Pop Data by Age'!E$7),'Population Data by Age'!$B$7:$B$10366,0),MATCH('Tabular Pop Data by Age'!$C$6,'Population Data by Age'!$B$6:$H$6,0))</f>
        <v>5500</v>
      </c>
      <c r="F190" s="78">
        <f>INDEX('Population Data by Age'!$B$7:$H$10366,MATCH(CONCATENATE('Tabular Pop Data by Age'!$C190,'Tabular Pop Data by Age'!F$7),'Population Data by Age'!$B$7:$B$10366,0),MATCH('Tabular Pop Data by Age'!$C$6,'Population Data by Age'!$B$6:$H$6,0))</f>
        <v>5400</v>
      </c>
      <c r="G190" s="78">
        <f>INDEX('Population Data by Age'!$B$7:$H$10366,MATCH(CONCATENATE('Tabular Pop Data by Age'!$C190,'Tabular Pop Data by Age'!G$7),'Population Data by Age'!$B$7:$B$10366,0),MATCH('Tabular Pop Data by Age'!$C$6,'Population Data by Age'!$B$6:$H$6,0))</f>
        <v>5600</v>
      </c>
      <c r="H190" s="78">
        <f>INDEX('Population Data by Age'!$B$7:$H$10366,MATCH(CONCATENATE('Tabular Pop Data by Age'!$C190,'Tabular Pop Data by Age'!H$7),'Population Data by Age'!$B$7:$B$10366,0),MATCH('Tabular Pop Data by Age'!$C$6,'Population Data by Age'!$B$6:$H$6,0))</f>
        <v>5500</v>
      </c>
      <c r="I190" s="78">
        <f>INDEX('Population Data by Age'!$B$7:$H$10366,MATCH(CONCATENATE('Tabular Pop Data by Age'!$C190,'Tabular Pop Data by Age'!I$7),'Population Data by Age'!$B$7:$B$10366,0),MATCH('Tabular Pop Data by Age'!$C$6,'Population Data by Age'!$B$6:$H$6,0))</f>
        <v>5600</v>
      </c>
      <c r="J190" s="78">
        <f>INDEX('Population Data by Age'!$B$7:$H$10366,MATCH(CONCATENATE('Tabular Pop Data by Age'!$C190,'Tabular Pop Data by Age'!J$7),'Population Data by Age'!$B$7:$B$10366,0),MATCH('Tabular Pop Data by Age'!$C$6,'Population Data by Age'!$B$6:$H$6,0))</f>
        <v>6600</v>
      </c>
      <c r="K190" s="78">
        <f>INDEX('Population Data by Age'!$B$7:$H$10366,MATCH(CONCATENATE('Tabular Pop Data by Age'!$C190,'Tabular Pop Data by Age'!K$7),'Population Data by Age'!$B$7:$B$10366,0),MATCH('Tabular Pop Data by Age'!$C$6,'Population Data by Age'!$B$6:$H$6,0))</f>
        <v>6600</v>
      </c>
      <c r="L190" s="78">
        <f>INDEX('Population Data by Age'!$B$7:$H$10366,MATCH(CONCATENATE('Tabular Pop Data by Age'!$C190,'Tabular Pop Data by Age'!L$7),'Population Data by Age'!$B$7:$B$10366,0),MATCH('Tabular Pop Data by Age'!$C$6,'Population Data by Age'!$B$6:$H$6,0))</f>
        <v>8000</v>
      </c>
      <c r="M190" s="78">
        <f>INDEX('Population Data by Age'!$B$7:$H$10366,MATCH(CONCATENATE('Tabular Pop Data by Age'!$C190,'Tabular Pop Data by Age'!M$7),'Population Data by Age'!$B$7:$B$10366,0),MATCH('Tabular Pop Data by Age'!$C$6,'Population Data by Age'!$B$6:$H$6,0))</f>
        <v>7900</v>
      </c>
      <c r="N190" s="78">
        <f>INDEX('Population Data by Age'!$B$7:$H$10366,MATCH(CONCATENATE('Tabular Pop Data by Age'!$C190,'Tabular Pop Data by Age'!N$7),'Population Data by Age'!$B$7:$B$10366,0),MATCH('Tabular Pop Data by Age'!$C$6,'Population Data by Age'!$B$6:$H$6,0))</f>
        <v>8500</v>
      </c>
      <c r="O190" s="78">
        <f>INDEX('Population Data by Age'!$B$7:$H$10366,MATCH(CONCATENATE('Tabular Pop Data by Age'!$C190,'Tabular Pop Data by Age'!O$7),'Population Data by Age'!$B$7:$B$10366,0),MATCH('Tabular Pop Data by Age'!$C$6,'Population Data by Age'!$B$6:$H$6,0))</f>
        <v>8500</v>
      </c>
      <c r="P190" s="78">
        <f>INDEX('Population Data by Age'!$B$7:$H$10366,MATCH(CONCATENATE('Tabular Pop Data by Age'!$C190,'Tabular Pop Data by Age'!P$7),'Population Data by Age'!$B$7:$B$10366,0),MATCH('Tabular Pop Data by Age'!$C$6,'Population Data by Age'!$B$6:$H$6,0))</f>
        <v>7300</v>
      </c>
      <c r="Q190" s="78">
        <f>INDEX('Population Data by Age'!$B$7:$H$10366,MATCH(CONCATENATE('Tabular Pop Data by Age'!$C190,'Tabular Pop Data by Age'!Q$7),'Population Data by Age'!$B$7:$B$10366,0),MATCH('Tabular Pop Data by Age'!$C$6,'Population Data by Age'!$B$6:$H$6,0))</f>
        <v>7000</v>
      </c>
      <c r="R190" s="78">
        <f>INDEX('Population Data by Age'!$B$7:$H$10366,MATCH(CONCATENATE('Tabular Pop Data by Age'!$C190,'Tabular Pop Data by Age'!R$7),'Population Data by Age'!$B$7:$B$10366,0),MATCH('Tabular Pop Data by Age'!$C$6,'Population Data by Age'!$B$6:$H$6,0))</f>
        <v>7300</v>
      </c>
      <c r="S190" s="78">
        <f>INDEX('Population Data by Age'!$B$7:$H$10366,MATCH(CONCATENATE('Tabular Pop Data by Age'!$C190,'Tabular Pop Data by Age'!S$7),'Population Data by Age'!$B$7:$B$10366,0),MATCH('Tabular Pop Data by Age'!$C$6,'Population Data by Age'!$B$6:$H$6,0))</f>
        <v>6800</v>
      </c>
      <c r="T190" s="78">
        <f>INDEX('Population Data by Age'!$B$7:$H$10366,MATCH(CONCATENATE('Tabular Pop Data by Age'!$C190,'Tabular Pop Data by Age'!T$7),'Population Data by Age'!$B$7:$B$10366,0),MATCH('Tabular Pop Data by Age'!$C$6,'Population Data by Age'!$B$6:$H$6,0))</f>
        <v>6600</v>
      </c>
      <c r="U190" s="78">
        <f>INDEX('Population Data by Age'!$B$7:$H$10366,MATCH(CONCATENATE('Tabular Pop Data by Age'!$C190,'Tabular Pop Data by Age'!U$7),'Population Data by Age'!$B$7:$B$10366,0),MATCH('Tabular Pop Data by Age'!$C$6,'Population Data by Age'!$B$6:$H$6,0))</f>
        <v>6300</v>
      </c>
      <c r="V190" s="78">
        <f>INDEX('Population Data by Age'!$B$7:$H$10366,MATCH(CONCATENATE('Tabular Pop Data by Age'!$C190,'Tabular Pop Data by Age'!V$7),'Population Data by Age'!$B$7:$B$10366,0),MATCH('Tabular Pop Data by Age'!$C$6,'Population Data by Age'!$B$6:$H$6,0))</f>
        <v>6600</v>
      </c>
      <c r="W190" s="78">
        <f>INDEX('Population Data by Age'!$B$7:$H$10366,MATCH(CONCATENATE('Tabular Pop Data by Age'!$C190,'Tabular Pop Data by Age'!W$7),'Population Data by Age'!$B$7:$B$10366,0),MATCH('Tabular Pop Data by Age'!$C$6,'Population Data by Age'!$B$6:$H$6,0))</f>
        <v>6000</v>
      </c>
      <c r="X190" s="78">
        <f>INDEX('Population Data by Age'!$B$7:$H$10366,MATCH(CONCATENATE('Tabular Pop Data by Age'!$C190,'Tabular Pop Data by Age'!X$7),'Population Data by Age'!$B$7:$B$10366,0),MATCH('Tabular Pop Data by Age'!$C$6,'Population Data by Age'!$B$6:$H$6,0))</f>
        <v>6400</v>
      </c>
      <c r="Y190" s="78">
        <f>INDEX('Population Data by Age'!$B$7:$H$10366,MATCH(CONCATENATE('Tabular Pop Data by Age'!$C190,'Tabular Pop Data by Age'!Y$7),'Population Data by Age'!$B$7:$B$10366,0),MATCH('Tabular Pop Data by Age'!$C$6,'Population Data by Age'!$B$6:$H$6,0))</f>
        <v>6000</v>
      </c>
      <c r="Z190" s="78">
        <f>INDEX('Population Data by Age'!$B$7:$H$10366,MATCH(CONCATENATE('Tabular Pop Data by Age'!$C190,'Tabular Pop Data by Age'!Z$7),'Population Data by Age'!$B$7:$B$10366,0),MATCH('Tabular Pop Data by Age'!$C$6,'Population Data by Age'!$B$6:$H$6,0))</f>
        <v>5700</v>
      </c>
      <c r="AA190" s="78">
        <f>INDEX('Population Data by Age'!$B$7:$H$10366,MATCH(CONCATENATE('Tabular Pop Data by Age'!$C190,'Tabular Pop Data by Age'!AA$7),'Population Data by Age'!$B$7:$B$10366,0),MATCH('Tabular Pop Data by Age'!$C$6,'Population Data by Age'!$B$6:$H$6,0))</f>
        <v>5300</v>
      </c>
      <c r="AB190" s="78">
        <f>INDEX('Population Data by Age'!$B$7:$H$10366,MATCH(CONCATENATE('Tabular Pop Data by Age'!$C190,'Tabular Pop Data by Age'!AB$7),'Population Data by Age'!$B$7:$B$10366,0),MATCH('Tabular Pop Data by Age'!$C$6,'Population Data by Age'!$B$6:$H$6,0))</f>
        <v>4400</v>
      </c>
      <c r="AC190" s="78">
        <f>INDEX('Population Data by Age'!$B$7:$H$10366,MATCH(CONCATENATE('Tabular Pop Data by Age'!$C190,'Tabular Pop Data by Age'!AC$7),'Population Data by Age'!$B$7:$B$10366,0),MATCH('Tabular Pop Data by Age'!$C$6,'Population Data by Age'!$B$6:$H$6,0))</f>
        <v>4000</v>
      </c>
      <c r="AD190" s="78">
        <f>INDEX('Population Data by Age'!$B$7:$H$10366,MATCH(CONCATENATE('Tabular Pop Data by Age'!$C190,'Tabular Pop Data by Age'!AD$7),'Population Data by Age'!$B$7:$B$10366,0),MATCH('Tabular Pop Data by Age'!$C$6,'Population Data by Age'!$B$6:$H$6,0))</f>
        <v>3100</v>
      </c>
      <c r="AE190" s="78">
        <f>INDEX('Population Data by Age'!$B$7:$H$10366,MATCH(CONCATENATE('Tabular Pop Data by Age'!$C190,'Tabular Pop Data by Age'!AE$7),'Population Data by Age'!$B$7:$B$10366,0),MATCH('Tabular Pop Data by Age'!$C$6,'Population Data by Age'!$B$6:$H$6,0))</f>
        <v>3000</v>
      </c>
      <c r="AF190" s="78">
        <f>INDEX('Population Data by Age'!$B$7:$H$10366,MATCH(CONCATENATE('Tabular Pop Data by Age'!$C190,'Tabular Pop Data by Age'!AF$7),'Population Data by Age'!$B$7:$B$10366,0),MATCH('Tabular Pop Data by Age'!$C$6,'Population Data by Age'!$B$6:$H$6,0))</f>
        <v>2600</v>
      </c>
      <c r="AG190" s="78">
        <f>INDEX('Population Data by Age'!$B$7:$H$10366,MATCH(CONCATENATE('Tabular Pop Data by Age'!$C190,'Tabular Pop Data by Age'!AG$7),'Population Data by Age'!$B$7:$B$10366,0),MATCH('Tabular Pop Data by Age'!$C$6,'Population Data by Age'!$B$6:$H$6,0))</f>
        <v>2300</v>
      </c>
      <c r="AH190" s="78">
        <f>INDEX('Population Data by Age'!$B$7:$H$10366,MATCH(CONCATENATE('Tabular Pop Data by Age'!$C190,'Tabular Pop Data by Age'!AH$7),'Population Data by Age'!$B$7:$B$10366,0),MATCH('Tabular Pop Data by Age'!$C$6,'Population Data by Age'!$B$6:$H$6,0))</f>
        <v>1800</v>
      </c>
      <c r="AI190" s="78">
        <f>INDEX('Population Data by Age'!$B$7:$H$10366,MATCH(CONCATENATE('Tabular Pop Data by Age'!$C190,'Tabular Pop Data by Age'!AI$7),'Population Data by Age'!$B$7:$B$10366,0),MATCH('Tabular Pop Data by Age'!$C$6,'Population Data by Age'!$B$6:$H$6,0))</f>
        <v>1600</v>
      </c>
      <c r="AJ190" s="78">
        <f>INDEX('Population Data by Age'!$B$7:$H$10366,MATCH(CONCATENATE('Tabular Pop Data by Age'!$C190,'Tabular Pop Data by Age'!AJ$7),'Population Data by Age'!$B$7:$B$10366,0),MATCH('Tabular Pop Data by Age'!$C$6,'Population Data by Age'!$B$6:$H$6,0))</f>
        <v>2200</v>
      </c>
      <c r="AK190" s="78">
        <f>INDEX('Population Data by Age'!$B$7:$H$10366,MATCH(CONCATENATE('Tabular Pop Data by Age'!$C190,'Tabular Pop Data by Age'!AK$7),'Population Data by Age'!$B$7:$B$10366,0),MATCH('Tabular Pop Data by Age'!$C$6,'Population Data by Age'!$B$6:$H$6,0))</f>
        <v>2200</v>
      </c>
      <c r="AL190" s="78">
        <f>INDEX('Population Data by Age'!$B$7:$H$10366,MATCH(CONCATENATE('Tabular Pop Data by Age'!$C190,'Tabular Pop Data by Age'!AL$7),'Population Data by Age'!$B$7:$B$10366,0),MATCH('Tabular Pop Data by Age'!$C$6,'Population Data by Age'!$B$6:$H$6,0))</f>
        <v>93000</v>
      </c>
      <c r="AM190" s="78">
        <f>INDEX('Population Data by Age'!$B$7:$H$10366,MATCH(CONCATENATE('Tabular Pop Data by Age'!$C190,'Tabular Pop Data by Age'!AM$7),'Population Data by Age'!$B$7:$B$10366,0),MATCH('Tabular Pop Data by Age'!$C$6,'Population Data by Age'!$B$6:$H$6,0))</f>
        <v>90000</v>
      </c>
      <c r="AN190" s="78">
        <f>INDEX('Population Data by Age'!$B$7:$H$10366,MATCH(CONCATENATE('Tabular Pop Data by Age'!$C190,'Tabular Pop Data by Age'!AN$7),'Population Data by Age'!$B$7:$B$10366,0),MATCH('Tabular Pop Data by Age'!$C$6,'Population Data by Age'!$B$6:$H$6,0))</f>
        <v>184000</v>
      </c>
      <c r="AO190" s="78">
        <f>INDEX('Population Data by Age'!$B$7:$H$10366,MATCH(CONCATENATE('Tabular Pop Data by Age'!$C190,'Tabular Pop Data by Age'!AO$7),'Population Data by Age'!$B$7:$B$10366,0),MATCH('Tabular Pop Data by Age'!$C$6,'Population Data by Age'!$B$6:$H$6,0))</f>
        <v>0</v>
      </c>
      <c r="AP190" s="79">
        <f t="shared" si="51"/>
        <v>10800</v>
      </c>
      <c r="AQ190" s="79">
        <f t="shared" si="52"/>
        <v>11000</v>
      </c>
      <c r="AR190" s="79">
        <f t="shared" si="53"/>
        <v>11100</v>
      </c>
      <c r="AS190" s="79">
        <f t="shared" si="54"/>
        <v>13200</v>
      </c>
      <c r="AT190" s="79">
        <f t="shared" si="55"/>
        <v>15900</v>
      </c>
      <c r="AU190" s="79">
        <f t="shared" si="56"/>
        <v>17000</v>
      </c>
      <c r="AV190" s="79">
        <f t="shared" si="57"/>
        <v>14300</v>
      </c>
      <c r="AW190" s="79">
        <f t="shared" si="58"/>
        <v>14100</v>
      </c>
      <c r="AX190" s="79">
        <f t="shared" si="59"/>
        <v>12900</v>
      </c>
      <c r="AY190" s="79">
        <f t="shared" si="60"/>
        <v>12600</v>
      </c>
      <c r="AZ190" s="79">
        <f t="shared" si="61"/>
        <v>12400</v>
      </c>
      <c r="BA190" s="79">
        <f t="shared" si="62"/>
        <v>11000</v>
      </c>
      <c r="BB190" s="79">
        <f t="shared" si="63"/>
        <v>8400</v>
      </c>
      <c r="BC190" s="79">
        <f t="shared" si="64"/>
        <v>6100</v>
      </c>
      <c r="BD190" s="79">
        <f t="shared" si="65"/>
        <v>4900</v>
      </c>
      <c r="BE190" s="79">
        <f t="shared" si="66"/>
        <v>3400</v>
      </c>
      <c r="BF190" s="79">
        <f t="shared" si="67"/>
        <v>4400</v>
      </c>
    </row>
    <row r="191" spans="1:58" x14ac:dyDescent="0.25">
      <c r="A191" s="138" t="s">
        <v>1195</v>
      </c>
      <c r="B191" t="s">
        <v>640</v>
      </c>
      <c r="C191" t="s">
        <v>641</v>
      </c>
      <c r="D191" s="78">
        <f>INDEX('Population Data by Age'!$B$7:$H$10366,MATCH(CONCATENATE('Tabular Pop Data by Age'!$C191,'Tabular Pop Data by Age'!D$7),'Population Data by Age'!$B$7:$B$10366,0),MATCH('Tabular Pop Data by Age'!$C$6,'Population Data by Age'!$B$6:$H$6,0))</f>
        <v>0</v>
      </c>
      <c r="E191" s="78">
        <f>INDEX('Population Data by Age'!$B$7:$H$10366,MATCH(CONCATENATE('Tabular Pop Data by Age'!$C191,'Tabular Pop Data by Age'!E$7),'Population Data by Age'!$B$7:$B$10366,0),MATCH('Tabular Pop Data by Age'!$C$6,'Population Data by Age'!$B$6:$H$6,0))</f>
        <v>0</v>
      </c>
      <c r="F191" s="78">
        <f>INDEX('Population Data by Age'!$B$7:$H$10366,MATCH(CONCATENATE('Tabular Pop Data by Age'!$C191,'Tabular Pop Data by Age'!F$7),'Population Data by Age'!$B$7:$B$10366,0),MATCH('Tabular Pop Data by Age'!$C$6,'Population Data by Age'!$B$6:$H$6,0))</f>
        <v>0</v>
      </c>
      <c r="G191" s="78">
        <f>INDEX('Population Data by Age'!$B$7:$H$10366,MATCH(CONCATENATE('Tabular Pop Data by Age'!$C191,'Tabular Pop Data by Age'!G$7),'Population Data by Age'!$B$7:$B$10366,0),MATCH('Tabular Pop Data by Age'!$C$6,'Population Data by Age'!$B$6:$H$6,0))</f>
        <v>0</v>
      </c>
      <c r="H191" s="78">
        <f>INDEX('Population Data by Age'!$B$7:$H$10366,MATCH(CONCATENATE('Tabular Pop Data by Age'!$C191,'Tabular Pop Data by Age'!H$7),'Population Data by Age'!$B$7:$B$10366,0),MATCH('Tabular Pop Data by Age'!$C$6,'Population Data by Age'!$B$6:$H$6,0))</f>
        <v>0</v>
      </c>
      <c r="I191" s="78">
        <f>INDEX('Population Data by Age'!$B$7:$H$10366,MATCH(CONCATENATE('Tabular Pop Data by Age'!$C191,'Tabular Pop Data by Age'!I$7),'Population Data by Age'!$B$7:$B$10366,0),MATCH('Tabular Pop Data by Age'!$C$6,'Population Data by Age'!$B$6:$H$6,0))</f>
        <v>0</v>
      </c>
      <c r="J191" s="78">
        <f>INDEX('Population Data by Age'!$B$7:$H$10366,MATCH(CONCATENATE('Tabular Pop Data by Age'!$C191,'Tabular Pop Data by Age'!J$7),'Population Data by Age'!$B$7:$B$10366,0),MATCH('Tabular Pop Data by Age'!$C$6,'Population Data by Age'!$B$6:$H$6,0))</f>
        <v>0</v>
      </c>
      <c r="K191" s="78">
        <f>INDEX('Population Data by Age'!$B$7:$H$10366,MATCH(CONCATENATE('Tabular Pop Data by Age'!$C191,'Tabular Pop Data by Age'!K$7),'Population Data by Age'!$B$7:$B$10366,0),MATCH('Tabular Pop Data by Age'!$C$6,'Population Data by Age'!$B$6:$H$6,0))</f>
        <v>0</v>
      </c>
      <c r="L191" s="78">
        <f>INDEX('Population Data by Age'!$B$7:$H$10366,MATCH(CONCATENATE('Tabular Pop Data by Age'!$C191,'Tabular Pop Data by Age'!L$7),'Population Data by Age'!$B$7:$B$10366,0),MATCH('Tabular Pop Data by Age'!$C$6,'Population Data by Age'!$B$6:$H$6,0))</f>
        <v>0</v>
      </c>
      <c r="M191" s="78">
        <f>INDEX('Population Data by Age'!$B$7:$H$10366,MATCH(CONCATENATE('Tabular Pop Data by Age'!$C191,'Tabular Pop Data by Age'!M$7),'Population Data by Age'!$B$7:$B$10366,0),MATCH('Tabular Pop Data by Age'!$C$6,'Population Data by Age'!$B$6:$H$6,0))</f>
        <v>0</v>
      </c>
      <c r="N191" s="78">
        <f>INDEX('Population Data by Age'!$B$7:$H$10366,MATCH(CONCATENATE('Tabular Pop Data by Age'!$C191,'Tabular Pop Data by Age'!N$7),'Population Data by Age'!$B$7:$B$10366,0),MATCH('Tabular Pop Data by Age'!$C$6,'Population Data by Age'!$B$6:$H$6,0))</f>
        <v>0</v>
      </c>
      <c r="O191" s="78">
        <f>INDEX('Population Data by Age'!$B$7:$H$10366,MATCH(CONCATENATE('Tabular Pop Data by Age'!$C191,'Tabular Pop Data by Age'!O$7),'Population Data by Age'!$B$7:$B$10366,0),MATCH('Tabular Pop Data by Age'!$C$6,'Population Data by Age'!$B$6:$H$6,0))</f>
        <v>0</v>
      </c>
      <c r="P191" s="78">
        <f>INDEX('Population Data by Age'!$B$7:$H$10366,MATCH(CONCATENATE('Tabular Pop Data by Age'!$C191,'Tabular Pop Data by Age'!P$7),'Population Data by Age'!$B$7:$B$10366,0),MATCH('Tabular Pop Data by Age'!$C$6,'Population Data by Age'!$B$6:$H$6,0))</f>
        <v>0</v>
      </c>
      <c r="Q191" s="78">
        <f>INDEX('Population Data by Age'!$B$7:$H$10366,MATCH(CONCATENATE('Tabular Pop Data by Age'!$C191,'Tabular Pop Data by Age'!Q$7),'Population Data by Age'!$B$7:$B$10366,0),MATCH('Tabular Pop Data by Age'!$C$6,'Population Data by Age'!$B$6:$H$6,0))</f>
        <v>0</v>
      </c>
      <c r="R191" s="78">
        <f>INDEX('Population Data by Age'!$B$7:$H$10366,MATCH(CONCATENATE('Tabular Pop Data by Age'!$C191,'Tabular Pop Data by Age'!R$7),'Population Data by Age'!$B$7:$B$10366,0),MATCH('Tabular Pop Data by Age'!$C$6,'Population Data by Age'!$B$6:$H$6,0))</f>
        <v>0</v>
      </c>
      <c r="S191" s="78">
        <f>INDEX('Population Data by Age'!$B$7:$H$10366,MATCH(CONCATENATE('Tabular Pop Data by Age'!$C191,'Tabular Pop Data by Age'!S$7),'Population Data by Age'!$B$7:$B$10366,0),MATCH('Tabular Pop Data by Age'!$C$6,'Population Data by Age'!$B$6:$H$6,0))</f>
        <v>0</v>
      </c>
      <c r="T191" s="78">
        <f>INDEX('Population Data by Age'!$B$7:$H$10366,MATCH(CONCATENATE('Tabular Pop Data by Age'!$C191,'Tabular Pop Data by Age'!T$7),'Population Data by Age'!$B$7:$B$10366,0),MATCH('Tabular Pop Data by Age'!$C$6,'Population Data by Age'!$B$6:$H$6,0))</f>
        <v>0</v>
      </c>
      <c r="U191" s="78">
        <f>INDEX('Population Data by Age'!$B$7:$H$10366,MATCH(CONCATENATE('Tabular Pop Data by Age'!$C191,'Tabular Pop Data by Age'!U$7),'Population Data by Age'!$B$7:$B$10366,0),MATCH('Tabular Pop Data by Age'!$C$6,'Population Data by Age'!$B$6:$H$6,0))</f>
        <v>0</v>
      </c>
      <c r="V191" s="78">
        <f>INDEX('Population Data by Age'!$B$7:$H$10366,MATCH(CONCATENATE('Tabular Pop Data by Age'!$C191,'Tabular Pop Data by Age'!V$7),'Population Data by Age'!$B$7:$B$10366,0),MATCH('Tabular Pop Data by Age'!$C$6,'Population Data by Age'!$B$6:$H$6,0))</f>
        <v>0</v>
      </c>
      <c r="W191" s="78">
        <f>INDEX('Population Data by Age'!$B$7:$H$10366,MATCH(CONCATENATE('Tabular Pop Data by Age'!$C191,'Tabular Pop Data by Age'!W$7),'Population Data by Age'!$B$7:$B$10366,0),MATCH('Tabular Pop Data by Age'!$C$6,'Population Data by Age'!$B$6:$H$6,0))</f>
        <v>0</v>
      </c>
      <c r="X191" s="78">
        <f>INDEX('Population Data by Age'!$B$7:$H$10366,MATCH(CONCATENATE('Tabular Pop Data by Age'!$C191,'Tabular Pop Data by Age'!X$7),'Population Data by Age'!$B$7:$B$10366,0),MATCH('Tabular Pop Data by Age'!$C$6,'Population Data by Age'!$B$6:$H$6,0))</f>
        <v>0</v>
      </c>
      <c r="Y191" s="78">
        <f>INDEX('Population Data by Age'!$B$7:$H$10366,MATCH(CONCATENATE('Tabular Pop Data by Age'!$C191,'Tabular Pop Data by Age'!Y$7),'Population Data by Age'!$B$7:$B$10366,0),MATCH('Tabular Pop Data by Age'!$C$6,'Population Data by Age'!$B$6:$H$6,0))</f>
        <v>0</v>
      </c>
      <c r="Z191" s="78">
        <f>INDEX('Population Data by Age'!$B$7:$H$10366,MATCH(CONCATENATE('Tabular Pop Data by Age'!$C191,'Tabular Pop Data by Age'!Z$7),'Population Data by Age'!$B$7:$B$10366,0),MATCH('Tabular Pop Data by Age'!$C$6,'Population Data by Age'!$B$6:$H$6,0))</f>
        <v>0</v>
      </c>
      <c r="AA191" s="78">
        <f>INDEX('Population Data by Age'!$B$7:$H$10366,MATCH(CONCATENATE('Tabular Pop Data by Age'!$C191,'Tabular Pop Data by Age'!AA$7),'Population Data by Age'!$B$7:$B$10366,0),MATCH('Tabular Pop Data by Age'!$C$6,'Population Data by Age'!$B$6:$H$6,0))</f>
        <v>0</v>
      </c>
      <c r="AB191" s="78">
        <f>INDEX('Population Data by Age'!$B$7:$H$10366,MATCH(CONCATENATE('Tabular Pop Data by Age'!$C191,'Tabular Pop Data by Age'!AB$7),'Population Data by Age'!$B$7:$B$10366,0),MATCH('Tabular Pop Data by Age'!$C$6,'Population Data by Age'!$B$6:$H$6,0))</f>
        <v>0</v>
      </c>
      <c r="AC191" s="78">
        <f>INDEX('Population Data by Age'!$B$7:$H$10366,MATCH(CONCATENATE('Tabular Pop Data by Age'!$C191,'Tabular Pop Data by Age'!AC$7),'Population Data by Age'!$B$7:$B$10366,0),MATCH('Tabular Pop Data by Age'!$C$6,'Population Data by Age'!$B$6:$H$6,0))</f>
        <v>0</v>
      </c>
      <c r="AD191" s="78">
        <f>INDEX('Population Data by Age'!$B$7:$H$10366,MATCH(CONCATENATE('Tabular Pop Data by Age'!$C191,'Tabular Pop Data by Age'!AD$7),'Population Data by Age'!$B$7:$B$10366,0),MATCH('Tabular Pop Data by Age'!$C$6,'Population Data by Age'!$B$6:$H$6,0))</f>
        <v>0</v>
      </c>
      <c r="AE191" s="78">
        <f>INDEX('Population Data by Age'!$B$7:$H$10366,MATCH(CONCATENATE('Tabular Pop Data by Age'!$C191,'Tabular Pop Data by Age'!AE$7),'Population Data by Age'!$B$7:$B$10366,0),MATCH('Tabular Pop Data by Age'!$C$6,'Population Data by Age'!$B$6:$H$6,0))</f>
        <v>0</v>
      </c>
      <c r="AF191" s="78">
        <f>INDEX('Population Data by Age'!$B$7:$H$10366,MATCH(CONCATENATE('Tabular Pop Data by Age'!$C191,'Tabular Pop Data by Age'!AF$7),'Population Data by Age'!$B$7:$B$10366,0),MATCH('Tabular Pop Data by Age'!$C$6,'Population Data by Age'!$B$6:$H$6,0))</f>
        <v>0</v>
      </c>
      <c r="AG191" s="78">
        <f>INDEX('Population Data by Age'!$B$7:$H$10366,MATCH(CONCATENATE('Tabular Pop Data by Age'!$C191,'Tabular Pop Data by Age'!AG$7),'Population Data by Age'!$B$7:$B$10366,0),MATCH('Tabular Pop Data by Age'!$C$6,'Population Data by Age'!$B$6:$H$6,0))</f>
        <v>0</v>
      </c>
      <c r="AH191" s="78">
        <f>INDEX('Population Data by Age'!$B$7:$H$10366,MATCH(CONCATENATE('Tabular Pop Data by Age'!$C191,'Tabular Pop Data by Age'!AH$7),'Population Data by Age'!$B$7:$B$10366,0),MATCH('Tabular Pop Data by Age'!$C$6,'Population Data by Age'!$B$6:$H$6,0))</f>
        <v>0</v>
      </c>
      <c r="AI191" s="78">
        <f>INDEX('Population Data by Age'!$B$7:$H$10366,MATCH(CONCATENATE('Tabular Pop Data by Age'!$C191,'Tabular Pop Data by Age'!AI$7),'Population Data by Age'!$B$7:$B$10366,0),MATCH('Tabular Pop Data by Age'!$C$6,'Population Data by Age'!$B$6:$H$6,0))</f>
        <v>0</v>
      </c>
      <c r="AJ191" s="78">
        <f>INDEX('Population Data by Age'!$B$7:$H$10366,MATCH(CONCATENATE('Tabular Pop Data by Age'!$C191,'Tabular Pop Data by Age'!AJ$7),'Population Data by Age'!$B$7:$B$10366,0),MATCH('Tabular Pop Data by Age'!$C$6,'Population Data by Age'!$B$6:$H$6,0))</f>
        <v>0</v>
      </c>
      <c r="AK191" s="78">
        <f>INDEX('Population Data by Age'!$B$7:$H$10366,MATCH(CONCATENATE('Tabular Pop Data by Age'!$C191,'Tabular Pop Data by Age'!AK$7),'Population Data by Age'!$B$7:$B$10366,0),MATCH('Tabular Pop Data by Age'!$C$6,'Population Data by Age'!$B$6:$H$6,0))</f>
        <v>0</v>
      </c>
      <c r="AL191" s="78">
        <f>INDEX('Population Data by Age'!$B$7:$H$10366,MATCH(CONCATENATE('Tabular Pop Data by Age'!$C191,'Tabular Pop Data by Age'!AL$7),'Population Data by Age'!$B$7:$B$10366,0),MATCH('Tabular Pop Data by Age'!$C$6,'Population Data by Age'!$B$6:$H$6,0))</f>
        <v>0</v>
      </c>
      <c r="AM191" s="78">
        <f>INDEX('Population Data by Age'!$B$7:$H$10366,MATCH(CONCATENATE('Tabular Pop Data by Age'!$C191,'Tabular Pop Data by Age'!AM$7),'Population Data by Age'!$B$7:$B$10366,0),MATCH('Tabular Pop Data by Age'!$C$6,'Population Data by Age'!$B$6:$H$6,0))</f>
        <v>0</v>
      </c>
      <c r="AN191" s="85">
        <v>32556</v>
      </c>
      <c r="AO191" s="78">
        <f>INDEX('Population Data by Age'!$B$7:$H$10366,MATCH(CONCATENATE('Tabular Pop Data by Age'!$C191,'Tabular Pop Data by Age'!AO$7),'Population Data by Age'!$B$7:$B$10366,0),MATCH('Tabular Pop Data by Age'!$C$6,'Population Data by Age'!$B$6:$H$6,0))</f>
        <v>0</v>
      </c>
      <c r="AP191" s="79">
        <f t="shared" si="51"/>
        <v>0</v>
      </c>
      <c r="AQ191" s="79">
        <f t="shared" si="52"/>
        <v>0</v>
      </c>
      <c r="AR191" s="79">
        <f t="shared" si="53"/>
        <v>0</v>
      </c>
      <c r="AS191" s="79">
        <f t="shared" si="54"/>
        <v>0</v>
      </c>
      <c r="AT191" s="79">
        <f t="shared" si="55"/>
        <v>0</v>
      </c>
      <c r="AU191" s="79">
        <f t="shared" si="56"/>
        <v>0</v>
      </c>
      <c r="AV191" s="79">
        <f t="shared" si="57"/>
        <v>0</v>
      </c>
      <c r="AW191" s="79">
        <f t="shared" si="58"/>
        <v>0</v>
      </c>
      <c r="AX191" s="79">
        <f t="shared" si="59"/>
        <v>0</v>
      </c>
      <c r="AY191" s="79">
        <f t="shared" si="60"/>
        <v>0</v>
      </c>
      <c r="AZ191" s="79">
        <f t="shared" si="61"/>
        <v>0</v>
      </c>
      <c r="BA191" s="79">
        <f t="shared" si="62"/>
        <v>0</v>
      </c>
      <c r="BB191" s="79">
        <f t="shared" si="63"/>
        <v>0</v>
      </c>
      <c r="BC191" s="79">
        <f t="shared" si="64"/>
        <v>0</v>
      </c>
      <c r="BD191" s="79">
        <f t="shared" si="65"/>
        <v>0</v>
      </c>
      <c r="BE191" s="79">
        <f t="shared" si="66"/>
        <v>0</v>
      </c>
      <c r="BF191" s="79">
        <f t="shared" si="67"/>
        <v>0</v>
      </c>
    </row>
    <row r="192" spans="1:58" x14ac:dyDescent="0.25">
      <c r="A192" s="138" t="s">
        <v>1195</v>
      </c>
      <c r="B192" t="s">
        <v>642</v>
      </c>
      <c r="C192" t="s">
        <v>643</v>
      </c>
      <c r="D192" s="78">
        <f>INDEX('Population Data by Age'!$B$7:$H$10366,MATCH(CONCATENATE('Tabular Pop Data by Age'!$C192,'Tabular Pop Data by Age'!D$7),'Population Data by Age'!$B$7:$B$10366,0),MATCH('Tabular Pop Data by Age'!$C$6,'Population Data by Age'!$B$6:$H$6,0))</f>
        <v>3800</v>
      </c>
      <c r="E192" s="78">
        <f>INDEX('Population Data by Age'!$B$7:$H$10366,MATCH(CONCATENATE('Tabular Pop Data by Age'!$C192,'Tabular Pop Data by Age'!E$7),'Population Data by Age'!$B$7:$B$10366,0),MATCH('Tabular Pop Data by Age'!$C$6,'Population Data by Age'!$B$6:$H$6,0))</f>
        <v>3900</v>
      </c>
      <c r="F192" s="78">
        <f>INDEX('Population Data by Age'!$B$7:$H$10366,MATCH(CONCATENATE('Tabular Pop Data by Age'!$C192,'Tabular Pop Data by Age'!F$7),'Population Data by Age'!$B$7:$B$10366,0),MATCH('Tabular Pop Data by Age'!$C$6,'Population Data by Age'!$B$6:$H$6,0))</f>
        <v>4100</v>
      </c>
      <c r="G192" s="78">
        <f>INDEX('Population Data by Age'!$B$7:$H$10366,MATCH(CONCATENATE('Tabular Pop Data by Age'!$C192,'Tabular Pop Data by Age'!G$7),'Population Data by Age'!$B$7:$B$10366,0),MATCH('Tabular Pop Data by Age'!$C$6,'Population Data by Age'!$B$6:$H$6,0))</f>
        <v>4100</v>
      </c>
      <c r="H192" s="78">
        <f>INDEX('Population Data by Age'!$B$7:$H$10366,MATCH(CONCATENATE('Tabular Pop Data by Age'!$C192,'Tabular Pop Data by Age'!H$7),'Population Data by Age'!$B$7:$B$10366,0),MATCH('Tabular Pop Data by Age'!$C$6,'Population Data by Age'!$B$6:$H$6,0))</f>
        <v>4100</v>
      </c>
      <c r="I192" s="78">
        <f>INDEX('Population Data by Age'!$B$7:$H$10366,MATCH(CONCATENATE('Tabular Pop Data by Age'!$C192,'Tabular Pop Data by Age'!I$7),'Population Data by Age'!$B$7:$B$10366,0),MATCH('Tabular Pop Data by Age'!$C$6,'Population Data by Age'!$B$6:$H$6,0))</f>
        <v>4200</v>
      </c>
      <c r="J192" s="78">
        <f>INDEX('Population Data by Age'!$B$7:$H$10366,MATCH(CONCATENATE('Tabular Pop Data by Age'!$C192,'Tabular Pop Data by Age'!J$7),'Population Data by Age'!$B$7:$B$10366,0),MATCH('Tabular Pop Data by Age'!$C$6,'Population Data by Age'!$B$6:$H$6,0))</f>
        <v>4400</v>
      </c>
      <c r="K192" s="78">
        <f>INDEX('Population Data by Age'!$B$7:$H$10366,MATCH(CONCATENATE('Tabular Pop Data by Age'!$C192,'Tabular Pop Data by Age'!K$7),'Population Data by Age'!$B$7:$B$10366,0),MATCH('Tabular Pop Data by Age'!$C$6,'Population Data by Age'!$B$6:$H$6,0))</f>
        <v>4700</v>
      </c>
      <c r="L192" s="78">
        <f>INDEX('Population Data by Age'!$B$7:$H$10366,MATCH(CONCATENATE('Tabular Pop Data by Age'!$C192,'Tabular Pop Data by Age'!L$7),'Population Data by Age'!$B$7:$B$10366,0),MATCH('Tabular Pop Data by Age'!$C$6,'Population Data by Age'!$B$6:$H$6,0))</f>
        <v>4500</v>
      </c>
      <c r="M192" s="78">
        <f>INDEX('Population Data by Age'!$B$7:$H$10366,MATCH(CONCATENATE('Tabular Pop Data by Age'!$C192,'Tabular Pop Data by Age'!M$7),'Population Data by Age'!$B$7:$B$10366,0),MATCH('Tabular Pop Data by Age'!$C$6,'Population Data by Age'!$B$6:$H$6,0))</f>
        <v>4700</v>
      </c>
      <c r="N192" s="78">
        <f>INDEX('Population Data by Age'!$B$7:$H$10366,MATCH(CONCATENATE('Tabular Pop Data by Age'!$C192,'Tabular Pop Data by Age'!N$7),'Population Data by Age'!$B$7:$B$10366,0),MATCH('Tabular Pop Data by Age'!$C$6,'Population Data by Age'!$B$6:$H$6,0))</f>
        <v>4100</v>
      </c>
      <c r="O192" s="78">
        <f>INDEX('Population Data by Age'!$B$7:$H$10366,MATCH(CONCATENATE('Tabular Pop Data by Age'!$C192,'Tabular Pop Data by Age'!O$7),'Population Data by Age'!$B$7:$B$10366,0),MATCH('Tabular Pop Data by Age'!$C$6,'Population Data by Age'!$B$6:$H$6,0))</f>
        <v>4200</v>
      </c>
      <c r="P192" s="78">
        <f>INDEX('Population Data by Age'!$B$7:$H$10366,MATCH(CONCATENATE('Tabular Pop Data by Age'!$C192,'Tabular Pop Data by Age'!P$7),'Population Data by Age'!$B$7:$B$10366,0),MATCH('Tabular Pop Data by Age'!$C$6,'Population Data by Age'!$B$6:$H$6,0))</f>
        <v>3900</v>
      </c>
      <c r="Q192" s="78">
        <f>INDEX('Population Data by Age'!$B$7:$H$10366,MATCH(CONCATENATE('Tabular Pop Data by Age'!$C192,'Tabular Pop Data by Age'!Q$7),'Population Data by Age'!$B$7:$B$10366,0),MATCH('Tabular Pop Data by Age'!$C$6,'Population Data by Age'!$B$6:$H$6,0))</f>
        <v>4000</v>
      </c>
      <c r="R192" s="78">
        <f>INDEX('Population Data by Age'!$B$7:$H$10366,MATCH(CONCATENATE('Tabular Pop Data by Age'!$C192,'Tabular Pop Data by Age'!R$7),'Population Data by Age'!$B$7:$B$10366,0),MATCH('Tabular Pop Data by Age'!$C$6,'Population Data by Age'!$B$6:$H$6,0))</f>
        <v>4000</v>
      </c>
      <c r="S192" s="78">
        <f>INDEX('Population Data by Age'!$B$7:$H$10366,MATCH(CONCATENATE('Tabular Pop Data by Age'!$C192,'Tabular Pop Data by Age'!S$7),'Population Data by Age'!$B$7:$B$10366,0),MATCH('Tabular Pop Data by Age'!$C$6,'Population Data by Age'!$B$6:$H$6,0))</f>
        <v>3800</v>
      </c>
      <c r="T192" s="78">
        <f>INDEX('Population Data by Age'!$B$7:$H$10366,MATCH(CONCATENATE('Tabular Pop Data by Age'!$C192,'Tabular Pop Data by Age'!T$7),'Population Data by Age'!$B$7:$B$10366,0),MATCH('Tabular Pop Data by Age'!$C$6,'Population Data by Age'!$B$6:$H$6,0))</f>
        <v>3700</v>
      </c>
      <c r="U192" s="78">
        <f>INDEX('Population Data by Age'!$B$7:$H$10366,MATCH(CONCATENATE('Tabular Pop Data by Age'!$C192,'Tabular Pop Data by Age'!U$7),'Population Data by Age'!$B$7:$B$10366,0),MATCH('Tabular Pop Data by Age'!$C$6,'Population Data by Age'!$B$6:$H$6,0))</f>
        <v>3800</v>
      </c>
      <c r="V192" s="78">
        <f>INDEX('Population Data by Age'!$B$7:$H$10366,MATCH(CONCATENATE('Tabular Pop Data by Age'!$C192,'Tabular Pop Data by Age'!V$7),'Population Data by Age'!$B$7:$B$10366,0),MATCH('Tabular Pop Data by Age'!$C$6,'Population Data by Age'!$B$6:$H$6,0))</f>
        <v>3300</v>
      </c>
      <c r="W192" s="78">
        <f>INDEX('Population Data by Age'!$B$7:$H$10366,MATCH(CONCATENATE('Tabular Pop Data by Age'!$C192,'Tabular Pop Data by Age'!W$7),'Population Data by Age'!$B$7:$B$10366,0),MATCH('Tabular Pop Data by Age'!$C$6,'Population Data by Age'!$B$6:$H$6,0))</f>
        <v>3600</v>
      </c>
      <c r="X192" s="78">
        <f>INDEX('Population Data by Age'!$B$7:$H$10366,MATCH(CONCATENATE('Tabular Pop Data by Age'!$C192,'Tabular Pop Data by Age'!X$7),'Population Data by Age'!$B$7:$B$10366,0),MATCH('Tabular Pop Data by Age'!$C$6,'Population Data by Age'!$B$6:$H$6,0))</f>
        <v>3300</v>
      </c>
      <c r="Y192" s="78">
        <f>INDEX('Population Data by Age'!$B$7:$H$10366,MATCH(CONCATENATE('Tabular Pop Data by Age'!$C192,'Tabular Pop Data by Age'!Y$7),'Population Data by Age'!$B$7:$B$10366,0),MATCH('Tabular Pop Data by Age'!$C$6,'Population Data by Age'!$B$6:$H$6,0))</f>
        <v>3500</v>
      </c>
      <c r="Z192" s="78">
        <f>INDEX('Population Data by Age'!$B$7:$H$10366,MATCH(CONCATENATE('Tabular Pop Data by Age'!$C192,'Tabular Pop Data by Age'!Z$7),'Population Data by Age'!$B$7:$B$10366,0),MATCH('Tabular Pop Data by Age'!$C$6,'Population Data by Age'!$B$6:$H$6,0))</f>
        <v>3300</v>
      </c>
      <c r="AA192" s="78">
        <f>INDEX('Population Data by Age'!$B$7:$H$10366,MATCH(CONCATENATE('Tabular Pop Data by Age'!$C192,'Tabular Pop Data by Age'!AA$7),'Population Data by Age'!$B$7:$B$10366,0),MATCH('Tabular Pop Data by Age'!$C$6,'Population Data by Age'!$B$6:$H$6,0))</f>
        <v>3500</v>
      </c>
      <c r="AB192" s="78">
        <f>INDEX('Population Data by Age'!$B$7:$H$10366,MATCH(CONCATENATE('Tabular Pop Data by Age'!$C192,'Tabular Pop Data by Age'!AB$7),'Population Data by Age'!$B$7:$B$10366,0),MATCH('Tabular Pop Data by Age'!$C$6,'Population Data by Age'!$B$6:$H$6,0))</f>
        <v>2500</v>
      </c>
      <c r="AC192" s="78">
        <f>INDEX('Population Data by Age'!$B$7:$H$10366,MATCH(CONCATENATE('Tabular Pop Data by Age'!$C192,'Tabular Pop Data by Age'!AC$7),'Population Data by Age'!$B$7:$B$10366,0),MATCH('Tabular Pop Data by Age'!$C$6,'Population Data by Age'!$B$6:$H$6,0))</f>
        <v>2800</v>
      </c>
      <c r="AD192" s="78">
        <f>INDEX('Population Data by Age'!$B$7:$H$10366,MATCH(CONCATENATE('Tabular Pop Data by Age'!$C192,'Tabular Pop Data by Age'!AD$7),'Population Data by Age'!$B$7:$B$10366,0),MATCH('Tabular Pop Data by Age'!$C$6,'Population Data by Age'!$B$6:$H$6,0))</f>
        <v>1900</v>
      </c>
      <c r="AE192" s="78">
        <f>INDEX('Population Data by Age'!$B$7:$H$10366,MATCH(CONCATENATE('Tabular Pop Data by Age'!$C192,'Tabular Pop Data by Age'!AE$7),'Population Data by Age'!$B$7:$B$10366,0),MATCH('Tabular Pop Data by Age'!$C$6,'Population Data by Age'!$B$6:$H$6,0))</f>
        <v>2000</v>
      </c>
      <c r="AF192" s="78">
        <f>INDEX('Population Data by Age'!$B$7:$H$10366,MATCH(CONCATENATE('Tabular Pop Data by Age'!$C192,'Tabular Pop Data by Age'!AF$7),'Population Data by Age'!$B$7:$B$10366,0),MATCH('Tabular Pop Data by Age'!$C$6,'Population Data by Age'!$B$6:$H$6,0))</f>
        <v>1400</v>
      </c>
      <c r="AG192" s="78">
        <f>INDEX('Population Data by Age'!$B$7:$H$10366,MATCH(CONCATENATE('Tabular Pop Data by Age'!$C192,'Tabular Pop Data by Age'!AG$7),'Population Data by Age'!$B$7:$B$10366,0),MATCH('Tabular Pop Data by Age'!$C$6,'Population Data by Age'!$B$6:$H$6,0))</f>
        <v>1300</v>
      </c>
      <c r="AH192" s="78">
        <f>INDEX('Population Data by Age'!$B$7:$H$10366,MATCH(CONCATENATE('Tabular Pop Data by Age'!$C192,'Tabular Pop Data by Age'!AH$7),'Population Data by Age'!$B$7:$B$10366,0),MATCH('Tabular Pop Data by Age'!$C$6,'Population Data by Age'!$B$6:$H$6,0))</f>
        <v>900</v>
      </c>
      <c r="AI192" s="78">
        <f>INDEX('Population Data by Age'!$B$7:$H$10366,MATCH(CONCATENATE('Tabular Pop Data by Age'!$C192,'Tabular Pop Data by Age'!AI$7),'Population Data by Age'!$B$7:$B$10366,0),MATCH('Tabular Pop Data by Age'!$C$6,'Population Data by Age'!$B$6:$H$6,0))</f>
        <v>900</v>
      </c>
      <c r="AJ192" s="78">
        <f>INDEX('Population Data by Age'!$B$7:$H$10366,MATCH(CONCATENATE('Tabular Pop Data by Age'!$C192,'Tabular Pop Data by Age'!AJ$7),'Population Data by Age'!$B$7:$B$10366,0),MATCH('Tabular Pop Data by Age'!$C$6,'Population Data by Age'!$B$6:$H$6,0))</f>
        <v>1400</v>
      </c>
      <c r="AK192" s="78">
        <f>INDEX('Population Data by Age'!$B$7:$H$10366,MATCH(CONCATENATE('Tabular Pop Data by Age'!$C192,'Tabular Pop Data by Age'!AK$7),'Population Data by Age'!$B$7:$B$10366,0),MATCH('Tabular Pop Data by Age'!$C$6,'Population Data by Age'!$B$6:$H$6,0))</f>
        <v>1200</v>
      </c>
      <c r="AL192" s="78">
        <f>INDEX('Population Data by Age'!$B$7:$H$10366,MATCH(CONCATENATE('Tabular Pop Data by Age'!$C192,'Tabular Pop Data by Age'!AL$7),'Population Data by Age'!$B$7:$B$10366,0),MATCH('Tabular Pop Data by Age'!$C$6,'Population Data by Age'!$B$6:$H$6,0))</f>
        <v>55000</v>
      </c>
      <c r="AM192" s="78">
        <f>INDEX('Population Data by Age'!$B$7:$H$10366,MATCH(CONCATENATE('Tabular Pop Data by Age'!$C192,'Tabular Pop Data by Age'!AM$7),'Population Data by Age'!$B$7:$B$10366,0),MATCH('Tabular Pop Data by Age'!$C$6,'Population Data by Age'!$B$6:$H$6,0))</f>
        <v>56000</v>
      </c>
      <c r="AN192" s="78">
        <f>INDEX('Population Data by Age'!$B$7:$H$10366,MATCH(CONCATENATE('Tabular Pop Data by Age'!$C192,'Tabular Pop Data by Age'!AN$7),'Population Data by Age'!$B$7:$B$10366,0),MATCH('Tabular Pop Data by Age'!$C$6,'Population Data by Age'!$B$6:$H$6,0))</f>
        <v>111000</v>
      </c>
      <c r="AO192" s="78">
        <f>INDEX('Population Data by Age'!$B$7:$H$10366,MATCH(CONCATENATE('Tabular Pop Data by Age'!$C192,'Tabular Pop Data by Age'!AO$7),'Population Data by Age'!$B$7:$B$10366,0),MATCH('Tabular Pop Data by Age'!$C$6,'Population Data by Age'!$B$6:$H$6,0))</f>
        <v>0</v>
      </c>
      <c r="AP192" s="79">
        <f t="shared" si="51"/>
        <v>7700</v>
      </c>
      <c r="AQ192" s="79">
        <f t="shared" si="52"/>
        <v>8200</v>
      </c>
      <c r="AR192" s="79">
        <f t="shared" si="53"/>
        <v>8300</v>
      </c>
      <c r="AS192" s="79">
        <f t="shared" si="54"/>
        <v>9100</v>
      </c>
      <c r="AT192" s="79">
        <f t="shared" si="55"/>
        <v>9200</v>
      </c>
      <c r="AU192" s="79">
        <f t="shared" si="56"/>
        <v>8300</v>
      </c>
      <c r="AV192" s="79">
        <f t="shared" si="57"/>
        <v>7900</v>
      </c>
      <c r="AW192" s="79">
        <f t="shared" si="58"/>
        <v>7800</v>
      </c>
      <c r="AX192" s="79">
        <f t="shared" si="59"/>
        <v>7500</v>
      </c>
      <c r="AY192" s="79">
        <f t="shared" si="60"/>
        <v>6900</v>
      </c>
      <c r="AZ192" s="79">
        <f t="shared" si="61"/>
        <v>6800</v>
      </c>
      <c r="BA192" s="79">
        <f t="shared" si="62"/>
        <v>6800</v>
      </c>
      <c r="BB192" s="79">
        <f t="shared" si="63"/>
        <v>5300</v>
      </c>
      <c r="BC192" s="79">
        <f t="shared" si="64"/>
        <v>3900</v>
      </c>
      <c r="BD192" s="79">
        <f t="shared" si="65"/>
        <v>2700</v>
      </c>
      <c r="BE192" s="79">
        <f t="shared" si="66"/>
        <v>1800</v>
      </c>
      <c r="BF192" s="79">
        <f t="shared" si="67"/>
        <v>2600</v>
      </c>
    </row>
    <row r="193" spans="1:58" x14ac:dyDescent="0.25">
      <c r="A193" s="138" t="s">
        <v>1195</v>
      </c>
      <c r="B193" t="s">
        <v>233</v>
      </c>
      <c r="C193" t="s">
        <v>125</v>
      </c>
      <c r="D193" s="78">
        <f>INDEX('Population Data by Age'!$B$7:$H$10366,MATCH(CONCATENATE('Tabular Pop Data by Age'!$C193,'Tabular Pop Data by Age'!D$7),'Population Data by Age'!$B$7:$B$10366,0),MATCH('Tabular Pop Data by Age'!$C$6,'Population Data by Age'!$B$6:$H$6,0))</f>
        <v>3123000</v>
      </c>
      <c r="E193" s="78">
        <f>INDEX('Population Data by Age'!$B$7:$H$10366,MATCH(CONCATENATE('Tabular Pop Data by Age'!$C193,'Tabular Pop Data by Age'!E$7),'Population Data by Age'!$B$7:$B$10366,0),MATCH('Tabular Pop Data by Age'!$C$6,'Population Data by Age'!$B$6:$H$6,0))</f>
        <v>3216000</v>
      </c>
      <c r="F193" s="78">
        <f>INDEX('Population Data by Age'!$B$7:$H$10366,MATCH(CONCATENATE('Tabular Pop Data by Age'!$C193,'Tabular Pop Data by Age'!F$7),'Population Data by Age'!$B$7:$B$10366,0),MATCH('Tabular Pop Data by Age'!$C$6,'Population Data by Age'!$B$6:$H$6,0))</f>
        <v>2855000</v>
      </c>
      <c r="G193" s="78">
        <f>INDEX('Population Data by Age'!$B$7:$H$10366,MATCH(CONCATENATE('Tabular Pop Data by Age'!$C193,'Tabular Pop Data by Age'!G$7),'Population Data by Age'!$B$7:$B$10366,0),MATCH('Tabular Pop Data by Age'!$C$6,'Population Data by Age'!$B$6:$H$6,0))</f>
        <v>2934000</v>
      </c>
      <c r="H193" s="78">
        <f>INDEX('Population Data by Age'!$B$7:$H$10366,MATCH(CONCATENATE('Tabular Pop Data by Age'!$C193,'Tabular Pop Data by Age'!H$7),'Population Data by Age'!$B$7:$B$10366,0),MATCH('Tabular Pop Data by Age'!$C$6,'Population Data by Age'!$B$6:$H$6,0))</f>
        <v>2626000</v>
      </c>
      <c r="I193" s="78">
        <f>INDEX('Population Data by Age'!$B$7:$H$10366,MATCH(CONCATENATE('Tabular Pop Data by Age'!$C193,'Tabular Pop Data by Age'!I$7),'Population Data by Age'!$B$7:$B$10366,0),MATCH('Tabular Pop Data by Age'!$C$6,'Population Data by Age'!$B$6:$H$6,0))</f>
        <v>2696000</v>
      </c>
      <c r="J193" s="78">
        <f>INDEX('Population Data by Age'!$B$7:$H$10366,MATCH(CONCATENATE('Tabular Pop Data by Age'!$C193,'Tabular Pop Data by Age'!J$7),'Population Data by Age'!$B$7:$B$10366,0),MATCH('Tabular Pop Data by Age'!$C$6,'Population Data by Age'!$B$6:$H$6,0))</f>
        <v>2372000</v>
      </c>
      <c r="K193" s="78">
        <f>INDEX('Population Data by Age'!$B$7:$H$10366,MATCH(CONCATENATE('Tabular Pop Data by Age'!$C193,'Tabular Pop Data by Age'!K$7),'Population Data by Age'!$B$7:$B$10366,0),MATCH('Tabular Pop Data by Age'!$C$6,'Population Data by Age'!$B$6:$H$6,0))</f>
        <v>2429000</v>
      </c>
      <c r="L193" s="78">
        <f>INDEX('Population Data by Age'!$B$7:$H$10366,MATCH(CONCATENATE('Tabular Pop Data by Age'!$C193,'Tabular Pop Data by Age'!L$7),'Population Data by Age'!$B$7:$B$10366,0),MATCH('Tabular Pop Data by Age'!$C$6,'Population Data by Age'!$B$6:$H$6,0))</f>
        <v>2058000</v>
      </c>
      <c r="M193" s="78">
        <f>INDEX('Population Data by Age'!$B$7:$H$10366,MATCH(CONCATENATE('Tabular Pop Data by Age'!$C193,'Tabular Pop Data by Age'!M$7),'Population Data by Age'!$B$7:$B$10366,0),MATCH('Tabular Pop Data by Age'!$C$6,'Population Data by Age'!$B$6:$H$6,0))</f>
        <v>2101000</v>
      </c>
      <c r="N193" s="78">
        <f>INDEX('Population Data by Age'!$B$7:$H$10366,MATCH(CONCATENATE('Tabular Pop Data by Age'!$C193,'Tabular Pop Data by Age'!N$7),'Population Data by Age'!$B$7:$B$10366,0),MATCH('Tabular Pop Data by Age'!$C$6,'Population Data by Age'!$B$6:$H$6,0))</f>
        <v>1720000</v>
      </c>
      <c r="O193" s="78">
        <f>INDEX('Population Data by Age'!$B$7:$H$10366,MATCH(CONCATENATE('Tabular Pop Data by Age'!$C193,'Tabular Pop Data by Age'!O$7),'Population Data by Age'!$B$7:$B$10366,0),MATCH('Tabular Pop Data by Age'!$C$6,'Population Data by Age'!$B$6:$H$6,0))</f>
        <v>1748000</v>
      </c>
      <c r="P193" s="78">
        <f>INDEX('Population Data by Age'!$B$7:$H$10366,MATCH(CONCATENATE('Tabular Pop Data by Age'!$C193,'Tabular Pop Data by Age'!P$7),'Population Data by Age'!$B$7:$B$10366,0),MATCH('Tabular Pop Data by Age'!$C$6,'Population Data by Age'!$B$6:$H$6,0))</f>
        <v>1405000</v>
      </c>
      <c r="Q193" s="78">
        <f>INDEX('Population Data by Age'!$B$7:$H$10366,MATCH(CONCATENATE('Tabular Pop Data by Age'!$C193,'Tabular Pop Data by Age'!Q$7),'Population Data by Age'!$B$7:$B$10366,0),MATCH('Tabular Pop Data by Age'!$C$6,'Population Data by Age'!$B$6:$H$6,0))</f>
        <v>1394000</v>
      </c>
      <c r="R193" s="78">
        <f>INDEX('Population Data by Age'!$B$7:$H$10366,MATCH(CONCATENATE('Tabular Pop Data by Age'!$C193,'Tabular Pop Data by Age'!R$7),'Population Data by Age'!$B$7:$B$10366,0),MATCH('Tabular Pop Data by Age'!$C$6,'Population Data by Age'!$B$6:$H$6,0))</f>
        <v>1231000</v>
      </c>
      <c r="S193" s="78">
        <f>INDEX('Population Data by Age'!$B$7:$H$10366,MATCH(CONCATENATE('Tabular Pop Data by Age'!$C193,'Tabular Pop Data by Age'!S$7),'Population Data by Age'!$B$7:$B$10366,0),MATCH('Tabular Pop Data by Age'!$C$6,'Population Data by Age'!$B$6:$H$6,0))</f>
        <v>1173000</v>
      </c>
      <c r="T193" s="78">
        <f>INDEX('Population Data by Age'!$B$7:$H$10366,MATCH(CONCATENATE('Tabular Pop Data by Age'!$C193,'Tabular Pop Data by Age'!T$7),'Population Data by Age'!$B$7:$B$10366,0),MATCH('Tabular Pop Data by Age'!$C$6,'Population Data by Age'!$B$6:$H$6,0))</f>
        <v>1049000</v>
      </c>
      <c r="U193" s="78">
        <f>INDEX('Population Data by Age'!$B$7:$H$10366,MATCH(CONCATENATE('Tabular Pop Data by Age'!$C193,'Tabular Pop Data by Age'!U$7),'Population Data by Age'!$B$7:$B$10366,0),MATCH('Tabular Pop Data by Age'!$C$6,'Population Data by Age'!$B$6:$H$6,0))</f>
        <v>978000</v>
      </c>
      <c r="V193" s="78">
        <f>INDEX('Population Data by Age'!$B$7:$H$10366,MATCH(CONCATENATE('Tabular Pop Data by Age'!$C193,'Tabular Pop Data by Age'!V$7),'Population Data by Age'!$B$7:$B$10366,0),MATCH('Tabular Pop Data by Age'!$C$6,'Population Data by Age'!$B$6:$H$6,0))</f>
        <v>874000</v>
      </c>
      <c r="W193" s="78">
        <f>INDEX('Population Data by Age'!$B$7:$H$10366,MATCH(CONCATENATE('Tabular Pop Data by Age'!$C193,'Tabular Pop Data by Age'!W$7),'Population Data by Age'!$B$7:$B$10366,0),MATCH('Tabular Pop Data by Age'!$C$6,'Population Data by Age'!$B$6:$H$6,0))</f>
        <v>827000</v>
      </c>
      <c r="X193" s="78">
        <f>INDEX('Population Data by Age'!$B$7:$H$10366,MATCH(CONCATENATE('Tabular Pop Data by Age'!$C193,'Tabular Pop Data by Age'!X$7),'Population Data by Age'!$B$7:$B$10366,0),MATCH('Tabular Pop Data by Age'!$C$6,'Population Data by Age'!$B$6:$H$6,0))</f>
        <v>728000</v>
      </c>
      <c r="Y193" s="78">
        <f>INDEX('Population Data by Age'!$B$7:$H$10366,MATCH(CONCATENATE('Tabular Pop Data by Age'!$C193,'Tabular Pop Data by Age'!Y$7),'Population Data by Age'!$B$7:$B$10366,0),MATCH('Tabular Pop Data by Age'!$C$6,'Population Data by Age'!$B$6:$H$6,0))</f>
        <v>697000</v>
      </c>
      <c r="Z193" s="78">
        <f>INDEX('Population Data by Age'!$B$7:$H$10366,MATCH(CONCATENATE('Tabular Pop Data by Age'!$C193,'Tabular Pop Data by Age'!Z$7),'Population Data by Age'!$B$7:$B$10366,0),MATCH('Tabular Pop Data by Age'!$C$6,'Population Data by Age'!$B$6:$H$6,0))</f>
        <v>581000</v>
      </c>
      <c r="AA193" s="78">
        <f>INDEX('Population Data by Age'!$B$7:$H$10366,MATCH(CONCATENATE('Tabular Pop Data by Age'!$C193,'Tabular Pop Data by Age'!AA$7),'Population Data by Age'!$B$7:$B$10366,0),MATCH('Tabular Pop Data by Age'!$C$6,'Population Data by Age'!$B$6:$H$6,0))</f>
        <v>547000</v>
      </c>
      <c r="AB193" s="78">
        <f>INDEX('Population Data by Age'!$B$7:$H$10366,MATCH(CONCATENATE('Tabular Pop Data by Age'!$C193,'Tabular Pop Data by Age'!AB$7),'Population Data by Age'!$B$7:$B$10366,0),MATCH('Tabular Pop Data by Age'!$C$6,'Population Data by Age'!$B$6:$H$6,0))</f>
        <v>456000</v>
      </c>
      <c r="AC193" s="78">
        <f>INDEX('Population Data by Age'!$B$7:$H$10366,MATCH(CONCATENATE('Tabular Pop Data by Age'!$C193,'Tabular Pop Data by Age'!AC$7),'Population Data by Age'!$B$7:$B$10366,0),MATCH('Tabular Pop Data by Age'!$C$6,'Population Data by Age'!$B$6:$H$6,0))</f>
        <v>419000</v>
      </c>
      <c r="AD193" s="78">
        <f>INDEX('Population Data by Age'!$B$7:$H$10366,MATCH(CONCATENATE('Tabular Pop Data by Age'!$C193,'Tabular Pop Data by Age'!AD$7),'Population Data by Age'!$B$7:$B$10366,0),MATCH('Tabular Pop Data by Age'!$C$6,'Population Data by Age'!$B$6:$H$6,0))</f>
        <v>348000</v>
      </c>
      <c r="AE193" s="78">
        <f>INDEX('Population Data by Age'!$B$7:$H$10366,MATCH(CONCATENATE('Tabular Pop Data by Age'!$C193,'Tabular Pop Data by Age'!AE$7),'Population Data by Age'!$B$7:$B$10366,0),MATCH('Tabular Pop Data by Age'!$C$6,'Population Data by Age'!$B$6:$H$6,0))</f>
        <v>313000</v>
      </c>
      <c r="AF193" s="78">
        <f>INDEX('Population Data by Age'!$B$7:$H$10366,MATCH(CONCATENATE('Tabular Pop Data by Age'!$C193,'Tabular Pop Data by Age'!AF$7),'Population Data by Age'!$B$7:$B$10366,0),MATCH('Tabular Pop Data by Age'!$C$6,'Population Data by Age'!$B$6:$H$6,0))</f>
        <v>242000</v>
      </c>
      <c r="AG193" s="78">
        <f>INDEX('Population Data by Age'!$B$7:$H$10366,MATCH(CONCATENATE('Tabular Pop Data by Age'!$C193,'Tabular Pop Data by Age'!AG$7),'Population Data by Age'!$B$7:$B$10366,0),MATCH('Tabular Pop Data by Age'!$C$6,'Population Data by Age'!$B$6:$H$6,0))</f>
        <v>213000</v>
      </c>
      <c r="AH193" s="78">
        <f>INDEX('Population Data by Age'!$B$7:$H$10366,MATCH(CONCATENATE('Tabular Pop Data by Age'!$C193,'Tabular Pop Data by Age'!AH$7),'Population Data by Age'!$B$7:$B$10366,0),MATCH('Tabular Pop Data by Age'!$C$6,'Population Data by Age'!$B$6:$H$6,0))</f>
        <v>151000</v>
      </c>
      <c r="AI193" s="78">
        <f>INDEX('Population Data by Age'!$B$7:$H$10366,MATCH(CONCATENATE('Tabular Pop Data by Age'!$C193,'Tabular Pop Data by Age'!AI$7),'Population Data by Age'!$B$7:$B$10366,0),MATCH('Tabular Pop Data by Age'!$C$6,'Population Data by Age'!$B$6:$H$6,0))</f>
        <v>127000</v>
      </c>
      <c r="AJ193" s="78">
        <f>INDEX('Population Data by Age'!$B$7:$H$10366,MATCH(CONCATENATE('Tabular Pop Data by Age'!$C193,'Tabular Pop Data by Age'!AJ$7),'Population Data by Age'!$B$7:$B$10366,0),MATCH('Tabular Pop Data by Age'!$C$6,'Population Data by Age'!$B$6:$H$6,0))</f>
        <v>122000</v>
      </c>
      <c r="AK193" s="78">
        <f>INDEX('Population Data by Age'!$B$7:$H$10366,MATCH(CONCATENATE('Tabular Pop Data by Age'!$C193,'Tabular Pop Data by Age'!AK$7),'Population Data by Age'!$B$7:$B$10366,0),MATCH('Tabular Pop Data by Age'!$C$6,'Population Data by Age'!$B$6:$H$6,0))</f>
        <v>95000</v>
      </c>
      <c r="AL193" s="78">
        <f>INDEX('Population Data by Age'!$B$7:$H$10366,MATCH(CONCATENATE('Tabular Pop Data by Age'!$C193,'Tabular Pop Data by Age'!AL$7),'Population Data by Age'!$B$7:$B$10366,0),MATCH('Tabular Pop Data by Age'!$C$6,'Population Data by Age'!$B$6:$H$6,0))</f>
        <v>21942000</v>
      </c>
      <c r="AM193" s="78">
        <f>INDEX('Population Data by Age'!$B$7:$H$10366,MATCH(CONCATENATE('Tabular Pop Data by Age'!$C193,'Tabular Pop Data by Age'!AM$7),'Population Data by Age'!$B$7:$B$10366,0),MATCH('Tabular Pop Data by Age'!$C$6,'Population Data by Age'!$B$6:$H$6,0))</f>
        <v>21907000</v>
      </c>
      <c r="AN193" s="78">
        <f>INDEX('Population Data by Age'!$B$7:$H$10366,MATCH(CONCATENATE('Tabular Pop Data by Age'!$C193,'Tabular Pop Data by Age'!AN$7),'Population Data by Age'!$B$7:$B$10366,0),MATCH('Tabular Pop Data by Age'!$C$6,'Population Data by Age'!$B$6:$H$6,0))</f>
        <v>43849000</v>
      </c>
      <c r="AO193" s="78">
        <f>INDEX('Population Data by Age'!$B$7:$H$10366,MATCH(CONCATENATE('Tabular Pop Data by Age'!$C193,'Tabular Pop Data by Age'!AO$7),'Population Data by Age'!$B$7:$B$10366,0),MATCH('Tabular Pop Data by Age'!$C$6,'Population Data by Age'!$B$6:$H$6,0))</f>
        <v>0</v>
      </c>
      <c r="AP193" s="79">
        <f t="shared" si="51"/>
        <v>6339000</v>
      </c>
      <c r="AQ193" s="79">
        <f t="shared" si="52"/>
        <v>5789000</v>
      </c>
      <c r="AR193" s="79">
        <f t="shared" si="53"/>
        <v>5322000</v>
      </c>
      <c r="AS193" s="79">
        <f t="shared" si="54"/>
        <v>4801000</v>
      </c>
      <c r="AT193" s="79">
        <f t="shared" si="55"/>
        <v>4159000</v>
      </c>
      <c r="AU193" s="79">
        <f t="shared" si="56"/>
        <v>3468000</v>
      </c>
      <c r="AV193" s="79">
        <f t="shared" si="57"/>
        <v>2799000</v>
      </c>
      <c r="AW193" s="79">
        <f t="shared" si="58"/>
        <v>2404000</v>
      </c>
      <c r="AX193" s="79">
        <f t="shared" si="59"/>
        <v>2027000</v>
      </c>
      <c r="AY193" s="79">
        <f t="shared" si="60"/>
        <v>1701000</v>
      </c>
      <c r="AZ193" s="79">
        <f t="shared" si="61"/>
        <v>1425000</v>
      </c>
      <c r="BA193" s="79">
        <f t="shared" si="62"/>
        <v>1128000</v>
      </c>
      <c r="BB193" s="79">
        <f t="shared" si="63"/>
        <v>875000</v>
      </c>
      <c r="BC193" s="79">
        <f t="shared" si="64"/>
        <v>661000</v>
      </c>
      <c r="BD193" s="79">
        <f t="shared" si="65"/>
        <v>455000</v>
      </c>
      <c r="BE193" s="79">
        <f t="shared" si="66"/>
        <v>278000</v>
      </c>
      <c r="BF193" s="79">
        <f t="shared" si="67"/>
        <v>217000</v>
      </c>
    </row>
    <row r="194" spans="1:58" x14ac:dyDescent="0.25">
      <c r="A194" s="138" t="s">
        <v>1195</v>
      </c>
      <c r="B194" t="s">
        <v>229</v>
      </c>
      <c r="C194" t="s">
        <v>170</v>
      </c>
      <c r="D194" s="78">
        <f>INDEX('Population Data by Age'!$B$7:$H$10366,MATCH(CONCATENATE('Tabular Pop Data by Age'!$C194,'Tabular Pop Data by Age'!D$7),'Population Data by Age'!$B$7:$B$10366,0),MATCH('Tabular Pop Data by Age'!$C$6,'Population Data by Age'!$B$6:$H$6,0))</f>
        <v>25000</v>
      </c>
      <c r="E194" s="78">
        <f>INDEX('Population Data by Age'!$B$7:$H$10366,MATCH(CONCATENATE('Tabular Pop Data by Age'!$C194,'Tabular Pop Data by Age'!E$7),'Population Data by Age'!$B$7:$B$10366,0),MATCH('Tabular Pop Data by Age'!$C$6,'Population Data by Age'!$B$6:$H$6,0))</f>
        <v>27000</v>
      </c>
      <c r="F194" s="78">
        <f>INDEX('Population Data by Age'!$B$7:$H$10366,MATCH(CONCATENATE('Tabular Pop Data by Age'!$C194,'Tabular Pop Data by Age'!F$7),'Population Data by Age'!$B$7:$B$10366,0),MATCH('Tabular Pop Data by Age'!$C$6,'Population Data by Age'!$B$6:$H$6,0))</f>
        <v>25000</v>
      </c>
      <c r="G194" s="78">
        <f>INDEX('Population Data by Age'!$B$7:$H$10366,MATCH(CONCATENATE('Tabular Pop Data by Age'!$C194,'Tabular Pop Data by Age'!G$7),'Population Data by Age'!$B$7:$B$10366,0),MATCH('Tabular Pop Data by Age'!$C$6,'Population Data by Age'!$B$6:$H$6,0))</f>
        <v>27000</v>
      </c>
      <c r="H194" s="78">
        <f>INDEX('Population Data by Age'!$B$7:$H$10366,MATCH(CONCATENATE('Tabular Pop Data by Age'!$C194,'Tabular Pop Data by Age'!H$7),'Population Data by Age'!$B$7:$B$10366,0),MATCH('Tabular Pop Data by Age'!$C$6,'Population Data by Age'!$B$6:$H$6,0))</f>
        <v>25000</v>
      </c>
      <c r="I194" s="78">
        <f>INDEX('Population Data by Age'!$B$7:$H$10366,MATCH(CONCATENATE('Tabular Pop Data by Age'!$C194,'Tabular Pop Data by Age'!I$7),'Population Data by Age'!$B$7:$B$10366,0),MATCH('Tabular Pop Data by Age'!$C$6,'Population Data by Age'!$B$6:$H$6,0))</f>
        <v>27000</v>
      </c>
      <c r="J194" s="78">
        <f>INDEX('Population Data by Age'!$B$7:$H$10366,MATCH(CONCATENATE('Tabular Pop Data by Age'!$C194,'Tabular Pop Data by Age'!J$7),'Population Data by Age'!$B$7:$B$10366,0),MATCH('Tabular Pop Data by Age'!$C$6,'Population Data by Age'!$B$6:$H$6,0))</f>
        <v>24000</v>
      </c>
      <c r="K194" s="78">
        <f>INDEX('Population Data by Age'!$B$7:$H$10366,MATCH(CONCATENATE('Tabular Pop Data by Age'!$C194,'Tabular Pop Data by Age'!K$7),'Population Data by Age'!$B$7:$B$10366,0),MATCH('Tabular Pop Data by Age'!$C$6,'Population Data by Age'!$B$6:$H$6,0))</f>
        <v>26000</v>
      </c>
      <c r="L194" s="78">
        <f>INDEX('Population Data by Age'!$B$7:$H$10366,MATCH(CONCATENATE('Tabular Pop Data by Age'!$C194,'Tabular Pop Data by Age'!L$7),'Population Data by Age'!$B$7:$B$10366,0),MATCH('Tabular Pop Data by Age'!$C$6,'Population Data by Age'!$B$6:$H$6,0))</f>
        <v>24000</v>
      </c>
      <c r="M194" s="78">
        <f>INDEX('Population Data by Age'!$B$7:$H$10366,MATCH(CONCATENATE('Tabular Pop Data by Age'!$C194,'Tabular Pop Data by Age'!M$7),'Population Data by Age'!$B$7:$B$10366,0),MATCH('Tabular Pop Data by Age'!$C$6,'Population Data by Age'!$B$6:$H$6,0))</f>
        <v>25000</v>
      </c>
      <c r="N194" s="78">
        <f>INDEX('Population Data by Age'!$B$7:$H$10366,MATCH(CONCATENATE('Tabular Pop Data by Age'!$C194,'Tabular Pop Data by Age'!N$7),'Population Data by Age'!$B$7:$B$10366,0),MATCH('Tabular Pop Data by Age'!$C$6,'Population Data by Age'!$B$6:$H$6,0))</f>
        <v>23000</v>
      </c>
      <c r="O194" s="78">
        <f>INDEX('Population Data by Age'!$B$7:$H$10366,MATCH(CONCATENATE('Tabular Pop Data by Age'!$C194,'Tabular Pop Data by Age'!O$7),'Population Data by Age'!$B$7:$B$10366,0),MATCH('Tabular Pop Data by Age'!$C$6,'Population Data by Age'!$B$6:$H$6,0))</f>
        <v>24000</v>
      </c>
      <c r="P194" s="78">
        <f>INDEX('Population Data by Age'!$B$7:$H$10366,MATCH(CONCATENATE('Tabular Pop Data by Age'!$C194,'Tabular Pop Data by Age'!P$7),'Population Data by Age'!$B$7:$B$10366,0),MATCH('Tabular Pop Data by Age'!$C$6,'Population Data by Age'!$B$6:$H$6,0))</f>
        <v>21000</v>
      </c>
      <c r="Q194" s="78">
        <f>INDEX('Population Data by Age'!$B$7:$H$10366,MATCH(CONCATENATE('Tabular Pop Data by Age'!$C194,'Tabular Pop Data by Age'!Q$7),'Population Data by Age'!$B$7:$B$10366,0),MATCH('Tabular Pop Data by Age'!$C$6,'Population Data by Age'!$B$6:$H$6,0))</f>
        <v>22000</v>
      </c>
      <c r="R194" s="78">
        <f>INDEX('Population Data by Age'!$B$7:$H$10366,MATCH(CONCATENATE('Tabular Pop Data by Age'!$C194,'Tabular Pop Data by Age'!R$7),'Population Data by Age'!$B$7:$B$10366,0),MATCH('Tabular Pop Data by Age'!$C$6,'Population Data by Age'!$B$6:$H$6,0))</f>
        <v>20000</v>
      </c>
      <c r="S194" s="78">
        <f>INDEX('Population Data by Age'!$B$7:$H$10366,MATCH(CONCATENATE('Tabular Pop Data by Age'!$C194,'Tabular Pop Data by Age'!S$7),'Population Data by Age'!$B$7:$B$10366,0),MATCH('Tabular Pop Data by Age'!$C$6,'Population Data by Age'!$B$6:$H$6,0))</f>
        <v>20000</v>
      </c>
      <c r="T194" s="78">
        <f>INDEX('Population Data by Age'!$B$7:$H$10366,MATCH(CONCATENATE('Tabular Pop Data by Age'!$C194,'Tabular Pop Data by Age'!T$7),'Population Data by Age'!$B$7:$B$10366,0),MATCH('Tabular Pop Data by Age'!$C$6,'Population Data by Age'!$B$6:$H$6,0))</f>
        <v>18000</v>
      </c>
      <c r="U194" s="78">
        <f>INDEX('Population Data by Age'!$B$7:$H$10366,MATCH(CONCATENATE('Tabular Pop Data by Age'!$C194,'Tabular Pop Data by Age'!U$7),'Population Data by Age'!$B$7:$B$10366,0),MATCH('Tabular Pop Data by Age'!$C$6,'Population Data by Age'!$B$6:$H$6,0))</f>
        <v>18000</v>
      </c>
      <c r="V194" s="78">
        <f>INDEX('Population Data by Age'!$B$7:$H$10366,MATCH(CONCATENATE('Tabular Pop Data by Age'!$C194,'Tabular Pop Data by Age'!V$7),'Population Data by Age'!$B$7:$B$10366,0),MATCH('Tabular Pop Data by Age'!$C$6,'Population Data by Age'!$B$6:$H$6,0))</f>
        <v>19000</v>
      </c>
      <c r="W194" s="78">
        <f>INDEX('Population Data by Age'!$B$7:$H$10366,MATCH(CONCATENATE('Tabular Pop Data by Age'!$C194,'Tabular Pop Data by Age'!W$7),'Population Data by Age'!$B$7:$B$10366,0),MATCH('Tabular Pop Data by Age'!$C$6,'Population Data by Age'!$B$6:$H$6,0))</f>
        <v>19000</v>
      </c>
      <c r="X194" s="78">
        <f>INDEX('Population Data by Age'!$B$7:$H$10366,MATCH(CONCATENATE('Tabular Pop Data by Age'!$C194,'Tabular Pop Data by Age'!X$7),'Population Data by Age'!$B$7:$B$10366,0),MATCH('Tabular Pop Data by Age'!$C$6,'Population Data by Age'!$B$6:$H$6,0))</f>
        <v>16000</v>
      </c>
      <c r="Y194" s="78">
        <f>INDEX('Population Data by Age'!$B$7:$H$10366,MATCH(CONCATENATE('Tabular Pop Data by Age'!$C194,'Tabular Pop Data by Age'!Y$7),'Population Data by Age'!$B$7:$B$10366,0),MATCH('Tabular Pop Data by Age'!$C$6,'Population Data by Age'!$B$6:$H$6,0))</f>
        <v>17000</v>
      </c>
      <c r="Z194" s="78">
        <f>INDEX('Population Data by Age'!$B$7:$H$10366,MATCH(CONCATENATE('Tabular Pop Data by Age'!$C194,'Tabular Pop Data by Age'!Z$7),'Population Data by Age'!$B$7:$B$10366,0),MATCH('Tabular Pop Data by Age'!$C$6,'Population Data by Age'!$B$6:$H$6,0))</f>
        <v>16000</v>
      </c>
      <c r="AA194" s="78">
        <f>INDEX('Population Data by Age'!$B$7:$H$10366,MATCH(CONCATENATE('Tabular Pop Data by Age'!$C194,'Tabular Pop Data by Age'!AA$7),'Population Data by Age'!$B$7:$B$10366,0),MATCH('Tabular Pop Data by Age'!$C$6,'Population Data by Age'!$B$6:$H$6,0))</f>
        <v>16000</v>
      </c>
      <c r="AB194" s="78">
        <f>INDEX('Population Data by Age'!$B$7:$H$10366,MATCH(CONCATENATE('Tabular Pop Data by Age'!$C194,'Tabular Pop Data by Age'!AB$7),'Population Data by Age'!$B$7:$B$10366,0),MATCH('Tabular Pop Data by Age'!$C$6,'Population Data by Age'!$B$6:$H$6,0))</f>
        <v>11000</v>
      </c>
      <c r="AC194" s="78">
        <f>INDEX('Population Data by Age'!$B$7:$H$10366,MATCH(CONCATENATE('Tabular Pop Data by Age'!$C194,'Tabular Pop Data by Age'!AC$7),'Population Data by Age'!$B$7:$B$10366,0),MATCH('Tabular Pop Data by Age'!$C$6,'Population Data by Age'!$B$6:$H$6,0))</f>
        <v>11000</v>
      </c>
      <c r="AD194" s="78">
        <f>INDEX('Population Data by Age'!$B$7:$H$10366,MATCH(CONCATENATE('Tabular Pop Data by Age'!$C194,'Tabular Pop Data by Age'!AD$7),'Population Data by Age'!$B$7:$B$10366,0),MATCH('Tabular Pop Data by Age'!$C$6,'Population Data by Age'!$B$6:$H$6,0))</f>
        <v>8400</v>
      </c>
      <c r="AE194" s="78">
        <f>INDEX('Population Data by Age'!$B$7:$H$10366,MATCH(CONCATENATE('Tabular Pop Data by Age'!$C194,'Tabular Pop Data by Age'!AE$7),'Population Data by Age'!$B$7:$B$10366,0),MATCH('Tabular Pop Data by Age'!$C$6,'Population Data by Age'!$B$6:$H$6,0))</f>
        <v>6900</v>
      </c>
      <c r="AF194" s="78">
        <f>INDEX('Population Data by Age'!$B$7:$H$10366,MATCH(CONCATENATE('Tabular Pop Data by Age'!$C194,'Tabular Pop Data by Age'!AF$7),'Population Data by Age'!$B$7:$B$10366,0),MATCH('Tabular Pop Data by Age'!$C$6,'Population Data by Age'!$B$6:$H$6,0))</f>
        <v>6400</v>
      </c>
      <c r="AG194" s="78">
        <f>INDEX('Population Data by Age'!$B$7:$H$10366,MATCH(CONCATENATE('Tabular Pop Data by Age'!$C194,'Tabular Pop Data by Age'!AG$7),'Population Data by Age'!$B$7:$B$10366,0),MATCH('Tabular Pop Data by Age'!$C$6,'Population Data by Age'!$B$6:$H$6,0))</f>
        <v>4900</v>
      </c>
      <c r="AH194" s="78">
        <f>INDEX('Population Data by Age'!$B$7:$H$10366,MATCH(CONCATENATE('Tabular Pop Data by Age'!$C194,'Tabular Pop Data by Age'!AH$7),'Population Data by Age'!$B$7:$B$10366,0),MATCH('Tabular Pop Data by Age'!$C$6,'Population Data by Age'!$B$6:$H$6,0))</f>
        <v>4500</v>
      </c>
      <c r="AI194" s="78">
        <f>INDEX('Population Data by Age'!$B$7:$H$10366,MATCH(CONCATENATE('Tabular Pop Data by Age'!$C194,'Tabular Pop Data by Age'!AI$7),'Population Data by Age'!$B$7:$B$10366,0),MATCH('Tabular Pop Data by Age'!$C$6,'Population Data by Age'!$B$6:$H$6,0))</f>
        <v>2900</v>
      </c>
      <c r="AJ194" s="78">
        <f>INDEX('Population Data by Age'!$B$7:$H$10366,MATCH(CONCATENATE('Tabular Pop Data by Age'!$C194,'Tabular Pop Data by Age'!AJ$7),'Population Data by Age'!$B$7:$B$10366,0),MATCH('Tabular Pop Data by Age'!$C$6,'Population Data by Age'!$B$6:$H$6,0))</f>
        <v>5000</v>
      </c>
      <c r="AK194" s="78">
        <f>INDEX('Population Data by Age'!$B$7:$H$10366,MATCH(CONCATENATE('Tabular Pop Data by Age'!$C194,'Tabular Pop Data by Age'!AK$7),'Population Data by Age'!$B$7:$B$10366,0),MATCH('Tabular Pop Data by Age'!$C$6,'Population Data by Age'!$B$6:$H$6,0))</f>
        <v>2900</v>
      </c>
      <c r="AL194" s="78">
        <f>INDEX('Population Data by Age'!$B$7:$H$10366,MATCH(CONCATENATE('Tabular Pop Data by Age'!$C194,'Tabular Pop Data by Age'!AL$7),'Population Data by Age'!$B$7:$B$10366,0),MATCH('Tabular Pop Data by Age'!$C$6,'Population Data by Age'!$B$6:$H$6,0))</f>
        <v>292000</v>
      </c>
      <c r="AM194" s="78">
        <f>INDEX('Population Data by Age'!$B$7:$H$10366,MATCH(CONCATENATE('Tabular Pop Data by Age'!$C194,'Tabular Pop Data by Age'!AM$7),'Population Data by Age'!$B$7:$B$10366,0),MATCH('Tabular Pop Data by Age'!$C$6,'Population Data by Age'!$B$6:$H$6,0))</f>
        <v>295000</v>
      </c>
      <c r="AN194" s="78">
        <f>INDEX('Population Data by Age'!$B$7:$H$10366,MATCH(CONCATENATE('Tabular Pop Data by Age'!$C194,'Tabular Pop Data by Age'!AN$7),'Population Data by Age'!$B$7:$B$10366,0),MATCH('Tabular Pop Data by Age'!$C$6,'Population Data by Age'!$B$6:$H$6,0))</f>
        <v>587000</v>
      </c>
      <c r="AO194" s="78">
        <f>INDEX('Population Data by Age'!$B$7:$H$10366,MATCH(CONCATENATE('Tabular Pop Data by Age'!$C194,'Tabular Pop Data by Age'!AO$7),'Population Data by Age'!$B$7:$B$10366,0),MATCH('Tabular Pop Data by Age'!$C$6,'Population Data by Age'!$B$6:$H$6,0))</f>
        <v>0</v>
      </c>
      <c r="AP194" s="79">
        <f t="shared" si="51"/>
        <v>52000</v>
      </c>
      <c r="AQ194" s="79">
        <f t="shared" si="52"/>
        <v>52000</v>
      </c>
      <c r="AR194" s="79">
        <f t="shared" si="53"/>
        <v>52000</v>
      </c>
      <c r="AS194" s="79">
        <f t="shared" si="54"/>
        <v>50000</v>
      </c>
      <c r="AT194" s="79">
        <f t="shared" si="55"/>
        <v>49000</v>
      </c>
      <c r="AU194" s="79">
        <f t="shared" si="56"/>
        <v>47000</v>
      </c>
      <c r="AV194" s="79">
        <f t="shared" si="57"/>
        <v>43000</v>
      </c>
      <c r="AW194" s="79">
        <f t="shared" si="58"/>
        <v>40000</v>
      </c>
      <c r="AX194" s="79">
        <f t="shared" si="59"/>
        <v>36000</v>
      </c>
      <c r="AY194" s="79">
        <f t="shared" si="60"/>
        <v>38000</v>
      </c>
      <c r="AZ194" s="79">
        <f t="shared" si="61"/>
        <v>33000</v>
      </c>
      <c r="BA194" s="79">
        <f t="shared" si="62"/>
        <v>32000</v>
      </c>
      <c r="BB194" s="79">
        <f t="shared" si="63"/>
        <v>22000</v>
      </c>
      <c r="BC194" s="79">
        <f t="shared" si="64"/>
        <v>15300</v>
      </c>
      <c r="BD194" s="79">
        <f t="shared" si="65"/>
        <v>11300</v>
      </c>
      <c r="BE194" s="79">
        <f t="shared" si="66"/>
        <v>7400</v>
      </c>
      <c r="BF194" s="79">
        <f t="shared" si="67"/>
        <v>7900</v>
      </c>
    </row>
    <row r="195" spans="1:58" x14ac:dyDescent="0.25">
      <c r="A195" s="138" t="s">
        <v>1195</v>
      </c>
      <c r="B195" t="s">
        <v>650</v>
      </c>
      <c r="C195" t="s">
        <v>133</v>
      </c>
      <c r="D195" s="78">
        <f>INDEX('Population Data by Age'!$B$7:$H$10366,MATCH(CONCATENATE('Tabular Pop Data by Age'!$C195,'Tabular Pop Data by Age'!D$7),'Population Data by Age'!$B$7:$B$10366,0),MATCH('Tabular Pop Data by Age'!$C$6,'Population Data by Age'!$B$6:$H$6,0))</f>
        <v>299000</v>
      </c>
      <c r="E195" s="78">
        <f>INDEX('Population Data by Age'!$B$7:$H$10366,MATCH(CONCATENATE('Tabular Pop Data by Age'!$C195,'Tabular Pop Data by Age'!E$7),'Population Data by Age'!$B$7:$B$10366,0),MATCH('Tabular Pop Data by Age'!$C$6,'Population Data by Age'!$B$6:$H$6,0))</f>
        <v>316000</v>
      </c>
      <c r="F195" s="78">
        <f>INDEX('Population Data by Age'!$B$7:$H$10366,MATCH(CONCATENATE('Tabular Pop Data by Age'!$C195,'Tabular Pop Data by Age'!F$7),'Population Data by Age'!$B$7:$B$10366,0),MATCH('Tabular Pop Data by Age'!$C$6,'Population Data by Age'!$B$6:$H$6,0))</f>
        <v>295000</v>
      </c>
      <c r="G195" s="78">
        <f>INDEX('Population Data by Age'!$B$7:$H$10366,MATCH(CONCATENATE('Tabular Pop Data by Age'!$C195,'Tabular Pop Data by Age'!G$7),'Population Data by Age'!$B$7:$B$10366,0),MATCH('Tabular Pop Data by Age'!$C$6,'Population Data by Age'!$B$6:$H$6,0))</f>
        <v>311000</v>
      </c>
      <c r="H195" s="78">
        <f>INDEX('Population Data by Age'!$B$7:$H$10366,MATCH(CONCATENATE('Tabular Pop Data by Age'!$C195,'Tabular Pop Data by Age'!H$7),'Population Data by Age'!$B$7:$B$10366,0),MATCH('Tabular Pop Data by Age'!$C$6,'Population Data by Age'!$B$6:$H$6,0))</f>
        <v>291000</v>
      </c>
      <c r="I195" s="78">
        <f>INDEX('Population Data by Age'!$B$7:$H$10366,MATCH(CONCATENATE('Tabular Pop Data by Age'!$C195,'Tabular Pop Data by Age'!I$7),'Population Data by Age'!$B$7:$B$10366,0),MATCH('Tabular Pop Data by Age'!$C$6,'Population Data by Age'!$B$6:$H$6,0))</f>
        <v>308000</v>
      </c>
      <c r="J195" s="78">
        <f>INDEX('Population Data by Age'!$B$7:$H$10366,MATCH(CONCATENATE('Tabular Pop Data by Age'!$C195,'Tabular Pop Data by Age'!J$7),'Population Data by Age'!$B$7:$B$10366,0),MATCH('Tabular Pop Data by Age'!$C$6,'Population Data by Age'!$B$6:$H$6,0))</f>
        <v>270000</v>
      </c>
      <c r="K195" s="78">
        <f>INDEX('Population Data by Age'!$B$7:$H$10366,MATCH(CONCATENATE('Tabular Pop Data by Age'!$C195,'Tabular Pop Data by Age'!K$7),'Population Data by Age'!$B$7:$B$10366,0),MATCH('Tabular Pop Data by Age'!$C$6,'Population Data by Age'!$B$6:$H$6,0))</f>
        <v>283000</v>
      </c>
      <c r="L195" s="78">
        <f>INDEX('Population Data by Age'!$B$7:$H$10366,MATCH(CONCATENATE('Tabular Pop Data by Age'!$C195,'Tabular Pop Data by Age'!L$7),'Population Data by Age'!$B$7:$B$10366,0),MATCH('Tabular Pop Data by Age'!$C$6,'Population Data by Age'!$B$6:$H$6,0))</f>
        <v>269000</v>
      </c>
      <c r="M195" s="78">
        <f>INDEX('Population Data by Age'!$B$7:$H$10366,MATCH(CONCATENATE('Tabular Pop Data by Age'!$C195,'Tabular Pop Data by Age'!M$7),'Population Data by Age'!$B$7:$B$10366,0),MATCH('Tabular Pop Data by Age'!$C$6,'Population Data by Age'!$B$6:$H$6,0))</f>
        <v>286000</v>
      </c>
      <c r="N195" s="78">
        <f>INDEX('Population Data by Age'!$B$7:$H$10366,MATCH(CONCATENATE('Tabular Pop Data by Age'!$C195,'Tabular Pop Data by Age'!N$7),'Population Data by Age'!$B$7:$B$10366,0),MATCH('Tabular Pop Data by Age'!$C$6,'Population Data by Age'!$B$6:$H$6,0))</f>
        <v>367000</v>
      </c>
      <c r="O195" s="78">
        <f>INDEX('Population Data by Age'!$B$7:$H$10366,MATCH(CONCATENATE('Tabular Pop Data by Age'!$C195,'Tabular Pop Data by Age'!O$7),'Population Data by Age'!$B$7:$B$10366,0),MATCH('Tabular Pop Data by Age'!$C$6,'Population Data by Age'!$B$6:$H$6,0))</f>
        <v>383000</v>
      </c>
      <c r="P195" s="78">
        <f>INDEX('Population Data by Age'!$B$7:$H$10366,MATCH(CONCATENATE('Tabular Pop Data by Age'!$C195,'Tabular Pop Data by Age'!P$7),'Population Data by Age'!$B$7:$B$10366,0),MATCH('Tabular Pop Data by Age'!$C$6,'Population Data by Age'!$B$6:$H$6,0))</f>
        <v>347000</v>
      </c>
      <c r="Q195" s="78">
        <f>INDEX('Population Data by Age'!$B$7:$H$10366,MATCH(CONCATENATE('Tabular Pop Data by Age'!$C195,'Tabular Pop Data by Age'!Q$7),'Population Data by Age'!$B$7:$B$10366,0),MATCH('Tabular Pop Data by Age'!$C$6,'Population Data by Age'!$B$6:$H$6,0))</f>
        <v>361000</v>
      </c>
      <c r="R195" s="78">
        <f>INDEX('Population Data by Age'!$B$7:$H$10366,MATCH(CONCATENATE('Tabular Pop Data by Age'!$C195,'Tabular Pop Data by Age'!R$7),'Population Data by Age'!$B$7:$B$10366,0),MATCH('Tabular Pop Data by Age'!$C$6,'Population Data by Age'!$B$6:$H$6,0))</f>
        <v>313000</v>
      </c>
      <c r="S195" s="78">
        <f>INDEX('Population Data by Age'!$B$7:$H$10366,MATCH(CONCATENATE('Tabular Pop Data by Age'!$C195,'Tabular Pop Data by Age'!S$7),'Population Data by Age'!$B$7:$B$10366,0),MATCH('Tabular Pop Data by Age'!$C$6,'Population Data by Age'!$B$6:$H$6,0))</f>
        <v>328000</v>
      </c>
      <c r="T195" s="78">
        <f>INDEX('Population Data by Age'!$B$7:$H$10366,MATCH(CONCATENATE('Tabular Pop Data by Age'!$C195,'Tabular Pop Data by Age'!T$7),'Population Data by Age'!$B$7:$B$10366,0),MATCH('Tabular Pop Data by Age'!$C$6,'Population Data by Age'!$B$6:$H$6,0))</f>
        <v>305000</v>
      </c>
      <c r="U195" s="78">
        <f>INDEX('Population Data by Age'!$B$7:$H$10366,MATCH(CONCATENATE('Tabular Pop Data by Age'!$C195,'Tabular Pop Data by Age'!U$7),'Population Data by Age'!$B$7:$B$10366,0),MATCH('Tabular Pop Data by Age'!$C$6,'Population Data by Age'!$B$6:$H$6,0))</f>
        <v>317000</v>
      </c>
      <c r="V195" s="78">
        <f>INDEX('Population Data by Age'!$B$7:$H$10366,MATCH(CONCATENATE('Tabular Pop Data by Age'!$C195,'Tabular Pop Data by Age'!V$7),'Population Data by Age'!$B$7:$B$10366,0),MATCH('Tabular Pop Data by Age'!$C$6,'Population Data by Age'!$B$6:$H$6,0))</f>
        <v>330000</v>
      </c>
      <c r="W195" s="78">
        <f>INDEX('Population Data by Age'!$B$7:$H$10366,MATCH(CONCATENATE('Tabular Pop Data by Age'!$C195,'Tabular Pop Data by Age'!W$7),'Population Data by Age'!$B$7:$B$10366,0),MATCH('Tabular Pop Data by Age'!$C$6,'Population Data by Age'!$B$6:$H$6,0))</f>
        <v>339000</v>
      </c>
      <c r="X195" s="78">
        <f>INDEX('Population Data by Age'!$B$7:$H$10366,MATCH(CONCATENATE('Tabular Pop Data by Age'!$C195,'Tabular Pop Data by Age'!X$7),'Population Data by Age'!$B$7:$B$10366,0),MATCH('Tabular Pop Data by Age'!$C$6,'Population Data by Age'!$B$6:$H$6,0))</f>
        <v>342000</v>
      </c>
      <c r="Y195" s="78">
        <f>INDEX('Population Data by Age'!$B$7:$H$10366,MATCH(CONCATENATE('Tabular Pop Data by Age'!$C195,'Tabular Pop Data by Age'!Y$7),'Population Data by Age'!$B$7:$B$10366,0),MATCH('Tabular Pop Data by Age'!$C$6,'Population Data by Age'!$B$6:$H$6,0))</f>
        <v>352000</v>
      </c>
      <c r="Z195" s="78">
        <f>INDEX('Population Data by Age'!$B$7:$H$10366,MATCH(CONCATENATE('Tabular Pop Data by Age'!$C195,'Tabular Pop Data by Age'!Z$7),'Population Data by Age'!$B$7:$B$10366,0),MATCH('Tabular Pop Data by Age'!$C$6,'Population Data by Age'!$B$6:$H$6,0))</f>
        <v>311000</v>
      </c>
      <c r="AA195" s="78">
        <f>INDEX('Population Data by Age'!$B$7:$H$10366,MATCH(CONCATENATE('Tabular Pop Data by Age'!$C195,'Tabular Pop Data by Age'!AA$7),'Population Data by Age'!$B$7:$B$10366,0),MATCH('Tabular Pop Data by Age'!$C$6,'Population Data by Age'!$B$6:$H$6,0))</f>
        <v>319000</v>
      </c>
      <c r="AB195" s="78">
        <f>INDEX('Population Data by Age'!$B$7:$H$10366,MATCH(CONCATENATE('Tabular Pop Data by Age'!$C195,'Tabular Pop Data by Age'!AB$7),'Population Data by Age'!$B$7:$B$10366,0),MATCH('Tabular Pop Data by Age'!$C$6,'Population Data by Age'!$B$6:$H$6,0))</f>
        <v>290000</v>
      </c>
      <c r="AC195" s="78">
        <f>INDEX('Population Data by Age'!$B$7:$H$10366,MATCH(CONCATENATE('Tabular Pop Data by Age'!$C195,'Tabular Pop Data by Age'!AC$7),'Population Data by Age'!$B$7:$B$10366,0),MATCH('Tabular Pop Data by Age'!$C$6,'Population Data by Age'!$B$6:$H$6,0))</f>
        <v>290000</v>
      </c>
      <c r="AD195" s="78">
        <f>INDEX('Population Data by Age'!$B$7:$H$10366,MATCH(CONCATENATE('Tabular Pop Data by Age'!$C195,'Tabular Pop Data by Age'!AD$7),'Population Data by Age'!$B$7:$B$10366,0),MATCH('Tabular Pop Data by Age'!$C$6,'Population Data by Age'!$B$6:$H$6,0))</f>
        <v>272000</v>
      </c>
      <c r="AE195" s="78">
        <f>INDEX('Population Data by Age'!$B$7:$H$10366,MATCH(CONCATENATE('Tabular Pop Data by Age'!$C195,'Tabular Pop Data by Age'!AE$7),'Population Data by Age'!$B$7:$B$10366,0),MATCH('Tabular Pop Data by Age'!$C$6,'Population Data by Age'!$B$6:$H$6,0))</f>
        <v>266000</v>
      </c>
      <c r="AF195" s="78">
        <f>INDEX('Population Data by Age'!$B$7:$H$10366,MATCH(CONCATENATE('Tabular Pop Data by Age'!$C195,'Tabular Pop Data by Age'!AF$7),'Population Data by Age'!$B$7:$B$10366,0),MATCH('Tabular Pop Data by Age'!$C$6,'Population Data by Age'!$B$6:$H$6,0))</f>
        <v>296000</v>
      </c>
      <c r="AG195" s="78">
        <f>INDEX('Population Data by Age'!$B$7:$H$10366,MATCH(CONCATENATE('Tabular Pop Data by Age'!$C195,'Tabular Pop Data by Age'!AG$7),'Population Data by Age'!$B$7:$B$10366,0),MATCH('Tabular Pop Data by Age'!$C$6,'Population Data by Age'!$B$6:$H$6,0))</f>
        <v>281000</v>
      </c>
      <c r="AH195" s="78">
        <f>INDEX('Population Data by Age'!$B$7:$H$10366,MATCH(CONCATENATE('Tabular Pop Data by Age'!$C195,'Tabular Pop Data by Age'!AH$7),'Population Data by Age'!$B$7:$B$10366,0),MATCH('Tabular Pop Data by Age'!$C$6,'Population Data by Age'!$B$6:$H$6,0))</f>
        <v>229000</v>
      </c>
      <c r="AI195" s="78">
        <f>INDEX('Population Data by Age'!$B$7:$H$10366,MATCH(CONCATENATE('Tabular Pop Data by Age'!$C195,'Tabular Pop Data by Age'!AI$7),'Population Data by Age'!$B$7:$B$10366,0),MATCH('Tabular Pop Data by Age'!$C$6,'Population Data by Age'!$B$6:$H$6,0))</f>
        <v>211000</v>
      </c>
      <c r="AJ195" s="78">
        <f>INDEX('Population Data by Age'!$B$7:$H$10366,MATCH(CONCATENATE('Tabular Pop Data by Age'!$C195,'Tabular Pop Data by Age'!AJ$7),'Population Data by Age'!$B$7:$B$10366,0),MATCH('Tabular Pop Data by Age'!$C$6,'Population Data by Age'!$B$6:$H$6,0))</f>
        <v>325000</v>
      </c>
      <c r="AK195" s="78">
        <f>INDEX('Population Data by Age'!$B$7:$H$10366,MATCH(CONCATENATE('Tabular Pop Data by Age'!$C195,'Tabular Pop Data by Age'!AK$7),'Population Data by Age'!$B$7:$B$10366,0),MATCH('Tabular Pop Data by Age'!$C$6,'Population Data by Age'!$B$6:$H$6,0))</f>
        <v>219000</v>
      </c>
      <c r="AL195" s="78">
        <f>INDEX('Population Data by Age'!$B$7:$H$10366,MATCH(CONCATENATE('Tabular Pop Data by Age'!$C195,'Tabular Pop Data by Age'!AL$7),'Population Data by Age'!$B$7:$B$10366,0),MATCH('Tabular Pop Data by Age'!$C$6,'Population Data by Age'!$B$6:$H$6,0))</f>
        <v>5150000</v>
      </c>
      <c r="AM195" s="78">
        <f>INDEX('Population Data by Age'!$B$7:$H$10366,MATCH(CONCATENATE('Tabular Pop Data by Age'!$C195,'Tabular Pop Data by Age'!AM$7),'Population Data by Age'!$B$7:$B$10366,0),MATCH('Tabular Pop Data by Age'!$C$6,'Population Data by Age'!$B$6:$H$6,0))</f>
        <v>5169000</v>
      </c>
      <c r="AN195" s="78">
        <f>INDEX('Population Data by Age'!$B$7:$H$10366,MATCH(CONCATENATE('Tabular Pop Data by Age'!$C195,'Tabular Pop Data by Age'!AN$7),'Population Data by Age'!$B$7:$B$10366,0),MATCH('Tabular Pop Data by Age'!$C$6,'Population Data by Age'!$B$6:$H$6,0))</f>
        <v>10319000</v>
      </c>
      <c r="AO195" s="78">
        <f>INDEX('Population Data by Age'!$B$7:$H$10366,MATCH(CONCATENATE('Tabular Pop Data by Age'!$C195,'Tabular Pop Data by Age'!AO$7),'Population Data by Age'!$B$7:$B$10366,0),MATCH('Tabular Pop Data by Age'!$C$6,'Population Data by Age'!$B$6:$H$6,0))</f>
        <v>0</v>
      </c>
      <c r="AP195" s="79">
        <f t="shared" si="51"/>
        <v>615000</v>
      </c>
      <c r="AQ195" s="79">
        <f t="shared" si="52"/>
        <v>606000</v>
      </c>
      <c r="AR195" s="79">
        <f t="shared" si="53"/>
        <v>599000</v>
      </c>
      <c r="AS195" s="79">
        <f t="shared" si="54"/>
        <v>553000</v>
      </c>
      <c r="AT195" s="79">
        <f t="shared" si="55"/>
        <v>555000</v>
      </c>
      <c r="AU195" s="79">
        <f t="shared" si="56"/>
        <v>750000</v>
      </c>
      <c r="AV195" s="79">
        <f t="shared" si="57"/>
        <v>708000</v>
      </c>
      <c r="AW195" s="79">
        <f t="shared" si="58"/>
        <v>641000</v>
      </c>
      <c r="AX195" s="79">
        <f t="shared" si="59"/>
        <v>622000</v>
      </c>
      <c r="AY195" s="79">
        <f t="shared" si="60"/>
        <v>669000</v>
      </c>
      <c r="AZ195" s="79">
        <f t="shared" si="61"/>
        <v>694000</v>
      </c>
      <c r="BA195" s="79">
        <f t="shared" si="62"/>
        <v>630000</v>
      </c>
      <c r="BB195" s="79">
        <f t="shared" si="63"/>
        <v>580000</v>
      </c>
      <c r="BC195" s="79">
        <f t="shared" si="64"/>
        <v>538000</v>
      </c>
      <c r="BD195" s="79">
        <f t="shared" si="65"/>
        <v>577000</v>
      </c>
      <c r="BE195" s="79">
        <f t="shared" si="66"/>
        <v>440000</v>
      </c>
      <c r="BF195" s="79">
        <f t="shared" si="67"/>
        <v>544000</v>
      </c>
    </row>
    <row r="196" spans="1:58" x14ac:dyDescent="0.25">
      <c r="A196" s="138" t="s">
        <v>1195</v>
      </c>
      <c r="B196" t="s">
        <v>651</v>
      </c>
      <c r="C196" t="s">
        <v>23</v>
      </c>
      <c r="D196" s="78">
        <f>INDEX('Population Data by Age'!$B$7:$H$10366,MATCH(CONCATENATE('Tabular Pop Data by Age'!$C196,'Tabular Pop Data by Age'!D$7),'Population Data by Age'!$B$7:$B$10366,0),MATCH('Tabular Pop Data by Age'!$C$6,'Population Data by Age'!$B$6:$H$6,0))</f>
        <v>220000</v>
      </c>
      <c r="E196" s="78">
        <f>INDEX('Population Data by Age'!$B$7:$H$10366,MATCH(CONCATENATE('Tabular Pop Data by Age'!$C196,'Tabular Pop Data by Age'!E$7),'Population Data by Age'!$B$7:$B$10366,0),MATCH('Tabular Pop Data by Age'!$C$6,'Population Data by Age'!$B$6:$H$6,0))</f>
        <v>231000</v>
      </c>
      <c r="F196" s="78">
        <f>INDEX('Population Data by Age'!$B$7:$H$10366,MATCH(CONCATENATE('Tabular Pop Data by Age'!$C196,'Tabular Pop Data by Age'!F$7),'Population Data by Age'!$B$7:$B$10366,0),MATCH('Tabular Pop Data by Age'!$C$6,'Population Data by Age'!$B$6:$H$6,0))</f>
        <v>210000</v>
      </c>
      <c r="G196" s="78">
        <f>INDEX('Population Data by Age'!$B$7:$H$10366,MATCH(CONCATENATE('Tabular Pop Data by Age'!$C196,'Tabular Pop Data by Age'!G$7),'Population Data by Age'!$B$7:$B$10366,0),MATCH('Tabular Pop Data by Age'!$C$6,'Population Data by Age'!$B$6:$H$6,0))</f>
        <v>222000</v>
      </c>
      <c r="H196" s="78">
        <f>INDEX('Population Data by Age'!$B$7:$H$10366,MATCH(CONCATENATE('Tabular Pop Data by Age'!$C196,'Tabular Pop Data by Age'!H$7),'Population Data by Age'!$B$7:$B$10366,0),MATCH('Tabular Pop Data by Age'!$C$6,'Population Data by Age'!$B$6:$H$6,0))</f>
        <v>199000</v>
      </c>
      <c r="I196" s="78">
        <f>INDEX('Population Data by Age'!$B$7:$H$10366,MATCH(CONCATENATE('Tabular Pop Data by Age'!$C196,'Tabular Pop Data by Age'!I$7),'Population Data by Age'!$B$7:$B$10366,0),MATCH('Tabular Pop Data by Age'!$C$6,'Population Data by Age'!$B$6:$H$6,0))</f>
        <v>210000</v>
      </c>
      <c r="J196" s="78">
        <f>INDEX('Population Data by Age'!$B$7:$H$10366,MATCH(CONCATENATE('Tabular Pop Data by Age'!$C196,'Tabular Pop Data by Age'!J$7),'Population Data by Age'!$B$7:$B$10366,0),MATCH('Tabular Pop Data by Age'!$C$6,'Population Data by Age'!$B$6:$H$6,0))</f>
        <v>208000</v>
      </c>
      <c r="K196" s="78">
        <f>INDEX('Population Data by Age'!$B$7:$H$10366,MATCH(CONCATENATE('Tabular Pop Data by Age'!$C196,'Tabular Pop Data by Age'!K$7),'Population Data by Age'!$B$7:$B$10366,0),MATCH('Tabular Pop Data by Age'!$C$6,'Population Data by Age'!$B$6:$H$6,0))</f>
        <v>216000</v>
      </c>
      <c r="L196" s="78">
        <f>INDEX('Population Data by Age'!$B$7:$H$10366,MATCH(CONCATENATE('Tabular Pop Data by Age'!$C196,'Tabular Pop Data by Age'!L$7),'Population Data by Age'!$B$7:$B$10366,0),MATCH('Tabular Pop Data by Age'!$C$6,'Population Data by Age'!$B$6:$H$6,0))</f>
        <v>238000</v>
      </c>
      <c r="M196" s="78">
        <f>INDEX('Population Data by Age'!$B$7:$H$10366,MATCH(CONCATENATE('Tabular Pop Data by Age'!$C196,'Tabular Pop Data by Age'!M$7),'Population Data by Age'!$B$7:$B$10366,0),MATCH('Tabular Pop Data by Age'!$C$6,'Population Data by Age'!$B$6:$H$6,0))</f>
        <v>246000</v>
      </c>
      <c r="N196" s="78">
        <f>INDEX('Population Data by Age'!$B$7:$H$10366,MATCH(CONCATENATE('Tabular Pop Data by Age'!$C196,'Tabular Pop Data by Age'!N$7),'Population Data by Age'!$B$7:$B$10366,0),MATCH('Tabular Pop Data by Age'!$C$6,'Population Data by Age'!$B$6:$H$6,0))</f>
        <v>274000</v>
      </c>
      <c r="O196" s="78">
        <f>INDEX('Population Data by Age'!$B$7:$H$10366,MATCH(CONCATENATE('Tabular Pop Data by Age'!$C196,'Tabular Pop Data by Age'!O$7),'Population Data by Age'!$B$7:$B$10366,0),MATCH('Tabular Pop Data by Age'!$C$6,'Population Data by Age'!$B$6:$H$6,0))</f>
        <v>281000</v>
      </c>
      <c r="P196" s="78">
        <f>INDEX('Population Data by Age'!$B$7:$H$10366,MATCH(CONCATENATE('Tabular Pop Data by Age'!$C196,'Tabular Pop Data by Age'!P$7),'Population Data by Age'!$B$7:$B$10366,0),MATCH('Tabular Pop Data by Age'!$C$6,'Population Data by Age'!$B$6:$H$6,0))</f>
        <v>296000</v>
      </c>
      <c r="Q196" s="78">
        <f>INDEX('Population Data by Age'!$B$7:$H$10366,MATCH(CONCATENATE('Tabular Pop Data by Age'!$C196,'Tabular Pop Data by Age'!Q$7),'Population Data by Age'!$B$7:$B$10366,0),MATCH('Tabular Pop Data by Age'!$C$6,'Population Data by Age'!$B$6:$H$6,0))</f>
        <v>301000</v>
      </c>
      <c r="R196" s="78">
        <f>INDEX('Population Data by Age'!$B$7:$H$10366,MATCH(CONCATENATE('Tabular Pop Data by Age'!$C196,'Tabular Pop Data by Age'!R$7),'Population Data by Age'!$B$7:$B$10366,0),MATCH('Tabular Pop Data by Age'!$C$6,'Population Data by Age'!$B$6:$H$6,0))</f>
        <v>309000</v>
      </c>
      <c r="S196" s="78">
        <f>INDEX('Population Data by Age'!$B$7:$H$10366,MATCH(CONCATENATE('Tabular Pop Data by Age'!$C196,'Tabular Pop Data by Age'!S$7),'Population Data by Age'!$B$7:$B$10366,0),MATCH('Tabular Pop Data by Age'!$C$6,'Population Data by Age'!$B$6:$H$6,0))</f>
        <v>312000</v>
      </c>
      <c r="T196" s="78">
        <f>INDEX('Population Data by Age'!$B$7:$H$10366,MATCH(CONCATENATE('Tabular Pop Data by Age'!$C196,'Tabular Pop Data by Age'!T$7),'Population Data by Age'!$B$7:$B$10366,0),MATCH('Tabular Pop Data by Age'!$C$6,'Population Data by Age'!$B$6:$H$6,0))</f>
        <v>283000</v>
      </c>
      <c r="U196" s="78">
        <f>INDEX('Population Data by Age'!$B$7:$H$10366,MATCH(CONCATENATE('Tabular Pop Data by Age'!$C196,'Tabular Pop Data by Age'!U$7),'Population Data by Age'!$B$7:$B$10366,0),MATCH('Tabular Pop Data by Age'!$C$6,'Population Data by Age'!$B$6:$H$6,0))</f>
        <v>287000</v>
      </c>
      <c r="V196" s="78">
        <f>INDEX('Population Data by Age'!$B$7:$H$10366,MATCH(CONCATENATE('Tabular Pop Data by Age'!$C196,'Tabular Pop Data by Age'!V$7),'Population Data by Age'!$B$7:$B$10366,0),MATCH('Tabular Pop Data by Age'!$C$6,'Population Data by Age'!$B$6:$H$6,0))</f>
        <v>296000</v>
      </c>
      <c r="W196" s="78">
        <f>INDEX('Population Data by Age'!$B$7:$H$10366,MATCH(CONCATENATE('Tabular Pop Data by Age'!$C196,'Tabular Pop Data by Age'!W$7),'Population Data by Age'!$B$7:$B$10366,0),MATCH('Tabular Pop Data by Age'!$C$6,'Population Data by Age'!$B$6:$H$6,0))</f>
        <v>299000</v>
      </c>
      <c r="X196" s="78">
        <f>INDEX('Population Data by Age'!$B$7:$H$10366,MATCH(CONCATENATE('Tabular Pop Data by Age'!$C196,'Tabular Pop Data by Age'!X$7),'Population Data by Age'!$B$7:$B$10366,0),MATCH('Tabular Pop Data by Age'!$C$6,'Population Data by Age'!$B$6:$H$6,0))</f>
        <v>334000</v>
      </c>
      <c r="Y196" s="78">
        <f>INDEX('Population Data by Age'!$B$7:$H$10366,MATCH(CONCATENATE('Tabular Pop Data by Age'!$C196,'Tabular Pop Data by Age'!Y$7),'Population Data by Age'!$B$7:$B$10366,0),MATCH('Tabular Pop Data by Age'!$C$6,'Population Data by Age'!$B$6:$H$6,0))</f>
        <v>341000</v>
      </c>
      <c r="Z196" s="78">
        <f>INDEX('Population Data by Age'!$B$7:$H$10366,MATCH(CONCATENATE('Tabular Pop Data by Age'!$C196,'Tabular Pop Data by Age'!Z$7),'Population Data by Age'!$B$7:$B$10366,0),MATCH('Tabular Pop Data by Age'!$C$6,'Population Data by Age'!$B$6:$H$6,0))</f>
        <v>319000</v>
      </c>
      <c r="AA196" s="78">
        <f>INDEX('Population Data by Age'!$B$7:$H$10366,MATCH(CONCATENATE('Tabular Pop Data by Age'!$C196,'Tabular Pop Data by Age'!AA$7),'Population Data by Age'!$B$7:$B$10366,0),MATCH('Tabular Pop Data by Age'!$C$6,'Population Data by Age'!$B$6:$H$6,0))</f>
        <v>324000</v>
      </c>
      <c r="AB196" s="78">
        <f>INDEX('Population Data by Age'!$B$7:$H$10366,MATCH(CONCATENATE('Tabular Pop Data by Age'!$C196,'Tabular Pop Data by Age'!AB$7),'Population Data by Age'!$B$7:$B$10366,0),MATCH('Tabular Pop Data by Age'!$C$6,'Population Data by Age'!$B$6:$H$6,0))</f>
        <v>265000</v>
      </c>
      <c r="AC196" s="78">
        <f>INDEX('Population Data by Age'!$B$7:$H$10366,MATCH(CONCATENATE('Tabular Pop Data by Age'!$C196,'Tabular Pop Data by Age'!AC$7),'Population Data by Age'!$B$7:$B$10366,0),MATCH('Tabular Pop Data by Age'!$C$6,'Population Data by Age'!$B$6:$H$6,0))</f>
        <v>270000</v>
      </c>
      <c r="AD196" s="78">
        <f>INDEX('Population Data by Age'!$B$7:$H$10366,MATCH(CONCATENATE('Tabular Pop Data by Age'!$C196,'Tabular Pop Data by Age'!AD$7),'Population Data by Age'!$B$7:$B$10366,0),MATCH('Tabular Pop Data by Age'!$C$6,'Population Data by Age'!$B$6:$H$6,0))</f>
        <v>226000</v>
      </c>
      <c r="AE196" s="78">
        <f>INDEX('Population Data by Age'!$B$7:$H$10366,MATCH(CONCATENATE('Tabular Pop Data by Age'!$C196,'Tabular Pop Data by Age'!AE$7),'Population Data by Age'!$B$7:$B$10366,0),MATCH('Tabular Pop Data by Age'!$C$6,'Population Data by Age'!$B$6:$H$6,0))</f>
        <v>215000</v>
      </c>
      <c r="AF196" s="78">
        <f>INDEX('Population Data by Age'!$B$7:$H$10366,MATCH(CONCATENATE('Tabular Pop Data by Age'!$C196,'Tabular Pop Data by Age'!AF$7),'Population Data by Age'!$B$7:$B$10366,0),MATCH('Tabular Pop Data by Age'!$C$6,'Population Data by Age'!$B$6:$H$6,0))</f>
        <v>219000</v>
      </c>
      <c r="AG196" s="78">
        <f>INDEX('Population Data by Age'!$B$7:$H$10366,MATCH(CONCATENATE('Tabular Pop Data by Age'!$C196,'Tabular Pop Data by Age'!AG$7),'Population Data by Age'!$B$7:$B$10366,0),MATCH('Tabular Pop Data by Age'!$C$6,'Population Data by Age'!$B$6:$H$6,0))</f>
        <v>202000</v>
      </c>
      <c r="AH196" s="78">
        <f>INDEX('Population Data by Age'!$B$7:$H$10366,MATCH(CONCATENATE('Tabular Pop Data by Age'!$C196,'Tabular Pop Data by Age'!AH$7),'Population Data by Age'!$B$7:$B$10366,0),MATCH('Tabular Pop Data by Age'!$C$6,'Population Data by Age'!$B$6:$H$6,0))</f>
        <v>178000</v>
      </c>
      <c r="AI196" s="78">
        <f>INDEX('Population Data by Age'!$B$7:$H$10366,MATCH(CONCATENATE('Tabular Pop Data by Age'!$C196,'Tabular Pop Data by Age'!AI$7),'Population Data by Age'!$B$7:$B$10366,0),MATCH('Tabular Pop Data by Age'!$C$6,'Population Data by Age'!$B$6:$H$6,0))</f>
        <v>152000</v>
      </c>
      <c r="AJ196" s="78">
        <f>INDEX('Population Data by Age'!$B$7:$H$10366,MATCH(CONCATENATE('Tabular Pop Data by Age'!$C196,'Tabular Pop Data by Age'!AJ$7),'Population Data by Age'!$B$7:$B$10366,0),MATCH('Tabular Pop Data by Age'!$C$6,'Population Data by Age'!$B$6:$H$6,0))</f>
        <v>280000</v>
      </c>
      <c r="AK196" s="78">
        <f>INDEX('Population Data by Age'!$B$7:$H$10366,MATCH(CONCATENATE('Tabular Pop Data by Age'!$C196,'Tabular Pop Data by Age'!AK$7),'Population Data by Age'!$B$7:$B$10366,0),MATCH('Tabular Pop Data by Age'!$C$6,'Population Data by Age'!$B$6:$H$6,0))</f>
        <v>179000</v>
      </c>
      <c r="AL196" s="78">
        <f>INDEX('Population Data by Age'!$B$7:$H$10366,MATCH(CONCATENATE('Tabular Pop Data by Age'!$C196,'Tabular Pop Data by Age'!AL$7),'Population Data by Age'!$B$7:$B$10366,0),MATCH('Tabular Pop Data by Age'!$C$6,'Population Data by Age'!$B$6:$H$6,0))</f>
        <v>4354000</v>
      </c>
      <c r="AM196" s="78">
        <f>INDEX('Population Data by Age'!$B$7:$H$10366,MATCH(CONCATENATE('Tabular Pop Data by Age'!$C196,'Tabular Pop Data by Age'!AM$7),'Population Data by Age'!$B$7:$B$10366,0),MATCH('Tabular Pop Data by Age'!$C$6,'Population Data by Age'!$B$6:$H$6,0))</f>
        <v>4287000</v>
      </c>
      <c r="AN196" s="78">
        <f>INDEX('Population Data by Age'!$B$7:$H$10366,MATCH(CONCATENATE('Tabular Pop Data by Age'!$C196,'Tabular Pop Data by Age'!AN$7),'Population Data by Age'!$B$7:$B$10366,0),MATCH('Tabular Pop Data by Age'!$C$6,'Population Data by Age'!$B$6:$H$6,0))</f>
        <v>8641000</v>
      </c>
      <c r="AO196" s="78">
        <f>INDEX('Population Data by Age'!$B$7:$H$10366,MATCH(CONCATENATE('Tabular Pop Data by Age'!$C196,'Tabular Pop Data by Age'!AO$7),'Population Data by Age'!$B$7:$B$10366,0),MATCH('Tabular Pop Data by Age'!$C$6,'Population Data by Age'!$B$6:$H$6,0))</f>
        <v>0</v>
      </c>
      <c r="AP196" s="79">
        <f t="shared" si="51"/>
        <v>451000</v>
      </c>
      <c r="AQ196" s="79">
        <f t="shared" si="52"/>
        <v>432000</v>
      </c>
      <c r="AR196" s="79">
        <f t="shared" si="53"/>
        <v>409000</v>
      </c>
      <c r="AS196" s="79">
        <f t="shared" si="54"/>
        <v>424000</v>
      </c>
      <c r="AT196" s="79">
        <f t="shared" si="55"/>
        <v>484000</v>
      </c>
      <c r="AU196" s="79">
        <f t="shared" si="56"/>
        <v>555000</v>
      </c>
      <c r="AV196" s="79">
        <f t="shared" si="57"/>
        <v>597000</v>
      </c>
      <c r="AW196" s="79">
        <f t="shared" si="58"/>
        <v>621000</v>
      </c>
      <c r="AX196" s="79">
        <f t="shared" si="59"/>
        <v>570000</v>
      </c>
      <c r="AY196" s="79">
        <f t="shared" si="60"/>
        <v>595000</v>
      </c>
      <c r="AZ196" s="79">
        <f t="shared" si="61"/>
        <v>675000</v>
      </c>
      <c r="BA196" s="79">
        <f t="shared" si="62"/>
        <v>643000</v>
      </c>
      <c r="BB196" s="79">
        <f t="shared" si="63"/>
        <v>535000</v>
      </c>
      <c r="BC196" s="79">
        <f t="shared" si="64"/>
        <v>441000</v>
      </c>
      <c r="BD196" s="79">
        <f t="shared" si="65"/>
        <v>421000</v>
      </c>
      <c r="BE196" s="79">
        <f t="shared" si="66"/>
        <v>330000</v>
      </c>
      <c r="BF196" s="79">
        <f t="shared" si="67"/>
        <v>459000</v>
      </c>
    </row>
    <row r="197" spans="1:58" x14ac:dyDescent="0.25">
      <c r="A197" s="138" t="s">
        <v>1195</v>
      </c>
      <c r="B197" t="s">
        <v>652</v>
      </c>
      <c r="C197" t="s">
        <v>136</v>
      </c>
      <c r="D197" s="78">
        <f>INDEX('Population Data by Age'!$B$7:$H$10366,MATCH(CONCATENATE('Tabular Pop Data by Age'!$C197,'Tabular Pop Data by Age'!D$7),'Population Data by Age'!$B$7:$B$10366,0),MATCH('Tabular Pop Data by Age'!$C$6,'Population Data by Age'!$B$6:$H$6,0))</f>
        <v>940000</v>
      </c>
      <c r="E197" s="78">
        <f>INDEX('Population Data by Age'!$B$7:$H$10366,MATCH(CONCATENATE('Tabular Pop Data by Age'!$C197,'Tabular Pop Data by Age'!E$7),'Population Data by Age'!$B$7:$B$10366,0),MATCH('Tabular Pop Data by Age'!$C$6,'Population Data by Age'!$B$6:$H$6,0))</f>
        <v>980000</v>
      </c>
      <c r="F197" s="78">
        <f>INDEX('Population Data by Age'!$B$7:$H$10366,MATCH(CONCATENATE('Tabular Pop Data by Age'!$C197,'Tabular Pop Data by Age'!F$7),'Population Data by Age'!$B$7:$B$10366,0),MATCH('Tabular Pop Data by Age'!$C$6,'Population Data by Age'!$B$6:$H$6,0))</f>
        <v>841000</v>
      </c>
      <c r="G197" s="78">
        <f>INDEX('Population Data by Age'!$B$7:$H$10366,MATCH(CONCATENATE('Tabular Pop Data by Age'!$C197,'Tabular Pop Data by Age'!G$7),'Population Data by Age'!$B$7:$B$10366,0),MATCH('Tabular Pop Data by Age'!$C$6,'Population Data by Age'!$B$6:$H$6,0))</f>
        <v>875000</v>
      </c>
      <c r="H197" s="78">
        <f>INDEX('Population Data by Age'!$B$7:$H$10366,MATCH(CONCATENATE('Tabular Pop Data by Age'!$C197,'Tabular Pop Data by Age'!H$7),'Population Data by Age'!$B$7:$B$10366,0),MATCH('Tabular Pop Data by Age'!$C$6,'Population Data by Age'!$B$6:$H$6,0))</f>
        <v>858000</v>
      </c>
      <c r="I197" s="78">
        <f>INDEX('Population Data by Age'!$B$7:$H$10366,MATCH(CONCATENATE('Tabular Pop Data by Age'!$C197,'Tabular Pop Data by Age'!I$7),'Population Data by Age'!$B$7:$B$10366,0),MATCH('Tabular Pop Data by Age'!$C$6,'Population Data by Age'!$B$6:$H$6,0))</f>
        <v>892000</v>
      </c>
      <c r="J197" s="78">
        <f>INDEX('Population Data by Age'!$B$7:$H$10366,MATCH(CONCATENATE('Tabular Pop Data by Age'!$C197,'Tabular Pop Data by Age'!J$7),'Population Data by Age'!$B$7:$B$10366,0),MATCH('Tabular Pop Data by Age'!$C$6,'Population Data by Age'!$B$6:$H$6,0))</f>
        <v>772000</v>
      </c>
      <c r="K197" s="78">
        <f>INDEX('Population Data by Age'!$B$7:$H$10366,MATCH(CONCATENATE('Tabular Pop Data by Age'!$C197,'Tabular Pop Data by Age'!K$7),'Population Data by Age'!$B$7:$B$10366,0),MATCH('Tabular Pop Data by Age'!$C$6,'Population Data by Age'!$B$6:$H$6,0))</f>
        <v>804000</v>
      </c>
      <c r="L197" s="78">
        <f>INDEX('Population Data by Age'!$B$7:$H$10366,MATCH(CONCATENATE('Tabular Pop Data by Age'!$C197,'Tabular Pop Data by Age'!L$7),'Population Data by Age'!$B$7:$B$10366,0),MATCH('Tabular Pop Data by Age'!$C$6,'Population Data by Age'!$B$6:$H$6,0))</f>
        <v>785000</v>
      </c>
      <c r="M197" s="78">
        <f>INDEX('Population Data by Age'!$B$7:$H$10366,MATCH(CONCATENATE('Tabular Pop Data by Age'!$C197,'Tabular Pop Data by Age'!M$7),'Population Data by Age'!$B$7:$B$10366,0),MATCH('Tabular Pop Data by Age'!$C$6,'Population Data by Age'!$B$6:$H$6,0))</f>
        <v>818000</v>
      </c>
      <c r="N197" s="78">
        <f>INDEX('Population Data by Age'!$B$7:$H$10366,MATCH(CONCATENATE('Tabular Pop Data by Age'!$C197,'Tabular Pop Data by Age'!N$7),'Population Data by Age'!$B$7:$B$10366,0),MATCH('Tabular Pop Data by Age'!$C$6,'Population Data by Age'!$B$6:$H$6,0))</f>
        <v>730000</v>
      </c>
      <c r="O197" s="78">
        <f>INDEX('Population Data by Age'!$B$7:$H$10366,MATCH(CONCATENATE('Tabular Pop Data by Age'!$C197,'Tabular Pop Data by Age'!O$7),'Population Data by Age'!$B$7:$B$10366,0),MATCH('Tabular Pop Data by Age'!$C$6,'Population Data by Age'!$B$6:$H$6,0))</f>
        <v>766000</v>
      </c>
      <c r="P197" s="78">
        <f>INDEX('Population Data by Age'!$B$7:$H$10366,MATCH(CONCATENATE('Tabular Pop Data by Age'!$C197,'Tabular Pop Data by Age'!P$7),'Population Data by Age'!$B$7:$B$10366,0),MATCH('Tabular Pop Data by Age'!$C$6,'Population Data by Age'!$B$6:$H$6,0))</f>
        <v>749000</v>
      </c>
      <c r="Q197" s="78">
        <f>INDEX('Population Data by Age'!$B$7:$H$10366,MATCH(CONCATENATE('Tabular Pop Data by Age'!$C197,'Tabular Pop Data by Age'!Q$7),'Population Data by Age'!$B$7:$B$10366,0),MATCH('Tabular Pop Data by Age'!$C$6,'Population Data by Age'!$B$6:$H$6,0))</f>
        <v>771000</v>
      </c>
      <c r="R197" s="78">
        <f>INDEX('Population Data by Age'!$B$7:$H$10366,MATCH(CONCATENATE('Tabular Pop Data by Age'!$C197,'Tabular Pop Data by Age'!R$7),'Population Data by Age'!$B$7:$B$10366,0),MATCH('Tabular Pop Data by Age'!$C$6,'Population Data by Age'!$B$6:$H$6,0))</f>
        <v>700000</v>
      </c>
      <c r="S197" s="78">
        <f>INDEX('Population Data by Age'!$B$7:$H$10366,MATCH(CONCATENATE('Tabular Pop Data by Age'!$C197,'Tabular Pop Data by Age'!S$7),'Population Data by Age'!$B$7:$B$10366,0),MATCH('Tabular Pop Data by Age'!$C$6,'Population Data by Age'!$B$6:$H$6,0))</f>
        <v>686000</v>
      </c>
      <c r="T197" s="78">
        <f>INDEX('Population Data by Age'!$B$7:$H$10366,MATCH(CONCATENATE('Tabular Pop Data by Age'!$C197,'Tabular Pop Data by Age'!T$7),'Population Data by Age'!$B$7:$B$10366,0),MATCH('Tabular Pop Data by Age'!$C$6,'Population Data by Age'!$B$6:$H$6,0))</f>
        <v>562000</v>
      </c>
      <c r="U197" s="78">
        <f>INDEX('Population Data by Age'!$B$7:$H$10366,MATCH(CONCATENATE('Tabular Pop Data by Age'!$C197,'Tabular Pop Data by Age'!U$7),'Population Data by Age'!$B$7:$B$10366,0),MATCH('Tabular Pop Data by Age'!$C$6,'Population Data by Age'!$B$6:$H$6,0))</f>
        <v>533000</v>
      </c>
      <c r="V197" s="78">
        <f>INDEX('Population Data by Age'!$B$7:$H$10366,MATCH(CONCATENATE('Tabular Pop Data by Age'!$C197,'Tabular Pop Data by Age'!V$7),'Population Data by Age'!$B$7:$B$10366,0),MATCH('Tabular Pop Data by Age'!$C$6,'Population Data by Age'!$B$6:$H$6,0))</f>
        <v>429000</v>
      </c>
      <c r="W197" s="78">
        <f>INDEX('Population Data by Age'!$B$7:$H$10366,MATCH(CONCATENATE('Tabular Pop Data by Age'!$C197,'Tabular Pop Data by Age'!W$7),'Population Data by Age'!$B$7:$B$10366,0),MATCH('Tabular Pop Data by Age'!$C$6,'Population Data by Age'!$B$6:$H$6,0))</f>
        <v>405000</v>
      </c>
      <c r="X197" s="78">
        <f>INDEX('Population Data by Age'!$B$7:$H$10366,MATCH(CONCATENATE('Tabular Pop Data by Age'!$C197,'Tabular Pop Data by Age'!X$7),'Population Data by Age'!$B$7:$B$10366,0),MATCH('Tabular Pop Data by Age'!$C$6,'Population Data by Age'!$B$6:$H$6,0))</f>
        <v>356000</v>
      </c>
      <c r="Y197" s="78">
        <f>INDEX('Population Data by Age'!$B$7:$H$10366,MATCH(CONCATENATE('Tabular Pop Data by Age'!$C197,'Tabular Pop Data by Age'!Y$7),'Population Data by Age'!$B$7:$B$10366,0),MATCH('Tabular Pop Data by Age'!$C$6,'Population Data by Age'!$B$6:$H$6,0))</f>
        <v>334000</v>
      </c>
      <c r="Z197" s="78">
        <f>INDEX('Population Data by Age'!$B$7:$H$10366,MATCH(CONCATENATE('Tabular Pop Data by Age'!$C197,'Tabular Pop Data by Age'!Z$7),'Population Data by Age'!$B$7:$B$10366,0),MATCH('Tabular Pop Data by Age'!$C$6,'Population Data by Age'!$B$6:$H$6,0))</f>
        <v>309000</v>
      </c>
      <c r="AA197" s="78">
        <f>INDEX('Population Data by Age'!$B$7:$H$10366,MATCH(CONCATENATE('Tabular Pop Data by Age'!$C197,'Tabular Pop Data by Age'!AA$7),'Population Data by Age'!$B$7:$B$10366,0),MATCH('Tabular Pop Data by Age'!$C$6,'Population Data by Age'!$B$6:$H$6,0))</f>
        <v>286000</v>
      </c>
      <c r="AB197" s="78">
        <f>INDEX('Population Data by Age'!$B$7:$H$10366,MATCH(CONCATENATE('Tabular Pop Data by Age'!$C197,'Tabular Pop Data by Age'!AB$7),'Population Data by Age'!$B$7:$B$10366,0),MATCH('Tabular Pop Data by Age'!$C$6,'Population Data by Age'!$B$6:$H$6,0))</f>
        <v>243000</v>
      </c>
      <c r="AC197" s="78">
        <f>INDEX('Population Data by Age'!$B$7:$H$10366,MATCH(CONCATENATE('Tabular Pop Data by Age'!$C197,'Tabular Pop Data by Age'!AC$7),'Population Data by Age'!$B$7:$B$10366,0),MATCH('Tabular Pop Data by Age'!$C$6,'Population Data by Age'!$B$6:$H$6,0))</f>
        <v>222000</v>
      </c>
      <c r="AD197" s="78">
        <f>INDEX('Population Data by Age'!$B$7:$H$10366,MATCH(CONCATENATE('Tabular Pop Data by Age'!$C197,'Tabular Pop Data by Age'!AD$7),'Population Data by Age'!$B$7:$B$10366,0),MATCH('Tabular Pop Data by Age'!$C$6,'Population Data by Age'!$B$6:$H$6,0))</f>
        <v>191000</v>
      </c>
      <c r="AE197" s="78">
        <f>INDEX('Population Data by Age'!$B$7:$H$10366,MATCH(CONCATENATE('Tabular Pop Data by Age'!$C197,'Tabular Pop Data by Age'!AE$7),'Population Data by Age'!$B$7:$B$10366,0),MATCH('Tabular Pop Data by Age'!$C$6,'Population Data by Age'!$B$6:$H$6,0))</f>
        <v>167000</v>
      </c>
      <c r="AF197" s="78">
        <f>INDEX('Population Data by Age'!$B$7:$H$10366,MATCH(CONCATENATE('Tabular Pop Data by Age'!$C197,'Tabular Pop Data by Age'!AF$7),'Population Data by Age'!$B$7:$B$10366,0),MATCH('Tabular Pop Data by Age'!$C$6,'Population Data by Age'!$B$6:$H$6,0))</f>
        <v>111000</v>
      </c>
      <c r="AG197" s="78">
        <f>INDEX('Population Data by Age'!$B$7:$H$10366,MATCH(CONCATENATE('Tabular Pop Data by Age'!$C197,'Tabular Pop Data by Age'!AG$7),'Population Data by Age'!$B$7:$B$10366,0),MATCH('Tabular Pop Data by Age'!$C$6,'Population Data by Age'!$B$6:$H$6,0))</f>
        <v>98000</v>
      </c>
      <c r="AH197" s="78">
        <f>INDEX('Population Data by Age'!$B$7:$H$10366,MATCH(CONCATENATE('Tabular Pop Data by Age'!$C197,'Tabular Pop Data by Age'!AH$7),'Population Data by Age'!$B$7:$B$10366,0),MATCH('Tabular Pop Data by Age'!$C$6,'Population Data by Age'!$B$6:$H$6,0))</f>
        <v>83000</v>
      </c>
      <c r="AI197" s="78">
        <f>INDEX('Population Data by Age'!$B$7:$H$10366,MATCH(CONCATENATE('Tabular Pop Data by Age'!$C197,'Tabular Pop Data by Age'!AI$7),'Population Data by Age'!$B$7:$B$10366,0),MATCH('Tabular Pop Data by Age'!$C$6,'Population Data by Age'!$B$6:$H$6,0))</f>
        <v>63000</v>
      </c>
      <c r="AJ197" s="78">
        <f>INDEX('Population Data by Age'!$B$7:$H$10366,MATCH(CONCATENATE('Tabular Pop Data by Age'!$C197,'Tabular Pop Data by Age'!AJ$7),'Population Data by Age'!$B$7:$B$10366,0),MATCH('Tabular Pop Data by Age'!$C$6,'Population Data by Age'!$B$6:$H$6,0))</f>
        <v>82000</v>
      </c>
      <c r="AK197" s="78">
        <f>INDEX('Population Data by Age'!$B$7:$H$10366,MATCH(CONCATENATE('Tabular Pop Data by Age'!$C197,'Tabular Pop Data by Age'!AK$7),'Population Data by Age'!$B$7:$B$10366,0),MATCH('Tabular Pop Data by Age'!$C$6,'Population Data by Age'!$B$6:$H$6,0))</f>
        <v>58000</v>
      </c>
      <c r="AL197" s="78">
        <f>INDEX('Population Data by Age'!$B$7:$H$10366,MATCH(CONCATENATE('Tabular Pop Data by Age'!$C197,'Tabular Pop Data by Age'!AL$7),'Population Data by Age'!$B$7:$B$10366,0),MATCH('Tabular Pop Data by Age'!$C$6,'Population Data by Age'!$B$6:$H$6,0))</f>
        <v>8741000</v>
      </c>
      <c r="AM197" s="78">
        <f>INDEX('Population Data by Age'!$B$7:$H$10366,MATCH(CONCATENATE('Tabular Pop Data by Age'!$C197,'Tabular Pop Data by Age'!AM$7),'Population Data by Age'!$B$7:$B$10366,0),MATCH('Tabular Pop Data by Age'!$C$6,'Population Data by Age'!$B$6:$H$6,0))</f>
        <v>8760000</v>
      </c>
      <c r="AN197" s="78">
        <f>INDEX('Population Data by Age'!$B$7:$H$10366,MATCH(CONCATENATE('Tabular Pop Data by Age'!$C197,'Tabular Pop Data by Age'!AN$7),'Population Data by Age'!$B$7:$B$10366,0),MATCH('Tabular Pop Data by Age'!$C$6,'Population Data by Age'!$B$6:$H$6,0))</f>
        <v>17501000</v>
      </c>
      <c r="AO197" s="78">
        <f>INDEX('Population Data by Age'!$B$7:$H$10366,MATCH(CONCATENATE('Tabular Pop Data by Age'!$C197,'Tabular Pop Data by Age'!AO$7),'Population Data by Age'!$B$7:$B$10366,0),MATCH('Tabular Pop Data by Age'!$C$6,'Population Data by Age'!$B$6:$H$6,0))</f>
        <v>0</v>
      </c>
      <c r="AP197" s="79">
        <f t="shared" si="51"/>
        <v>1920000</v>
      </c>
      <c r="AQ197" s="79">
        <f t="shared" si="52"/>
        <v>1716000</v>
      </c>
      <c r="AR197" s="79">
        <f t="shared" si="53"/>
        <v>1750000</v>
      </c>
      <c r="AS197" s="79">
        <f t="shared" si="54"/>
        <v>1576000</v>
      </c>
      <c r="AT197" s="79">
        <f t="shared" si="55"/>
        <v>1603000</v>
      </c>
      <c r="AU197" s="79">
        <f t="shared" si="56"/>
        <v>1496000</v>
      </c>
      <c r="AV197" s="79">
        <f t="shared" si="57"/>
        <v>1520000</v>
      </c>
      <c r="AW197" s="79">
        <f t="shared" si="58"/>
        <v>1386000</v>
      </c>
      <c r="AX197" s="79">
        <f t="shared" si="59"/>
        <v>1095000</v>
      </c>
      <c r="AY197" s="79">
        <f t="shared" si="60"/>
        <v>834000</v>
      </c>
      <c r="AZ197" s="79">
        <f t="shared" si="61"/>
        <v>690000</v>
      </c>
      <c r="BA197" s="79">
        <f t="shared" si="62"/>
        <v>595000</v>
      </c>
      <c r="BB197" s="79">
        <f t="shared" si="63"/>
        <v>465000</v>
      </c>
      <c r="BC197" s="79">
        <f t="shared" si="64"/>
        <v>358000</v>
      </c>
      <c r="BD197" s="79">
        <f t="shared" si="65"/>
        <v>209000</v>
      </c>
      <c r="BE197" s="79">
        <f t="shared" si="66"/>
        <v>146000</v>
      </c>
      <c r="BF197" s="79">
        <f t="shared" si="67"/>
        <v>140000</v>
      </c>
    </row>
    <row r="198" spans="1:58" x14ac:dyDescent="0.25">
      <c r="A198" s="138" t="s">
        <v>1195</v>
      </c>
      <c r="B198" t="s">
        <v>238</v>
      </c>
      <c r="C198" t="s">
        <v>163</v>
      </c>
      <c r="D198" s="78">
        <f>INDEX('Population Data by Age'!$B$7:$H$10366,MATCH(CONCATENATE('Tabular Pop Data by Age'!$C198,'Tabular Pop Data by Age'!D$7),'Population Data by Age'!$B$7:$B$10366,0),MATCH('Tabular Pop Data by Age'!$C$6,'Population Data by Age'!$B$6:$H$6,0))</f>
        <v>659000</v>
      </c>
      <c r="E198" s="78">
        <f>INDEX('Population Data by Age'!$B$7:$H$10366,MATCH(CONCATENATE('Tabular Pop Data by Age'!$C198,'Tabular Pop Data by Age'!E$7),'Population Data by Age'!$B$7:$B$10366,0),MATCH('Tabular Pop Data by Age'!$C$6,'Population Data by Age'!$B$6:$H$6,0))</f>
        <v>698000</v>
      </c>
      <c r="F198" s="78">
        <f>INDEX('Population Data by Age'!$B$7:$H$10366,MATCH(CONCATENATE('Tabular Pop Data by Age'!$C198,'Tabular Pop Data by Age'!F$7),'Population Data by Age'!$B$7:$B$10366,0),MATCH('Tabular Pop Data by Age'!$C$6,'Population Data by Age'!$B$6:$H$6,0))</f>
        <v>594000</v>
      </c>
      <c r="G198" s="78">
        <f>INDEX('Population Data by Age'!$B$7:$H$10366,MATCH(CONCATENATE('Tabular Pop Data by Age'!$C198,'Tabular Pop Data by Age'!G$7),'Population Data by Age'!$B$7:$B$10366,0),MATCH('Tabular Pop Data by Age'!$C$6,'Population Data by Age'!$B$6:$H$6,0))</f>
        <v>627000</v>
      </c>
      <c r="H198" s="78">
        <f>INDEX('Population Data by Age'!$B$7:$H$10366,MATCH(CONCATENATE('Tabular Pop Data by Age'!$C198,'Tabular Pop Data by Age'!H$7),'Population Data by Age'!$B$7:$B$10366,0),MATCH('Tabular Pop Data by Age'!$C$6,'Population Data by Age'!$B$6:$H$6,0))</f>
        <v>475000</v>
      </c>
      <c r="I198" s="78">
        <f>INDEX('Population Data by Age'!$B$7:$H$10366,MATCH(CONCATENATE('Tabular Pop Data by Age'!$C198,'Tabular Pop Data by Age'!I$7),'Population Data by Age'!$B$7:$B$10366,0),MATCH('Tabular Pop Data by Age'!$C$6,'Population Data by Age'!$B$6:$H$6,0))</f>
        <v>502000</v>
      </c>
      <c r="J198" s="78">
        <f>INDEX('Population Data by Age'!$B$7:$H$10366,MATCH(CONCATENATE('Tabular Pop Data by Age'!$C198,'Tabular Pop Data by Age'!J$7),'Population Data by Age'!$B$7:$B$10366,0),MATCH('Tabular Pop Data by Age'!$C$6,'Population Data by Age'!$B$6:$H$6,0))</f>
        <v>395000</v>
      </c>
      <c r="K198" s="78">
        <f>INDEX('Population Data by Age'!$B$7:$H$10366,MATCH(CONCATENATE('Tabular Pop Data by Age'!$C198,'Tabular Pop Data by Age'!K$7),'Population Data by Age'!$B$7:$B$10366,0),MATCH('Tabular Pop Data by Age'!$C$6,'Population Data by Age'!$B$6:$H$6,0))</f>
        <v>416000</v>
      </c>
      <c r="L198" s="78">
        <f>INDEX('Population Data by Age'!$B$7:$H$10366,MATCH(CONCATENATE('Tabular Pop Data by Age'!$C198,'Tabular Pop Data by Age'!L$7),'Population Data by Age'!$B$7:$B$10366,0),MATCH('Tabular Pop Data by Age'!$C$6,'Population Data by Age'!$B$6:$H$6,0))</f>
        <v>408000</v>
      </c>
      <c r="M198" s="78">
        <f>INDEX('Population Data by Age'!$B$7:$H$10366,MATCH(CONCATENATE('Tabular Pop Data by Age'!$C198,'Tabular Pop Data by Age'!M$7),'Population Data by Age'!$B$7:$B$10366,0),MATCH('Tabular Pop Data by Age'!$C$6,'Population Data by Age'!$B$6:$H$6,0))</f>
        <v>425000</v>
      </c>
      <c r="N198" s="78">
        <f>INDEX('Population Data by Age'!$B$7:$H$10366,MATCH(CONCATENATE('Tabular Pop Data by Age'!$C198,'Tabular Pop Data by Age'!N$7),'Population Data by Age'!$B$7:$B$10366,0),MATCH('Tabular Pop Data by Age'!$C$6,'Population Data by Age'!$B$6:$H$6,0))</f>
        <v>402000</v>
      </c>
      <c r="O198" s="78">
        <f>INDEX('Population Data by Age'!$B$7:$H$10366,MATCH(CONCATENATE('Tabular Pop Data by Age'!$C198,'Tabular Pop Data by Age'!O$7),'Population Data by Age'!$B$7:$B$10366,0),MATCH('Tabular Pop Data by Age'!$C$6,'Population Data by Age'!$B$6:$H$6,0))</f>
        <v>413000</v>
      </c>
      <c r="P198" s="78">
        <f>INDEX('Population Data by Age'!$B$7:$H$10366,MATCH(CONCATENATE('Tabular Pop Data by Age'!$C198,'Tabular Pop Data by Age'!P$7),'Population Data by Age'!$B$7:$B$10366,0),MATCH('Tabular Pop Data by Age'!$C$6,'Population Data by Age'!$B$6:$H$6,0))</f>
        <v>395000</v>
      </c>
      <c r="Q198" s="78">
        <f>INDEX('Population Data by Age'!$B$7:$H$10366,MATCH(CONCATENATE('Tabular Pop Data by Age'!$C198,'Tabular Pop Data by Age'!Q$7),'Population Data by Age'!$B$7:$B$10366,0),MATCH('Tabular Pop Data by Age'!$C$6,'Population Data by Age'!$B$6:$H$6,0))</f>
        <v>392000</v>
      </c>
      <c r="R198" s="78">
        <f>INDEX('Population Data by Age'!$B$7:$H$10366,MATCH(CONCATENATE('Tabular Pop Data by Age'!$C198,'Tabular Pop Data by Age'!R$7),'Population Data by Age'!$B$7:$B$10366,0),MATCH('Tabular Pop Data by Age'!$C$6,'Population Data by Age'!$B$6:$H$6,0))</f>
        <v>302000</v>
      </c>
      <c r="S198" s="78">
        <f>INDEX('Population Data by Age'!$B$7:$H$10366,MATCH(CONCATENATE('Tabular Pop Data by Age'!$C198,'Tabular Pop Data by Age'!S$7),'Population Data by Age'!$B$7:$B$10366,0),MATCH('Tabular Pop Data by Age'!$C$6,'Population Data by Age'!$B$6:$H$6,0))</f>
        <v>302000</v>
      </c>
      <c r="T198" s="78">
        <f>INDEX('Population Data by Age'!$B$7:$H$10366,MATCH(CONCATENATE('Tabular Pop Data by Age'!$C198,'Tabular Pop Data by Age'!T$7),'Population Data by Age'!$B$7:$B$10366,0),MATCH('Tabular Pop Data by Age'!$C$6,'Population Data by Age'!$B$6:$H$6,0))</f>
        <v>238000</v>
      </c>
      <c r="U198" s="78">
        <f>INDEX('Population Data by Age'!$B$7:$H$10366,MATCH(CONCATENATE('Tabular Pop Data by Age'!$C198,'Tabular Pop Data by Age'!U$7),'Population Data by Age'!$B$7:$B$10366,0),MATCH('Tabular Pop Data by Age'!$C$6,'Population Data by Age'!$B$6:$H$6,0))</f>
        <v>235000</v>
      </c>
      <c r="V198" s="78">
        <f>INDEX('Population Data by Age'!$B$7:$H$10366,MATCH(CONCATENATE('Tabular Pop Data by Age'!$C198,'Tabular Pop Data by Age'!V$7),'Population Data by Age'!$B$7:$B$10366,0),MATCH('Tabular Pop Data by Age'!$C$6,'Population Data by Age'!$B$6:$H$6,0))</f>
        <v>210000</v>
      </c>
      <c r="W198" s="78">
        <f>INDEX('Population Data by Age'!$B$7:$H$10366,MATCH(CONCATENATE('Tabular Pop Data by Age'!$C198,'Tabular Pop Data by Age'!W$7),'Population Data by Age'!$B$7:$B$10366,0),MATCH('Tabular Pop Data by Age'!$C$6,'Population Data by Age'!$B$6:$H$6,0))</f>
        <v>200000</v>
      </c>
      <c r="X198" s="78">
        <f>INDEX('Population Data by Age'!$B$7:$H$10366,MATCH(CONCATENATE('Tabular Pop Data by Age'!$C198,'Tabular Pop Data by Age'!X$7),'Population Data by Age'!$B$7:$B$10366,0),MATCH('Tabular Pop Data by Age'!$C$6,'Population Data by Age'!$B$6:$H$6,0))</f>
        <v>192000</v>
      </c>
      <c r="Y198" s="78">
        <f>INDEX('Population Data by Age'!$B$7:$H$10366,MATCH(CONCATENATE('Tabular Pop Data by Age'!$C198,'Tabular Pop Data by Age'!Y$7),'Population Data by Age'!$B$7:$B$10366,0),MATCH('Tabular Pop Data by Age'!$C$6,'Population Data by Age'!$B$6:$H$6,0))</f>
        <v>180000</v>
      </c>
      <c r="Z198" s="78">
        <f>INDEX('Population Data by Age'!$B$7:$H$10366,MATCH(CONCATENATE('Tabular Pop Data by Age'!$C198,'Tabular Pop Data by Age'!Z$7),'Population Data by Age'!$B$7:$B$10366,0),MATCH('Tabular Pop Data by Age'!$C$6,'Population Data by Age'!$B$6:$H$6,0))</f>
        <v>170000</v>
      </c>
      <c r="AA198" s="78">
        <f>INDEX('Population Data by Age'!$B$7:$H$10366,MATCH(CONCATENATE('Tabular Pop Data by Age'!$C198,'Tabular Pop Data by Age'!AA$7),'Population Data by Age'!$B$7:$B$10366,0),MATCH('Tabular Pop Data by Age'!$C$6,'Population Data by Age'!$B$6:$H$6,0))</f>
        <v>158000</v>
      </c>
      <c r="AB198" s="78">
        <f>INDEX('Population Data by Age'!$B$7:$H$10366,MATCH(CONCATENATE('Tabular Pop Data by Age'!$C198,'Tabular Pop Data by Age'!AB$7),'Population Data by Age'!$B$7:$B$10366,0),MATCH('Tabular Pop Data by Age'!$C$6,'Population Data by Age'!$B$6:$H$6,0))</f>
        <v>128000</v>
      </c>
      <c r="AC198" s="78">
        <f>INDEX('Population Data by Age'!$B$7:$H$10366,MATCH(CONCATENATE('Tabular Pop Data by Age'!$C198,'Tabular Pop Data by Age'!AC$7),'Population Data by Age'!$B$7:$B$10366,0),MATCH('Tabular Pop Data by Age'!$C$6,'Population Data by Age'!$B$6:$H$6,0))</f>
        <v>118000</v>
      </c>
      <c r="AD198" s="78">
        <f>INDEX('Population Data by Age'!$B$7:$H$10366,MATCH(CONCATENATE('Tabular Pop Data by Age'!$C198,'Tabular Pop Data by Age'!AD$7),'Population Data by Age'!$B$7:$B$10366,0),MATCH('Tabular Pop Data by Age'!$C$6,'Population Data by Age'!$B$6:$H$6,0))</f>
        <v>75000</v>
      </c>
      <c r="AE198" s="78">
        <f>INDEX('Population Data by Age'!$B$7:$H$10366,MATCH(CONCATENATE('Tabular Pop Data by Age'!$C198,'Tabular Pop Data by Age'!AE$7),'Population Data by Age'!$B$7:$B$10366,0),MATCH('Tabular Pop Data by Age'!$C$6,'Population Data by Age'!$B$6:$H$6,0))</f>
        <v>66000</v>
      </c>
      <c r="AF198" s="78">
        <f>INDEX('Population Data by Age'!$B$7:$H$10366,MATCH(CONCATENATE('Tabular Pop Data by Age'!$C198,'Tabular Pop Data by Age'!AF$7),'Population Data by Age'!$B$7:$B$10366,0),MATCH('Tabular Pop Data by Age'!$C$6,'Population Data by Age'!$B$6:$H$6,0))</f>
        <v>42000</v>
      </c>
      <c r="AG198" s="78">
        <f>INDEX('Population Data by Age'!$B$7:$H$10366,MATCH(CONCATENATE('Tabular Pop Data by Age'!$C198,'Tabular Pop Data by Age'!AG$7),'Population Data by Age'!$B$7:$B$10366,0),MATCH('Tabular Pop Data by Age'!$C$6,'Population Data by Age'!$B$6:$H$6,0))</f>
        <v>36000</v>
      </c>
      <c r="AH198" s="78">
        <f>INDEX('Population Data by Age'!$B$7:$H$10366,MATCH(CONCATENATE('Tabular Pop Data by Age'!$C198,'Tabular Pop Data by Age'!AH$7),'Population Data by Age'!$B$7:$B$10366,0),MATCH('Tabular Pop Data by Age'!$C$6,'Population Data by Age'!$B$6:$H$6,0))</f>
        <v>21000</v>
      </c>
      <c r="AI198" s="78">
        <f>INDEX('Population Data by Age'!$B$7:$H$10366,MATCH(CONCATENATE('Tabular Pop Data by Age'!$C198,'Tabular Pop Data by Age'!AI$7),'Population Data by Age'!$B$7:$B$10366,0),MATCH('Tabular Pop Data by Age'!$C$6,'Population Data by Age'!$B$6:$H$6,0))</f>
        <v>19000</v>
      </c>
      <c r="AJ198" s="78">
        <f>INDEX('Population Data by Age'!$B$7:$H$10366,MATCH(CONCATENATE('Tabular Pop Data by Age'!$C198,'Tabular Pop Data by Age'!AJ$7),'Population Data by Age'!$B$7:$B$10366,0),MATCH('Tabular Pop Data by Age'!$C$6,'Population Data by Age'!$B$6:$H$6,0))</f>
        <v>25000</v>
      </c>
      <c r="AK198" s="78">
        <f>INDEX('Population Data by Age'!$B$7:$H$10366,MATCH(CONCATENATE('Tabular Pop Data by Age'!$C198,'Tabular Pop Data by Age'!AK$7),'Population Data by Age'!$B$7:$B$10366,0),MATCH('Tabular Pop Data by Age'!$C$6,'Population Data by Age'!$B$6:$H$6,0))</f>
        <v>19000</v>
      </c>
      <c r="AL198" s="78">
        <f>INDEX('Population Data by Age'!$B$7:$H$10366,MATCH(CONCATENATE('Tabular Pop Data by Age'!$C198,'Tabular Pop Data by Age'!AL$7),'Population Data by Age'!$B$7:$B$10366,0),MATCH('Tabular Pop Data by Age'!$C$6,'Population Data by Age'!$B$6:$H$6,0))</f>
        <v>4732000</v>
      </c>
      <c r="AM198" s="78">
        <f>INDEX('Population Data by Age'!$B$7:$H$10366,MATCH(CONCATENATE('Tabular Pop Data by Age'!$C198,'Tabular Pop Data by Age'!AM$7),'Population Data by Age'!$B$7:$B$10366,0),MATCH('Tabular Pop Data by Age'!$C$6,'Population Data by Age'!$B$6:$H$6,0))</f>
        <v>4806000</v>
      </c>
      <c r="AN198" s="78">
        <f>INDEX('Population Data by Age'!$B$7:$H$10366,MATCH(CONCATENATE('Tabular Pop Data by Age'!$C198,'Tabular Pop Data by Age'!AN$7),'Population Data by Age'!$B$7:$B$10366,0),MATCH('Tabular Pop Data by Age'!$C$6,'Population Data by Age'!$B$6:$H$6,0))</f>
        <v>9538000</v>
      </c>
      <c r="AO198" s="78">
        <f>INDEX('Population Data by Age'!$B$7:$H$10366,MATCH(CONCATENATE('Tabular Pop Data by Age'!$C198,'Tabular Pop Data by Age'!AO$7),'Population Data by Age'!$B$7:$B$10366,0),MATCH('Tabular Pop Data by Age'!$C$6,'Population Data by Age'!$B$6:$H$6,0))</f>
        <v>0</v>
      </c>
      <c r="AP198" s="79">
        <f t="shared" si="51"/>
        <v>1357000</v>
      </c>
      <c r="AQ198" s="79">
        <f t="shared" si="52"/>
        <v>1221000</v>
      </c>
      <c r="AR198" s="79">
        <f t="shared" si="53"/>
        <v>977000</v>
      </c>
      <c r="AS198" s="79">
        <f t="shared" si="54"/>
        <v>811000</v>
      </c>
      <c r="AT198" s="79">
        <f t="shared" si="55"/>
        <v>833000</v>
      </c>
      <c r="AU198" s="79">
        <f t="shared" si="56"/>
        <v>815000</v>
      </c>
      <c r="AV198" s="79">
        <f t="shared" si="57"/>
        <v>787000</v>
      </c>
      <c r="AW198" s="79">
        <f t="shared" si="58"/>
        <v>604000</v>
      </c>
      <c r="AX198" s="79">
        <f t="shared" si="59"/>
        <v>473000</v>
      </c>
      <c r="AY198" s="79">
        <f t="shared" si="60"/>
        <v>410000</v>
      </c>
      <c r="AZ198" s="79">
        <f t="shared" si="61"/>
        <v>372000</v>
      </c>
      <c r="BA198" s="79">
        <f t="shared" si="62"/>
        <v>328000</v>
      </c>
      <c r="BB198" s="79">
        <f t="shared" si="63"/>
        <v>246000</v>
      </c>
      <c r="BC198" s="79">
        <f t="shared" si="64"/>
        <v>141000</v>
      </c>
      <c r="BD198" s="79">
        <f t="shared" si="65"/>
        <v>78000</v>
      </c>
      <c r="BE198" s="79">
        <f t="shared" si="66"/>
        <v>40000</v>
      </c>
      <c r="BF198" s="79">
        <f t="shared" si="67"/>
        <v>44000</v>
      </c>
    </row>
    <row r="199" spans="1:58" x14ac:dyDescent="0.25">
      <c r="A199" s="138" t="s">
        <v>1195</v>
      </c>
      <c r="B199" t="s">
        <v>653</v>
      </c>
      <c r="C199" t="s">
        <v>146</v>
      </c>
      <c r="D199" s="78">
        <f>INDEX('Population Data by Age'!$B$7:$H$10366,MATCH(CONCATENATE('Tabular Pop Data by Age'!$C199,'Tabular Pop Data by Age'!D$7),'Population Data by Age'!$B$7:$B$10366,0),MATCH('Tabular Pop Data by Age'!$C$6,'Population Data by Age'!$B$6:$H$6,0))</f>
        <v>4814000</v>
      </c>
      <c r="E199" s="78">
        <f>INDEX('Population Data by Age'!$B$7:$H$10366,MATCH(CONCATENATE('Tabular Pop Data by Age'!$C199,'Tabular Pop Data by Age'!E$7),'Population Data by Age'!$B$7:$B$10366,0),MATCH('Tabular Pop Data by Age'!$C$6,'Population Data by Age'!$B$6:$H$6,0))</f>
        <v>4925000</v>
      </c>
      <c r="F199" s="78">
        <f>INDEX('Population Data by Age'!$B$7:$H$10366,MATCH(CONCATENATE('Tabular Pop Data by Age'!$C199,'Tabular Pop Data by Age'!F$7),'Population Data by Age'!$B$7:$B$10366,0),MATCH('Tabular Pop Data by Age'!$C$6,'Population Data by Age'!$B$6:$H$6,0))</f>
        <v>4262000</v>
      </c>
      <c r="G199" s="78">
        <f>INDEX('Population Data by Age'!$B$7:$H$10366,MATCH(CONCATENATE('Tabular Pop Data by Age'!$C199,'Tabular Pop Data by Age'!G$7),'Population Data by Age'!$B$7:$B$10366,0),MATCH('Tabular Pop Data by Age'!$C$6,'Population Data by Age'!$B$6:$H$6,0))</f>
        <v>4362000</v>
      </c>
      <c r="H199" s="78">
        <f>INDEX('Population Data by Age'!$B$7:$H$10366,MATCH(CONCATENATE('Tabular Pop Data by Age'!$C199,'Tabular Pop Data by Age'!H$7),'Population Data by Age'!$B$7:$B$10366,0),MATCH('Tabular Pop Data by Age'!$C$6,'Population Data by Age'!$B$6:$H$6,0))</f>
        <v>3785000</v>
      </c>
      <c r="I199" s="78">
        <f>INDEX('Population Data by Age'!$B$7:$H$10366,MATCH(CONCATENATE('Tabular Pop Data by Age'!$C199,'Tabular Pop Data by Age'!I$7),'Population Data by Age'!$B$7:$B$10366,0),MATCH('Tabular Pop Data by Age'!$C$6,'Population Data by Age'!$B$6:$H$6,0))</f>
        <v>3869000</v>
      </c>
      <c r="J199" s="78">
        <f>INDEX('Population Data by Age'!$B$7:$H$10366,MATCH(CONCATENATE('Tabular Pop Data by Age'!$C199,'Tabular Pop Data by Age'!J$7),'Population Data by Age'!$B$7:$B$10366,0),MATCH('Tabular Pop Data by Age'!$C$6,'Population Data by Age'!$B$6:$H$6,0))</f>
        <v>3192000</v>
      </c>
      <c r="K199" s="78">
        <f>INDEX('Population Data by Age'!$B$7:$H$10366,MATCH(CONCATENATE('Tabular Pop Data by Age'!$C199,'Tabular Pop Data by Age'!K$7),'Population Data by Age'!$B$7:$B$10366,0),MATCH('Tabular Pop Data by Age'!$C$6,'Population Data by Age'!$B$6:$H$6,0))</f>
        <v>3242000</v>
      </c>
      <c r="L199" s="78">
        <f>INDEX('Population Data by Age'!$B$7:$H$10366,MATCH(CONCATENATE('Tabular Pop Data by Age'!$C199,'Tabular Pop Data by Age'!L$7),'Population Data by Age'!$B$7:$B$10366,0),MATCH('Tabular Pop Data by Age'!$C$6,'Population Data by Age'!$B$6:$H$6,0))</f>
        <v>2622000</v>
      </c>
      <c r="M199" s="78">
        <f>INDEX('Population Data by Age'!$B$7:$H$10366,MATCH(CONCATENATE('Tabular Pop Data by Age'!$C199,'Tabular Pop Data by Age'!M$7),'Population Data by Age'!$B$7:$B$10366,0),MATCH('Tabular Pop Data by Age'!$C$6,'Population Data by Age'!$B$6:$H$6,0))</f>
        <v>2641000</v>
      </c>
      <c r="N199" s="78">
        <f>INDEX('Population Data by Age'!$B$7:$H$10366,MATCH(CONCATENATE('Tabular Pop Data by Age'!$C199,'Tabular Pop Data by Age'!N$7),'Population Data by Age'!$B$7:$B$10366,0),MATCH('Tabular Pop Data by Age'!$C$6,'Population Data by Age'!$B$6:$H$6,0))</f>
        <v>2289000</v>
      </c>
      <c r="O199" s="78">
        <f>INDEX('Population Data by Age'!$B$7:$H$10366,MATCH(CONCATENATE('Tabular Pop Data by Age'!$C199,'Tabular Pop Data by Age'!O$7),'Population Data by Age'!$B$7:$B$10366,0),MATCH('Tabular Pop Data by Age'!$C$6,'Population Data by Age'!$B$6:$H$6,0))</f>
        <v>2295000</v>
      </c>
      <c r="P199" s="78">
        <f>INDEX('Population Data by Age'!$B$7:$H$10366,MATCH(CONCATENATE('Tabular Pop Data by Age'!$C199,'Tabular Pop Data by Age'!P$7),'Population Data by Age'!$B$7:$B$10366,0),MATCH('Tabular Pop Data by Age'!$C$6,'Population Data by Age'!$B$6:$H$6,0))</f>
        <v>1956000</v>
      </c>
      <c r="Q199" s="78">
        <f>INDEX('Population Data by Age'!$B$7:$H$10366,MATCH(CONCATENATE('Tabular Pop Data by Age'!$C199,'Tabular Pop Data by Age'!Q$7),'Population Data by Age'!$B$7:$B$10366,0),MATCH('Tabular Pop Data by Age'!$C$6,'Population Data by Age'!$B$6:$H$6,0))</f>
        <v>1947000</v>
      </c>
      <c r="R199" s="78">
        <f>INDEX('Population Data by Age'!$B$7:$H$10366,MATCH(CONCATENATE('Tabular Pop Data by Age'!$C199,'Tabular Pop Data by Age'!R$7),'Population Data by Age'!$B$7:$B$10366,0),MATCH('Tabular Pop Data by Age'!$C$6,'Population Data by Age'!$B$6:$H$6,0))</f>
        <v>1635000</v>
      </c>
      <c r="S199" s="78">
        <f>INDEX('Population Data by Age'!$B$7:$H$10366,MATCH(CONCATENATE('Tabular Pop Data by Age'!$C199,'Tabular Pop Data by Age'!S$7),'Population Data by Age'!$B$7:$B$10366,0),MATCH('Tabular Pop Data by Age'!$C$6,'Population Data by Age'!$B$6:$H$6,0))</f>
        <v>1624000</v>
      </c>
      <c r="T199" s="78">
        <f>INDEX('Population Data by Age'!$B$7:$H$10366,MATCH(CONCATENATE('Tabular Pop Data by Age'!$C199,'Tabular Pop Data by Age'!T$7),'Population Data by Age'!$B$7:$B$10366,0),MATCH('Tabular Pop Data by Age'!$C$6,'Population Data by Age'!$B$6:$H$6,0))</f>
        <v>1345000</v>
      </c>
      <c r="U199" s="78">
        <f>INDEX('Population Data by Age'!$B$7:$H$10366,MATCH(CONCATENATE('Tabular Pop Data by Age'!$C199,'Tabular Pop Data by Age'!U$7),'Population Data by Age'!$B$7:$B$10366,0),MATCH('Tabular Pop Data by Age'!$C$6,'Population Data by Age'!$B$6:$H$6,0))</f>
        <v>1339000</v>
      </c>
      <c r="V199" s="78">
        <f>INDEX('Population Data by Age'!$B$7:$H$10366,MATCH(CONCATENATE('Tabular Pop Data by Age'!$C199,'Tabular Pop Data by Age'!V$7),'Population Data by Age'!$B$7:$B$10366,0),MATCH('Tabular Pop Data by Age'!$C$6,'Population Data by Age'!$B$6:$H$6,0))</f>
        <v>1073000</v>
      </c>
      <c r="W199" s="78">
        <f>INDEX('Population Data by Age'!$B$7:$H$10366,MATCH(CONCATENATE('Tabular Pop Data by Age'!$C199,'Tabular Pop Data by Age'!W$7),'Population Data by Age'!$B$7:$B$10366,0),MATCH('Tabular Pop Data by Age'!$C$6,'Population Data by Age'!$B$6:$H$6,0))</f>
        <v>1063000</v>
      </c>
      <c r="X199" s="78">
        <f>INDEX('Population Data by Age'!$B$7:$H$10366,MATCH(CONCATENATE('Tabular Pop Data by Age'!$C199,'Tabular Pop Data by Age'!X$7),'Population Data by Age'!$B$7:$B$10366,0),MATCH('Tabular Pop Data by Age'!$C$6,'Population Data by Age'!$B$6:$H$6,0))</f>
        <v>842000</v>
      </c>
      <c r="Y199" s="78">
        <f>INDEX('Population Data by Age'!$B$7:$H$10366,MATCH(CONCATENATE('Tabular Pop Data by Age'!$C199,'Tabular Pop Data by Age'!Y$7),'Population Data by Age'!$B$7:$B$10366,0),MATCH('Tabular Pop Data by Age'!$C$6,'Population Data by Age'!$B$6:$H$6,0))</f>
        <v>819000</v>
      </c>
      <c r="Z199" s="78">
        <f>INDEX('Population Data by Age'!$B$7:$H$10366,MATCH(CONCATENATE('Tabular Pop Data by Age'!$C199,'Tabular Pop Data by Age'!Z$7),'Population Data by Age'!$B$7:$B$10366,0),MATCH('Tabular Pop Data by Age'!$C$6,'Population Data by Age'!$B$6:$H$6,0))</f>
        <v>655000</v>
      </c>
      <c r="AA199" s="78">
        <f>INDEX('Population Data by Age'!$B$7:$H$10366,MATCH(CONCATENATE('Tabular Pop Data by Age'!$C199,'Tabular Pop Data by Age'!AA$7),'Population Data by Age'!$B$7:$B$10366,0),MATCH('Tabular Pop Data by Age'!$C$6,'Population Data by Age'!$B$6:$H$6,0))</f>
        <v>611000</v>
      </c>
      <c r="AB199" s="78">
        <f>INDEX('Population Data by Age'!$B$7:$H$10366,MATCH(CONCATENATE('Tabular Pop Data by Age'!$C199,'Tabular Pop Data by Age'!AB$7),'Population Data by Age'!$B$7:$B$10366,0),MATCH('Tabular Pop Data by Age'!$C$6,'Population Data by Age'!$B$6:$H$6,0))</f>
        <v>503000</v>
      </c>
      <c r="AC199" s="78">
        <f>INDEX('Population Data by Age'!$B$7:$H$10366,MATCH(CONCATENATE('Tabular Pop Data by Age'!$C199,'Tabular Pop Data by Age'!AC$7),'Population Data by Age'!$B$7:$B$10366,0),MATCH('Tabular Pop Data by Age'!$C$6,'Population Data by Age'!$B$6:$H$6,0))</f>
        <v>445000</v>
      </c>
      <c r="AD199" s="78">
        <f>INDEX('Population Data by Age'!$B$7:$H$10366,MATCH(CONCATENATE('Tabular Pop Data by Age'!$C199,'Tabular Pop Data by Age'!AD$7),'Population Data by Age'!$B$7:$B$10366,0),MATCH('Tabular Pop Data by Age'!$C$6,'Population Data by Age'!$B$6:$H$6,0))</f>
        <v>370000</v>
      </c>
      <c r="AE199" s="78">
        <f>INDEX('Population Data by Age'!$B$7:$H$10366,MATCH(CONCATENATE('Tabular Pop Data by Age'!$C199,'Tabular Pop Data by Age'!AE$7),'Population Data by Age'!$B$7:$B$10366,0),MATCH('Tabular Pop Data by Age'!$C$6,'Population Data by Age'!$B$6:$H$6,0))</f>
        <v>305000</v>
      </c>
      <c r="AF199" s="78">
        <f>INDEX('Population Data by Age'!$B$7:$H$10366,MATCH(CONCATENATE('Tabular Pop Data by Age'!$C199,'Tabular Pop Data by Age'!AF$7),'Population Data by Age'!$B$7:$B$10366,0),MATCH('Tabular Pop Data by Age'!$C$6,'Population Data by Age'!$B$6:$H$6,0))</f>
        <v>272000</v>
      </c>
      <c r="AG199" s="78">
        <f>INDEX('Population Data by Age'!$B$7:$H$10366,MATCH(CONCATENATE('Tabular Pop Data by Age'!$C199,'Tabular Pop Data by Age'!AG$7),'Population Data by Age'!$B$7:$B$10366,0),MATCH('Tabular Pop Data by Age'!$C$6,'Population Data by Age'!$B$6:$H$6,0))</f>
        <v>200000</v>
      </c>
      <c r="AH199" s="78">
        <f>INDEX('Population Data by Age'!$B$7:$H$10366,MATCH(CONCATENATE('Tabular Pop Data by Age'!$C199,'Tabular Pop Data by Age'!AH$7),'Population Data by Age'!$B$7:$B$10366,0),MATCH('Tabular Pop Data by Age'!$C$6,'Population Data by Age'!$B$6:$H$6,0))</f>
        <v>162000</v>
      </c>
      <c r="AI199" s="78">
        <f>INDEX('Population Data by Age'!$B$7:$H$10366,MATCH(CONCATENATE('Tabular Pop Data by Age'!$C199,'Tabular Pop Data by Age'!AI$7),'Population Data by Age'!$B$7:$B$10366,0),MATCH('Tabular Pop Data by Age'!$C$6,'Population Data by Age'!$B$6:$H$6,0))</f>
        <v>107000</v>
      </c>
      <c r="AJ199" s="78">
        <f>INDEX('Population Data by Age'!$B$7:$H$10366,MATCH(CONCATENATE('Tabular Pop Data by Age'!$C199,'Tabular Pop Data by Age'!AJ$7),'Population Data by Age'!$B$7:$B$10366,0),MATCH('Tabular Pop Data by Age'!$C$6,'Population Data by Age'!$B$6:$H$6,0))</f>
        <v>105000</v>
      </c>
      <c r="AK199" s="78">
        <f>INDEX('Population Data by Age'!$B$7:$H$10366,MATCH(CONCATENATE('Tabular Pop Data by Age'!$C199,'Tabular Pop Data by Age'!AK$7),'Population Data by Age'!$B$7:$B$10366,0),MATCH('Tabular Pop Data by Age'!$C$6,'Population Data by Age'!$B$6:$H$6,0))</f>
        <v>58000</v>
      </c>
      <c r="AL199" s="78">
        <f>INDEX('Population Data by Age'!$B$7:$H$10366,MATCH(CONCATENATE('Tabular Pop Data by Age'!$C199,'Tabular Pop Data by Age'!AL$7),'Population Data by Age'!$B$7:$B$10366,0),MATCH('Tabular Pop Data by Age'!$C$6,'Population Data by Age'!$B$6:$H$6,0))</f>
        <v>29883000</v>
      </c>
      <c r="AM199" s="78">
        <f>INDEX('Population Data by Age'!$B$7:$H$10366,MATCH(CONCATENATE('Tabular Pop Data by Age'!$C199,'Tabular Pop Data by Age'!AM$7),'Population Data by Age'!$B$7:$B$10366,0),MATCH('Tabular Pop Data by Age'!$C$6,'Population Data by Age'!$B$6:$H$6,0))</f>
        <v>29851000</v>
      </c>
      <c r="AN199" s="78">
        <f>INDEX('Population Data by Age'!$B$7:$H$10366,MATCH(CONCATENATE('Tabular Pop Data by Age'!$C199,'Tabular Pop Data by Age'!AN$7),'Population Data by Age'!$B$7:$B$10366,0),MATCH('Tabular Pop Data by Age'!$C$6,'Population Data by Age'!$B$6:$H$6,0))</f>
        <v>59734000</v>
      </c>
      <c r="AO199" s="78">
        <f>INDEX('Population Data by Age'!$B$7:$H$10366,MATCH(CONCATENATE('Tabular Pop Data by Age'!$C199,'Tabular Pop Data by Age'!AO$7),'Population Data by Age'!$B$7:$B$10366,0),MATCH('Tabular Pop Data by Age'!$C$6,'Population Data by Age'!$B$6:$H$6,0))</f>
        <v>0</v>
      </c>
      <c r="AP199" s="79">
        <f t="shared" si="51"/>
        <v>9739000</v>
      </c>
      <c r="AQ199" s="79">
        <f t="shared" si="52"/>
        <v>8624000</v>
      </c>
      <c r="AR199" s="79">
        <f t="shared" si="53"/>
        <v>7654000</v>
      </c>
      <c r="AS199" s="79">
        <f t="shared" si="54"/>
        <v>6434000</v>
      </c>
      <c r="AT199" s="79">
        <f t="shared" si="55"/>
        <v>5263000</v>
      </c>
      <c r="AU199" s="79">
        <f t="shared" si="56"/>
        <v>4584000</v>
      </c>
      <c r="AV199" s="79">
        <f t="shared" si="57"/>
        <v>3903000</v>
      </c>
      <c r="AW199" s="79">
        <f t="shared" si="58"/>
        <v>3259000</v>
      </c>
      <c r="AX199" s="79">
        <f t="shared" si="59"/>
        <v>2684000</v>
      </c>
      <c r="AY199" s="79">
        <f t="shared" si="60"/>
        <v>2136000</v>
      </c>
      <c r="AZ199" s="79">
        <f t="shared" si="61"/>
        <v>1661000</v>
      </c>
      <c r="BA199" s="79">
        <f t="shared" si="62"/>
        <v>1266000</v>
      </c>
      <c r="BB199" s="79">
        <f t="shared" si="63"/>
        <v>948000</v>
      </c>
      <c r="BC199" s="79">
        <f t="shared" si="64"/>
        <v>675000</v>
      </c>
      <c r="BD199" s="79">
        <f t="shared" si="65"/>
        <v>472000</v>
      </c>
      <c r="BE199" s="79">
        <f t="shared" si="66"/>
        <v>269000</v>
      </c>
      <c r="BF199" s="79">
        <f t="shared" si="67"/>
        <v>163000</v>
      </c>
    </row>
    <row r="200" spans="1:58" x14ac:dyDescent="0.25">
      <c r="A200" s="138" t="s">
        <v>1195</v>
      </c>
      <c r="B200" t="s">
        <v>654</v>
      </c>
      <c r="C200" t="s">
        <v>138</v>
      </c>
      <c r="D200" s="78">
        <f>INDEX('Population Data by Age'!$B$7:$H$10366,MATCH(CONCATENATE('Tabular Pop Data by Age'!$C200,'Tabular Pop Data by Age'!D$7),'Population Data by Age'!$B$7:$B$10366,0),MATCH('Tabular Pop Data by Age'!$C$6,'Population Data by Age'!$B$6:$H$6,0))</f>
        <v>1746000</v>
      </c>
      <c r="E200" s="78">
        <f>INDEX('Population Data by Age'!$B$7:$H$10366,MATCH(CONCATENATE('Tabular Pop Data by Age'!$C200,'Tabular Pop Data by Age'!E$7),'Population Data by Age'!$B$7:$B$10366,0),MATCH('Tabular Pop Data by Age'!$C$6,'Population Data by Age'!$B$6:$H$6,0))</f>
        <v>1850000</v>
      </c>
      <c r="F200" s="78">
        <f>INDEX('Population Data by Age'!$B$7:$H$10366,MATCH(CONCATENATE('Tabular Pop Data by Age'!$C200,'Tabular Pop Data by Age'!F$7),'Population Data by Age'!$B$7:$B$10366,0),MATCH('Tabular Pop Data by Age'!$C$6,'Population Data by Age'!$B$6:$H$6,0))</f>
        <v>1867000</v>
      </c>
      <c r="G200" s="78">
        <f>INDEX('Population Data by Age'!$B$7:$H$10366,MATCH(CONCATENATE('Tabular Pop Data by Age'!$C200,'Tabular Pop Data by Age'!G$7),'Population Data by Age'!$B$7:$B$10366,0),MATCH('Tabular Pop Data by Age'!$C$6,'Population Data by Age'!$B$6:$H$6,0))</f>
        <v>1977000</v>
      </c>
      <c r="H200" s="78">
        <f>INDEX('Population Data by Age'!$B$7:$H$10366,MATCH(CONCATENATE('Tabular Pop Data by Age'!$C200,'Tabular Pop Data by Age'!H$7),'Population Data by Age'!$B$7:$B$10366,0),MATCH('Tabular Pop Data by Age'!$C$6,'Population Data by Age'!$B$6:$H$6,0))</f>
        <v>1997000</v>
      </c>
      <c r="I200" s="78">
        <f>INDEX('Population Data by Age'!$B$7:$H$10366,MATCH(CONCATENATE('Tabular Pop Data by Age'!$C200,'Tabular Pop Data by Age'!I$7),'Population Data by Age'!$B$7:$B$10366,0),MATCH('Tabular Pop Data by Age'!$C$6,'Population Data by Age'!$B$6:$H$6,0))</f>
        <v>2117000</v>
      </c>
      <c r="J200" s="78">
        <f>INDEX('Population Data by Age'!$B$7:$H$10366,MATCH(CONCATENATE('Tabular Pop Data by Age'!$C200,'Tabular Pop Data by Age'!J$7),'Population Data by Age'!$B$7:$B$10366,0),MATCH('Tabular Pop Data by Age'!$C$6,'Population Data by Age'!$B$6:$H$6,0))</f>
        <v>2134000</v>
      </c>
      <c r="K200" s="78">
        <f>INDEX('Population Data by Age'!$B$7:$H$10366,MATCH(CONCATENATE('Tabular Pop Data by Age'!$C200,'Tabular Pop Data by Age'!K$7),'Population Data by Age'!$B$7:$B$10366,0),MATCH('Tabular Pop Data by Age'!$C$6,'Population Data by Age'!$B$6:$H$6,0))</f>
        <v>2245000</v>
      </c>
      <c r="L200" s="78">
        <f>INDEX('Population Data by Age'!$B$7:$H$10366,MATCH(CONCATENATE('Tabular Pop Data by Age'!$C200,'Tabular Pop Data by Age'!L$7),'Population Data by Age'!$B$7:$B$10366,0),MATCH('Tabular Pop Data by Age'!$C$6,'Population Data by Age'!$B$6:$H$6,0))</f>
        <v>2358000</v>
      </c>
      <c r="M200" s="78">
        <f>INDEX('Population Data by Age'!$B$7:$H$10366,MATCH(CONCATENATE('Tabular Pop Data by Age'!$C200,'Tabular Pop Data by Age'!M$7),'Population Data by Age'!$B$7:$B$10366,0),MATCH('Tabular Pop Data by Age'!$C$6,'Population Data by Age'!$B$6:$H$6,0))</f>
        <v>2450000</v>
      </c>
      <c r="N200" s="78">
        <f>INDEX('Population Data by Age'!$B$7:$H$10366,MATCH(CONCATENATE('Tabular Pop Data by Age'!$C200,'Tabular Pop Data by Age'!N$7),'Population Data by Age'!$B$7:$B$10366,0),MATCH('Tabular Pop Data by Age'!$C$6,'Population Data by Age'!$B$6:$H$6,0))</f>
        <v>2395000</v>
      </c>
      <c r="O200" s="78">
        <f>INDEX('Population Data by Age'!$B$7:$H$10366,MATCH(CONCATENATE('Tabular Pop Data by Age'!$C200,'Tabular Pop Data by Age'!O$7),'Population Data by Age'!$B$7:$B$10366,0),MATCH('Tabular Pop Data by Age'!$C$6,'Population Data by Age'!$B$6:$H$6,0))</f>
        <v>2427000</v>
      </c>
      <c r="P200" s="78">
        <f>INDEX('Population Data by Age'!$B$7:$H$10366,MATCH(CONCATENATE('Tabular Pop Data by Age'!$C200,'Tabular Pop Data by Age'!P$7),'Population Data by Age'!$B$7:$B$10366,0),MATCH('Tabular Pop Data by Age'!$C$6,'Population Data by Age'!$B$6:$H$6,0))</f>
        <v>2235000</v>
      </c>
      <c r="Q200" s="78">
        <f>INDEX('Population Data by Age'!$B$7:$H$10366,MATCH(CONCATENATE('Tabular Pop Data by Age'!$C200,'Tabular Pop Data by Age'!Q$7),'Population Data by Age'!$B$7:$B$10366,0),MATCH('Tabular Pop Data by Age'!$C$6,'Population Data by Age'!$B$6:$H$6,0))</f>
        <v>2232000</v>
      </c>
      <c r="R200" s="78">
        <f>INDEX('Population Data by Age'!$B$7:$H$10366,MATCH(CONCATENATE('Tabular Pop Data by Age'!$C200,'Tabular Pop Data by Age'!R$7),'Population Data by Age'!$B$7:$B$10366,0),MATCH('Tabular Pop Data by Age'!$C$6,'Population Data by Age'!$B$6:$H$6,0))</f>
        <v>2401000</v>
      </c>
      <c r="S200" s="78">
        <f>INDEX('Population Data by Age'!$B$7:$H$10366,MATCH(CONCATENATE('Tabular Pop Data by Age'!$C200,'Tabular Pop Data by Age'!S$7),'Population Data by Age'!$B$7:$B$10366,0),MATCH('Tabular Pop Data by Age'!$C$6,'Population Data by Age'!$B$6:$H$6,0))</f>
        <v>2362000</v>
      </c>
      <c r="T200" s="78">
        <f>INDEX('Population Data by Age'!$B$7:$H$10366,MATCH(CONCATENATE('Tabular Pop Data by Age'!$C200,'Tabular Pop Data by Age'!T$7),'Population Data by Age'!$B$7:$B$10366,0),MATCH('Tabular Pop Data by Age'!$C$6,'Population Data by Age'!$B$6:$H$6,0))</f>
        <v>2728000</v>
      </c>
      <c r="U200" s="78">
        <f>INDEX('Population Data by Age'!$B$7:$H$10366,MATCH(CONCATENATE('Tabular Pop Data by Age'!$C200,'Tabular Pop Data by Age'!U$7),'Population Data by Age'!$B$7:$B$10366,0),MATCH('Tabular Pop Data by Age'!$C$6,'Population Data by Age'!$B$6:$H$6,0))</f>
        <v>2580000</v>
      </c>
      <c r="V200" s="78">
        <f>INDEX('Population Data by Age'!$B$7:$H$10366,MATCH(CONCATENATE('Tabular Pop Data by Age'!$C200,'Tabular Pop Data by Age'!V$7),'Population Data by Age'!$B$7:$B$10366,0),MATCH('Tabular Pop Data by Age'!$C$6,'Population Data by Age'!$B$6:$H$6,0))</f>
        <v>2925000</v>
      </c>
      <c r="W200" s="78">
        <f>INDEX('Population Data by Age'!$B$7:$H$10366,MATCH(CONCATENATE('Tabular Pop Data by Age'!$C200,'Tabular Pop Data by Age'!W$7),'Population Data by Age'!$B$7:$B$10366,0),MATCH('Tabular Pop Data by Age'!$C$6,'Population Data by Age'!$B$6:$H$6,0))</f>
        <v>2680000</v>
      </c>
      <c r="X200" s="78">
        <f>INDEX('Population Data by Age'!$B$7:$H$10366,MATCH(CONCATENATE('Tabular Pop Data by Age'!$C200,'Tabular Pop Data by Age'!X$7),'Population Data by Age'!$B$7:$B$10366,0),MATCH('Tabular Pop Data by Age'!$C$6,'Population Data by Age'!$B$6:$H$6,0))</f>
        <v>2940000</v>
      </c>
      <c r="Y200" s="78">
        <f>INDEX('Population Data by Age'!$B$7:$H$10366,MATCH(CONCATENATE('Tabular Pop Data by Age'!$C200,'Tabular Pop Data by Age'!Y$7),'Population Data by Age'!$B$7:$B$10366,0),MATCH('Tabular Pop Data by Age'!$C$6,'Population Data by Age'!$B$6:$H$6,0))</f>
        <v>2659000</v>
      </c>
      <c r="Z200" s="78">
        <f>INDEX('Population Data by Age'!$B$7:$H$10366,MATCH(CONCATENATE('Tabular Pop Data by Age'!$C200,'Tabular Pop Data by Age'!Z$7),'Population Data by Age'!$B$7:$B$10366,0),MATCH('Tabular Pop Data by Age'!$C$6,'Population Data by Age'!$B$6:$H$6,0))</f>
        <v>2677000</v>
      </c>
      <c r="AA200" s="78">
        <f>INDEX('Population Data by Age'!$B$7:$H$10366,MATCH(CONCATENATE('Tabular Pop Data by Age'!$C200,'Tabular Pop Data by Age'!AA$7),'Population Data by Age'!$B$7:$B$10366,0),MATCH('Tabular Pop Data by Age'!$C$6,'Population Data by Age'!$B$6:$H$6,0))</f>
        <v>2406000</v>
      </c>
      <c r="AB200" s="78">
        <f>INDEX('Population Data by Age'!$B$7:$H$10366,MATCH(CONCATENATE('Tabular Pop Data by Age'!$C200,'Tabular Pop Data by Age'!AB$7),'Population Data by Age'!$B$7:$B$10366,0),MATCH('Tabular Pop Data by Age'!$C$6,'Population Data by Age'!$B$6:$H$6,0))</f>
        <v>2329000</v>
      </c>
      <c r="AC200" s="78">
        <f>INDEX('Population Data by Age'!$B$7:$H$10366,MATCH(CONCATENATE('Tabular Pop Data by Age'!$C200,'Tabular Pop Data by Age'!AC$7),'Population Data by Age'!$B$7:$B$10366,0),MATCH('Tabular Pop Data by Age'!$C$6,'Population Data by Age'!$B$6:$H$6,0))</f>
        <v>2039000</v>
      </c>
      <c r="AD200" s="78">
        <f>INDEX('Population Data by Age'!$B$7:$H$10366,MATCH(CONCATENATE('Tabular Pop Data by Age'!$C200,'Tabular Pop Data by Age'!AD$7),'Population Data by Age'!$B$7:$B$10366,0),MATCH('Tabular Pop Data by Age'!$C$6,'Population Data by Age'!$B$6:$H$6,0))</f>
        <v>1764000</v>
      </c>
      <c r="AE200" s="78">
        <f>INDEX('Population Data by Age'!$B$7:$H$10366,MATCH(CONCATENATE('Tabular Pop Data by Age'!$C200,'Tabular Pop Data by Age'!AE$7),'Population Data by Age'!$B$7:$B$10366,0),MATCH('Tabular Pop Data by Age'!$C$6,'Population Data by Age'!$B$6:$H$6,0))</f>
        <v>1493000</v>
      </c>
      <c r="AF200" s="78">
        <f>INDEX('Population Data by Age'!$B$7:$H$10366,MATCH(CONCATENATE('Tabular Pop Data by Age'!$C200,'Tabular Pop Data by Age'!AF$7),'Population Data by Age'!$B$7:$B$10366,0),MATCH('Tabular Pop Data by Age'!$C$6,'Population Data by Age'!$B$6:$H$6,0))</f>
        <v>1269000</v>
      </c>
      <c r="AG200" s="78">
        <f>INDEX('Population Data by Age'!$B$7:$H$10366,MATCH(CONCATENATE('Tabular Pop Data by Age'!$C200,'Tabular Pop Data by Age'!AG$7),'Population Data by Age'!$B$7:$B$10366,0),MATCH('Tabular Pop Data by Age'!$C$6,'Population Data by Age'!$B$6:$H$6,0))</f>
        <v>1013000</v>
      </c>
      <c r="AH200" s="78">
        <f>INDEX('Population Data by Age'!$B$7:$H$10366,MATCH(CONCATENATE('Tabular Pop Data by Age'!$C200,'Tabular Pop Data by Age'!AH$7),'Population Data by Age'!$B$7:$B$10366,0),MATCH('Tabular Pop Data by Age'!$C$6,'Population Data by Age'!$B$6:$H$6,0))</f>
        <v>901000</v>
      </c>
      <c r="AI200" s="78">
        <f>INDEX('Population Data by Age'!$B$7:$H$10366,MATCH(CONCATENATE('Tabular Pop Data by Age'!$C200,'Tabular Pop Data by Age'!AI$7),'Population Data by Age'!$B$7:$B$10366,0),MATCH('Tabular Pop Data by Age'!$C$6,'Population Data by Age'!$B$6:$H$6,0))</f>
        <v>683000</v>
      </c>
      <c r="AJ200" s="78">
        <f>INDEX('Population Data by Age'!$B$7:$H$10366,MATCH(CONCATENATE('Tabular Pop Data by Age'!$C200,'Tabular Pop Data by Age'!AJ$7),'Population Data by Age'!$B$7:$B$10366,0),MATCH('Tabular Pop Data by Age'!$C$6,'Population Data by Age'!$B$6:$H$6,0))</f>
        <v>1168000</v>
      </c>
      <c r="AK200" s="78">
        <f>INDEX('Population Data by Age'!$B$7:$H$10366,MATCH(CONCATENATE('Tabular Pop Data by Age'!$C200,'Tabular Pop Data by Age'!AK$7),'Population Data by Age'!$B$7:$B$10366,0),MATCH('Tabular Pop Data by Age'!$C$6,'Population Data by Age'!$B$6:$H$6,0))</f>
        <v>753000</v>
      </c>
      <c r="AL200" s="78">
        <f>INDEX('Population Data by Age'!$B$7:$H$10366,MATCH(CONCATENATE('Tabular Pop Data by Age'!$C200,'Tabular Pop Data by Age'!AL$7),'Population Data by Age'!$B$7:$B$10366,0),MATCH('Tabular Pop Data by Age'!$C$6,'Population Data by Age'!$B$6:$H$6,0))</f>
        <v>35834000</v>
      </c>
      <c r="AM200" s="78">
        <f>INDEX('Population Data by Age'!$B$7:$H$10366,MATCH(CONCATENATE('Tabular Pop Data by Age'!$C200,'Tabular Pop Data by Age'!AM$7),'Population Data by Age'!$B$7:$B$10366,0),MATCH('Tabular Pop Data by Age'!$C$6,'Population Data by Age'!$B$6:$H$6,0))</f>
        <v>33966000</v>
      </c>
      <c r="AN200" s="78">
        <f>INDEX('Population Data by Age'!$B$7:$H$10366,MATCH(CONCATENATE('Tabular Pop Data by Age'!$C200,'Tabular Pop Data by Age'!AN$7),'Population Data by Age'!$B$7:$B$10366,0),MATCH('Tabular Pop Data by Age'!$C$6,'Population Data by Age'!$B$6:$H$6,0))</f>
        <v>69800000</v>
      </c>
      <c r="AO200" s="78">
        <f>INDEX('Population Data by Age'!$B$7:$H$10366,MATCH(CONCATENATE('Tabular Pop Data by Age'!$C200,'Tabular Pop Data by Age'!AO$7),'Population Data by Age'!$B$7:$B$10366,0),MATCH('Tabular Pop Data by Age'!$C$6,'Population Data by Age'!$B$6:$H$6,0))</f>
        <v>0</v>
      </c>
      <c r="AP200" s="79">
        <f t="shared" si="51"/>
        <v>3596000</v>
      </c>
      <c r="AQ200" s="79">
        <f t="shared" si="52"/>
        <v>3844000</v>
      </c>
      <c r="AR200" s="79">
        <f t="shared" si="53"/>
        <v>4114000</v>
      </c>
      <c r="AS200" s="79">
        <f t="shared" si="54"/>
        <v>4379000</v>
      </c>
      <c r="AT200" s="79">
        <f t="shared" si="55"/>
        <v>4808000</v>
      </c>
      <c r="AU200" s="79">
        <f t="shared" si="56"/>
        <v>4822000</v>
      </c>
      <c r="AV200" s="79">
        <f t="shared" si="57"/>
        <v>4467000</v>
      </c>
      <c r="AW200" s="79">
        <f t="shared" si="58"/>
        <v>4763000</v>
      </c>
      <c r="AX200" s="79">
        <f t="shared" si="59"/>
        <v>5308000</v>
      </c>
      <c r="AY200" s="79">
        <f t="shared" si="60"/>
        <v>5605000</v>
      </c>
      <c r="AZ200" s="79">
        <f t="shared" si="61"/>
        <v>5599000</v>
      </c>
      <c r="BA200" s="79">
        <f t="shared" si="62"/>
        <v>5083000</v>
      </c>
      <c r="BB200" s="79">
        <f t="shared" si="63"/>
        <v>4368000</v>
      </c>
      <c r="BC200" s="79">
        <f t="shared" si="64"/>
        <v>3257000</v>
      </c>
      <c r="BD200" s="79">
        <f t="shared" si="65"/>
        <v>2282000</v>
      </c>
      <c r="BE200" s="79">
        <f t="shared" si="66"/>
        <v>1584000</v>
      </c>
      <c r="BF200" s="79">
        <f t="shared" si="67"/>
        <v>1921000</v>
      </c>
    </row>
    <row r="201" spans="1:58" x14ac:dyDescent="0.25">
      <c r="A201" s="138" t="s">
        <v>1195</v>
      </c>
      <c r="B201" t="s">
        <v>246</v>
      </c>
      <c r="C201" t="s">
        <v>140</v>
      </c>
      <c r="D201" s="78">
        <f>INDEX('Population Data by Age'!$B$7:$H$10366,MATCH(CONCATENATE('Tabular Pop Data by Age'!$C201,'Tabular Pop Data by Age'!D$7),'Population Data by Age'!$B$7:$B$10366,0),MATCH('Tabular Pop Data by Age'!$C$6,'Population Data by Age'!$B$6:$H$6,0))</f>
        <v>87000</v>
      </c>
      <c r="E201" s="78">
        <f>INDEX('Population Data by Age'!$B$7:$H$10366,MATCH(CONCATENATE('Tabular Pop Data by Age'!$C201,'Tabular Pop Data by Age'!E$7),'Population Data by Age'!$B$7:$B$10366,0),MATCH('Tabular Pop Data by Age'!$C$6,'Population Data by Age'!$B$6:$H$6,0))</f>
        <v>91000</v>
      </c>
      <c r="F201" s="78">
        <f>INDEX('Population Data by Age'!$B$7:$H$10366,MATCH(CONCATENATE('Tabular Pop Data by Age'!$C201,'Tabular Pop Data by Age'!F$7),'Population Data by Age'!$B$7:$B$10366,0),MATCH('Tabular Pop Data by Age'!$C$6,'Population Data by Age'!$B$6:$H$6,0))</f>
        <v>75000</v>
      </c>
      <c r="G201" s="78">
        <f>INDEX('Population Data by Age'!$B$7:$H$10366,MATCH(CONCATENATE('Tabular Pop Data by Age'!$C201,'Tabular Pop Data by Age'!G$7),'Population Data by Age'!$B$7:$B$10366,0),MATCH('Tabular Pop Data by Age'!$C$6,'Population Data by Age'!$B$6:$H$6,0))</f>
        <v>78000</v>
      </c>
      <c r="H201" s="78">
        <f>INDEX('Population Data by Age'!$B$7:$H$10366,MATCH(CONCATENATE('Tabular Pop Data by Age'!$C201,'Tabular Pop Data by Age'!H$7),'Population Data by Age'!$B$7:$B$10366,0),MATCH('Tabular Pop Data by Age'!$C$6,'Population Data by Age'!$B$6:$H$6,0))</f>
        <v>76000</v>
      </c>
      <c r="I201" s="78">
        <f>INDEX('Population Data by Age'!$B$7:$H$10366,MATCH(CONCATENATE('Tabular Pop Data by Age'!$C201,'Tabular Pop Data by Age'!I$7),'Population Data by Age'!$B$7:$B$10366,0),MATCH('Tabular Pop Data by Age'!$C$6,'Population Data by Age'!$B$6:$H$6,0))</f>
        <v>78000</v>
      </c>
      <c r="J201" s="78">
        <f>INDEX('Population Data by Age'!$B$7:$H$10366,MATCH(CONCATENATE('Tabular Pop Data by Age'!$C201,'Tabular Pop Data by Age'!J$7),'Population Data by Age'!$B$7:$B$10366,0),MATCH('Tabular Pop Data by Age'!$C$6,'Population Data by Age'!$B$6:$H$6,0))</f>
        <v>75000</v>
      </c>
      <c r="K201" s="78">
        <f>INDEX('Population Data by Age'!$B$7:$H$10366,MATCH(CONCATENATE('Tabular Pop Data by Age'!$C201,'Tabular Pop Data by Age'!K$7),'Population Data by Age'!$B$7:$B$10366,0),MATCH('Tabular Pop Data by Age'!$C$6,'Population Data by Age'!$B$6:$H$6,0))</f>
        <v>78000</v>
      </c>
      <c r="L201" s="78">
        <f>INDEX('Population Data by Age'!$B$7:$H$10366,MATCH(CONCATENATE('Tabular Pop Data by Age'!$C201,'Tabular Pop Data by Age'!L$7),'Population Data by Age'!$B$7:$B$10366,0),MATCH('Tabular Pop Data by Age'!$C$6,'Population Data by Age'!$B$6:$H$6,0))</f>
        <v>64000</v>
      </c>
      <c r="M201" s="78">
        <f>INDEX('Population Data by Age'!$B$7:$H$10366,MATCH(CONCATENATE('Tabular Pop Data by Age'!$C201,'Tabular Pop Data by Age'!M$7),'Population Data by Age'!$B$7:$B$10366,0),MATCH('Tabular Pop Data by Age'!$C$6,'Population Data by Age'!$B$6:$H$6,0))</f>
        <v>66000</v>
      </c>
      <c r="N201" s="78">
        <f>INDEX('Population Data by Age'!$B$7:$H$10366,MATCH(CONCATENATE('Tabular Pop Data by Age'!$C201,'Tabular Pop Data by Age'!N$7),'Population Data by Age'!$B$7:$B$10366,0),MATCH('Tabular Pop Data by Age'!$C$6,'Population Data by Age'!$B$6:$H$6,0))</f>
        <v>57000</v>
      </c>
      <c r="O201" s="78">
        <f>INDEX('Population Data by Age'!$B$7:$H$10366,MATCH(CONCATENATE('Tabular Pop Data by Age'!$C201,'Tabular Pop Data by Age'!O$7),'Population Data by Age'!$B$7:$B$10366,0),MATCH('Tabular Pop Data by Age'!$C$6,'Population Data by Age'!$B$6:$H$6,0))</f>
        <v>58000</v>
      </c>
      <c r="P201" s="78">
        <f>INDEX('Population Data by Age'!$B$7:$H$10366,MATCH(CONCATENATE('Tabular Pop Data by Age'!$C201,'Tabular Pop Data by Age'!P$7),'Population Data by Age'!$B$7:$B$10366,0),MATCH('Tabular Pop Data by Age'!$C$6,'Population Data by Age'!$B$6:$H$6,0))</f>
        <v>45000</v>
      </c>
      <c r="Q201" s="78">
        <f>INDEX('Population Data by Age'!$B$7:$H$10366,MATCH(CONCATENATE('Tabular Pop Data by Age'!$C201,'Tabular Pop Data by Age'!Q$7),'Population Data by Age'!$B$7:$B$10366,0),MATCH('Tabular Pop Data by Age'!$C$6,'Population Data by Age'!$B$6:$H$6,0))</f>
        <v>45000</v>
      </c>
      <c r="R201" s="78">
        <f>INDEX('Population Data by Age'!$B$7:$H$10366,MATCH(CONCATENATE('Tabular Pop Data by Age'!$C201,'Tabular Pop Data by Age'!R$7),'Population Data by Age'!$B$7:$B$10366,0),MATCH('Tabular Pop Data by Age'!$C$6,'Population Data by Age'!$B$6:$H$6,0))</f>
        <v>34000</v>
      </c>
      <c r="S201" s="78">
        <f>INDEX('Population Data by Age'!$B$7:$H$10366,MATCH(CONCATENATE('Tabular Pop Data by Age'!$C201,'Tabular Pop Data by Age'!S$7),'Population Data by Age'!$B$7:$B$10366,0),MATCH('Tabular Pop Data by Age'!$C$6,'Population Data by Age'!$B$6:$H$6,0))</f>
        <v>35000</v>
      </c>
      <c r="T201" s="78">
        <f>INDEX('Population Data by Age'!$B$7:$H$10366,MATCH(CONCATENATE('Tabular Pop Data by Age'!$C201,'Tabular Pop Data by Age'!T$7),'Population Data by Age'!$B$7:$B$10366,0),MATCH('Tabular Pop Data by Age'!$C$6,'Population Data by Age'!$B$6:$H$6,0))</f>
        <v>23000</v>
      </c>
      <c r="U201" s="78">
        <f>INDEX('Population Data by Age'!$B$7:$H$10366,MATCH(CONCATENATE('Tabular Pop Data by Age'!$C201,'Tabular Pop Data by Age'!U$7),'Population Data by Age'!$B$7:$B$10366,0),MATCH('Tabular Pop Data by Age'!$C$6,'Population Data by Age'!$B$6:$H$6,0))</f>
        <v>23000</v>
      </c>
      <c r="V201" s="78">
        <f>INDEX('Population Data by Age'!$B$7:$H$10366,MATCH(CONCATENATE('Tabular Pop Data by Age'!$C201,'Tabular Pop Data by Age'!V$7),'Population Data by Age'!$B$7:$B$10366,0),MATCH('Tabular Pop Data by Age'!$C$6,'Population Data by Age'!$B$6:$H$6,0))</f>
        <v>27000</v>
      </c>
      <c r="W201" s="78">
        <f>INDEX('Population Data by Age'!$B$7:$H$10366,MATCH(CONCATENATE('Tabular Pop Data by Age'!$C201,'Tabular Pop Data by Age'!W$7),'Population Data by Age'!$B$7:$B$10366,0),MATCH('Tabular Pop Data by Age'!$C$6,'Population Data by Age'!$B$6:$H$6,0))</f>
        <v>28000</v>
      </c>
      <c r="X201" s="78">
        <f>INDEX('Population Data by Age'!$B$7:$H$10366,MATCH(CONCATENATE('Tabular Pop Data by Age'!$C201,'Tabular Pop Data by Age'!X$7),'Population Data by Age'!$B$7:$B$10366,0),MATCH('Tabular Pop Data by Age'!$C$6,'Population Data by Age'!$B$6:$H$6,0))</f>
        <v>24000</v>
      </c>
      <c r="Y201" s="78">
        <f>INDEX('Population Data by Age'!$B$7:$H$10366,MATCH(CONCATENATE('Tabular Pop Data by Age'!$C201,'Tabular Pop Data by Age'!Y$7),'Population Data by Age'!$B$7:$B$10366,0),MATCH('Tabular Pop Data by Age'!$C$6,'Population Data by Age'!$B$6:$H$6,0))</f>
        <v>25000</v>
      </c>
      <c r="Z201" s="78">
        <f>INDEX('Population Data by Age'!$B$7:$H$10366,MATCH(CONCATENATE('Tabular Pop Data by Age'!$C201,'Tabular Pop Data by Age'!Z$7),'Population Data by Age'!$B$7:$B$10366,0),MATCH('Tabular Pop Data by Age'!$C$6,'Population Data by Age'!$B$6:$H$6,0))</f>
        <v>20000</v>
      </c>
      <c r="AA201" s="78">
        <f>INDEX('Population Data by Age'!$B$7:$H$10366,MATCH(CONCATENATE('Tabular Pop Data by Age'!$C201,'Tabular Pop Data by Age'!AA$7),'Population Data by Age'!$B$7:$B$10366,0),MATCH('Tabular Pop Data by Age'!$C$6,'Population Data by Age'!$B$6:$H$6,0))</f>
        <v>20000</v>
      </c>
      <c r="AB201" s="78">
        <f>INDEX('Population Data by Age'!$B$7:$H$10366,MATCH(CONCATENATE('Tabular Pop Data by Age'!$C201,'Tabular Pop Data by Age'!AB$7),'Population Data by Age'!$B$7:$B$10366,0),MATCH('Tabular Pop Data by Age'!$C$6,'Population Data by Age'!$B$6:$H$6,0))</f>
        <v>15000</v>
      </c>
      <c r="AC201" s="78">
        <f>INDEX('Population Data by Age'!$B$7:$H$10366,MATCH(CONCATENATE('Tabular Pop Data by Age'!$C201,'Tabular Pop Data by Age'!AC$7),'Population Data by Age'!$B$7:$B$10366,0),MATCH('Tabular Pop Data by Age'!$C$6,'Population Data by Age'!$B$6:$H$6,0))</f>
        <v>15000</v>
      </c>
      <c r="AD201" s="78">
        <f>INDEX('Population Data by Age'!$B$7:$H$10366,MATCH(CONCATENATE('Tabular Pop Data by Age'!$C201,'Tabular Pop Data by Age'!AD$7),'Population Data by Age'!$B$7:$B$10366,0),MATCH('Tabular Pop Data by Age'!$C$6,'Population Data by Age'!$B$6:$H$6,0))</f>
        <v>10000</v>
      </c>
      <c r="AE201" s="78">
        <f>INDEX('Population Data by Age'!$B$7:$H$10366,MATCH(CONCATENATE('Tabular Pop Data by Age'!$C201,'Tabular Pop Data by Age'!AE$7),'Population Data by Age'!$B$7:$B$10366,0),MATCH('Tabular Pop Data by Age'!$C$6,'Population Data by Age'!$B$6:$H$6,0))</f>
        <v>9800</v>
      </c>
      <c r="AF201" s="78">
        <f>INDEX('Population Data by Age'!$B$7:$H$10366,MATCH(CONCATENATE('Tabular Pop Data by Age'!$C201,'Tabular Pop Data by Age'!AF$7),'Population Data by Age'!$B$7:$B$10366,0),MATCH('Tabular Pop Data by Age'!$C$6,'Population Data by Age'!$B$6:$H$6,0))</f>
        <v>9500</v>
      </c>
      <c r="AG201" s="78">
        <f>INDEX('Population Data by Age'!$B$7:$H$10366,MATCH(CONCATENATE('Tabular Pop Data by Age'!$C201,'Tabular Pop Data by Age'!AG$7),'Population Data by Age'!$B$7:$B$10366,0),MATCH('Tabular Pop Data by Age'!$C$6,'Population Data by Age'!$B$6:$H$6,0))</f>
        <v>8500</v>
      </c>
      <c r="AH201" s="78">
        <f>INDEX('Population Data by Age'!$B$7:$H$10366,MATCH(CONCATENATE('Tabular Pop Data by Age'!$C201,'Tabular Pop Data by Age'!AH$7),'Population Data by Age'!$B$7:$B$10366,0),MATCH('Tabular Pop Data by Age'!$C$6,'Population Data by Age'!$B$6:$H$6,0))</f>
        <v>6100</v>
      </c>
      <c r="AI201" s="78">
        <f>INDEX('Population Data by Age'!$B$7:$H$10366,MATCH(CONCATENATE('Tabular Pop Data by Age'!$C201,'Tabular Pop Data by Age'!AI$7),'Population Data by Age'!$B$7:$B$10366,0),MATCH('Tabular Pop Data by Age'!$C$6,'Population Data by Age'!$B$6:$H$6,0))</f>
        <v>4900</v>
      </c>
      <c r="AJ201" s="78">
        <f>INDEX('Population Data by Age'!$B$7:$H$10366,MATCH(CONCATENATE('Tabular Pop Data by Age'!$C201,'Tabular Pop Data by Age'!AJ$7),'Population Data by Age'!$B$7:$B$10366,0),MATCH('Tabular Pop Data by Age'!$C$6,'Population Data by Age'!$B$6:$H$6,0))</f>
        <v>4500</v>
      </c>
      <c r="AK201" s="78">
        <f>INDEX('Population Data by Age'!$B$7:$H$10366,MATCH(CONCATENATE('Tabular Pop Data by Age'!$C201,'Tabular Pop Data by Age'!AK$7),'Population Data by Age'!$B$7:$B$10366,0),MATCH('Tabular Pop Data by Age'!$C$6,'Population Data by Age'!$B$6:$H$6,0))</f>
        <v>3100</v>
      </c>
      <c r="AL201" s="78">
        <f>INDEX('Population Data by Age'!$B$7:$H$10366,MATCH(CONCATENATE('Tabular Pop Data by Age'!$C201,'Tabular Pop Data by Age'!AL$7),'Population Data by Age'!$B$7:$B$10366,0),MATCH('Tabular Pop Data by Age'!$C$6,'Population Data by Age'!$B$6:$H$6,0))</f>
        <v>652000</v>
      </c>
      <c r="AM201" s="78">
        <f>INDEX('Population Data by Age'!$B$7:$H$10366,MATCH(CONCATENATE('Tabular Pop Data by Age'!$C201,'Tabular Pop Data by Age'!AM$7),'Population Data by Age'!$B$7:$B$10366,0),MATCH('Tabular Pop Data by Age'!$C$6,'Population Data by Age'!$B$6:$H$6,0))</f>
        <v>666000</v>
      </c>
      <c r="AN201" s="78">
        <f>INDEX('Population Data by Age'!$B$7:$H$10366,MATCH(CONCATENATE('Tabular Pop Data by Age'!$C201,'Tabular Pop Data by Age'!AN$7),'Population Data by Age'!$B$7:$B$10366,0),MATCH('Tabular Pop Data by Age'!$C$6,'Population Data by Age'!$B$6:$H$6,0))</f>
        <v>1318000</v>
      </c>
      <c r="AO201" s="78">
        <f>INDEX('Population Data by Age'!$B$7:$H$10366,MATCH(CONCATENATE('Tabular Pop Data by Age'!$C201,'Tabular Pop Data by Age'!AO$7),'Population Data by Age'!$B$7:$B$10366,0),MATCH('Tabular Pop Data by Age'!$C$6,'Population Data by Age'!$B$6:$H$6,0))</f>
        <v>0</v>
      </c>
      <c r="AP201" s="79">
        <f t="shared" si="51"/>
        <v>178000</v>
      </c>
      <c r="AQ201" s="79">
        <f t="shared" si="52"/>
        <v>153000</v>
      </c>
      <c r="AR201" s="79">
        <f t="shared" si="53"/>
        <v>154000</v>
      </c>
      <c r="AS201" s="79">
        <f t="shared" si="54"/>
        <v>153000</v>
      </c>
      <c r="AT201" s="79">
        <f t="shared" si="55"/>
        <v>130000</v>
      </c>
      <c r="AU201" s="79">
        <f t="shared" si="56"/>
        <v>115000</v>
      </c>
      <c r="AV201" s="79">
        <f t="shared" si="57"/>
        <v>90000</v>
      </c>
      <c r="AW201" s="79">
        <f t="shared" si="58"/>
        <v>69000</v>
      </c>
      <c r="AX201" s="79">
        <f t="shared" si="59"/>
        <v>46000</v>
      </c>
      <c r="AY201" s="79">
        <f t="shared" si="60"/>
        <v>55000</v>
      </c>
      <c r="AZ201" s="79">
        <f t="shared" si="61"/>
        <v>49000</v>
      </c>
      <c r="BA201" s="79">
        <f t="shared" si="62"/>
        <v>40000</v>
      </c>
      <c r="BB201" s="79">
        <f t="shared" si="63"/>
        <v>30000</v>
      </c>
      <c r="BC201" s="79">
        <f t="shared" si="64"/>
        <v>19800</v>
      </c>
      <c r="BD201" s="79">
        <f t="shared" si="65"/>
        <v>18000</v>
      </c>
      <c r="BE201" s="79">
        <f t="shared" si="66"/>
        <v>11000</v>
      </c>
      <c r="BF201" s="79">
        <f t="shared" si="67"/>
        <v>7600</v>
      </c>
    </row>
    <row r="202" spans="1:58" x14ac:dyDescent="0.25">
      <c r="A202" s="138" t="s">
        <v>1195</v>
      </c>
      <c r="B202" t="s">
        <v>215</v>
      </c>
      <c r="C202" t="s">
        <v>137</v>
      </c>
      <c r="D202" s="78">
        <f>INDEX('Population Data by Age'!$B$7:$H$10366,MATCH(CONCATENATE('Tabular Pop Data by Age'!$C202,'Tabular Pop Data by Age'!D$7),'Population Data by Age'!$B$7:$B$10366,0),MATCH('Tabular Pop Data by Age'!$C$6,'Population Data by Age'!$B$6:$H$6,0))</f>
        <v>608000</v>
      </c>
      <c r="E202" s="78">
        <f>INDEX('Population Data by Age'!$B$7:$H$10366,MATCH(CONCATENATE('Tabular Pop Data by Age'!$C202,'Tabular Pop Data by Age'!E$7),'Population Data by Age'!$B$7:$B$10366,0),MATCH('Tabular Pop Data by Age'!$C$6,'Population Data by Age'!$B$6:$H$6,0))</f>
        <v>612000</v>
      </c>
      <c r="F202" s="78">
        <f>INDEX('Population Data by Age'!$B$7:$H$10366,MATCH(CONCATENATE('Tabular Pop Data by Age'!$C202,'Tabular Pop Data by Age'!F$7),'Population Data by Age'!$B$7:$B$10366,0),MATCH('Tabular Pop Data by Age'!$C$6,'Population Data by Age'!$B$6:$H$6,0))</f>
        <v>558000</v>
      </c>
      <c r="G202" s="78">
        <f>INDEX('Population Data by Age'!$B$7:$H$10366,MATCH(CONCATENATE('Tabular Pop Data by Age'!$C202,'Tabular Pop Data by Age'!G$7),'Population Data by Age'!$B$7:$B$10366,0),MATCH('Tabular Pop Data by Age'!$C$6,'Population Data by Age'!$B$6:$H$6,0))</f>
        <v>562000</v>
      </c>
      <c r="H202" s="78">
        <f>INDEX('Population Data by Age'!$B$7:$H$10366,MATCH(CONCATENATE('Tabular Pop Data by Age'!$C202,'Tabular Pop Data by Age'!H$7),'Population Data by Age'!$B$7:$B$10366,0),MATCH('Tabular Pop Data by Age'!$C$6,'Population Data by Age'!$B$6:$H$6,0))</f>
        <v>510000</v>
      </c>
      <c r="I202" s="78">
        <f>INDEX('Population Data by Age'!$B$7:$H$10366,MATCH(CONCATENATE('Tabular Pop Data by Age'!$C202,'Tabular Pop Data by Age'!I$7),'Population Data by Age'!$B$7:$B$10366,0),MATCH('Tabular Pop Data by Age'!$C$6,'Population Data by Age'!$B$6:$H$6,0))</f>
        <v>514000</v>
      </c>
      <c r="J202" s="78">
        <f>INDEX('Population Data by Age'!$B$7:$H$10366,MATCH(CONCATENATE('Tabular Pop Data by Age'!$C202,'Tabular Pop Data by Age'!J$7),'Population Data by Age'!$B$7:$B$10366,0),MATCH('Tabular Pop Data by Age'!$C$6,'Population Data by Age'!$B$6:$H$6,0))</f>
        <v>444000</v>
      </c>
      <c r="K202" s="78">
        <f>INDEX('Population Data by Age'!$B$7:$H$10366,MATCH(CONCATENATE('Tabular Pop Data by Age'!$C202,'Tabular Pop Data by Age'!K$7),'Population Data by Age'!$B$7:$B$10366,0),MATCH('Tabular Pop Data by Age'!$C$6,'Population Data by Age'!$B$6:$H$6,0))</f>
        <v>447000</v>
      </c>
      <c r="L202" s="78">
        <f>INDEX('Population Data by Age'!$B$7:$H$10366,MATCH(CONCATENATE('Tabular Pop Data by Age'!$C202,'Tabular Pop Data by Age'!L$7),'Population Data by Age'!$B$7:$B$10366,0),MATCH('Tabular Pop Data by Age'!$C$6,'Population Data by Age'!$B$6:$H$6,0))</f>
        <v>371000</v>
      </c>
      <c r="M202" s="78">
        <f>INDEX('Population Data by Age'!$B$7:$H$10366,MATCH(CONCATENATE('Tabular Pop Data by Age'!$C202,'Tabular Pop Data by Age'!M$7),'Population Data by Age'!$B$7:$B$10366,0),MATCH('Tabular Pop Data by Age'!$C$6,'Population Data by Age'!$B$6:$H$6,0))</f>
        <v>373000</v>
      </c>
      <c r="N202" s="78">
        <f>INDEX('Population Data by Age'!$B$7:$H$10366,MATCH(CONCATENATE('Tabular Pop Data by Age'!$C202,'Tabular Pop Data by Age'!N$7),'Population Data by Age'!$B$7:$B$10366,0),MATCH('Tabular Pop Data by Age'!$C$6,'Population Data by Age'!$B$6:$H$6,0))</f>
        <v>315000</v>
      </c>
      <c r="O202" s="78">
        <f>INDEX('Population Data by Age'!$B$7:$H$10366,MATCH(CONCATENATE('Tabular Pop Data by Age'!$C202,'Tabular Pop Data by Age'!O$7),'Population Data by Age'!$B$7:$B$10366,0),MATCH('Tabular Pop Data by Age'!$C$6,'Population Data by Age'!$B$6:$H$6,0))</f>
        <v>316000</v>
      </c>
      <c r="P202" s="78">
        <f>INDEX('Population Data by Age'!$B$7:$H$10366,MATCH(CONCATENATE('Tabular Pop Data by Age'!$C202,'Tabular Pop Data by Age'!P$7),'Population Data by Age'!$B$7:$B$10366,0),MATCH('Tabular Pop Data by Age'!$C$6,'Population Data by Age'!$B$6:$H$6,0))</f>
        <v>284000</v>
      </c>
      <c r="Q202" s="78">
        <f>INDEX('Population Data by Age'!$B$7:$H$10366,MATCH(CONCATENATE('Tabular Pop Data by Age'!$C202,'Tabular Pop Data by Age'!Q$7),'Population Data by Age'!$B$7:$B$10366,0),MATCH('Tabular Pop Data by Age'!$C$6,'Population Data by Age'!$B$6:$H$6,0))</f>
        <v>284000</v>
      </c>
      <c r="R202" s="78">
        <f>INDEX('Population Data by Age'!$B$7:$H$10366,MATCH(CONCATENATE('Tabular Pop Data by Age'!$C202,'Tabular Pop Data by Age'!R$7),'Population Data by Age'!$B$7:$B$10366,0),MATCH('Tabular Pop Data by Age'!$C$6,'Population Data by Age'!$B$6:$H$6,0))</f>
        <v>249000</v>
      </c>
      <c r="S202" s="78">
        <f>INDEX('Population Data by Age'!$B$7:$H$10366,MATCH(CONCATENATE('Tabular Pop Data by Age'!$C202,'Tabular Pop Data by Age'!S$7),'Population Data by Age'!$B$7:$B$10366,0),MATCH('Tabular Pop Data by Age'!$C$6,'Population Data by Age'!$B$6:$H$6,0))</f>
        <v>248000</v>
      </c>
      <c r="T202" s="78">
        <f>INDEX('Population Data by Age'!$B$7:$H$10366,MATCH(CONCATENATE('Tabular Pop Data by Age'!$C202,'Tabular Pop Data by Age'!T$7),'Population Data by Age'!$B$7:$B$10366,0),MATCH('Tabular Pop Data by Age'!$C$6,'Population Data by Age'!$B$6:$H$6,0))</f>
        <v>209000</v>
      </c>
      <c r="U202" s="78">
        <f>INDEX('Population Data by Age'!$B$7:$H$10366,MATCH(CONCATENATE('Tabular Pop Data by Age'!$C202,'Tabular Pop Data by Age'!U$7),'Population Data by Age'!$B$7:$B$10366,0),MATCH('Tabular Pop Data by Age'!$C$6,'Population Data by Age'!$B$6:$H$6,0))</f>
        <v>205000</v>
      </c>
      <c r="V202" s="78">
        <f>INDEX('Population Data by Age'!$B$7:$H$10366,MATCH(CONCATENATE('Tabular Pop Data by Age'!$C202,'Tabular Pop Data by Age'!V$7),'Population Data by Age'!$B$7:$B$10366,0),MATCH('Tabular Pop Data by Age'!$C$6,'Population Data by Age'!$B$6:$H$6,0))</f>
        <v>168000</v>
      </c>
      <c r="W202" s="78">
        <f>INDEX('Population Data by Age'!$B$7:$H$10366,MATCH(CONCATENATE('Tabular Pop Data by Age'!$C202,'Tabular Pop Data by Age'!W$7),'Population Data by Age'!$B$7:$B$10366,0),MATCH('Tabular Pop Data by Age'!$C$6,'Population Data by Age'!$B$6:$H$6,0))</f>
        <v>162000</v>
      </c>
      <c r="X202" s="78">
        <f>INDEX('Population Data by Age'!$B$7:$H$10366,MATCH(CONCATENATE('Tabular Pop Data by Age'!$C202,'Tabular Pop Data by Age'!X$7),'Population Data by Age'!$B$7:$B$10366,0),MATCH('Tabular Pop Data by Age'!$C$6,'Population Data by Age'!$B$6:$H$6,0))</f>
        <v>131000</v>
      </c>
      <c r="Y202" s="78">
        <f>INDEX('Population Data by Age'!$B$7:$H$10366,MATCH(CONCATENATE('Tabular Pop Data by Age'!$C202,'Tabular Pop Data by Age'!Y$7),'Population Data by Age'!$B$7:$B$10366,0),MATCH('Tabular Pop Data by Age'!$C$6,'Population Data by Age'!$B$6:$H$6,0))</f>
        <v>124000</v>
      </c>
      <c r="Z202" s="78">
        <f>INDEX('Population Data by Age'!$B$7:$H$10366,MATCH(CONCATENATE('Tabular Pop Data by Age'!$C202,'Tabular Pop Data by Age'!Z$7),'Population Data by Age'!$B$7:$B$10366,0),MATCH('Tabular Pop Data by Age'!$C$6,'Population Data by Age'!$B$6:$H$6,0))</f>
        <v>102000</v>
      </c>
      <c r="AA202" s="78">
        <f>INDEX('Population Data by Age'!$B$7:$H$10366,MATCH(CONCATENATE('Tabular Pop Data by Age'!$C202,'Tabular Pop Data by Age'!AA$7),'Population Data by Age'!$B$7:$B$10366,0),MATCH('Tabular Pop Data by Age'!$C$6,'Population Data by Age'!$B$6:$H$6,0))</f>
        <v>94000</v>
      </c>
      <c r="AB202" s="78">
        <f>INDEX('Population Data by Age'!$B$7:$H$10366,MATCH(CONCATENATE('Tabular Pop Data by Age'!$C202,'Tabular Pop Data by Age'!AB$7),'Population Data by Age'!$B$7:$B$10366,0),MATCH('Tabular Pop Data by Age'!$C$6,'Population Data by Age'!$B$6:$H$6,0))</f>
        <v>78000</v>
      </c>
      <c r="AC202" s="78">
        <f>INDEX('Population Data by Age'!$B$7:$H$10366,MATCH(CONCATENATE('Tabular Pop Data by Age'!$C202,'Tabular Pop Data by Age'!AC$7),'Population Data by Age'!$B$7:$B$10366,0),MATCH('Tabular Pop Data by Age'!$C$6,'Population Data by Age'!$B$6:$H$6,0))</f>
        <v>70000</v>
      </c>
      <c r="AD202" s="78">
        <f>INDEX('Population Data by Age'!$B$7:$H$10366,MATCH(CONCATENATE('Tabular Pop Data by Age'!$C202,'Tabular Pop Data by Age'!AD$7),'Population Data by Age'!$B$7:$B$10366,0),MATCH('Tabular Pop Data by Age'!$C$6,'Population Data by Age'!$B$6:$H$6,0))</f>
        <v>58000</v>
      </c>
      <c r="AE202" s="78">
        <f>INDEX('Population Data by Age'!$B$7:$H$10366,MATCH(CONCATENATE('Tabular Pop Data by Age'!$C202,'Tabular Pop Data by Age'!AE$7),'Population Data by Age'!$B$7:$B$10366,0),MATCH('Tabular Pop Data by Age'!$C$6,'Population Data by Age'!$B$6:$H$6,0))</f>
        <v>50000</v>
      </c>
      <c r="AF202" s="78">
        <f>INDEX('Population Data by Age'!$B$7:$H$10366,MATCH(CONCATENATE('Tabular Pop Data by Age'!$C202,'Tabular Pop Data by Age'!AF$7),'Population Data by Age'!$B$7:$B$10366,0),MATCH('Tabular Pop Data by Age'!$C$6,'Population Data by Age'!$B$6:$H$6,0))</f>
        <v>39000</v>
      </c>
      <c r="AG202" s="78">
        <f>INDEX('Population Data by Age'!$B$7:$H$10366,MATCH(CONCATENATE('Tabular Pop Data by Age'!$C202,'Tabular Pop Data by Age'!AG$7),'Population Data by Age'!$B$7:$B$10366,0),MATCH('Tabular Pop Data by Age'!$C$6,'Population Data by Age'!$B$6:$H$6,0))</f>
        <v>33000</v>
      </c>
      <c r="AH202" s="78">
        <f>INDEX('Population Data by Age'!$B$7:$H$10366,MATCH(CONCATENATE('Tabular Pop Data by Age'!$C202,'Tabular Pop Data by Age'!AH$7),'Population Data by Age'!$B$7:$B$10366,0),MATCH('Tabular Pop Data by Age'!$C$6,'Population Data by Age'!$B$6:$H$6,0))</f>
        <v>22000</v>
      </c>
      <c r="AI202" s="78">
        <f>INDEX('Population Data by Age'!$B$7:$H$10366,MATCH(CONCATENATE('Tabular Pop Data by Age'!$C202,'Tabular Pop Data by Age'!AI$7),'Population Data by Age'!$B$7:$B$10366,0),MATCH('Tabular Pop Data by Age'!$C$6,'Population Data by Age'!$B$6:$H$6,0))</f>
        <v>18000</v>
      </c>
      <c r="AJ202" s="78">
        <f>INDEX('Population Data by Age'!$B$7:$H$10366,MATCH(CONCATENATE('Tabular Pop Data by Age'!$C202,'Tabular Pop Data by Age'!AJ$7),'Population Data by Age'!$B$7:$B$10366,0),MATCH('Tabular Pop Data by Age'!$C$6,'Population Data by Age'!$B$6:$H$6,0))</f>
        <v>12000</v>
      </c>
      <c r="AK202" s="78">
        <f>INDEX('Population Data by Age'!$B$7:$H$10366,MATCH(CONCATENATE('Tabular Pop Data by Age'!$C202,'Tabular Pop Data by Age'!AK$7),'Population Data by Age'!$B$7:$B$10366,0),MATCH('Tabular Pop Data by Age'!$C$6,'Population Data by Age'!$B$6:$H$6,0))</f>
        <v>9100</v>
      </c>
      <c r="AL202" s="78">
        <f>INDEX('Population Data by Age'!$B$7:$H$10366,MATCH(CONCATENATE('Tabular Pop Data by Age'!$C202,'Tabular Pop Data by Age'!AL$7),'Population Data by Age'!$B$7:$B$10366,0),MATCH('Tabular Pop Data by Age'!$C$6,'Population Data by Age'!$B$6:$H$6,0))</f>
        <v>4159000</v>
      </c>
      <c r="AM202" s="78">
        <f>INDEX('Population Data by Age'!$B$7:$H$10366,MATCH(CONCATENATE('Tabular Pop Data by Age'!$C202,'Tabular Pop Data by Age'!AM$7),'Population Data by Age'!$B$7:$B$10366,0),MATCH('Tabular Pop Data by Age'!$C$6,'Population Data by Age'!$B$6:$H$6,0))</f>
        <v>4119000</v>
      </c>
      <c r="AN202" s="78">
        <f>INDEX('Population Data by Age'!$B$7:$H$10366,MATCH(CONCATENATE('Tabular Pop Data by Age'!$C202,'Tabular Pop Data by Age'!AN$7),'Population Data by Age'!$B$7:$B$10366,0),MATCH('Tabular Pop Data by Age'!$C$6,'Population Data by Age'!$B$6:$H$6,0))</f>
        <v>8279000</v>
      </c>
      <c r="AO202" s="78">
        <f>INDEX('Population Data by Age'!$B$7:$H$10366,MATCH(CONCATENATE('Tabular Pop Data by Age'!$C202,'Tabular Pop Data by Age'!AO$7),'Population Data by Age'!$B$7:$B$10366,0),MATCH('Tabular Pop Data by Age'!$C$6,'Population Data by Age'!$B$6:$H$6,0))</f>
        <v>0</v>
      </c>
      <c r="AP202" s="79">
        <f t="shared" si="51"/>
        <v>1220000</v>
      </c>
      <c r="AQ202" s="79">
        <f t="shared" si="52"/>
        <v>1120000</v>
      </c>
      <c r="AR202" s="79">
        <f t="shared" si="53"/>
        <v>1024000</v>
      </c>
      <c r="AS202" s="79">
        <f t="shared" si="54"/>
        <v>891000</v>
      </c>
      <c r="AT202" s="79">
        <f t="shared" si="55"/>
        <v>744000</v>
      </c>
      <c r="AU202" s="79">
        <f t="shared" si="56"/>
        <v>631000</v>
      </c>
      <c r="AV202" s="79">
        <f t="shared" si="57"/>
        <v>568000</v>
      </c>
      <c r="AW202" s="79">
        <f t="shared" si="58"/>
        <v>497000</v>
      </c>
      <c r="AX202" s="79">
        <f t="shared" si="59"/>
        <v>414000</v>
      </c>
      <c r="AY202" s="79">
        <f t="shared" si="60"/>
        <v>330000</v>
      </c>
      <c r="AZ202" s="79">
        <f t="shared" si="61"/>
        <v>255000</v>
      </c>
      <c r="BA202" s="79">
        <f t="shared" si="62"/>
        <v>196000</v>
      </c>
      <c r="BB202" s="79">
        <f t="shared" si="63"/>
        <v>148000</v>
      </c>
      <c r="BC202" s="79">
        <f t="shared" si="64"/>
        <v>108000</v>
      </c>
      <c r="BD202" s="79">
        <f t="shared" si="65"/>
        <v>72000</v>
      </c>
      <c r="BE202" s="79">
        <f t="shared" si="66"/>
        <v>40000</v>
      </c>
      <c r="BF202" s="79">
        <f t="shared" si="67"/>
        <v>21100</v>
      </c>
    </row>
    <row r="203" spans="1:58" x14ac:dyDescent="0.25">
      <c r="A203" s="138" t="s">
        <v>1195</v>
      </c>
      <c r="B203" t="s">
        <v>256</v>
      </c>
      <c r="C203" t="s">
        <v>141</v>
      </c>
      <c r="D203" s="78">
        <f>INDEX('Population Data by Age'!$B$7:$H$10366,MATCH(CONCATENATE('Tabular Pop Data by Age'!$C203,'Tabular Pop Data by Age'!D$7),'Population Data by Age'!$B$7:$B$10366,0),MATCH('Tabular Pop Data by Age'!$C$6,'Population Data by Age'!$B$6:$H$6,0))</f>
        <v>5900</v>
      </c>
      <c r="E203" s="78">
        <f>INDEX('Population Data by Age'!$B$7:$H$10366,MATCH(CONCATENATE('Tabular Pop Data by Age'!$C203,'Tabular Pop Data by Age'!E$7),'Population Data by Age'!$B$7:$B$10366,0),MATCH('Tabular Pop Data by Age'!$C$6,'Population Data by Age'!$B$6:$H$6,0))</f>
        <v>6300</v>
      </c>
      <c r="F203" s="78">
        <f>INDEX('Population Data by Age'!$B$7:$H$10366,MATCH(CONCATENATE('Tabular Pop Data by Age'!$C203,'Tabular Pop Data by Age'!F$7),'Population Data by Age'!$B$7:$B$10366,0),MATCH('Tabular Pop Data by Age'!$C$6,'Population Data by Age'!$B$6:$H$6,0))</f>
        <v>6000</v>
      </c>
      <c r="G203" s="78">
        <f>INDEX('Population Data by Age'!$B$7:$H$10366,MATCH(CONCATENATE('Tabular Pop Data by Age'!$C203,'Tabular Pop Data by Age'!G$7),'Population Data by Age'!$B$7:$B$10366,0),MATCH('Tabular Pop Data by Age'!$C$6,'Population Data by Age'!$B$6:$H$6,0))</f>
        <v>6400</v>
      </c>
      <c r="H203" s="78">
        <f>INDEX('Population Data by Age'!$B$7:$H$10366,MATCH(CONCATENATE('Tabular Pop Data by Age'!$C203,'Tabular Pop Data by Age'!H$7),'Population Data by Age'!$B$7:$B$10366,0),MATCH('Tabular Pop Data by Age'!$C$6,'Population Data by Age'!$B$6:$H$6,0))</f>
        <v>5700</v>
      </c>
      <c r="I203" s="78">
        <f>INDEX('Population Data by Age'!$B$7:$H$10366,MATCH(CONCATENATE('Tabular Pop Data by Age'!$C203,'Tabular Pop Data by Age'!I$7),'Population Data by Age'!$B$7:$B$10366,0),MATCH('Tabular Pop Data by Age'!$C$6,'Population Data by Age'!$B$6:$H$6,0))</f>
        <v>6400</v>
      </c>
      <c r="J203" s="78">
        <f>INDEX('Population Data by Age'!$B$7:$H$10366,MATCH(CONCATENATE('Tabular Pop Data by Age'!$C203,'Tabular Pop Data by Age'!J$7),'Population Data by Age'!$B$7:$B$10366,0),MATCH('Tabular Pop Data by Age'!$C$6,'Population Data by Age'!$B$6:$H$6,0))</f>
        <v>5500</v>
      </c>
      <c r="K203" s="78">
        <f>INDEX('Population Data by Age'!$B$7:$H$10366,MATCH(CONCATENATE('Tabular Pop Data by Age'!$C203,'Tabular Pop Data by Age'!K$7),'Population Data by Age'!$B$7:$B$10366,0),MATCH('Tabular Pop Data by Age'!$C$6,'Population Data by Age'!$B$6:$H$6,0))</f>
        <v>5900</v>
      </c>
      <c r="L203" s="78">
        <f>INDEX('Population Data by Age'!$B$7:$H$10366,MATCH(CONCATENATE('Tabular Pop Data by Age'!$C203,'Tabular Pop Data by Age'!L$7),'Population Data by Age'!$B$7:$B$10366,0),MATCH('Tabular Pop Data by Age'!$C$6,'Population Data by Age'!$B$6:$H$6,0))</f>
        <v>4700</v>
      </c>
      <c r="M203" s="78">
        <f>INDEX('Population Data by Age'!$B$7:$H$10366,MATCH(CONCATENATE('Tabular Pop Data by Age'!$C203,'Tabular Pop Data by Age'!M$7),'Population Data by Age'!$B$7:$B$10366,0),MATCH('Tabular Pop Data by Age'!$C$6,'Population Data by Age'!$B$6:$H$6,0))</f>
        <v>5000</v>
      </c>
      <c r="N203" s="78">
        <f>INDEX('Population Data by Age'!$B$7:$H$10366,MATCH(CONCATENATE('Tabular Pop Data by Age'!$C203,'Tabular Pop Data by Age'!N$7),'Population Data by Age'!$B$7:$B$10366,0),MATCH('Tabular Pop Data by Age'!$C$6,'Population Data by Age'!$B$6:$H$6,0))</f>
        <v>3700</v>
      </c>
      <c r="O203" s="78">
        <f>INDEX('Population Data by Age'!$B$7:$H$10366,MATCH(CONCATENATE('Tabular Pop Data by Age'!$C203,'Tabular Pop Data by Age'!O$7),'Population Data by Age'!$B$7:$B$10366,0),MATCH('Tabular Pop Data by Age'!$C$6,'Population Data by Age'!$B$6:$H$6,0))</f>
        <v>3700</v>
      </c>
      <c r="P203" s="78">
        <f>INDEX('Population Data by Age'!$B$7:$H$10366,MATCH(CONCATENATE('Tabular Pop Data by Age'!$C203,'Tabular Pop Data by Age'!P$7),'Population Data by Age'!$B$7:$B$10366,0),MATCH('Tabular Pop Data by Age'!$C$6,'Population Data by Age'!$B$6:$H$6,0))</f>
        <v>3200</v>
      </c>
      <c r="Q203" s="78">
        <f>INDEX('Population Data by Age'!$B$7:$H$10366,MATCH(CONCATENATE('Tabular Pop Data by Age'!$C203,'Tabular Pop Data by Age'!Q$7),'Population Data by Age'!$B$7:$B$10366,0),MATCH('Tabular Pop Data by Age'!$C$6,'Population Data by Age'!$B$6:$H$6,0))</f>
        <v>2900</v>
      </c>
      <c r="R203" s="78">
        <f>INDEX('Population Data by Age'!$B$7:$H$10366,MATCH(CONCATENATE('Tabular Pop Data by Age'!$C203,'Tabular Pop Data by Age'!R$7),'Population Data by Age'!$B$7:$B$10366,0),MATCH('Tabular Pop Data by Age'!$C$6,'Population Data by Age'!$B$6:$H$6,0))</f>
        <v>3300</v>
      </c>
      <c r="S203" s="78">
        <f>INDEX('Population Data by Age'!$B$7:$H$10366,MATCH(CONCATENATE('Tabular Pop Data by Age'!$C203,'Tabular Pop Data by Age'!S$7),'Population Data by Age'!$B$7:$B$10366,0),MATCH('Tabular Pop Data by Age'!$C$6,'Population Data by Age'!$B$6:$H$6,0))</f>
        <v>2800</v>
      </c>
      <c r="T203" s="78">
        <f>INDEX('Population Data by Age'!$B$7:$H$10366,MATCH(CONCATENATE('Tabular Pop Data by Age'!$C203,'Tabular Pop Data by Age'!T$7),'Population Data by Age'!$B$7:$B$10366,0),MATCH('Tabular Pop Data by Age'!$C$6,'Population Data by Age'!$B$6:$H$6,0))</f>
        <v>2800</v>
      </c>
      <c r="U203" s="78">
        <f>INDEX('Population Data by Age'!$B$7:$H$10366,MATCH(CONCATENATE('Tabular Pop Data by Age'!$C203,'Tabular Pop Data by Age'!U$7),'Population Data by Age'!$B$7:$B$10366,0),MATCH('Tabular Pop Data by Age'!$C$6,'Population Data by Age'!$B$6:$H$6,0))</f>
        <v>2500</v>
      </c>
      <c r="V203" s="78">
        <f>INDEX('Population Data by Age'!$B$7:$H$10366,MATCH(CONCATENATE('Tabular Pop Data by Age'!$C203,'Tabular Pop Data by Age'!V$7),'Population Data by Age'!$B$7:$B$10366,0),MATCH('Tabular Pop Data by Age'!$C$6,'Population Data by Age'!$B$6:$H$6,0))</f>
        <v>2600</v>
      </c>
      <c r="W203" s="78">
        <f>INDEX('Population Data by Age'!$B$7:$H$10366,MATCH(CONCATENATE('Tabular Pop Data by Age'!$C203,'Tabular Pop Data by Age'!W$7),'Population Data by Age'!$B$7:$B$10366,0),MATCH('Tabular Pop Data by Age'!$C$6,'Population Data by Age'!$B$6:$H$6,0))</f>
        <v>2400</v>
      </c>
      <c r="X203" s="78">
        <f>INDEX('Population Data by Age'!$B$7:$H$10366,MATCH(CONCATENATE('Tabular Pop Data by Age'!$C203,'Tabular Pop Data by Age'!X$7),'Population Data by Age'!$B$7:$B$10366,0),MATCH('Tabular Pop Data by Age'!$C$6,'Population Data by Age'!$B$6:$H$6,0))</f>
        <v>2400</v>
      </c>
      <c r="Y203" s="78">
        <f>INDEX('Population Data by Age'!$B$7:$H$10366,MATCH(CONCATENATE('Tabular Pop Data by Age'!$C203,'Tabular Pop Data by Age'!Y$7),'Population Data by Age'!$B$7:$B$10366,0),MATCH('Tabular Pop Data by Age'!$C$6,'Population Data by Age'!$B$6:$H$6,0))</f>
        <v>2400</v>
      </c>
      <c r="Z203" s="78">
        <f>INDEX('Population Data by Age'!$B$7:$H$10366,MATCH(CONCATENATE('Tabular Pop Data by Age'!$C203,'Tabular Pop Data by Age'!Z$7),'Population Data by Age'!$B$7:$B$10366,0),MATCH('Tabular Pop Data by Age'!$C$6,'Population Data by Age'!$B$6:$H$6,0))</f>
        <v>1900</v>
      </c>
      <c r="AA203" s="78">
        <f>INDEX('Population Data by Age'!$B$7:$H$10366,MATCH(CONCATENATE('Tabular Pop Data by Age'!$C203,'Tabular Pop Data by Age'!AA$7),'Population Data by Age'!$B$7:$B$10366,0),MATCH('Tabular Pop Data by Age'!$C$6,'Population Data by Age'!$B$6:$H$6,0))</f>
        <v>1900</v>
      </c>
      <c r="AB203" s="78">
        <f>INDEX('Population Data by Age'!$B$7:$H$10366,MATCH(CONCATENATE('Tabular Pop Data by Age'!$C203,'Tabular Pop Data by Age'!AB$7),'Population Data by Age'!$B$7:$B$10366,0),MATCH('Tabular Pop Data by Age'!$C$6,'Population Data by Age'!$B$6:$H$6,0))</f>
        <v>1600</v>
      </c>
      <c r="AC203" s="78">
        <f>INDEX('Population Data by Age'!$B$7:$H$10366,MATCH(CONCATENATE('Tabular Pop Data by Age'!$C203,'Tabular Pop Data by Age'!AC$7),'Population Data by Age'!$B$7:$B$10366,0),MATCH('Tabular Pop Data by Age'!$C$6,'Population Data by Age'!$B$6:$H$6,0))</f>
        <v>1400</v>
      </c>
      <c r="AD203" s="78">
        <f>INDEX('Population Data by Age'!$B$7:$H$10366,MATCH(CONCATENATE('Tabular Pop Data by Age'!$C203,'Tabular Pop Data by Age'!AD$7),'Population Data by Age'!$B$7:$B$10366,0),MATCH('Tabular Pop Data by Age'!$C$6,'Population Data by Age'!$B$6:$H$6,0))</f>
        <v>1200</v>
      </c>
      <c r="AE203" s="78">
        <f>INDEX('Population Data by Age'!$B$7:$H$10366,MATCH(CONCATENATE('Tabular Pop Data by Age'!$C203,'Tabular Pop Data by Age'!AE$7),'Population Data by Age'!$B$7:$B$10366,0),MATCH('Tabular Pop Data by Age'!$C$6,'Population Data by Age'!$B$6:$H$6,0))</f>
        <v>1100</v>
      </c>
      <c r="AF203" s="78">
        <f>INDEX('Population Data by Age'!$B$7:$H$10366,MATCH(CONCATENATE('Tabular Pop Data by Age'!$C203,'Tabular Pop Data by Age'!AF$7),'Population Data by Age'!$B$7:$B$10366,0),MATCH('Tabular Pop Data by Age'!$C$6,'Population Data by Age'!$B$6:$H$6,0))</f>
        <v>900</v>
      </c>
      <c r="AG203" s="78">
        <f>INDEX('Population Data by Age'!$B$7:$H$10366,MATCH(CONCATENATE('Tabular Pop Data by Age'!$C203,'Tabular Pop Data by Age'!AG$7),'Population Data by Age'!$B$7:$B$10366,0),MATCH('Tabular Pop Data by Age'!$C$6,'Population Data by Age'!$B$6:$H$6,0))</f>
        <v>800</v>
      </c>
      <c r="AH203" s="78">
        <f>INDEX('Population Data by Age'!$B$7:$H$10366,MATCH(CONCATENATE('Tabular Pop Data by Age'!$C203,'Tabular Pop Data by Age'!AH$7),'Population Data by Age'!$B$7:$B$10366,0),MATCH('Tabular Pop Data by Age'!$C$6,'Population Data by Age'!$B$6:$H$6,0))</f>
        <v>600</v>
      </c>
      <c r="AI203" s="78">
        <f>INDEX('Population Data by Age'!$B$7:$H$10366,MATCH(CONCATENATE('Tabular Pop Data by Age'!$C203,'Tabular Pop Data by Age'!AI$7),'Population Data by Age'!$B$7:$B$10366,0),MATCH('Tabular Pop Data by Age'!$C$6,'Population Data by Age'!$B$6:$H$6,0))</f>
        <v>500</v>
      </c>
      <c r="AJ203" s="78">
        <f>INDEX('Population Data by Age'!$B$7:$H$10366,MATCH(CONCATENATE('Tabular Pop Data by Age'!$C203,'Tabular Pop Data by Age'!AJ$7),'Population Data by Age'!$B$7:$B$10366,0),MATCH('Tabular Pop Data by Age'!$C$6,'Population Data by Age'!$B$6:$H$6,0))</f>
        <v>600</v>
      </c>
      <c r="AK203" s="78">
        <f>INDEX('Population Data by Age'!$B$7:$H$10366,MATCH(CONCATENATE('Tabular Pop Data by Age'!$C203,'Tabular Pop Data by Age'!AK$7),'Population Data by Age'!$B$7:$B$10366,0),MATCH('Tabular Pop Data by Age'!$C$6,'Population Data by Age'!$B$6:$H$6,0))</f>
        <v>500</v>
      </c>
      <c r="AL203" s="78">
        <f>INDEX('Population Data by Age'!$B$7:$H$10366,MATCH(CONCATENATE('Tabular Pop Data by Age'!$C203,'Tabular Pop Data by Age'!AL$7),'Population Data by Age'!$B$7:$B$10366,0),MATCH('Tabular Pop Data by Age'!$C$6,'Population Data by Age'!$B$6:$H$6,0))</f>
        <v>53000</v>
      </c>
      <c r="AM203" s="78">
        <f>INDEX('Population Data by Age'!$B$7:$H$10366,MATCH(CONCATENATE('Tabular Pop Data by Age'!$C203,'Tabular Pop Data by Age'!AM$7),'Population Data by Age'!$B$7:$B$10366,0),MATCH('Tabular Pop Data by Age'!$C$6,'Population Data by Age'!$B$6:$H$6,0))</f>
        <v>53000</v>
      </c>
      <c r="AN203" s="78">
        <f>INDEX('Population Data by Age'!$B$7:$H$10366,MATCH(CONCATENATE('Tabular Pop Data by Age'!$C203,'Tabular Pop Data by Age'!AN$7),'Population Data by Age'!$B$7:$B$10366,0),MATCH('Tabular Pop Data by Age'!$C$6,'Population Data by Age'!$B$6:$H$6,0))</f>
        <v>106000</v>
      </c>
      <c r="AO203" s="78">
        <f>INDEX('Population Data by Age'!$B$7:$H$10366,MATCH(CONCATENATE('Tabular Pop Data by Age'!$C203,'Tabular Pop Data by Age'!AO$7),'Population Data by Age'!$B$7:$B$10366,0),MATCH('Tabular Pop Data by Age'!$C$6,'Population Data by Age'!$B$6:$H$6,0))</f>
        <v>0</v>
      </c>
      <c r="AP203" s="79">
        <f t="shared" si="51"/>
        <v>12200</v>
      </c>
      <c r="AQ203" s="79">
        <f t="shared" si="52"/>
        <v>12400</v>
      </c>
      <c r="AR203" s="79">
        <f t="shared" si="53"/>
        <v>12100</v>
      </c>
      <c r="AS203" s="79">
        <f t="shared" si="54"/>
        <v>11400</v>
      </c>
      <c r="AT203" s="79">
        <f t="shared" si="55"/>
        <v>9700</v>
      </c>
      <c r="AU203" s="79">
        <f t="shared" si="56"/>
        <v>7400</v>
      </c>
      <c r="AV203" s="79">
        <f t="shared" si="57"/>
        <v>6100</v>
      </c>
      <c r="AW203" s="79">
        <f t="shared" si="58"/>
        <v>6100</v>
      </c>
      <c r="AX203" s="79">
        <f t="shared" si="59"/>
        <v>5300</v>
      </c>
      <c r="AY203" s="79">
        <f t="shared" si="60"/>
        <v>5000</v>
      </c>
      <c r="AZ203" s="79">
        <f t="shared" si="61"/>
        <v>4800</v>
      </c>
      <c r="BA203" s="79">
        <f t="shared" si="62"/>
        <v>3800</v>
      </c>
      <c r="BB203" s="79">
        <f t="shared" si="63"/>
        <v>3000</v>
      </c>
      <c r="BC203" s="79">
        <f t="shared" si="64"/>
        <v>2300</v>
      </c>
      <c r="BD203" s="79">
        <f t="shared" si="65"/>
        <v>1700</v>
      </c>
      <c r="BE203" s="79">
        <f t="shared" si="66"/>
        <v>1100</v>
      </c>
      <c r="BF203" s="79">
        <f t="shared" si="67"/>
        <v>1100</v>
      </c>
    </row>
    <row r="204" spans="1:58" x14ac:dyDescent="0.25">
      <c r="A204" s="138" t="s">
        <v>1195</v>
      </c>
      <c r="B204" t="s">
        <v>655</v>
      </c>
      <c r="C204" t="s">
        <v>142</v>
      </c>
      <c r="D204" s="78">
        <f>INDEX('Population Data by Age'!$B$7:$H$10366,MATCH(CONCATENATE('Tabular Pop Data by Age'!$C204,'Tabular Pop Data by Age'!D$7),'Population Data by Age'!$B$7:$B$10366,0),MATCH('Tabular Pop Data by Age'!$C$6,'Population Data by Age'!$B$6:$H$6,0))</f>
        <v>43000</v>
      </c>
      <c r="E204" s="78">
        <f>INDEX('Population Data by Age'!$B$7:$H$10366,MATCH(CONCATENATE('Tabular Pop Data by Age'!$C204,'Tabular Pop Data by Age'!E$7),'Population Data by Age'!$B$7:$B$10366,0),MATCH('Tabular Pop Data by Age'!$C$6,'Population Data by Age'!$B$6:$H$6,0))</f>
        <v>45000</v>
      </c>
      <c r="F204" s="78">
        <f>INDEX('Population Data by Age'!$B$7:$H$10366,MATCH(CONCATENATE('Tabular Pop Data by Age'!$C204,'Tabular Pop Data by Age'!F$7),'Population Data by Age'!$B$7:$B$10366,0),MATCH('Tabular Pop Data by Age'!$C$6,'Population Data by Age'!$B$6:$H$6,0))</f>
        <v>47000</v>
      </c>
      <c r="G204" s="78">
        <f>INDEX('Population Data by Age'!$B$7:$H$10366,MATCH(CONCATENATE('Tabular Pop Data by Age'!$C204,'Tabular Pop Data by Age'!G$7),'Population Data by Age'!$B$7:$B$10366,0),MATCH('Tabular Pop Data by Age'!$C$6,'Population Data by Age'!$B$6:$H$6,0))</f>
        <v>49000</v>
      </c>
      <c r="H204" s="78">
        <f>INDEX('Population Data by Age'!$B$7:$H$10366,MATCH(CONCATENATE('Tabular Pop Data by Age'!$C204,'Tabular Pop Data by Age'!H$7),'Population Data by Age'!$B$7:$B$10366,0),MATCH('Tabular Pop Data by Age'!$C$6,'Population Data by Age'!$B$6:$H$6,0))</f>
        <v>47000</v>
      </c>
      <c r="I204" s="78">
        <f>INDEX('Population Data by Age'!$B$7:$H$10366,MATCH(CONCATENATE('Tabular Pop Data by Age'!$C204,'Tabular Pop Data by Age'!I$7),'Population Data by Age'!$B$7:$B$10366,0),MATCH('Tabular Pop Data by Age'!$C$6,'Population Data by Age'!$B$6:$H$6,0))</f>
        <v>49000</v>
      </c>
      <c r="J204" s="78">
        <f>INDEX('Population Data by Age'!$B$7:$H$10366,MATCH(CONCATENATE('Tabular Pop Data by Age'!$C204,'Tabular Pop Data by Age'!J$7),'Population Data by Age'!$B$7:$B$10366,0),MATCH('Tabular Pop Data by Age'!$C$6,'Population Data by Age'!$B$6:$H$6,0))</f>
        <v>44000</v>
      </c>
      <c r="K204" s="78">
        <f>INDEX('Population Data by Age'!$B$7:$H$10366,MATCH(CONCATENATE('Tabular Pop Data by Age'!$C204,'Tabular Pop Data by Age'!K$7),'Population Data by Age'!$B$7:$B$10366,0),MATCH('Tabular Pop Data by Age'!$C$6,'Population Data by Age'!$B$6:$H$6,0))</f>
        <v>45000</v>
      </c>
      <c r="L204" s="78">
        <f>INDEX('Population Data by Age'!$B$7:$H$10366,MATCH(CONCATENATE('Tabular Pop Data by Age'!$C204,'Tabular Pop Data by Age'!L$7),'Population Data by Age'!$B$7:$B$10366,0),MATCH('Tabular Pop Data by Age'!$C$6,'Population Data by Age'!$B$6:$H$6,0))</f>
        <v>42000</v>
      </c>
      <c r="M204" s="78">
        <f>INDEX('Population Data by Age'!$B$7:$H$10366,MATCH(CONCATENATE('Tabular Pop Data by Age'!$C204,'Tabular Pop Data by Age'!M$7),'Population Data by Age'!$B$7:$B$10366,0),MATCH('Tabular Pop Data by Age'!$C$6,'Population Data by Age'!$B$6:$H$6,0))</f>
        <v>43000</v>
      </c>
      <c r="N204" s="78">
        <f>INDEX('Population Data by Age'!$B$7:$H$10366,MATCH(CONCATENATE('Tabular Pop Data by Age'!$C204,'Tabular Pop Data by Age'!N$7),'Population Data by Age'!$B$7:$B$10366,0),MATCH('Tabular Pop Data by Age'!$C$6,'Population Data by Age'!$B$6:$H$6,0))</f>
        <v>48000</v>
      </c>
      <c r="O204" s="78">
        <f>INDEX('Population Data by Age'!$B$7:$H$10366,MATCH(CONCATENATE('Tabular Pop Data by Age'!$C204,'Tabular Pop Data by Age'!O$7),'Population Data by Age'!$B$7:$B$10366,0),MATCH('Tabular Pop Data by Age'!$C$6,'Population Data by Age'!$B$6:$H$6,0))</f>
        <v>49000</v>
      </c>
      <c r="P204" s="78">
        <f>INDEX('Population Data by Age'!$B$7:$H$10366,MATCH(CONCATENATE('Tabular Pop Data by Age'!$C204,'Tabular Pop Data by Age'!P$7),'Population Data by Age'!$B$7:$B$10366,0),MATCH('Tabular Pop Data by Age'!$C$6,'Population Data by Age'!$B$6:$H$6,0))</f>
        <v>58000</v>
      </c>
      <c r="Q204" s="78">
        <f>INDEX('Population Data by Age'!$B$7:$H$10366,MATCH(CONCATENATE('Tabular Pop Data by Age'!$C204,'Tabular Pop Data by Age'!Q$7),'Population Data by Age'!$B$7:$B$10366,0),MATCH('Tabular Pop Data by Age'!$C$6,'Population Data by Age'!$B$6:$H$6,0))</f>
        <v>59000</v>
      </c>
      <c r="R204" s="78">
        <f>INDEX('Population Data by Age'!$B$7:$H$10366,MATCH(CONCATENATE('Tabular Pop Data by Age'!$C204,'Tabular Pop Data by Age'!R$7),'Population Data by Age'!$B$7:$B$10366,0),MATCH('Tabular Pop Data by Age'!$C$6,'Population Data by Age'!$B$6:$H$6,0))</f>
        <v>63000</v>
      </c>
      <c r="S204" s="78">
        <f>INDEX('Population Data by Age'!$B$7:$H$10366,MATCH(CONCATENATE('Tabular Pop Data by Age'!$C204,'Tabular Pop Data by Age'!S$7),'Population Data by Age'!$B$7:$B$10366,0),MATCH('Tabular Pop Data by Age'!$C$6,'Population Data by Age'!$B$6:$H$6,0))</f>
        <v>63000</v>
      </c>
      <c r="T204" s="78">
        <f>INDEX('Population Data by Age'!$B$7:$H$10366,MATCH(CONCATENATE('Tabular Pop Data by Age'!$C204,'Tabular Pop Data by Age'!T$7),'Population Data by Age'!$B$7:$B$10366,0),MATCH('Tabular Pop Data by Age'!$C$6,'Population Data by Age'!$B$6:$H$6,0))</f>
        <v>51000</v>
      </c>
      <c r="U204" s="78">
        <f>INDEX('Population Data by Age'!$B$7:$H$10366,MATCH(CONCATENATE('Tabular Pop Data by Age'!$C204,'Tabular Pop Data by Age'!U$7),'Population Data by Age'!$B$7:$B$10366,0),MATCH('Tabular Pop Data by Age'!$C$6,'Population Data by Age'!$B$6:$H$6,0))</f>
        <v>50000</v>
      </c>
      <c r="V204" s="78">
        <f>INDEX('Population Data by Age'!$B$7:$H$10366,MATCH(CONCATENATE('Tabular Pop Data by Age'!$C204,'Tabular Pop Data by Age'!V$7),'Population Data by Age'!$B$7:$B$10366,0),MATCH('Tabular Pop Data by Age'!$C$6,'Population Data by Age'!$B$6:$H$6,0))</f>
        <v>46000</v>
      </c>
      <c r="W204" s="78">
        <f>INDEX('Population Data by Age'!$B$7:$H$10366,MATCH(CONCATENATE('Tabular Pop Data by Age'!$C204,'Tabular Pop Data by Age'!W$7),'Population Data by Age'!$B$7:$B$10366,0),MATCH('Tabular Pop Data by Age'!$C$6,'Population Data by Age'!$B$6:$H$6,0))</f>
        <v>45000</v>
      </c>
      <c r="X204" s="78">
        <f>INDEX('Population Data by Age'!$B$7:$H$10366,MATCH(CONCATENATE('Tabular Pop Data by Age'!$C204,'Tabular Pop Data by Age'!X$7),'Population Data by Age'!$B$7:$B$10366,0),MATCH('Tabular Pop Data by Age'!$C$6,'Population Data by Age'!$B$6:$H$6,0))</f>
        <v>42000</v>
      </c>
      <c r="Y204" s="78">
        <f>INDEX('Population Data by Age'!$B$7:$H$10366,MATCH(CONCATENATE('Tabular Pop Data by Age'!$C204,'Tabular Pop Data by Age'!Y$7),'Population Data by Age'!$B$7:$B$10366,0),MATCH('Tabular Pop Data by Age'!$C$6,'Population Data by Age'!$B$6:$H$6,0))</f>
        <v>40000</v>
      </c>
      <c r="Z204" s="78">
        <f>INDEX('Population Data by Age'!$B$7:$H$10366,MATCH(CONCATENATE('Tabular Pop Data by Age'!$C204,'Tabular Pop Data by Age'!Z$7),'Population Data by Age'!$B$7:$B$10366,0),MATCH('Tabular Pop Data by Age'!$C$6,'Population Data by Age'!$B$6:$H$6,0))</f>
        <v>48000</v>
      </c>
      <c r="AA204" s="78">
        <f>INDEX('Population Data by Age'!$B$7:$H$10366,MATCH(CONCATENATE('Tabular Pop Data by Age'!$C204,'Tabular Pop Data by Age'!AA$7),'Population Data by Age'!$B$7:$B$10366,0),MATCH('Tabular Pop Data by Age'!$C$6,'Population Data by Age'!$B$6:$H$6,0))</f>
        <v>45000</v>
      </c>
      <c r="AB204" s="78">
        <f>INDEX('Population Data by Age'!$B$7:$H$10366,MATCH(CONCATENATE('Tabular Pop Data by Age'!$C204,'Tabular Pop Data by Age'!AB$7),'Population Data by Age'!$B$7:$B$10366,0),MATCH('Tabular Pop Data by Age'!$C$6,'Population Data by Age'!$B$6:$H$6,0))</f>
        <v>39000</v>
      </c>
      <c r="AC204" s="78">
        <f>INDEX('Population Data by Age'!$B$7:$H$10366,MATCH(CONCATENATE('Tabular Pop Data by Age'!$C204,'Tabular Pop Data by Age'!AC$7),'Population Data by Age'!$B$7:$B$10366,0),MATCH('Tabular Pop Data by Age'!$C$6,'Population Data by Age'!$B$6:$H$6,0))</f>
        <v>37000</v>
      </c>
      <c r="AD204" s="78">
        <f>INDEX('Population Data by Age'!$B$7:$H$10366,MATCH(CONCATENATE('Tabular Pop Data by Age'!$C204,'Tabular Pop Data by Age'!AD$7),'Population Data by Age'!$B$7:$B$10366,0),MATCH('Tabular Pop Data by Age'!$C$6,'Population Data by Age'!$B$6:$H$6,0))</f>
        <v>32000</v>
      </c>
      <c r="AE204" s="78">
        <f>INDEX('Population Data by Age'!$B$7:$H$10366,MATCH(CONCATENATE('Tabular Pop Data by Age'!$C204,'Tabular Pop Data by Age'!AE$7),'Population Data by Age'!$B$7:$B$10366,0),MATCH('Tabular Pop Data by Age'!$C$6,'Population Data by Age'!$B$6:$H$6,0))</f>
        <v>29000</v>
      </c>
      <c r="AF204" s="78">
        <f>INDEX('Population Data by Age'!$B$7:$H$10366,MATCH(CONCATENATE('Tabular Pop Data by Age'!$C204,'Tabular Pop Data by Age'!AF$7),'Population Data by Age'!$B$7:$B$10366,0),MATCH('Tabular Pop Data by Age'!$C$6,'Population Data by Age'!$B$6:$H$6,0))</f>
        <v>24000</v>
      </c>
      <c r="AG204" s="78">
        <f>INDEX('Population Data by Age'!$B$7:$H$10366,MATCH(CONCATENATE('Tabular Pop Data by Age'!$C204,'Tabular Pop Data by Age'!AG$7),'Population Data by Age'!$B$7:$B$10366,0),MATCH('Tabular Pop Data by Age'!$C$6,'Population Data by Age'!$B$6:$H$6,0))</f>
        <v>20000</v>
      </c>
      <c r="AH204" s="78">
        <f>INDEX('Population Data by Age'!$B$7:$H$10366,MATCH(CONCATENATE('Tabular Pop Data by Age'!$C204,'Tabular Pop Data by Age'!AH$7),'Population Data by Age'!$B$7:$B$10366,0),MATCH('Tabular Pop Data by Age'!$C$6,'Population Data by Age'!$B$6:$H$6,0))</f>
        <v>17000</v>
      </c>
      <c r="AI204" s="78">
        <f>INDEX('Population Data by Age'!$B$7:$H$10366,MATCH(CONCATENATE('Tabular Pop Data by Age'!$C204,'Tabular Pop Data by Age'!AI$7),'Population Data by Age'!$B$7:$B$10366,0),MATCH('Tabular Pop Data by Age'!$C$6,'Population Data by Age'!$B$6:$H$6,0))</f>
        <v>13000</v>
      </c>
      <c r="AJ204" s="78">
        <f>INDEX('Population Data by Age'!$B$7:$H$10366,MATCH(CONCATENATE('Tabular Pop Data by Age'!$C204,'Tabular Pop Data by Age'!AJ$7),'Population Data by Age'!$B$7:$B$10366,0),MATCH('Tabular Pop Data by Age'!$C$6,'Population Data by Age'!$B$6:$H$6,0))</f>
        <v>17000</v>
      </c>
      <c r="AK204" s="78">
        <f>INDEX('Population Data by Age'!$B$7:$H$10366,MATCH(CONCATENATE('Tabular Pop Data by Age'!$C204,'Tabular Pop Data by Age'!AK$7),'Population Data by Age'!$B$7:$B$10366,0),MATCH('Tabular Pop Data by Age'!$C$6,'Population Data by Age'!$B$6:$H$6,0))</f>
        <v>11000</v>
      </c>
      <c r="AL204" s="78">
        <f>INDEX('Population Data by Age'!$B$7:$H$10366,MATCH(CONCATENATE('Tabular Pop Data by Age'!$C204,'Tabular Pop Data by Age'!AL$7),'Population Data by Age'!$B$7:$B$10366,0),MATCH('Tabular Pop Data by Age'!$C$6,'Population Data by Age'!$B$6:$H$6,0))</f>
        <v>709000</v>
      </c>
      <c r="AM204" s="78">
        <f>INDEX('Population Data by Age'!$B$7:$H$10366,MATCH(CONCATENATE('Tabular Pop Data by Age'!$C204,'Tabular Pop Data by Age'!AM$7),'Population Data by Age'!$B$7:$B$10366,0),MATCH('Tabular Pop Data by Age'!$C$6,'Population Data by Age'!$B$6:$H$6,0))</f>
        <v>691000</v>
      </c>
      <c r="AN204" s="78">
        <f>INDEX('Population Data by Age'!$B$7:$H$10366,MATCH(CONCATENATE('Tabular Pop Data by Age'!$C204,'Tabular Pop Data by Age'!AN$7),'Population Data by Age'!$B$7:$B$10366,0),MATCH('Tabular Pop Data by Age'!$C$6,'Population Data by Age'!$B$6:$H$6,0))</f>
        <v>1399000</v>
      </c>
      <c r="AO204" s="78">
        <f>INDEX('Population Data by Age'!$B$7:$H$10366,MATCH(CONCATENATE('Tabular Pop Data by Age'!$C204,'Tabular Pop Data by Age'!AO$7),'Population Data by Age'!$B$7:$B$10366,0),MATCH('Tabular Pop Data by Age'!$C$6,'Population Data by Age'!$B$6:$H$6,0))</f>
        <v>0</v>
      </c>
      <c r="AP204" s="79">
        <f t="shared" si="51"/>
        <v>88000</v>
      </c>
      <c r="AQ204" s="79">
        <f t="shared" si="52"/>
        <v>96000</v>
      </c>
      <c r="AR204" s="79">
        <f t="shared" si="53"/>
        <v>96000</v>
      </c>
      <c r="AS204" s="79">
        <f t="shared" si="54"/>
        <v>89000</v>
      </c>
      <c r="AT204" s="79">
        <f t="shared" si="55"/>
        <v>85000</v>
      </c>
      <c r="AU204" s="79">
        <f t="shared" si="56"/>
        <v>97000</v>
      </c>
      <c r="AV204" s="79">
        <f t="shared" si="57"/>
        <v>117000</v>
      </c>
      <c r="AW204" s="79">
        <f t="shared" si="58"/>
        <v>126000</v>
      </c>
      <c r="AX204" s="79">
        <f t="shared" si="59"/>
        <v>101000</v>
      </c>
      <c r="AY204" s="79">
        <f t="shared" si="60"/>
        <v>91000</v>
      </c>
      <c r="AZ204" s="79">
        <f t="shared" si="61"/>
        <v>82000</v>
      </c>
      <c r="BA204" s="79">
        <f t="shared" si="62"/>
        <v>93000</v>
      </c>
      <c r="BB204" s="79">
        <f t="shared" si="63"/>
        <v>76000</v>
      </c>
      <c r="BC204" s="79">
        <f t="shared" si="64"/>
        <v>61000</v>
      </c>
      <c r="BD204" s="79">
        <f t="shared" si="65"/>
        <v>44000</v>
      </c>
      <c r="BE204" s="79">
        <f t="shared" si="66"/>
        <v>30000</v>
      </c>
      <c r="BF204" s="79">
        <f t="shared" si="67"/>
        <v>28000</v>
      </c>
    </row>
    <row r="205" spans="1:58" x14ac:dyDescent="0.25">
      <c r="A205" s="138" t="s">
        <v>1195</v>
      </c>
      <c r="B205" t="s">
        <v>656</v>
      </c>
      <c r="C205" t="s">
        <v>143</v>
      </c>
      <c r="D205" s="78">
        <f>INDEX('Population Data by Age'!$B$7:$H$10366,MATCH(CONCATENATE('Tabular Pop Data by Age'!$C205,'Tabular Pop Data by Age'!D$7),'Population Data by Age'!$B$7:$B$10366,0),MATCH('Tabular Pop Data by Age'!$C$6,'Population Data by Age'!$B$6:$H$6,0))</f>
        <v>489000</v>
      </c>
      <c r="E205" s="78">
        <f>INDEX('Population Data by Age'!$B$7:$H$10366,MATCH(CONCATENATE('Tabular Pop Data by Age'!$C205,'Tabular Pop Data by Age'!E$7),'Population Data by Age'!$B$7:$B$10366,0),MATCH('Tabular Pop Data by Age'!$C$6,'Population Data by Age'!$B$6:$H$6,0))</f>
        <v>515000</v>
      </c>
      <c r="F205" s="78">
        <f>INDEX('Population Data by Age'!$B$7:$H$10366,MATCH(CONCATENATE('Tabular Pop Data by Age'!$C205,'Tabular Pop Data by Age'!F$7),'Population Data by Age'!$B$7:$B$10366,0),MATCH('Tabular Pop Data by Age'!$C$6,'Population Data by Age'!$B$6:$H$6,0))</f>
        <v>492000</v>
      </c>
      <c r="G205" s="78">
        <f>INDEX('Population Data by Age'!$B$7:$H$10366,MATCH(CONCATENATE('Tabular Pop Data by Age'!$C205,'Tabular Pop Data by Age'!G$7),'Population Data by Age'!$B$7:$B$10366,0),MATCH('Tabular Pop Data by Age'!$C$6,'Population Data by Age'!$B$6:$H$6,0))</f>
        <v>522000</v>
      </c>
      <c r="H205" s="78">
        <f>INDEX('Population Data by Age'!$B$7:$H$10366,MATCH(CONCATENATE('Tabular Pop Data by Age'!$C205,'Tabular Pop Data by Age'!H$7),'Population Data by Age'!$B$7:$B$10366,0),MATCH('Tabular Pop Data by Age'!$C$6,'Population Data by Age'!$B$6:$H$6,0))</f>
        <v>411000</v>
      </c>
      <c r="I205" s="78">
        <f>INDEX('Population Data by Age'!$B$7:$H$10366,MATCH(CONCATENATE('Tabular Pop Data by Age'!$C205,'Tabular Pop Data by Age'!I$7),'Population Data by Age'!$B$7:$B$10366,0),MATCH('Tabular Pop Data by Age'!$C$6,'Population Data by Age'!$B$6:$H$6,0))</f>
        <v>442000</v>
      </c>
      <c r="J205" s="78">
        <f>INDEX('Population Data by Age'!$B$7:$H$10366,MATCH(CONCATENATE('Tabular Pop Data by Age'!$C205,'Tabular Pop Data by Age'!J$7),'Population Data by Age'!$B$7:$B$10366,0),MATCH('Tabular Pop Data by Age'!$C$6,'Population Data by Age'!$B$6:$H$6,0))</f>
        <v>378000</v>
      </c>
      <c r="K205" s="78">
        <f>INDEX('Population Data by Age'!$B$7:$H$10366,MATCH(CONCATENATE('Tabular Pop Data by Age'!$C205,'Tabular Pop Data by Age'!K$7),'Population Data by Age'!$B$7:$B$10366,0),MATCH('Tabular Pop Data by Age'!$C$6,'Population Data by Age'!$B$6:$H$6,0))</f>
        <v>409000</v>
      </c>
      <c r="L205" s="78">
        <f>INDEX('Population Data by Age'!$B$7:$H$10366,MATCH(CONCATENATE('Tabular Pop Data by Age'!$C205,'Tabular Pop Data by Age'!L$7),'Population Data by Age'!$B$7:$B$10366,0),MATCH('Tabular Pop Data by Age'!$C$6,'Population Data by Age'!$B$6:$H$6,0))</f>
        <v>395000</v>
      </c>
      <c r="M205" s="78">
        <f>INDEX('Population Data by Age'!$B$7:$H$10366,MATCH(CONCATENATE('Tabular Pop Data by Age'!$C205,'Tabular Pop Data by Age'!M$7),'Population Data by Age'!$B$7:$B$10366,0),MATCH('Tabular Pop Data by Age'!$C$6,'Population Data by Age'!$B$6:$H$6,0))</f>
        <v>426000</v>
      </c>
      <c r="N205" s="78">
        <f>INDEX('Population Data by Age'!$B$7:$H$10366,MATCH(CONCATENATE('Tabular Pop Data by Age'!$C205,'Tabular Pop Data by Age'!N$7),'Population Data by Age'!$B$7:$B$10366,0),MATCH('Tabular Pop Data by Age'!$C$6,'Population Data by Age'!$B$6:$H$6,0))</f>
        <v>447000</v>
      </c>
      <c r="O205" s="78">
        <f>INDEX('Population Data by Age'!$B$7:$H$10366,MATCH(CONCATENATE('Tabular Pop Data by Age'!$C205,'Tabular Pop Data by Age'!O$7),'Population Data by Age'!$B$7:$B$10366,0),MATCH('Tabular Pop Data by Age'!$C$6,'Population Data by Age'!$B$6:$H$6,0))</f>
        <v>457000</v>
      </c>
      <c r="P205" s="78">
        <f>INDEX('Population Data by Age'!$B$7:$H$10366,MATCH(CONCATENATE('Tabular Pop Data by Age'!$C205,'Tabular Pop Data by Age'!P$7),'Population Data by Age'!$B$7:$B$10366,0),MATCH('Tabular Pop Data by Age'!$C$6,'Population Data by Age'!$B$6:$H$6,0))</f>
        <v>479000</v>
      </c>
      <c r="Q205" s="78">
        <f>INDEX('Population Data by Age'!$B$7:$H$10366,MATCH(CONCATENATE('Tabular Pop Data by Age'!$C205,'Tabular Pop Data by Age'!Q$7),'Population Data by Age'!$B$7:$B$10366,0),MATCH('Tabular Pop Data by Age'!$C$6,'Population Data by Age'!$B$6:$H$6,0))</f>
        <v>449000</v>
      </c>
      <c r="R205" s="78">
        <f>INDEX('Population Data by Age'!$B$7:$H$10366,MATCH(CONCATENATE('Tabular Pop Data by Age'!$C205,'Tabular Pop Data by Age'!R$7),'Population Data by Age'!$B$7:$B$10366,0),MATCH('Tabular Pop Data by Age'!$C$6,'Population Data by Age'!$B$6:$H$6,0))</f>
        <v>501000</v>
      </c>
      <c r="S205" s="78">
        <f>INDEX('Population Data by Age'!$B$7:$H$10366,MATCH(CONCATENATE('Tabular Pop Data by Age'!$C205,'Tabular Pop Data by Age'!S$7),'Population Data by Age'!$B$7:$B$10366,0),MATCH('Tabular Pop Data by Age'!$C$6,'Population Data by Age'!$B$6:$H$6,0))</f>
        <v>485000</v>
      </c>
      <c r="T205" s="78">
        <f>INDEX('Population Data by Age'!$B$7:$H$10366,MATCH(CONCATENATE('Tabular Pop Data by Age'!$C205,'Tabular Pop Data by Age'!T$7),'Population Data by Age'!$B$7:$B$10366,0),MATCH('Tabular Pop Data by Age'!$C$6,'Population Data by Age'!$B$6:$H$6,0))</f>
        <v>439000</v>
      </c>
      <c r="U205" s="78">
        <f>INDEX('Population Data by Age'!$B$7:$H$10366,MATCH(CONCATENATE('Tabular Pop Data by Age'!$C205,'Tabular Pop Data by Age'!U$7),'Population Data by Age'!$B$7:$B$10366,0),MATCH('Tabular Pop Data by Age'!$C$6,'Population Data by Age'!$B$6:$H$6,0))</f>
        <v>408000</v>
      </c>
      <c r="V205" s="78">
        <f>INDEX('Population Data by Age'!$B$7:$H$10366,MATCH(CONCATENATE('Tabular Pop Data by Age'!$C205,'Tabular Pop Data by Age'!V$7),'Population Data by Age'!$B$7:$B$10366,0),MATCH('Tabular Pop Data by Age'!$C$6,'Population Data by Age'!$B$6:$H$6,0))</f>
        <v>373000</v>
      </c>
      <c r="W205" s="78">
        <f>INDEX('Population Data by Age'!$B$7:$H$10366,MATCH(CONCATENATE('Tabular Pop Data by Age'!$C205,'Tabular Pop Data by Age'!W$7),'Population Data by Age'!$B$7:$B$10366,0),MATCH('Tabular Pop Data by Age'!$C$6,'Population Data by Age'!$B$6:$H$6,0))</f>
        <v>352000</v>
      </c>
      <c r="X205" s="78">
        <f>INDEX('Population Data by Age'!$B$7:$H$10366,MATCH(CONCATENATE('Tabular Pop Data by Age'!$C205,'Tabular Pop Data by Age'!X$7),'Population Data by Age'!$B$7:$B$10366,0),MATCH('Tabular Pop Data by Age'!$C$6,'Population Data by Age'!$B$6:$H$6,0))</f>
        <v>372000</v>
      </c>
      <c r="Y205" s="78">
        <f>INDEX('Population Data by Age'!$B$7:$H$10366,MATCH(CONCATENATE('Tabular Pop Data by Age'!$C205,'Tabular Pop Data by Age'!Y$7),'Population Data by Age'!$B$7:$B$10366,0),MATCH('Tabular Pop Data by Age'!$C$6,'Population Data by Age'!$B$6:$H$6,0))</f>
        <v>340000</v>
      </c>
      <c r="Z205" s="78">
        <f>INDEX('Population Data by Age'!$B$7:$H$10366,MATCH(CONCATENATE('Tabular Pop Data by Age'!$C205,'Tabular Pop Data by Age'!Z$7),'Population Data by Age'!$B$7:$B$10366,0),MATCH('Tabular Pop Data by Age'!$C$6,'Population Data by Age'!$B$6:$H$6,0))</f>
        <v>329000</v>
      </c>
      <c r="AA205" s="78">
        <f>INDEX('Population Data by Age'!$B$7:$H$10366,MATCH(CONCATENATE('Tabular Pop Data by Age'!$C205,'Tabular Pop Data by Age'!AA$7),'Population Data by Age'!$B$7:$B$10366,0),MATCH('Tabular Pop Data by Age'!$C$6,'Population Data by Age'!$B$6:$H$6,0))</f>
        <v>321000</v>
      </c>
      <c r="AB205" s="78">
        <f>INDEX('Population Data by Age'!$B$7:$H$10366,MATCH(CONCATENATE('Tabular Pop Data by Age'!$C205,'Tabular Pop Data by Age'!AB$7),'Population Data by Age'!$B$7:$B$10366,0),MATCH('Tabular Pop Data by Age'!$C$6,'Population Data by Age'!$B$6:$H$6,0))</f>
        <v>275000</v>
      </c>
      <c r="AC205" s="78">
        <f>INDEX('Population Data by Age'!$B$7:$H$10366,MATCH(CONCATENATE('Tabular Pop Data by Age'!$C205,'Tabular Pop Data by Age'!AC$7),'Population Data by Age'!$B$7:$B$10366,0),MATCH('Tabular Pop Data by Age'!$C$6,'Population Data by Age'!$B$6:$H$6,0))</f>
        <v>264000</v>
      </c>
      <c r="AD205" s="78">
        <f>INDEX('Population Data by Age'!$B$7:$H$10366,MATCH(CONCATENATE('Tabular Pop Data by Age'!$C205,'Tabular Pop Data by Age'!AD$7),'Population Data by Age'!$B$7:$B$10366,0),MATCH('Tabular Pop Data by Age'!$C$6,'Population Data by Age'!$B$6:$H$6,0))</f>
        <v>222000</v>
      </c>
      <c r="AE205" s="78">
        <f>INDEX('Population Data by Age'!$B$7:$H$10366,MATCH(CONCATENATE('Tabular Pop Data by Age'!$C205,'Tabular Pop Data by Age'!AE$7),'Population Data by Age'!$B$7:$B$10366,0),MATCH('Tabular Pop Data by Age'!$C$6,'Population Data by Age'!$B$6:$H$6,0))</f>
        <v>202000</v>
      </c>
      <c r="AF205" s="78">
        <f>INDEX('Population Data by Age'!$B$7:$H$10366,MATCH(CONCATENATE('Tabular Pop Data by Age'!$C205,'Tabular Pop Data by Age'!AF$7),'Population Data by Age'!$B$7:$B$10366,0),MATCH('Tabular Pop Data by Age'!$C$6,'Population Data by Age'!$B$6:$H$6,0))</f>
        <v>138000</v>
      </c>
      <c r="AG205" s="78">
        <f>INDEX('Population Data by Age'!$B$7:$H$10366,MATCH(CONCATENATE('Tabular Pop Data by Age'!$C205,'Tabular Pop Data by Age'!AG$7),'Population Data by Age'!$B$7:$B$10366,0),MATCH('Tabular Pop Data by Age'!$C$6,'Population Data by Age'!$B$6:$H$6,0))</f>
        <v>112000</v>
      </c>
      <c r="AH205" s="78">
        <f>INDEX('Population Data by Age'!$B$7:$H$10366,MATCH(CONCATENATE('Tabular Pop Data by Age'!$C205,'Tabular Pop Data by Age'!AH$7),'Population Data by Age'!$B$7:$B$10366,0),MATCH('Tabular Pop Data by Age'!$C$6,'Population Data by Age'!$B$6:$H$6,0))</f>
        <v>97000</v>
      </c>
      <c r="AI205" s="78">
        <f>INDEX('Population Data by Age'!$B$7:$H$10366,MATCH(CONCATENATE('Tabular Pop Data by Age'!$C205,'Tabular Pop Data by Age'!AI$7),'Population Data by Age'!$B$7:$B$10366,0),MATCH('Tabular Pop Data by Age'!$C$6,'Population Data by Age'!$B$6:$H$6,0))</f>
        <v>77000</v>
      </c>
      <c r="AJ205" s="78">
        <f>INDEX('Population Data by Age'!$B$7:$H$10366,MATCH(CONCATENATE('Tabular Pop Data by Age'!$C205,'Tabular Pop Data by Age'!AJ$7),'Population Data by Age'!$B$7:$B$10366,0),MATCH('Tabular Pop Data by Age'!$C$6,'Population Data by Age'!$B$6:$H$6,0))</f>
        <v>120000</v>
      </c>
      <c r="AK205" s="78">
        <f>INDEX('Population Data by Age'!$B$7:$H$10366,MATCH(CONCATENATE('Tabular Pop Data by Age'!$C205,'Tabular Pop Data by Age'!AK$7),'Population Data by Age'!$B$7:$B$10366,0),MATCH('Tabular Pop Data by Age'!$C$6,'Population Data by Age'!$B$6:$H$6,0))</f>
        <v>80000</v>
      </c>
      <c r="AL205" s="78">
        <f>INDEX('Population Data by Age'!$B$7:$H$10366,MATCH(CONCATENATE('Tabular Pop Data by Age'!$C205,'Tabular Pop Data by Age'!AL$7),'Population Data by Age'!$B$7:$B$10366,0),MATCH('Tabular Pop Data by Age'!$C$6,'Population Data by Age'!$B$6:$H$6,0))</f>
        <v>5958000</v>
      </c>
      <c r="AM205" s="78">
        <f>INDEX('Population Data by Age'!$B$7:$H$10366,MATCH(CONCATENATE('Tabular Pop Data by Age'!$C205,'Tabular Pop Data by Age'!AM$7),'Population Data by Age'!$B$7:$B$10366,0),MATCH('Tabular Pop Data by Age'!$C$6,'Population Data by Age'!$B$6:$H$6,0))</f>
        <v>5861000</v>
      </c>
      <c r="AN205" s="78">
        <f>INDEX('Population Data by Age'!$B$7:$H$10366,MATCH(CONCATENATE('Tabular Pop Data by Age'!$C205,'Tabular Pop Data by Age'!AN$7),'Population Data by Age'!$B$7:$B$10366,0),MATCH('Tabular Pop Data by Age'!$C$6,'Population Data by Age'!$B$6:$H$6,0))</f>
        <v>11819000</v>
      </c>
      <c r="AO205" s="78">
        <f>INDEX('Population Data by Age'!$B$7:$H$10366,MATCH(CONCATENATE('Tabular Pop Data by Age'!$C205,'Tabular Pop Data by Age'!AO$7),'Population Data by Age'!$B$7:$B$10366,0),MATCH('Tabular Pop Data by Age'!$C$6,'Population Data by Age'!$B$6:$H$6,0))</f>
        <v>0</v>
      </c>
      <c r="AP205" s="79">
        <f t="shared" si="51"/>
        <v>1004000</v>
      </c>
      <c r="AQ205" s="79">
        <f t="shared" si="52"/>
        <v>1014000</v>
      </c>
      <c r="AR205" s="79">
        <f t="shared" si="53"/>
        <v>853000</v>
      </c>
      <c r="AS205" s="79">
        <f t="shared" si="54"/>
        <v>787000</v>
      </c>
      <c r="AT205" s="79">
        <f t="shared" si="55"/>
        <v>821000</v>
      </c>
      <c r="AU205" s="79">
        <f t="shared" si="56"/>
        <v>904000</v>
      </c>
      <c r="AV205" s="79">
        <f t="shared" si="57"/>
        <v>928000</v>
      </c>
      <c r="AW205" s="79">
        <f t="shared" si="58"/>
        <v>986000</v>
      </c>
      <c r="AX205" s="79">
        <f t="shared" si="59"/>
        <v>847000</v>
      </c>
      <c r="AY205" s="79">
        <f t="shared" si="60"/>
        <v>725000</v>
      </c>
      <c r="AZ205" s="79">
        <f t="shared" si="61"/>
        <v>712000</v>
      </c>
      <c r="BA205" s="79">
        <f t="shared" si="62"/>
        <v>650000</v>
      </c>
      <c r="BB205" s="79">
        <f t="shared" si="63"/>
        <v>539000</v>
      </c>
      <c r="BC205" s="79">
        <f t="shared" si="64"/>
        <v>424000</v>
      </c>
      <c r="BD205" s="79">
        <f t="shared" si="65"/>
        <v>250000</v>
      </c>
      <c r="BE205" s="79">
        <f t="shared" si="66"/>
        <v>174000</v>
      </c>
      <c r="BF205" s="79">
        <f t="shared" si="67"/>
        <v>200000</v>
      </c>
    </row>
    <row r="206" spans="1:58" x14ac:dyDescent="0.25">
      <c r="A206" s="138" t="s">
        <v>1195</v>
      </c>
      <c r="B206" t="s">
        <v>657</v>
      </c>
      <c r="C206" t="s">
        <v>144</v>
      </c>
      <c r="D206" s="78">
        <f>INDEX('Population Data by Age'!$B$7:$H$10366,MATCH(CONCATENATE('Tabular Pop Data by Age'!$C206,'Tabular Pop Data by Age'!D$7),'Population Data by Age'!$B$7:$B$10366,0),MATCH('Tabular Pop Data by Age'!$C$6,'Population Data by Age'!$B$6:$H$6,0))</f>
        <v>3210000</v>
      </c>
      <c r="E206" s="78">
        <f>INDEX('Population Data by Age'!$B$7:$H$10366,MATCH(CONCATENATE('Tabular Pop Data by Age'!$C206,'Tabular Pop Data by Age'!E$7),'Population Data by Age'!$B$7:$B$10366,0),MATCH('Tabular Pop Data by Age'!$C$6,'Population Data by Age'!$B$6:$H$6,0))</f>
        <v>3357000</v>
      </c>
      <c r="F206" s="78">
        <f>INDEX('Population Data by Age'!$B$7:$H$10366,MATCH(CONCATENATE('Tabular Pop Data by Age'!$C206,'Tabular Pop Data by Age'!F$7),'Population Data by Age'!$B$7:$B$10366,0),MATCH('Tabular Pop Data by Age'!$C$6,'Population Data by Age'!$B$6:$H$6,0))</f>
        <v>3349000</v>
      </c>
      <c r="G206" s="78">
        <f>INDEX('Population Data by Age'!$B$7:$H$10366,MATCH(CONCATENATE('Tabular Pop Data by Age'!$C206,'Tabular Pop Data by Age'!G$7),'Population Data by Age'!$B$7:$B$10366,0),MATCH('Tabular Pop Data by Age'!$C$6,'Population Data by Age'!$B$6:$H$6,0))</f>
        <v>3503000</v>
      </c>
      <c r="H206" s="78">
        <f>INDEX('Population Data by Age'!$B$7:$H$10366,MATCH(CONCATENATE('Tabular Pop Data by Age'!$C206,'Tabular Pop Data by Age'!H$7),'Population Data by Age'!$B$7:$B$10366,0),MATCH('Tabular Pop Data by Age'!$C$6,'Population Data by Age'!$B$6:$H$6,0))</f>
        <v>3311000</v>
      </c>
      <c r="I206" s="78">
        <f>INDEX('Population Data by Age'!$B$7:$H$10366,MATCH(CONCATENATE('Tabular Pop Data by Age'!$C206,'Tabular Pop Data by Age'!I$7),'Population Data by Age'!$B$7:$B$10366,0),MATCH('Tabular Pop Data by Age'!$C$6,'Population Data by Age'!$B$6:$H$6,0))</f>
        <v>3462000</v>
      </c>
      <c r="J206" s="78">
        <f>INDEX('Population Data by Age'!$B$7:$H$10366,MATCH(CONCATENATE('Tabular Pop Data by Age'!$C206,'Tabular Pop Data by Age'!J$7),'Population Data by Age'!$B$7:$B$10366,0),MATCH('Tabular Pop Data by Age'!$C$6,'Population Data by Age'!$B$6:$H$6,0))</f>
        <v>3333000</v>
      </c>
      <c r="K206" s="78">
        <f>INDEX('Population Data by Age'!$B$7:$H$10366,MATCH(CONCATENATE('Tabular Pop Data by Age'!$C206,'Tabular Pop Data by Age'!K$7),'Population Data by Age'!$B$7:$B$10366,0),MATCH('Tabular Pop Data by Age'!$C$6,'Population Data by Age'!$B$6:$H$6,0))</f>
        <v>3489000</v>
      </c>
      <c r="L206" s="78">
        <f>INDEX('Population Data by Age'!$B$7:$H$10366,MATCH(CONCATENATE('Tabular Pop Data by Age'!$C206,'Tabular Pop Data by Age'!L$7),'Population Data by Age'!$B$7:$B$10366,0),MATCH('Tabular Pop Data by Age'!$C$6,'Population Data by Age'!$B$6:$H$6,0))</f>
        <v>3321000</v>
      </c>
      <c r="M206" s="78">
        <f>INDEX('Population Data by Age'!$B$7:$H$10366,MATCH(CONCATENATE('Tabular Pop Data by Age'!$C206,'Tabular Pop Data by Age'!M$7),'Population Data by Age'!$B$7:$B$10366,0),MATCH('Tabular Pop Data by Age'!$C$6,'Population Data by Age'!$B$6:$H$6,0))</f>
        <v>3449000</v>
      </c>
      <c r="N206" s="78">
        <f>INDEX('Population Data by Age'!$B$7:$H$10366,MATCH(CONCATENATE('Tabular Pop Data by Age'!$C206,'Tabular Pop Data by Age'!N$7),'Population Data by Age'!$B$7:$B$10366,0),MATCH('Tabular Pop Data by Age'!$C$6,'Population Data by Age'!$B$6:$H$6,0))</f>
        <v>3159000</v>
      </c>
      <c r="O206" s="78">
        <f>INDEX('Population Data by Age'!$B$7:$H$10366,MATCH(CONCATENATE('Tabular Pop Data by Age'!$C206,'Tabular Pop Data by Age'!O$7),'Population Data by Age'!$B$7:$B$10366,0),MATCH('Tabular Pop Data by Age'!$C$6,'Population Data by Age'!$B$6:$H$6,0))</f>
        <v>3245000</v>
      </c>
      <c r="P206" s="78">
        <f>INDEX('Population Data by Age'!$B$7:$H$10366,MATCH(CONCATENATE('Tabular Pop Data by Age'!$C206,'Tabular Pop Data by Age'!P$7),'Population Data by Age'!$B$7:$B$10366,0),MATCH('Tabular Pop Data by Age'!$C$6,'Population Data by Age'!$B$6:$H$6,0))</f>
        <v>3176000</v>
      </c>
      <c r="Q206" s="78">
        <f>INDEX('Population Data by Age'!$B$7:$H$10366,MATCH(CONCATENATE('Tabular Pop Data by Age'!$C206,'Tabular Pop Data by Age'!Q$7),'Population Data by Age'!$B$7:$B$10366,0),MATCH('Tabular Pop Data by Age'!$C$6,'Population Data by Age'!$B$6:$H$6,0))</f>
        <v>3219000</v>
      </c>
      <c r="R206" s="78">
        <f>INDEX('Population Data by Age'!$B$7:$H$10366,MATCH(CONCATENATE('Tabular Pop Data by Age'!$C206,'Tabular Pop Data by Age'!R$7),'Population Data by Age'!$B$7:$B$10366,0),MATCH('Tabular Pop Data by Age'!$C$6,'Population Data by Age'!$B$6:$H$6,0))</f>
        <v>3192000</v>
      </c>
      <c r="S206" s="78">
        <f>INDEX('Population Data by Age'!$B$7:$H$10366,MATCH(CONCATENATE('Tabular Pop Data by Age'!$C206,'Tabular Pop Data by Age'!S$7),'Population Data by Age'!$B$7:$B$10366,0),MATCH('Tabular Pop Data by Age'!$C$6,'Population Data by Age'!$B$6:$H$6,0))</f>
        <v>3188000</v>
      </c>
      <c r="T206" s="78">
        <f>INDEX('Population Data by Age'!$B$7:$H$10366,MATCH(CONCATENATE('Tabular Pop Data by Age'!$C206,'Tabular Pop Data by Age'!T$7),'Population Data by Age'!$B$7:$B$10366,0),MATCH('Tabular Pop Data by Age'!$C$6,'Population Data by Age'!$B$6:$H$6,0))</f>
        <v>3031000</v>
      </c>
      <c r="U206" s="78">
        <f>INDEX('Population Data by Age'!$B$7:$H$10366,MATCH(CONCATENATE('Tabular Pop Data by Age'!$C206,'Tabular Pop Data by Age'!U$7),'Population Data by Age'!$B$7:$B$10366,0),MATCH('Tabular Pop Data by Age'!$C$6,'Population Data by Age'!$B$6:$H$6,0))</f>
        <v>2977000</v>
      </c>
      <c r="V206" s="78">
        <f>INDEX('Population Data by Age'!$B$7:$H$10366,MATCH(CONCATENATE('Tabular Pop Data by Age'!$C206,'Tabular Pop Data by Age'!V$7),'Population Data by Age'!$B$7:$B$10366,0),MATCH('Tabular Pop Data by Age'!$C$6,'Population Data by Age'!$B$6:$H$6,0))</f>
        <v>2777000</v>
      </c>
      <c r="W206" s="78">
        <f>INDEX('Population Data by Age'!$B$7:$H$10366,MATCH(CONCATENATE('Tabular Pop Data by Age'!$C206,'Tabular Pop Data by Age'!W$7),'Population Data by Age'!$B$7:$B$10366,0),MATCH('Tabular Pop Data by Age'!$C$6,'Population Data by Age'!$B$6:$H$6,0))</f>
        <v>2662000</v>
      </c>
      <c r="X206" s="78">
        <f>INDEX('Population Data by Age'!$B$7:$H$10366,MATCH(CONCATENATE('Tabular Pop Data by Age'!$C206,'Tabular Pop Data by Age'!X$7),'Population Data by Age'!$B$7:$B$10366,0),MATCH('Tabular Pop Data by Age'!$C$6,'Population Data by Age'!$B$6:$H$6,0))</f>
        <v>2439000</v>
      </c>
      <c r="Y206" s="78">
        <f>INDEX('Population Data by Age'!$B$7:$H$10366,MATCH(CONCATENATE('Tabular Pop Data by Age'!$C206,'Tabular Pop Data by Age'!Y$7),'Population Data by Age'!$B$7:$B$10366,0),MATCH('Tabular Pop Data by Age'!$C$6,'Population Data by Age'!$B$6:$H$6,0))</f>
        <v>2316000</v>
      </c>
      <c r="Z206" s="78">
        <f>INDEX('Population Data by Age'!$B$7:$H$10366,MATCH(CONCATENATE('Tabular Pop Data by Age'!$C206,'Tabular Pop Data by Age'!Z$7),'Population Data by Age'!$B$7:$B$10366,0),MATCH('Tabular Pop Data by Age'!$C$6,'Population Data by Age'!$B$6:$H$6,0))</f>
        <v>2164000</v>
      </c>
      <c r="AA206" s="78">
        <f>INDEX('Population Data by Age'!$B$7:$H$10366,MATCH(CONCATENATE('Tabular Pop Data by Age'!$C206,'Tabular Pop Data by Age'!AA$7),'Population Data by Age'!$B$7:$B$10366,0),MATCH('Tabular Pop Data by Age'!$C$6,'Population Data by Age'!$B$6:$H$6,0))</f>
        <v>1989000</v>
      </c>
      <c r="AB206" s="78">
        <f>INDEX('Population Data by Age'!$B$7:$H$10366,MATCH(CONCATENATE('Tabular Pop Data by Age'!$C206,'Tabular Pop Data by Age'!AB$7),'Population Data by Age'!$B$7:$B$10366,0),MATCH('Tabular Pop Data by Age'!$C$6,'Population Data by Age'!$B$6:$H$6,0))</f>
        <v>1865000</v>
      </c>
      <c r="AC206" s="78">
        <f>INDEX('Population Data by Age'!$B$7:$H$10366,MATCH(CONCATENATE('Tabular Pop Data by Age'!$C206,'Tabular Pop Data by Age'!AC$7),'Population Data by Age'!$B$7:$B$10366,0),MATCH('Tabular Pop Data by Age'!$C$6,'Population Data by Age'!$B$6:$H$6,0))</f>
        <v>1581000</v>
      </c>
      <c r="AD206" s="78">
        <f>INDEX('Population Data by Age'!$B$7:$H$10366,MATCH(CONCATENATE('Tabular Pop Data by Age'!$C206,'Tabular Pop Data by Age'!AD$7),'Population Data by Age'!$B$7:$B$10366,0),MATCH('Tabular Pop Data by Age'!$C$6,'Population Data by Age'!$B$6:$H$6,0))</f>
        <v>1534000</v>
      </c>
      <c r="AE206" s="78">
        <f>INDEX('Population Data by Age'!$B$7:$H$10366,MATCH(CONCATENATE('Tabular Pop Data by Age'!$C206,'Tabular Pop Data by Age'!AE$7),'Population Data by Age'!$B$7:$B$10366,0),MATCH('Tabular Pop Data by Age'!$C$6,'Population Data by Age'!$B$6:$H$6,0))</f>
        <v>1213000</v>
      </c>
      <c r="AF206" s="78">
        <f>INDEX('Population Data by Age'!$B$7:$H$10366,MATCH(CONCATENATE('Tabular Pop Data by Age'!$C206,'Tabular Pop Data by Age'!AF$7),'Population Data by Age'!$B$7:$B$10366,0),MATCH('Tabular Pop Data by Age'!$C$6,'Population Data by Age'!$B$6:$H$6,0))</f>
        <v>1109000</v>
      </c>
      <c r="AG206" s="78">
        <f>INDEX('Population Data by Age'!$B$7:$H$10366,MATCH(CONCATENATE('Tabular Pop Data by Age'!$C206,'Tabular Pop Data by Age'!AG$7),'Population Data by Age'!$B$7:$B$10366,0),MATCH('Tabular Pop Data by Age'!$C$6,'Population Data by Age'!$B$6:$H$6,0))</f>
        <v>862000</v>
      </c>
      <c r="AH206" s="78">
        <f>INDEX('Population Data by Age'!$B$7:$H$10366,MATCH(CONCATENATE('Tabular Pop Data by Age'!$C206,'Tabular Pop Data by Age'!AH$7),'Population Data by Age'!$B$7:$B$10366,0),MATCH('Tabular Pop Data by Age'!$C$6,'Population Data by Age'!$B$6:$H$6,0))</f>
        <v>799000</v>
      </c>
      <c r="AI206" s="78">
        <f>INDEX('Population Data by Age'!$B$7:$H$10366,MATCH(CONCATENATE('Tabular Pop Data by Age'!$C206,'Tabular Pop Data by Age'!AI$7),'Population Data by Age'!$B$7:$B$10366,0),MATCH('Tabular Pop Data by Age'!$C$6,'Population Data by Age'!$B$6:$H$6,0))</f>
        <v>584000</v>
      </c>
      <c r="AJ206" s="78">
        <f>INDEX('Population Data by Age'!$B$7:$H$10366,MATCH(CONCATENATE('Tabular Pop Data by Age'!$C206,'Tabular Pop Data by Age'!AJ$7),'Population Data by Age'!$B$7:$B$10366,0),MATCH('Tabular Pop Data by Age'!$C$6,'Population Data by Age'!$B$6:$H$6,0))</f>
        <v>934000</v>
      </c>
      <c r="AK206" s="78">
        <f>INDEX('Population Data by Age'!$B$7:$H$10366,MATCH(CONCATENATE('Tabular Pop Data by Age'!$C206,'Tabular Pop Data by Age'!AK$7),'Population Data by Age'!$B$7:$B$10366,0),MATCH('Tabular Pop Data by Age'!$C$6,'Population Data by Age'!$B$6:$H$6,0))</f>
        <v>541000</v>
      </c>
      <c r="AL206" s="78">
        <f>INDEX('Population Data by Age'!$B$7:$H$10366,MATCH(CONCATENATE('Tabular Pop Data by Age'!$C206,'Tabular Pop Data by Age'!AL$7),'Population Data by Age'!$B$7:$B$10366,0),MATCH('Tabular Pop Data by Age'!$C$6,'Population Data by Age'!$B$6:$H$6,0))</f>
        <v>42703000</v>
      </c>
      <c r="AM206" s="78">
        <f>INDEX('Population Data by Age'!$B$7:$H$10366,MATCH(CONCATENATE('Tabular Pop Data by Age'!$C206,'Tabular Pop Data by Age'!AM$7),'Population Data by Age'!$B$7:$B$10366,0),MATCH('Tabular Pop Data by Age'!$C$6,'Population Data by Age'!$B$6:$H$6,0))</f>
        <v>41636000</v>
      </c>
      <c r="AN206" s="78">
        <f>INDEX('Population Data by Age'!$B$7:$H$10366,MATCH(CONCATENATE('Tabular Pop Data by Age'!$C206,'Tabular Pop Data by Age'!AN$7),'Population Data by Age'!$B$7:$B$10366,0),MATCH('Tabular Pop Data by Age'!$C$6,'Population Data by Age'!$B$6:$H$6,0))</f>
        <v>84339000</v>
      </c>
      <c r="AO206" s="78">
        <f>INDEX('Population Data by Age'!$B$7:$H$10366,MATCH(CONCATENATE('Tabular Pop Data by Age'!$C206,'Tabular Pop Data by Age'!AO$7),'Population Data by Age'!$B$7:$B$10366,0),MATCH('Tabular Pop Data by Age'!$C$6,'Population Data by Age'!$B$6:$H$6,0))</f>
        <v>0</v>
      </c>
      <c r="AP206" s="79">
        <f t="shared" si="51"/>
        <v>6567000</v>
      </c>
      <c r="AQ206" s="79">
        <f t="shared" si="52"/>
        <v>6852000</v>
      </c>
      <c r="AR206" s="79">
        <f t="shared" si="53"/>
        <v>6773000</v>
      </c>
      <c r="AS206" s="79">
        <f t="shared" si="54"/>
        <v>6822000</v>
      </c>
      <c r="AT206" s="79">
        <f t="shared" si="55"/>
        <v>6770000</v>
      </c>
      <c r="AU206" s="79">
        <f t="shared" si="56"/>
        <v>6404000</v>
      </c>
      <c r="AV206" s="79">
        <f t="shared" si="57"/>
        <v>6395000</v>
      </c>
      <c r="AW206" s="79">
        <f t="shared" si="58"/>
        <v>6380000</v>
      </c>
      <c r="AX206" s="79">
        <f t="shared" si="59"/>
        <v>6008000</v>
      </c>
      <c r="AY206" s="79">
        <f t="shared" si="60"/>
        <v>5439000</v>
      </c>
      <c r="AZ206" s="79">
        <f t="shared" si="61"/>
        <v>4755000</v>
      </c>
      <c r="BA206" s="79">
        <f t="shared" si="62"/>
        <v>4153000</v>
      </c>
      <c r="BB206" s="79">
        <f t="shared" si="63"/>
        <v>3446000</v>
      </c>
      <c r="BC206" s="79">
        <f t="shared" si="64"/>
        <v>2747000</v>
      </c>
      <c r="BD206" s="79">
        <f t="shared" si="65"/>
        <v>1971000</v>
      </c>
      <c r="BE206" s="79">
        <f t="shared" si="66"/>
        <v>1383000</v>
      </c>
      <c r="BF206" s="79">
        <f t="shared" si="67"/>
        <v>1475000</v>
      </c>
    </row>
    <row r="207" spans="1:58" x14ac:dyDescent="0.25">
      <c r="A207" s="138" t="s">
        <v>1195</v>
      </c>
      <c r="B207" t="s">
        <v>658</v>
      </c>
      <c r="C207" t="s">
        <v>139</v>
      </c>
      <c r="D207" s="78">
        <f>INDEX('Population Data by Age'!$B$7:$H$10366,MATCH(CONCATENATE('Tabular Pop Data by Age'!$C207,'Tabular Pop Data by Age'!D$7),'Population Data by Age'!$B$7:$B$10366,0),MATCH('Tabular Pop Data by Age'!$C$6,'Population Data by Age'!$B$6:$H$6,0))</f>
        <v>326000</v>
      </c>
      <c r="E207" s="78">
        <f>INDEX('Population Data by Age'!$B$7:$H$10366,MATCH(CONCATENATE('Tabular Pop Data by Age'!$C207,'Tabular Pop Data by Age'!E$7),'Population Data by Age'!$B$7:$B$10366,0),MATCH('Tabular Pop Data by Age'!$C$6,'Population Data by Age'!$B$6:$H$6,0))</f>
        <v>335000</v>
      </c>
      <c r="F207" s="78">
        <f>INDEX('Population Data by Age'!$B$7:$H$10366,MATCH(CONCATENATE('Tabular Pop Data by Age'!$C207,'Tabular Pop Data by Age'!F$7),'Population Data by Age'!$B$7:$B$10366,0),MATCH('Tabular Pop Data by Age'!$C$6,'Population Data by Age'!$B$6:$H$6,0))</f>
        <v>331000</v>
      </c>
      <c r="G207" s="78">
        <f>INDEX('Population Data by Age'!$B$7:$H$10366,MATCH(CONCATENATE('Tabular Pop Data by Age'!$C207,'Tabular Pop Data by Age'!G$7),'Population Data by Age'!$B$7:$B$10366,0),MATCH('Tabular Pop Data by Age'!$C$6,'Population Data by Age'!$B$6:$H$6,0))</f>
        <v>341000</v>
      </c>
      <c r="H207" s="78">
        <f>INDEX('Population Data by Age'!$B$7:$H$10366,MATCH(CONCATENATE('Tabular Pop Data by Age'!$C207,'Tabular Pop Data by Age'!H$7),'Population Data by Age'!$B$7:$B$10366,0),MATCH('Tabular Pop Data by Age'!$C$6,'Population Data by Age'!$B$6:$H$6,0))</f>
        <v>259000</v>
      </c>
      <c r="I207" s="78">
        <f>INDEX('Population Data by Age'!$B$7:$H$10366,MATCH(CONCATENATE('Tabular Pop Data by Age'!$C207,'Tabular Pop Data by Age'!I$7),'Population Data by Age'!$B$7:$B$10366,0),MATCH('Tabular Pop Data by Age'!$C$6,'Population Data by Age'!$B$6:$H$6,0))</f>
        <v>265000</v>
      </c>
      <c r="J207" s="78">
        <f>INDEX('Population Data by Age'!$B$7:$H$10366,MATCH(CONCATENATE('Tabular Pop Data by Age'!$C207,'Tabular Pop Data by Age'!J$7),'Population Data by Age'!$B$7:$B$10366,0),MATCH('Tabular Pop Data by Age'!$C$6,'Population Data by Age'!$B$6:$H$6,0))</f>
        <v>240000</v>
      </c>
      <c r="K207" s="78">
        <f>INDEX('Population Data by Age'!$B$7:$H$10366,MATCH(CONCATENATE('Tabular Pop Data by Age'!$C207,'Tabular Pop Data by Age'!K$7),'Population Data by Age'!$B$7:$B$10366,0),MATCH('Tabular Pop Data by Age'!$C$6,'Population Data by Age'!$B$6:$H$6,0))</f>
        <v>245000</v>
      </c>
      <c r="L207" s="78">
        <f>INDEX('Population Data by Age'!$B$7:$H$10366,MATCH(CONCATENATE('Tabular Pop Data by Age'!$C207,'Tabular Pop Data by Age'!L$7),'Population Data by Age'!$B$7:$B$10366,0),MATCH('Tabular Pop Data by Age'!$C$6,'Population Data by Age'!$B$6:$H$6,0))</f>
        <v>228000</v>
      </c>
      <c r="M207" s="78">
        <f>INDEX('Population Data by Age'!$B$7:$H$10366,MATCH(CONCATENATE('Tabular Pop Data by Age'!$C207,'Tabular Pop Data by Age'!M$7),'Population Data by Age'!$B$7:$B$10366,0),MATCH('Tabular Pop Data by Age'!$C$6,'Population Data by Age'!$B$6:$H$6,0))</f>
        <v>233000</v>
      </c>
      <c r="N207" s="78">
        <f>INDEX('Population Data by Age'!$B$7:$H$10366,MATCH(CONCATENATE('Tabular Pop Data by Age'!$C207,'Tabular Pop Data by Age'!N$7),'Population Data by Age'!$B$7:$B$10366,0),MATCH('Tabular Pop Data by Age'!$C$6,'Population Data by Age'!$B$6:$H$6,0))</f>
        <v>272000</v>
      </c>
      <c r="O207" s="78">
        <f>INDEX('Population Data by Age'!$B$7:$H$10366,MATCH(CONCATENATE('Tabular Pop Data by Age'!$C207,'Tabular Pop Data by Age'!O$7),'Population Data by Age'!$B$7:$B$10366,0),MATCH('Tabular Pop Data by Age'!$C$6,'Population Data by Age'!$B$6:$H$6,0))</f>
        <v>276000</v>
      </c>
      <c r="P207" s="78">
        <f>INDEX('Population Data by Age'!$B$7:$H$10366,MATCH(CONCATENATE('Tabular Pop Data by Age'!$C207,'Tabular Pop Data by Age'!P$7),'Population Data by Age'!$B$7:$B$10366,0),MATCH('Tabular Pop Data by Age'!$C$6,'Population Data by Age'!$B$6:$H$6,0))</f>
        <v>263000</v>
      </c>
      <c r="Q207" s="78">
        <f>INDEX('Population Data by Age'!$B$7:$H$10366,MATCH(CONCATENATE('Tabular Pop Data by Age'!$C207,'Tabular Pop Data by Age'!Q$7),'Population Data by Age'!$B$7:$B$10366,0),MATCH('Tabular Pop Data by Age'!$C$6,'Population Data by Age'!$B$6:$H$6,0))</f>
        <v>262000</v>
      </c>
      <c r="R207" s="78">
        <f>INDEX('Population Data by Age'!$B$7:$H$10366,MATCH(CONCATENATE('Tabular Pop Data by Age'!$C207,'Tabular Pop Data by Age'!R$7),'Population Data by Age'!$B$7:$B$10366,0),MATCH('Tabular Pop Data by Age'!$C$6,'Population Data by Age'!$B$6:$H$6,0))</f>
        <v>219000</v>
      </c>
      <c r="S207" s="78">
        <f>INDEX('Population Data by Age'!$B$7:$H$10366,MATCH(CONCATENATE('Tabular Pop Data by Age'!$C207,'Tabular Pop Data by Age'!S$7),'Population Data by Age'!$B$7:$B$10366,0),MATCH('Tabular Pop Data by Age'!$C$6,'Population Data by Age'!$B$6:$H$6,0))</f>
        <v>213000</v>
      </c>
      <c r="T207" s="78">
        <f>INDEX('Population Data by Age'!$B$7:$H$10366,MATCH(CONCATENATE('Tabular Pop Data by Age'!$C207,'Tabular Pop Data by Age'!T$7),'Population Data by Age'!$B$7:$B$10366,0),MATCH('Tabular Pop Data by Age'!$C$6,'Population Data by Age'!$B$6:$H$6,0))</f>
        <v>192000</v>
      </c>
      <c r="U207" s="78">
        <f>INDEX('Population Data by Age'!$B$7:$H$10366,MATCH(CONCATENATE('Tabular Pop Data by Age'!$C207,'Tabular Pop Data by Age'!U$7),'Population Data by Age'!$B$7:$B$10366,0),MATCH('Tabular Pop Data by Age'!$C$6,'Population Data by Age'!$B$6:$H$6,0))</f>
        <v>186000</v>
      </c>
      <c r="V207" s="78">
        <f>INDEX('Population Data by Age'!$B$7:$H$10366,MATCH(CONCATENATE('Tabular Pop Data by Age'!$C207,'Tabular Pop Data by Age'!V$7),'Population Data by Age'!$B$7:$B$10366,0),MATCH('Tabular Pop Data by Age'!$C$6,'Population Data by Age'!$B$6:$H$6,0))</f>
        <v>164000</v>
      </c>
      <c r="W207" s="78">
        <f>INDEX('Population Data by Age'!$B$7:$H$10366,MATCH(CONCATENATE('Tabular Pop Data by Age'!$C207,'Tabular Pop Data by Age'!W$7),'Population Data by Age'!$B$7:$B$10366,0),MATCH('Tabular Pop Data by Age'!$C$6,'Population Data by Age'!$B$6:$H$6,0))</f>
        <v>155000</v>
      </c>
      <c r="X207" s="78">
        <f>INDEX('Population Data by Age'!$B$7:$H$10366,MATCH(CONCATENATE('Tabular Pop Data by Age'!$C207,'Tabular Pop Data by Age'!X$7),'Population Data by Age'!$B$7:$B$10366,0),MATCH('Tabular Pop Data by Age'!$C$6,'Population Data by Age'!$B$6:$H$6,0))</f>
        <v>146000</v>
      </c>
      <c r="Y207" s="78">
        <f>INDEX('Population Data by Age'!$B$7:$H$10366,MATCH(CONCATENATE('Tabular Pop Data by Age'!$C207,'Tabular Pop Data by Age'!Y$7),'Population Data by Age'!$B$7:$B$10366,0),MATCH('Tabular Pop Data by Age'!$C$6,'Population Data by Age'!$B$6:$H$6,0))</f>
        <v>138000</v>
      </c>
      <c r="Z207" s="78">
        <f>INDEX('Population Data by Age'!$B$7:$H$10366,MATCH(CONCATENATE('Tabular Pop Data by Age'!$C207,'Tabular Pop Data by Age'!Z$7),'Population Data by Age'!$B$7:$B$10366,0),MATCH('Tabular Pop Data by Age'!$C$6,'Population Data by Age'!$B$6:$H$6,0))</f>
        <v>138000</v>
      </c>
      <c r="AA207" s="78">
        <f>INDEX('Population Data by Age'!$B$7:$H$10366,MATCH(CONCATENATE('Tabular Pop Data by Age'!$C207,'Tabular Pop Data by Age'!AA$7),'Population Data by Age'!$B$7:$B$10366,0),MATCH('Tabular Pop Data by Age'!$C$6,'Population Data by Age'!$B$6:$H$6,0))</f>
        <v>113000</v>
      </c>
      <c r="AB207" s="78">
        <f>INDEX('Population Data by Age'!$B$7:$H$10366,MATCH(CONCATENATE('Tabular Pop Data by Age'!$C207,'Tabular Pop Data by Age'!AB$7),'Population Data by Age'!$B$7:$B$10366,0),MATCH('Tabular Pop Data by Age'!$C$6,'Population Data by Age'!$B$6:$H$6,0))</f>
        <v>113000</v>
      </c>
      <c r="AC207" s="78">
        <f>INDEX('Population Data by Age'!$B$7:$H$10366,MATCH(CONCATENATE('Tabular Pop Data by Age'!$C207,'Tabular Pop Data by Age'!AC$7),'Population Data by Age'!$B$7:$B$10366,0),MATCH('Tabular Pop Data by Age'!$C$6,'Population Data by Age'!$B$6:$H$6,0))</f>
        <v>88000</v>
      </c>
      <c r="AD207" s="78">
        <f>INDEX('Population Data by Age'!$B$7:$H$10366,MATCH(CONCATENATE('Tabular Pop Data by Age'!$C207,'Tabular Pop Data by Age'!AD$7),'Population Data by Age'!$B$7:$B$10366,0),MATCH('Tabular Pop Data by Age'!$C$6,'Population Data by Age'!$B$6:$H$6,0))</f>
        <v>77000</v>
      </c>
      <c r="AE207" s="78">
        <f>INDEX('Population Data by Age'!$B$7:$H$10366,MATCH(CONCATENATE('Tabular Pop Data by Age'!$C207,'Tabular Pop Data by Age'!AE$7),'Population Data by Age'!$B$7:$B$10366,0),MATCH('Tabular Pop Data by Age'!$C$6,'Population Data by Age'!$B$6:$H$6,0))</f>
        <v>56000</v>
      </c>
      <c r="AF207" s="78">
        <f>INDEX('Population Data by Age'!$B$7:$H$10366,MATCH(CONCATENATE('Tabular Pop Data by Age'!$C207,'Tabular Pop Data by Age'!AF$7),'Population Data by Age'!$B$7:$B$10366,0),MATCH('Tabular Pop Data by Age'!$C$6,'Population Data by Age'!$B$6:$H$6,0))</f>
        <v>40000</v>
      </c>
      <c r="AG207" s="78">
        <f>INDEX('Population Data by Age'!$B$7:$H$10366,MATCH(CONCATENATE('Tabular Pop Data by Age'!$C207,'Tabular Pop Data by Age'!AG$7),'Population Data by Age'!$B$7:$B$10366,0),MATCH('Tabular Pop Data by Age'!$C$6,'Population Data by Age'!$B$6:$H$6,0))</f>
        <v>29000</v>
      </c>
      <c r="AH207" s="78">
        <f>INDEX('Population Data by Age'!$B$7:$H$10366,MATCH(CONCATENATE('Tabular Pop Data by Age'!$C207,'Tabular Pop Data by Age'!AH$7),'Population Data by Age'!$B$7:$B$10366,0),MATCH('Tabular Pop Data by Age'!$C$6,'Population Data by Age'!$B$6:$H$6,0))</f>
        <v>20000</v>
      </c>
      <c r="AI207" s="78">
        <f>INDEX('Population Data by Age'!$B$7:$H$10366,MATCH(CONCATENATE('Tabular Pop Data by Age'!$C207,'Tabular Pop Data by Age'!AI$7),'Population Data by Age'!$B$7:$B$10366,0),MATCH('Tabular Pop Data by Age'!$C$6,'Population Data by Age'!$B$6:$H$6,0))</f>
        <v>14000</v>
      </c>
      <c r="AJ207" s="78">
        <f>INDEX('Population Data by Age'!$B$7:$H$10366,MATCH(CONCATENATE('Tabular Pop Data by Age'!$C207,'Tabular Pop Data by Age'!AJ$7),'Population Data by Age'!$B$7:$B$10366,0),MATCH('Tabular Pop Data by Age'!$C$6,'Population Data by Age'!$B$6:$H$6,0))</f>
        <v>33000</v>
      </c>
      <c r="AK207" s="78">
        <f>INDEX('Population Data by Age'!$B$7:$H$10366,MATCH(CONCATENATE('Tabular Pop Data by Age'!$C207,'Tabular Pop Data by Age'!AK$7),'Population Data by Age'!$B$7:$B$10366,0),MATCH('Tabular Pop Data by Age'!$C$6,'Population Data by Age'!$B$6:$H$6,0))</f>
        <v>18000</v>
      </c>
      <c r="AL207" s="78">
        <f>INDEX('Population Data by Age'!$B$7:$H$10366,MATCH(CONCATENATE('Tabular Pop Data by Age'!$C207,'Tabular Pop Data by Age'!AL$7),'Population Data by Age'!$B$7:$B$10366,0),MATCH('Tabular Pop Data by Age'!$C$6,'Population Data by Age'!$B$6:$H$6,0))</f>
        <v>3062000</v>
      </c>
      <c r="AM207" s="78">
        <f>INDEX('Population Data by Age'!$B$7:$H$10366,MATCH(CONCATENATE('Tabular Pop Data by Age'!$C207,'Tabular Pop Data by Age'!AM$7),'Population Data by Age'!$B$7:$B$10366,0),MATCH('Tabular Pop Data by Age'!$C$6,'Population Data by Age'!$B$6:$H$6,0))</f>
        <v>2969000</v>
      </c>
      <c r="AN207" s="78">
        <f>INDEX('Population Data by Age'!$B$7:$H$10366,MATCH(CONCATENATE('Tabular Pop Data by Age'!$C207,'Tabular Pop Data by Age'!AN$7),'Population Data by Age'!$B$7:$B$10366,0),MATCH('Tabular Pop Data by Age'!$C$6,'Population Data by Age'!$B$6:$H$6,0))</f>
        <v>6031000</v>
      </c>
      <c r="AO207" s="78">
        <f>INDEX('Population Data by Age'!$B$7:$H$10366,MATCH(CONCATENATE('Tabular Pop Data by Age'!$C207,'Tabular Pop Data by Age'!AO$7),'Population Data by Age'!$B$7:$B$10366,0),MATCH('Tabular Pop Data by Age'!$C$6,'Population Data by Age'!$B$6:$H$6,0))</f>
        <v>0</v>
      </c>
      <c r="AP207" s="79">
        <f t="shared" si="51"/>
        <v>661000</v>
      </c>
      <c r="AQ207" s="79">
        <f t="shared" si="52"/>
        <v>672000</v>
      </c>
      <c r="AR207" s="79">
        <f t="shared" si="53"/>
        <v>524000</v>
      </c>
      <c r="AS207" s="79">
        <f t="shared" si="54"/>
        <v>485000</v>
      </c>
      <c r="AT207" s="79">
        <f t="shared" si="55"/>
        <v>461000</v>
      </c>
      <c r="AU207" s="79">
        <f t="shared" si="56"/>
        <v>548000</v>
      </c>
      <c r="AV207" s="79">
        <f t="shared" si="57"/>
        <v>525000</v>
      </c>
      <c r="AW207" s="79">
        <f t="shared" si="58"/>
        <v>432000</v>
      </c>
      <c r="AX207" s="79">
        <f t="shared" si="59"/>
        <v>378000</v>
      </c>
      <c r="AY207" s="79">
        <f t="shared" si="60"/>
        <v>319000</v>
      </c>
      <c r="AZ207" s="79">
        <f t="shared" si="61"/>
        <v>284000</v>
      </c>
      <c r="BA207" s="79">
        <f t="shared" si="62"/>
        <v>251000</v>
      </c>
      <c r="BB207" s="79">
        <f t="shared" si="63"/>
        <v>201000</v>
      </c>
      <c r="BC207" s="79">
        <f t="shared" si="64"/>
        <v>133000</v>
      </c>
      <c r="BD207" s="79">
        <f t="shared" si="65"/>
        <v>69000</v>
      </c>
      <c r="BE207" s="79">
        <f t="shared" si="66"/>
        <v>34000</v>
      </c>
      <c r="BF207" s="79">
        <f t="shared" si="67"/>
        <v>51000</v>
      </c>
    </row>
    <row r="208" spans="1:58" x14ac:dyDescent="0.25">
      <c r="A208" s="138" t="s">
        <v>1195</v>
      </c>
      <c r="B208" t="s">
        <v>659</v>
      </c>
      <c r="C208" t="s">
        <v>660</v>
      </c>
      <c r="D208" s="78">
        <f>INDEX('Population Data by Age'!$B$7:$H$10366,MATCH(CONCATENATE('Tabular Pop Data by Age'!$C208,'Tabular Pop Data by Age'!D$7),'Population Data by Age'!$B$7:$B$10366,0),MATCH('Tabular Pop Data by Age'!$C$6,'Population Data by Age'!$B$6:$H$6,0))</f>
        <v>0</v>
      </c>
      <c r="E208" s="78">
        <f>INDEX('Population Data by Age'!$B$7:$H$10366,MATCH(CONCATENATE('Tabular Pop Data by Age'!$C208,'Tabular Pop Data by Age'!E$7),'Population Data by Age'!$B$7:$B$10366,0),MATCH('Tabular Pop Data by Age'!$C$6,'Population Data by Age'!$B$6:$H$6,0))</f>
        <v>0</v>
      </c>
      <c r="F208" s="78">
        <f>INDEX('Population Data by Age'!$B$7:$H$10366,MATCH(CONCATENATE('Tabular Pop Data by Age'!$C208,'Tabular Pop Data by Age'!F$7),'Population Data by Age'!$B$7:$B$10366,0),MATCH('Tabular Pop Data by Age'!$C$6,'Population Data by Age'!$B$6:$H$6,0))</f>
        <v>0</v>
      </c>
      <c r="G208" s="78">
        <f>INDEX('Population Data by Age'!$B$7:$H$10366,MATCH(CONCATENATE('Tabular Pop Data by Age'!$C208,'Tabular Pop Data by Age'!G$7),'Population Data by Age'!$B$7:$B$10366,0),MATCH('Tabular Pop Data by Age'!$C$6,'Population Data by Age'!$B$6:$H$6,0))</f>
        <v>0</v>
      </c>
      <c r="H208" s="78">
        <f>INDEX('Population Data by Age'!$B$7:$H$10366,MATCH(CONCATENATE('Tabular Pop Data by Age'!$C208,'Tabular Pop Data by Age'!H$7),'Population Data by Age'!$B$7:$B$10366,0),MATCH('Tabular Pop Data by Age'!$C$6,'Population Data by Age'!$B$6:$H$6,0))</f>
        <v>0</v>
      </c>
      <c r="I208" s="78">
        <f>INDEX('Population Data by Age'!$B$7:$H$10366,MATCH(CONCATENATE('Tabular Pop Data by Age'!$C208,'Tabular Pop Data by Age'!I$7),'Population Data by Age'!$B$7:$B$10366,0),MATCH('Tabular Pop Data by Age'!$C$6,'Population Data by Age'!$B$6:$H$6,0))</f>
        <v>0</v>
      </c>
      <c r="J208" s="78">
        <f>INDEX('Population Data by Age'!$B$7:$H$10366,MATCH(CONCATENATE('Tabular Pop Data by Age'!$C208,'Tabular Pop Data by Age'!J$7),'Population Data by Age'!$B$7:$B$10366,0),MATCH('Tabular Pop Data by Age'!$C$6,'Population Data by Age'!$B$6:$H$6,0))</f>
        <v>0</v>
      </c>
      <c r="K208" s="78">
        <f>INDEX('Population Data by Age'!$B$7:$H$10366,MATCH(CONCATENATE('Tabular Pop Data by Age'!$C208,'Tabular Pop Data by Age'!K$7),'Population Data by Age'!$B$7:$B$10366,0),MATCH('Tabular Pop Data by Age'!$C$6,'Population Data by Age'!$B$6:$H$6,0))</f>
        <v>0</v>
      </c>
      <c r="L208" s="78">
        <f>INDEX('Population Data by Age'!$B$7:$H$10366,MATCH(CONCATENATE('Tabular Pop Data by Age'!$C208,'Tabular Pop Data by Age'!L$7),'Population Data by Age'!$B$7:$B$10366,0),MATCH('Tabular Pop Data by Age'!$C$6,'Population Data by Age'!$B$6:$H$6,0))</f>
        <v>0</v>
      </c>
      <c r="M208" s="78">
        <f>INDEX('Population Data by Age'!$B$7:$H$10366,MATCH(CONCATENATE('Tabular Pop Data by Age'!$C208,'Tabular Pop Data by Age'!M$7),'Population Data by Age'!$B$7:$B$10366,0),MATCH('Tabular Pop Data by Age'!$C$6,'Population Data by Age'!$B$6:$H$6,0))</f>
        <v>0</v>
      </c>
      <c r="N208" s="78">
        <f>INDEX('Population Data by Age'!$B$7:$H$10366,MATCH(CONCATENATE('Tabular Pop Data by Age'!$C208,'Tabular Pop Data by Age'!N$7),'Population Data by Age'!$B$7:$B$10366,0),MATCH('Tabular Pop Data by Age'!$C$6,'Population Data by Age'!$B$6:$H$6,0))</f>
        <v>0</v>
      </c>
      <c r="O208" s="78">
        <f>INDEX('Population Data by Age'!$B$7:$H$10366,MATCH(CONCATENATE('Tabular Pop Data by Age'!$C208,'Tabular Pop Data by Age'!O$7),'Population Data by Age'!$B$7:$B$10366,0),MATCH('Tabular Pop Data by Age'!$C$6,'Population Data by Age'!$B$6:$H$6,0))</f>
        <v>0</v>
      </c>
      <c r="P208" s="78">
        <f>INDEX('Population Data by Age'!$B$7:$H$10366,MATCH(CONCATENATE('Tabular Pop Data by Age'!$C208,'Tabular Pop Data by Age'!P$7),'Population Data by Age'!$B$7:$B$10366,0),MATCH('Tabular Pop Data by Age'!$C$6,'Population Data by Age'!$B$6:$H$6,0))</f>
        <v>0</v>
      </c>
      <c r="Q208" s="78">
        <f>INDEX('Population Data by Age'!$B$7:$H$10366,MATCH(CONCATENATE('Tabular Pop Data by Age'!$C208,'Tabular Pop Data by Age'!Q$7),'Population Data by Age'!$B$7:$B$10366,0),MATCH('Tabular Pop Data by Age'!$C$6,'Population Data by Age'!$B$6:$H$6,0))</f>
        <v>0</v>
      </c>
      <c r="R208" s="78">
        <f>INDEX('Population Data by Age'!$B$7:$H$10366,MATCH(CONCATENATE('Tabular Pop Data by Age'!$C208,'Tabular Pop Data by Age'!R$7),'Population Data by Age'!$B$7:$B$10366,0),MATCH('Tabular Pop Data by Age'!$C$6,'Population Data by Age'!$B$6:$H$6,0))</f>
        <v>0</v>
      </c>
      <c r="S208" s="78">
        <f>INDEX('Population Data by Age'!$B$7:$H$10366,MATCH(CONCATENATE('Tabular Pop Data by Age'!$C208,'Tabular Pop Data by Age'!S$7),'Population Data by Age'!$B$7:$B$10366,0),MATCH('Tabular Pop Data by Age'!$C$6,'Population Data by Age'!$B$6:$H$6,0))</f>
        <v>0</v>
      </c>
      <c r="T208" s="78">
        <f>INDEX('Population Data by Age'!$B$7:$H$10366,MATCH(CONCATENATE('Tabular Pop Data by Age'!$C208,'Tabular Pop Data by Age'!T$7),'Population Data by Age'!$B$7:$B$10366,0),MATCH('Tabular Pop Data by Age'!$C$6,'Population Data by Age'!$B$6:$H$6,0))</f>
        <v>0</v>
      </c>
      <c r="U208" s="78">
        <f>INDEX('Population Data by Age'!$B$7:$H$10366,MATCH(CONCATENATE('Tabular Pop Data by Age'!$C208,'Tabular Pop Data by Age'!U$7),'Population Data by Age'!$B$7:$B$10366,0),MATCH('Tabular Pop Data by Age'!$C$6,'Population Data by Age'!$B$6:$H$6,0))</f>
        <v>0</v>
      </c>
      <c r="V208" s="78">
        <f>INDEX('Population Data by Age'!$B$7:$H$10366,MATCH(CONCATENATE('Tabular Pop Data by Age'!$C208,'Tabular Pop Data by Age'!V$7),'Population Data by Age'!$B$7:$B$10366,0),MATCH('Tabular Pop Data by Age'!$C$6,'Population Data by Age'!$B$6:$H$6,0))</f>
        <v>0</v>
      </c>
      <c r="W208" s="78">
        <f>INDEX('Population Data by Age'!$B$7:$H$10366,MATCH(CONCATENATE('Tabular Pop Data by Age'!$C208,'Tabular Pop Data by Age'!W$7),'Population Data by Age'!$B$7:$B$10366,0),MATCH('Tabular Pop Data by Age'!$C$6,'Population Data by Age'!$B$6:$H$6,0))</f>
        <v>0</v>
      </c>
      <c r="X208" s="78">
        <f>INDEX('Population Data by Age'!$B$7:$H$10366,MATCH(CONCATENATE('Tabular Pop Data by Age'!$C208,'Tabular Pop Data by Age'!X$7),'Population Data by Age'!$B$7:$B$10366,0),MATCH('Tabular Pop Data by Age'!$C$6,'Population Data by Age'!$B$6:$H$6,0))</f>
        <v>0</v>
      </c>
      <c r="Y208" s="78">
        <f>INDEX('Population Data by Age'!$B$7:$H$10366,MATCH(CONCATENATE('Tabular Pop Data by Age'!$C208,'Tabular Pop Data by Age'!Y$7),'Population Data by Age'!$B$7:$B$10366,0),MATCH('Tabular Pop Data by Age'!$C$6,'Population Data by Age'!$B$6:$H$6,0))</f>
        <v>0</v>
      </c>
      <c r="Z208" s="78">
        <f>INDEX('Population Data by Age'!$B$7:$H$10366,MATCH(CONCATENATE('Tabular Pop Data by Age'!$C208,'Tabular Pop Data by Age'!Z$7),'Population Data by Age'!$B$7:$B$10366,0),MATCH('Tabular Pop Data by Age'!$C$6,'Population Data by Age'!$B$6:$H$6,0))</f>
        <v>0</v>
      </c>
      <c r="AA208" s="78">
        <f>INDEX('Population Data by Age'!$B$7:$H$10366,MATCH(CONCATENATE('Tabular Pop Data by Age'!$C208,'Tabular Pop Data by Age'!AA$7),'Population Data by Age'!$B$7:$B$10366,0),MATCH('Tabular Pop Data by Age'!$C$6,'Population Data by Age'!$B$6:$H$6,0))</f>
        <v>0</v>
      </c>
      <c r="AB208" s="78">
        <f>INDEX('Population Data by Age'!$B$7:$H$10366,MATCH(CONCATENATE('Tabular Pop Data by Age'!$C208,'Tabular Pop Data by Age'!AB$7),'Population Data by Age'!$B$7:$B$10366,0),MATCH('Tabular Pop Data by Age'!$C$6,'Population Data by Age'!$B$6:$H$6,0))</f>
        <v>0</v>
      </c>
      <c r="AC208" s="78">
        <f>INDEX('Population Data by Age'!$B$7:$H$10366,MATCH(CONCATENATE('Tabular Pop Data by Age'!$C208,'Tabular Pop Data by Age'!AC$7),'Population Data by Age'!$B$7:$B$10366,0),MATCH('Tabular Pop Data by Age'!$C$6,'Population Data by Age'!$B$6:$H$6,0))</f>
        <v>0</v>
      </c>
      <c r="AD208" s="78">
        <f>INDEX('Population Data by Age'!$B$7:$H$10366,MATCH(CONCATENATE('Tabular Pop Data by Age'!$C208,'Tabular Pop Data by Age'!AD$7),'Population Data by Age'!$B$7:$B$10366,0),MATCH('Tabular Pop Data by Age'!$C$6,'Population Data by Age'!$B$6:$H$6,0))</f>
        <v>0</v>
      </c>
      <c r="AE208" s="78">
        <f>INDEX('Population Data by Age'!$B$7:$H$10366,MATCH(CONCATENATE('Tabular Pop Data by Age'!$C208,'Tabular Pop Data by Age'!AE$7),'Population Data by Age'!$B$7:$B$10366,0),MATCH('Tabular Pop Data by Age'!$C$6,'Population Data by Age'!$B$6:$H$6,0))</f>
        <v>0</v>
      </c>
      <c r="AF208" s="78">
        <f>INDEX('Population Data by Age'!$B$7:$H$10366,MATCH(CONCATENATE('Tabular Pop Data by Age'!$C208,'Tabular Pop Data by Age'!AF$7),'Population Data by Age'!$B$7:$B$10366,0),MATCH('Tabular Pop Data by Age'!$C$6,'Population Data by Age'!$B$6:$H$6,0))</f>
        <v>0</v>
      </c>
      <c r="AG208" s="78">
        <f>INDEX('Population Data by Age'!$B$7:$H$10366,MATCH(CONCATENATE('Tabular Pop Data by Age'!$C208,'Tabular Pop Data by Age'!AG$7),'Population Data by Age'!$B$7:$B$10366,0),MATCH('Tabular Pop Data by Age'!$C$6,'Population Data by Age'!$B$6:$H$6,0))</f>
        <v>0</v>
      </c>
      <c r="AH208" s="78">
        <f>INDEX('Population Data by Age'!$B$7:$H$10366,MATCH(CONCATENATE('Tabular Pop Data by Age'!$C208,'Tabular Pop Data by Age'!AH$7),'Population Data by Age'!$B$7:$B$10366,0),MATCH('Tabular Pop Data by Age'!$C$6,'Population Data by Age'!$B$6:$H$6,0))</f>
        <v>0</v>
      </c>
      <c r="AI208" s="78">
        <f>INDEX('Population Data by Age'!$B$7:$H$10366,MATCH(CONCATENATE('Tabular Pop Data by Age'!$C208,'Tabular Pop Data by Age'!AI$7),'Population Data by Age'!$B$7:$B$10366,0),MATCH('Tabular Pop Data by Age'!$C$6,'Population Data by Age'!$B$6:$H$6,0))</f>
        <v>0</v>
      </c>
      <c r="AJ208" s="78">
        <f>INDEX('Population Data by Age'!$B$7:$H$10366,MATCH(CONCATENATE('Tabular Pop Data by Age'!$C208,'Tabular Pop Data by Age'!AJ$7),'Population Data by Age'!$B$7:$B$10366,0),MATCH('Tabular Pop Data by Age'!$C$6,'Population Data by Age'!$B$6:$H$6,0))</f>
        <v>0</v>
      </c>
      <c r="AK208" s="78">
        <f>INDEX('Population Data by Age'!$B$7:$H$10366,MATCH(CONCATENATE('Tabular Pop Data by Age'!$C208,'Tabular Pop Data by Age'!AK$7),'Population Data by Age'!$B$7:$B$10366,0),MATCH('Tabular Pop Data by Age'!$C$6,'Population Data by Age'!$B$6:$H$6,0))</f>
        <v>0</v>
      </c>
      <c r="AL208" s="78">
        <f>INDEX('Population Data by Age'!$B$7:$H$10366,MATCH(CONCATENATE('Tabular Pop Data by Age'!$C208,'Tabular Pop Data by Age'!AL$7),'Population Data by Age'!$B$7:$B$10366,0),MATCH('Tabular Pop Data by Age'!$C$6,'Population Data by Age'!$B$6:$H$6,0))</f>
        <v>0</v>
      </c>
      <c r="AM208" s="78">
        <f>INDEX('Population Data by Age'!$B$7:$H$10366,MATCH(CONCATENATE('Tabular Pop Data by Age'!$C208,'Tabular Pop Data by Age'!AM$7),'Population Data by Age'!$B$7:$B$10366,0),MATCH('Tabular Pop Data by Age'!$C$6,'Population Data by Age'!$B$6:$H$6,0))</f>
        <v>0</v>
      </c>
      <c r="AN208" s="78">
        <f>INDEX('Population Data by Age'!$B$7:$H$10366,MATCH(CONCATENATE('Tabular Pop Data by Age'!$C208,'Tabular Pop Data by Age'!AN$7),'Population Data by Age'!$B$7:$B$10366,0),MATCH('Tabular Pop Data by Age'!$C$6,'Population Data by Age'!$B$6:$H$6,0))</f>
        <v>39000</v>
      </c>
      <c r="AO208" s="78">
        <f>INDEX('Population Data by Age'!$B$7:$H$10366,MATCH(CONCATENATE('Tabular Pop Data by Age'!$C208,'Tabular Pop Data by Age'!AO$7),'Population Data by Age'!$B$7:$B$10366,0),MATCH('Tabular Pop Data by Age'!$C$6,'Population Data by Age'!$B$6:$H$6,0))</f>
        <v>0</v>
      </c>
      <c r="AP208" s="79">
        <f t="shared" si="51"/>
        <v>0</v>
      </c>
      <c r="AQ208" s="79">
        <f t="shared" si="52"/>
        <v>0</v>
      </c>
      <c r="AR208" s="79">
        <f t="shared" si="53"/>
        <v>0</v>
      </c>
      <c r="AS208" s="79">
        <f t="shared" si="54"/>
        <v>0</v>
      </c>
      <c r="AT208" s="79">
        <f t="shared" si="55"/>
        <v>0</v>
      </c>
      <c r="AU208" s="79">
        <f t="shared" si="56"/>
        <v>0</v>
      </c>
      <c r="AV208" s="79">
        <f t="shared" si="57"/>
        <v>0</v>
      </c>
      <c r="AW208" s="79">
        <f t="shared" si="58"/>
        <v>0</v>
      </c>
      <c r="AX208" s="79">
        <f t="shared" si="59"/>
        <v>0</v>
      </c>
      <c r="AY208" s="79">
        <f t="shared" si="60"/>
        <v>0</v>
      </c>
      <c r="AZ208" s="79">
        <f t="shared" si="61"/>
        <v>0</v>
      </c>
      <c r="BA208" s="79">
        <f t="shared" si="62"/>
        <v>0</v>
      </c>
      <c r="BB208" s="79">
        <f t="shared" si="63"/>
        <v>0</v>
      </c>
      <c r="BC208" s="79">
        <f t="shared" si="64"/>
        <v>0</v>
      </c>
      <c r="BD208" s="79">
        <f t="shared" si="65"/>
        <v>0</v>
      </c>
      <c r="BE208" s="79">
        <f t="shared" si="66"/>
        <v>0</v>
      </c>
      <c r="BF208" s="79">
        <f t="shared" si="67"/>
        <v>0</v>
      </c>
    </row>
    <row r="209" spans="1:58" x14ac:dyDescent="0.25">
      <c r="A209" s="138" t="s">
        <v>1195</v>
      </c>
      <c r="B209" t="s">
        <v>257</v>
      </c>
      <c r="C209" t="s">
        <v>145</v>
      </c>
      <c r="D209" s="78">
        <f>INDEX('Population Data by Age'!$B$7:$H$10366,MATCH(CONCATENATE('Tabular Pop Data by Age'!$C209,'Tabular Pop Data by Age'!D$7),'Population Data by Age'!$B$7:$B$10366,0),MATCH('Tabular Pop Data by Age'!$C$6,'Population Data by Age'!$B$6:$H$6,0))</f>
        <v>0</v>
      </c>
      <c r="E209" s="78">
        <f>INDEX('Population Data by Age'!$B$7:$H$10366,MATCH(CONCATENATE('Tabular Pop Data by Age'!$C209,'Tabular Pop Data by Age'!E$7),'Population Data by Age'!$B$7:$B$10366,0),MATCH('Tabular Pop Data by Age'!$C$6,'Population Data by Age'!$B$6:$H$6,0))</f>
        <v>0</v>
      </c>
      <c r="F209" s="78">
        <f>INDEX('Population Data by Age'!$B$7:$H$10366,MATCH(CONCATENATE('Tabular Pop Data by Age'!$C209,'Tabular Pop Data by Age'!F$7),'Population Data by Age'!$B$7:$B$10366,0),MATCH('Tabular Pop Data by Age'!$C$6,'Population Data by Age'!$B$6:$H$6,0))</f>
        <v>0</v>
      </c>
      <c r="G209" s="78">
        <f>INDEX('Population Data by Age'!$B$7:$H$10366,MATCH(CONCATENATE('Tabular Pop Data by Age'!$C209,'Tabular Pop Data by Age'!G$7),'Population Data by Age'!$B$7:$B$10366,0),MATCH('Tabular Pop Data by Age'!$C$6,'Population Data by Age'!$B$6:$H$6,0))</f>
        <v>0</v>
      </c>
      <c r="H209" s="78">
        <f>INDEX('Population Data by Age'!$B$7:$H$10366,MATCH(CONCATENATE('Tabular Pop Data by Age'!$C209,'Tabular Pop Data by Age'!H$7),'Population Data by Age'!$B$7:$B$10366,0),MATCH('Tabular Pop Data by Age'!$C$6,'Population Data by Age'!$B$6:$H$6,0))</f>
        <v>0</v>
      </c>
      <c r="I209" s="78">
        <f>INDEX('Population Data by Age'!$B$7:$H$10366,MATCH(CONCATENATE('Tabular Pop Data by Age'!$C209,'Tabular Pop Data by Age'!I$7),'Population Data by Age'!$B$7:$B$10366,0),MATCH('Tabular Pop Data by Age'!$C$6,'Population Data by Age'!$B$6:$H$6,0))</f>
        <v>0</v>
      </c>
      <c r="J209" s="78">
        <f>INDEX('Population Data by Age'!$B$7:$H$10366,MATCH(CONCATENATE('Tabular Pop Data by Age'!$C209,'Tabular Pop Data by Age'!J$7),'Population Data by Age'!$B$7:$B$10366,0),MATCH('Tabular Pop Data by Age'!$C$6,'Population Data by Age'!$B$6:$H$6,0))</f>
        <v>0</v>
      </c>
      <c r="K209" s="78">
        <f>INDEX('Population Data by Age'!$B$7:$H$10366,MATCH(CONCATENATE('Tabular Pop Data by Age'!$C209,'Tabular Pop Data by Age'!K$7),'Population Data by Age'!$B$7:$B$10366,0),MATCH('Tabular Pop Data by Age'!$C$6,'Population Data by Age'!$B$6:$H$6,0))</f>
        <v>0</v>
      </c>
      <c r="L209" s="78">
        <f>INDEX('Population Data by Age'!$B$7:$H$10366,MATCH(CONCATENATE('Tabular Pop Data by Age'!$C209,'Tabular Pop Data by Age'!L$7),'Population Data by Age'!$B$7:$B$10366,0),MATCH('Tabular Pop Data by Age'!$C$6,'Population Data by Age'!$B$6:$H$6,0))</f>
        <v>0</v>
      </c>
      <c r="M209" s="78">
        <f>INDEX('Population Data by Age'!$B$7:$H$10366,MATCH(CONCATENATE('Tabular Pop Data by Age'!$C209,'Tabular Pop Data by Age'!M$7),'Population Data by Age'!$B$7:$B$10366,0),MATCH('Tabular Pop Data by Age'!$C$6,'Population Data by Age'!$B$6:$H$6,0))</f>
        <v>0</v>
      </c>
      <c r="N209" s="78">
        <f>INDEX('Population Data by Age'!$B$7:$H$10366,MATCH(CONCATENATE('Tabular Pop Data by Age'!$C209,'Tabular Pop Data by Age'!N$7),'Population Data by Age'!$B$7:$B$10366,0),MATCH('Tabular Pop Data by Age'!$C$6,'Population Data by Age'!$B$6:$H$6,0))</f>
        <v>0</v>
      </c>
      <c r="O209" s="78">
        <f>INDEX('Population Data by Age'!$B$7:$H$10366,MATCH(CONCATENATE('Tabular Pop Data by Age'!$C209,'Tabular Pop Data by Age'!O$7),'Population Data by Age'!$B$7:$B$10366,0),MATCH('Tabular Pop Data by Age'!$C$6,'Population Data by Age'!$B$6:$H$6,0))</f>
        <v>0</v>
      </c>
      <c r="P209" s="78">
        <f>INDEX('Population Data by Age'!$B$7:$H$10366,MATCH(CONCATENATE('Tabular Pop Data by Age'!$C209,'Tabular Pop Data by Age'!P$7),'Population Data by Age'!$B$7:$B$10366,0),MATCH('Tabular Pop Data by Age'!$C$6,'Population Data by Age'!$B$6:$H$6,0))</f>
        <v>0</v>
      </c>
      <c r="Q209" s="78">
        <f>INDEX('Population Data by Age'!$B$7:$H$10366,MATCH(CONCATENATE('Tabular Pop Data by Age'!$C209,'Tabular Pop Data by Age'!Q$7),'Population Data by Age'!$B$7:$B$10366,0),MATCH('Tabular Pop Data by Age'!$C$6,'Population Data by Age'!$B$6:$H$6,0))</f>
        <v>0</v>
      </c>
      <c r="R209" s="78">
        <f>INDEX('Population Data by Age'!$B$7:$H$10366,MATCH(CONCATENATE('Tabular Pop Data by Age'!$C209,'Tabular Pop Data by Age'!R$7),'Population Data by Age'!$B$7:$B$10366,0),MATCH('Tabular Pop Data by Age'!$C$6,'Population Data by Age'!$B$6:$H$6,0))</f>
        <v>0</v>
      </c>
      <c r="S209" s="78">
        <f>INDEX('Population Data by Age'!$B$7:$H$10366,MATCH(CONCATENATE('Tabular Pop Data by Age'!$C209,'Tabular Pop Data by Age'!S$7),'Population Data by Age'!$B$7:$B$10366,0),MATCH('Tabular Pop Data by Age'!$C$6,'Population Data by Age'!$B$6:$H$6,0))</f>
        <v>0</v>
      </c>
      <c r="T209" s="78">
        <f>INDEX('Population Data by Age'!$B$7:$H$10366,MATCH(CONCATENATE('Tabular Pop Data by Age'!$C209,'Tabular Pop Data by Age'!T$7),'Population Data by Age'!$B$7:$B$10366,0),MATCH('Tabular Pop Data by Age'!$C$6,'Population Data by Age'!$B$6:$H$6,0))</f>
        <v>0</v>
      </c>
      <c r="U209" s="78">
        <f>INDEX('Population Data by Age'!$B$7:$H$10366,MATCH(CONCATENATE('Tabular Pop Data by Age'!$C209,'Tabular Pop Data by Age'!U$7),'Population Data by Age'!$B$7:$B$10366,0),MATCH('Tabular Pop Data by Age'!$C$6,'Population Data by Age'!$B$6:$H$6,0))</f>
        <v>0</v>
      </c>
      <c r="V209" s="78">
        <f>INDEX('Population Data by Age'!$B$7:$H$10366,MATCH(CONCATENATE('Tabular Pop Data by Age'!$C209,'Tabular Pop Data by Age'!V$7),'Population Data by Age'!$B$7:$B$10366,0),MATCH('Tabular Pop Data by Age'!$C$6,'Population Data by Age'!$B$6:$H$6,0))</f>
        <v>0</v>
      </c>
      <c r="W209" s="78">
        <f>INDEX('Population Data by Age'!$B$7:$H$10366,MATCH(CONCATENATE('Tabular Pop Data by Age'!$C209,'Tabular Pop Data by Age'!W$7),'Population Data by Age'!$B$7:$B$10366,0),MATCH('Tabular Pop Data by Age'!$C$6,'Population Data by Age'!$B$6:$H$6,0))</f>
        <v>0</v>
      </c>
      <c r="X209" s="78">
        <f>INDEX('Population Data by Age'!$B$7:$H$10366,MATCH(CONCATENATE('Tabular Pop Data by Age'!$C209,'Tabular Pop Data by Age'!X$7),'Population Data by Age'!$B$7:$B$10366,0),MATCH('Tabular Pop Data by Age'!$C$6,'Population Data by Age'!$B$6:$H$6,0))</f>
        <v>0</v>
      </c>
      <c r="Y209" s="78">
        <f>INDEX('Population Data by Age'!$B$7:$H$10366,MATCH(CONCATENATE('Tabular Pop Data by Age'!$C209,'Tabular Pop Data by Age'!Y$7),'Population Data by Age'!$B$7:$B$10366,0),MATCH('Tabular Pop Data by Age'!$C$6,'Population Data by Age'!$B$6:$H$6,0))</f>
        <v>0</v>
      </c>
      <c r="Z209" s="78">
        <f>INDEX('Population Data by Age'!$B$7:$H$10366,MATCH(CONCATENATE('Tabular Pop Data by Age'!$C209,'Tabular Pop Data by Age'!Z$7),'Population Data by Age'!$B$7:$B$10366,0),MATCH('Tabular Pop Data by Age'!$C$6,'Population Data by Age'!$B$6:$H$6,0))</f>
        <v>0</v>
      </c>
      <c r="AA209" s="78">
        <f>INDEX('Population Data by Age'!$B$7:$H$10366,MATCH(CONCATENATE('Tabular Pop Data by Age'!$C209,'Tabular Pop Data by Age'!AA$7),'Population Data by Age'!$B$7:$B$10366,0),MATCH('Tabular Pop Data by Age'!$C$6,'Population Data by Age'!$B$6:$H$6,0))</f>
        <v>0</v>
      </c>
      <c r="AB209" s="78">
        <f>INDEX('Population Data by Age'!$B$7:$H$10366,MATCH(CONCATENATE('Tabular Pop Data by Age'!$C209,'Tabular Pop Data by Age'!AB$7),'Population Data by Age'!$B$7:$B$10366,0),MATCH('Tabular Pop Data by Age'!$C$6,'Population Data by Age'!$B$6:$H$6,0))</f>
        <v>0</v>
      </c>
      <c r="AC209" s="78">
        <f>INDEX('Population Data by Age'!$B$7:$H$10366,MATCH(CONCATENATE('Tabular Pop Data by Age'!$C209,'Tabular Pop Data by Age'!AC$7),'Population Data by Age'!$B$7:$B$10366,0),MATCH('Tabular Pop Data by Age'!$C$6,'Population Data by Age'!$B$6:$H$6,0))</f>
        <v>0</v>
      </c>
      <c r="AD209" s="78">
        <f>INDEX('Population Data by Age'!$B$7:$H$10366,MATCH(CONCATENATE('Tabular Pop Data by Age'!$C209,'Tabular Pop Data by Age'!AD$7),'Population Data by Age'!$B$7:$B$10366,0),MATCH('Tabular Pop Data by Age'!$C$6,'Population Data by Age'!$B$6:$H$6,0))</f>
        <v>0</v>
      </c>
      <c r="AE209" s="78">
        <f>INDEX('Population Data by Age'!$B$7:$H$10366,MATCH(CONCATENATE('Tabular Pop Data by Age'!$C209,'Tabular Pop Data by Age'!AE$7),'Population Data by Age'!$B$7:$B$10366,0),MATCH('Tabular Pop Data by Age'!$C$6,'Population Data by Age'!$B$6:$H$6,0))</f>
        <v>0</v>
      </c>
      <c r="AF209" s="78">
        <f>INDEX('Population Data by Age'!$B$7:$H$10366,MATCH(CONCATENATE('Tabular Pop Data by Age'!$C209,'Tabular Pop Data by Age'!AF$7),'Population Data by Age'!$B$7:$B$10366,0),MATCH('Tabular Pop Data by Age'!$C$6,'Population Data by Age'!$B$6:$H$6,0))</f>
        <v>0</v>
      </c>
      <c r="AG209" s="78">
        <f>INDEX('Population Data by Age'!$B$7:$H$10366,MATCH(CONCATENATE('Tabular Pop Data by Age'!$C209,'Tabular Pop Data by Age'!AG$7),'Population Data by Age'!$B$7:$B$10366,0),MATCH('Tabular Pop Data by Age'!$C$6,'Population Data by Age'!$B$6:$H$6,0))</f>
        <v>0</v>
      </c>
      <c r="AH209" s="78">
        <f>INDEX('Population Data by Age'!$B$7:$H$10366,MATCH(CONCATENATE('Tabular Pop Data by Age'!$C209,'Tabular Pop Data by Age'!AH$7),'Population Data by Age'!$B$7:$B$10366,0),MATCH('Tabular Pop Data by Age'!$C$6,'Population Data by Age'!$B$6:$H$6,0))</f>
        <v>0</v>
      </c>
      <c r="AI209" s="78">
        <f>INDEX('Population Data by Age'!$B$7:$H$10366,MATCH(CONCATENATE('Tabular Pop Data by Age'!$C209,'Tabular Pop Data by Age'!AI$7),'Population Data by Age'!$B$7:$B$10366,0),MATCH('Tabular Pop Data by Age'!$C$6,'Population Data by Age'!$B$6:$H$6,0))</f>
        <v>0</v>
      </c>
      <c r="AJ209" s="78">
        <f>INDEX('Population Data by Age'!$B$7:$H$10366,MATCH(CONCATENATE('Tabular Pop Data by Age'!$C209,'Tabular Pop Data by Age'!AJ$7),'Population Data by Age'!$B$7:$B$10366,0),MATCH('Tabular Pop Data by Age'!$C$6,'Population Data by Age'!$B$6:$H$6,0))</f>
        <v>0</v>
      </c>
      <c r="AK209" s="78">
        <f>INDEX('Population Data by Age'!$B$7:$H$10366,MATCH(CONCATENATE('Tabular Pop Data by Age'!$C209,'Tabular Pop Data by Age'!AK$7),'Population Data by Age'!$B$7:$B$10366,0),MATCH('Tabular Pop Data by Age'!$C$6,'Population Data by Age'!$B$6:$H$6,0))</f>
        <v>0</v>
      </c>
      <c r="AL209" s="78">
        <f>INDEX('Population Data by Age'!$B$7:$H$10366,MATCH(CONCATENATE('Tabular Pop Data by Age'!$C209,'Tabular Pop Data by Age'!AL$7),'Population Data by Age'!$B$7:$B$10366,0),MATCH('Tabular Pop Data by Age'!$C$6,'Population Data by Age'!$B$6:$H$6,0))</f>
        <v>0</v>
      </c>
      <c r="AM209" s="78">
        <f>INDEX('Population Data by Age'!$B$7:$H$10366,MATCH(CONCATENATE('Tabular Pop Data by Age'!$C209,'Tabular Pop Data by Age'!AM$7),'Population Data by Age'!$B$7:$B$10366,0),MATCH('Tabular Pop Data by Age'!$C$6,'Population Data by Age'!$B$6:$H$6,0))</f>
        <v>0</v>
      </c>
      <c r="AN209" s="78">
        <f>INDEX('Population Data by Age'!$B$7:$H$10366,MATCH(CONCATENATE('Tabular Pop Data by Age'!$C209,'Tabular Pop Data by Age'!AN$7),'Population Data by Age'!$B$7:$B$10366,0),MATCH('Tabular Pop Data by Age'!$C$6,'Population Data by Age'!$B$6:$H$6,0))</f>
        <v>12000</v>
      </c>
      <c r="AO209" s="78">
        <f>INDEX('Population Data by Age'!$B$7:$H$10366,MATCH(CONCATENATE('Tabular Pop Data by Age'!$C209,'Tabular Pop Data by Age'!AO$7),'Population Data by Age'!$B$7:$B$10366,0),MATCH('Tabular Pop Data by Age'!$C$6,'Population Data by Age'!$B$6:$H$6,0))</f>
        <v>0</v>
      </c>
      <c r="AP209" s="79">
        <f t="shared" si="51"/>
        <v>0</v>
      </c>
      <c r="AQ209" s="79">
        <f t="shared" si="52"/>
        <v>0</v>
      </c>
      <c r="AR209" s="79">
        <f t="shared" si="53"/>
        <v>0</v>
      </c>
      <c r="AS209" s="79">
        <f t="shared" si="54"/>
        <v>0</v>
      </c>
      <c r="AT209" s="79">
        <f t="shared" si="55"/>
        <v>0</v>
      </c>
      <c r="AU209" s="79">
        <f t="shared" si="56"/>
        <v>0</v>
      </c>
      <c r="AV209" s="79">
        <f t="shared" si="57"/>
        <v>0</v>
      </c>
      <c r="AW209" s="79">
        <f t="shared" si="58"/>
        <v>0</v>
      </c>
      <c r="AX209" s="79">
        <f t="shared" si="59"/>
        <v>0</v>
      </c>
      <c r="AY209" s="79">
        <f t="shared" si="60"/>
        <v>0</v>
      </c>
      <c r="AZ209" s="79">
        <f t="shared" si="61"/>
        <v>0</v>
      </c>
      <c r="BA209" s="79">
        <f t="shared" si="62"/>
        <v>0</v>
      </c>
      <c r="BB209" s="79">
        <f t="shared" si="63"/>
        <v>0</v>
      </c>
      <c r="BC209" s="79">
        <f t="shared" si="64"/>
        <v>0</v>
      </c>
      <c r="BD209" s="79">
        <f t="shared" si="65"/>
        <v>0</v>
      </c>
      <c r="BE209" s="79">
        <f t="shared" si="66"/>
        <v>0</v>
      </c>
      <c r="BF209" s="79">
        <f t="shared" si="67"/>
        <v>0</v>
      </c>
    </row>
    <row r="210" spans="1:58" x14ac:dyDescent="0.25">
      <c r="A210" s="138" t="s">
        <v>1195</v>
      </c>
      <c r="B210" t="s">
        <v>216</v>
      </c>
      <c r="C210" t="s">
        <v>147</v>
      </c>
      <c r="D210" s="78">
        <f>INDEX('Population Data by Age'!$B$7:$H$10366,MATCH(CONCATENATE('Tabular Pop Data by Age'!$C210,'Tabular Pop Data by Age'!D$7),'Population Data by Age'!$B$7:$B$10366,0),MATCH('Tabular Pop Data by Age'!$C$6,'Population Data by Age'!$B$6:$H$6,0))</f>
        <v>3858000</v>
      </c>
      <c r="E210" s="78">
        <f>INDEX('Population Data by Age'!$B$7:$H$10366,MATCH(CONCATENATE('Tabular Pop Data by Age'!$C210,'Tabular Pop Data by Age'!E$7),'Population Data by Age'!$B$7:$B$10366,0),MATCH('Tabular Pop Data by Age'!$C$6,'Population Data by Age'!$B$6:$H$6,0))</f>
        <v>3938000</v>
      </c>
      <c r="F210" s="78">
        <f>INDEX('Population Data by Age'!$B$7:$H$10366,MATCH(CONCATENATE('Tabular Pop Data by Age'!$C210,'Tabular Pop Data by Age'!F$7),'Population Data by Age'!$B$7:$B$10366,0),MATCH('Tabular Pop Data by Age'!$C$6,'Population Data by Age'!$B$6:$H$6,0))</f>
        <v>3499000</v>
      </c>
      <c r="G210" s="78">
        <f>INDEX('Population Data by Age'!$B$7:$H$10366,MATCH(CONCATENATE('Tabular Pop Data by Age'!$C210,'Tabular Pop Data by Age'!G$7),'Population Data by Age'!$B$7:$B$10366,0),MATCH('Tabular Pop Data by Age'!$C$6,'Population Data by Age'!$B$6:$H$6,0))</f>
        <v>3561000</v>
      </c>
      <c r="H210" s="78">
        <f>INDEX('Population Data by Age'!$B$7:$H$10366,MATCH(CONCATENATE('Tabular Pop Data by Age'!$C210,'Tabular Pop Data by Age'!H$7),'Population Data by Age'!$B$7:$B$10366,0),MATCH('Tabular Pop Data by Age'!$C$6,'Population Data by Age'!$B$6:$H$6,0))</f>
        <v>3072000</v>
      </c>
      <c r="I210" s="78">
        <f>INDEX('Population Data by Age'!$B$7:$H$10366,MATCH(CONCATENATE('Tabular Pop Data by Age'!$C210,'Tabular Pop Data by Age'!I$7),'Population Data by Age'!$B$7:$B$10366,0),MATCH('Tabular Pop Data by Age'!$C$6,'Population Data by Age'!$B$6:$H$6,0))</f>
        <v>3120000</v>
      </c>
      <c r="J210" s="78">
        <f>INDEX('Population Data by Age'!$B$7:$H$10366,MATCH(CONCATENATE('Tabular Pop Data by Age'!$C210,'Tabular Pop Data by Age'!J$7),'Population Data by Age'!$B$7:$B$10366,0),MATCH('Tabular Pop Data by Age'!$C$6,'Population Data by Age'!$B$6:$H$6,0))</f>
        <v>2621000</v>
      </c>
      <c r="K210" s="78">
        <f>INDEX('Population Data by Age'!$B$7:$H$10366,MATCH(CONCATENATE('Tabular Pop Data by Age'!$C210,'Tabular Pop Data by Age'!K$7),'Population Data by Age'!$B$7:$B$10366,0),MATCH('Tabular Pop Data by Age'!$C$6,'Population Data by Age'!$B$6:$H$6,0))</f>
        <v>2636000</v>
      </c>
      <c r="L210" s="78">
        <f>INDEX('Population Data by Age'!$B$7:$H$10366,MATCH(CONCATENATE('Tabular Pop Data by Age'!$C210,'Tabular Pop Data by Age'!L$7),'Population Data by Age'!$B$7:$B$10366,0),MATCH('Tabular Pop Data by Age'!$C$6,'Population Data by Age'!$B$6:$H$6,0))</f>
        <v>2205000</v>
      </c>
      <c r="M210" s="78">
        <f>INDEX('Population Data by Age'!$B$7:$H$10366,MATCH(CONCATENATE('Tabular Pop Data by Age'!$C210,'Tabular Pop Data by Age'!M$7),'Population Data by Age'!$B$7:$B$10366,0),MATCH('Tabular Pop Data by Age'!$C$6,'Population Data by Age'!$B$6:$H$6,0))</f>
        <v>2124000</v>
      </c>
      <c r="N210" s="78">
        <f>INDEX('Population Data by Age'!$B$7:$H$10366,MATCH(CONCATENATE('Tabular Pop Data by Age'!$C210,'Tabular Pop Data by Age'!N$7),'Population Data by Age'!$B$7:$B$10366,0),MATCH('Tabular Pop Data by Age'!$C$6,'Population Data by Age'!$B$6:$H$6,0))</f>
        <v>1831000</v>
      </c>
      <c r="O210" s="78">
        <f>INDEX('Population Data by Age'!$B$7:$H$10366,MATCH(CONCATENATE('Tabular Pop Data by Age'!$C210,'Tabular Pop Data by Age'!O$7),'Population Data by Age'!$B$7:$B$10366,0),MATCH('Tabular Pop Data by Age'!$C$6,'Population Data by Age'!$B$6:$H$6,0))</f>
        <v>1713000</v>
      </c>
      <c r="P210" s="78">
        <f>INDEX('Population Data by Age'!$B$7:$H$10366,MATCH(CONCATENATE('Tabular Pop Data by Age'!$C210,'Tabular Pop Data by Age'!P$7),'Population Data by Age'!$B$7:$B$10366,0),MATCH('Tabular Pop Data by Age'!$C$6,'Population Data by Age'!$B$6:$H$6,0))</f>
        <v>1483000</v>
      </c>
      <c r="Q210" s="78">
        <f>INDEX('Population Data by Age'!$B$7:$H$10366,MATCH(CONCATENATE('Tabular Pop Data by Age'!$C210,'Tabular Pop Data by Age'!Q$7),'Population Data by Age'!$B$7:$B$10366,0),MATCH('Tabular Pop Data by Age'!$C$6,'Population Data by Age'!$B$6:$H$6,0))</f>
        <v>1365000</v>
      </c>
      <c r="R210" s="78">
        <f>INDEX('Population Data by Age'!$B$7:$H$10366,MATCH(CONCATENATE('Tabular Pop Data by Age'!$C210,'Tabular Pop Data by Age'!R$7),'Population Data by Age'!$B$7:$B$10366,0),MATCH('Tabular Pop Data by Age'!$C$6,'Population Data by Age'!$B$6:$H$6,0))</f>
        <v>1175000</v>
      </c>
      <c r="S210" s="78">
        <f>INDEX('Population Data by Age'!$B$7:$H$10366,MATCH(CONCATENATE('Tabular Pop Data by Age'!$C210,'Tabular Pop Data by Age'!S$7),'Population Data by Age'!$B$7:$B$10366,0),MATCH('Tabular Pop Data by Age'!$C$6,'Population Data by Age'!$B$6:$H$6,0))</f>
        <v>1078000</v>
      </c>
      <c r="T210" s="78">
        <f>INDEX('Population Data by Age'!$B$7:$H$10366,MATCH(CONCATENATE('Tabular Pop Data by Age'!$C210,'Tabular Pop Data by Age'!T$7),'Population Data by Age'!$B$7:$B$10366,0),MATCH('Tabular Pop Data by Age'!$C$6,'Population Data by Age'!$B$6:$H$6,0))</f>
        <v>919000</v>
      </c>
      <c r="U210" s="78">
        <f>INDEX('Population Data by Age'!$B$7:$H$10366,MATCH(CONCATENATE('Tabular Pop Data by Age'!$C210,'Tabular Pop Data by Age'!U$7),'Population Data by Age'!$B$7:$B$10366,0),MATCH('Tabular Pop Data by Age'!$C$6,'Population Data by Age'!$B$6:$H$6,0))</f>
        <v>846000</v>
      </c>
      <c r="V210" s="78">
        <f>INDEX('Population Data by Age'!$B$7:$H$10366,MATCH(CONCATENATE('Tabular Pop Data by Age'!$C210,'Tabular Pop Data by Age'!V$7),'Population Data by Age'!$B$7:$B$10366,0),MATCH('Tabular Pop Data by Age'!$C$6,'Population Data by Age'!$B$6:$H$6,0))</f>
        <v>706000</v>
      </c>
      <c r="W210" s="78">
        <f>INDEX('Population Data by Age'!$B$7:$H$10366,MATCH(CONCATENATE('Tabular Pop Data by Age'!$C210,'Tabular Pop Data by Age'!W$7),'Population Data by Age'!$B$7:$B$10366,0),MATCH('Tabular Pop Data by Age'!$C$6,'Population Data by Age'!$B$6:$H$6,0))</f>
        <v>662000</v>
      </c>
      <c r="X210" s="78">
        <f>INDEX('Population Data by Age'!$B$7:$H$10366,MATCH(CONCATENATE('Tabular Pop Data by Age'!$C210,'Tabular Pop Data by Age'!X$7),'Population Data by Age'!$B$7:$B$10366,0),MATCH('Tabular Pop Data by Age'!$C$6,'Population Data by Age'!$B$6:$H$6,0))</f>
        <v>550000</v>
      </c>
      <c r="Y210" s="78">
        <f>INDEX('Population Data by Age'!$B$7:$H$10366,MATCH(CONCATENATE('Tabular Pop Data by Age'!$C210,'Tabular Pop Data by Age'!Y$7),'Population Data by Age'!$B$7:$B$10366,0),MATCH('Tabular Pop Data by Age'!$C$6,'Population Data by Age'!$B$6:$H$6,0))</f>
        <v>515000</v>
      </c>
      <c r="Z210" s="78">
        <f>INDEX('Population Data by Age'!$B$7:$H$10366,MATCH(CONCATENATE('Tabular Pop Data by Age'!$C210,'Tabular Pop Data by Age'!Z$7),'Population Data by Age'!$B$7:$B$10366,0),MATCH('Tabular Pop Data by Age'!$C$6,'Population Data by Age'!$B$6:$H$6,0))</f>
        <v>417000</v>
      </c>
      <c r="AA210" s="78">
        <f>INDEX('Population Data by Age'!$B$7:$H$10366,MATCH(CONCATENATE('Tabular Pop Data by Age'!$C210,'Tabular Pop Data by Age'!AA$7),'Population Data by Age'!$B$7:$B$10366,0),MATCH('Tabular Pop Data by Age'!$C$6,'Population Data by Age'!$B$6:$H$6,0))</f>
        <v>370000</v>
      </c>
      <c r="AB210" s="78">
        <f>INDEX('Population Data by Age'!$B$7:$H$10366,MATCH(CONCATENATE('Tabular Pop Data by Age'!$C210,'Tabular Pop Data by Age'!AB$7),'Population Data by Age'!$B$7:$B$10366,0),MATCH('Tabular Pop Data by Age'!$C$6,'Population Data by Age'!$B$6:$H$6,0))</f>
        <v>313000</v>
      </c>
      <c r="AC210" s="78">
        <f>INDEX('Population Data by Age'!$B$7:$H$10366,MATCH(CONCATENATE('Tabular Pop Data by Age'!$C210,'Tabular Pop Data by Age'!AC$7),'Population Data by Age'!$B$7:$B$10366,0),MATCH('Tabular Pop Data by Age'!$C$6,'Population Data by Age'!$B$6:$H$6,0))</f>
        <v>255000</v>
      </c>
      <c r="AD210" s="78">
        <f>INDEX('Population Data by Age'!$B$7:$H$10366,MATCH(CONCATENATE('Tabular Pop Data by Age'!$C210,'Tabular Pop Data by Age'!AD$7),'Population Data by Age'!$B$7:$B$10366,0),MATCH('Tabular Pop Data by Age'!$C$6,'Population Data by Age'!$B$6:$H$6,0))</f>
        <v>234000</v>
      </c>
      <c r="AE210" s="78">
        <f>INDEX('Population Data by Age'!$B$7:$H$10366,MATCH(CONCATENATE('Tabular Pop Data by Age'!$C210,'Tabular Pop Data by Age'!AE$7),'Population Data by Age'!$B$7:$B$10366,0),MATCH('Tabular Pop Data by Age'!$C$6,'Population Data by Age'!$B$6:$H$6,0))</f>
        <v>172000</v>
      </c>
      <c r="AF210" s="78">
        <f>INDEX('Population Data by Age'!$B$7:$H$10366,MATCH(CONCATENATE('Tabular Pop Data by Age'!$C210,'Tabular Pop Data by Age'!AF$7),'Population Data by Age'!$B$7:$B$10366,0),MATCH('Tabular Pop Data by Age'!$C$6,'Population Data by Age'!$B$6:$H$6,0))</f>
        <v>157000</v>
      </c>
      <c r="AG210" s="78">
        <f>INDEX('Population Data by Age'!$B$7:$H$10366,MATCH(CONCATENATE('Tabular Pop Data by Age'!$C210,'Tabular Pop Data by Age'!AG$7),'Population Data by Age'!$B$7:$B$10366,0),MATCH('Tabular Pop Data by Age'!$C$6,'Population Data by Age'!$B$6:$H$6,0))</f>
        <v>105000</v>
      </c>
      <c r="AH210" s="78">
        <f>INDEX('Population Data by Age'!$B$7:$H$10366,MATCH(CONCATENATE('Tabular Pop Data by Age'!$C210,'Tabular Pop Data by Age'!AH$7),'Population Data by Age'!$B$7:$B$10366,0),MATCH('Tabular Pop Data by Age'!$C$6,'Population Data by Age'!$B$6:$H$6,0))</f>
        <v>94000</v>
      </c>
      <c r="AI210" s="78">
        <f>INDEX('Population Data by Age'!$B$7:$H$10366,MATCH(CONCATENATE('Tabular Pop Data by Age'!$C210,'Tabular Pop Data by Age'!AI$7),'Population Data by Age'!$B$7:$B$10366,0),MATCH('Tabular Pop Data by Age'!$C$6,'Population Data by Age'!$B$6:$H$6,0))</f>
        <v>56000</v>
      </c>
      <c r="AJ210" s="78">
        <f>INDEX('Population Data by Age'!$B$7:$H$10366,MATCH(CONCATENATE('Tabular Pop Data by Age'!$C210,'Tabular Pop Data by Age'!AJ$7),'Population Data by Age'!$B$7:$B$10366,0),MATCH('Tabular Pop Data by Age'!$C$6,'Population Data by Age'!$B$6:$H$6,0))</f>
        <v>61000</v>
      </c>
      <c r="AK210" s="78">
        <f>INDEX('Population Data by Age'!$B$7:$H$10366,MATCH(CONCATENATE('Tabular Pop Data by Age'!$C210,'Tabular Pop Data by Age'!AK$7),'Population Data by Age'!$B$7:$B$10366,0),MATCH('Tabular Pop Data by Age'!$C$6,'Population Data by Age'!$B$6:$H$6,0))</f>
        <v>29000</v>
      </c>
      <c r="AL210" s="78">
        <f>INDEX('Population Data by Age'!$B$7:$H$10366,MATCH(CONCATENATE('Tabular Pop Data by Age'!$C210,'Tabular Pop Data by Age'!AL$7),'Population Data by Age'!$B$7:$B$10366,0),MATCH('Tabular Pop Data by Age'!$C$6,'Population Data by Age'!$B$6:$H$6,0))</f>
        <v>23194000</v>
      </c>
      <c r="AM210" s="78">
        <f>INDEX('Population Data by Age'!$B$7:$H$10366,MATCH(CONCATENATE('Tabular Pop Data by Age'!$C210,'Tabular Pop Data by Age'!AM$7),'Population Data by Age'!$B$7:$B$10366,0),MATCH('Tabular Pop Data by Age'!$C$6,'Population Data by Age'!$B$6:$H$6,0))</f>
        <v>22547000</v>
      </c>
      <c r="AN210" s="78">
        <f>INDEX('Population Data by Age'!$B$7:$H$10366,MATCH(CONCATENATE('Tabular Pop Data by Age'!$C210,'Tabular Pop Data by Age'!AN$7),'Population Data by Age'!$B$7:$B$10366,0),MATCH('Tabular Pop Data by Age'!$C$6,'Population Data by Age'!$B$6:$H$6,0))</f>
        <v>45741000</v>
      </c>
      <c r="AO210" s="78">
        <f>INDEX('Population Data by Age'!$B$7:$H$10366,MATCH(CONCATENATE('Tabular Pop Data by Age'!$C210,'Tabular Pop Data by Age'!AO$7),'Population Data by Age'!$B$7:$B$10366,0),MATCH('Tabular Pop Data by Age'!$C$6,'Population Data by Age'!$B$6:$H$6,0))</f>
        <v>0</v>
      </c>
      <c r="AP210" s="79">
        <f t="shared" si="51"/>
        <v>7796000</v>
      </c>
      <c r="AQ210" s="79">
        <f t="shared" si="52"/>
        <v>7060000</v>
      </c>
      <c r="AR210" s="79">
        <f t="shared" si="53"/>
        <v>6192000</v>
      </c>
      <c r="AS210" s="79">
        <f t="shared" si="54"/>
        <v>5257000</v>
      </c>
      <c r="AT210" s="79">
        <f t="shared" si="55"/>
        <v>4329000</v>
      </c>
      <c r="AU210" s="79">
        <f t="shared" si="56"/>
        <v>3544000</v>
      </c>
      <c r="AV210" s="79">
        <f t="shared" si="57"/>
        <v>2848000</v>
      </c>
      <c r="AW210" s="79">
        <f t="shared" si="58"/>
        <v>2253000</v>
      </c>
      <c r="AX210" s="79">
        <f t="shared" si="59"/>
        <v>1765000</v>
      </c>
      <c r="AY210" s="79">
        <f t="shared" si="60"/>
        <v>1368000</v>
      </c>
      <c r="AZ210" s="79">
        <f t="shared" si="61"/>
        <v>1065000</v>
      </c>
      <c r="BA210" s="79">
        <f t="shared" si="62"/>
        <v>787000</v>
      </c>
      <c r="BB210" s="79">
        <f t="shared" si="63"/>
        <v>568000</v>
      </c>
      <c r="BC210" s="79">
        <f t="shared" si="64"/>
        <v>406000</v>
      </c>
      <c r="BD210" s="79">
        <f t="shared" si="65"/>
        <v>262000</v>
      </c>
      <c r="BE210" s="79">
        <f t="shared" si="66"/>
        <v>150000</v>
      </c>
      <c r="BF210" s="79">
        <f t="shared" si="67"/>
        <v>90000</v>
      </c>
    </row>
    <row r="211" spans="1:58" x14ac:dyDescent="0.25">
      <c r="A211" s="138" t="s">
        <v>1195</v>
      </c>
      <c r="B211" t="s">
        <v>239</v>
      </c>
      <c r="C211" t="s">
        <v>148</v>
      </c>
      <c r="D211" s="78">
        <f>INDEX('Population Data by Age'!$B$7:$H$10366,MATCH(CONCATENATE('Tabular Pop Data by Age'!$C211,'Tabular Pop Data by Age'!D$7),'Population Data by Age'!$B$7:$B$10366,0),MATCH('Tabular Pop Data by Age'!$C$6,'Population Data by Age'!$B$6:$H$6,0))</f>
        <v>1036000</v>
      </c>
      <c r="E211" s="78">
        <f>INDEX('Population Data by Age'!$B$7:$H$10366,MATCH(CONCATENATE('Tabular Pop Data by Age'!$C211,'Tabular Pop Data by Age'!E$7),'Population Data by Age'!$B$7:$B$10366,0),MATCH('Tabular Pop Data by Age'!$C$6,'Population Data by Age'!$B$6:$H$6,0))</f>
        <v>1098000</v>
      </c>
      <c r="F211" s="78">
        <f>INDEX('Population Data by Age'!$B$7:$H$10366,MATCH(CONCATENATE('Tabular Pop Data by Age'!$C211,'Tabular Pop Data by Age'!F$7),'Population Data by Age'!$B$7:$B$10366,0),MATCH('Tabular Pop Data by Age'!$C$6,'Population Data by Age'!$B$6:$H$6,0))</f>
        <v>1213000</v>
      </c>
      <c r="G211" s="78">
        <f>INDEX('Population Data by Age'!$B$7:$H$10366,MATCH(CONCATENATE('Tabular Pop Data by Age'!$C211,'Tabular Pop Data by Age'!G$7),'Population Data by Age'!$B$7:$B$10366,0),MATCH('Tabular Pop Data by Age'!$C$6,'Population Data by Age'!$B$6:$H$6,0))</f>
        <v>1287000</v>
      </c>
      <c r="H211" s="78">
        <f>INDEX('Population Data by Age'!$B$7:$H$10366,MATCH(CONCATENATE('Tabular Pop Data by Age'!$C211,'Tabular Pop Data by Age'!H$7),'Population Data by Age'!$B$7:$B$10366,0),MATCH('Tabular Pop Data by Age'!$C$6,'Population Data by Age'!$B$6:$H$6,0))</f>
        <v>1178000</v>
      </c>
      <c r="I211" s="78">
        <f>INDEX('Population Data by Age'!$B$7:$H$10366,MATCH(CONCATENATE('Tabular Pop Data by Age'!$C211,'Tabular Pop Data by Age'!I$7),'Population Data by Age'!$B$7:$B$10366,0),MATCH('Tabular Pop Data by Age'!$C$6,'Population Data by Age'!$B$6:$H$6,0))</f>
        <v>1249000</v>
      </c>
      <c r="J211" s="78">
        <f>INDEX('Population Data by Age'!$B$7:$H$10366,MATCH(CONCATENATE('Tabular Pop Data by Age'!$C211,'Tabular Pop Data by Age'!J$7),'Population Data by Age'!$B$7:$B$10366,0),MATCH('Tabular Pop Data by Age'!$C$6,'Population Data by Age'!$B$6:$H$6,0))</f>
        <v>968000</v>
      </c>
      <c r="K211" s="78">
        <f>INDEX('Population Data by Age'!$B$7:$H$10366,MATCH(CONCATENATE('Tabular Pop Data by Age'!$C211,'Tabular Pop Data by Age'!K$7),'Population Data by Age'!$B$7:$B$10366,0),MATCH('Tabular Pop Data by Age'!$C$6,'Population Data by Age'!$B$6:$H$6,0))</f>
        <v>1031000</v>
      </c>
      <c r="L211" s="78">
        <f>INDEX('Population Data by Age'!$B$7:$H$10366,MATCH(CONCATENATE('Tabular Pop Data by Age'!$C211,'Tabular Pop Data by Age'!L$7),'Population Data by Age'!$B$7:$B$10366,0),MATCH('Tabular Pop Data by Age'!$C$6,'Population Data by Age'!$B$6:$H$6,0))</f>
        <v>1055000</v>
      </c>
      <c r="M211" s="78">
        <f>INDEX('Population Data by Age'!$B$7:$H$10366,MATCH(CONCATENATE('Tabular Pop Data by Age'!$C211,'Tabular Pop Data by Age'!M$7),'Population Data by Age'!$B$7:$B$10366,0),MATCH('Tabular Pop Data by Age'!$C$6,'Population Data by Age'!$B$6:$H$6,0))</f>
        <v>1111000</v>
      </c>
      <c r="N211" s="78">
        <f>INDEX('Population Data by Age'!$B$7:$H$10366,MATCH(CONCATENATE('Tabular Pop Data by Age'!$C211,'Tabular Pop Data by Age'!N$7),'Population Data by Age'!$B$7:$B$10366,0),MATCH('Tabular Pop Data by Age'!$C$6,'Population Data by Age'!$B$6:$H$6,0))</f>
        <v>1357000</v>
      </c>
      <c r="O211" s="78">
        <f>INDEX('Population Data by Age'!$B$7:$H$10366,MATCH(CONCATENATE('Tabular Pop Data by Age'!$C211,'Tabular Pop Data by Age'!O$7),'Population Data by Age'!$B$7:$B$10366,0),MATCH('Tabular Pop Data by Age'!$C$6,'Population Data by Age'!$B$6:$H$6,0))</f>
        <v>1422000</v>
      </c>
      <c r="P211" s="78">
        <f>INDEX('Population Data by Age'!$B$7:$H$10366,MATCH(CONCATENATE('Tabular Pop Data by Age'!$C211,'Tabular Pop Data by Age'!P$7),'Population Data by Age'!$B$7:$B$10366,0),MATCH('Tabular Pop Data by Age'!$C$6,'Population Data by Age'!$B$6:$H$6,0))</f>
        <v>1777000</v>
      </c>
      <c r="Q211" s="78">
        <f>INDEX('Population Data by Age'!$B$7:$H$10366,MATCH(CONCATENATE('Tabular Pop Data by Age'!$C211,'Tabular Pop Data by Age'!Q$7),'Population Data by Age'!$B$7:$B$10366,0),MATCH('Tabular Pop Data by Age'!$C$6,'Population Data by Age'!$B$6:$H$6,0))</f>
        <v>1843000</v>
      </c>
      <c r="R211" s="78">
        <f>INDEX('Population Data by Age'!$B$7:$H$10366,MATCH(CONCATENATE('Tabular Pop Data by Age'!$C211,'Tabular Pop Data by Age'!R$7),'Population Data by Age'!$B$7:$B$10366,0),MATCH('Tabular Pop Data by Age'!$C$6,'Population Data by Age'!$B$6:$H$6,0))</f>
        <v>1813000</v>
      </c>
      <c r="S211" s="78">
        <f>INDEX('Population Data by Age'!$B$7:$H$10366,MATCH(CONCATENATE('Tabular Pop Data by Age'!$C211,'Tabular Pop Data by Age'!S$7),'Population Data by Age'!$B$7:$B$10366,0),MATCH('Tabular Pop Data by Age'!$C$6,'Population Data by Age'!$B$6:$H$6,0))</f>
        <v>1847000</v>
      </c>
      <c r="T211" s="78">
        <f>INDEX('Population Data by Age'!$B$7:$H$10366,MATCH(CONCATENATE('Tabular Pop Data by Age'!$C211,'Tabular Pop Data by Age'!T$7),'Population Data by Age'!$B$7:$B$10366,0),MATCH('Tabular Pop Data by Age'!$C$6,'Population Data by Age'!$B$6:$H$6,0))</f>
        <v>1727000</v>
      </c>
      <c r="U211" s="78">
        <f>INDEX('Population Data by Age'!$B$7:$H$10366,MATCH(CONCATENATE('Tabular Pop Data by Age'!$C211,'Tabular Pop Data by Age'!U$7),'Population Data by Age'!$B$7:$B$10366,0),MATCH('Tabular Pop Data by Age'!$C$6,'Population Data by Age'!$B$6:$H$6,0))</f>
        <v>1643000</v>
      </c>
      <c r="V211" s="78">
        <f>INDEX('Population Data by Age'!$B$7:$H$10366,MATCH(CONCATENATE('Tabular Pop Data by Age'!$C211,'Tabular Pop Data by Age'!V$7),'Population Data by Age'!$B$7:$B$10366,0),MATCH('Tabular Pop Data by Age'!$C$6,'Population Data by Age'!$B$6:$H$6,0))</f>
        <v>1611000</v>
      </c>
      <c r="W211" s="78">
        <f>INDEX('Population Data by Age'!$B$7:$H$10366,MATCH(CONCATENATE('Tabular Pop Data by Age'!$C211,'Tabular Pop Data by Age'!W$7),'Population Data by Age'!$B$7:$B$10366,0),MATCH('Tabular Pop Data by Age'!$C$6,'Population Data by Age'!$B$6:$H$6,0))</f>
        <v>1488000</v>
      </c>
      <c r="X211" s="78">
        <f>INDEX('Population Data by Age'!$B$7:$H$10366,MATCH(CONCATENATE('Tabular Pop Data by Age'!$C211,'Tabular Pop Data by Age'!X$7),'Population Data by Age'!$B$7:$B$10366,0),MATCH('Tabular Pop Data by Age'!$C$6,'Population Data by Age'!$B$6:$H$6,0))</f>
        <v>1519000</v>
      </c>
      <c r="Y211" s="78">
        <f>INDEX('Population Data by Age'!$B$7:$H$10366,MATCH(CONCATENATE('Tabular Pop Data by Age'!$C211,'Tabular Pop Data by Age'!Y$7),'Population Data by Age'!$B$7:$B$10366,0),MATCH('Tabular Pop Data by Age'!$C$6,'Population Data by Age'!$B$6:$H$6,0))</f>
        <v>1312000</v>
      </c>
      <c r="Z211" s="78">
        <f>INDEX('Population Data by Age'!$B$7:$H$10366,MATCH(CONCATENATE('Tabular Pop Data by Age'!$C211,'Tabular Pop Data by Age'!Z$7),'Population Data by Age'!$B$7:$B$10366,0),MATCH('Tabular Pop Data by Age'!$C$6,'Population Data by Age'!$B$6:$H$6,0))</f>
        <v>1740000</v>
      </c>
      <c r="AA211" s="78">
        <f>INDEX('Population Data by Age'!$B$7:$H$10366,MATCH(CONCATENATE('Tabular Pop Data by Age'!$C211,'Tabular Pop Data by Age'!AA$7),'Population Data by Age'!$B$7:$B$10366,0),MATCH('Tabular Pop Data by Age'!$C$6,'Population Data by Age'!$B$6:$H$6,0))</f>
        <v>1393000</v>
      </c>
      <c r="AB211" s="78">
        <f>INDEX('Population Data by Age'!$B$7:$H$10366,MATCH(CONCATENATE('Tabular Pop Data by Age'!$C211,'Tabular Pop Data by Age'!AB$7),'Population Data by Age'!$B$7:$B$10366,0),MATCH('Tabular Pop Data by Age'!$C$6,'Population Data by Age'!$B$6:$H$6,0))</f>
        <v>1718000</v>
      </c>
      <c r="AC211" s="78">
        <f>INDEX('Population Data by Age'!$B$7:$H$10366,MATCH(CONCATENATE('Tabular Pop Data by Age'!$C211,'Tabular Pop Data by Age'!AC$7),'Population Data by Age'!$B$7:$B$10366,0),MATCH('Tabular Pop Data by Age'!$C$6,'Population Data by Age'!$B$6:$H$6,0))</f>
        <v>1238000</v>
      </c>
      <c r="AD211" s="78">
        <f>INDEX('Population Data by Age'!$B$7:$H$10366,MATCH(CONCATENATE('Tabular Pop Data by Age'!$C211,'Tabular Pop Data by Age'!AD$7),'Population Data by Age'!$B$7:$B$10366,0),MATCH('Tabular Pop Data by Age'!$C$6,'Population Data by Age'!$B$6:$H$6,0))</f>
        <v>1628000</v>
      </c>
      <c r="AE211" s="78">
        <f>INDEX('Population Data by Age'!$B$7:$H$10366,MATCH(CONCATENATE('Tabular Pop Data by Age'!$C211,'Tabular Pop Data by Age'!AE$7),'Population Data by Age'!$B$7:$B$10366,0),MATCH('Tabular Pop Data by Age'!$C$6,'Population Data by Age'!$B$6:$H$6,0))</f>
        <v>1009000</v>
      </c>
      <c r="AF211" s="78">
        <f>INDEX('Population Data by Age'!$B$7:$H$10366,MATCH(CONCATENATE('Tabular Pop Data by Age'!$C211,'Tabular Pop Data by Age'!AF$7),'Population Data by Age'!$B$7:$B$10366,0),MATCH('Tabular Pop Data by Age'!$C$6,'Population Data by Age'!$B$6:$H$6,0))</f>
        <v>1147000</v>
      </c>
      <c r="AG211" s="78">
        <f>INDEX('Population Data by Age'!$B$7:$H$10366,MATCH(CONCATENATE('Tabular Pop Data by Age'!$C211,'Tabular Pop Data by Age'!AG$7),'Population Data by Age'!$B$7:$B$10366,0),MATCH('Tabular Pop Data by Age'!$C$6,'Population Data by Age'!$B$6:$H$6,0))</f>
        <v>640000</v>
      </c>
      <c r="AH211" s="78">
        <f>INDEX('Population Data by Age'!$B$7:$H$10366,MATCH(CONCATENATE('Tabular Pop Data by Age'!$C211,'Tabular Pop Data by Age'!AH$7),'Population Data by Age'!$B$7:$B$10366,0),MATCH('Tabular Pop Data by Age'!$C$6,'Population Data by Age'!$B$6:$H$6,0))</f>
        <v>846000</v>
      </c>
      <c r="AI211" s="78">
        <f>INDEX('Population Data by Age'!$B$7:$H$10366,MATCH(CONCATENATE('Tabular Pop Data by Age'!$C211,'Tabular Pop Data by Age'!AI$7),'Population Data by Age'!$B$7:$B$10366,0),MATCH('Tabular Pop Data by Age'!$C$6,'Population Data by Age'!$B$6:$H$6,0))</f>
        <v>380000</v>
      </c>
      <c r="AJ211" s="78">
        <f>INDEX('Population Data by Age'!$B$7:$H$10366,MATCH(CONCATENATE('Tabular Pop Data by Age'!$C211,'Tabular Pop Data by Age'!AJ$7),'Population Data by Age'!$B$7:$B$10366,0),MATCH('Tabular Pop Data by Age'!$C$6,'Population Data by Age'!$B$6:$H$6,0))</f>
        <v>1366000</v>
      </c>
      <c r="AK211" s="78">
        <f>INDEX('Population Data by Age'!$B$7:$H$10366,MATCH(CONCATENATE('Tabular Pop Data by Age'!$C211,'Tabular Pop Data by Age'!AK$7),'Population Data by Age'!$B$7:$B$10366,0),MATCH('Tabular Pop Data by Age'!$C$6,'Population Data by Age'!$B$6:$H$6,0))</f>
        <v>469000</v>
      </c>
      <c r="AL211" s="78">
        <f>INDEX('Population Data by Age'!$B$7:$H$10366,MATCH(CONCATENATE('Tabular Pop Data by Age'!$C211,'Tabular Pop Data by Age'!AL$7),'Population Data by Age'!$B$7:$B$10366,0),MATCH('Tabular Pop Data by Age'!$C$6,'Population Data by Age'!$B$6:$H$6,0))</f>
        <v>23698000</v>
      </c>
      <c r="AM211" s="78">
        <f>INDEX('Population Data by Age'!$B$7:$H$10366,MATCH(CONCATENATE('Tabular Pop Data by Age'!$C211,'Tabular Pop Data by Age'!AM$7),'Population Data by Age'!$B$7:$B$10366,0),MATCH('Tabular Pop Data by Age'!$C$6,'Population Data by Age'!$B$6:$H$6,0))</f>
        <v>20460000</v>
      </c>
      <c r="AN211" s="78">
        <f>INDEX('Population Data by Age'!$B$7:$H$10366,MATCH(CONCATENATE('Tabular Pop Data by Age'!$C211,'Tabular Pop Data by Age'!AN$7),'Population Data by Age'!$B$7:$B$10366,0),MATCH('Tabular Pop Data by Age'!$C$6,'Population Data by Age'!$B$6:$H$6,0))</f>
        <v>44158000</v>
      </c>
      <c r="AO211" s="78">
        <f>INDEX('Population Data by Age'!$B$7:$H$10366,MATCH(CONCATENATE('Tabular Pop Data by Age'!$C211,'Tabular Pop Data by Age'!AO$7),'Population Data by Age'!$B$7:$B$10366,0),MATCH('Tabular Pop Data by Age'!$C$6,'Population Data by Age'!$B$6:$H$6,0))</f>
        <v>0</v>
      </c>
      <c r="AP211" s="79">
        <f t="shared" si="51"/>
        <v>2134000</v>
      </c>
      <c r="AQ211" s="79">
        <f t="shared" si="52"/>
        <v>2500000</v>
      </c>
      <c r="AR211" s="79">
        <f t="shared" si="53"/>
        <v>2427000</v>
      </c>
      <c r="AS211" s="79">
        <f t="shared" si="54"/>
        <v>1999000</v>
      </c>
      <c r="AT211" s="79">
        <f t="shared" si="55"/>
        <v>2166000</v>
      </c>
      <c r="AU211" s="79">
        <f t="shared" si="56"/>
        <v>2779000</v>
      </c>
      <c r="AV211" s="79">
        <f t="shared" si="57"/>
        <v>3620000</v>
      </c>
      <c r="AW211" s="79">
        <f t="shared" si="58"/>
        <v>3660000</v>
      </c>
      <c r="AX211" s="79">
        <f t="shared" si="59"/>
        <v>3370000</v>
      </c>
      <c r="AY211" s="79">
        <f t="shared" si="60"/>
        <v>3099000</v>
      </c>
      <c r="AZ211" s="79">
        <f t="shared" si="61"/>
        <v>2831000</v>
      </c>
      <c r="BA211" s="79">
        <f t="shared" si="62"/>
        <v>3133000</v>
      </c>
      <c r="BB211" s="79">
        <f t="shared" si="63"/>
        <v>2956000</v>
      </c>
      <c r="BC211" s="79">
        <f t="shared" si="64"/>
        <v>2637000</v>
      </c>
      <c r="BD211" s="79">
        <f t="shared" si="65"/>
        <v>1787000</v>
      </c>
      <c r="BE211" s="79">
        <f t="shared" si="66"/>
        <v>1226000</v>
      </c>
      <c r="BF211" s="79">
        <f t="shared" si="67"/>
        <v>1835000</v>
      </c>
    </row>
    <row r="212" spans="1:58" x14ac:dyDescent="0.25">
      <c r="A212" s="138" t="s">
        <v>1195</v>
      </c>
      <c r="B212" t="s">
        <v>661</v>
      </c>
      <c r="C212" t="s">
        <v>2</v>
      </c>
      <c r="D212" s="78">
        <f>INDEX('Population Data by Age'!$B$7:$H$10366,MATCH(CONCATENATE('Tabular Pop Data by Age'!$C212,'Tabular Pop Data by Age'!D$7),'Population Data by Age'!$B$7:$B$10366,0),MATCH('Tabular Pop Data by Age'!$C$6,'Population Data by Age'!$B$6:$H$6,0))</f>
        <v>244000</v>
      </c>
      <c r="E212" s="78">
        <f>INDEX('Population Data by Age'!$B$7:$H$10366,MATCH(CONCATENATE('Tabular Pop Data by Age'!$C212,'Tabular Pop Data by Age'!E$7),'Population Data by Age'!$B$7:$B$10366,0),MATCH('Tabular Pop Data by Age'!$C$6,'Population Data by Age'!$B$6:$H$6,0))</f>
        <v>255000</v>
      </c>
      <c r="F212" s="78">
        <f>INDEX('Population Data by Age'!$B$7:$H$10366,MATCH(CONCATENATE('Tabular Pop Data by Age'!$C212,'Tabular Pop Data by Age'!F$7),'Population Data by Age'!$B$7:$B$10366,0),MATCH('Tabular Pop Data by Age'!$C$6,'Population Data by Age'!$B$6:$H$6,0))</f>
        <v>251000</v>
      </c>
      <c r="G212" s="78">
        <f>INDEX('Population Data by Age'!$B$7:$H$10366,MATCH(CONCATENATE('Tabular Pop Data by Age'!$C212,'Tabular Pop Data by Age'!G$7),'Population Data by Age'!$B$7:$B$10366,0),MATCH('Tabular Pop Data by Age'!$C$6,'Population Data by Age'!$B$6:$H$6,0))</f>
        <v>262000</v>
      </c>
      <c r="H212" s="78">
        <f>INDEX('Population Data by Age'!$B$7:$H$10366,MATCH(CONCATENATE('Tabular Pop Data by Age'!$C212,'Tabular Pop Data by Age'!H$7),'Population Data by Age'!$B$7:$B$10366,0),MATCH('Tabular Pop Data by Age'!$C$6,'Population Data by Age'!$B$6:$H$6,0))</f>
        <v>222000</v>
      </c>
      <c r="I212" s="78">
        <f>INDEX('Population Data by Age'!$B$7:$H$10366,MATCH(CONCATENATE('Tabular Pop Data by Age'!$C212,'Tabular Pop Data by Age'!I$7),'Population Data by Age'!$B$7:$B$10366,0),MATCH('Tabular Pop Data by Age'!$C$6,'Population Data by Age'!$B$6:$H$6,0))</f>
        <v>231000</v>
      </c>
      <c r="J212" s="78">
        <f>INDEX('Population Data by Age'!$B$7:$H$10366,MATCH(CONCATENATE('Tabular Pop Data by Age'!$C212,'Tabular Pop Data by Age'!J$7),'Population Data by Age'!$B$7:$B$10366,0),MATCH('Tabular Pop Data by Age'!$C$6,'Population Data by Age'!$B$6:$H$6,0))</f>
        <v>189000</v>
      </c>
      <c r="K212" s="78">
        <f>INDEX('Population Data by Age'!$B$7:$H$10366,MATCH(CONCATENATE('Tabular Pop Data by Age'!$C212,'Tabular Pop Data by Age'!K$7),'Population Data by Age'!$B$7:$B$10366,0),MATCH('Tabular Pop Data by Age'!$C$6,'Population Data by Age'!$B$6:$H$6,0))</f>
        <v>201000</v>
      </c>
      <c r="L212" s="78">
        <f>INDEX('Population Data by Age'!$B$7:$H$10366,MATCH(CONCATENATE('Tabular Pop Data by Age'!$C212,'Tabular Pop Data by Age'!L$7),'Population Data by Age'!$B$7:$B$10366,0),MATCH('Tabular Pop Data by Age'!$C$6,'Population Data by Age'!$B$6:$H$6,0))</f>
        <v>229000</v>
      </c>
      <c r="M212" s="78">
        <f>INDEX('Population Data by Age'!$B$7:$H$10366,MATCH(CONCATENATE('Tabular Pop Data by Age'!$C212,'Tabular Pop Data by Age'!M$7),'Population Data by Age'!$B$7:$B$10366,0),MATCH('Tabular Pop Data by Age'!$C$6,'Population Data by Age'!$B$6:$H$6,0))</f>
        <v>487000</v>
      </c>
      <c r="N212" s="78">
        <f>INDEX('Population Data by Age'!$B$7:$H$10366,MATCH(CONCATENATE('Tabular Pop Data by Age'!$C212,'Tabular Pop Data by Age'!N$7),'Population Data by Age'!$B$7:$B$10366,0),MATCH('Tabular Pop Data by Age'!$C$6,'Population Data by Age'!$B$6:$H$6,0))</f>
        <v>351000</v>
      </c>
      <c r="O212" s="78">
        <f>INDEX('Population Data by Age'!$B$7:$H$10366,MATCH(CONCATENATE('Tabular Pop Data by Age'!$C212,'Tabular Pop Data by Age'!O$7),'Population Data by Age'!$B$7:$B$10366,0),MATCH('Tabular Pop Data by Age'!$C$6,'Population Data by Age'!$B$6:$H$6,0))</f>
        <v>1082000</v>
      </c>
      <c r="P212" s="78">
        <f>INDEX('Population Data by Age'!$B$7:$H$10366,MATCH(CONCATENATE('Tabular Pop Data by Age'!$C212,'Tabular Pop Data by Age'!P$7),'Population Data by Age'!$B$7:$B$10366,0),MATCH('Tabular Pop Data by Age'!$C$6,'Population Data by Age'!$B$6:$H$6,0))</f>
        <v>474000</v>
      </c>
      <c r="Q212" s="78">
        <f>INDEX('Population Data by Age'!$B$7:$H$10366,MATCH(CONCATENATE('Tabular Pop Data by Age'!$C212,'Tabular Pop Data by Age'!Q$7),'Population Data by Age'!$B$7:$B$10366,0),MATCH('Tabular Pop Data by Age'!$C$6,'Population Data by Age'!$B$6:$H$6,0))</f>
        <v>1322000</v>
      </c>
      <c r="R212" s="78">
        <f>INDEX('Population Data by Age'!$B$7:$H$10366,MATCH(CONCATENATE('Tabular Pop Data by Age'!$C212,'Tabular Pop Data by Age'!R$7),'Population Data by Age'!$B$7:$B$10366,0),MATCH('Tabular Pop Data by Age'!$C$6,'Population Data by Age'!$B$6:$H$6,0))</f>
        <v>407000</v>
      </c>
      <c r="S212" s="78">
        <f>INDEX('Population Data by Age'!$B$7:$H$10366,MATCH(CONCATENATE('Tabular Pop Data by Age'!$C212,'Tabular Pop Data by Age'!S$7),'Population Data by Age'!$B$7:$B$10366,0),MATCH('Tabular Pop Data by Age'!$C$6,'Population Data by Age'!$B$6:$H$6,0))</f>
        <v>967000</v>
      </c>
      <c r="T212" s="78">
        <f>INDEX('Population Data by Age'!$B$7:$H$10366,MATCH(CONCATENATE('Tabular Pop Data by Age'!$C212,'Tabular Pop Data by Age'!T$7),'Population Data by Age'!$B$7:$B$10366,0),MATCH('Tabular Pop Data by Age'!$C$6,'Population Data by Age'!$B$6:$H$6,0))</f>
        <v>238000</v>
      </c>
      <c r="U212" s="78">
        <f>INDEX('Population Data by Age'!$B$7:$H$10366,MATCH(CONCATENATE('Tabular Pop Data by Age'!$C212,'Tabular Pop Data by Age'!U$7),'Population Data by Age'!$B$7:$B$10366,0),MATCH('Tabular Pop Data by Age'!$C$6,'Population Data by Age'!$B$6:$H$6,0))</f>
        <v>678000</v>
      </c>
      <c r="V212" s="78">
        <f>INDEX('Population Data by Age'!$B$7:$H$10366,MATCH(CONCATENATE('Tabular Pop Data by Age'!$C212,'Tabular Pop Data by Age'!V$7),'Population Data by Age'!$B$7:$B$10366,0),MATCH('Tabular Pop Data by Age'!$C$6,'Population Data by Age'!$B$6:$H$6,0))</f>
        <v>158000</v>
      </c>
      <c r="W212" s="78">
        <f>INDEX('Population Data by Age'!$B$7:$H$10366,MATCH(CONCATENATE('Tabular Pop Data by Age'!$C212,'Tabular Pop Data by Age'!W$7),'Population Data by Age'!$B$7:$B$10366,0),MATCH('Tabular Pop Data by Age'!$C$6,'Population Data by Age'!$B$6:$H$6,0))</f>
        <v>534000</v>
      </c>
      <c r="X212" s="78">
        <f>INDEX('Population Data by Age'!$B$7:$H$10366,MATCH(CONCATENATE('Tabular Pop Data by Age'!$C212,'Tabular Pop Data by Age'!X$7),'Population Data by Age'!$B$7:$B$10366,0),MATCH('Tabular Pop Data by Age'!$C$6,'Population Data by Age'!$B$6:$H$6,0))</f>
        <v>121000</v>
      </c>
      <c r="Y212" s="78">
        <f>INDEX('Population Data by Age'!$B$7:$H$10366,MATCH(CONCATENATE('Tabular Pop Data by Age'!$C212,'Tabular Pop Data by Age'!Y$7),'Population Data by Age'!$B$7:$B$10366,0),MATCH('Tabular Pop Data by Age'!$C$6,'Population Data by Age'!$B$6:$H$6,0))</f>
        <v>336000</v>
      </c>
      <c r="Z212" s="78">
        <f>INDEX('Population Data by Age'!$B$7:$H$10366,MATCH(CONCATENATE('Tabular Pop Data by Age'!$C212,'Tabular Pop Data by Age'!Z$7),'Population Data by Age'!$B$7:$B$10366,0),MATCH('Tabular Pop Data by Age'!$C$6,'Population Data by Age'!$B$6:$H$6,0))</f>
        <v>86000</v>
      </c>
      <c r="AA212" s="78">
        <f>INDEX('Population Data by Age'!$B$7:$H$10366,MATCH(CONCATENATE('Tabular Pop Data by Age'!$C212,'Tabular Pop Data by Age'!AA$7),'Population Data by Age'!$B$7:$B$10366,0),MATCH('Tabular Pop Data by Age'!$C$6,'Population Data by Age'!$B$6:$H$6,0))</f>
        <v>255000</v>
      </c>
      <c r="AB212" s="78">
        <f>INDEX('Population Data by Age'!$B$7:$H$10366,MATCH(CONCATENATE('Tabular Pop Data by Age'!$C212,'Tabular Pop Data by Age'!AB$7),'Population Data by Age'!$B$7:$B$10366,0),MATCH('Tabular Pop Data by Age'!$C$6,'Population Data by Age'!$B$6:$H$6,0))</f>
        <v>42000</v>
      </c>
      <c r="AC212" s="78">
        <f>INDEX('Population Data by Age'!$B$7:$H$10366,MATCH(CONCATENATE('Tabular Pop Data by Age'!$C212,'Tabular Pop Data by Age'!AC$7),'Population Data by Age'!$B$7:$B$10366,0),MATCH('Tabular Pop Data by Age'!$C$6,'Population Data by Age'!$B$6:$H$6,0))</f>
        <v>144000</v>
      </c>
      <c r="AD212" s="78">
        <f>INDEX('Population Data by Age'!$B$7:$H$10366,MATCH(CONCATENATE('Tabular Pop Data by Age'!$C212,'Tabular Pop Data by Age'!AD$7),'Population Data by Age'!$B$7:$B$10366,0),MATCH('Tabular Pop Data by Age'!$C$6,'Population Data by Age'!$B$6:$H$6,0))</f>
        <v>20000</v>
      </c>
      <c r="AE212" s="78">
        <f>INDEX('Population Data by Age'!$B$7:$H$10366,MATCH(CONCATENATE('Tabular Pop Data by Age'!$C212,'Tabular Pop Data by Age'!AE$7),'Population Data by Age'!$B$7:$B$10366,0),MATCH('Tabular Pop Data by Age'!$C$6,'Population Data by Age'!$B$6:$H$6,0))</f>
        <v>37000</v>
      </c>
      <c r="AF212" s="78">
        <f>INDEX('Population Data by Age'!$B$7:$H$10366,MATCH(CONCATENATE('Tabular Pop Data by Age'!$C212,'Tabular Pop Data by Age'!AF$7),'Population Data by Age'!$B$7:$B$10366,0),MATCH('Tabular Pop Data by Age'!$C$6,'Population Data by Age'!$B$6:$H$6,0))</f>
        <v>12000</v>
      </c>
      <c r="AG212" s="78">
        <f>INDEX('Population Data by Age'!$B$7:$H$10366,MATCH(CONCATENATE('Tabular Pop Data by Age'!$C212,'Tabular Pop Data by Age'!AG$7),'Population Data by Age'!$B$7:$B$10366,0),MATCH('Tabular Pop Data by Age'!$C$6,'Population Data by Age'!$B$6:$H$6,0))</f>
        <v>24000</v>
      </c>
      <c r="AH212" s="78">
        <f>INDEX('Population Data by Age'!$B$7:$H$10366,MATCH(CONCATENATE('Tabular Pop Data by Age'!$C212,'Tabular Pop Data by Age'!AH$7),'Population Data by Age'!$B$7:$B$10366,0),MATCH('Tabular Pop Data by Age'!$C$6,'Population Data by Age'!$B$6:$H$6,0))</f>
        <v>5000</v>
      </c>
      <c r="AI212" s="78">
        <f>INDEX('Population Data by Age'!$B$7:$H$10366,MATCH(CONCATENATE('Tabular Pop Data by Age'!$C212,'Tabular Pop Data by Age'!AI$7),'Population Data by Age'!$B$7:$B$10366,0),MATCH('Tabular Pop Data by Age'!$C$6,'Population Data by Age'!$B$6:$H$6,0))</f>
        <v>15000</v>
      </c>
      <c r="AJ212" s="78">
        <f>INDEX('Population Data by Age'!$B$7:$H$10366,MATCH(CONCATENATE('Tabular Pop Data by Age'!$C212,'Tabular Pop Data by Age'!AJ$7),'Population Data by Age'!$B$7:$B$10366,0),MATCH('Tabular Pop Data by Age'!$C$6,'Population Data by Age'!$B$6:$H$6,0))</f>
        <v>5000</v>
      </c>
      <c r="AK212" s="78">
        <f>INDEX('Population Data by Age'!$B$7:$H$10366,MATCH(CONCATENATE('Tabular Pop Data by Age'!$C212,'Tabular Pop Data by Age'!AK$7),'Population Data by Age'!$B$7:$B$10366,0),MATCH('Tabular Pop Data by Age'!$C$6,'Population Data by Age'!$B$6:$H$6,0))</f>
        <v>7500</v>
      </c>
      <c r="AL212" s="78">
        <f>INDEX('Population Data by Age'!$B$7:$H$10366,MATCH(CONCATENATE('Tabular Pop Data by Age'!$C212,'Tabular Pop Data by Age'!AL$7),'Population Data by Age'!$B$7:$B$10366,0),MATCH('Tabular Pop Data by Age'!$C$6,'Population Data by Age'!$B$6:$H$6,0))</f>
        <v>3054000</v>
      </c>
      <c r="AM212" s="78">
        <f>INDEX('Population Data by Age'!$B$7:$H$10366,MATCH(CONCATENATE('Tabular Pop Data by Age'!$C212,'Tabular Pop Data by Age'!AM$7),'Population Data by Age'!$B$7:$B$10366,0),MATCH('Tabular Pop Data by Age'!$C$6,'Population Data by Age'!$B$6:$H$6,0))</f>
        <v>6836000</v>
      </c>
      <c r="AN212" s="78">
        <f>INDEX('Population Data by Age'!$B$7:$H$10366,MATCH(CONCATENATE('Tabular Pop Data by Age'!$C212,'Tabular Pop Data by Age'!AN$7),'Population Data by Age'!$B$7:$B$10366,0),MATCH('Tabular Pop Data by Age'!$C$6,'Population Data by Age'!$B$6:$H$6,0))</f>
        <v>9890000</v>
      </c>
      <c r="AO212" s="78">
        <f>INDEX('Population Data by Age'!$B$7:$H$10366,MATCH(CONCATENATE('Tabular Pop Data by Age'!$C212,'Tabular Pop Data by Age'!AO$7),'Population Data by Age'!$B$7:$B$10366,0),MATCH('Tabular Pop Data by Age'!$C$6,'Population Data by Age'!$B$6:$H$6,0))</f>
        <v>0</v>
      </c>
      <c r="AP212" s="79">
        <f t="shared" si="51"/>
        <v>499000</v>
      </c>
      <c r="AQ212" s="79">
        <f t="shared" si="52"/>
        <v>513000</v>
      </c>
      <c r="AR212" s="79">
        <f t="shared" si="53"/>
        <v>453000</v>
      </c>
      <c r="AS212" s="79">
        <f t="shared" si="54"/>
        <v>390000</v>
      </c>
      <c r="AT212" s="79">
        <f t="shared" si="55"/>
        <v>716000</v>
      </c>
      <c r="AU212" s="79">
        <f t="shared" si="56"/>
        <v>1433000</v>
      </c>
      <c r="AV212" s="79">
        <f t="shared" si="57"/>
        <v>1796000</v>
      </c>
      <c r="AW212" s="79">
        <f t="shared" si="58"/>
        <v>1374000</v>
      </c>
      <c r="AX212" s="79">
        <f t="shared" si="59"/>
        <v>916000</v>
      </c>
      <c r="AY212" s="79">
        <f t="shared" si="60"/>
        <v>692000</v>
      </c>
      <c r="AZ212" s="79">
        <f t="shared" si="61"/>
        <v>457000</v>
      </c>
      <c r="BA212" s="79">
        <f t="shared" si="62"/>
        <v>341000</v>
      </c>
      <c r="BB212" s="79">
        <f t="shared" si="63"/>
        <v>186000</v>
      </c>
      <c r="BC212" s="79">
        <f t="shared" si="64"/>
        <v>57000</v>
      </c>
      <c r="BD212" s="79">
        <f t="shared" si="65"/>
        <v>36000</v>
      </c>
      <c r="BE212" s="79">
        <f t="shared" si="66"/>
        <v>20000</v>
      </c>
      <c r="BF212" s="79">
        <f t="shared" si="67"/>
        <v>12500</v>
      </c>
    </row>
    <row r="213" spans="1:58" x14ac:dyDescent="0.25">
      <c r="A213" s="138" t="s">
        <v>1195</v>
      </c>
      <c r="B213" t="s">
        <v>662</v>
      </c>
      <c r="C213" t="s">
        <v>47</v>
      </c>
      <c r="D213" s="78">
        <f>INDEX('Population Data by Age'!$B$7:$H$10366,MATCH(CONCATENATE('Tabular Pop Data by Age'!$C213,'Tabular Pop Data by Age'!D$7),'Population Data by Age'!$B$7:$B$10366,0),MATCH('Tabular Pop Data by Age'!$C$6,'Population Data by Age'!$B$6:$H$6,0))</f>
        <v>1896000</v>
      </c>
      <c r="E213" s="78">
        <f>INDEX('Population Data by Age'!$B$7:$H$10366,MATCH(CONCATENATE('Tabular Pop Data by Age'!$C213,'Tabular Pop Data by Age'!E$7),'Population Data by Age'!$B$7:$B$10366,0),MATCH('Tabular Pop Data by Age'!$C$6,'Population Data by Age'!$B$6:$H$6,0))</f>
        <v>1990000</v>
      </c>
      <c r="F213" s="78">
        <f>INDEX('Population Data by Age'!$B$7:$H$10366,MATCH(CONCATENATE('Tabular Pop Data by Age'!$C213,'Tabular Pop Data by Age'!F$7),'Population Data by Age'!$B$7:$B$10366,0),MATCH('Tabular Pop Data by Age'!$C$6,'Population Data by Age'!$B$6:$H$6,0))</f>
        <v>1991000</v>
      </c>
      <c r="G213" s="78">
        <f>INDEX('Population Data by Age'!$B$7:$H$10366,MATCH(CONCATENATE('Tabular Pop Data by Age'!$C213,'Tabular Pop Data by Age'!G$7),'Population Data by Age'!$B$7:$B$10366,0),MATCH('Tabular Pop Data by Age'!$C$6,'Population Data by Age'!$B$6:$H$6,0))</f>
        <v>2088000</v>
      </c>
      <c r="H213" s="78">
        <f>INDEX('Population Data by Age'!$B$7:$H$10366,MATCH(CONCATENATE('Tabular Pop Data by Age'!$C213,'Tabular Pop Data by Age'!H$7),'Population Data by Age'!$B$7:$B$10366,0),MATCH('Tabular Pop Data by Age'!$C$6,'Population Data by Age'!$B$6:$H$6,0))</f>
        <v>1915000</v>
      </c>
      <c r="I213" s="78">
        <f>INDEX('Population Data by Age'!$B$7:$H$10366,MATCH(CONCATENATE('Tabular Pop Data by Age'!$C213,'Tabular Pop Data by Age'!I$7),'Population Data by Age'!$B$7:$B$10366,0),MATCH('Tabular Pop Data by Age'!$C$6,'Population Data by Age'!$B$6:$H$6,0))</f>
        <v>2003000</v>
      </c>
      <c r="J213" s="78">
        <f>INDEX('Population Data by Age'!$B$7:$H$10366,MATCH(CONCATENATE('Tabular Pop Data by Age'!$C213,'Tabular Pop Data by Age'!J$7),'Population Data by Age'!$B$7:$B$10366,0),MATCH('Tabular Pop Data by Age'!$C$6,'Population Data by Age'!$B$6:$H$6,0))</f>
        <v>1788000</v>
      </c>
      <c r="K213" s="78">
        <f>INDEX('Population Data by Age'!$B$7:$H$10366,MATCH(CONCATENATE('Tabular Pop Data by Age'!$C213,'Tabular Pop Data by Age'!K$7),'Population Data by Age'!$B$7:$B$10366,0),MATCH('Tabular Pop Data by Age'!$C$6,'Population Data by Age'!$B$6:$H$6,0))</f>
        <v>1862000</v>
      </c>
      <c r="L213" s="78">
        <f>INDEX('Population Data by Age'!$B$7:$H$10366,MATCH(CONCATENATE('Tabular Pop Data by Age'!$C213,'Tabular Pop Data by Age'!L$7),'Population Data by Age'!$B$7:$B$10366,0),MATCH('Tabular Pop Data by Age'!$C$6,'Population Data by Age'!$B$6:$H$6,0))</f>
        <v>1982000</v>
      </c>
      <c r="M213" s="78">
        <f>INDEX('Population Data by Age'!$B$7:$H$10366,MATCH(CONCATENATE('Tabular Pop Data by Age'!$C213,'Tabular Pop Data by Age'!M$7),'Population Data by Age'!$B$7:$B$10366,0),MATCH('Tabular Pop Data by Age'!$C$6,'Population Data by Age'!$B$6:$H$6,0))</f>
        <v>2052000</v>
      </c>
      <c r="N213" s="78">
        <f>INDEX('Population Data by Age'!$B$7:$H$10366,MATCH(CONCATENATE('Tabular Pop Data by Age'!$C213,'Tabular Pop Data by Age'!N$7),'Population Data by Age'!$B$7:$B$10366,0),MATCH('Tabular Pop Data by Age'!$C$6,'Population Data by Age'!$B$6:$H$6,0))</f>
        <v>2187000</v>
      </c>
      <c r="O213" s="78">
        <f>INDEX('Population Data by Age'!$B$7:$H$10366,MATCH(CONCATENATE('Tabular Pop Data by Age'!$C213,'Tabular Pop Data by Age'!O$7),'Population Data by Age'!$B$7:$B$10366,0),MATCH('Tabular Pop Data by Age'!$C$6,'Population Data by Age'!$B$6:$H$6,0))</f>
        <v>2253000</v>
      </c>
      <c r="P213" s="78">
        <f>INDEX('Population Data by Age'!$B$7:$H$10366,MATCH(CONCATENATE('Tabular Pop Data by Age'!$C213,'Tabular Pop Data by Age'!P$7),'Population Data by Age'!$B$7:$B$10366,0),MATCH('Tabular Pop Data by Age'!$C$6,'Population Data by Age'!$B$6:$H$6,0))</f>
        <v>2323000</v>
      </c>
      <c r="Q213" s="78">
        <f>INDEX('Population Data by Age'!$B$7:$H$10366,MATCH(CONCATENATE('Tabular Pop Data by Age'!$C213,'Tabular Pop Data by Age'!Q$7),'Population Data by Age'!$B$7:$B$10366,0),MATCH('Tabular Pop Data by Age'!$C$6,'Population Data by Age'!$B$6:$H$6,0))</f>
        <v>2338000</v>
      </c>
      <c r="R213" s="78">
        <f>INDEX('Population Data by Age'!$B$7:$H$10366,MATCH(CONCATENATE('Tabular Pop Data by Age'!$C213,'Tabular Pop Data by Age'!R$7),'Population Data by Age'!$B$7:$B$10366,0),MATCH('Tabular Pop Data by Age'!$C$6,'Population Data by Age'!$B$6:$H$6,0))</f>
        <v>2286000</v>
      </c>
      <c r="S213" s="78">
        <f>INDEX('Population Data by Age'!$B$7:$H$10366,MATCH(CONCATENATE('Tabular Pop Data by Age'!$C213,'Tabular Pop Data by Age'!S$7),'Population Data by Age'!$B$7:$B$10366,0),MATCH('Tabular Pop Data by Age'!$C$6,'Population Data by Age'!$B$6:$H$6,0))</f>
        <v>2258000</v>
      </c>
      <c r="T213" s="78">
        <f>INDEX('Population Data by Age'!$B$7:$H$10366,MATCH(CONCATENATE('Tabular Pop Data by Age'!$C213,'Tabular Pop Data by Age'!T$7),'Population Data by Age'!$B$7:$B$10366,0),MATCH('Tabular Pop Data by Age'!$C$6,'Population Data by Age'!$B$6:$H$6,0))</f>
        <v>2139000</v>
      </c>
      <c r="U213" s="78">
        <f>INDEX('Population Data by Age'!$B$7:$H$10366,MATCH(CONCATENATE('Tabular Pop Data by Age'!$C213,'Tabular Pop Data by Age'!U$7),'Population Data by Age'!$B$7:$B$10366,0),MATCH('Tabular Pop Data by Age'!$C$6,'Population Data by Age'!$B$6:$H$6,0))</f>
        <v>2127000</v>
      </c>
      <c r="V213" s="78">
        <f>INDEX('Population Data by Age'!$B$7:$H$10366,MATCH(CONCATENATE('Tabular Pop Data by Age'!$C213,'Tabular Pop Data by Age'!V$7),'Population Data by Age'!$B$7:$B$10366,0),MATCH('Tabular Pop Data by Age'!$C$6,'Population Data by Age'!$B$6:$H$6,0))</f>
        <v>2147000</v>
      </c>
      <c r="W213" s="78">
        <f>INDEX('Population Data by Age'!$B$7:$H$10366,MATCH(CONCATENATE('Tabular Pop Data by Age'!$C213,'Tabular Pop Data by Age'!W$7),'Population Data by Age'!$B$7:$B$10366,0),MATCH('Tabular Pop Data by Age'!$C$6,'Population Data by Age'!$B$6:$H$6,0))</f>
        <v>2108000</v>
      </c>
      <c r="X213" s="78">
        <f>INDEX('Population Data by Age'!$B$7:$H$10366,MATCH(CONCATENATE('Tabular Pop Data by Age'!$C213,'Tabular Pop Data by Age'!X$7),'Population Data by Age'!$B$7:$B$10366,0),MATCH('Tabular Pop Data by Age'!$C$6,'Population Data by Age'!$B$6:$H$6,0))</f>
        <v>2330000</v>
      </c>
      <c r="Y213" s="78">
        <f>INDEX('Population Data by Age'!$B$7:$H$10366,MATCH(CONCATENATE('Tabular Pop Data by Age'!$C213,'Tabular Pop Data by Age'!Y$7),'Population Data by Age'!$B$7:$B$10366,0),MATCH('Tabular Pop Data by Age'!$C$6,'Population Data by Age'!$B$6:$H$6,0))</f>
        <v>2259000</v>
      </c>
      <c r="Z213" s="78">
        <f>INDEX('Population Data by Age'!$B$7:$H$10366,MATCH(CONCATENATE('Tabular Pop Data by Age'!$C213,'Tabular Pop Data by Age'!Z$7),'Population Data by Age'!$B$7:$B$10366,0),MATCH('Tabular Pop Data by Age'!$C$6,'Population Data by Age'!$B$6:$H$6,0))</f>
        <v>2284000</v>
      </c>
      <c r="AA213" s="78">
        <f>INDEX('Population Data by Age'!$B$7:$H$10366,MATCH(CONCATENATE('Tabular Pop Data by Age'!$C213,'Tabular Pop Data by Age'!AA$7),'Population Data by Age'!$B$7:$B$10366,0),MATCH('Tabular Pop Data by Age'!$C$6,'Population Data by Age'!$B$6:$H$6,0))</f>
        <v>2211000</v>
      </c>
      <c r="AB213" s="78">
        <f>INDEX('Population Data by Age'!$B$7:$H$10366,MATCH(CONCATENATE('Tabular Pop Data by Age'!$C213,'Tabular Pop Data by Age'!AB$7),'Population Data by Age'!$B$7:$B$10366,0),MATCH('Tabular Pop Data by Age'!$C$6,'Population Data by Age'!$B$6:$H$6,0))</f>
        <v>1966000</v>
      </c>
      <c r="AC213" s="78">
        <f>INDEX('Population Data by Age'!$B$7:$H$10366,MATCH(CONCATENATE('Tabular Pop Data by Age'!$C213,'Tabular Pop Data by Age'!AC$7),'Population Data by Age'!$B$7:$B$10366,0),MATCH('Tabular Pop Data by Age'!$C$6,'Population Data by Age'!$B$6:$H$6,0))</f>
        <v>1901000</v>
      </c>
      <c r="AD213" s="78">
        <f>INDEX('Population Data by Age'!$B$7:$H$10366,MATCH(CONCATENATE('Tabular Pop Data by Age'!$C213,'Tabular Pop Data by Age'!AD$7),'Population Data by Age'!$B$7:$B$10366,0),MATCH('Tabular Pop Data by Age'!$C$6,'Population Data by Age'!$B$6:$H$6,0))</f>
        <v>1717000</v>
      </c>
      <c r="AE213" s="78">
        <f>INDEX('Population Data by Age'!$B$7:$H$10366,MATCH(CONCATENATE('Tabular Pop Data by Age'!$C213,'Tabular Pop Data by Age'!AE$7),'Population Data by Age'!$B$7:$B$10366,0),MATCH('Tabular Pop Data by Age'!$C$6,'Population Data by Age'!$B$6:$H$6,0))</f>
        <v>1631000</v>
      </c>
      <c r="AF213" s="78">
        <f>INDEX('Population Data by Age'!$B$7:$H$10366,MATCH(CONCATENATE('Tabular Pop Data by Age'!$C213,'Tabular Pop Data by Age'!AF$7),'Population Data by Age'!$B$7:$B$10366,0),MATCH('Tabular Pop Data by Age'!$C$6,'Population Data by Age'!$B$6:$H$6,0))</f>
        <v>1747000</v>
      </c>
      <c r="AG213" s="78">
        <f>INDEX('Population Data by Age'!$B$7:$H$10366,MATCH(CONCATENATE('Tabular Pop Data by Age'!$C213,'Tabular Pop Data by Age'!AG$7),'Population Data by Age'!$B$7:$B$10366,0),MATCH('Tabular Pop Data by Age'!$C$6,'Population Data by Age'!$B$6:$H$6,0))</f>
        <v>1609000</v>
      </c>
      <c r="AH213" s="78">
        <f>INDEX('Population Data by Age'!$B$7:$H$10366,MATCH(CONCATENATE('Tabular Pop Data by Age'!$C213,'Tabular Pop Data by Age'!AH$7),'Population Data by Age'!$B$7:$B$10366,0),MATCH('Tabular Pop Data by Age'!$C$6,'Population Data by Age'!$B$6:$H$6,0))</f>
        <v>1292000</v>
      </c>
      <c r="AI213" s="78">
        <f>INDEX('Population Data by Age'!$B$7:$H$10366,MATCH(CONCATENATE('Tabular Pop Data by Age'!$C213,'Tabular Pop Data by Age'!AI$7),'Population Data by Age'!$B$7:$B$10366,0),MATCH('Tabular Pop Data by Age'!$C$6,'Population Data by Age'!$B$6:$H$6,0))</f>
        <v>1126000</v>
      </c>
      <c r="AJ213" s="78">
        <f>INDEX('Population Data by Age'!$B$7:$H$10366,MATCH(CONCATENATE('Tabular Pop Data by Age'!$C213,'Tabular Pop Data by Age'!AJ$7),'Population Data by Age'!$B$7:$B$10366,0),MATCH('Tabular Pop Data by Age'!$C$6,'Population Data by Age'!$B$6:$H$6,0))</f>
        <v>2018000</v>
      </c>
      <c r="AK213" s="78">
        <f>INDEX('Population Data by Age'!$B$7:$H$10366,MATCH(CONCATENATE('Tabular Pop Data by Age'!$C213,'Tabular Pop Data by Age'!AK$7),'Population Data by Age'!$B$7:$B$10366,0),MATCH('Tabular Pop Data by Age'!$C$6,'Population Data by Age'!$B$6:$H$6,0))</f>
        <v>1399000</v>
      </c>
      <c r="AL213" s="78">
        <f>INDEX('Population Data by Age'!$B$7:$H$10366,MATCH(CONCATENATE('Tabular Pop Data by Age'!$C213,'Tabular Pop Data by Age'!AL$7),'Population Data by Age'!$B$7:$B$10366,0),MATCH('Tabular Pop Data by Age'!$C$6,'Population Data by Age'!$B$6:$H$6,0))</f>
        <v>34008000</v>
      </c>
      <c r="AM213" s="78">
        <f>INDEX('Population Data by Age'!$B$7:$H$10366,MATCH(CONCATENATE('Tabular Pop Data by Age'!$C213,'Tabular Pop Data by Age'!AM$7),'Population Data by Age'!$B$7:$B$10366,0),MATCH('Tabular Pop Data by Age'!$C$6,'Population Data by Age'!$B$6:$H$6,0))</f>
        <v>33215000</v>
      </c>
      <c r="AN213" s="78">
        <f>INDEX('Population Data by Age'!$B$7:$H$10366,MATCH(CONCATENATE('Tabular Pop Data by Age'!$C213,'Tabular Pop Data by Age'!AN$7),'Population Data by Age'!$B$7:$B$10366,0),MATCH('Tabular Pop Data by Age'!$C$6,'Population Data by Age'!$B$6:$H$6,0))</f>
        <v>67224000</v>
      </c>
      <c r="AO213" s="78">
        <f>INDEX('Population Data by Age'!$B$7:$H$10366,MATCH(CONCATENATE('Tabular Pop Data by Age'!$C213,'Tabular Pop Data by Age'!AO$7),'Population Data by Age'!$B$7:$B$10366,0),MATCH('Tabular Pop Data by Age'!$C$6,'Population Data by Age'!$B$6:$H$6,0))</f>
        <v>0</v>
      </c>
      <c r="AP213" s="79">
        <f t="shared" si="51"/>
        <v>3886000</v>
      </c>
      <c r="AQ213" s="79">
        <f t="shared" si="52"/>
        <v>4079000</v>
      </c>
      <c r="AR213" s="79">
        <f t="shared" si="53"/>
        <v>3918000</v>
      </c>
      <c r="AS213" s="79">
        <f t="shared" si="54"/>
        <v>3650000</v>
      </c>
      <c r="AT213" s="79">
        <f t="shared" si="55"/>
        <v>4034000</v>
      </c>
      <c r="AU213" s="79">
        <f t="shared" si="56"/>
        <v>4440000</v>
      </c>
      <c r="AV213" s="79">
        <f t="shared" si="57"/>
        <v>4661000</v>
      </c>
      <c r="AW213" s="79">
        <f t="shared" si="58"/>
        <v>4544000</v>
      </c>
      <c r="AX213" s="79">
        <f t="shared" si="59"/>
        <v>4266000</v>
      </c>
      <c r="AY213" s="79">
        <f t="shared" si="60"/>
        <v>4255000</v>
      </c>
      <c r="AZ213" s="79">
        <f t="shared" si="61"/>
        <v>4589000</v>
      </c>
      <c r="BA213" s="79">
        <f t="shared" si="62"/>
        <v>4495000</v>
      </c>
      <c r="BB213" s="79">
        <f t="shared" si="63"/>
        <v>3867000</v>
      </c>
      <c r="BC213" s="79">
        <f t="shared" si="64"/>
        <v>3348000</v>
      </c>
      <c r="BD213" s="79">
        <f t="shared" si="65"/>
        <v>3356000</v>
      </c>
      <c r="BE213" s="79">
        <f t="shared" si="66"/>
        <v>2418000</v>
      </c>
      <c r="BF213" s="79">
        <f t="shared" si="67"/>
        <v>3417000</v>
      </c>
    </row>
    <row r="214" spans="1:58" x14ac:dyDescent="0.25">
      <c r="A214" s="138" t="s">
        <v>1195</v>
      </c>
      <c r="B214" t="s">
        <v>663</v>
      </c>
      <c r="C214" t="s">
        <v>149</v>
      </c>
      <c r="D214" s="78">
        <f>INDEX('Population Data by Age'!$B$7:$H$10366,MATCH(CONCATENATE('Tabular Pop Data by Age'!$C214,'Tabular Pop Data by Age'!D$7),'Population Data by Age'!$B$7:$B$10366,0),MATCH('Tabular Pop Data by Age'!$C$6,'Population Data by Age'!$B$6:$H$6,0))</f>
        <v>9648000</v>
      </c>
      <c r="E214" s="78">
        <f>INDEX('Population Data by Age'!$B$7:$H$10366,MATCH(CONCATENATE('Tabular Pop Data by Age'!$C214,'Tabular Pop Data by Age'!E$7),'Population Data by Age'!$B$7:$B$10366,0),MATCH('Tabular Pop Data by Age'!$C$6,'Population Data by Age'!$B$6:$H$6,0))</f>
        <v>10083000</v>
      </c>
      <c r="F214" s="78">
        <f>INDEX('Population Data by Age'!$B$7:$H$10366,MATCH(CONCATENATE('Tabular Pop Data by Age'!$C214,'Tabular Pop Data by Age'!F$7),'Population Data by Age'!$B$7:$B$10366,0),MATCH('Tabular Pop Data by Age'!$C$6,'Population Data by Age'!$B$6:$H$6,0))</f>
        <v>9826000</v>
      </c>
      <c r="G214" s="78">
        <f>INDEX('Population Data by Age'!$B$7:$H$10366,MATCH(CONCATENATE('Tabular Pop Data by Age'!$C214,'Tabular Pop Data by Age'!G$7),'Population Data by Age'!$B$7:$B$10366,0),MATCH('Tabular Pop Data by Age'!$C$6,'Population Data by Age'!$B$6:$H$6,0))</f>
        <v>10275000</v>
      </c>
      <c r="H214" s="78">
        <f>INDEX('Population Data by Age'!$B$7:$H$10366,MATCH(CONCATENATE('Tabular Pop Data by Age'!$C214,'Tabular Pop Data by Age'!H$7),'Population Data by Age'!$B$7:$B$10366,0),MATCH('Tabular Pop Data by Age'!$C$6,'Population Data by Age'!$B$6:$H$6,0))</f>
        <v>10340000</v>
      </c>
      <c r="I214" s="78">
        <f>INDEX('Population Data by Age'!$B$7:$H$10366,MATCH(CONCATENATE('Tabular Pop Data by Age'!$C214,'Tabular Pop Data by Age'!I$7),'Population Data by Age'!$B$7:$B$10366,0),MATCH('Tabular Pop Data by Age'!$C$6,'Population Data by Age'!$B$6:$H$6,0))</f>
        <v>10807000</v>
      </c>
      <c r="J214" s="78">
        <f>INDEX('Population Data by Age'!$B$7:$H$10366,MATCH(CONCATENATE('Tabular Pop Data by Age'!$C214,'Tabular Pop Data by Age'!J$7),'Population Data by Age'!$B$7:$B$10366,0),MATCH('Tabular Pop Data by Age'!$C$6,'Population Data by Age'!$B$6:$H$6,0))</f>
        <v>10437000</v>
      </c>
      <c r="K214" s="78">
        <f>INDEX('Population Data by Age'!$B$7:$H$10366,MATCH(CONCATENATE('Tabular Pop Data by Age'!$C214,'Tabular Pop Data by Age'!K$7),'Population Data by Age'!$B$7:$B$10366,0),MATCH('Tabular Pop Data by Age'!$C$6,'Population Data by Age'!$B$6:$H$6,0))</f>
        <v>10864000</v>
      </c>
      <c r="L214" s="78">
        <f>INDEX('Population Data by Age'!$B$7:$H$10366,MATCH(CONCATENATE('Tabular Pop Data by Age'!$C214,'Tabular Pop Data by Age'!L$7),'Population Data by Age'!$B$7:$B$10366,0),MATCH('Tabular Pop Data by Age'!$C$6,'Population Data by Age'!$B$6:$H$6,0))</f>
        <v>10966000</v>
      </c>
      <c r="M214" s="78">
        <f>INDEX('Population Data by Age'!$B$7:$H$10366,MATCH(CONCATENATE('Tabular Pop Data by Age'!$C214,'Tabular Pop Data by Age'!M$7),'Population Data by Age'!$B$7:$B$10366,0),MATCH('Tabular Pop Data by Age'!$C$6,'Population Data by Age'!$B$6:$H$6,0))</f>
        <v>11354000</v>
      </c>
      <c r="N214" s="78">
        <f>INDEX('Population Data by Age'!$B$7:$H$10366,MATCH(CONCATENATE('Tabular Pop Data by Age'!$C214,'Tabular Pop Data by Age'!N$7),'Population Data by Age'!$B$7:$B$10366,0),MATCH('Tabular Pop Data by Age'!$C$6,'Population Data by Age'!$B$6:$H$6,0))</f>
        <v>11723000</v>
      </c>
      <c r="O214" s="78">
        <f>INDEX('Population Data by Age'!$B$7:$H$10366,MATCH(CONCATENATE('Tabular Pop Data by Age'!$C214,'Tabular Pop Data by Age'!O$7),'Population Data by Age'!$B$7:$B$10366,0),MATCH('Tabular Pop Data by Age'!$C$6,'Population Data by Age'!$B$6:$H$6,0))</f>
        <v>12178000</v>
      </c>
      <c r="P214" s="78">
        <f>INDEX('Population Data by Age'!$B$7:$H$10366,MATCH(CONCATENATE('Tabular Pop Data by Age'!$C214,'Tabular Pop Data by Age'!P$7),'Population Data by Age'!$B$7:$B$10366,0),MATCH('Tabular Pop Data by Age'!$C$6,'Population Data by Age'!$B$6:$H$6,0))</f>
        <v>11381000</v>
      </c>
      <c r="Q214" s="78">
        <f>INDEX('Population Data by Age'!$B$7:$H$10366,MATCH(CONCATENATE('Tabular Pop Data by Age'!$C214,'Tabular Pop Data by Age'!Q$7),'Population Data by Age'!$B$7:$B$10366,0),MATCH('Tabular Pop Data by Age'!$C$6,'Population Data by Age'!$B$6:$H$6,0))</f>
        <v>11735000</v>
      </c>
      <c r="R214" s="78">
        <f>INDEX('Population Data by Age'!$B$7:$H$10366,MATCH(CONCATENATE('Tabular Pop Data by Age'!$C214,'Tabular Pop Data by Age'!R$7),'Population Data by Age'!$B$7:$B$10366,0),MATCH('Tabular Pop Data by Age'!$C$6,'Population Data by Age'!$B$6:$H$6,0))</f>
        <v>10787000</v>
      </c>
      <c r="S214" s="78">
        <f>INDEX('Population Data by Age'!$B$7:$H$10366,MATCH(CONCATENATE('Tabular Pop Data by Age'!$C214,'Tabular Pop Data by Age'!S$7),'Population Data by Age'!$B$7:$B$10366,0),MATCH('Tabular Pop Data by Age'!$C$6,'Population Data by Age'!$B$6:$H$6,0))</f>
        <v>10889000</v>
      </c>
      <c r="T214" s="78">
        <f>INDEX('Population Data by Age'!$B$7:$H$10366,MATCH(CONCATENATE('Tabular Pop Data by Age'!$C214,'Tabular Pop Data by Age'!T$7),'Population Data by Age'!$B$7:$B$10366,0),MATCH('Tabular Pop Data by Age'!$C$6,'Population Data by Age'!$B$6:$H$6,0))</f>
        <v>10204000</v>
      </c>
      <c r="U214" s="78">
        <f>INDEX('Population Data by Age'!$B$7:$H$10366,MATCH(CONCATENATE('Tabular Pop Data by Age'!$C214,'Tabular Pop Data by Age'!U$7),'Population Data by Age'!$B$7:$B$10366,0),MATCH('Tabular Pop Data by Age'!$C$6,'Population Data by Age'!$B$6:$H$6,0))</f>
        <v>10146000</v>
      </c>
      <c r="V214" s="78">
        <f>INDEX('Population Data by Age'!$B$7:$H$10366,MATCH(CONCATENATE('Tabular Pop Data by Age'!$C214,'Tabular Pop Data by Age'!V$7),'Population Data by Age'!$B$7:$B$10366,0),MATCH('Tabular Pop Data by Age'!$C$6,'Population Data by Age'!$B$6:$H$6,0))</f>
        <v>10112000</v>
      </c>
      <c r="W214" s="78">
        <f>INDEX('Population Data by Age'!$B$7:$H$10366,MATCH(CONCATENATE('Tabular Pop Data by Age'!$C214,'Tabular Pop Data by Age'!W$7),'Population Data by Age'!$B$7:$B$10366,0),MATCH('Tabular Pop Data by Age'!$C$6,'Population Data by Age'!$B$6:$H$6,0))</f>
        <v>9997000</v>
      </c>
      <c r="X214" s="78">
        <f>INDEX('Population Data by Age'!$B$7:$H$10366,MATCH(CONCATENATE('Tabular Pop Data by Age'!$C214,'Tabular Pop Data by Age'!X$7),'Population Data by Age'!$B$7:$B$10366,0),MATCH('Tabular Pop Data by Age'!$C$6,'Population Data by Age'!$B$6:$H$6,0))</f>
        <v>10287000</v>
      </c>
      <c r="Y214" s="78">
        <f>INDEX('Population Data by Age'!$B$7:$H$10366,MATCH(CONCATENATE('Tabular Pop Data by Age'!$C214,'Tabular Pop Data by Age'!Y$7),'Population Data by Age'!$B$7:$B$10366,0),MATCH('Tabular Pop Data by Age'!$C$6,'Population Data by Age'!$B$6:$H$6,0))</f>
        <v>10348000</v>
      </c>
      <c r="Z214" s="78">
        <f>INDEX('Population Data by Age'!$B$7:$H$10366,MATCH(CONCATENATE('Tabular Pop Data by Age'!$C214,'Tabular Pop Data by Age'!Z$7),'Population Data by Age'!$B$7:$B$10366,0),MATCH('Tabular Pop Data by Age'!$C$6,'Population Data by Age'!$B$6:$H$6,0))</f>
        <v>10870000</v>
      </c>
      <c r="AA214" s="78">
        <f>INDEX('Population Data by Age'!$B$7:$H$10366,MATCH(CONCATENATE('Tabular Pop Data by Age'!$C214,'Tabular Pop Data by Age'!AA$7),'Population Data by Age'!$B$7:$B$10366,0),MATCH('Tabular Pop Data by Age'!$C$6,'Population Data by Age'!$B$6:$H$6,0))</f>
        <v>10732000</v>
      </c>
      <c r="AB214" s="78">
        <f>INDEX('Population Data by Age'!$B$7:$H$10366,MATCH(CONCATENATE('Tabular Pop Data by Age'!$C214,'Tabular Pop Data by Age'!AB$7),'Population Data by Age'!$B$7:$B$10366,0),MATCH('Tabular Pop Data by Age'!$C$6,'Population Data by Age'!$B$6:$H$6,0))</f>
        <v>10649000</v>
      </c>
      <c r="AC214" s="78">
        <f>INDEX('Population Data by Age'!$B$7:$H$10366,MATCH(CONCATENATE('Tabular Pop Data by Age'!$C214,'Tabular Pop Data by Age'!AC$7),'Population Data by Age'!$B$7:$B$10366,0),MATCH('Tabular Pop Data by Age'!$C$6,'Population Data by Age'!$B$6:$H$6,0))</f>
        <v>10078000</v>
      </c>
      <c r="AD214" s="78">
        <f>INDEX('Population Data by Age'!$B$7:$H$10366,MATCH(CONCATENATE('Tabular Pop Data by Age'!$C214,'Tabular Pop Data by Age'!AD$7),'Population Data by Age'!$B$7:$B$10366,0),MATCH('Tabular Pop Data by Age'!$C$6,'Population Data by Age'!$B$6:$H$6,0))</f>
        <v>9380000</v>
      </c>
      <c r="AE214" s="78">
        <f>INDEX('Population Data by Age'!$B$7:$H$10366,MATCH(CONCATENATE('Tabular Pop Data by Age'!$C214,'Tabular Pop Data by Age'!AE$7),'Population Data by Age'!$B$7:$B$10366,0),MATCH('Tabular Pop Data by Age'!$C$6,'Population Data by Age'!$B$6:$H$6,0))</f>
        <v>8489000</v>
      </c>
      <c r="AF214" s="78">
        <f>INDEX('Population Data by Age'!$B$7:$H$10366,MATCH(CONCATENATE('Tabular Pop Data by Age'!$C214,'Tabular Pop Data by Age'!AF$7),'Population Data by Age'!$B$7:$B$10366,0),MATCH('Tabular Pop Data by Age'!$C$6,'Population Data by Age'!$B$6:$H$6,0))</f>
        <v>7731000</v>
      </c>
      <c r="AG214" s="78">
        <f>INDEX('Population Data by Age'!$B$7:$H$10366,MATCH(CONCATENATE('Tabular Pop Data by Age'!$C214,'Tabular Pop Data by Age'!AG$7),'Population Data by Age'!$B$7:$B$10366,0),MATCH('Tabular Pop Data by Age'!$C$6,'Population Data by Age'!$B$6:$H$6,0))</f>
        <v>6664000</v>
      </c>
      <c r="AH214" s="78">
        <f>INDEX('Population Data by Age'!$B$7:$H$10366,MATCH(CONCATENATE('Tabular Pop Data by Age'!$C214,'Tabular Pop Data by Age'!AH$7),'Population Data by Age'!$B$7:$B$10366,0),MATCH('Tabular Pop Data by Age'!$C$6,'Population Data by Age'!$B$6:$H$6,0))</f>
        <v>5416000</v>
      </c>
      <c r="AI214" s="78">
        <f>INDEX('Population Data by Age'!$B$7:$H$10366,MATCH(CONCATENATE('Tabular Pop Data by Age'!$C214,'Tabular Pop Data by Age'!AI$7),'Population Data by Age'!$B$7:$B$10366,0),MATCH('Tabular Pop Data by Age'!$C$6,'Population Data by Age'!$B$6:$H$6,0))</f>
        <v>4339000</v>
      </c>
      <c r="AJ214" s="78">
        <f>INDEX('Population Data by Age'!$B$7:$H$10366,MATCH(CONCATENATE('Tabular Pop Data by Age'!$C214,'Tabular Pop Data by Age'!AJ$7),'Population Data by Age'!$B$7:$B$10366,0),MATCH('Tabular Pop Data by Age'!$C$6,'Population Data by Age'!$B$6:$H$6,0))</f>
        <v>7922000</v>
      </c>
      <c r="AK214" s="78">
        <f>INDEX('Population Data by Age'!$B$7:$H$10366,MATCH(CONCATENATE('Tabular Pop Data by Age'!$C214,'Tabular Pop Data by Age'!AK$7),'Population Data by Age'!$B$7:$B$10366,0),MATCH('Tabular Pop Data by Age'!$C$6,'Population Data by Age'!$B$6:$H$6,0))</f>
        <v>5262000</v>
      </c>
      <c r="AL214" s="78">
        <f>INDEX('Population Data by Age'!$B$7:$H$10366,MATCH(CONCATENATE('Tabular Pop Data by Age'!$C214,'Tabular Pop Data by Age'!AL$7),'Population Data by Age'!$B$7:$B$10366,0),MATCH('Tabular Pop Data by Age'!$C$6,'Population Data by Age'!$B$6:$H$6,0))</f>
        <v>167677000</v>
      </c>
      <c r="AM214" s="78">
        <f>INDEX('Population Data by Age'!$B$7:$H$10366,MATCH(CONCATENATE('Tabular Pop Data by Age'!$C214,'Tabular Pop Data by Age'!AM$7),'Population Data by Age'!$B$7:$B$10366,0),MATCH('Tabular Pop Data by Age'!$C$6,'Population Data by Age'!$B$6:$H$6,0))</f>
        <v>164237000</v>
      </c>
      <c r="AN214" s="78">
        <f>INDEX('Population Data by Age'!$B$7:$H$10366,MATCH(CONCATENATE('Tabular Pop Data by Age'!$C214,'Tabular Pop Data by Age'!AN$7),'Population Data by Age'!$B$7:$B$10366,0),MATCH('Tabular Pop Data by Age'!$C$6,'Population Data by Age'!$B$6:$H$6,0))</f>
        <v>331915000</v>
      </c>
      <c r="AO214" s="78">
        <f>INDEX('Population Data by Age'!$B$7:$H$10366,MATCH(CONCATENATE('Tabular Pop Data by Age'!$C214,'Tabular Pop Data by Age'!AO$7),'Population Data by Age'!$B$7:$B$10366,0),MATCH('Tabular Pop Data by Age'!$C$6,'Population Data by Age'!$B$6:$H$6,0))</f>
        <v>0</v>
      </c>
      <c r="AP214" s="79">
        <f t="shared" si="51"/>
        <v>19731000</v>
      </c>
      <c r="AQ214" s="79">
        <f t="shared" si="52"/>
        <v>20101000</v>
      </c>
      <c r="AR214" s="79">
        <f t="shared" si="53"/>
        <v>21147000</v>
      </c>
      <c r="AS214" s="79">
        <f t="shared" si="54"/>
        <v>21301000</v>
      </c>
      <c r="AT214" s="79">
        <f t="shared" si="55"/>
        <v>22320000</v>
      </c>
      <c r="AU214" s="79">
        <f t="shared" si="56"/>
        <v>23901000</v>
      </c>
      <c r="AV214" s="79">
        <f t="shared" si="57"/>
        <v>23116000</v>
      </c>
      <c r="AW214" s="79">
        <f t="shared" si="58"/>
        <v>21676000</v>
      </c>
      <c r="AX214" s="79">
        <f t="shared" si="59"/>
        <v>20350000</v>
      </c>
      <c r="AY214" s="79">
        <f t="shared" si="60"/>
        <v>20109000</v>
      </c>
      <c r="AZ214" s="79">
        <f t="shared" si="61"/>
        <v>20635000</v>
      </c>
      <c r="BA214" s="79">
        <f t="shared" si="62"/>
        <v>21602000</v>
      </c>
      <c r="BB214" s="79">
        <f t="shared" si="63"/>
        <v>20727000</v>
      </c>
      <c r="BC214" s="79">
        <f t="shared" si="64"/>
        <v>17869000</v>
      </c>
      <c r="BD214" s="79">
        <f t="shared" si="65"/>
        <v>14395000</v>
      </c>
      <c r="BE214" s="79">
        <f t="shared" si="66"/>
        <v>9755000</v>
      </c>
      <c r="BF214" s="79">
        <f t="shared" si="67"/>
        <v>13184000</v>
      </c>
    </row>
    <row r="215" spans="1:58" x14ac:dyDescent="0.25">
      <c r="A215" s="138" t="s">
        <v>1195</v>
      </c>
      <c r="B215" t="s">
        <v>666</v>
      </c>
      <c r="C215" t="s">
        <v>667</v>
      </c>
      <c r="D215" s="78">
        <f>INDEX('Population Data by Age'!$B$7:$H$10366,MATCH(CONCATENATE('Tabular Pop Data by Age'!$C215,'Tabular Pop Data by Age'!D$7),'Population Data by Age'!$B$7:$B$10366,0),MATCH('Tabular Pop Data by Age'!$C$6,'Population Data by Age'!$B$6:$H$6,0))</f>
        <v>116000</v>
      </c>
      <c r="E215" s="78">
        <f>INDEX('Population Data by Age'!$B$7:$H$10366,MATCH(CONCATENATE('Tabular Pop Data by Age'!$C215,'Tabular Pop Data by Age'!E$7),'Population Data by Age'!$B$7:$B$10366,0),MATCH('Tabular Pop Data by Age'!$C$6,'Population Data by Age'!$B$6:$H$6,0))</f>
        <v>121000</v>
      </c>
      <c r="F215" s="78">
        <f>INDEX('Population Data by Age'!$B$7:$H$10366,MATCH(CONCATENATE('Tabular Pop Data by Age'!$C215,'Tabular Pop Data by Age'!F$7),'Population Data by Age'!$B$7:$B$10366,0),MATCH('Tabular Pop Data by Age'!$C$6,'Population Data by Age'!$B$6:$H$6,0))</f>
        <v>116000</v>
      </c>
      <c r="G215" s="78">
        <f>INDEX('Population Data by Age'!$B$7:$H$10366,MATCH(CONCATENATE('Tabular Pop Data by Age'!$C215,'Tabular Pop Data by Age'!G$7),'Population Data by Age'!$B$7:$B$10366,0),MATCH('Tabular Pop Data by Age'!$C$6,'Population Data by Age'!$B$6:$H$6,0))</f>
        <v>121000</v>
      </c>
      <c r="H215" s="78">
        <f>INDEX('Population Data by Age'!$B$7:$H$10366,MATCH(CONCATENATE('Tabular Pop Data by Age'!$C215,'Tabular Pop Data by Age'!H$7),'Population Data by Age'!$B$7:$B$10366,0),MATCH('Tabular Pop Data by Age'!$C$6,'Population Data by Age'!$B$6:$H$6,0))</f>
        <v>114000</v>
      </c>
      <c r="I215" s="78">
        <f>INDEX('Population Data by Age'!$B$7:$H$10366,MATCH(CONCATENATE('Tabular Pop Data by Age'!$C215,'Tabular Pop Data by Age'!I$7),'Population Data by Age'!$B$7:$B$10366,0),MATCH('Tabular Pop Data by Age'!$C$6,'Population Data by Age'!$B$6:$H$6,0))</f>
        <v>119000</v>
      </c>
      <c r="J215" s="78">
        <f>INDEX('Population Data by Age'!$B$7:$H$10366,MATCH(CONCATENATE('Tabular Pop Data by Age'!$C215,'Tabular Pop Data by Age'!J$7),'Population Data by Age'!$B$7:$B$10366,0),MATCH('Tabular Pop Data by Age'!$C$6,'Population Data by Age'!$B$6:$H$6,0))</f>
        <v>120000</v>
      </c>
      <c r="K215" s="78">
        <f>INDEX('Population Data by Age'!$B$7:$H$10366,MATCH(CONCATENATE('Tabular Pop Data by Age'!$C215,'Tabular Pop Data by Age'!K$7),'Population Data by Age'!$B$7:$B$10366,0),MATCH('Tabular Pop Data by Age'!$C$6,'Population Data by Age'!$B$6:$H$6,0))</f>
        <v>125000</v>
      </c>
      <c r="L215" s="78">
        <f>INDEX('Population Data by Age'!$B$7:$H$10366,MATCH(CONCATENATE('Tabular Pop Data by Age'!$C215,'Tabular Pop Data by Age'!L$7),'Population Data by Age'!$B$7:$B$10366,0),MATCH('Tabular Pop Data by Age'!$C$6,'Population Data by Age'!$B$6:$H$6,0))</f>
        <v>125000</v>
      </c>
      <c r="M215" s="78">
        <f>INDEX('Population Data by Age'!$B$7:$H$10366,MATCH(CONCATENATE('Tabular Pop Data by Age'!$C215,'Tabular Pop Data by Age'!M$7),'Population Data by Age'!$B$7:$B$10366,0),MATCH('Tabular Pop Data by Age'!$C$6,'Population Data by Age'!$B$6:$H$6,0))</f>
        <v>129000</v>
      </c>
      <c r="N215" s="78">
        <f>INDEX('Population Data by Age'!$B$7:$H$10366,MATCH(CONCATENATE('Tabular Pop Data by Age'!$C215,'Tabular Pop Data by Age'!N$7),'Population Data by Age'!$B$7:$B$10366,0),MATCH('Tabular Pop Data by Age'!$C$6,'Population Data by Age'!$B$6:$H$6,0))</f>
        <v>127000</v>
      </c>
      <c r="O215" s="78">
        <f>INDEX('Population Data by Age'!$B$7:$H$10366,MATCH(CONCATENATE('Tabular Pop Data by Age'!$C215,'Tabular Pop Data by Age'!O$7),'Population Data by Age'!$B$7:$B$10366,0),MATCH('Tabular Pop Data by Age'!$C$6,'Population Data by Age'!$B$6:$H$6,0))</f>
        <v>131000</v>
      </c>
      <c r="P215" s="78">
        <f>INDEX('Population Data by Age'!$B$7:$H$10366,MATCH(CONCATENATE('Tabular Pop Data by Age'!$C215,'Tabular Pop Data by Age'!P$7),'Population Data by Age'!$B$7:$B$10366,0),MATCH('Tabular Pop Data by Age'!$C$6,'Population Data by Age'!$B$6:$H$6,0))</f>
        <v>119000</v>
      </c>
      <c r="Q215" s="78">
        <f>INDEX('Population Data by Age'!$B$7:$H$10366,MATCH(CONCATENATE('Tabular Pop Data by Age'!$C215,'Tabular Pop Data by Age'!Q$7),'Population Data by Age'!$B$7:$B$10366,0),MATCH('Tabular Pop Data by Age'!$C$6,'Population Data by Age'!$B$6:$H$6,0))</f>
        <v>121000</v>
      </c>
      <c r="R215" s="78">
        <f>INDEX('Population Data by Age'!$B$7:$H$10366,MATCH(CONCATENATE('Tabular Pop Data by Age'!$C215,'Tabular Pop Data by Age'!R$7),'Population Data by Age'!$B$7:$B$10366,0),MATCH('Tabular Pop Data by Age'!$C$6,'Population Data by Age'!$B$6:$H$6,0))</f>
        <v>111000</v>
      </c>
      <c r="S215" s="78">
        <f>INDEX('Population Data by Age'!$B$7:$H$10366,MATCH(CONCATENATE('Tabular Pop Data by Age'!$C215,'Tabular Pop Data by Age'!S$7),'Population Data by Age'!$B$7:$B$10366,0),MATCH('Tabular Pop Data by Age'!$C$6,'Population Data by Age'!$B$6:$H$6,0))</f>
        <v>111000</v>
      </c>
      <c r="T215" s="78">
        <f>INDEX('Population Data by Age'!$B$7:$H$10366,MATCH(CONCATENATE('Tabular Pop Data by Age'!$C215,'Tabular Pop Data by Age'!T$7),'Population Data by Age'!$B$7:$B$10366,0),MATCH('Tabular Pop Data by Age'!$C$6,'Population Data by Age'!$B$6:$H$6,0))</f>
        <v>118000</v>
      </c>
      <c r="U215" s="78">
        <f>INDEX('Population Data by Age'!$B$7:$H$10366,MATCH(CONCATENATE('Tabular Pop Data by Age'!$C215,'Tabular Pop Data by Age'!U$7),'Population Data by Age'!$B$7:$B$10366,0),MATCH('Tabular Pop Data by Age'!$C$6,'Population Data by Age'!$B$6:$H$6,0))</f>
        <v>116000</v>
      </c>
      <c r="V215" s="78">
        <f>INDEX('Population Data by Age'!$B$7:$H$10366,MATCH(CONCATENATE('Tabular Pop Data by Age'!$C215,'Tabular Pop Data by Age'!V$7),'Population Data by Age'!$B$7:$B$10366,0),MATCH('Tabular Pop Data by Age'!$C$6,'Population Data by Age'!$B$6:$H$6,0))</f>
        <v>112000</v>
      </c>
      <c r="W215" s="78">
        <f>INDEX('Population Data by Age'!$B$7:$H$10366,MATCH(CONCATENATE('Tabular Pop Data by Age'!$C215,'Tabular Pop Data by Age'!W$7),'Population Data by Age'!$B$7:$B$10366,0),MATCH('Tabular Pop Data by Age'!$C$6,'Population Data by Age'!$B$6:$H$6,0))</f>
        <v>109000</v>
      </c>
      <c r="X215" s="78">
        <f>INDEX('Population Data by Age'!$B$7:$H$10366,MATCH(CONCATENATE('Tabular Pop Data by Age'!$C215,'Tabular Pop Data by Age'!X$7),'Population Data by Age'!$B$7:$B$10366,0),MATCH('Tabular Pop Data by Age'!$C$6,'Population Data by Age'!$B$6:$H$6,0))</f>
        <v>102000</v>
      </c>
      <c r="Y215" s="78">
        <f>INDEX('Population Data by Age'!$B$7:$H$10366,MATCH(CONCATENATE('Tabular Pop Data by Age'!$C215,'Tabular Pop Data by Age'!Y$7),'Population Data by Age'!$B$7:$B$10366,0),MATCH('Tabular Pop Data by Age'!$C$6,'Population Data by Age'!$B$6:$H$6,0))</f>
        <v>95000</v>
      </c>
      <c r="Z215" s="78">
        <f>INDEX('Population Data by Age'!$B$7:$H$10366,MATCH(CONCATENATE('Tabular Pop Data by Age'!$C215,'Tabular Pop Data by Age'!Z$7),'Population Data by Age'!$B$7:$B$10366,0),MATCH('Tabular Pop Data by Age'!$C$6,'Population Data by Age'!$B$6:$H$6,0))</f>
        <v>102000</v>
      </c>
      <c r="AA215" s="78">
        <f>INDEX('Population Data by Age'!$B$7:$H$10366,MATCH(CONCATENATE('Tabular Pop Data by Age'!$C215,'Tabular Pop Data by Age'!AA$7),'Population Data by Age'!$B$7:$B$10366,0),MATCH('Tabular Pop Data by Age'!$C$6,'Population Data by Age'!$B$6:$H$6,0))</f>
        <v>93000</v>
      </c>
      <c r="AB215" s="78">
        <f>INDEX('Population Data by Age'!$B$7:$H$10366,MATCH(CONCATENATE('Tabular Pop Data by Age'!$C215,'Tabular Pop Data by Age'!AB$7),'Population Data by Age'!$B$7:$B$10366,0),MATCH('Tabular Pop Data by Age'!$C$6,'Population Data by Age'!$B$6:$H$6,0))</f>
        <v>96000</v>
      </c>
      <c r="AC215" s="78">
        <f>INDEX('Population Data by Age'!$B$7:$H$10366,MATCH(CONCATENATE('Tabular Pop Data by Age'!$C215,'Tabular Pop Data by Age'!AC$7),'Population Data by Age'!$B$7:$B$10366,0),MATCH('Tabular Pop Data by Age'!$C$6,'Population Data by Age'!$B$6:$H$6,0))</f>
        <v>83000</v>
      </c>
      <c r="AD215" s="78">
        <f>INDEX('Population Data by Age'!$B$7:$H$10366,MATCH(CONCATENATE('Tabular Pop Data by Age'!$C215,'Tabular Pop Data by Age'!AD$7),'Population Data by Age'!$B$7:$B$10366,0),MATCH('Tabular Pop Data by Age'!$C$6,'Population Data by Age'!$B$6:$H$6,0))</f>
        <v>81000</v>
      </c>
      <c r="AE215" s="78">
        <f>INDEX('Population Data by Age'!$B$7:$H$10366,MATCH(CONCATENATE('Tabular Pop Data by Age'!$C215,'Tabular Pop Data by Age'!AE$7),'Population Data by Age'!$B$7:$B$10366,0),MATCH('Tabular Pop Data by Age'!$C$6,'Population Data by Age'!$B$6:$H$6,0))</f>
        <v>68000</v>
      </c>
      <c r="AF215" s="78">
        <f>INDEX('Population Data by Age'!$B$7:$H$10366,MATCH(CONCATENATE('Tabular Pop Data by Age'!$C215,'Tabular Pop Data by Age'!AF$7),'Population Data by Age'!$B$7:$B$10366,0),MATCH('Tabular Pop Data by Age'!$C$6,'Population Data by Age'!$B$6:$H$6,0))</f>
        <v>70000</v>
      </c>
      <c r="AG215" s="78">
        <f>INDEX('Population Data by Age'!$B$7:$H$10366,MATCH(CONCATENATE('Tabular Pop Data by Age'!$C215,'Tabular Pop Data by Age'!AG$7),'Population Data by Age'!$B$7:$B$10366,0),MATCH('Tabular Pop Data by Age'!$C$6,'Population Data by Age'!$B$6:$H$6,0))</f>
        <v>53000</v>
      </c>
      <c r="AH215" s="78">
        <f>INDEX('Population Data by Age'!$B$7:$H$10366,MATCH(CONCATENATE('Tabular Pop Data by Age'!$C215,'Tabular Pop Data by Age'!AH$7),'Population Data by Age'!$B$7:$B$10366,0),MATCH('Tabular Pop Data by Age'!$C$6,'Population Data by Age'!$B$6:$H$6,0))</f>
        <v>58000</v>
      </c>
      <c r="AI215" s="78">
        <f>INDEX('Population Data by Age'!$B$7:$H$10366,MATCH(CONCATENATE('Tabular Pop Data by Age'!$C215,'Tabular Pop Data by Age'!AI$7),'Population Data by Age'!$B$7:$B$10366,0),MATCH('Tabular Pop Data by Age'!$C$6,'Population Data by Age'!$B$6:$H$6,0))</f>
        <v>39000</v>
      </c>
      <c r="AJ215" s="78">
        <f>INDEX('Population Data by Age'!$B$7:$H$10366,MATCH(CONCATENATE('Tabular Pop Data by Age'!$C215,'Tabular Pop Data by Age'!AJ$7),'Population Data by Age'!$B$7:$B$10366,0),MATCH('Tabular Pop Data by Age'!$C$6,'Population Data by Age'!$B$6:$H$6,0))</f>
        <v>110000</v>
      </c>
      <c r="AK215" s="78">
        <f>INDEX('Population Data by Age'!$B$7:$H$10366,MATCH(CONCATENATE('Tabular Pop Data by Age'!$C215,'Tabular Pop Data by Age'!AK$7),'Population Data by Age'!$B$7:$B$10366,0),MATCH('Tabular Pop Data by Age'!$C$6,'Population Data by Age'!$B$6:$H$6,0))</f>
        <v>45000</v>
      </c>
      <c r="AL215" s="78">
        <f>INDEX('Population Data by Age'!$B$7:$H$10366,MATCH(CONCATENATE('Tabular Pop Data by Age'!$C215,'Tabular Pop Data by Age'!AL$7),'Population Data by Age'!$B$7:$B$10366,0),MATCH('Tabular Pop Data by Age'!$C$6,'Population Data by Age'!$B$6:$H$6,0))</f>
        <v>1795000</v>
      </c>
      <c r="AM215" s="78">
        <f>INDEX('Population Data by Age'!$B$7:$H$10366,MATCH(CONCATENATE('Tabular Pop Data by Age'!$C215,'Tabular Pop Data by Age'!AM$7),'Population Data by Age'!$B$7:$B$10366,0),MATCH('Tabular Pop Data by Age'!$C$6,'Population Data by Age'!$B$6:$H$6,0))</f>
        <v>1678000</v>
      </c>
      <c r="AN215" s="78">
        <f>INDEX('Population Data by Age'!$B$7:$H$10366,MATCH(CONCATENATE('Tabular Pop Data by Age'!$C215,'Tabular Pop Data by Age'!AN$7),'Population Data by Age'!$B$7:$B$10366,0),MATCH('Tabular Pop Data by Age'!$C$6,'Population Data by Age'!$B$6:$H$6,0))</f>
        <v>3474000</v>
      </c>
      <c r="AO215" s="78">
        <f>INDEX('Population Data by Age'!$B$7:$H$10366,MATCH(CONCATENATE('Tabular Pop Data by Age'!$C215,'Tabular Pop Data by Age'!AO$7),'Population Data by Age'!$B$7:$B$10366,0),MATCH('Tabular Pop Data by Age'!$C$6,'Population Data by Age'!$B$6:$H$6,0))</f>
        <v>0</v>
      </c>
      <c r="AP215" s="79">
        <f t="shared" si="51"/>
        <v>237000</v>
      </c>
      <c r="AQ215" s="79">
        <f t="shared" si="52"/>
        <v>237000</v>
      </c>
      <c r="AR215" s="79">
        <f t="shared" si="53"/>
        <v>233000</v>
      </c>
      <c r="AS215" s="79">
        <f t="shared" si="54"/>
        <v>245000</v>
      </c>
      <c r="AT215" s="79">
        <f t="shared" si="55"/>
        <v>254000</v>
      </c>
      <c r="AU215" s="79">
        <f t="shared" si="56"/>
        <v>258000</v>
      </c>
      <c r="AV215" s="79">
        <f t="shared" si="57"/>
        <v>240000</v>
      </c>
      <c r="AW215" s="79">
        <f t="shared" si="58"/>
        <v>222000</v>
      </c>
      <c r="AX215" s="79">
        <f t="shared" si="59"/>
        <v>234000</v>
      </c>
      <c r="AY215" s="79">
        <f t="shared" si="60"/>
        <v>221000</v>
      </c>
      <c r="AZ215" s="79">
        <f t="shared" si="61"/>
        <v>197000</v>
      </c>
      <c r="BA215" s="79">
        <f t="shared" si="62"/>
        <v>195000</v>
      </c>
      <c r="BB215" s="79">
        <f t="shared" si="63"/>
        <v>179000</v>
      </c>
      <c r="BC215" s="79">
        <f t="shared" si="64"/>
        <v>149000</v>
      </c>
      <c r="BD215" s="79">
        <f t="shared" si="65"/>
        <v>123000</v>
      </c>
      <c r="BE215" s="79">
        <f t="shared" si="66"/>
        <v>97000</v>
      </c>
      <c r="BF215" s="79">
        <f t="shared" si="67"/>
        <v>155000</v>
      </c>
    </row>
    <row r="216" spans="1:58" x14ac:dyDescent="0.25">
      <c r="A216" s="138" t="s">
        <v>1195</v>
      </c>
      <c r="B216" t="s">
        <v>668</v>
      </c>
      <c r="C216" t="s">
        <v>150</v>
      </c>
      <c r="D216" s="78">
        <f>INDEX('Population Data by Age'!$B$7:$H$10366,MATCH(CONCATENATE('Tabular Pop Data by Age'!$C216,'Tabular Pop Data by Age'!D$7),'Population Data by Age'!$B$7:$B$10366,0),MATCH('Tabular Pop Data by Age'!$C$6,'Population Data by Age'!$B$6:$H$6,0))</f>
        <v>1679000</v>
      </c>
      <c r="E216" s="78">
        <f>INDEX('Population Data by Age'!$B$7:$H$10366,MATCH(CONCATENATE('Tabular Pop Data by Age'!$C216,'Tabular Pop Data by Age'!E$7),'Population Data by Age'!$B$7:$B$10366,0),MATCH('Tabular Pop Data by Age'!$C$6,'Population Data by Age'!$B$6:$H$6,0))</f>
        <v>1782000</v>
      </c>
      <c r="F216" s="78">
        <f>INDEX('Population Data by Age'!$B$7:$H$10366,MATCH(CONCATENATE('Tabular Pop Data by Age'!$C216,'Tabular Pop Data by Age'!F$7),'Population Data by Age'!$B$7:$B$10366,0),MATCH('Tabular Pop Data by Age'!$C$6,'Population Data by Age'!$B$6:$H$6,0))</f>
        <v>1612000</v>
      </c>
      <c r="G216" s="78">
        <f>INDEX('Population Data by Age'!$B$7:$H$10366,MATCH(CONCATENATE('Tabular Pop Data by Age'!$C216,'Tabular Pop Data by Age'!G$7),'Population Data by Age'!$B$7:$B$10366,0),MATCH('Tabular Pop Data by Age'!$C$6,'Population Data by Age'!$B$6:$H$6,0))</f>
        <v>1698000</v>
      </c>
      <c r="H216" s="78">
        <f>INDEX('Population Data by Age'!$B$7:$H$10366,MATCH(CONCATENATE('Tabular Pop Data by Age'!$C216,'Tabular Pop Data by Age'!H$7),'Population Data by Age'!$B$7:$B$10366,0),MATCH('Tabular Pop Data by Age'!$C$6,'Population Data by Age'!$B$6:$H$6,0))</f>
        <v>1437000</v>
      </c>
      <c r="I216" s="78">
        <f>INDEX('Population Data by Age'!$B$7:$H$10366,MATCH(CONCATENATE('Tabular Pop Data by Age'!$C216,'Tabular Pop Data by Age'!I$7),'Population Data by Age'!$B$7:$B$10366,0),MATCH('Tabular Pop Data by Age'!$C$6,'Population Data by Age'!$B$6:$H$6,0))</f>
        <v>1513000</v>
      </c>
      <c r="J216" s="78">
        <f>INDEX('Population Data by Age'!$B$7:$H$10366,MATCH(CONCATENATE('Tabular Pop Data by Age'!$C216,'Tabular Pop Data by Age'!J$7),'Population Data by Age'!$B$7:$B$10366,0),MATCH('Tabular Pop Data by Age'!$C$6,'Population Data by Age'!$B$6:$H$6,0))</f>
        <v>1250000</v>
      </c>
      <c r="K216" s="78">
        <f>INDEX('Population Data by Age'!$B$7:$H$10366,MATCH(CONCATENATE('Tabular Pop Data by Age'!$C216,'Tabular Pop Data by Age'!K$7),'Population Data by Age'!$B$7:$B$10366,0),MATCH('Tabular Pop Data by Age'!$C$6,'Population Data by Age'!$B$6:$H$6,0))</f>
        <v>1307000</v>
      </c>
      <c r="L216" s="78">
        <f>INDEX('Population Data by Age'!$B$7:$H$10366,MATCH(CONCATENATE('Tabular Pop Data by Age'!$C216,'Tabular Pop Data by Age'!L$7),'Population Data by Age'!$B$7:$B$10366,0),MATCH('Tabular Pop Data by Age'!$C$6,'Population Data by Age'!$B$6:$H$6,0))</f>
        <v>1374000</v>
      </c>
      <c r="M216" s="78">
        <f>INDEX('Population Data by Age'!$B$7:$H$10366,MATCH(CONCATENATE('Tabular Pop Data by Age'!$C216,'Tabular Pop Data by Age'!M$7),'Population Data by Age'!$B$7:$B$10366,0),MATCH('Tabular Pop Data by Age'!$C$6,'Population Data by Age'!$B$6:$H$6,0))</f>
        <v>1432000</v>
      </c>
      <c r="N216" s="78">
        <f>INDEX('Population Data by Age'!$B$7:$H$10366,MATCH(CONCATENATE('Tabular Pop Data by Age'!$C216,'Tabular Pop Data by Age'!N$7),'Population Data by Age'!$B$7:$B$10366,0),MATCH('Tabular Pop Data by Age'!$C$6,'Population Data by Age'!$B$6:$H$6,0))</f>
        <v>1562000</v>
      </c>
      <c r="O216" s="78">
        <f>INDEX('Population Data by Age'!$B$7:$H$10366,MATCH(CONCATENATE('Tabular Pop Data by Age'!$C216,'Tabular Pop Data by Age'!O$7),'Population Data by Age'!$B$7:$B$10366,0),MATCH('Tabular Pop Data by Age'!$C$6,'Population Data by Age'!$B$6:$H$6,0))</f>
        <v>1630000</v>
      </c>
      <c r="P216" s="78">
        <f>INDEX('Population Data by Age'!$B$7:$H$10366,MATCH(CONCATENATE('Tabular Pop Data by Age'!$C216,'Tabular Pop Data by Age'!P$7),'Population Data by Age'!$B$7:$B$10366,0),MATCH('Tabular Pop Data by Age'!$C$6,'Population Data by Age'!$B$6:$H$6,0))</f>
        <v>1519000</v>
      </c>
      <c r="Q216" s="78">
        <f>INDEX('Population Data by Age'!$B$7:$H$10366,MATCH(CONCATENATE('Tabular Pop Data by Age'!$C216,'Tabular Pop Data by Age'!Q$7),'Population Data by Age'!$B$7:$B$10366,0),MATCH('Tabular Pop Data by Age'!$C$6,'Population Data by Age'!$B$6:$H$6,0))</f>
        <v>1536000</v>
      </c>
      <c r="R216" s="78">
        <f>INDEX('Population Data by Age'!$B$7:$H$10366,MATCH(CONCATENATE('Tabular Pop Data by Age'!$C216,'Tabular Pop Data by Age'!R$7),'Population Data by Age'!$B$7:$B$10366,0),MATCH('Tabular Pop Data by Age'!$C$6,'Population Data by Age'!$B$6:$H$6,0))</f>
        <v>1293000</v>
      </c>
      <c r="S216" s="78">
        <f>INDEX('Population Data by Age'!$B$7:$H$10366,MATCH(CONCATENATE('Tabular Pop Data by Age'!$C216,'Tabular Pop Data by Age'!S$7),'Population Data by Age'!$B$7:$B$10366,0),MATCH('Tabular Pop Data by Age'!$C$6,'Population Data by Age'!$B$6:$H$6,0))</f>
        <v>1275000</v>
      </c>
      <c r="T216" s="78">
        <f>INDEX('Population Data by Age'!$B$7:$H$10366,MATCH(CONCATENATE('Tabular Pop Data by Age'!$C216,'Tabular Pop Data by Age'!T$7),'Population Data by Age'!$B$7:$B$10366,0),MATCH('Tabular Pop Data by Age'!$C$6,'Population Data by Age'!$B$6:$H$6,0))</f>
        <v>1076000</v>
      </c>
      <c r="U216" s="78">
        <f>INDEX('Population Data by Age'!$B$7:$H$10366,MATCH(CONCATENATE('Tabular Pop Data by Age'!$C216,'Tabular Pop Data by Age'!U$7),'Population Data by Age'!$B$7:$B$10366,0),MATCH('Tabular Pop Data by Age'!$C$6,'Population Data by Age'!$B$6:$H$6,0))</f>
        <v>1047000</v>
      </c>
      <c r="V216" s="78">
        <f>INDEX('Population Data by Age'!$B$7:$H$10366,MATCH(CONCATENATE('Tabular Pop Data by Age'!$C216,'Tabular Pop Data by Age'!V$7),'Population Data by Age'!$B$7:$B$10366,0),MATCH('Tabular Pop Data by Age'!$C$6,'Population Data by Age'!$B$6:$H$6,0))</f>
        <v>943000</v>
      </c>
      <c r="W216" s="78">
        <f>INDEX('Population Data by Age'!$B$7:$H$10366,MATCH(CONCATENATE('Tabular Pop Data by Age'!$C216,'Tabular Pop Data by Age'!W$7),'Population Data by Age'!$B$7:$B$10366,0),MATCH('Tabular Pop Data by Age'!$C$6,'Population Data by Age'!$B$6:$H$6,0))</f>
        <v>897000</v>
      </c>
      <c r="X216" s="78">
        <f>INDEX('Population Data by Age'!$B$7:$H$10366,MATCH(CONCATENATE('Tabular Pop Data by Age'!$C216,'Tabular Pop Data by Age'!X$7),'Population Data by Age'!$B$7:$B$10366,0),MATCH('Tabular Pop Data by Age'!$C$6,'Population Data by Age'!$B$6:$H$6,0))</f>
        <v>826000</v>
      </c>
      <c r="Y216" s="78">
        <f>INDEX('Population Data by Age'!$B$7:$H$10366,MATCH(CONCATENATE('Tabular Pop Data by Age'!$C216,'Tabular Pop Data by Age'!Y$7),'Population Data by Age'!$B$7:$B$10366,0),MATCH('Tabular Pop Data by Age'!$C$6,'Population Data by Age'!$B$6:$H$6,0))</f>
        <v>756000</v>
      </c>
      <c r="Z216" s="78">
        <f>INDEX('Population Data by Age'!$B$7:$H$10366,MATCH(CONCATENATE('Tabular Pop Data by Age'!$C216,'Tabular Pop Data by Age'!Z$7),'Population Data by Age'!$B$7:$B$10366,0),MATCH('Tabular Pop Data by Age'!$C$6,'Population Data by Age'!$B$6:$H$6,0))</f>
        <v>803000</v>
      </c>
      <c r="AA216" s="78">
        <f>INDEX('Population Data by Age'!$B$7:$H$10366,MATCH(CONCATENATE('Tabular Pop Data by Age'!$C216,'Tabular Pop Data by Age'!AA$7),'Population Data by Age'!$B$7:$B$10366,0),MATCH('Tabular Pop Data by Age'!$C$6,'Population Data by Age'!$B$6:$H$6,0))</f>
        <v>709000</v>
      </c>
      <c r="AB216" s="78">
        <f>INDEX('Population Data by Age'!$B$7:$H$10366,MATCH(CONCATENATE('Tabular Pop Data by Age'!$C216,'Tabular Pop Data by Age'!AB$7),'Population Data by Age'!$B$7:$B$10366,0),MATCH('Tabular Pop Data by Age'!$C$6,'Population Data by Age'!$B$6:$H$6,0))</f>
        <v>629000</v>
      </c>
      <c r="AC216" s="78">
        <f>INDEX('Population Data by Age'!$B$7:$H$10366,MATCH(CONCATENATE('Tabular Pop Data by Age'!$C216,'Tabular Pop Data by Age'!AC$7),'Population Data by Age'!$B$7:$B$10366,0),MATCH('Tabular Pop Data by Age'!$C$6,'Population Data by Age'!$B$6:$H$6,0))</f>
        <v>550000</v>
      </c>
      <c r="AD216" s="78">
        <f>INDEX('Population Data by Age'!$B$7:$H$10366,MATCH(CONCATENATE('Tabular Pop Data by Age'!$C216,'Tabular Pop Data by Age'!AD$7),'Population Data by Age'!$B$7:$B$10366,0),MATCH('Tabular Pop Data by Age'!$C$6,'Population Data by Age'!$B$6:$H$6,0))</f>
        <v>420000</v>
      </c>
      <c r="AE216" s="78">
        <f>INDEX('Population Data by Age'!$B$7:$H$10366,MATCH(CONCATENATE('Tabular Pop Data by Age'!$C216,'Tabular Pop Data by Age'!AE$7),'Population Data by Age'!$B$7:$B$10366,0),MATCH('Tabular Pop Data by Age'!$C$6,'Population Data by Age'!$B$6:$H$6,0))</f>
        <v>358000</v>
      </c>
      <c r="AF216" s="78">
        <f>INDEX('Population Data by Age'!$B$7:$H$10366,MATCH(CONCATENATE('Tabular Pop Data by Age'!$C216,'Tabular Pop Data by Age'!AF$7),'Population Data by Age'!$B$7:$B$10366,0),MATCH('Tabular Pop Data by Age'!$C$6,'Population Data by Age'!$B$6:$H$6,0))</f>
        <v>197000</v>
      </c>
      <c r="AG216" s="78">
        <f>INDEX('Population Data by Age'!$B$7:$H$10366,MATCH(CONCATENATE('Tabular Pop Data by Age'!$C216,'Tabular Pop Data by Age'!AG$7),'Population Data by Age'!$B$7:$B$10366,0),MATCH('Tabular Pop Data by Age'!$C$6,'Population Data by Age'!$B$6:$H$6,0))</f>
        <v>150000</v>
      </c>
      <c r="AH216" s="78">
        <f>INDEX('Population Data by Age'!$B$7:$H$10366,MATCH(CONCATENATE('Tabular Pop Data by Age'!$C216,'Tabular Pop Data by Age'!AH$7),'Population Data by Age'!$B$7:$B$10366,0),MATCH('Tabular Pop Data by Age'!$C$6,'Population Data by Age'!$B$6:$H$6,0))</f>
        <v>131000</v>
      </c>
      <c r="AI216" s="78">
        <f>INDEX('Population Data by Age'!$B$7:$H$10366,MATCH(CONCATENATE('Tabular Pop Data by Age'!$C216,'Tabular Pop Data by Age'!AI$7),'Population Data by Age'!$B$7:$B$10366,0),MATCH('Tabular Pop Data by Age'!$C$6,'Population Data by Age'!$B$6:$H$6,0))</f>
        <v>99000</v>
      </c>
      <c r="AJ216" s="78">
        <f>INDEX('Population Data by Age'!$B$7:$H$10366,MATCH(CONCATENATE('Tabular Pop Data by Age'!$C216,'Tabular Pop Data by Age'!AJ$7),'Population Data by Age'!$B$7:$B$10366,0),MATCH('Tabular Pop Data by Age'!$C$6,'Population Data by Age'!$B$6:$H$6,0))</f>
        <v>164000</v>
      </c>
      <c r="AK216" s="78">
        <f>INDEX('Population Data by Age'!$B$7:$H$10366,MATCH(CONCATENATE('Tabular Pop Data by Age'!$C216,'Tabular Pop Data by Age'!AK$7),'Population Data by Age'!$B$7:$B$10366,0),MATCH('Tabular Pop Data by Age'!$C$6,'Population Data by Age'!$B$6:$H$6,0))</f>
        <v>98000</v>
      </c>
      <c r="AL216" s="78">
        <f>INDEX('Population Data by Age'!$B$7:$H$10366,MATCH(CONCATENATE('Tabular Pop Data by Age'!$C216,'Tabular Pop Data by Age'!AL$7),'Population Data by Age'!$B$7:$B$10366,0),MATCH('Tabular Pop Data by Age'!$C$6,'Population Data by Age'!$B$6:$H$6,0))</f>
        <v>16912000</v>
      </c>
      <c r="AM216" s="78">
        <f>INDEX('Population Data by Age'!$B$7:$H$10366,MATCH(CONCATENATE('Tabular Pop Data by Age'!$C216,'Tabular Pop Data by Age'!AM$7),'Population Data by Age'!$B$7:$B$10366,0),MATCH('Tabular Pop Data by Age'!$C$6,'Population Data by Age'!$B$6:$H$6,0))</f>
        <v>16836000</v>
      </c>
      <c r="AN216" s="78">
        <f>INDEX('Population Data by Age'!$B$7:$H$10366,MATCH(CONCATENATE('Tabular Pop Data by Age'!$C216,'Tabular Pop Data by Age'!AN$7),'Population Data by Age'!$B$7:$B$10366,0),MATCH('Tabular Pop Data by Age'!$C$6,'Population Data by Age'!$B$6:$H$6,0))</f>
        <v>33749000</v>
      </c>
      <c r="AO216" s="78">
        <f>INDEX('Population Data by Age'!$B$7:$H$10366,MATCH(CONCATENATE('Tabular Pop Data by Age'!$C216,'Tabular Pop Data by Age'!AO$7),'Population Data by Age'!$B$7:$B$10366,0),MATCH('Tabular Pop Data by Age'!$C$6,'Population Data by Age'!$B$6:$H$6,0))</f>
        <v>0</v>
      </c>
      <c r="AP216" s="79">
        <f t="shared" si="51"/>
        <v>3461000</v>
      </c>
      <c r="AQ216" s="79">
        <f t="shared" si="52"/>
        <v>3310000</v>
      </c>
      <c r="AR216" s="79">
        <f t="shared" si="53"/>
        <v>2950000</v>
      </c>
      <c r="AS216" s="79">
        <f t="shared" si="54"/>
        <v>2557000</v>
      </c>
      <c r="AT216" s="79">
        <f t="shared" si="55"/>
        <v>2806000</v>
      </c>
      <c r="AU216" s="79">
        <f t="shared" si="56"/>
        <v>3192000</v>
      </c>
      <c r="AV216" s="79">
        <f t="shared" si="57"/>
        <v>3055000</v>
      </c>
      <c r="AW216" s="79">
        <f t="shared" si="58"/>
        <v>2568000</v>
      </c>
      <c r="AX216" s="79">
        <f t="shared" si="59"/>
        <v>2123000</v>
      </c>
      <c r="AY216" s="79">
        <f t="shared" si="60"/>
        <v>1840000</v>
      </c>
      <c r="AZ216" s="79">
        <f t="shared" si="61"/>
        <v>1582000</v>
      </c>
      <c r="BA216" s="79">
        <f t="shared" si="62"/>
        <v>1512000</v>
      </c>
      <c r="BB216" s="79">
        <f t="shared" si="63"/>
        <v>1179000</v>
      </c>
      <c r="BC216" s="79">
        <f t="shared" si="64"/>
        <v>778000</v>
      </c>
      <c r="BD216" s="79">
        <f t="shared" si="65"/>
        <v>347000</v>
      </c>
      <c r="BE216" s="79">
        <f t="shared" si="66"/>
        <v>230000</v>
      </c>
      <c r="BF216" s="79">
        <f t="shared" si="67"/>
        <v>262000</v>
      </c>
    </row>
    <row r="217" spans="1:58" x14ac:dyDescent="0.25">
      <c r="A217" s="138" t="s">
        <v>1195</v>
      </c>
      <c r="B217" t="s">
        <v>258</v>
      </c>
      <c r="C217" t="s">
        <v>151</v>
      </c>
      <c r="D217" s="78">
        <f>INDEX('Population Data by Age'!$B$7:$H$10366,MATCH(CONCATENATE('Tabular Pop Data by Age'!$C217,'Tabular Pop Data by Age'!D$7),'Population Data by Age'!$B$7:$B$10366,0),MATCH('Tabular Pop Data by Age'!$C$6,'Population Data by Age'!$B$6:$H$6,0))</f>
        <v>20000</v>
      </c>
      <c r="E217" s="78">
        <f>INDEX('Population Data by Age'!$B$7:$H$10366,MATCH(CONCATENATE('Tabular Pop Data by Age'!$C217,'Tabular Pop Data by Age'!E$7),'Population Data by Age'!$B$7:$B$10366,0),MATCH('Tabular Pop Data by Age'!$C$6,'Population Data by Age'!$B$6:$H$6,0))</f>
        <v>22000</v>
      </c>
      <c r="F217" s="78">
        <f>INDEX('Population Data by Age'!$B$7:$H$10366,MATCH(CONCATENATE('Tabular Pop Data by Age'!$C217,'Tabular Pop Data by Age'!F$7),'Population Data by Age'!$B$7:$B$10366,0),MATCH('Tabular Pop Data by Age'!$C$6,'Population Data by Age'!$B$6:$H$6,0))</f>
        <v>19000</v>
      </c>
      <c r="G217" s="78">
        <f>INDEX('Population Data by Age'!$B$7:$H$10366,MATCH(CONCATENATE('Tabular Pop Data by Age'!$C217,'Tabular Pop Data by Age'!G$7),'Population Data by Age'!$B$7:$B$10366,0),MATCH('Tabular Pop Data by Age'!$C$6,'Population Data by Age'!$B$6:$H$6,0))</f>
        <v>20000</v>
      </c>
      <c r="H217" s="78">
        <f>INDEX('Population Data by Age'!$B$7:$H$10366,MATCH(CONCATENATE('Tabular Pop Data by Age'!$C217,'Tabular Pop Data by Age'!H$7),'Population Data by Age'!$B$7:$B$10366,0),MATCH('Tabular Pop Data by Age'!$C$6,'Population Data by Age'!$B$6:$H$6,0))</f>
        <v>18000</v>
      </c>
      <c r="I217" s="78">
        <f>INDEX('Population Data by Age'!$B$7:$H$10366,MATCH(CONCATENATE('Tabular Pop Data by Age'!$C217,'Tabular Pop Data by Age'!I$7),'Population Data by Age'!$B$7:$B$10366,0),MATCH('Tabular Pop Data by Age'!$C$6,'Population Data by Age'!$B$6:$H$6,0))</f>
        <v>19000</v>
      </c>
      <c r="J217" s="78">
        <f>INDEX('Population Data by Age'!$B$7:$H$10366,MATCH(CONCATENATE('Tabular Pop Data by Age'!$C217,'Tabular Pop Data by Age'!J$7),'Population Data by Age'!$B$7:$B$10366,0),MATCH('Tabular Pop Data by Age'!$C$6,'Population Data by Age'!$B$6:$H$6,0))</f>
        <v>14000</v>
      </c>
      <c r="K217" s="78">
        <f>INDEX('Population Data by Age'!$B$7:$H$10366,MATCH(CONCATENATE('Tabular Pop Data by Age'!$C217,'Tabular Pop Data by Age'!K$7),'Population Data by Age'!$B$7:$B$10366,0),MATCH('Tabular Pop Data by Age'!$C$6,'Population Data by Age'!$B$6:$H$6,0))</f>
        <v>16000</v>
      </c>
      <c r="L217" s="78">
        <f>INDEX('Population Data by Age'!$B$7:$H$10366,MATCH(CONCATENATE('Tabular Pop Data by Age'!$C217,'Tabular Pop Data by Age'!L$7),'Population Data by Age'!$B$7:$B$10366,0),MATCH('Tabular Pop Data by Age'!$C$6,'Population Data by Age'!$B$6:$H$6,0))</f>
        <v>13000</v>
      </c>
      <c r="M217" s="78">
        <f>INDEX('Population Data by Age'!$B$7:$H$10366,MATCH(CONCATENATE('Tabular Pop Data by Age'!$C217,'Tabular Pop Data by Age'!M$7),'Population Data by Age'!$B$7:$B$10366,0),MATCH('Tabular Pop Data by Age'!$C$6,'Population Data by Age'!$B$6:$H$6,0))</f>
        <v>13000</v>
      </c>
      <c r="N217" s="78">
        <f>INDEX('Population Data by Age'!$B$7:$H$10366,MATCH(CONCATENATE('Tabular Pop Data by Age'!$C217,'Tabular Pop Data by Age'!N$7),'Population Data by Age'!$B$7:$B$10366,0),MATCH('Tabular Pop Data by Age'!$C$6,'Population Data by Age'!$B$6:$H$6,0))</f>
        <v>13000</v>
      </c>
      <c r="O217" s="78">
        <f>INDEX('Population Data by Age'!$B$7:$H$10366,MATCH(CONCATENATE('Tabular Pop Data by Age'!$C217,'Tabular Pop Data by Age'!O$7),'Population Data by Age'!$B$7:$B$10366,0),MATCH('Tabular Pop Data by Age'!$C$6,'Population Data by Age'!$B$6:$H$6,0))</f>
        <v>12000</v>
      </c>
      <c r="P217" s="78">
        <f>INDEX('Population Data by Age'!$B$7:$H$10366,MATCH(CONCATENATE('Tabular Pop Data by Age'!$C217,'Tabular Pop Data by Age'!P$7),'Population Data by Age'!$B$7:$B$10366,0),MATCH('Tabular Pop Data by Age'!$C$6,'Population Data by Age'!$B$6:$H$6,0))</f>
        <v>12000</v>
      </c>
      <c r="Q217" s="78">
        <f>INDEX('Population Data by Age'!$B$7:$H$10366,MATCH(CONCATENATE('Tabular Pop Data by Age'!$C217,'Tabular Pop Data by Age'!Q$7),'Population Data by Age'!$B$7:$B$10366,0),MATCH('Tabular Pop Data by Age'!$C$6,'Population Data by Age'!$B$6:$H$6,0))</f>
        <v>11000</v>
      </c>
      <c r="R217" s="78">
        <f>INDEX('Population Data by Age'!$B$7:$H$10366,MATCH(CONCATENATE('Tabular Pop Data by Age'!$C217,'Tabular Pop Data by Age'!R$7),'Population Data by Age'!$B$7:$B$10366,0),MATCH('Tabular Pop Data by Age'!$C$6,'Population Data by Age'!$B$6:$H$6,0))</f>
        <v>9100</v>
      </c>
      <c r="S217" s="78">
        <f>INDEX('Population Data by Age'!$B$7:$H$10366,MATCH(CONCATENATE('Tabular Pop Data by Age'!$C217,'Tabular Pop Data by Age'!S$7),'Population Data by Age'!$B$7:$B$10366,0),MATCH('Tabular Pop Data by Age'!$C$6,'Population Data by Age'!$B$6:$H$6,0))</f>
        <v>8900</v>
      </c>
      <c r="T217" s="78">
        <f>INDEX('Population Data by Age'!$B$7:$H$10366,MATCH(CONCATENATE('Tabular Pop Data by Age'!$C217,'Tabular Pop Data by Age'!T$7),'Population Data by Age'!$B$7:$B$10366,0),MATCH('Tabular Pop Data by Age'!$C$6,'Population Data by Age'!$B$6:$H$6,0))</f>
        <v>8000</v>
      </c>
      <c r="U217" s="78">
        <f>INDEX('Population Data by Age'!$B$7:$H$10366,MATCH(CONCATENATE('Tabular Pop Data by Age'!$C217,'Tabular Pop Data by Age'!U$7),'Population Data by Age'!$B$7:$B$10366,0),MATCH('Tabular Pop Data by Age'!$C$6,'Population Data by Age'!$B$6:$H$6,0))</f>
        <v>8100</v>
      </c>
      <c r="V217" s="78">
        <f>INDEX('Population Data by Age'!$B$7:$H$10366,MATCH(CONCATENATE('Tabular Pop Data by Age'!$C217,'Tabular Pop Data by Age'!V$7),'Population Data by Age'!$B$7:$B$10366,0),MATCH('Tabular Pop Data by Age'!$C$6,'Population Data by Age'!$B$6:$H$6,0))</f>
        <v>6500</v>
      </c>
      <c r="W217" s="78">
        <f>INDEX('Population Data by Age'!$B$7:$H$10366,MATCH(CONCATENATE('Tabular Pop Data by Age'!$C217,'Tabular Pop Data by Age'!W$7),'Population Data by Age'!$B$7:$B$10366,0),MATCH('Tabular Pop Data by Age'!$C$6,'Population Data by Age'!$B$6:$H$6,0))</f>
        <v>6600</v>
      </c>
      <c r="X217" s="78">
        <f>INDEX('Population Data by Age'!$B$7:$H$10366,MATCH(CONCATENATE('Tabular Pop Data by Age'!$C217,'Tabular Pop Data by Age'!X$7),'Population Data by Age'!$B$7:$B$10366,0),MATCH('Tabular Pop Data by Age'!$C$6,'Population Data by Age'!$B$6:$H$6,0))</f>
        <v>5600</v>
      </c>
      <c r="Y217" s="78">
        <f>INDEX('Population Data by Age'!$B$7:$H$10366,MATCH(CONCATENATE('Tabular Pop Data by Age'!$C217,'Tabular Pop Data by Age'!Y$7),'Population Data by Age'!$B$7:$B$10366,0),MATCH('Tabular Pop Data by Age'!$C$6,'Population Data by Age'!$B$6:$H$6,0))</f>
        <v>6000</v>
      </c>
      <c r="Z217" s="78">
        <f>INDEX('Population Data by Age'!$B$7:$H$10366,MATCH(CONCATENATE('Tabular Pop Data by Age'!$C217,'Tabular Pop Data by Age'!Z$7),'Population Data by Age'!$B$7:$B$10366,0),MATCH('Tabular Pop Data by Age'!$C$6,'Population Data by Age'!$B$6:$H$6,0))</f>
        <v>4400</v>
      </c>
      <c r="AA217" s="78">
        <f>INDEX('Population Data by Age'!$B$7:$H$10366,MATCH(CONCATENATE('Tabular Pop Data by Age'!$C217,'Tabular Pop Data by Age'!AA$7),'Population Data by Age'!$B$7:$B$10366,0),MATCH('Tabular Pop Data by Age'!$C$6,'Population Data by Age'!$B$6:$H$6,0))</f>
        <v>4500</v>
      </c>
      <c r="AB217" s="78">
        <f>INDEX('Population Data by Age'!$B$7:$H$10366,MATCH(CONCATENATE('Tabular Pop Data by Age'!$C217,'Tabular Pop Data by Age'!AB$7),'Population Data by Age'!$B$7:$B$10366,0),MATCH('Tabular Pop Data by Age'!$C$6,'Population Data by Age'!$B$6:$H$6,0))</f>
        <v>3300</v>
      </c>
      <c r="AC217" s="78">
        <f>INDEX('Population Data by Age'!$B$7:$H$10366,MATCH(CONCATENATE('Tabular Pop Data by Age'!$C217,'Tabular Pop Data by Age'!AC$7),'Population Data by Age'!$B$7:$B$10366,0),MATCH('Tabular Pop Data by Age'!$C$6,'Population Data by Age'!$B$6:$H$6,0))</f>
        <v>3500</v>
      </c>
      <c r="AD217" s="78">
        <f>INDEX('Population Data by Age'!$B$7:$H$10366,MATCH(CONCATENATE('Tabular Pop Data by Age'!$C217,'Tabular Pop Data by Age'!AD$7),'Population Data by Age'!$B$7:$B$10366,0),MATCH('Tabular Pop Data by Age'!$C$6,'Population Data by Age'!$B$6:$H$6,0))</f>
        <v>2300</v>
      </c>
      <c r="AE217" s="78">
        <f>INDEX('Population Data by Age'!$B$7:$H$10366,MATCH(CONCATENATE('Tabular Pop Data by Age'!$C217,'Tabular Pop Data by Age'!AE$7),'Population Data by Age'!$B$7:$B$10366,0),MATCH('Tabular Pop Data by Age'!$C$6,'Population Data by Age'!$B$6:$H$6,0))</f>
        <v>2400</v>
      </c>
      <c r="AF217" s="78">
        <f>INDEX('Population Data by Age'!$B$7:$H$10366,MATCH(CONCATENATE('Tabular Pop Data by Age'!$C217,'Tabular Pop Data by Age'!AF$7),'Population Data by Age'!$B$7:$B$10366,0),MATCH('Tabular Pop Data by Age'!$C$6,'Population Data by Age'!$B$6:$H$6,0))</f>
        <v>1600</v>
      </c>
      <c r="AG217" s="78">
        <f>INDEX('Population Data by Age'!$B$7:$H$10366,MATCH(CONCATENATE('Tabular Pop Data by Age'!$C217,'Tabular Pop Data by Age'!AG$7),'Population Data by Age'!$B$7:$B$10366,0),MATCH('Tabular Pop Data by Age'!$C$6,'Population Data by Age'!$B$6:$H$6,0))</f>
        <v>1600</v>
      </c>
      <c r="AH217" s="78">
        <f>INDEX('Population Data by Age'!$B$7:$H$10366,MATCH(CONCATENATE('Tabular Pop Data by Age'!$C217,'Tabular Pop Data by Age'!AH$7),'Population Data by Age'!$B$7:$B$10366,0),MATCH('Tabular Pop Data by Age'!$C$6,'Population Data by Age'!$B$6:$H$6,0))</f>
        <v>800</v>
      </c>
      <c r="AI217" s="78">
        <f>INDEX('Population Data by Age'!$B$7:$H$10366,MATCH(CONCATENATE('Tabular Pop Data by Age'!$C217,'Tabular Pop Data by Age'!AI$7),'Population Data by Age'!$B$7:$B$10366,0),MATCH('Tabular Pop Data by Age'!$C$6,'Population Data by Age'!$B$6:$H$6,0))</f>
        <v>900</v>
      </c>
      <c r="AJ217" s="78">
        <f>INDEX('Population Data by Age'!$B$7:$H$10366,MATCH(CONCATENATE('Tabular Pop Data by Age'!$C217,'Tabular Pop Data by Age'!AJ$7),'Population Data by Age'!$B$7:$B$10366,0),MATCH('Tabular Pop Data by Age'!$C$6,'Population Data by Age'!$B$6:$H$6,0))</f>
        <v>700</v>
      </c>
      <c r="AK217" s="78">
        <f>INDEX('Population Data by Age'!$B$7:$H$10366,MATCH(CONCATENATE('Tabular Pop Data by Age'!$C217,'Tabular Pop Data by Age'!AK$7),'Population Data by Age'!$B$7:$B$10366,0),MATCH('Tabular Pop Data by Age'!$C$6,'Population Data by Age'!$B$6:$H$6,0))</f>
        <v>800</v>
      </c>
      <c r="AL217" s="78">
        <f>INDEX('Population Data by Age'!$B$7:$H$10366,MATCH(CONCATENATE('Tabular Pop Data by Age'!$C217,'Tabular Pop Data by Age'!AL$7),'Population Data by Age'!$B$7:$B$10366,0),MATCH('Tabular Pop Data by Age'!$C$6,'Population Data by Age'!$B$6:$H$6,0))</f>
        <v>151000</v>
      </c>
      <c r="AM217" s="78">
        <f>INDEX('Population Data by Age'!$B$7:$H$10366,MATCH(CONCATENATE('Tabular Pop Data by Age'!$C217,'Tabular Pop Data by Age'!AM$7),'Population Data by Age'!$B$7:$B$10366,0),MATCH('Tabular Pop Data by Age'!$C$6,'Population Data by Age'!$B$6:$H$6,0))</f>
        <v>156000</v>
      </c>
      <c r="AN217" s="78">
        <f>INDEX('Population Data by Age'!$B$7:$H$10366,MATCH(CONCATENATE('Tabular Pop Data by Age'!$C217,'Tabular Pop Data by Age'!AN$7),'Population Data by Age'!$B$7:$B$10366,0),MATCH('Tabular Pop Data by Age'!$C$6,'Population Data by Age'!$B$6:$H$6,0))</f>
        <v>307000</v>
      </c>
      <c r="AO217" s="78">
        <f>INDEX('Population Data by Age'!$B$7:$H$10366,MATCH(CONCATENATE('Tabular Pop Data by Age'!$C217,'Tabular Pop Data by Age'!AO$7),'Population Data by Age'!$B$7:$B$10366,0),MATCH('Tabular Pop Data by Age'!$C$6,'Population Data by Age'!$B$6:$H$6,0))</f>
        <v>0</v>
      </c>
      <c r="AP217" s="79">
        <f t="shared" si="51"/>
        <v>42000</v>
      </c>
      <c r="AQ217" s="79">
        <f t="shared" si="52"/>
        <v>39000</v>
      </c>
      <c r="AR217" s="79">
        <f t="shared" si="53"/>
        <v>37000</v>
      </c>
      <c r="AS217" s="79">
        <f t="shared" si="54"/>
        <v>30000</v>
      </c>
      <c r="AT217" s="79">
        <f t="shared" si="55"/>
        <v>26000</v>
      </c>
      <c r="AU217" s="79">
        <f t="shared" si="56"/>
        <v>25000</v>
      </c>
      <c r="AV217" s="79">
        <f t="shared" si="57"/>
        <v>23000</v>
      </c>
      <c r="AW217" s="79">
        <f t="shared" si="58"/>
        <v>18000</v>
      </c>
      <c r="AX217" s="79">
        <f t="shared" si="59"/>
        <v>16100</v>
      </c>
      <c r="AY217" s="79">
        <f t="shared" si="60"/>
        <v>13100</v>
      </c>
      <c r="AZ217" s="79">
        <f t="shared" si="61"/>
        <v>11600</v>
      </c>
      <c r="BA217" s="79">
        <f t="shared" si="62"/>
        <v>8900</v>
      </c>
      <c r="BB217" s="79">
        <f t="shared" si="63"/>
        <v>6800</v>
      </c>
      <c r="BC217" s="79">
        <f t="shared" si="64"/>
        <v>4700</v>
      </c>
      <c r="BD217" s="79">
        <f t="shared" si="65"/>
        <v>3200</v>
      </c>
      <c r="BE217" s="79">
        <f t="shared" si="66"/>
        <v>1700</v>
      </c>
      <c r="BF217" s="79">
        <f t="shared" si="67"/>
        <v>1500</v>
      </c>
    </row>
    <row r="218" spans="1:58" x14ac:dyDescent="0.25">
      <c r="A218" s="138" t="s">
        <v>1195</v>
      </c>
      <c r="B218" t="s">
        <v>669</v>
      </c>
      <c r="C218" t="s">
        <v>670</v>
      </c>
      <c r="D218" s="78">
        <f>INDEX('Population Data by Age'!$B$7:$H$10366,MATCH(CONCATENATE('Tabular Pop Data by Age'!$C218,'Tabular Pop Data by Age'!D$7),'Population Data by Age'!$B$7:$B$10366,0),MATCH('Tabular Pop Data by Age'!$C$6,'Population Data by Age'!$B$6:$H$6,0))</f>
        <v>1161000</v>
      </c>
      <c r="E218" s="78">
        <f>INDEX('Population Data by Age'!$B$7:$H$10366,MATCH(CONCATENATE('Tabular Pop Data by Age'!$C218,'Tabular Pop Data by Age'!E$7),'Population Data by Age'!$B$7:$B$10366,0),MATCH('Tabular Pop Data by Age'!$C$6,'Population Data by Age'!$B$6:$H$6,0))</f>
        <v>1203000</v>
      </c>
      <c r="F218" s="78">
        <f>INDEX('Population Data by Age'!$B$7:$H$10366,MATCH(CONCATENATE('Tabular Pop Data by Age'!$C218,'Tabular Pop Data by Age'!F$7),'Population Data by Age'!$B$7:$B$10366,0),MATCH('Tabular Pop Data by Age'!$C$6,'Population Data by Age'!$B$6:$H$6,0))</f>
        <v>1336000</v>
      </c>
      <c r="G218" s="78">
        <f>INDEX('Population Data by Age'!$B$7:$H$10366,MATCH(CONCATENATE('Tabular Pop Data by Age'!$C218,'Tabular Pop Data by Age'!G$7),'Population Data by Age'!$B$7:$B$10366,0),MATCH('Tabular Pop Data by Age'!$C$6,'Population Data by Age'!$B$6:$H$6,0))</f>
        <v>1395000</v>
      </c>
      <c r="H218" s="78">
        <f>INDEX('Population Data by Age'!$B$7:$H$10366,MATCH(CONCATENATE('Tabular Pop Data by Age'!$C218,'Tabular Pop Data by Age'!H$7),'Population Data by Age'!$B$7:$B$10366,0),MATCH('Tabular Pop Data by Age'!$C$6,'Population Data by Age'!$B$6:$H$6,0))</f>
        <v>1298000</v>
      </c>
      <c r="I218" s="78">
        <f>INDEX('Population Data by Age'!$B$7:$H$10366,MATCH(CONCATENATE('Tabular Pop Data by Age'!$C218,'Tabular Pop Data by Age'!I$7),'Population Data by Age'!$B$7:$B$10366,0),MATCH('Tabular Pop Data by Age'!$C$6,'Population Data by Age'!$B$6:$H$6,0))</f>
        <v>1360000</v>
      </c>
      <c r="J218" s="78">
        <f>INDEX('Population Data by Age'!$B$7:$H$10366,MATCH(CONCATENATE('Tabular Pop Data by Age'!$C218,'Tabular Pop Data by Age'!J$7),'Population Data by Age'!$B$7:$B$10366,0),MATCH('Tabular Pop Data by Age'!$C$6,'Population Data by Age'!$B$6:$H$6,0))</f>
        <v>1226000</v>
      </c>
      <c r="K218" s="78">
        <f>INDEX('Population Data by Age'!$B$7:$H$10366,MATCH(CONCATENATE('Tabular Pop Data by Age'!$C218,'Tabular Pop Data by Age'!K$7),'Population Data by Age'!$B$7:$B$10366,0),MATCH('Tabular Pop Data by Age'!$C$6,'Population Data by Age'!$B$6:$H$6,0))</f>
        <v>1275000</v>
      </c>
      <c r="L218" s="78">
        <f>INDEX('Population Data by Age'!$B$7:$H$10366,MATCH(CONCATENATE('Tabular Pop Data by Age'!$C218,'Tabular Pop Data by Age'!L$7),'Population Data by Age'!$B$7:$B$10366,0),MATCH('Tabular Pop Data by Age'!$C$6,'Population Data by Age'!$B$6:$H$6,0))</f>
        <v>1047000</v>
      </c>
      <c r="M218" s="78">
        <f>INDEX('Population Data by Age'!$B$7:$H$10366,MATCH(CONCATENATE('Tabular Pop Data by Age'!$C218,'Tabular Pop Data by Age'!M$7),'Population Data by Age'!$B$7:$B$10366,0),MATCH('Tabular Pop Data by Age'!$C$6,'Population Data by Age'!$B$6:$H$6,0))</f>
        <v>1055000</v>
      </c>
      <c r="N218" s="78">
        <f>INDEX('Population Data by Age'!$B$7:$H$10366,MATCH(CONCATENATE('Tabular Pop Data by Age'!$C218,'Tabular Pop Data by Age'!N$7),'Population Data by Age'!$B$7:$B$10366,0),MATCH('Tabular Pop Data by Age'!$C$6,'Population Data by Age'!$B$6:$H$6,0))</f>
        <v>1025000</v>
      </c>
      <c r="O218" s="78">
        <f>INDEX('Population Data by Age'!$B$7:$H$10366,MATCH(CONCATENATE('Tabular Pop Data by Age'!$C218,'Tabular Pop Data by Age'!O$7),'Population Data by Age'!$B$7:$B$10366,0),MATCH('Tabular Pop Data by Age'!$C$6,'Population Data by Age'!$B$6:$H$6,0))</f>
        <v>1003000</v>
      </c>
      <c r="P218" s="78">
        <f>INDEX('Population Data by Age'!$B$7:$H$10366,MATCH(CONCATENATE('Tabular Pop Data by Age'!$C218,'Tabular Pop Data by Age'!P$7),'Population Data by Age'!$B$7:$B$10366,0),MATCH('Tabular Pop Data by Age'!$C$6,'Population Data by Age'!$B$6:$H$6,0))</f>
        <v>1056000</v>
      </c>
      <c r="Q218" s="78">
        <f>INDEX('Population Data by Age'!$B$7:$H$10366,MATCH(CONCATENATE('Tabular Pop Data by Age'!$C218,'Tabular Pop Data by Age'!Q$7),'Population Data by Age'!$B$7:$B$10366,0),MATCH('Tabular Pop Data by Age'!$C$6,'Population Data by Age'!$B$6:$H$6,0))</f>
        <v>1008000</v>
      </c>
      <c r="R218" s="78">
        <f>INDEX('Population Data by Age'!$B$7:$H$10366,MATCH(CONCATENATE('Tabular Pop Data by Age'!$C218,'Tabular Pop Data by Age'!R$7),'Population Data by Age'!$B$7:$B$10366,0),MATCH('Tabular Pop Data by Age'!$C$6,'Population Data by Age'!$B$6:$H$6,0))</f>
        <v>1011000</v>
      </c>
      <c r="S218" s="78">
        <f>INDEX('Population Data by Age'!$B$7:$H$10366,MATCH(CONCATENATE('Tabular Pop Data by Age'!$C218,'Tabular Pop Data by Age'!S$7),'Population Data by Age'!$B$7:$B$10366,0),MATCH('Tabular Pop Data by Age'!$C$6,'Population Data by Age'!$B$6:$H$6,0))</f>
        <v>953000</v>
      </c>
      <c r="T218" s="78">
        <f>INDEX('Population Data by Age'!$B$7:$H$10366,MATCH(CONCATENATE('Tabular Pop Data by Age'!$C218,'Tabular Pop Data by Age'!T$7),'Population Data by Age'!$B$7:$B$10366,0),MATCH('Tabular Pop Data by Age'!$C$6,'Population Data by Age'!$B$6:$H$6,0))</f>
        <v>964000</v>
      </c>
      <c r="U218" s="78">
        <f>INDEX('Population Data by Age'!$B$7:$H$10366,MATCH(CONCATENATE('Tabular Pop Data by Age'!$C218,'Tabular Pop Data by Age'!U$7),'Population Data by Age'!$B$7:$B$10366,0),MATCH('Tabular Pop Data by Age'!$C$6,'Population Data by Age'!$B$6:$H$6,0))</f>
        <v>904000</v>
      </c>
      <c r="V218" s="78">
        <f>INDEX('Population Data by Age'!$B$7:$H$10366,MATCH(CONCATENATE('Tabular Pop Data by Age'!$C218,'Tabular Pop Data by Age'!V$7),'Population Data by Age'!$B$7:$B$10366,0),MATCH('Tabular Pop Data by Age'!$C$6,'Population Data by Age'!$B$6:$H$6,0))</f>
        <v>875000</v>
      </c>
      <c r="W218" s="78">
        <f>INDEX('Population Data by Age'!$B$7:$H$10366,MATCH(CONCATENATE('Tabular Pop Data by Age'!$C218,'Tabular Pop Data by Age'!W$7),'Population Data by Age'!$B$7:$B$10366,0),MATCH('Tabular Pop Data by Age'!$C$6,'Population Data by Age'!$B$6:$H$6,0))</f>
        <v>822000</v>
      </c>
      <c r="X218" s="78">
        <f>INDEX('Population Data by Age'!$B$7:$H$10366,MATCH(CONCATENATE('Tabular Pop Data by Age'!$C218,'Tabular Pop Data by Age'!X$7),'Population Data by Age'!$B$7:$B$10366,0),MATCH('Tabular Pop Data by Age'!$C$6,'Population Data by Age'!$B$6:$H$6,0))</f>
        <v>827000</v>
      </c>
      <c r="Y218" s="78">
        <f>INDEX('Population Data by Age'!$B$7:$H$10366,MATCH(CONCATENATE('Tabular Pop Data by Age'!$C218,'Tabular Pop Data by Age'!Y$7),'Population Data by Age'!$B$7:$B$10366,0),MATCH('Tabular Pop Data by Age'!$C$6,'Population Data by Age'!$B$6:$H$6,0))</f>
        <v>773000</v>
      </c>
      <c r="Z218" s="78">
        <f>INDEX('Population Data by Age'!$B$7:$H$10366,MATCH(CONCATENATE('Tabular Pop Data by Age'!$C218,'Tabular Pop Data by Age'!Z$7),'Population Data by Age'!$B$7:$B$10366,0),MATCH('Tabular Pop Data by Age'!$C$6,'Population Data by Age'!$B$6:$H$6,0))</f>
        <v>738000</v>
      </c>
      <c r="AA218" s="78">
        <f>INDEX('Population Data by Age'!$B$7:$H$10366,MATCH(CONCATENATE('Tabular Pop Data by Age'!$C218,'Tabular Pop Data by Age'!AA$7),'Population Data by Age'!$B$7:$B$10366,0),MATCH('Tabular Pop Data by Age'!$C$6,'Population Data by Age'!$B$6:$H$6,0))</f>
        <v>677000</v>
      </c>
      <c r="AB218" s="78">
        <f>INDEX('Population Data by Age'!$B$7:$H$10366,MATCH(CONCATENATE('Tabular Pop Data by Age'!$C218,'Tabular Pop Data by Age'!AB$7),'Population Data by Age'!$B$7:$B$10366,0),MATCH('Tabular Pop Data by Age'!$C$6,'Population Data by Age'!$B$6:$H$6,0))</f>
        <v>620000</v>
      </c>
      <c r="AC218" s="78">
        <f>INDEX('Population Data by Age'!$B$7:$H$10366,MATCH(CONCATENATE('Tabular Pop Data by Age'!$C218,'Tabular Pop Data by Age'!AC$7),'Population Data by Age'!$B$7:$B$10366,0),MATCH('Tabular Pop Data by Age'!$C$6,'Population Data by Age'!$B$6:$H$6,0))</f>
        <v>557000</v>
      </c>
      <c r="AD218" s="78">
        <f>INDEX('Population Data by Age'!$B$7:$H$10366,MATCH(CONCATENATE('Tabular Pop Data by Age'!$C218,'Tabular Pop Data by Age'!AD$7),'Population Data by Age'!$B$7:$B$10366,0),MATCH('Tabular Pop Data by Age'!$C$6,'Population Data by Age'!$B$6:$H$6,0))</f>
        <v>462000</v>
      </c>
      <c r="AE218" s="78">
        <f>INDEX('Population Data by Age'!$B$7:$H$10366,MATCH(CONCATENATE('Tabular Pop Data by Age'!$C218,'Tabular Pop Data by Age'!AE$7),'Population Data by Age'!$B$7:$B$10366,0),MATCH('Tabular Pop Data by Age'!$C$6,'Population Data by Age'!$B$6:$H$6,0))</f>
        <v>404000</v>
      </c>
      <c r="AF218" s="78">
        <f>INDEX('Population Data by Age'!$B$7:$H$10366,MATCH(CONCATENATE('Tabular Pop Data by Age'!$C218,'Tabular Pop Data by Age'!AF$7),'Population Data by Age'!$B$7:$B$10366,0),MATCH('Tabular Pop Data by Age'!$C$6,'Population Data by Age'!$B$6:$H$6,0))</f>
        <v>330000</v>
      </c>
      <c r="AG218" s="78">
        <f>INDEX('Population Data by Age'!$B$7:$H$10366,MATCH(CONCATENATE('Tabular Pop Data by Age'!$C218,'Tabular Pop Data by Age'!AG$7),'Population Data by Age'!$B$7:$B$10366,0),MATCH('Tabular Pop Data by Age'!$C$6,'Population Data by Age'!$B$6:$H$6,0))</f>
        <v>274000</v>
      </c>
      <c r="AH218" s="78">
        <f>INDEX('Population Data by Age'!$B$7:$H$10366,MATCH(CONCATENATE('Tabular Pop Data by Age'!$C218,'Tabular Pop Data by Age'!AH$7),'Population Data by Age'!$B$7:$B$10366,0),MATCH('Tabular Pop Data by Age'!$C$6,'Population Data by Age'!$B$6:$H$6,0))</f>
        <v>218000</v>
      </c>
      <c r="AI218" s="78">
        <f>INDEX('Population Data by Age'!$B$7:$H$10366,MATCH(CONCATENATE('Tabular Pop Data by Age'!$C218,'Tabular Pop Data by Age'!AI$7),'Population Data by Age'!$B$7:$B$10366,0),MATCH('Tabular Pop Data by Age'!$C$6,'Population Data by Age'!$B$6:$H$6,0))</f>
        <v>168000</v>
      </c>
      <c r="AJ218" s="78">
        <f>INDEX('Population Data by Age'!$B$7:$H$10366,MATCH(CONCATENATE('Tabular Pop Data by Age'!$C218,'Tabular Pop Data by Age'!AJ$7),'Population Data by Age'!$B$7:$B$10366,0),MATCH('Tabular Pop Data by Age'!$C$6,'Population Data by Age'!$B$6:$H$6,0))</f>
        <v>258000</v>
      </c>
      <c r="AK218" s="78">
        <f>INDEX('Population Data by Age'!$B$7:$H$10366,MATCH(CONCATENATE('Tabular Pop Data by Age'!$C218,'Tabular Pop Data by Age'!AK$7),'Population Data by Age'!$B$7:$B$10366,0),MATCH('Tabular Pop Data by Age'!$C$6,'Population Data by Age'!$B$6:$H$6,0))</f>
        <v>155000</v>
      </c>
      <c r="AL218" s="78">
        <f>INDEX('Population Data by Age'!$B$7:$H$10366,MATCH(CONCATENATE('Tabular Pop Data by Age'!$C218,'Tabular Pop Data by Age'!AL$7),'Population Data by Age'!$B$7:$B$10366,0),MATCH('Tabular Pop Data by Age'!$C$6,'Population Data by Age'!$B$6:$H$6,0))</f>
        <v>14451000</v>
      </c>
      <c r="AM218" s="78">
        <f>INDEX('Population Data by Age'!$B$7:$H$10366,MATCH(CONCATENATE('Tabular Pop Data by Age'!$C218,'Tabular Pop Data by Age'!AM$7),'Population Data by Age'!$B$7:$B$10366,0),MATCH('Tabular Pop Data by Age'!$C$6,'Population Data by Age'!$B$6:$H$6,0))</f>
        <v>13985000</v>
      </c>
      <c r="AN218" s="78">
        <f>INDEX('Population Data by Age'!$B$7:$H$10366,MATCH(CONCATENATE('Tabular Pop Data by Age'!$C218,'Tabular Pop Data by Age'!AN$7),'Population Data by Age'!$B$7:$B$10366,0),MATCH('Tabular Pop Data by Age'!$C$6,'Population Data by Age'!$B$6:$H$6,0))</f>
        <v>28436000</v>
      </c>
      <c r="AO218" s="78">
        <f>INDEX('Population Data by Age'!$B$7:$H$10366,MATCH(CONCATENATE('Tabular Pop Data by Age'!$C218,'Tabular Pop Data by Age'!AO$7),'Population Data by Age'!$B$7:$B$10366,0),MATCH('Tabular Pop Data by Age'!$C$6,'Population Data by Age'!$B$6:$H$6,0))</f>
        <v>0</v>
      </c>
      <c r="AP218" s="79">
        <f t="shared" si="51"/>
        <v>2364000</v>
      </c>
      <c r="AQ218" s="79">
        <f t="shared" si="52"/>
        <v>2731000</v>
      </c>
      <c r="AR218" s="79">
        <f t="shared" si="53"/>
        <v>2658000</v>
      </c>
      <c r="AS218" s="79">
        <f t="shared" si="54"/>
        <v>2501000</v>
      </c>
      <c r="AT218" s="79">
        <f t="shared" si="55"/>
        <v>2102000</v>
      </c>
      <c r="AU218" s="79">
        <f t="shared" si="56"/>
        <v>2028000</v>
      </c>
      <c r="AV218" s="79">
        <f t="shared" si="57"/>
        <v>2064000</v>
      </c>
      <c r="AW218" s="79">
        <f t="shared" si="58"/>
        <v>1964000</v>
      </c>
      <c r="AX218" s="79">
        <f t="shared" si="59"/>
        <v>1868000</v>
      </c>
      <c r="AY218" s="79">
        <f t="shared" si="60"/>
        <v>1697000</v>
      </c>
      <c r="AZ218" s="79">
        <f t="shared" si="61"/>
        <v>1600000</v>
      </c>
      <c r="BA218" s="79">
        <f t="shared" si="62"/>
        <v>1415000</v>
      </c>
      <c r="BB218" s="79">
        <f t="shared" si="63"/>
        <v>1177000</v>
      </c>
      <c r="BC218" s="79">
        <f t="shared" si="64"/>
        <v>866000</v>
      </c>
      <c r="BD218" s="79">
        <f t="shared" si="65"/>
        <v>604000</v>
      </c>
      <c r="BE218" s="79">
        <f t="shared" si="66"/>
        <v>386000</v>
      </c>
      <c r="BF218" s="79">
        <f t="shared" si="67"/>
        <v>413000</v>
      </c>
    </row>
    <row r="219" spans="1:58" x14ac:dyDescent="0.25">
      <c r="A219" s="138" t="s">
        <v>1195</v>
      </c>
      <c r="B219" t="s">
        <v>671</v>
      </c>
      <c r="C219" t="s">
        <v>160</v>
      </c>
      <c r="D219" s="78">
        <f>INDEX('Population Data by Age'!$B$7:$H$10366,MATCH(CONCATENATE('Tabular Pop Data by Age'!$C219,'Tabular Pop Data by Age'!D$7),'Population Data by Age'!$B$7:$B$10366,0),MATCH('Tabular Pop Data by Age'!$C$6,'Population Data by Age'!$B$6:$H$6,0))</f>
        <v>3728000</v>
      </c>
      <c r="E219" s="78">
        <f>INDEX('Population Data by Age'!$B$7:$H$10366,MATCH(CONCATENATE('Tabular Pop Data by Age'!$C219,'Tabular Pop Data by Age'!E$7),'Population Data by Age'!$B$7:$B$10366,0),MATCH('Tabular Pop Data by Age'!$C$6,'Population Data by Age'!$B$6:$H$6,0))</f>
        <v>4165000</v>
      </c>
      <c r="F219" s="78">
        <f>INDEX('Population Data by Age'!$B$7:$H$10366,MATCH(CONCATENATE('Tabular Pop Data by Age'!$C219,'Tabular Pop Data by Age'!F$7),'Population Data by Age'!$B$7:$B$10366,0),MATCH('Tabular Pop Data by Age'!$C$6,'Population Data by Age'!$B$6:$H$6,0))</f>
        <v>3581000</v>
      </c>
      <c r="G219" s="78">
        <f>INDEX('Population Data by Age'!$B$7:$H$10366,MATCH(CONCATENATE('Tabular Pop Data by Age'!$C219,'Tabular Pop Data by Age'!G$7),'Population Data by Age'!$B$7:$B$10366,0),MATCH('Tabular Pop Data by Age'!$C$6,'Population Data by Age'!$B$6:$H$6,0))</f>
        <v>4005000</v>
      </c>
      <c r="H219" s="78">
        <f>INDEX('Population Data by Age'!$B$7:$H$10366,MATCH(CONCATENATE('Tabular Pop Data by Age'!$C219,'Tabular Pop Data by Age'!H$7),'Population Data by Age'!$B$7:$B$10366,0),MATCH('Tabular Pop Data by Age'!$C$6,'Population Data by Age'!$B$6:$H$6,0))</f>
        <v>3364000</v>
      </c>
      <c r="I219" s="78">
        <f>INDEX('Population Data by Age'!$B$7:$H$10366,MATCH(CONCATENATE('Tabular Pop Data by Age'!$C219,'Tabular Pop Data by Age'!I$7),'Population Data by Age'!$B$7:$B$10366,0),MATCH('Tabular Pop Data by Age'!$C$6,'Population Data by Age'!$B$6:$H$6,0))</f>
        <v>3734000</v>
      </c>
      <c r="J219" s="78">
        <f>INDEX('Population Data by Age'!$B$7:$H$10366,MATCH(CONCATENATE('Tabular Pop Data by Age'!$C219,'Tabular Pop Data by Age'!J$7),'Population Data by Age'!$B$7:$B$10366,0),MATCH('Tabular Pop Data by Age'!$C$6,'Population Data by Age'!$B$6:$H$6,0))</f>
        <v>3136000</v>
      </c>
      <c r="K219" s="78">
        <f>INDEX('Population Data by Age'!$B$7:$H$10366,MATCH(CONCATENATE('Tabular Pop Data by Age'!$C219,'Tabular Pop Data by Age'!K$7),'Population Data by Age'!$B$7:$B$10366,0),MATCH('Tabular Pop Data by Age'!$C$6,'Population Data by Age'!$B$6:$H$6,0))</f>
        <v>3365000</v>
      </c>
      <c r="L219" s="78">
        <f>INDEX('Population Data by Age'!$B$7:$H$10366,MATCH(CONCATENATE('Tabular Pop Data by Age'!$C219,'Tabular Pop Data by Age'!L$7),'Population Data by Age'!$B$7:$B$10366,0),MATCH('Tabular Pop Data by Age'!$C$6,'Population Data by Age'!$B$6:$H$6,0))</f>
        <v>3320000</v>
      </c>
      <c r="M219" s="78">
        <f>INDEX('Population Data by Age'!$B$7:$H$10366,MATCH(CONCATENATE('Tabular Pop Data by Age'!$C219,'Tabular Pop Data by Age'!M$7),'Population Data by Age'!$B$7:$B$10366,0),MATCH('Tabular Pop Data by Age'!$C$6,'Population Data by Age'!$B$6:$H$6,0))</f>
        <v>3500000</v>
      </c>
      <c r="N219" s="78">
        <f>INDEX('Population Data by Age'!$B$7:$H$10366,MATCH(CONCATENATE('Tabular Pop Data by Age'!$C219,'Tabular Pop Data by Age'!N$7),'Population Data by Age'!$B$7:$B$10366,0),MATCH('Tabular Pop Data by Age'!$C$6,'Population Data by Age'!$B$6:$H$6,0))</f>
        <v>4206000</v>
      </c>
      <c r="O219" s="78">
        <f>INDEX('Population Data by Age'!$B$7:$H$10366,MATCH(CONCATENATE('Tabular Pop Data by Age'!$C219,'Tabular Pop Data by Age'!O$7),'Population Data by Age'!$B$7:$B$10366,0),MATCH('Tabular Pop Data by Age'!$C$6,'Population Data by Age'!$B$6:$H$6,0))</f>
        <v>4364000</v>
      </c>
      <c r="P219" s="78">
        <f>INDEX('Population Data by Age'!$B$7:$H$10366,MATCH(CONCATENATE('Tabular Pop Data by Age'!$C219,'Tabular Pop Data by Age'!P$7),'Population Data by Age'!$B$7:$B$10366,0),MATCH('Tabular Pop Data by Age'!$C$6,'Population Data by Age'!$B$6:$H$6,0))</f>
        <v>4158000</v>
      </c>
      <c r="Q219" s="78">
        <f>INDEX('Population Data by Age'!$B$7:$H$10366,MATCH(CONCATENATE('Tabular Pop Data by Age'!$C219,'Tabular Pop Data by Age'!Q$7),'Population Data by Age'!$B$7:$B$10366,0),MATCH('Tabular Pop Data by Age'!$C$6,'Population Data by Age'!$B$6:$H$6,0))</f>
        <v>4279000</v>
      </c>
      <c r="R219" s="78">
        <f>INDEX('Population Data by Age'!$B$7:$H$10366,MATCH(CONCATENATE('Tabular Pop Data by Age'!$C219,'Tabular Pop Data by Age'!R$7),'Population Data by Age'!$B$7:$B$10366,0),MATCH('Tabular Pop Data by Age'!$C$6,'Population Data by Age'!$B$6:$H$6,0))</f>
        <v>3848000</v>
      </c>
      <c r="S219" s="78">
        <f>INDEX('Population Data by Age'!$B$7:$H$10366,MATCH(CONCATENATE('Tabular Pop Data by Age'!$C219,'Tabular Pop Data by Age'!S$7),'Population Data by Age'!$B$7:$B$10366,0),MATCH('Tabular Pop Data by Age'!$C$6,'Population Data by Age'!$B$6:$H$6,0))</f>
        <v>3916000</v>
      </c>
      <c r="T219" s="78">
        <f>INDEX('Population Data by Age'!$B$7:$H$10366,MATCH(CONCATENATE('Tabular Pop Data by Age'!$C219,'Tabular Pop Data by Age'!T$7),'Population Data by Age'!$B$7:$B$10366,0),MATCH('Tabular Pop Data by Age'!$C$6,'Population Data by Age'!$B$6:$H$6,0))</f>
        <v>3508000</v>
      </c>
      <c r="U219" s="78">
        <f>INDEX('Population Data by Age'!$B$7:$H$10366,MATCH(CONCATENATE('Tabular Pop Data by Age'!$C219,'Tabular Pop Data by Age'!U$7),'Population Data by Age'!$B$7:$B$10366,0),MATCH('Tabular Pop Data by Age'!$C$6,'Population Data by Age'!$B$6:$H$6,0))</f>
        <v>3526000</v>
      </c>
      <c r="V219" s="78">
        <f>INDEX('Population Data by Age'!$B$7:$H$10366,MATCH(CONCATENATE('Tabular Pop Data by Age'!$C219,'Tabular Pop Data by Age'!V$7),'Population Data by Age'!$B$7:$B$10366,0),MATCH('Tabular Pop Data by Age'!$C$6,'Population Data by Age'!$B$6:$H$6,0))</f>
        <v>3272000</v>
      </c>
      <c r="W219" s="78">
        <f>INDEX('Population Data by Age'!$B$7:$H$10366,MATCH(CONCATENATE('Tabular Pop Data by Age'!$C219,'Tabular Pop Data by Age'!W$7),'Population Data by Age'!$B$7:$B$10366,0),MATCH('Tabular Pop Data by Age'!$C$6,'Population Data by Age'!$B$6:$H$6,0))</f>
        <v>3267000</v>
      </c>
      <c r="X219" s="78">
        <f>INDEX('Population Data by Age'!$B$7:$H$10366,MATCH(CONCATENATE('Tabular Pop Data by Age'!$C219,'Tabular Pop Data by Age'!X$7),'Population Data by Age'!$B$7:$B$10366,0),MATCH('Tabular Pop Data by Age'!$C$6,'Population Data by Age'!$B$6:$H$6,0))</f>
        <v>2960000</v>
      </c>
      <c r="Y219" s="78">
        <f>INDEX('Population Data by Age'!$B$7:$H$10366,MATCH(CONCATENATE('Tabular Pop Data by Age'!$C219,'Tabular Pop Data by Age'!Y$7),'Population Data by Age'!$B$7:$B$10366,0),MATCH('Tabular Pop Data by Age'!$C$6,'Population Data by Age'!$B$6:$H$6,0))</f>
        <v>2908000</v>
      </c>
      <c r="Z219" s="78">
        <f>INDEX('Population Data by Age'!$B$7:$H$10366,MATCH(CONCATENATE('Tabular Pop Data by Age'!$C219,'Tabular Pop Data by Age'!Z$7),'Population Data by Age'!$B$7:$B$10366,0),MATCH('Tabular Pop Data by Age'!$C$6,'Population Data by Age'!$B$6:$H$6,0))</f>
        <v>2712000</v>
      </c>
      <c r="AA219" s="78">
        <f>INDEX('Population Data by Age'!$B$7:$H$10366,MATCH(CONCATENATE('Tabular Pop Data by Age'!$C219,'Tabular Pop Data by Age'!AA$7),'Population Data by Age'!$B$7:$B$10366,0),MATCH('Tabular Pop Data by Age'!$C$6,'Population Data by Age'!$B$6:$H$6,0))</f>
        <v>2530000</v>
      </c>
      <c r="AB219" s="78">
        <f>INDEX('Population Data by Age'!$B$7:$H$10366,MATCH(CONCATENATE('Tabular Pop Data by Age'!$C219,'Tabular Pop Data by Age'!AB$7),'Population Data by Age'!$B$7:$B$10366,0),MATCH('Tabular Pop Data by Age'!$C$6,'Population Data by Age'!$B$6:$H$6,0))</f>
        <v>2319000</v>
      </c>
      <c r="AC219" s="78">
        <f>INDEX('Population Data by Age'!$B$7:$H$10366,MATCH(CONCATENATE('Tabular Pop Data by Age'!$C219,'Tabular Pop Data by Age'!AC$7),'Population Data by Age'!$B$7:$B$10366,0),MATCH('Tabular Pop Data by Age'!$C$6,'Population Data by Age'!$B$6:$H$6,0))</f>
        <v>2012000</v>
      </c>
      <c r="AD219" s="78">
        <f>INDEX('Population Data by Age'!$B$7:$H$10366,MATCH(CONCATENATE('Tabular Pop Data by Age'!$C219,'Tabular Pop Data by Age'!AD$7),'Population Data by Age'!$B$7:$B$10366,0),MATCH('Tabular Pop Data by Age'!$C$6,'Population Data by Age'!$B$6:$H$6,0))</f>
        <v>1672000</v>
      </c>
      <c r="AE219" s="78">
        <f>INDEX('Population Data by Age'!$B$7:$H$10366,MATCH(CONCATENATE('Tabular Pop Data by Age'!$C219,'Tabular Pop Data by Age'!AE$7),'Population Data by Age'!$B$7:$B$10366,0),MATCH('Tabular Pop Data by Age'!$C$6,'Population Data by Age'!$B$6:$H$6,0))</f>
        <v>1339000</v>
      </c>
      <c r="AF219" s="78">
        <f>INDEX('Population Data by Age'!$B$7:$H$10366,MATCH(CONCATENATE('Tabular Pop Data by Age'!$C219,'Tabular Pop Data by Age'!AF$7),'Population Data by Age'!$B$7:$B$10366,0),MATCH('Tabular Pop Data by Age'!$C$6,'Population Data by Age'!$B$6:$H$6,0))</f>
        <v>987000</v>
      </c>
      <c r="AG219" s="78">
        <f>INDEX('Population Data by Age'!$B$7:$H$10366,MATCH(CONCATENATE('Tabular Pop Data by Age'!$C219,'Tabular Pop Data by Age'!AG$7),'Population Data by Age'!$B$7:$B$10366,0),MATCH('Tabular Pop Data by Age'!$C$6,'Population Data by Age'!$B$6:$H$6,0))</f>
        <v>665000</v>
      </c>
      <c r="AH219" s="78">
        <f>INDEX('Population Data by Age'!$B$7:$H$10366,MATCH(CONCATENATE('Tabular Pop Data by Age'!$C219,'Tabular Pop Data by Age'!AH$7),'Population Data by Age'!$B$7:$B$10366,0),MATCH('Tabular Pop Data by Age'!$C$6,'Population Data by Age'!$B$6:$H$6,0))</f>
        <v>704000</v>
      </c>
      <c r="AI219" s="78">
        <f>INDEX('Population Data by Age'!$B$7:$H$10366,MATCH(CONCATENATE('Tabular Pop Data by Age'!$C219,'Tabular Pop Data by Age'!AI$7),'Population Data by Age'!$B$7:$B$10366,0),MATCH('Tabular Pop Data by Age'!$C$6,'Population Data by Age'!$B$6:$H$6,0))</f>
        <v>423000</v>
      </c>
      <c r="AJ219" s="78">
        <f>INDEX('Population Data by Age'!$B$7:$H$10366,MATCH(CONCATENATE('Tabular Pop Data by Age'!$C219,'Tabular Pop Data by Age'!AJ$7),'Population Data by Age'!$B$7:$B$10366,0),MATCH('Tabular Pop Data by Age'!$C$6,'Population Data by Age'!$B$6:$H$6,0))</f>
        <v>1265000</v>
      </c>
      <c r="AK219" s="78">
        <f>INDEX('Population Data by Age'!$B$7:$H$10366,MATCH(CONCATENATE('Tabular Pop Data by Age'!$C219,'Tabular Pop Data by Age'!AK$7),'Population Data by Age'!$B$7:$B$10366,0),MATCH('Tabular Pop Data by Age'!$C$6,'Population Data by Age'!$B$6:$H$6,0))</f>
        <v>602000</v>
      </c>
      <c r="AL219" s="78">
        <f>INDEX('Population Data by Age'!$B$7:$H$10366,MATCH(CONCATENATE('Tabular Pop Data by Age'!$C219,'Tabular Pop Data by Age'!AL$7),'Population Data by Age'!$B$7:$B$10366,0),MATCH('Tabular Pop Data by Age'!$C$6,'Population Data by Age'!$B$6:$H$6,0))</f>
        <v>48740000</v>
      </c>
      <c r="AM219" s="78">
        <f>INDEX('Population Data by Age'!$B$7:$H$10366,MATCH(CONCATENATE('Tabular Pop Data by Age'!$C219,'Tabular Pop Data by Age'!AM$7),'Population Data by Age'!$B$7:$B$10366,0),MATCH('Tabular Pop Data by Age'!$C$6,'Population Data by Age'!$B$6:$H$6,0))</f>
        <v>48598000</v>
      </c>
      <c r="AN219" s="78">
        <f>INDEX('Population Data by Age'!$B$7:$H$10366,MATCH(CONCATENATE('Tabular Pop Data by Age'!$C219,'Tabular Pop Data by Age'!AN$7),'Population Data by Age'!$B$7:$B$10366,0),MATCH('Tabular Pop Data by Age'!$C$6,'Population Data by Age'!$B$6:$H$6,0))</f>
        <v>97339000</v>
      </c>
      <c r="AO219" s="78">
        <f>INDEX('Population Data by Age'!$B$7:$H$10366,MATCH(CONCATENATE('Tabular Pop Data by Age'!$C219,'Tabular Pop Data by Age'!AO$7),'Population Data by Age'!$B$7:$B$10366,0),MATCH('Tabular Pop Data by Age'!$C$6,'Population Data by Age'!$B$6:$H$6,0))</f>
        <v>0</v>
      </c>
      <c r="AP219" s="79">
        <f t="shared" si="51"/>
        <v>7893000</v>
      </c>
      <c r="AQ219" s="79">
        <f t="shared" si="52"/>
        <v>7586000</v>
      </c>
      <c r="AR219" s="79">
        <f t="shared" si="53"/>
        <v>7098000</v>
      </c>
      <c r="AS219" s="79">
        <f t="shared" si="54"/>
        <v>6501000</v>
      </c>
      <c r="AT219" s="79">
        <f t="shared" si="55"/>
        <v>6820000</v>
      </c>
      <c r="AU219" s="79">
        <f t="shared" si="56"/>
        <v>8570000</v>
      </c>
      <c r="AV219" s="79">
        <f t="shared" si="57"/>
        <v>8437000</v>
      </c>
      <c r="AW219" s="79">
        <f t="shared" si="58"/>
        <v>7764000</v>
      </c>
      <c r="AX219" s="79">
        <f t="shared" si="59"/>
        <v>7034000</v>
      </c>
      <c r="AY219" s="79">
        <f t="shared" si="60"/>
        <v>6539000</v>
      </c>
      <c r="AZ219" s="79">
        <f t="shared" si="61"/>
        <v>5868000</v>
      </c>
      <c r="BA219" s="79">
        <f t="shared" si="62"/>
        <v>5242000</v>
      </c>
      <c r="BB219" s="79">
        <f t="shared" si="63"/>
        <v>4331000</v>
      </c>
      <c r="BC219" s="79">
        <f t="shared" si="64"/>
        <v>3011000</v>
      </c>
      <c r="BD219" s="79">
        <f t="shared" si="65"/>
        <v>1652000</v>
      </c>
      <c r="BE219" s="79">
        <f t="shared" si="66"/>
        <v>1127000</v>
      </c>
      <c r="BF219" s="79">
        <f t="shared" si="67"/>
        <v>1867000</v>
      </c>
    </row>
    <row r="220" spans="1:58" x14ac:dyDescent="0.25">
      <c r="A220" s="138" t="s">
        <v>1195</v>
      </c>
      <c r="B220" t="s">
        <v>672</v>
      </c>
      <c r="C220" t="s">
        <v>673</v>
      </c>
      <c r="D220" s="78">
        <f>INDEX('Population Data by Age'!$B$7:$H$10366,MATCH(CONCATENATE('Tabular Pop Data by Age'!$C220,'Tabular Pop Data by Age'!D$7),'Population Data by Age'!$B$7:$B$10366,0),MATCH('Tabular Pop Data by Age'!$C$6,'Population Data by Age'!$B$6:$H$6,0))</f>
        <v>3000</v>
      </c>
      <c r="E220" s="78">
        <f>INDEX('Population Data by Age'!$B$7:$H$10366,MATCH(CONCATENATE('Tabular Pop Data by Age'!$C220,'Tabular Pop Data by Age'!E$7),'Population Data by Age'!$B$7:$B$10366,0),MATCH('Tabular Pop Data by Age'!$C$6,'Population Data by Age'!$B$6:$H$6,0))</f>
        <v>3100</v>
      </c>
      <c r="F220" s="78">
        <f>INDEX('Population Data by Age'!$B$7:$H$10366,MATCH(CONCATENATE('Tabular Pop Data by Age'!$C220,'Tabular Pop Data by Age'!F$7),'Population Data by Age'!$B$7:$B$10366,0),MATCH('Tabular Pop Data by Age'!$C$6,'Population Data by Age'!$B$6:$H$6,0))</f>
        <v>3400</v>
      </c>
      <c r="G220" s="78">
        <f>INDEX('Population Data by Age'!$B$7:$H$10366,MATCH(CONCATENATE('Tabular Pop Data by Age'!$C220,'Tabular Pop Data by Age'!G$7),'Population Data by Age'!$B$7:$B$10366,0),MATCH('Tabular Pop Data by Age'!$C$6,'Population Data by Age'!$B$6:$H$6,0))</f>
        <v>3600</v>
      </c>
      <c r="H220" s="78">
        <f>INDEX('Population Data by Age'!$B$7:$H$10366,MATCH(CONCATENATE('Tabular Pop Data by Age'!$C220,'Tabular Pop Data by Age'!H$7),'Population Data by Age'!$B$7:$B$10366,0),MATCH('Tabular Pop Data by Age'!$C$6,'Population Data by Age'!$B$6:$H$6,0))</f>
        <v>3700</v>
      </c>
      <c r="I220" s="78">
        <f>INDEX('Population Data by Age'!$B$7:$H$10366,MATCH(CONCATENATE('Tabular Pop Data by Age'!$C220,'Tabular Pop Data by Age'!I$7),'Population Data by Age'!$B$7:$B$10366,0),MATCH('Tabular Pop Data by Age'!$C$6,'Population Data by Age'!$B$6:$H$6,0))</f>
        <v>3700</v>
      </c>
      <c r="J220" s="78">
        <f>INDEX('Population Data by Age'!$B$7:$H$10366,MATCH(CONCATENATE('Tabular Pop Data by Age'!$C220,'Tabular Pop Data by Age'!J$7),'Population Data by Age'!$B$7:$B$10366,0),MATCH('Tabular Pop Data by Age'!$C$6,'Population Data by Age'!$B$6:$H$6,0))</f>
        <v>3300</v>
      </c>
      <c r="K220" s="78">
        <f>INDEX('Population Data by Age'!$B$7:$H$10366,MATCH(CONCATENATE('Tabular Pop Data by Age'!$C220,'Tabular Pop Data by Age'!K$7),'Population Data by Age'!$B$7:$B$10366,0),MATCH('Tabular Pop Data by Age'!$C$6,'Population Data by Age'!$B$6:$H$6,0))</f>
        <v>3600</v>
      </c>
      <c r="L220" s="78">
        <f>INDEX('Population Data by Age'!$B$7:$H$10366,MATCH(CONCATENATE('Tabular Pop Data by Age'!$C220,'Tabular Pop Data by Age'!L$7),'Population Data by Age'!$B$7:$B$10366,0),MATCH('Tabular Pop Data by Age'!$C$6,'Population Data by Age'!$B$6:$H$6,0))</f>
        <v>3200</v>
      </c>
      <c r="M220" s="78">
        <f>INDEX('Population Data by Age'!$B$7:$H$10366,MATCH(CONCATENATE('Tabular Pop Data by Age'!$C220,'Tabular Pop Data by Age'!M$7),'Population Data by Age'!$B$7:$B$10366,0),MATCH('Tabular Pop Data by Age'!$C$6,'Population Data by Age'!$B$6:$H$6,0))</f>
        <v>3500</v>
      </c>
      <c r="N220" s="78">
        <f>INDEX('Population Data by Age'!$B$7:$H$10366,MATCH(CONCATENATE('Tabular Pop Data by Age'!$C220,'Tabular Pop Data by Age'!N$7),'Population Data by Age'!$B$7:$B$10366,0),MATCH('Tabular Pop Data by Age'!$C$6,'Population Data by Age'!$B$6:$H$6,0))</f>
        <v>3200</v>
      </c>
      <c r="O220" s="78">
        <f>INDEX('Population Data by Age'!$B$7:$H$10366,MATCH(CONCATENATE('Tabular Pop Data by Age'!$C220,'Tabular Pop Data by Age'!O$7),'Population Data by Age'!$B$7:$B$10366,0),MATCH('Tabular Pop Data by Age'!$C$6,'Population Data by Age'!$B$6:$H$6,0))</f>
        <v>3200</v>
      </c>
      <c r="P220" s="78">
        <f>INDEX('Population Data by Age'!$B$7:$H$10366,MATCH(CONCATENATE('Tabular Pop Data by Age'!$C220,'Tabular Pop Data by Age'!P$7),'Population Data by Age'!$B$7:$B$10366,0),MATCH('Tabular Pop Data by Age'!$C$6,'Population Data by Age'!$B$6:$H$6,0))</f>
        <v>2600</v>
      </c>
      <c r="Q220" s="78">
        <f>INDEX('Population Data by Age'!$B$7:$H$10366,MATCH(CONCATENATE('Tabular Pop Data by Age'!$C220,'Tabular Pop Data by Age'!Q$7),'Population Data by Age'!$B$7:$B$10366,0),MATCH('Tabular Pop Data by Age'!$C$6,'Population Data by Age'!$B$6:$H$6,0))</f>
        <v>2200</v>
      </c>
      <c r="R220" s="78">
        <f>INDEX('Population Data by Age'!$B$7:$H$10366,MATCH(CONCATENATE('Tabular Pop Data by Age'!$C220,'Tabular Pop Data by Age'!R$7),'Population Data by Age'!$B$7:$B$10366,0),MATCH('Tabular Pop Data by Age'!$C$6,'Population Data by Age'!$B$6:$H$6,0))</f>
        <v>2900</v>
      </c>
      <c r="S220" s="78">
        <f>INDEX('Population Data by Age'!$B$7:$H$10366,MATCH(CONCATENATE('Tabular Pop Data by Age'!$C220,'Tabular Pop Data by Age'!S$7),'Population Data by Age'!$B$7:$B$10366,0),MATCH('Tabular Pop Data by Age'!$C$6,'Population Data by Age'!$B$6:$H$6,0))</f>
        <v>2300</v>
      </c>
      <c r="T220" s="78">
        <f>INDEX('Population Data by Age'!$B$7:$H$10366,MATCH(CONCATENATE('Tabular Pop Data by Age'!$C220,'Tabular Pop Data by Age'!T$7),'Population Data by Age'!$B$7:$B$10366,0),MATCH('Tabular Pop Data by Age'!$C$6,'Population Data by Age'!$B$6:$H$6,0))</f>
        <v>3100</v>
      </c>
      <c r="U220" s="78">
        <f>INDEX('Population Data by Age'!$B$7:$H$10366,MATCH(CONCATENATE('Tabular Pop Data by Age'!$C220,'Tabular Pop Data by Age'!U$7),'Population Data by Age'!$B$7:$B$10366,0),MATCH('Tabular Pop Data by Age'!$C$6,'Population Data by Age'!$B$6:$H$6,0))</f>
        <v>2600</v>
      </c>
      <c r="V220" s="78">
        <f>INDEX('Population Data by Age'!$B$7:$H$10366,MATCH(CONCATENATE('Tabular Pop Data by Age'!$C220,'Tabular Pop Data by Age'!V$7),'Population Data by Age'!$B$7:$B$10366,0),MATCH('Tabular Pop Data by Age'!$C$6,'Population Data by Age'!$B$6:$H$6,0))</f>
        <v>3400</v>
      </c>
      <c r="W220" s="78">
        <f>INDEX('Population Data by Age'!$B$7:$H$10366,MATCH(CONCATENATE('Tabular Pop Data by Age'!$C220,'Tabular Pop Data by Age'!W$7),'Population Data by Age'!$B$7:$B$10366,0),MATCH('Tabular Pop Data by Age'!$C$6,'Population Data by Age'!$B$6:$H$6,0))</f>
        <v>3000</v>
      </c>
      <c r="X220" s="78">
        <f>INDEX('Population Data by Age'!$B$7:$H$10366,MATCH(CONCATENATE('Tabular Pop Data by Age'!$C220,'Tabular Pop Data by Age'!X$7),'Population Data by Age'!$B$7:$B$10366,0),MATCH('Tabular Pop Data by Age'!$C$6,'Population Data by Age'!$B$6:$H$6,0))</f>
        <v>3900</v>
      </c>
      <c r="Y220" s="78">
        <f>INDEX('Population Data by Age'!$B$7:$H$10366,MATCH(CONCATENATE('Tabular Pop Data by Age'!$C220,'Tabular Pop Data by Age'!Y$7),'Population Data by Age'!$B$7:$B$10366,0),MATCH('Tabular Pop Data by Age'!$C$6,'Population Data by Age'!$B$6:$H$6,0))</f>
        <v>3400</v>
      </c>
      <c r="Z220" s="78">
        <f>INDEX('Population Data by Age'!$B$7:$H$10366,MATCH(CONCATENATE('Tabular Pop Data by Age'!$C220,'Tabular Pop Data by Age'!Z$7),'Population Data by Age'!$B$7:$B$10366,0),MATCH('Tabular Pop Data by Age'!$C$6,'Population Data by Age'!$B$6:$H$6,0))</f>
        <v>4000</v>
      </c>
      <c r="AA220" s="78">
        <f>INDEX('Population Data by Age'!$B$7:$H$10366,MATCH(CONCATENATE('Tabular Pop Data by Age'!$C220,'Tabular Pop Data by Age'!AA$7),'Population Data by Age'!$B$7:$B$10366,0),MATCH('Tabular Pop Data by Age'!$C$6,'Population Data by Age'!$B$6:$H$6,0))</f>
        <v>3500</v>
      </c>
      <c r="AB220" s="78">
        <f>INDEX('Population Data by Age'!$B$7:$H$10366,MATCH(CONCATENATE('Tabular Pop Data by Age'!$C220,'Tabular Pop Data by Age'!AB$7),'Population Data by Age'!$B$7:$B$10366,0),MATCH('Tabular Pop Data by Age'!$C$6,'Population Data by Age'!$B$6:$H$6,0))</f>
        <v>4000</v>
      </c>
      <c r="AC220" s="78">
        <f>INDEX('Population Data by Age'!$B$7:$H$10366,MATCH(CONCATENATE('Tabular Pop Data by Age'!$C220,'Tabular Pop Data by Age'!AC$7),'Population Data by Age'!$B$7:$B$10366,0),MATCH('Tabular Pop Data by Age'!$C$6,'Population Data by Age'!$B$6:$H$6,0))</f>
        <v>3600</v>
      </c>
      <c r="AD220" s="78">
        <f>INDEX('Population Data by Age'!$B$7:$H$10366,MATCH(CONCATENATE('Tabular Pop Data by Age'!$C220,'Tabular Pop Data by Age'!AD$7),'Population Data by Age'!$B$7:$B$10366,0),MATCH('Tabular Pop Data by Age'!$C$6,'Population Data by Age'!$B$6:$H$6,0))</f>
        <v>3700</v>
      </c>
      <c r="AE220" s="78">
        <f>INDEX('Population Data by Age'!$B$7:$H$10366,MATCH(CONCATENATE('Tabular Pop Data by Age'!$C220,'Tabular Pop Data by Age'!AE$7),'Population Data by Age'!$B$7:$B$10366,0),MATCH('Tabular Pop Data by Age'!$C$6,'Population Data by Age'!$B$6:$H$6,0))</f>
        <v>3000</v>
      </c>
      <c r="AF220" s="78">
        <f>INDEX('Population Data by Age'!$B$7:$H$10366,MATCH(CONCATENATE('Tabular Pop Data by Age'!$C220,'Tabular Pop Data by Age'!AF$7),'Population Data by Age'!$B$7:$B$10366,0),MATCH('Tabular Pop Data by Age'!$C$6,'Population Data by Age'!$B$6:$H$6,0))</f>
        <v>3600</v>
      </c>
      <c r="AG220" s="78">
        <f>INDEX('Population Data by Age'!$B$7:$H$10366,MATCH(CONCATENATE('Tabular Pop Data by Age'!$C220,'Tabular Pop Data by Age'!AG$7),'Population Data by Age'!$B$7:$B$10366,0),MATCH('Tabular Pop Data by Age'!$C$6,'Population Data by Age'!$B$6:$H$6,0))</f>
        <v>2900</v>
      </c>
      <c r="AH220" s="78">
        <f>INDEX('Population Data by Age'!$B$7:$H$10366,MATCH(CONCATENATE('Tabular Pop Data by Age'!$C220,'Tabular Pop Data by Age'!AH$7),'Population Data by Age'!$B$7:$B$10366,0),MATCH('Tabular Pop Data by Age'!$C$6,'Population Data by Age'!$B$6:$H$6,0))</f>
        <v>2600</v>
      </c>
      <c r="AI220" s="78">
        <f>INDEX('Population Data by Age'!$B$7:$H$10366,MATCH(CONCATENATE('Tabular Pop Data by Age'!$C220,'Tabular Pop Data by Age'!AI$7),'Population Data by Age'!$B$7:$B$10366,0),MATCH('Tabular Pop Data by Age'!$C$6,'Population Data by Age'!$B$6:$H$6,0))</f>
        <v>2100</v>
      </c>
      <c r="AJ220" s="78">
        <f>INDEX('Population Data by Age'!$B$7:$H$10366,MATCH(CONCATENATE('Tabular Pop Data by Age'!$C220,'Tabular Pop Data by Age'!AJ$7),'Population Data by Age'!$B$7:$B$10366,0),MATCH('Tabular Pop Data by Age'!$C$6,'Population Data by Age'!$B$6:$H$6,0))</f>
        <v>2500</v>
      </c>
      <c r="AK220" s="78">
        <f>INDEX('Population Data by Age'!$B$7:$H$10366,MATCH(CONCATENATE('Tabular Pop Data by Age'!$C220,'Tabular Pop Data by Age'!AK$7),'Population Data by Age'!$B$7:$B$10366,0),MATCH('Tabular Pop Data by Age'!$C$6,'Population Data by Age'!$B$6:$H$6,0))</f>
        <v>1500</v>
      </c>
      <c r="AL220" s="78">
        <f>INDEX('Population Data by Age'!$B$7:$H$10366,MATCH(CONCATENATE('Tabular Pop Data by Age'!$C220,'Tabular Pop Data by Age'!AL$7),'Population Data by Age'!$B$7:$B$10366,0),MATCH('Tabular Pop Data by Age'!$C$6,'Population Data by Age'!$B$6:$H$6,0))</f>
        <v>56000</v>
      </c>
      <c r="AM220" s="78">
        <f>INDEX('Population Data by Age'!$B$7:$H$10366,MATCH(CONCATENATE('Tabular Pop Data by Age'!$C220,'Tabular Pop Data by Age'!AM$7),'Population Data by Age'!$B$7:$B$10366,0),MATCH('Tabular Pop Data by Age'!$C$6,'Population Data by Age'!$B$6:$H$6,0))</f>
        <v>51000</v>
      </c>
      <c r="AN220" s="78">
        <f>INDEX('Population Data by Age'!$B$7:$H$10366,MATCH(CONCATENATE('Tabular Pop Data by Age'!$C220,'Tabular Pop Data by Age'!AN$7),'Population Data by Age'!$B$7:$B$10366,0),MATCH('Tabular Pop Data by Age'!$C$6,'Population Data by Age'!$B$6:$H$6,0))</f>
        <v>107000</v>
      </c>
      <c r="AO220" s="78">
        <f>INDEX('Population Data by Age'!$B$7:$H$10366,MATCH(CONCATENATE('Tabular Pop Data by Age'!$C220,'Tabular Pop Data by Age'!AO$7),'Population Data by Age'!$B$7:$B$10366,0),MATCH('Tabular Pop Data by Age'!$C$6,'Population Data by Age'!$B$6:$H$6,0))</f>
        <v>0</v>
      </c>
      <c r="AP220" s="79">
        <f t="shared" si="51"/>
        <v>6100</v>
      </c>
      <c r="AQ220" s="79">
        <f t="shared" si="52"/>
        <v>7000</v>
      </c>
      <c r="AR220" s="79">
        <f t="shared" si="53"/>
        <v>7400</v>
      </c>
      <c r="AS220" s="79">
        <f t="shared" si="54"/>
        <v>6900</v>
      </c>
      <c r="AT220" s="79">
        <f t="shared" si="55"/>
        <v>6700</v>
      </c>
      <c r="AU220" s="79">
        <f t="shared" si="56"/>
        <v>6400</v>
      </c>
      <c r="AV220" s="79">
        <f t="shared" si="57"/>
        <v>4800</v>
      </c>
      <c r="AW220" s="79">
        <f t="shared" si="58"/>
        <v>5200</v>
      </c>
      <c r="AX220" s="79">
        <f t="shared" si="59"/>
        <v>5700</v>
      </c>
      <c r="AY220" s="79">
        <f t="shared" si="60"/>
        <v>6400</v>
      </c>
      <c r="AZ220" s="79">
        <f t="shared" si="61"/>
        <v>7300</v>
      </c>
      <c r="BA220" s="79">
        <f t="shared" si="62"/>
        <v>7500</v>
      </c>
      <c r="BB220" s="79">
        <f t="shared" si="63"/>
        <v>7600</v>
      </c>
      <c r="BC220" s="79">
        <f t="shared" si="64"/>
        <v>6700</v>
      </c>
      <c r="BD220" s="79">
        <f t="shared" si="65"/>
        <v>6500</v>
      </c>
      <c r="BE220" s="79">
        <f t="shared" si="66"/>
        <v>4700</v>
      </c>
      <c r="BF220" s="79">
        <f t="shared" si="67"/>
        <v>4000</v>
      </c>
    </row>
    <row r="221" spans="1:58" x14ac:dyDescent="0.25">
      <c r="A221" s="138" t="s">
        <v>1195</v>
      </c>
      <c r="B221" t="s">
        <v>674</v>
      </c>
      <c r="C221" t="s">
        <v>675</v>
      </c>
      <c r="D221" s="78">
        <f>INDEX('Population Data by Age'!$B$7:$H$10366,MATCH(CONCATENATE('Tabular Pop Data by Age'!$C221,'Tabular Pop Data by Age'!D$7),'Population Data by Age'!$B$7:$B$10366,0),MATCH('Tabular Pop Data by Age'!$C$6,'Population Data by Age'!$B$6:$H$6,0))</f>
        <v>319000</v>
      </c>
      <c r="E221" s="78">
        <f>INDEX('Population Data by Age'!$B$7:$H$10366,MATCH(CONCATENATE('Tabular Pop Data by Age'!$C221,'Tabular Pop Data by Age'!E$7),'Population Data by Age'!$B$7:$B$10366,0),MATCH('Tabular Pop Data by Age'!$C$6,'Population Data by Age'!$B$6:$H$6,0))</f>
        <v>334000</v>
      </c>
      <c r="F221" s="78">
        <f>INDEX('Population Data by Age'!$B$7:$H$10366,MATCH(CONCATENATE('Tabular Pop Data by Age'!$C221,'Tabular Pop Data by Age'!F$7),'Population Data by Age'!$B$7:$B$10366,0),MATCH('Tabular Pop Data by Age'!$C$6,'Population Data by Age'!$B$6:$H$6,0))</f>
        <v>310000</v>
      </c>
      <c r="G221" s="78">
        <f>INDEX('Population Data by Age'!$B$7:$H$10366,MATCH(CONCATENATE('Tabular Pop Data by Age'!$C221,'Tabular Pop Data by Age'!G$7),'Population Data by Age'!$B$7:$B$10366,0),MATCH('Tabular Pop Data by Age'!$C$6,'Population Data by Age'!$B$6:$H$6,0))</f>
        <v>324000</v>
      </c>
      <c r="H221" s="78">
        <f>INDEX('Population Data by Age'!$B$7:$H$10366,MATCH(CONCATENATE('Tabular Pop Data by Age'!$C221,'Tabular Pop Data by Age'!H$7),'Population Data by Age'!$B$7:$B$10366,0),MATCH('Tabular Pop Data by Age'!$C$6,'Population Data by Age'!$B$6:$H$6,0))</f>
        <v>273000</v>
      </c>
      <c r="I221" s="78">
        <f>INDEX('Population Data by Age'!$B$7:$H$10366,MATCH(CONCATENATE('Tabular Pop Data by Age'!$C221,'Tabular Pop Data by Age'!I$7),'Population Data by Age'!$B$7:$B$10366,0),MATCH('Tabular Pop Data by Age'!$C$6,'Population Data by Age'!$B$6:$H$6,0))</f>
        <v>285000</v>
      </c>
      <c r="J221" s="78">
        <f>INDEX('Population Data by Age'!$B$7:$H$10366,MATCH(CONCATENATE('Tabular Pop Data by Age'!$C221,'Tabular Pop Data by Age'!J$7),'Population Data by Age'!$B$7:$B$10366,0),MATCH('Tabular Pop Data by Age'!$C$6,'Population Data by Age'!$B$6:$H$6,0))</f>
        <v>240000</v>
      </c>
      <c r="K221" s="78">
        <f>INDEX('Population Data by Age'!$B$7:$H$10366,MATCH(CONCATENATE('Tabular Pop Data by Age'!$C221,'Tabular Pop Data by Age'!K$7),'Population Data by Age'!$B$7:$B$10366,0),MATCH('Tabular Pop Data by Age'!$C$6,'Population Data by Age'!$B$6:$H$6,0))</f>
        <v>248000</v>
      </c>
      <c r="L221" s="78">
        <f>INDEX('Population Data by Age'!$B$7:$H$10366,MATCH(CONCATENATE('Tabular Pop Data by Age'!$C221,'Tabular Pop Data by Age'!L$7),'Population Data by Age'!$B$7:$B$10366,0),MATCH('Tabular Pop Data by Age'!$C$6,'Population Data by Age'!$B$6:$H$6,0))</f>
        <v>232000</v>
      </c>
      <c r="M221" s="78">
        <f>INDEX('Population Data by Age'!$B$7:$H$10366,MATCH(CONCATENATE('Tabular Pop Data by Age'!$C221,'Tabular Pop Data by Age'!M$7),'Population Data by Age'!$B$7:$B$10366,0),MATCH('Tabular Pop Data by Age'!$C$6,'Population Data by Age'!$B$6:$H$6,0))</f>
        <v>239000</v>
      </c>
      <c r="N221" s="78">
        <f>INDEX('Population Data by Age'!$B$7:$H$10366,MATCH(CONCATENATE('Tabular Pop Data by Age'!$C221,'Tabular Pop Data by Age'!N$7),'Population Data by Age'!$B$7:$B$10366,0),MATCH('Tabular Pop Data by Age'!$C$6,'Population Data by Age'!$B$6:$H$6,0))</f>
        <v>216000</v>
      </c>
      <c r="O221" s="78">
        <f>INDEX('Population Data by Age'!$B$7:$H$10366,MATCH(CONCATENATE('Tabular Pop Data by Age'!$C221,'Tabular Pop Data by Age'!O$7),'Population Data by Age'!$B$7:$B$10366,0),MATCH('Tabular Pop Data by Age'!$C$6,'Population Data by Age'!$B$6:$H$6,0))</f>
        <v>224000</v>
      </c>
      <c r="P221" s="78">
        <f>INDEX('Population Data by Age'!$B$7:$H$10366,MATCH(CONCATENATE('Tabular Pop Data by Age'!$C221,'Tabular Pop Data by Age'!P$7),'Population Data by Age'!$B$7:$B$10366,0),MATCH('Tabular Pop Data by Age'!$C$6,'Population Data by Age'!$B$6:$H$6,0))</f>
        <v>171000</v>
      </c>
      <c r="Q221" s="78">
        <f>INDEX('Population Data by Age'!$B$7:$H$10366,MATCH(CONCATENATE('Tabular Pop Data by Age'!$C221,'Tabular Pop Data by Age'!Q$7),'Population Data by Age'!$B$7:$B$10366,0),MATCH('Tabular Pop Data by Age'!$C$6,'Population Data by Age'!$B$6:$H$6,0))</f>
        <v>178000</v>
      </c>
      <c r="R221" s="78">
        <f>INDEX('Population Data by Age'!$B$7:$H$10366,MATCH(CONCATENATE('Tabular Pop Data by Age'!$C221,'Tabular Pop Data by Age'!R$7),'Population Data by Age'!$B$7:$B$10366,0),MATCH('Tabular Pop Data by Age'!$C$6,'Population Data by Age'!$B$6:$H$6,0))</f>
        <v>137000</v>
      </c>
      <c r="S221" s="78">
        <f>INDEX('Population Data by Age'!$B$7:$H$10366,MATCH(CONCATENATE('Tabular Pop Data by Age'!$C221,'Tabular Pop Data by Age'!S$7),'Population Data by Age'!$B$7:$B$10366,0),MATCH('Tabular Pop Data by Age'!$C$6,'Population Data by Age'!$B$6:$H$6,0))</f>
        <v>141000</v>
      </c>
      <c r="T221" s="78">
        <f>INDEX('Population Data by Age'!$B$7:$H$10366,MATCH(CONCATENATE('Tabular Pop Data by Age'!$C221,'Tabular Pop Data by Age'!T$7),'Population Data by Age'!$B$7:$B$10366,0),MATCH('Tabular Pop Data by Age'!$C$6,'Population Data by Age'!$B$6:$H$6,0))</f>
        <v>115000</v>
      </c>
      <c r="U221" s="78">
        <f>INDEX('Population Data by Age'!$B$7:$H$10366,MATCH(CONCATENATE('Tabular Pop Data by Age'!$C221,'Tabular Pop Data by Age'!U$7),'Population Data by Age'!$B$7:$B$10366,0),MATCH('Tabular Pop Data by Age'!$C$6,'Population Data by Age'!$B$6:$H$6,0))</f>
        <v>118000</v>
      </c>
      <c r="V221" s="78">
        <f>INDEX('Population Data by Age'!$B$7:$H$10366,MATCH(CONCATENATE('Tabular Pop Data by Age'!$C221,'Tabular Pop Data by Age'!V$7),'Population Data by Age'!$B$7:$B$10366,0),MATCH('Tabular Pop Data by Age'!$C$6,'Population Data by Age'!$B$6:$H$6,0))</f>
        <v>94000</v>
      </c>
      <c r="W221" s="78">
        <f>INDEX('Population Data by Age'!$B$7:$H$10366,MATCH(CONCATENATE('Tabular Pop Data by Age'!$C221,'Tabular Pop Data by Age'!W$7),'Population Data by Age'!$B$7:$B$10366,0),MATCH('Tabular Pop Data by Age'!$C$6,'Population Data by Age'!$B$6:$H$6,0))</f>
        <v>96000</v>
      </c>
      <c r="X221" s="78">
        <f>INDEX('Population Data by Age'!$B$7:$H$10366,MATCH(CONCATENATE('Tabular Pop Data by Age'!$C221,'Tabular Pop Data by Age'!X$7),'Population Data by Age'!$B$7:$B$10366,0),MATCH('Tabular Pop Data by Age'!$C$6,'Population Data by Age'!$B$6:$H$6,0))</f>
        <v>78000</v>
      </c>
      <c r="Y221" s="78">
        <f>INDEX('Population Data by Age'!$B$7:$H$10366,MATCH(CONCATENATE('Tabular Pop Data by Age'!$C221,'Tabular Pop Data by Age'!Y$7),'Population Data by Age'!$B$7:$B$10366,0),MATCH('Tabular Pop Data by Age'!$C$6,'Population Data by Age'!$B$6:$H$6,0))</f>
        <v>79000</v>
      </c>
      <c r="Z221" s="78">
        <f>INDEX('Population Data by Age'!$B$7:$H$10366,MATCH(CONCATENATE('Tabular Pop Data by Age'!$C221,'Tabular Pop Data by Age'!Z$7),'Population Data by Age'!$B$7:$B$10366,0),MATCH('Tabular Pop Data by Age'!$C$6,'Population Data by Age'!$B$6:$H$6,0))</f>
        <v>62000</v>
      </c>
      <c r="AA221" s="78">
        <f>INDEX('Population Data by Age'!$B$7:$H$10366,MATCH(CONCATENATE('Tabular Pop Data by Age'!$C221,'Tabular Pop Data by Age'!AA$7),'Population Data by Age'!$B$7:$B$10366,0),MATCH('Tabular Pop Data by Age'!$C$6,'Population Data by Age'!$B$6:$H$6,0))</f>
        <v>61000</v>
      </c>
      <c r="AB221" s="78">
        <f>INDEX('Population Data by Age'!$B$7:$H$10366,MATCH(CONCATENATE('Tabular Pop Data by Age'!$C221,'Tabular Pop Data by Age'!AB$7),'Population Data by Age'!$B$7:$B$10366,0),MATCH('Tabular Pop Data by Age'!$C$6,'Population Data by Age'!$B$6:$H$6,0))</f>
        <v>43000</v>
      </c>
      <c r="AC221" s="78">
        <f>INDEX('Population Data by Age'!$B$7:$H$10366,MATCH(CONCATENATE('Tabular Pop Data by Age'!$C221,'Tabular Pop Data by Age'!AC$7),'Population Data by Age'!$B$7:$B$10366,0),MATCH('Tabular Pop Data by Age'!$C$6,'Population Data by Age'!$B$6:$H$6,0))</f>
        <v>40000</v>
      </c>
      <c r="AD221" s="78">
        <f>INDEX('Population Data by Age'!$B$7:$H$10366,MATCH(CONCATENATE('Tabular Pop Data by Age'!$C221,'Tabular Pop Data by Age'!AD$7),'Population Data by Age'!$B$7:$B$10366,0),MATCH('Tabular Pop Data by Age'!$C$6,'Population Data by Age'!$B$6:$H$6,0))</f>
        <v>32000</v>
      </c>
      <c r="AE221" s="78">
        <f>INDEX('Population Data by Age'!$B$7:$H$10366,MATCH(CONCATENATE('Tabular Pop Data by Age'!$C221,'Tabular Pop Data by Age'!AE$7),'Population Data by Age'!$B$7:$B$10366,0),MATCH('Tabular Pop Data by Age'!$C$6,'Population Data by Age'!$B$6:$H$6,0))</f>
        <v>28000</v>
      </c>
      <c r="AF221" s="78">
        <f>INDEX('Population Data by Age'!$B$7:$H$10366,MATCH(CONCATENATE('Tabular Pop Data by Age'!$C221,'Tabular Pop Data by Age'!AF$7),'Population Data by Age'!$B$7:$B$10366,0),MATCH('Tabular Pop Data by Age'!$C$6,'Population Data by Age'!$B$6:$H$6,0))</f>
        <v>23000</v>
      </c>
      <c r="AG221" s="78">
        <f>INDEX('Population Data by Age'!$B$7:$H$10366,MATCH(CONCATENATE('Tabular Pop Data by Age'!$C221,'Tabular Pop Data by Age'!AG$7),'Population Data by Age'!$B$7:$B$10366,0),MATCH('Tabular Pop Data by Age'!$C$6,'Population Data by Age'!$B$6:$H$6,0))</f>
        <v>23000</v>
      </c>
      <c r="AH221" s="78">
        <f>INDEX('Population Data by Age'!$B$7:$H$10366,MATCH(CONCATENATE('Tabular Pop Data by Age'!$C221,'Tabular Pop Data by Age'!AH$7),'Population Data by Age'!$B$7:$B$10366,0),MATCH('Tabular Pop Data by Age'!$C$6,'Population Data by Age'!$B$6:$H$6,0))</f>
        <v>15000</v>
      </c>
      <c r="AI221" s="78">
        <f>INDEX('Population Data by Age'!$B$7:$H$10366,MATCH(CONCATENATE('Tabular Pop Data by Age'!$C221,'Tabular Pop Data by Age'!AI$7),'Population Data by Age'!$B$7:$B$10366,0),MATCH('Tabular Pop Data by Age'!$C$6,'Population Data by Age'!$B$6:$H$6,0))</f>
        <v>13000</v>
      </c>
      <c r="AJ221" s="78">
        <f>INDEX('Population Data by Age'!$B$7:$H$10366,MATCH(CONCATENATE('Tabular Pop Data by Age'!$C221,'Tabular Pop Data by Age'!AJ$7),'Population Data by Age'!$B$7:$B$10366,0),MATCH('Tabular Pop Data by Age'!$C$6,'Population Data by Age'!$B$6:$H$6,0))</f>
        <v>12000</v>
      </c>
      <c r="AK221" s="78">
        <f>INDEX('Population Data by Age'!$B$7:$H$10366,MATCH(CONCATENATE('Tabular Pop Data by Age'!$C221,'Tabular Pop Data by Age'!AK$7),'Population Data by Age'!$B$7:$B$10366,0),MATCH('Tabular Pop Data by Age'!$C$6,'Population Data by Age'!$B$6:$H$6,0))</f>
        <v>8700</v>
      </c>
      <c r="AL221" s="78">
        <f>INDEX('Population Data by Age'!$B$7:$H$10366,MATCH(CONCATENATE('Tabular Pop Data by Age'!$C221,'Tabular Pop Data by Age'!AL$7),'Population Data by Age'!$B$7:$B$10366,0),MATCH('Tabular Pop Data by Age'!$C$6,'Population Data by Age'!$B$6:$H$6,0))</f>
        <v>2372000</v>
      </c>
      <c r="AM221" s="78">
        <f>INDEX('Population Data by Age'!$B$7:$H$10366,MATCH(CONCATENATE('Tabular Pop Data by Age'!$C221,'Tabular Pop Data by Age'!AM$7),'Population Data by Age'!$B$7:$B$10366,0),MATCH('Tabular Pop Data by Age'!$C$6,'Population Data by Age'!$B$6:$H$6,0))</f>
        <v>2441000</v>
      </c>
      <c r="AN221" s="78">
        <f>INDEX('Population Data by Age'!$B$7:$H$10366,MATCH(CONCATENATE('Tabular Pop Data by Age'!$C221,'Tabular Pop Data by Age'!AN$7),'Population Data by Age'!$B$7:$B$10366,0),MATCH('Tabular Pop Data by Age'!$C$6,'Population Data by Age'!$B$6:$H$6,0))</f>
        <v>4813000</v>
      </c>
      <c r="AO221" s="78">
        <f>INDEX('Population Data by Age'!$B$7:$H$10366,MATCH(CONCATENATE('Tabular Pop Data by Age'!$C221,'Tabular Pop Data by Age'!AO$7),'Population Data by Age'!$B$7:$B$10366,0),MATCH('Tabular Pop Data by Age'!$C$6,'Population Data by Age'!$B$6:$H$6,0))</f>
        <v>0</v>
      </c>
      <c r="AP221" s="79">
        <f t="shared" si="51"/>
        <v>653000</v>
      </c>
      <c r="AQ221" s="79">
        <f t="shared" si="52"/>
        <v>634000</v>
      </c>
      <c r="AR221" s="79">
        <f t="shared" si="53"/>
        <v>558000</v>
      </c>
      <c r="AS221" s="79">
        <f t="shared" si="54"/>
        <v>488000</v>
      </c>
      <c r="AT221" s="79">
        <f t="shared" si="55"/>
        <v>471000</v>
      </c>
      <c r="AU221" s="79">
        <f t="shared" si="56"/>
        <v>440000</v>
      </c>
      <c r="AV221" s="79">
        <f t="shared" si="57"/>
        <v>349000</v>
      </c>
      <c r="AW221" s="79">
        <f t="shared" si="58"/>
        <v>278000</v>
      </c>
      <c r="AX221" s="79">
        <f t="shared" si="59"/>
        <v>233000</v>
      </c>
      <c r="AY221" s="79">
        <f t="shared" si="60"/>
        <v>190000</v>
      </c>
      <c r="AZ221" s="79">
        <f t="shared" si="61"/>
        <v>157000</v>
      </c>
      <c r="BA221" s="79">
        <f t="shared" si="62"/>
        <v>123000</v>
      </c>
      <c r="BB221" s="79">
        <f t="shared" si="63"/>
        <v>83000</v>
      </c>
      <c r="BC221" s="79">
        <f t="shared" si="64"/>
        <v>60000</v>
      </c>
      <c r="BD221" s="79">
        <f t="shared" si="65"/>
        <v>46000</v>
      </c>
      <c r="BE221" s="79">
        <f t="shared" si="66"/>
        <v>28000</v>
      </c>
      <c r="BF221" s="79">
        <f t="shared" si="67"/>
        <v>20700</v>
      </c>
    </row>
    <row r="222" spans="1:58" x14ac:dyDescent="0.25">
      <c r="A222" s="138" t="s">
        <v>1195</v>
      </c>
      <c r="B222" t="s">
        <v>678</v>
      </c>
      <c r="C222" t="s">
        <v>153</v>
      </c>
      <c r="D222" s="78">
        <f>INDEX('Population Data by Age'!$B$7:$H$10366,MATCH(CONCATENATE('Tabular Pop Data by Age'!$C222,'Tabular Pop Data by Age'!D$7),'Population Data by Age'!$B$7:$B$10366,0),MATCH('Tabular Pop Data by Age'!$C$6,'Population Data by Age'!$B$6:$H$6,0))</f>
        <v>2015000</v>
      </c>
      <c r="E222" s="78">
        <f>INDEX('Population Data by Age'!$B$7:$H$10366,MATCH(CONCATENATE('Tabular Pop Data by Age'!$C222,'Tabular Pop Data by Age'!E$7),'Population Data by Age'!$B$7:$B$10366,0),MATCH('Tabular Pop Data by Age'!$C$6,'Population Data by Age'!$B$6:$H$6,0))</f>
        <v>2100000</v>
      </c>
      <c r="F222" s="78">
        <f>INDEX('Population Data by Age'!$B$7:$H$10366,MATCH(CONCATENATE('Tabular Pop Data by Age'!$C222,'Tabular Pop Data by Age'!F$7),'Population Data by Age'!$B$7:$B$10366,0),MATCH('Tabular Pop Data by Age'!$C$6,'Population Data by Age'!$B$6:$H$6,0))</f>
        <v>1920000</v>
      </c>
      <c r="G222" s="78">
        <f>INDEX('Population Data by Age'!$B$7:$H$10366,MATCH(CONCATENATE('Tabular Pop Data by Age'!$C222,'Tabular Pop Data by Age'!G$7),'Population Data by Age'!$B$7:$B$10366,0),MATCH('Tabular Pop Data by Age'!$C$6,'Population Data by Age'!$B$6:$H$6,0))</f>
        <v>1998000</v>
      </c>
      <c r="H222" s="78">
        <f>INDEX('Population Data by Age'!$B$7:$H$10366,MATCH(CONCATENATE('Tabular Pop Data by Age'!$C222,'Tabular Pop Data by Age'!H$7),'Population Data by Age'!$B$7:$B$10366,0),MATCH('Tabular Pop Data by Age'!$C$6,'Population Data by Age'!$B$6:$H$6,0))</f>
        <v>1740000</v>
      </c>
      <c r="I222" s="78">
        <f>INDEX('Population Data by Age'!$B$7:$H$10366,MATCH(CONCATENATE('Tabular Pop Data by Age'!$C222,'Tabular Pop Data by Age'!I$7),'Population Data by Age'!$B$7:$B$10366,0),MATCH('Tabular Pop Data by Age'!$C$6,'Population Data by Age'!$B$6:$H$6,0))</f>
        <v>1808000</v>
      </c>
      <c r="J222" s="78">
        <f>INDEX('Population Data by Age'!$B$7:$H$10366,MATCH(CONCATENATE('Tabular Pop Data by Age'!$C222,'Tabular Pop Data by Age'!J$7),'Population Data by Age'!$B$7:$B$10366,0),MATCH('Tabular Pop Data by Age'!$C$6,'Population Data by Age'!$B$6:$H$6,0))</f>
        <v>1574000</v>
      </c>
      <c r="K222" s="78">
        <f>INDEX('Population Data by Age'!$B$7:$H$10366,MATCH(CONCATENATE('Tabular Pop Data by Age'!$C222,'Tabular Pop Data by Age'!K$7),'Population Data by Age'!$B$7:$B$10366,0),MATCH('Tabular Pop Data by Age'!$C$6,'Population Data by Age'!$B$6:$H$6,0))</f>
        <v>1628000</v>
      </c>
      <c r="L222" s="78">
        <f>INDEX('Population Data by Age'!$B$7:$H$10366,MATCH(CONCATENATE('Tabular Pop Data by Age'!$C222,'Tabular Pop Data by Age'!L$7),'Population Data by Age'!$B$7:$B$10366,0),MATCH('Tabular Pop Data by Age'!$C$6,'Population Data by Age'!$B$6:$H$6,0))</f>
        <v>1443000</v>
      </c>
      <c r="M222" s="78">
        <f>INDEX('Population Data by Age'!$B$7:$H$10366,MATCH(CONCATENATE('Tabular Pop Data by Age'!$C222,'Tabular Pop Data by Age'!M$7),'Population Data by Age'!$B$7:$B$10366,0),MATCH('Tabular Pop Data by Age'!$C$6,'Population Data by Age'!$B$6:$H$6,0))</f>
        <v>1482000</v>
      </c>
      <c r="N222" s="78">
        <f>INDEX('Population Data by Age'!$B$7:$H$10366,MATCH(CONCATENATE('Tabular Pop Data by Age'!$C222,'Tabular Pop Data by Age'!N$7),'Population Data by Age'!$B$7:$B$10366,0),MATCH('Tabular Pop Data by Age'!$C$6,'Population Data by Age'!$B$6:$H$6,0))</f>
        <v>1388000</v>
      </c>
      <c r="O222" s="78">
        <f>INDEX('Population Data by Age'!$B$7:$H$10366,MATCH(CONCATENATE('Tabular Pop Data by Age'!$C222,'Tabular Pop Data by Age'!O$7),'Population Data by Age'!$B$7:$B$10366,0),MATCH('Tabular Pop Data by Age'!$C$6,'Population Data by Age'!$B$6:$H$6,0))</f>
        <v>1419000</v>
      </c>
      <c r="P222" s="78">
        <f>INDEX('Population Data by Age'!$B$7:$H$10366,MATCH(CONCATENATE('Tabular Pop Data by Age'!$C222,'Tabular Pop Data by Age'!P$7),'Population Data by Age'!$B$7:$B$10366,0),MATCH('Tabular Pop Data by Age'!$C$6,'Population Data by Age'!$B$6:$H$6,0))</f>
        <v>1156000</v>
      </c>
      <c r="Q222" s="78">
        <f>INDEX('Population Data by Age'!$B$7:$H$10366,MATCH(CONCATENATE('Tabular Pop Data by Age'!$C222,'Tabular Pop Data by Age'!Q$7),'Population Data by Age'!$B$7:$B$10366,0),MATCH('Tabular Pop Data by Age'!$C$6,'Population Data by Age'!$B$6:$H$6,0))</f>
        <v>1174000</v>
      </c>
      <c r="R222" s="78">
        <f>INDEX('Population Data by Age'!$B$7:$H$10366,MATCH(CONCATENATE('Tabular Pop Data by Age'!$C222,'Tabular Pop Data by Age'!R$7),'Population Data by Age'!$B$7:$B$10366,0),MATCH('Tabular Pop Data by Age'!$C$6,'Population Data by Age'!$B$6:$H$6,0))</f>
        <v>903000</v>
      </c>
      <c r="S222" s="78">
        <f>INDEX('Population Data by Age'!$B$7:$H$10366,MATCH(CONCATENATE('Tabular Pop Data by Age'!$C222,'Tabular Pop Data by Age'!S$7),'Population Data by Age'!$B$7:$B$10366,0),MATCH('Tabular Pop Data by Age'!$C$6,'Population Data by Age'!$B$6:$H$6,0))</f>
        <v>909000</v>
      </c>
      <c r="T222" s="78">
        <f>INDEX('Population Data by Age'!$B$7:$H$10366,MATCH(CONCATENATE('Tabular Pop Data by Age'!$C222,'Tabular Pop Data by Age'!T$7),'Population Data by Age'!$B$7:$B$10366,0),MATCH('Tabular Pop Data by Age'!$C$6,'Population Data by Age'!$B$6:$H$6,0))</f>
        <v>667000</v>
      </c>
      <c r="U222" s="78">
        <f>INDEX('Population Data by Age'!$B$7:$H$10366,MATCH(CONCATENATE('Tabular Pop Data by Age'!$C222,'Tabular Pop Data by Age'!U$7),'Population Data by Age'!$B$7:$B$10366,0),MATCH('Tabular Pop Data by Age'!$C$6,'Population Data by Age'!$B$6:$H$6,0))</f>
        <v>695000</v>
      </c>
      <c r="V222" s="78">
        <f>INDEX('Population Data by Age'!$B$7:$H$10366,MATCH(CONCATENATE('Tabular Pop Data by Age'!$C222,'Tabular Pop Data by Age'!V$7),'Population Data by Age'!$B$7:$B$10366,0),MATCH('Tabular Pop Data by Age'!$C$6,'Population Data by Age'!$B$6:$H$6,0))</f>
        <v>491000</v>
      </c>
      <c r="W222" s="78">
        <f>INDEX('Population Data by Age'!$B$7:$H$10366,MATCH(CONCATENATE('Tabular Pop Data by Age'!$C222,'Tabular Pop Data by Age'!W$7),'Population Data by Age'!$B$7:$B$10366,0),MATCH('Tabular Pop Data by Age'!$C$6,'Population Data by Age'!$B$6:$H$6,0))</f>
        <v>509000</v>
      </c>
      <c r="X222" s="78">
        <f>INDEX('Population Data by Age'!$B$7:$H$10366,MATCH(CONCATENATE('Tabular Pop Data by Age'!$C222,'Tabular Pop Data by Age'!X$7),'Population Data by Age'!$B$7:$B$10366,0),MATCH('Tabular Pop Data by Age'!$C$6,'Population Data by Age'!$B$6:$H$6,0))</f>
        <v>410000</v>
      </c>
      <c r="Y222" s="78">
        <f>INDEX('Population Data by Age'!$B$7:$H$10366,MATCH(CONCATENATE('Tabular Pop Data by Age'!$C222,'Tabular Pop Data by Age'!Y$7),'Population Data by Age'!$B$7:$B$10366,0),MATCH('Tabular Pop Data by Age'!$C$6,'Population Data by Age'!$B$6:$H$6,0))</f>
        <v>364000</v>
      </c>
      <c r="Z222" s="78">
        <f>INDEX('Population Data by Age'!$B$7:$H$10366,MATCH(CONCATENATE('Tabular Pop Data by Age'!$C222,'Tabular Pop Data by Age'!Z$7),'Population Data by Age'!$B$7:$B$10366,0),MATCH('Tabular Pop Data by Age'!$C$6,'Population Data by Age'!$B$6:$H$6,0))</f>
        <v>350000</v>
      </c>
      <c r="AA222" s="78">
        <f>INDEX('Population Data by Age'!$B$7:$H$10366,MATCH(CONCATENATE('Tabular Pop Data by Age'!$C222,'Tabular Pop Data by Age'!AA$7),'Population Data by Age'!$B$7:$B$10366,0),MATCH('Tabular Pop Data by Age'!$C$6,'Population Data by Age'!$B$6:$H$6,0))</f>
        <v>299000</v>
      </c>
      <c r="AB222" s="78">
        <f>INDEX('Population Data by Age'!$B$7:$H$10366,MATCH(CONCATENATE('Tabular Pop Data by Age'!$C222,'Tabular Pop Data by Age'!AB$7),'Population Data by Age'!$B$7:$B$10366,0),MATCH('Tabular Pop Data by Age'!$C$6,'Population Data by Age'!$B$6:$H$6,0))</f>
        <v>265000</v>
      </c>
      <c r="AC222" s="78">
        <f>INDEX('Population Data by Age'!$B$7:$H$10366,MATCH(CONCATENATE('Tabular Pop Data by Age'!$C222,'Tabular Pop Data by Age'!AC$7),'Population Data by Age'!$B$7:$B$10366,0),MATCH('Tabular Pop Data by Age'!$C$6,'Population Data by Age'!$B$6:$H$6,0))</f>
        <v>244000</v>
      </c>
      <c r="AD222" s="78">
        <f>INDEX('Population Data by Age'!$B$7:$H$10366,MATCH(CONCATENATE('Tabular Pop Data by Age'!$C222,'Tabular Pop Data by Age'!AD$7),'Population Data by Age'!$B$7:$B$10366,0),MATCH('Tabular Pop Data by Age'!$C$6,'Population Data by Age'!$B$6:$H$6,0))</f>
        <v>196000</v>
      </c>
      <c r="AE222" s="78">
        <f>INDEX('Population Data by Age'!$B$7:$H$10366,MATCH(CONCATENATE('Tabular Pop Data by Age'!$C222,'Tabular Pop Data by Age'!AE$7),'Population Data by Age'!$B$7:$B$10366,0),MATCH('Tabular Pop Data by Age'!$C$6,'Population Data by Age'!$B$6:$H$6,0))</f>
        <v>174000</v>
      </c>
      <c r="AF222" s="78">
        <f>INDEX('Population Data by Age'!$B$7:$H$10366,MATCH(CONCATENATE('Tabular Pop Data by Age'!$C222,'Tabular Pop Data by Age'!AF$7),'Population Data by Age'!$B$7:$B$10366,0),MATCH('Tabular Pop Data by Age'!$C$6,'Population Data by Age'!$B$6:$H$6,0))</f>
        <v>141000</v>
      </c>
      <c r="AG222" s="78">
        <f>INDEX('Population Data by Age'!$B$7:$H$10366,MATCH(CONCATENATE('Tabular Pop Data by Age'!$C222,'Tabular Pop Data by Age'!AG$7),'Population Data by Age'!$B$7:$B$10366,0),MATCH('Tabular Pop Data by Age'!$C$6,'Population Data by Age'!$B$6:$H$6,0))</f>
        <v>118000</v>
      </c>
      <c r="AH222" s="78">
        <f>INDEX('Population Data by Age'!$B$7:$H$10366,MATCH(CONCATENATE('Tabular Pop Data by Age'!$C222,'Tabular Pop Data by Age'!AH$7),'Population Data by Age'!$B$7:$B$10366,0),MATCH('Tabular Pop Data by Age'!$C$6,'Population Data by Age'!$B$6:$H$6,0))</f>
        <v>81000</v>
      </c>
      <c r="AI222" s="78">
        <f>INDEX('Population Data by Age'!$B$7:$H$10366,MATCH(CONCATENATE('Tabular Pop Data by Age'!$C222,'Tabular Pop Data by Age'!AI$7),'Population Data by Age'!$B$7:$B$10366,0),MATCH('Tabular Pop Data by Age'!$C$6,'Population Data by Age'!$B$6:$H$6,0))</f>
        <v>64000</v>
      </c>
      <c r="AJ222" s="78">
        <f>INDEX('Population Data by Age'!$B$7:$H$10366,MATCH(CONCATENATE('Tabular Pop Data by Age'!$C222,'Tabular Pop Data by Age'!AJ$7),'Population Data by Age'!$B$7:$B$10366,0),MATCH('Tabular Pop Data by Age'!$C$6,'Population Data by Age'!$B$6:$H$6,0))</f>
        <v>60000</v>
      </c>
      <c r="AK222" s="78">
        <f>INDEX('Population Data by Age'!$B$7:$H$10366,MATCH(CONCATENATE('Tabular Pop Data by Age'!$C222,'Tabular Pop Data by Age'!AK$7),'Population Data by Age'!$B$7:$B$10366,0),MATCH('Tabular Pop Data by Age'!$C$6,'Population Data by Age'!$B$6:$H$6,0))</f>
        <v>40000</v>
      </c>
      <c r="AL222" s="78">
        <f>INDEX('Population Data by Age'!$B$7:$H$10366,MATCH(CONCATENATE('Tabular Pop Data by Age'!$C222,'Tabular Pop Data by Age'!AL$7),'Population Data by Age'!$B$7:$B$10366,0),MATCH('Tabular Pop Data by Age'!$C$6,'Population Data by Age'!$B$6:$H$6,0))</f>
        <v>14801000</v>
      </c>
      <c r="AM222" s="78">
        <f>INDEX('Population Data by Age'!$B$7:$H$10366,MATCH(CONCATENATE('Tabular Pop Data by Age'!$C222,'Tabular Pop Data by Age'!AM$7),'Population Data by Age'!$B$7:$B$10366,0),MATCH('Tabular Pop Data by Age'!$C$6,'Population Data by Age'!$B$6:$H$6,0))</f>
        <v>15025000</v>
      </c>
      <c r="AN222" s="78">
        <f>INDEX('Population Data by Age'!$B$7:$H$10366,MATCH(CONCATENATE('Tabular Pop Data by Age'!$C222,'Tabular Pop Data by Age'!AN$7),'Population Data by Age'!$B$7:$B$10366,0),MATCH('Tabular Pop Data by Age'!$C$6,'Population Data by Age'!$B$6:$H$6,0))</f>
        <v>29826000</v>
      </c>
      <c r="AO222" s="78">
        <f>INDEX('Population Data by Age'!$B$7:$H$10366,MATCH(CONCATENATE('Tabular Pop Data by Age'!$C222,'Tabular Pop Data by Age'!AO$7),'Population Data by Age'!$B$7:$B$10366,0),MATCH('Tabular Pop Data by Age'!$C$6,'Population Data by Age'!$B$6:$H$6,0))</f>
        <v>0</v>
      </c>
      <c r="AP222" s="79">
        <f t="shared" si="51"/>
        <v>4115000</v>
      </c>
      <c r="AQ222" s="79">
        <f t="shared" si="52"/>
        <v>3918000</v>
      </c>
      <c r="AR222" s="79">
        <f t="shared" si="53"/>
        <v>3548000</v>
      </c>
      <c r="AS222" s="79">
        <f t="shared" si="54"/>
        <v>3202000</v>
      </c>
      <c r="AT222" s="79">
        <f t="shared" si="55"/>
        <v>2925000</v>
      </c>
      <c r="AU222" s="79">
        <f t="shared" si="56"/>
        <v>2807000</v>
      </c>
      <c r="AV222" s="79">
        <f t="shared" si="57"/>
        <v>2330000</v>
      </c>
      <c r="AW222" s="79">
        <f t="shared" si="58"/>
        <v>1812000</v>
      </c>
      <c r="AX222" s="79">
        <f t="shared" si="59"/>
        <v>1362000</v>
      </c>
      <c r="AY222" s="79">
        <f t="shared" si="60"/>
        <v>1000000</v>
      </c>
      <c r="AZ222" s="79">
        <f t="shared" si="61"/>
        <v>774000</v>
      </c>
      <c r="BA222" s="79">
        <f t="shared" si="62"/>
        <v>649000</v>
      </c>
      <c r="BB222" s="79">
        <f t="shared" si="63"/>
        <v>509000</v>
      </c>
      <c r="BC222" s="79">
        <f t="shared" si="64"/>
        <v>370000</v>
      </c>
      <c r="BD222" s="79">
        <f t="shared" si="65"/>
        <v>259000</v>
      </c>
      <c r="BE222" s="79">
        <f t="shared" si="66"/>
        <v>145000</v>
      </c>
      <c r="BF222" s="79">
        <f t="shared" si="67"/>
        <v>100000</v>
      </c>
    </row>
    <row r="223" spans="1:58" x14ac:dyDescent="0.25">
      <c r="A223" s="138" t="s">
        <v>1195</v>
      </c>
      <c r="B223" t="s">
        <v>217</v>
      </c>
      <c r="C223" t="s">
        <v>155</v>
      </c>
      <c r="D223" s="78">
        <f>INDEX('Population Data by Age'!$B$7:$H$10366,MATCH(CONCATENATE('Tabular Pop Data by Age'!$C223,'Tabular Pop Data by Age'!D$7),'Population Data by Age'!$B$7:$B$10366,0),MATCH('Tabular Pop Data by Age'!$C$6,'Population Data by Age'!$B$6:$H$6,0))</f>
        <v>1457000</v>
      </c>
      <c r="E223" s="78">
        <f>INDEX('Population Data by Age'!$B$7:$H$10366,MATCH(CONCATENATE('Tabular Pop Data by Age'!$C223,'Tabular Pop Data by Age'!E$7),'Population Data by Age'!$B$7:$B$10366,0),MATCH('Tabular Pop Data by Age'!$C$6,'Population Data by Age'!$B$6:$H$6,0))</f>
        <v>1489000</v>
      </c>
      <c r="F223" s="78">
        <f>INDEX('Population Data by Age'!$B$7:$H$10366,MATCH(CONCATENATE('Tabular Pop Data by Age'!$C223,'Tabular Pop Data by Age'!F$7),'Population Data by Age'!$B$7:$B$10366,0),MATCH('Tabular Pop Data by Age'!$C$6,'Population Data by Age'!$B$6:$H$6,0))</f>
        <v>1346000</v>
      </c>
      <c r="G223" s="78">
        <f>INDEX('Population Data by Age'!$B$7:$H$10366,MATCH(CONCATENATE('Tabular Pop Data by Age'!$C223,'Tabular Pop Data by Age'!G$7),'Population Data by Age'!$B$7:$B$10366,0),MATCH('Tabular Pop Data by Age'!$C$6,'Population Data by Age'!$B$6:$H$6,0))</f>
        <v>1371000</v>
      </c>
      <c r="H223" s="78">
        <f>INDEX('Population Data by Age'!$B$7:$H$10366,MATCH(CONCATENATE('Tabular Pop Data by Age'!$C223,'Tabular Pop Data by Age'!H$7),'Population Data by Age'!$B$7:$B$10366,0),MATCH('Tabular Pop Data by Age'!$C$6,'Population Data by Age'!$B$6:$H$6,0))</f>
        <v>1206000</v>
      </c>
      <c r="I223" s="78">
        <f>INDEX('Population Data by Age'!$B$7:$H$10366,MATCH(CONCATENATE('Tabular Pop Data by Age'!$C223,'Tabular Pop Data by Age'!I$7),'Population Data by Age'!$B$7:$B$10366,0),MATCH('Tabular Pop Data by Age'!$C$6,'Population Data by Age'!$B$6:$H$6,0))</f>
        <v>1223000</v>
      </c>
      <c r="J223" s="78">
        <f>INDEX('Population Data by Age'!$B$7:$H$10366,MATCH(CONCATENATE('Tabular Pop Data by Age'!$C223,'Tabular Pop Data by Age'!J$7),'Population Data by Age'!$B$7:$B$10366,0),MATCH('Tabular Pop Data by Age'!$C$6,'Population Data by Age'!$B$6:$H$6,0))</f>
        <v>1059000</v>
      </c>
      <c r="K223" s="78">
        <f>INDEX('Population Data by Age'!$B$7:$H$10366,MATCH(CONCATENATE('Tabular Pop Data by Age'!$C223,'Tabular Pop Data by Age'!K$7),'Population Data by Age'!$B$7:$B$10366,0),MATCH('Tabular Pop Data by Age'!$C$6,'Population Data by Age'!$B$6:$H$6,0))</f>
        <v>1062000</v>
      </c>
      <c r="L223" s="78">
        <f>INDEX('Population Data by Age'!$B$7:$H$10366,MATCH(CONCATENATE('Tabular Pop Data by Age'!$C223,'Tabular Pop Data by Age'!L$7),'Population Data by Age'!$B$7:$B$10366,0),MATCH('Tabular Pop Data by Age'!$C$6,'Population Data by Age'!$B$6:$H$6,0))</f>
        <v>880000</v>
      </c>
      <c r="M223" s="78">
        <f>INDEX('Population Data by Age'!$B$7:$H$10366,MATCH(CONCATENATE('Tabular Pop Data by Age'!$C223,'Tabular Pop Data by Age'!M$7),'Population Data by Age'!$B$7:$B$10366,0),MATCH('Tabular Pop Data by Age'!$C$6,'Population Data by Age'!$B$6:$H$6,0))</f>
        <v>867000</v>
      </c>
      <c r="N223" s="78">
        <f>INDEX('Population Data by Age'!$B$7:$H$10366,MATCH(CONCATENATE('Tabular Pop Data by Age'!$C223,'Tabular Pop Data by Age'!N$7),'Population Data by Age'!$B$7:$B$10366,0),MATCH('Tabular Pop Data by Age'!$C$6,'Population Data by Age'!$B$6:$H$6,0))</f>
        <v>730000</v>
      </c>
      <c r="O223" s="78">
        <f>INDEX('Population Data by Age'!$B$7:$H$10366,MATCH(CONCATENATE('Tabular Pop Data by Age'!$C223,'Tabular Pop Data by Age'!O$7),'Population Data by Age'!$B$7:$B$10366,0),MATCH('Tabular Pop Data by Age'!$C$6,'Population Data by Age'!$B$6:$H$6,0))</f>
        <v>704000</v>
      </c>
      <c r="P223" s="78">
        <f>INDEX('Population Data by Age'!$B$7:$H$10366,MATCH(CONCATENATE('Tabular Pop Data by Age'!$C223,'Tabular Pop Data by Age'!P$7),'Population Data by Age'!$B$7:$B$10366,0),MATCH('Tabular Pop Data by Age'!$C$6,'Population Data by Age'!$B$6:$H$6,0))</f>
        <v>612000</v>
      </c>
      <c r="Q223" s="78">
        <f>INDEX('Population Data by Age'!$B$7:$H$10366,MATCH(CONCATENATE('Tabular Pop Data by Age'!$C223,'Tabular Pop Data by Age'!Q$7),'Population Data by Age'!$B$7:$B$10366,0),MATCH('Tabular Pop Data by Age'!$C$6,'Population Data by Age'!$B$6:$H$6,0))</f>
        <v>582000</v>
      </c>
      <c r="R223" s="78">
        <f>INDEX('Population Data by Age'!$B$7:$H$10366,MATCH(CONCATENATE('Tabular Pop Data by Age'!$C223,'Tabular Pop Data by Age'!R$7),'Population Data by Age'!$B$7:$B$10366,0),MATCH('Tabular Pop Data by Age'!$C$6,'Population Data by Age'!$B$6:$H$6,0))</f>
        <v>507000</v>
      </c>
      <c r="S223" s="78">
        <f>INDEX('Population Data by Age'!$B$7:$H$10366,MATCH(CONCATENATE('Tabular Pop Data by Age'!$C223,'Tabular Pop Data by Age'!S$7),'Population Data by Age'!$B$7:$B$10366,0),MATCH('Tabular Pop Data by Age'!$C$6,'Population Data by Age'!$B$6:$H$6,0))</f>
        <v>485000</v>
      </c>
      <c r="T223" s="78">
        <f>INDEX('Population Data by Age'!$B$7:$H$10366,MATCH(CONCATENATE('Tabular Pop Data by Age'!$C223,'Tabular Pop Data by Age'!T$7),'Population Data by Age'!$B$7:$B$10366,0),MATCH('Tabular Pop Data by Age'!$C$6,'Population Data by Age'!$B$6:$H$6,0))</f>
        <v>411000</v>
      </c>
      <c r="U223" s="78">
        <f>INDEX('Population Data by Age'!$B$7:$H$10366,MATCH(CONCATENATE('Tabular Pop Data by Age'!$C223,'Tabular Pop Data by Age'!U$7),'Population Data by Age'!$B$7:$B$10366,0),MATCH('Tabular Pop Data by Age'!$C$6,'Population Data by Age'!$B$6:$H$6,0))</f>
        <v>397000</v>
      </c>
      <c r="V223" s="78">
        <f>INDEX('Population Data by Age'!$B$7:$H$10366,MATCH(CONCATENATE('Tabular Pop Data by Age'!$C223,'Tabular Pop Data by Age'!V$7),'Population Data by Age'!$B$7:$B$10366,0),MATCH('Tabular Pop Data by Age'!$C$6,'Population Data by Age'!$B$6:$H$6,0))</f>
        <v>308000</v>
      </c>
      <c r="W223" s="78">
        <f>INDEX('Population Data by Age'!$B$7:$H$10366,MATCH(CONCATENATE('Tabular Pop Data by Age'!$C223,'Tabular Pop Data by Age'!W$7),'Population Data by Age'!$B$7:$B$10366,0),MATCH('Tabular Pop Data by Age'!$C$6,'Population Data by Age'!$B$6:$H$6,0))</f>
        <v>298000</v>
      </c>
      <c r="X223" s="78">
        <f>INDEX('Population Data by Age'!$B$7:$H$10366,MATCH(CONCATENATE('Tabular Pop Data by Age'!$C223,'Tabular Pop Data by Age'!X$7),'Population Data by Age'!$B$7:$B$10366,0),MATCH('Tabular Pop Data by Age'!$C$6,'Population Data by Age'!$B$6:$H$6,0))</f>
        <v>223000</v>
      </c>
      <c r="Y223" s="78">
        <f>INDEX('Population Data by Age'!$B$7:$H$10366,MATCH(CONCATENATE('Tabular Pop Data by Age'!$C223,'Tabular Pop Data by Age'!Y$7),'Population Data by Age'!$B$7:$B$10366,0),MATCH('Tabular Pop Data by Age'!$C$6,'Population Data by Age'!$B$6:$H$6,0))</f>
        <v>210000</v>
      </c>
      <c r="Z223" s="78">
        <f>INDEX('Population Data by Age'!$B$7:$H$10366,MATCH(CONCATENATE('Tabular Pop Data by Age'!$C223,'Tabular Pop Data by Age'!Z$7),'Population Data by Age'!$B$7:$B$10366,0),MATCH('Tabular Pop Data by Age'!$C$6,'Population Data by Age'!$B$6:$H$6,0))</f>
        <v>173000</v>
      </c>
      <c r="AA223" s="78">
        <f>INDEX('Population Data by Age'!$B$7:$H$10366,MATCH(CONCATENATE('Tabular Pop Data by Age'!$C223,'Tabular Pop Data by Age'!AA$7),'Population Data by Age'!$B$7:$B$10366,0),MATCH('Tabular Pop Data by Age'!$C$6,'Population Data by Age'!$B$6:$H$6,0))</f>
        <v>155000</v>
      </c>
      <c r="AB223" s="78">
        <f>INDEX('Population Data by Age'!$B$7:$H$10366,MATCH(CONCATENATE('Tabular Pop Data by Age'!$C223,'Tabular Pop Data by Age'!AB$7),'Population Data by Age'!$B$7:$B$10366,0),MATCH('Tabular Pop Data by Age'!$C$6,'Population Data by Age'!$B$6:$H$6,0))</f>
        <v>130000</v>
      </c>
      <c r="AC223" s="78">
        <f>INDEX('Population Data by Age'!$B$7:$H$10366,MATCH(CONCATENATE('Tabular Pop Data by Age'!$C223,'Tabular Pop Data by Age'!AC$7),'Population Data by Age'!$B$7:$B$10366,0),MATCH('Tabular Pop Data by Age'!$C$6,'Population Data by Age'!$B$6:$H$6,0))</f>
        <v>107000</v>
      </c>
      <c r="AD223" s="78">
        <f>INDEX('Population Data by Age'!$B$7:$H$10366,MATCH(CONCATENATE('Tabular Pop Data by Age'!$C223,'Tabular Pop Data by Age'!AD$7),'Population Data by Age'!$B$7:$B$10366,0),MATCH('Tabular Pop Data by Age'!$C$6,'Population Data by Age'!$B$6:$H$6,0))</f>
        <v>96000</v>
      </c>
      <c r="AE223" s="78">
        <f>INDEX('Population Data by Age'!$B$7:$H$10366,MATCH(CONCATENATE('Tabular Pop Data by Age'!$C223,'Tabular Pop Data by Age'!AE$7),'Population Data by Age'!$B$7:$B$10366,0),MATCH('Tabular Pop Data by Age'!$C$6,'Population Data by Age'!$B$6:$H$6,0))</f>
        <v>70000</v>
      </c>
      <c r="AF223" s="78">
        <f>INDEX('Population Data by Age'!$B$7:$H$10366,MATCH(CONCATENATE('Tabular Pop Data by Age'!$C223,'Tabular Pop Data by Age'!AF$7),'Population Data by Age'!$B$7:$B$10366,0),MATCH('Tabular Pop Data by Age'!$C$6,'Population Data by Age'!$B$6:$H$6,0))</f>
        <v>68000</v>
      </c>
      <c r="AG223" s="78">
        <f>INDEX('Population Data by Age'!$B$7:$H$10366,MATCH(CONCATENATE('Tabular Pop Data by Age'!$C223,'Tabular Pop Data by Age'!AG$7),'Population Data by Age'!$B$7:$B$10366,0),MATCH('Tabular Pop Data by Age'!$C$6,'Population Data by Age'!$B$6:$H$6,0))</f>
        <v>45000</v>
      </c>
      <c r="AH223" s="78">
        <f>INDEX('Population Data by Age'!$B$7:$H$10366,MATCH(CONCATENATE('Tabular Pop Data by Age'!$C223,'Tabular Pop Data by Age'!AH$7),'Population Data by Age'!$B$7:$B$10366,0),MATCH('Tabular Pop Data by Age'!$C$6,'Population Data by Age'!$B$6:$H$6,0))</f>
        <v>43000</v>
      </c>
      <c r="AI223" s="78">
        <f>INDEX('Population Data by Age'!$B$7:$H$10366,MATCH(CONCATENATE('Tabular Pop Data by Age'!$C223,'Tabular Pop Data by Age'!AI$7),'Population Data by Age'!$B$7:$B$10366,0),MATCH('Tabular Pop Data by Age'!$C$6,'Population Data by Age'!$B$6:$H$6,0))</f>
        <v>24000</v>
      </c>
      <c r="AJ223" s="78">
        <f>INDEX('Population Data by Age'!$B$7:$H$10366,MATCH(CONCATENATE('Tabular Pop Data by Age'!$C223,'Tabular Pop Data by Age'!AJ$7),'Population Data by Age'!$B$7:$B$10366,0),MATCH('Tabular Pop Data by Age'!$C$6,'Population Data by Age'!$B$6:$H$6,0))</f>
        <v>32000</v>
      </c>
      <c r="AK223" s="78">
        <f>INDEX('Population Data by Age'!$B$7:$H$10366,MATCH(CONCATENATE('Tabular Pop Data by Age'!$C223,'Tabular Pop Data by Age'!AK$7),'Population Data by Age'!$B$7:$B$10366,0),MATCH('Tabular Pop Data by Age'!$C$6,'Population Data by Age'!$B$6:$H$6,0))</f>
        <v>14000</v>
      </c>
      <c r="AL223" s="78">
        <f>INDEX('Population Data by Age'!$B$7:$H$10366,MATCH(CONCATENATE('Tabular Pop Data by Age'!$C223,'Tabular Pop Data by Age'!AL$7),'Population Data by Age'!$B$7:$B$10366,0),MATCH('Tabular Pop Data by Age'!$C$6,'Population Data by Age'!$B$6:$H$6,0))</f>
        <v>9281000</v>
      </c>
      <c r="AM223" s="78">
        <f>INDEX('Population Data by Age'!$B$7:$H$10366,MATCH(CONCATENATE('Tabular Pop Data by Age'!$C223,'Tabular Pop Data by Age'!AM$7),'Population Data by Age'!$B$7:$B$10366,0),MATCH('Tabular Pop Data by Age'!$C$6,'Population Data by Age'!$B$6:$H$6,0))</f>
        <v>9103000</v>
      </c>
      <c r="AN223" s="78">
        <f>INDEX('Population Data by Age'!$B$7:$H$10366,MATCH(CONCATENATE('Tabular Pop Data by Age'!$C223,'Tabular Pop Data by Age'!AN$7),'Population Data by Age'!$B$7:$B$10366,0),MATCH('Tabular Pop Data by Age'!$C$6,'Population Data by Age'!$B$6:$H$6,0))</f>
        <v>18384000</v>
      </c>
      <c r="AO223" s="78">
        <f>INDEX('Population Data by Age'!$B$7:$H$10366,MATCH(CONCATENATE('Tabular Pop Data by Age'!$C223,'Tabular Pop Data by Age'!AO$7),'Population Data by Age'!$B$7:$B$10366,0),MATCH('Tabular Pop Data by Age'!$C$6,'Population Data by Age'!$B$6:$H$6,0))</f>
        <v>0</v>
      </c>
      <c r="AP223" s="79">
        <f>SUM(D223:E223)</f>
        <v>2946000</v>
      </c>
      <c r="AQ223" s="79">
        <f>SUM(F223:G223)</f>
        <v>2717000</v>
      </c>
      <c r="AR223" s="79">
        <f>SUM(H223:I223)</f>
        <v>2429000</v>
      </c>
      <c r="AS223" s="79">
        <f>SUM(J223:K223)</f>
        <v>2121000</v>
      </c>
      <c r="AT223" s="79">
        <f>SUM(L223+M223)</f>
        <v>1747000</v>
      </c>
      <c r="AU223" s="79">
        <f>SUM(N223:O223)</f>
        <v>1434000</v>
      </c>
      <c r="AV223" s="79">
        <f>SUM(P223:Q223)</f>
        <v>1194000</v>
      </c>
      <c r="AW223" s="79">
        <f>SUM(R223:S223)</f>
        <v>992000</v>
      </c>
      <c r="AX223" s="79">
        <f>SUM(T223:U223)</f>
        <v>808000</v>
      </c>
      <c r="AY223" s="79">
        <f>SUM(V223:W223)</f>
        <v>606000</v>
      </c>
      <c r="AZ223" s="79">
        <f>SUM(X223:Y223)</f>
        <v>433000</v>
      </c>
      <c r="BA223" s="79">
        <f>SUM(Z223:AA223)</f>
        <v>328000</v>
      </c>
      <c r="BB223" s="79">
        <f>SUM(AB223:AC223)</f>
        <v>237000</v>
      </c>
      <c r="BC223" s="79">
        <f>SUM(AD223:AE223)</f>
        <v>166000</v>
      </c>
      <c r="BD223" s="79">
        <f>SUM(AF223:AG223)</f>
        <v>113000</v>
      </c>
      <c r="BE223" s="79">
        <f>SUM(AH223:AI223)</f>
        <v>67000</v>
      </c>
      <c r="BF223" s="79">
        <f>SUM(AJ223:AK223)</f>
        <v>46000</v>
      </c>
    </row>
    <row r="224" spans="1:58" x14ac:dyDescent="0.25">
      <c r="A224" s="138"/>
      <c r="B224" t="s">
        <v>218</v>
      </c>
      <c r="C224" t="s">
        <v>156</v>
      </c>
      <c r="D224" s="78">
        <f>INDEX('Population Data by Age'!$B$7:$H$10366,MATCH(CONCATENATE('Tabular Pop Data by Age'!$C224,'Tabular Pop Data by Age'!D$7),'Population Data by Age'!$B$7:$B$10366,0),MATCH('Tabular Pop Data by Age'!$C$6,'Population Data by Age'!$B$6:$H$6,0))</f>
        <v>1043000</v>
      </c>
      <c r="E224" s="78">
        <f>INDEX('Population Data by Age'!$B$7:$H$10366,MATCH(CONCATENATE('Tabular Pop Data by Age'!$C224,'Tabular Pop Data by Age'!E$7),'Population Data by Age'!$B$7:$B$10366,0),MATCH('Tabular Pop Data by Age'!$C$6,'Population Data by Age'!$B$6:$H$6,0))</f>
        <v>1055000</v>
      </c>
      <c r="F224" s="78">
        <f>INDEX('Population Data by Age'!$B$7:$H$10366,MATCH(CONCATENATE('Tabular Pop Data by Age'!$C224,'Tabular Pop Data by Age'!F$7),'Population Data by Age'!$B$7:$B$10366,0),MATCH('Tabular Pop Data by Age'!$C$6,'Population Data by Age'!$B$6:$H$6,0))</f>
        <v>1101000</v>
      </c>
      <c r="G224" s="78">
        <f>INDEX('Population Data by Age'!$B$7:$H$10366,MATCH(CONCATENATE('Tabular Pop Data by Age'!$C224,'Tabular Pop Data by Age'!G$7),'Population Data by Age'!$B$7:$B$10366,0),MATCH('Tabular Pop Data by Age'!$C$6,'Population Data by Age'!$B$6:$H$6,0))</f>
        <v>1110000</v>
      </c>
      <c r="H224" s="78">
        <f>INDEX('Population Data by Age'!$B$7:$H$10366,MATCH(CONCATENATE('Tabular Pop Data by Age'!$C224,'Tabular Pop Data by Age'!H$7),'Population Data by Age'!$B$7:$B$10366,0),MATCH('Tabular Pop Data by Age'!$C$6,'Population Data by Age'!$B$6:$H$6,0))</f>
        <v>958000</v>
      </c>
      <c r="I224" s="78">
        <f>INDEX('Population Data by Age'!$B$7:$H$10366,MATCH(CONCATENATE('Tabular Pop Data by Age'!$C224,'Tabular Pop Data by Age'!I$7),'Population Data by Age'!$B$7:$B$10366,0),MATCH('Tabular Pop Data by Age'!$C$6,'Population Data by Age'!$B$6:$H$6,0))</f>
        <v>963000</v>
      </c>
      <c r="J224" s="78">
        <f>INDEX('Population Data by Age'!$B$7:$H$10366,MATCH(CONCATENATE('Tabular Pop Data by Age'!$C224,'Tabular Pop Data by Age'!J$7),'Population Data by Age'!$B$7:$B$10366,0),MATCH('Tabular Pop Data by Age'!$C$6,'Population Data by Age'!$B$6:$H$6,0))</f>
        <v>822000</v>
      </c>
      <c r="K224" s="78">
        <f>INDEX('Population Data by Age'!$B$7:$H$10366,MATCH(CONCATENATE('Tabular Pop Data by Age'!$C224,'Tabular Pop Data by Age'!K$7),'Population Data by Age'!$B$7:$B$10366,0),MATCH('Tabular Pop Data by Age'!$C$6,'Population Data by Age'!$B$6:$H$6,0))</f>
        <v>817000</v>
      </c>
      <c r="L224" s="78">
        <f>INDEX('Population Data by Age'!$B$7:$H$10366,MATCH(CONCATENATE('Tabular Pop Data by Age'!$C224,'Tabular Pop Data by Age'!L$7),'Population Data by Age'!$B$7:$B$10366,0),MATCH('Tabular Pop Data by Age'!$C$6,'Population Data by Age'!$B$6:$H$6,0))</f>
        <v>706000</v>
      </c>
      <c r="M224" s="78">
        <f>INDEX('Population Data by Age'!$B$7:$H$10366,MATCH(CONCATENATE('Tabular Pop Data by Age'!$C224,'Tabular Pop Data by Age'!M$7),'Population Data by Age'!$B$7:$B$10366,0),MATCH('Tabular Pop Data by Age'!$C$6,'Population Data by Age'!$B$6:$H$6,0))</f>
        <v>672000</v>
      </c>
      <c r="N224" s="78">
        <f>INDEX('Population Data by Age'!$B$7:$H$10366,MATCH(CONCATENATE('Tabular Pop Data by Age'!$C224,'Tabular Pop Data by Age'!N$7),'Population Data by Age'!$B$7:$B$10366,0),MATCH('Tabular Pop Data by Age'!$C$6,'Population Data by Age'!$B$6:$H$6,0))</f>
        <v>602000</v>
      </c>
      <c r="O224" s="78">
        <f>INDEX('Population Data by Age'!$B$7:$H$10366,MATCH(CONCATENATE('Tabular Pop Data by Age'!$C224,'Tabular Pop Data by Age'!O$7),'Population Data by Age'!$B$7:$B$10366,0),MATCH('Tabular Pop Data by Age'!$C$6,'Population Data by Age'!$B$6:$H$6,0))</f>
        <v>504000</v>
      </c>
      <c r="P224" s="78">
        <f>INDEX('Population Data by Age'!$B$7:$H$10366,MATCH(CONCATENATE('Tabular Pop Data by Age'!$C224,'Tabular Pop Data by Age'!P$7),'Population Data by Age'!$B$7:$B$10366,0),MATCH('Tabular Pop Data by Age'!$C$6,'Population Data by Age'!$B$6:$H$6,0))</f>
        <v>565000</v>
      </c>
      <c r="Q224" s="78">
        <f>INDEX('Population Data by Age'!$B$7:$H$10366,MATCH(CONCATENATE('Tabular Pop Data by Age'!$C224,'Tabular Pop Data by Age'!Q$7),'Population Data by Age'!$B$7:$B$10366,0),MATCH('Tabular Pop Data by Age'!$C$6,'Population Data by Age'!$B$6:$H$6,0))</f>
        <v>430000</v>
      </c>
      <c r="R224" s="78">
        <f>INDEX('Population Data by Age'!$B$7:$H$10366,MATCH(CONCATENATE('Tabular Pop Data by Age'!$C224,'Tabular Pop Data by Age'!R$7),'Population Data by Age'!$B$7:$B$10366,0),MATCH('Tabular Pop Data by Age'!$C$6,'Population Data by Age'!$B$6:$H$6,0))</f>
        <v>484000</v>
      </c>
      <c r="S224" s="78">
        <f>INDEX('Population Data by Age'!$B$7:$H$10366,MATCH(CONCATENATE('Tabular Pop Data by Age'!$C224,'Tabular Pop Data by Age'!S$7),'Population Data by Age'!$B$7:$B$10366,0),MATCH('Tabular Pop Data by Age'!$C$6,'Population Data by Age'!$B$6:$H$6,0))</f>
        <v>389000</v>
      </c>
      <c r="T224" s="78">
        <f>INDEX('Population Data by Age'!$B$7:$H$10366,MATCH(CONCATENATE('Tabular Pop Data by Age'!$C224,'Tabular Pop Data by Age'!T$7),'Population Data by Age'!$B$7:$B$10366,0),MATCH('Tabular Pop Data by Age'!$C$6,'Population Data by Age'!$B$6:$H$6,0))</f>
        <v>398000</v>
      </c>
      <c r="U224" s="78">
        <f>INDEX('Population Data by Age'!$B$7:$H$10366,MATCH(CONCATENATE('Tabular Pop Data by Age'!$C224,'Tabular Pop Data by Age'!U$7),'Population Data by Age'!$B$7:$B$10366,0),MATCH('Tabular Pop Data by Age'!$C$6,'Population Data by Age'!$B$6:$H$6,0))</f>
        <v>340000</v>
      </c>
      <c r="V224" s="78">
        <f>INDEX('Population Data by Age'!$B$7:$H$10366,MATCH(CONCATENATE('Tabular Pop Data by Age'!$C224,'Tabular Pop Data by Age'!V$7),'Population Data by Age'!$B$7:$B$10366,0),MATCH('Tabular Pop Data by Age'!$C$6,'Population Data by Age'!$B$6:$H$6,0))</f>
        <v>281000</v>
      </c>
      <c r="W224" s="78">
        <f>INDEX('Population Data by Age'!$B$7:$H$10366,MATCH(CONCATENATE('Tabular Pop Data by Age'!$C224,'Tabular Pop Data by Age'!W$7),'Population Data by Age'!$B$7:$B$10366,0),MATCH('Tabular Pop Data by Age'!$C$6,'Population Data by Age'!$B$6:$H$6,0))</f>
        <v>240000</v>
      </c>
      <c r="X224" s="78">
        <f>INDEX('Population Data by Age'!$B$7:$H$10366,MATCH(CONCATENATE('Tabular Pop Data by Age'!$C224,'Tabular Pop Data by Age'!X$7),'Population Data by Age'!$B$7:$B$10366,0),MATCH('Tabular Pop Data by Age'!$C$6,'Population Data by Age'!$B$6:$H$6,0))</f>
        <v>210000</v>
      </c>
      <c r="Y224" s="78">
        <f>INDEX('Population Data by Age'!$B$7:$H$10366,MATCH(CONCATENATE('Tabular Pop Data by Age'!$C224,'Tabular Pop Data by Age'!Y$7),'Population Data by Age'!$B$7:$B$10366,0),MATCH('Tabular Pop Data by Age'!$C$6,'Population Data by Age'!$B$6:$H$6,0))</f>
        <v>179000</v>
      </c>
      <c r="Z224" s="78">
        <f>INDEX('Population Data by Age'!$B$7:$H$10366,MATCH(CONCATENATE('Tabular Pop Data by Age'!$C224,'Tabular Pop Data by Age'!Z$7),'Population Data by Age'!$B$7:$B$10366,0),MATCH('Tabular Pop Data by Age'!$C$6,'Population Data by Age'!$B$6:$H$6,0))</f>
        <v>173000</v>
      </c>
      <c r="AA224" s="78">
        <f>INDEX('Population Data by Age'!$B$7:$H$10366,MATCH(CONCATENATE('Tabular Pop Data by Age'!$C224,'Tabular Pop Data by Age'!AA$7),'Population Data by Age'!$B$7:$B$10366,0),MATCH('Tabular Pop Data by Age'!$C$6,'Population Data by Age'!$B$6:$H$6,0))</f>
        <v>136000</v>
      </c>
      <c r="AB224" s="78">
        <f>INDEX('Population Data by Age'!$B$7:$H$10366,MATCH(CONCATENATE('Tabular Pop Data by Age'!$C224,'Tabular Pop Data by Age'!AB$7),'Population Data by Age'!$B$7:$B$10366,0),MATCH('Tabular Pop Data by Age'!$C$6,'Population Data by Age'!$B$6:$H$6,0))</f>
        <v>141000</v>
      </c>
      <c r="AC224" s="78">
        <f>INDEX('Population Data by Age'!$B$7:$H$10366,MATCH(CONCATENATE('Tabular Pop Data by Age'!$C224,'Tabular Pop Data by Age'!AC$7),'Population Data by Age'!$B$7:$B$10366,0),MATCH('Tabular Pop Data by Age'!$C$6,'Population Data by Age'!$B$6:$H$6,0))</f>
        <v>99000</v>
      </c>
      <c r="AD224" s="78">
        <f>INDEX('Population Data by Age'!$B$7:$H$10366,MATCH(CONCATENATE('Tabular Pop Data by Age'!$C224,'Tabular Pop Data by Age'!AD$7),'Population Data by Age'!$B$7:$B$10366,0),MATCH('Tabular Pop Data by Age'!$C$6,'Population Data by Age'!$B$6:$H$6,0))</f>
        <v>113000</v>
      </c>
      <c r="AE224" s="78">
        <f>INDEX('Population Data by Age'!$B$7:$H$10366,MATCH(CONCATENATE('Tabular Pop Data by Age'!$C224,'Tabular Pop Data by Age'!AE$7),'Population Data by Age'!$B$7:$B$10366,0),MATCH('Tabular Pop Data by Age'!$C$6,'Population Data by Age'!$B$6:$H$6,0))</f>
        <v>72000</v>
      </c>
      <c r="AF224" s="78">
        <f>INDEX('Population Data by Age'!$B$7:$H$10366,MATCH(CONCATENATE('Tabular Pop Data by Age'!$C224,'Tabular Pop Data by Age'!AF$7),'Population Data by Age'!$B$7:$B$10366,0),MATCH('Tabular Pop Data by Age'!$C$6,'Population Data by Age'!$B$6:$H$6,0))</f>
        <v>72000</v>
      </c>
      <c r="AG224" s="78">
        <f>INDEX('Population Data by Age'!$B$7:$H$10366,MATCH(CONCATENATE('Tabular Pop Data by Age'!$C224,'Tabular Pop Data by Age'!AG$7),'Population Data by Age'!$B$7:$B$10366,0),MATCH('Tabular Pop Data by Age'!$C$6,'Population Data by Age'!$B$6:$H$6,0))</f>
        <v>42000</v>
      </c>
      <c r="AH224" s="78">
        <f>INDEX('Population Data by Age'!$B$7:$H$10366,MATCH(CONCATENATE('Tabular Pop Data by Age'!$C224,'Tabular Pop Data by Age'!AH$7),'Population Data by Age'!$B$7:$B$10366,0),MATCH('Tabular Pop Data by Age'!$C$6,'Population Data by Age'!$B$6:$H$6,0))</f>
        <v>57000</v>
      </c>
      <c r="AI224" s="78">
        <f>INDEX('Population Data by Age'!$B$7:$H$10366,MATCH(CONCATENATE('Tabular Pop Data by Age'!$C224,'Tabular Pop Data by Age'!AI$7),'Population Data by Age'!$B$7:$B$10366,0),MATCH('Tabular Pop Data by Age'!$C$6,'Population Data by Age'!$B$6:$H$6,0))</f>
        <v>29000</v>
      </c>
      <c r="AJ224" s="78">
        <f>INDEX('Population Data by Age'!$B$7:$H$10366,MATCH(CONCATENATE('Tabular Pop Data by Age'!$C224,'Tabular Pop Data by Age'!AJ$7),'Population Data by Age'!$B$7:$B$10366,0),MATCH('Tabular Pop Data by Age'!$C$6,'Population Data by Age'!$B$6:$H$6,0))</f>
        <v>45000</v>
      </c>
      <c r="AK224" s="78">
        <f>INDEX('Population Data by Age'!$B$7:$H$10366,MATCH(CONCATENATE('Tabular Pop Data by Age'!$C224,'Tabular Pop Data by Age'!AK$7),'Population Data by Age'!$B$7:$B$10366,0),MATCH('Tabular Pop Data by Age'!$C$6,'Population Data by Age'!$B$6:$H$6,0))</f>
        <v>17000</v>
      </c>
      <c r="AL224" s="78">
        <f>INDEX('Population Data by Age'!$B$7:$H$10366,MATCH(CONCATENATE('Tabular Pop Data by Age'!$C224,'Tabular Pop Data by Age'!AL$7),'Population Data by Age'!$B$7:$B$10366,0),MATCH('Tabular Pop Data by Age'!$C$6,'Population Data by Age'!$B$6:$H$6,0))</f>
        <v>7771000</v>
      </c>
      <c r="AM224" s="78">
        <f>INDEX('Population Data by Age'!$B$7:$H$10366,MATCH(CONCATENATE('Tabular Pop Data by Age'!$C224,'Tabular Pop Data by Age'!AM$7),'Population Data by Age'!$B$7:$B$10366,0),MATCH('Tabular Pop Data by Age'!$C$6,'Population Data by Age'!$B$6:$H$6,0))</f>
        <v>7092000</v>
      </c>
      <c r="AN224" s="78">
        <f>INDEX('Population Data by Age'!$B$7:$H$10366,MATCH(CONCATENATE('Tabular Pop Data by Age'!$C224,'Tabular Pop Data by Age'!AN$7),'Population Data by Age'!$B$7:$B$10366,0),MATCH('Tabular Pop Data by Age'!$C$6,'Population Data by Age'!$B$6:$H$6,0))</f>
        <v>14863000</v>
      </c>
      <c r="AO224" s="78">
        <f>INDEX('Population Data by Age'!$B$7:$H$10366,MATCH(CONCATENATE('Tabular Pop Data by Age'!$C224,'Tabular Pop Data by Age'!AO$7),'Population Data by Age'!$B$7:$B$10366,0),MATCH('Tabular Pop Data by Age'!$C$6,'Population Data by Age'!$B$6:$H$6,0))</f>
        <v>0</v>
      </c>
      <c r="AP224" s="79">
        <f>SUM(D224:E224)</f>
        <v>2098000</v>
      </c>
      <c r="AQ224" s="79">
        <f>SUM(F224:G224)</f>
        <v>2211000</v>
      </c>
      <c r="AR224" s="79">
        <f>SUM(H224:I224)</f>
        <v>1921000</v>
      </c>
      <c r="AS224" s="79">
        <f>SUM(J224:K224)</f>
        <v>1639000</v>
      </c>
      <c r="AT224" s="79">
        <f>SUM(L224+M224)</f>
        <v>1378000</v>
      </c>
      <c r="AU224" s="79">
        <f>SUM(N224:O224)</f>
        <v>1106000</v>
      </c>
      <c r="AV224" s="79">
        <f>SUM(P224:Q224)</f>
        <v>995000</v>
      </c>
      <c r="AW224" s="79">
        <f>SUM(R224:S224)</f>
        <v>873000</v>
      </c>
      <c r="AX224" s="79">
        <f>SUM(T224:U224)</f>
        <v>738000</v>
      </c>
      <c r="AY224" s="79">
        <f>SUM(V224:W224)</f>
        <v>521000</v>
      </c>
      <c r="AZ224" s="79">
        <f>SUM(X224:Y224)</f>
        <v>389000</v>
      </c>
      <c r="BA224" s="79">
        <f>SUM(Z224:AA224)</f>
        <v>309000</v>
      </c>
      <c r="BB224" s="79">
        <f>SUM(AB224:AC224)</f>
        <v>240000</v>
      </c>
      <c r="BC224" s="79">
        <f>SUM(AD224:AE224)</f>
        <v>185000</v>
      </c>
      <c r="BD224" s="79">
        <f>SUM(AF224:AG224)</f>
        <v>114000</v>
      </c>
      <c r="BE224" s="79">
        <f>SUM(AH224:AI224)</f>
        <v>86000</v>
      </c>
      <c r="BF224" s="79">
        <f>SUM(AJ224:AK224)</f>
        <v>62000</v>
      </c>
    </row>
    <row r="225" spans="1:58" x14ac:dyDescent="0.25">
      <c r="A225" s="138"/>
      <c r="B225" t="s">
        <v>996</v>
      </c>
    </row>
    <row r="226" spans="1:58" s="138" customFormat="1" x14ac:dyDescent="0.25">
      <c r="B226" s="78">
        <v>100</v>
      </c>
      <c r="AN226" s="78">
        <v>100</v>
      </c>
    </row>
    <row r="227" spans="1:58" s="138" customFormat="1" x14ac:dyDescent="0.25">
      <c r="B227" s="78">
        <v>1000</v>
      </c>
      <c r="AN227" s="78">
        <v>1000</v>
      </c>
    </row>
    <row r="228" spans="1:58" s="138" customFormat="1" x14ac:dyDescent="0.25">
      <c r="B228" s="78">
        <v>10000</v>
      </c>
      <c r="AN228" s="78">
        <v>10000</v>
      </c>
    </row>
    <row r="229" spans="1:58" s="138" customFormat="1" x14ac:dyDescent="0.25">
      <c r="B229" s="78">
        <v>100000</v>
      </c>
      <c r="AN229" s="78">
        <v>100000</v>
      </c>
    </row>
    <row r="230" spans="1:58" x14ac:dyDescent="0.25">
      <c r="A230" s="138" t="s">
        <v>1182</v>
      </c>
      <c r="B230" t="s">
        <v>676</v>
      </c>
      <c r="C230" t="s">
        <v>677</v>
      </c>
      <c r="D230" s="78">
        <f>INDEX('Population Data by Age'!$B$7:$H$10366,MATCH(CONCATENATE('Tabular Pop Data by Age'!$C230,'Tabular Pop Data by Age'!D$7),'Population Data by Age'!$B$7:$B$10366,0),MATCH('Tabular Pop Data by Age'!$C$6,'Population Data by Age'!$B$6:$H$6,0))</f>
        <v>327291400</v>
      </c>
      <c r="E230" s="78">
        <f>INDEX('Population Data by Age'!$B$7:$H$10366,MATCH(CONCATENATE('Tabular Pop Data by Age'!$C230,'Tabular Pop Data by Age'!E$7),'Population Data by Age'!$B$7:$B$10366,0),MATCH('Tabular Pop Data by Age'!$C$6,'Population Data by Age'!$B$6:$H$6,0))</f>
        <v>348076100</v>
      </c>
      <c r="F230" s="78">
        <f>INDEX('Population Data by Age'!$B$7:$H$10366,MATCH(CONCATENATE('Tabular Pop Data by Age'!$C230,'Tabular Pop Data by Age'!F$7),'Population Data by Age'!$B$7:$B$10366,0),MATCH('Tabular Pop Data by Age'!$C$6,'Population Data by Age'!$B$6:$H$6,0))</f>
        <v>320281000</v>
      </c>
      <c r="G230" s="78">
        <f>INDEX('Population Data by Age'!$B$7:$H$10366,MATCH(CONCATENATE('Tabular Pop Data by Age'!$C230,'Tabular Pop Data by Age'!G$7),'Population Data by Age'!$B$7:$B$10366,0),MATCH('Tabular Pop Data by Age'!$C$6,'Population Data by Age'!$B$6:$H$6,0))</f>
        <v>341536100</v>
      </c>
      <c r="H230" s="78">
        <f>INDEX('Population Data by Age'!$B$7:$H$10366,MATCH(CONCATENATE('Tabular Pop Data by Age'!$C230,'Tabular Pop Data by Age'!H$7),'Population Data by Age'!$B$7:$B$10366,0),MATCH('Tabular Pop Data by Age'!$C$6,'Population Data by Age'!$B$6:$H$6,0))</f>
        <v>308577300</v>
      </c>
      <c r="I230" s="78">
        <f>INDEX('Population Data by Age'!$B$7:$H$10366,MATCH(CONCATENATE('Tabular Pop Data by Age'!$C230,'Tabular Pop Data by Age'!I$7),'Population Data by Age'!$B$7:$B$10366,0),MATCH('Tabular Pop Data by Age'!$C$6,'Population Data by Age'!$B$6:$H$6,0))</f>
        <v>330134100</v>
      </c>
      <c r="J230" s="78">
        <f>INDEX('Population Data by Age'!$B$7:$H$10366,MATCH(CONCATENATE('Tabular Pop Data by Age'!$C230,'Tabular Pop Data by Age'!J$7),'Population Data by Age'!$B$7:$B$10366,0),MATCH('Tabular Pop Data by Age'!$C$6,'Population Data by Age'!$B$6:$H$6,0))</f>
        <v>294382400</v>
      </c>
      <c r="K230" s="78">
        <f>INDEX('Population Data by Age'!$B$7:$H$10366,MATCH(CONCATENATE('Tabular Pop Data by Age'!$C230,'Tabular Pop Data by Age'!K$7),'Population Data by Age'!$B$7:$B$10366,0),MATCH('Tabular Pop Data by Age'!$C$6,'Population Data by Age'!$B$6:$H$6,0))</f>
        <v>315309500</v>
      </c>
      <c r="L230" s="78">
        <f>INDEX('Population Data by Age'!$B$7:$H$10366,MATCH(CONCATENATE('Tabular Pop Data by Age'!$C230,'Tabular Pop Data by Age'!L$7),'Population Data by Age'!$B$7:$B$10366,0),MATCH('Tabular Pop Data by Age'!$C$6,'Population Data by Age'!$B$6:$H$6,0))</f>
        <v>287861900</v>
      </c>
      <c r="M230" s="78">
        <f>INDEX('Population Data by Age'!$B$7:$H$10366,MATCH(CONCATENATE('Tabular Pop Data by Age'!$C230,'Tabular Pop Data by Age'!M$7),'Population Data by Age'!$B$7:$B$10366,0),MATCH('Tabular Pop Data by Age'!$C$6,'Population Data by Age'!$B$6:$H$6,0))</f>
        <v>306893000</v>
      </c>
      <c r="N230" s="78">
        <f>INDEX('Population Data by Age'!$B$7:$H$10366,MATCH(CONCATENATE('Tabular Pop Data by Age'!$C230,'Tabular Pop Data by Age'!N$7),'Population Data by Age'!$B$7:$B$10366,0),MATCH('Tabular Pop Data by Age'!$C$6,'Population Data by Age'!$B$6:$H$6,0))</f>
        <v>287237300</v>
      </c>
      <c r="O230" s="78">
        <f>INDEX('Population Data by Age'!$B$7:$H$10366,MATCH(CONCATENATE('Tabular Pop Data by Age'!$C230,'Tabular Pop Data by Age'!O$7),'Population Data by Age'!$B$7:$B$10366,0),MATCH('Tabular Pop Data by Age'!$C$6,'Population Data by Age'!$B$6:$H$6,0))</f>
        <v>304527900</v>
      </c>
      <c r="P230" s="78">
        <f>INDEX('Population Data by Age'!$B$7:$H$10366,MATCH(CONCATENATE('Tabular Pop Data by Age'!$C230,'Tabular Pop Data by Age'!P$7),'Population Data by Age'!$B$7:$B$10366,0),MATCH('Tabular Pop Data by Age'!$C$6,'Population Data by Age'!$B$6:$H$6,0))</f>
        <v>294445000</v>
      </c>
      <c r="Q230" s="78">
        <f>INDEX('Population Data by Age'!$B$7:$H$10366,MATCH(CONCATENATE('Tabular Pop Data by Age'!$C230,'Tabular Pop Data by Age'!Q$7),'Population Data by Age'!$B$7:$B$10366,0),MATCH('Tabular Pop Data by Age'!$C$6,'Population Data by Age'!$B$6:$H$6,0))</f>
        <v>307280900</v>
      </c>
      <c r="R230" s="78">
        <f>INDEX('Population Data by Age'!$B$7:$H$10366,MATCH(CONCATENATE('Tabular Pop Data by Age'!$C230,'Tabular Pop Data by Age'!R$7),'Population Data by Age'!$B$7:$B$10366,0),MATCH('Tabular Pop Data by Age'!$C$6,'Population Data by Age'!$B$6:$H$6,0))</f>
        <v>266890500</v>
      </c>
      <c r="S230" s="78">
        <f>INDEX('Population Data by Age'!$B$7:$H$10366,MATCH(CONCATENATE('Tabular Pop Data by Age'!$C230,'Tabular Pop Data by Age'!S$7),'Population Data by Age'!$B$7:$B$10366,0),MATCH('Tabular Pop Data by Age'!$C$6,'Population Data by Age'!$B$6:$H$6,0))</f>
        <v>274911400</v>
      </c>
      <c r="T230" s="78">
        <f>INDEX('Population Data by Age'!$B$7:$H$10366,MATCH(CONCATENATE('Tabular Pop Data by Age'!$C230,'Tabular Pop Data by Age'!T$7),'Population Data by Age'!$B$7:$B$10366,0),MATCH('Tabular Pop Data by Age'!$C$6,'Population Data by Age'!$B$6:$H$6,0))</f>
        <v>242964500</v>
      </c>
      <c r="U230" s="78">
        <f>INDEX('Population Data by Age'!$B$7:$H$10366,MATCH(CONCATENATE('Tabular Pop Data by Age'!$C230,'Tabular Pop Data by Age'!U$7),'Population Data by Age'!$B$7:$B$10366,0),MATCH('Tabular Pop Data by Age'!$C$6,'Population Data by Age'!$B$6:$H$6,0))</f>
        <v>247907000</v>
      </c>
      <c r="V230" s="78">
        <f>INDEX('Population Data by Age'!$B$7:$H$10366,MATCH(CONCATENATE('Tabular Pop Data by Age'!$C230,'Tabular Pop Data by Age'!V$7),'Population Data by Age'!$B$7:$B$10366,0),MATCH('Tabular Pop Data by Age'!$C$6,'Population Data by Age'!$B$6:$H$6,0))</f>
        <v>236406600</v>
      </c>
      <c r="W230" s="78">
        <f>INDEX('Population Data by Age'!$B$7:$H$10366,MATCH(CONCATENATE('Tabular Pop Data by Age'!$C230,'Tabular Pop Data by Age'!W$7),'Population Data by Age'!$B$7:$B$10366,0),MATCH('Tabular Pop Data by Age'!$C$6,'Population Data by Age'!$B$6:$H$6,0))</f>
        <v>239443700</v>
      </c>
      <c r="X230" s="78">
        <f>INDEX('Population Data by Age'!$B$7:$H$10366,MATCH(CONCATENATE('Tabular Pop Data by Age'!$C230,'Tabular Pop Data by Age'!X$7),'Population Data by Age'!$B$7:$B$10366,0),MATCH('Tabular Pop Data by Age'!$C$6,'Population Data by Age'!$B$6:$H$6,0))</f>
        <v>221368200</v>
      </c>
      <c r="Y230" s="78">
        <f>INDEX('Population Data by Age'!$B$7:$H$10366,MATCH(CONCATENATE('Tabular Pop Data by Age'!$C230,'Tabular Pop Data by Age'!Y$7),'Population Data by Age'!$B$7:$B$10366,0),MATCH('Tabular Pop Data by Age'!$C$6,'Population Data by Age'!$B$6:$H$6,0))</f>
        <v>220794300</v>
      </c>
      <c r="Z230" s="78">
        <f>INDEX('Population Data by Age'!$B$7:$H$10366,MATCH(CONCATENATE('Tabular Pop Data by Age'!$C230,'Tabular Pop Data by Age'!Z$7),'Population Data by Age'!$B$7:$B$10366,0),MATCH('Tabular Pop Data by Age'!$C$6,'Population Data by Age'!$B$6:$H$6,0))</f>
        <v>194155900</v>
      </c>
      <c r="AA230" s="78">
        <f>INDEX('Population Data by Age'!$B$7:$H$10366,MATCH(CONCATENATE('Tabular Pop Data by Age'!$C230,'Tabular Pop Data by Age'!AA$7),'Population Data by Age'!$B$7:$B$10366,0),MATCH('Tabular Pop Data by Age'!$C$6,'Population Data by Age'!$B$6:$H$6,0))</f>
        <v>190718400</v>
      </c>
      <c r="AB230" s="78">
        <f>INDEX('Population Data by Age'!$B$7:$H$10366,MATCH(CONCATENATE('Tabular Pop Data by Age'!$C230,'Tabular Pop Data by Age'!AB$7),'Population Data by Age'!$B$7:$B$10366,0),MATCH('Tabular Pop Data by Age'!$C$6,'Population Data by Age'!$B$6:$H$6,0))</f>
        <v>163774300</v>
      </c>
      <c r="AC230" s="78">
        <f>INDEX('Population Data by Age'!$B$7:$H$10366,MATCH(CONCATENATE('Tabular Pop Data by Age'!$C230,'Tabular Pop Data by Age'!AC$7),'Population Data by Age'!$B$7:$B$10366,0),MATCH('Tabular Pop Data by Age'!$C$6,'Population Data by Age'!$B$6:$H$6,0))</f>
        <v>156006400</v>
      </c>
      <c r="AD230" s="78">
        <f>INDEX('Population Data by Age'!$B$7:$H$10366,MATCH(CONCATENATE('Tabular Pop Data by Age'!$C230,'Tabular Pop Data by Age'!AD$7),'Population Data by Age'!$B$7:$B$10366,0),MATCH('Tabular Pop Data by Age'!$C$6,'Population Data by Age'!$B$6:$H$6,0))</f>
        <v>139559300</v>
      </c>
      <c r="AE230" s="78">
        <f>INDEX('Population Data by Age'!$B$7:$H$10366,MATCH(CONCATENATE('Tabular Pop Data by Age'!$C230,'Tabular Pop Data by Age'!AE$7),'Population Data by Age'!$B$7:$B$10366,0),MATCH('Tabular Pop Data by Age'!$C$6,'Population Data by Age'!$B$6:$H$6,0))</f>
        <v>127851900</v>
      </c>
      <c r="AF230" s="78">
        <f>INDEX('Population Data by Age'!$B$7:$H$10366,MATCH(CONCATENATE('Tabular Pop Data by Age'!$C230,'Tabular Pop Data by Age'!AF$7),'Population Data by Age'!$B$7:$B$10366,0),MATCH('Tabular Pop Data by Age'!$C$6,'Population Data by Age'!$B$6:$H$6,0))</f>
        <v>100767200</v>
      </c>
      <c r="AG230" s="78">
        <f>INDEX('Population Data by Age'!$B$7:$H$10366,MATCH(CONCATENATE('Tabular Pop Data by Age'!$C230,'Tabular Pop Data by Age'!AG$7),'Population Data by Age'!$B$7:$B$10366,0),MATCH('Tabular Pop Data by Age'!$C$6,'Population Data by Age'!$B$6:$H$6,0))</f>
        <v>86539000</v>
      </c>
      <c r="AH230" s="78">
        <f>INDEX('Population Data by Age'!$B$7:$H$10366,MATCH(CONCATENATE('Tabular Pop Data by Age'!$C230,'Tabular Pop Data by Age'!AH$7),'Population Data by Age'!$B$7:$B$10366,0),MATCH('Tabular Pop Data by Age'!$C$6,'Population Data by Age'!$B$6:$H$6,0))</f>
        <v>68570000</v>
      </c>
      <c r="AI230" s="78">
        <f>INDEX('Population Data by Age'!$B$7:$H$10366,MATCH(CONCATENATE('Tabular Pop Data by Age'!$C230,'Tabular Pop Data by Age'!AI$7),'Population Data by Age'!$B$7:$B$10366,0),MATCH('Tabular Pop Data by Age'!$C$6,'Population Data by Age'!$B$6:$H$6,0))</f>
        <v>54379500</v>
      </c>
      <c r="AJ230" s="78">
        <f>INDEX('Population Data by Age'!$B$7:$H$10366,MATCH(CONCATENATE('Tabular Pop Data by Age'!$C230,'Tabular Pop Data by Age'!AJ$7),'Population Data by Age'!$B$7:$B$10366,0),MATCH('Tabular Pop Data by Age'!$C$6,'Population Data by Age'!$B$6:$H$6,0))</f>
        <v>89020200</v>
      </c>
      <c r="AK230" s="78">
        <f>INDEX('Population Data by Age'!$B$7:$H$10366,MATCH(CONCATENATE('Tabular Pop Data by Age'!$C230,'Tabular Pop Data by Age'!AK$7),'Population Data by Age'!$B$7:$B$10366,0),MATCH('Tabular Pop Data by Age'!$C$6,'Population Data by Age'!$B$6:$H$6,0))</f>
        <v>55591900</v>
      </c>
      <c r="AL230" s="78">
        <f>INDEX('Population Data by Age'!$B$7:$H$10366,MATCH(CONCATENATE('Tabular Pop Data by Age'!$C230,'Tabular Pop Data by Age'!AL$7),'Population Data by Age'!$B$7:$B$10366,0),MATCH('Tabular Pop Data by Age'!$C$6,'Population Data by Age'!$B$6:$H$6,0))</f>
        <v>3843582000</v>
      </c>
      <c r="AM230" s="78">
        <f>INDEX('Population Data by Age'!$B$7:$H$10366,MATCH(CONCATENATE('Tabular Pop Data by Age'!$C230,'Tabular Pop Data by Age'!AM$7),'Population Data by Age'!$B$7:$B$10366,0),MATCH('Tabular Pop Data by Age'!$C$6,'Population Data by Age'!$B$6:$H$6,0))</f>
        <v>3907894000</v>
      </c>
      <c r="AN230" s="78">
        <f>INDEX('Population Data by Age'!$B$7:$H$10366,MATCH(CONCATENATE('Tabular Pop Data by Age'!$C230,'Tabular Pop Data by Age'!AN$7),'Population Data by Age'!$B$7:$B$10366,0),MATCH('Tabular Pop Data by Age'!$C$6,'Population Data by Age'!$B$6:$H$6,0))</f>
        <v>7754179000</v>
      </c>
      <c r="AO230" s="78">
        <f>INDEX('Population Data by Age'!$B$7:$H$10366,MATCH(CONCATENATE('Tabular Pop Data by Age'!$C230,'Tabular Pop Data by Age'!AO$7),'Population Data by Age'!$B$7:$B$10366,0),MATCH('Tabular Pop Data by Age'!$C$6,'Population Data by Age'!$B$6:$H$6,0))</f>
        <v>1.0377960457007589</v>
      </c>
      <c r="AP230" s="79">
        <f t="shared" ref="AP230:AP271" si="68">SUM(D230:E230)</f>
        <v>675367500</v>
      </c>
      <c r="AQ230" s="79">
        <f t="shared" ref="AQ230:AQ271" si="69">SUM(F230:G230)</f>
        <v>661817100</v>
      </c>
      <c r="AR230" s="79">
        <f t="shared" ref="AR230:AR271" si="70">SUM(H230:I230)</f>
        <v>638711400</v>
      </c>
      <c r="AS230" s="79">
        <f t="shared" ref="AS230:AS271" si="71">SUM(J230:K230)</f>
        <v>609691900</v>
      </c>
      <c r="AT230" s="79">
        <f t="shared" ref="AT230:AT271" si="72">SUM(L230+M230)</f>
        <v>594754900</v>
      </c>
      <c r="AU230" s="79">
        <f t="shared" ref="AU230:AU271" si="73">SUM(N230:O230)</f>
        <v>591765200</v>
      </c>
      <c r="AV230" s="79">
        <f t="shared" ref="AV230:AV271" si="74">SUM(P230:Q230)</f>
        <v>601725900</v>
      </c>
      <c r="AW230" s="79">
        <f t="shared" ref="AW230:AW271" si="75">SUM(R230:S230)</f>
        <v>541801900</v>
      </c>
      <c r="AX230" s="79">
        <f t="shared" ref="AX230:AX271" si="76">SUM(T230:U230)</f>
        <v>490871500</v>
      </c>
      <c r="AY230" s="79">
        <f t="shared" ref="AY230:AY271" si="77">SUM(V230:W230)</f>
        <v>475850300</v>
      </c>
      <c r="AZ230" s="79">
        <f t="shared" ref="AZ230:AZ271" si="78">SUM(X230:Y230)</f>
        <v>442162500</v>
      </c>
      <c r="BA230" s="79">
        <f t="shared" ref="BA230:BA271" si="79">SUM(Z230:AA230)</f>
        <v>384874300</v>
      </c>
      <c r="BB230" s="79">
        <f t="shared" ref="BB230:BB271" si="80">SUM(AB230:AC230)</f>
        <v>319780700</v>
      </c>
      <c r="BC230" s="79">
        <f t="shared" ref="BC230:BC271" si="81">SUM(AD230:AE230)</f>
        <v>267411200</v>
      </c>
      <c r="BD230" s="79">
        <f t="shared" ref="BD230:BD271" si="82">SUM(AF230:AG230)</f>
        <v>187306200</v>
      </c>
      <c r="BE230" s="79">
        <f t="shared" ref="BE230:BE271" si="83">SUM(AH230:AI230)</f>
        <v>122949500</v>
      </c>
      <c r="BF230" s="79">
        <f t="shared" ref="BF230:BF271" si="84">SUM(AJ230:AK230)</f>
        <v>144612100</v>
      </c>
    </row>
    <row r="231" spans="1:58" x14ac:dyDescent="0.25">
      <c r="A231" s="138" t="s">
        <v>1182</v>
      </c>
      <c r="B231" t="s">
        <v>664</v>
      </c>
      <c r="C231" t="s">
        <v>665</v>
      </c>
      <c r="D231" s="78">
        <f>INDEX('Population Data by Age'!$B$7:$H$10366,MATCH(CONCATENATE('Tabular Pop Data by Age'!$C231,'Tabular Pop Data by Age'!D$7),'Population Data by Age'!$B$7:$B$10366,0),MATCH('Tabular Pop Data by Age'!$C$6,'Population Data by Age'!$B$6:$H$6,0))</f>
        <v>88414400</v>
      </c>
      <c r="E231" s="78">
        <f>INDEX('Population Data by Age'!$B$7:$H$10366,MATCH(CONCATENATE('Tabular Pop Data by Age'!$C231,'Tabular Pop Data by Age'!E$7),'Population Data by Age'!$B$7:$B$10366,0),MATCH('Tabular Pop Data by Age'!$C$6,'Population Data by Age'!$B$6:$H$6,0))</f>
        <v>95680300</v>
      </c>
      <c r="F231" s="78">
        <f>INDEX('Population Data by Age'!$B$7:$H$10366,MATCH(CONCATENATE('Tabular Pop Data by Age'!$C231,'Tabular Pop Data by Age'!F$7),'Population Data by Age'!$B$7:$B$10366,0),MATCH('Tabular Pop Data by Age'!$C$6,'Population Data by Age'!$B$6:$H$6,0))</f>
        <v>89349000</v>
      </c>
      <c r="G231" s="78">
        <f>INDEX('Population Data by Age'!$B$7:$H$10366,MATCH(CONCATENATE('Tabular Pop Data by Age'!$C231,'Tabular Pop Data by Age'!G$7),'Population Data by Age'!$B$7:$B$10366,0),MATCH('Tabular Pop Data by Age'!$C$6,'Population Data by Age'!$B$6:$H$6,0))</f>
        <v>97484800</v>
      </c>
      <c r="H231" s="78">
        <f>INDEX('Population Data by Age'!$B$7:$H$10366,MATCH(CONCATENATE('Tabular Pop Data by Age'!$C231,'Tabular Pop Data by Age'!H$7),'Population Data by Age'!$B$7:$B$10366,0),MATCH('Tabular Pop Data by Age'!$C$6,'Population Data by Age'!$B$6:$H$6,0))</f>
        <v>85942500</v>
      </c>
      <c r="I231" s="78">
        <f>INDEX('Population Data by Age'!$B$7:$H$10366,MATCH(CONCATENATE('Tabular Pop Data by Age'!$C231,'Tabular Pop Data by Age'!I$7),'Population Data by Age'!$B$7:$B$10366,0),MATCH('Tabular Pop Data by Age'!$C$6,'Population Data by Age'!$B$6:$H$6,0))</f>
        <v>94308600</v>
      </c>
      <c r="J231" s="78">
        <f>INDEX('Population Data by Age'!$B$7:$H$10366,MATCH(CONCATENATE('Tabular Pop Data by Age'!$C231,'Tabular Pop Data by Age'!J$7),'Population Data by Age'!$B$7:$B$10366,0),MATCH('Tabular Pop Data by Age'!$C$6,'Population Data by Age'!$B$6:$H$6,0))</f>
        <v>83976500</v>
      </c>
      <c r="K231" s="78">
        <f>INDEX('Population Data by Age'!$B$7:$H$10366,MATCH(CONCATENATE('Tabular Pop Data by Age'!$C231,'Tabular Pop Data by Age'!K$7),'Population Data by Age'!$B$7:$B$10366,0),MATCH('Tabular Pop Data by Age'!$C$6,'Population Data by Age'!$B$6:$H$6,0))</f>
        <v>91469000</v>
      </c>
      <c r="L231" s="78">
        <f>INDEX('Population Data by Age'!$B$7:$H$10366,MATCH(CONCATENATE('Tabular Pop Data by Age'!$C231,'Tabular Pop Data by Age'!L$7),'Population Data by Age'!$B$7:$B$10366,0),MATCH('Tabular Pop Data by Age'!$C$6,'Population Data by Age'!$B$6:$H$6,0))</f>
        <v>86972300</v>
      </c>
      <c r="M231" s="78">
        <f>INDEX('Population Data by Age'!$B$7:$H$10366,MATCH(CONCATENATE('Tabular Pop Data by Age'!$C231,'Tabular Pop Data by Age'!M$7),'Population Data by Age'!$B$7:$B$10366,0),MATCH('Tabular Pop Data by Age'!$C$6,'Population Data by Age'!$B$6:$H$6,0))</f>
        <v>93448800</v>
      </c>
      <c r="N231" s="78">
        <f>INDEX('Population Data by Age'!$B$7:$H$10366,MATCH(CONCATENATE('Tabular Pop Data by Age'!$C231,'Tabular Pop Data by Age'!N$7),'Population Data by Age'!$B$7:$B$10366,0),MATCH('Tabular Pop Data by Age'!$C$6,'Population Data by Age'!$B$6:$H$6,0))</f>
        <v>94708900</v>
      </c>
      <c r="O231" s="78">
        <f>INDEX('Population Data by Age'!$B$7:$H$10366,MATCH(CONCATENATE('Tabular Pop Data by Age'!$C231,'Tabular Pop Data by Age'!O$7),'Population Data by Age'!$B$7:$B$10366,0),MATCH('Tabular Pop Data by Age'!$C$6,'Population Data by Age'!$B$6:$H$6,0))</f>
        <v>100440100</v>
      </c>
      <c r="P231" s="78">
        <f>INDEX('Population Data by Age'!$B$7:$H$10366,MATCH(CONCATENATE('Tabular Pop Data by Age'!$C231,'Tabular Pop Data by Age'!P$7),'Population Data by Age'!$B$7:$B$10366,0),MATCH('Tabular Pop Data by Age'!$C$6,'Population Data by Age'!$B$6:$H$6,0))</f>
        <v>112267500</v>
      </c>
      <c r="Q231" s="78">
        <f>INDEX('Population Data by Age'!$B$7:$H$10366,MATCH(CONCATENATE('Tabular Pop Data by Age'!$C231,'Tabular Pop Data by Age'!Q$7),'Population Data by Age'!$B$7:$B$10366,0),MATCH('Tabular Pop Data by Age'!$C$6,'Population Data by Age'!$B$6:$H$6,0))</f>
        <v>116332900</v>
      </c>
      <c r="R231" s="78">
        <f>INDEX('Population Data by Age'!$B$7:$H$10366,MATCH(CONCATENATE('Tabular Pop Data by Age'!$C231,'Tabular Pop Data by Age'!R$7),'Population Data by Age'!$B$7:$B$10366,0),MATCH('Tabular Pop Data by Age'!$C$6,'Population Data by Age'!$B$6:$H$6,0))</f>
        <v>96892000</v>
      </c>
      <c r="S231" s="78">
        <f>INDEX('Population Data by Age'!$B$7:$H$10366,MATCH(CONCATENATE('Tabular Pop Data by Age'!$C231,'Tabular Pop Data by Age'!S$7),'Population Data by Age'!$B$7:$B$10366,0),MATCH('Tabular Pop Data by Age'!$C$6,'Population Data by Age'!$B$6:$H$6,0))</f>
        <v>98848200</v>
      </c>
      <c r="T231" s="78">
        <f>INDEX('Population Data by Age'!$B$7:$H$10366,MATCH(CONCATENATE('Tabular Pop Data by Age'!$C231,'Tabular Pop Data by Age'!T$7),'Population Data by Age'!$B$7:$B$10366,0),MATCH('Tabular Pop Data by Age'!$C$6,'Population Data by Age'!$B$6:$H$6,0))</f>
        <v>90901200</v>
      </c>
      <c r="U231" s="78">
        <f>INDEX('Population Data by Age'!$B$7:$H$10366,MATCH(CONCATENATE('Tabular Pop Data by Age'!$C231,'Tabular Pop Data by Age'!U$7),'Population Data by Age'!$B$7:$B$10366,0),MATCH('Tabular Pop Data by Age'!$C$6,'Population Data by Age'!$B$6:$H$6,0))</f>
        <v>91767000</v>
      </c>
      <c r="V231" s="78">
        <f>INDEX('Population Data by Age'!$B$7:$H$10366,MATCH(CONCATENATE('Tabular Pop Data by Age'!$C231,'Tabular Pop Data by Age'!V$7),'Population Data by Age'!$B$7:$B$10366,0),MATCH('Tabular Pop Data by Age'!$C$6,'Population Data by Age'!$B$6:$H$6,0))</f>
        <v>98217100</v>
      </c>
      <c r="W231" s="78">
        <f>INDEX('Population Data by Age'!$B$7:$H$10366,MATCH(CONCATENATE('Tabular Pop Data by Age'!$C231,'Tabular Pop Data by Age'!W$7),'Population Data by Age'!$B$7:$B$10366,0),MATCH('Tabular Pop Data by Age'!$C$6,'Population Data by Age'!$B$6:$H$6,0))</f>
        <v>98638400</v>
      </c>
      <c r="X231" s="78">
        <f>INDEX('Population Data by Age'!$B$7:$H$10366,MATCH(CONCATENATE('Tabular Pop Data by Age'!$C231,'Tabular Pop Data by Age'!X$7),'Population Data by Age'!$B$7:$B$10366,0),MATCH('Tabular Pop Data by Age'!$C$6,'Population Data by Age'!$B$6:$H$6,0))</f>
        <v>96993400</v>
      </c>
      <c r="Y231" s="78">
        <f>INDEX('Population Data by Age'!$B$7:$H$10366,MATCH(CONCATENATE('Tabular Pop Data by Age'!$C231,'Tabular Pop Data by Age'!Y$7),'Population Data by Age'!$B$7:$B$10366,0),MATCH('Tabular Pop Data by Age'!$C$6,'Population Data by Age'!$B$6:$H$6,0))</f>
        <v>95520300</v>
      </c>
      <c r="Z231" s="78">
        <f>INDEX('Population Data by Age'!$B$7:$H$10366,MATCH(CONCATENATE('Tabular Pop Data by Age'!$C231,'Tabular Pop Data by Age'!Z$7),'Population Data by Age'!$B$7:$B$10366,0),MATCH('Tabular Pop Data by Age'!$C$6,'Population Data by Age'!$B$6:$H$6,0))</f>
        <v>82458700</v>
      </c>
      <c r="AA231" s="78">
        <f>INDEX('Population Data by Age'!$B$7:$H$10366,MATCH(CONCATENATE('Tabular Pop Data by Age'!$C231,'Tabular Pop Data by Age'!AA$7),'Population Data by Age'!$B$7:$B$10366,0),MATCH('Tabular Pop Data by Age'!$C$6,'Population Data by Age'!$B$6:$H$6,0))</f>
        <v>80129300</v>
      </c>
      <c r="AB231" s="78">
        <f>INDEX('Population Data by Age'!$B$7:$H$10366,MATCH(CONCATENATE('Tabular Pop Data by Age'!$C231,'Tabular Pop Data by Age'!AB$7),'Population Data by Age'!$B$7:$B$10366,0),MATCH('Tabular Pop Data by Age'!$C$6,'Population Data by Age'!$B$6:$H$6,0))</f>
        <v>68105300</v>
      </c>
      <c r="AC231" s="78">
        <f>INDEX('Population Data by Age'!$B$7:$H$10366,MATCH(CONCATENATE('Tabular Pop Data by Age'!$C231,'Tabular Pop Data by Age'!AC$7),'Population Data by Age'!$B$7:$B$10366,0),MATCH('Tabular Pop Data by Age'!$C$6,'Population Data by Age'!$B$6:$H$6,0))</f>
        <v>63980800</v>
      </c>
      <c r="AD231" s="78">
        <f>INDEX('Population Data by Age'!$B$7:$H$10366,MATCH(CONCATENATE('Tabular Pop Data by Age'!$C231,'Tabular Pop Data by Age'!AD$7),'Population Data by Age'!$B$7:$B$10366,0),MATCH('Tabular Pop Data by Age'!$C$6,'Population Data by Age'!$B$6:$H$6,0))</f>
        <v>61775200</v>
      </c>
      <c r="AE231" s="78">
        <f>INDEX('Population Data by Age'!$B$7:$H$10366,MATCH(CONCATENATE('Tabular Pop Data by Age'!$C231,'Tabular Pop Data by Age'!AE$7),'Population Data by Age'!$B$7:$B$10366,0),MATCH('Tabular Pop Data by Age'!$C$6,'Population Data by Age'!$B$6:$H$6,0))</f>
        <v>55785900</v>
      </c>
      <c r="AF231" s="78">
        <f>INDEX('Population Data by Age'!$B$7:$H$10366,MATCH(CONCATENATE('Tabular Pop Data by Age'!$C231,'Tabular Pop Data by Age'!AF$7),'Population Data by Age'!$B$7:$B$10366,0),MATCH('Tabular Pop Data by Age'!$C$6,'Population Data by Age'!$B$6:$H$6,0))</f>
        <v>40630800</v>
      </c>
      <c r="AG231" s="78">
        <f>INDEX('Population Data by Age'!$B$7:$H$10366,MATCH(CONCATENATE('Tabular Pop Data by Age'!$C231,'Tabular Pop Data by Age'!AG$7),'Population Data by Age'!$B$7:$B$10366,0),MATCH('Tabular Pop Data by Age'!$C$6,'Population Data by Age'!$B$6:$H$6,0))</f>
        <v>34315500</v>
      </c>
      <c r="AH231" s="78">
        <f>INDEX('Population Data by Age'!$B$7:$H$10366,MATCH(CONCATENATE('Tabular Pop Data by Age'!$C231,'Tabular Pop Data by Age'!AH$7),'Population Data by Age'!$B$7:$B$10366,0),MATCH('Tabular Pop Data by Age'!$C$6,'Population Data by Age'!$B$6:$H$6,0))</f>
        <v>26106400</v>
      </c>
      <c r="AI231" s="78">
        <f>INDEX('Population Data by Age'!$B$7:$H$10366,MATCH(CONCATENATE('Tabular Pop Data by Age'!$C231,'Tabular Pop Data by Age'!AI$7),'Population Data by Age'!$B$7:$B$10366,0),MATCH('Tabular Pop Data by Age'!$C$6,'Population Data by Age'!$B$6:$H$6,0))</f>
        <v>20307200</v>
      </c>
      <c r="AJ231" s="78">
        <f>INDEX('Population Data by Age'!$B$7:$H$10366,MATCH(CONCATENATE('Tabular Pop Data by Age'!$C231,'Tabular Pop Data by Age'!AJ$7),'Population Data by Age'!$B$7:$B$10366,0),MATCH('Tabular Pop Data by Age'!$C$6,'Population Data by Age'!$B$6:$H$6,0))</f>
        <v>32131500</v>
      </c>
      <c r="AK231" s="78">
        <f>INDEX('Population Data by Age'!$B$7:$H$10366,MATCH(CONCATENATE('Tabular Pop Data by Age'!$C231,'Tabular Pop Data by Age'!AK$7),'Population Data by Age'!$B$7:$B$10366,0),MATCH('Tabular Pop Data by Age'!$C$6,'Population Data by Age'!$B$6:$H$6,0))</f>
        <v>19498900</v>
      </c>
      <c r="AL231" s="78">
        <f>INDEX('Population Data by Age'!$B$7:$H$10366,MATCH(CONCATENATE('Tabular Pop Data by Age'!$C231,'Tabular Pop Data by Age'!AL$7),'Population Data by Age'!$B$7:$B$10366,0),MATCH('Tabular Pop Data by Age'!$C$6,'Population Data by Age'!$B$6:$H$6,0))</f>
        <v>1335858000</v>
      </c>
      <c r="AM231" s="78">
        <f>INDEX('Population Data by Age'!$B$7:$H$10366,MATCH(CONCATENATE('Tabular Pop Data by Age'!$C231,'Tabular Pop Data by Age'!AM$7),'Population Data by Age'!$B$7:$B$10366,0),MATCH('Tabular Pop Data by Age'!$C$6,'Population Data by Age'!$B$6:$H$6,0))</f>
        <v>1347951000</v>
      </c>
      <c r="AN231" s="78">
        <f>INDEX('Population Data by Age'!$B$7:$H$10366,MATCH(CONCATENATE('Tabular Pop Data by Age'!$C231,'Tabular Pop Data by Age'!AN$7),'Population Data by Age'!$B$7:$B$10366,0),MATCH('Tabular Pop Data by Age'!$C$6,'Population Data by Age'!$B$6:$H$6,0))</f>
        <v>2685886000</v>
      </c>
      <c r="AO231" s="78">
        <f>INDEX('Population Data by Age'!$B$7:$H$10366,MATCH(CONCATENATE('Tabular Pop Data by Age'!$C231,'Tabular Pop Data by Age'!AO$7),'Population Data by Age'!$B$7:$B$10366,0),MATCH('Tabular Pop Data by Age'!$C$6,'Population Data by Age'!$B$6:$H$6,0))</f>
        <v>0.54798356423664529</v>
      </c>
      <c r="AP231" s="79">
        <f t="shared" si="68"/>
        <v>184094700</v>
      </c>
      <c r="AQ231" s="79">
        <f t="shared" si="69"/>
        <v>186833800</v>
      </c>
      <c r="AR231" s="79">
        <f t="shared" si="70"/>
        <v>180251100</v>
      </c>
      <c r="AS231" s="79">
        <f t="shared" si="71"/>
        <v>175445500</v>
      </c>
      <c r="AT231" s="79">
        <f t="shared" si="72"/>
        <v>180421100</v>
      </c>
      <c r="AU231" s="79">
        <f t="shared" si="73"/>
        <v>195149000</v>
      </c>
      <c r="AV231" s="79">
        <f t="shared" si="74"/>
        <v>228600400</v>
      </c>
      <c r="AW231" s="79">
        <f t="shared" si="75"/>
        <v>195740200</v>
      </c>
      <c r="AX231" s="79">
        <f t="shared" si="76"/>
        <v>182668200</v>
      </c>
      <c r="AY231" s="79">
        <f t="shared" si="77"/>
        <v>196855500</v>
      </c>
      <c r="AZ231" s="79">
        <f t="shared" si="78"/>
        <v>192513700</v>
      </c>
      <c r="BA231" s="79">
        <f t="shared" si="79"/>
        <v>162588000</v>
      </c>
      <c r="BB231" s="79">
        <f t="shared" si="80"/>
        <v>132086100</v>
      </c>
      <c r="BC231" s="79">
        <f t="shared" si="81"/>
        <v>117561100</v>
      </c>
      <c r="BD231" s="79">
        <f t="shared" si="82"/>
        <v>74946300</v>
      </c>
      <c r="BE231" s="79">
        <f t="shared" si="83"/>
        <v>46413600</v>
      </c>
      <c r="BF231" s="79">
        <f t="shared" si="84"/>
        <v>51630400</v>
      </c>
    </row>
    <row r="232" spans="1:58" x14ac:dyDescent="0.25">
      <c r="A232" s="138" t="s">
        <v>1182</v>
      </c>
      <c r="B232" t="s">
        <v>644</v>
      </c>
      <c r="C232" t="s">
        <v>645</v>
      </c>
      <c r="D232" s="78">
        <f>INDEX('Population Data by Age'!$B$7:$H$10366,MATCH(CONCATENATE('Tabular Pop Data by Age'!$C232,'Tabular Pop Data by Age'!D$7),'Population Data by Age'!$B$7:$B$10366,0),MATCH('Tabular Pop Data by Age'!$C$6,'Population Data by Age'!$B$6:$H$6,0))</f>
        <v>87240800</v>
      </c>
      <c r="E232" s="78">
        <f>INDEX('Population Data by Age'!$B$7:$H$10366,MATCH(CONCATENATE('Tabular Pop Data by Age'!$C232,'Tabular Pop Data by Age'!E$7),'Population Data by Age'!$B$7:$B$10366,0),MATCH('Tabular Pop Data by Age'!$C$6,'Population Data by Age'!$B$6:$H$6,0))</f>
        <v>89725100</v>
      </c>
      <c r="F232" s="78">
        <f>INDEX('Population Data by Age'!$B$7:$H$10366,MATCH(CONCATENATE('Tabular Pop Data by Age'!$C232,'Tabular Pop Data by Age'!F$7),'Population Data by Age'!$B$7:$B$10366,0),MATCH('Tabular Pop Data by Age'!$C$6,'Population Data by Age'!$B$6:$H$6,0))</f>
        <v>78594800</v>
      </c>
      <c r="G232" s="78">
        <f>INDEX('Population Data by Age'!$B$7:$H$10366,MATCH(CONCATENATE('Tabular Pop Data by Age'!$C232,'Tabular Pop Data by Age'!G$7),'Population Data by Age'!$B$7:$B$10366,0),MATCH('Tabular Pop Data by Age'!$C$6,'Population Data by Age'!$B$6:$H$6,0))</f>
        <v>80571100</v>
      </c>
      <c r="H232" s="78">
        <f>INDEX('Population Data by Age'!$B$7:$H$10366,MATCH(CONCATENATE('Tabular Pop Data by Age'!$C232,'Tabular Pop Data by Age'!H$7),'Population Data by Age'!$B$7:$B$10366,0),MATCH('Tabular Pop Data by Age'!$C$6,'Population Data by Age'!$B$6:$H$6,0))</f>
        <v>69782600</v>
      </c>
      <c r="I232" s="78">
        <f>INDEX('Population Data by Age'!$B$7:$H$10366,MATCH(CONCATENATE('Tabular Pop Data by Age'!$C232,'Tabular Pop Data by Age'!I$7),'Population Data by Age'!$B$7:$B$10366,0),MATCH('Tabular Pop Data by Age'!$C$6,'Population Data by Age'!$B$6:$H$6,0))</f>
        <v>71290800</v>
      </c>
      <c r="J232" s="78">
        <f>INDEX('Population Data by Age'!$B$7:$H$10366,MATCH(CONCATENATE('Tabular Pop Data by Age'!$C232,'Tabular Pop Data by Age'!J$7),'Population Data by Age'!$B$7:$B$10366,0),MATCH('Tabular Pop Data by Age'!$C$6,'Population Data by Age'!$B$6:$H$6,0))</f>
        <v>60545100</v>
      </c>
      <c r="K232" s="78">
        <f>INDEX('Population Data by Age'!$B$7:$H$10366,MATCH(CONCATENATE('Tabular Pop Data by Age'!$C232,'Tabular Pop Data by Age'!K$7),'Population Data by Age'!$B$7:$B$10366,0),MATCH('Tabular Pop Data by Age'!$C$6,'Population Data by Age'!$B$6:$H$6,0))</f>
        <v>61547300</v>
      </c>
      <c r="L232" s="78">
        <f>INDEX('Population Data by Age'!$B$7:$H$10366,MATCH(CONCATENATE('Tabular Pop Data by Age'!$C232,'Tabular Pop Data by Age'!L$7),'Population Data by Age'!$B$7:$B$10366,0),MATCH('Tabular Pop Data by Age'!$C$6,'Population Data by Age'!$B$6:$H$6,0))</f>
        <v>51828300</v>
      </c>
      <c r="M232" s="78">
        <f>INDEX('Population Data by Age'!$B$7:$H$10366,MATCH(CONCATENATE('Tabular Pop Data by Age'!$C232,'Tabular Pop Data by Age'!M$7),'Population Data by Age'!$B$7:$B$10366,0),MATCH('Tabular Pop Data by Age'!$C$6,'Population Data by Age'!$B$6:$H$6,0))</f>
        <v>52317700</v>
      </c>
      <c r="N232" s="78">
        <f>INDEX('Population Data by Age'!$B$7:$H$10366,MATCH(CONCATENATE('Tabular Pop Data by Age'!$C232,'Tabular Pop Data by Age'!N$7),'Population Data by Age'!$B$7:$B$10366,0),MATCH('Tabular Pop Data by Age'!$C$6,'Population Data by Age'!$B$6:$H$6,0))</f>
        <v>44120700</v>
      </c>
      <c r="O232" s="78">
        <f>INDEX('Population Data by Age'!$B$7:$H$10366,MATCH(CONCATENATE('Tabular Pop Data by Age'!$C232,'Tabular Pop Data by Age'!O$7),'Population Data by Age'!$B$7:$B$10366,0),MATCH('Tabular Pop Data by Age'!$C$6,'Population Data by Age'!$B$6:$H$6,0))</f>
        <v>44212300</v>
      </c>
      <c r="P232" s="78">
        <f>INDEX('Population Data by Age'!$B$7:$H$10366,MATCH(CONCATENATE('Tabular Pop Data by Age'!$C232,'Tabular Pop Data by Age'!P$7),'Population Data by Age'!$B$7:$B$10366,0),MATCH('Tabular Pop Data by Age'!$C$6,'Population Data by Age'!$B$6:$H$6,0))</f>
        <v>37717200</v>
      </c>
      <c r="Q232" s="78">
        <f>INDEX('Population Data by Age'!$B$7:$H$10366,MATCH(CONCATENATE('Tabular Pop Data by Age'!$C232,'Tabular Pop Data by Age'!Q$7),'Population Data by Age'!$B$7:$B$10366,0),MATCH('Tabular Pop Data by Age'!$C$6,'Population Data by Age'!$B$6:$H$6,0))</f>
        <v>37436900</v>
      </c>
      <c r="R232" s="78">
        <f>INDEX('Population Data by Age'!$B$7:$H$10366,MATCH(CONCATENATE('Tabular Pop Data by Age'!$C232,'Tabular Pop Data by Age'!R$7),'Population Data by Age'!$B$7:$B$10366,0),MATCH('Tabular Pop Data by Age'!$C$6,'Population Data by Age'!$B$6:$H$6,0))</f>
        <v>31897500</v>
      </c>
      <c r="S232" s="78">
        <f>INDEX('Population Data by Age'!$B$7:$H$10366,MATCH(CONCATENATE('Tabular Pop Data by Age'!$C232,'Tabular Pop Data by Age'!S$7),'Population Data by Age'!$B$7:$B$10366,0),MATCH('Tabular Pop Data by Age'!$C$6,'Population Data by Age'!$B$6:$H$6,0))</f>
        <v>31272300</v>
      </c>
      <c r="T232" s="78">
        <f>INDEX('Population Data by Age'!$B$7:$H$10366,MATCH(CONCATENATE('Tabular Pop Data by Age'!$C232,'Tabular Pop Data by Age'!T$7),'Population Data by Age'!$B$7:$B$10366,0),MATCH('Tabular Pop Data by Age'!$C$6,'Population Data by Age'!$B$6:$H$6,0))</f>
        <v>25981900</v>
      </c>
      <c r="U232" s="78">
        <f>INDEX('Population Data by Age'!$B$7:$H$10366,MATCH(CONCATENATE('Tabular Pop Data by Age'!$C232,'Tabular Pop Data by Age'!U$7),'Population Data by Age'!$B$7:$B$10366,0),MATCH('Tabular Pop Data by Age'!$C$6,'Population Data by Age'!$B$6:$H$6,0))</f>
        <v>25364500</v>
      </c>
      <c r="V232" s="78">
        <f>INDEX('Population Data by Age'!$B$7:$H$10366,MATCH(CONCATENATE('Tabular Pop Data by Age'!$C232,'Tabular Pop Data by Age'!V$7),'Population Data by Age'!$B$7:$B$10366,0),MATCH('Tabular Pop Data by Age'!$C$6,'Population Data by Age'!$B$6:$H$6,0))</f>
        <v>21036400</v>
      </c>
      <c r="W232" s="78">
        <f>INDEX('Population Data by Age'!$B$7:$H$10366,MATCH(CONCATENATE('Tabular Pop Data by Age'!$C232,'Tabular Pop Data by Age'!W$7),'Population Data by Age'!$B$7:$B$10366,0),MATCH('Tabular Pop Data by Age'!$C$6,'Population Data by Age'!$B$6:$H$6,0))</f>
        <v>20366700</v>
      </c>
      <c r="X232" s="78">
        <f>INDEX('Population Data by Age'!$B$7:$H$10366,MATCH(CONCATENATE('Tabular Pop Data by Age'!$C232,'Tabular Pop Data by Age'!X$7),'Population Data by Age'!$B$7:$B$10366,0),MATCH('Tabular Pop Data by Age'!$C$6,'Population Data by Age'!$B$6:$H$6,0))</f>
        <v>16867000</v>
      </c>
      <c r="Y232" s="78">
        <f>INDEX('Population Data by Age'!$B$7:$H$10366,MATCH(CONCATENATE('Tabular Pop Data by Age'!$C232,'Tabular Pop Data by Age'!Y$7),'Population Data by Age'!$B$7:$B$10366,0),MATCH('Tabular Pop Data by Age'!$C$6,'Population Data by Age'!$B$6:$H$6,0))</f>
        <v>15906000</v>
      </c>
      <c r="Z232" s="78">
        <f>INDEX('Population Data by Age'!$B$7:$H$10366,MATCH(CONCATENATE('Tabular Pop Data by Age'!$C232,'Tabular Pop Data by Age'!Z$7),'Population Data by Age'!$B$7:$B$10366,0),MATCH('Tabular Pop Data by Age'!$C$6,'Population Data by Age'!$B$6:$H$6,0))</f>
        <v>13578000</v>
      </c>
      <c r="AA232" s="78">
        <f>INDEX('Population Data by Age'!$B$7:$H$10366,MATCH(CONCATENATE('Tabular Pop Data by Age'!$C232,'Tabular Pop Data by Age'!AA$7),'Population Data by Age'!$B$7:$B$10366,0),MATCH('Tabular Pop Data by Age'!$C$6,'Population Data by Age'!$B$6:$H$6,0))</f>
        <v>12445500</v>
      </c>
      <c r="AB232" s="78">
        <f>INDEX('Population Data by Age'!$B$7:$H$10366,MATCH(CONCATENATE('Tabular Pop Data by Age'!$C232,'Tabular Pop Data by Age'!AB$7),'Population Data by Age'!$B$7:$B$10366,0),MATCH('Tabular Pop Data by Age'!$C$6,'Population Data by Age'!$B$6:$H$6,0))</f>
        <v>10692000</v>
      </c>
      <c r="AC232" s="78">
        <f>INDEX('Population Data by Age'!$B$7:$H$10366,MATCH(CONCATENATE('Tabular Pop Data by Age'!$C232,'Tabular Pop Data by Age'!AC$7),'Population Data by Age'!$B$7:$B$10366,0),MATCH('Tabular Pop Data by Age'!$C$6,'Population Data by Age'!$B$6:$H$6,0))</f>
        <v>9387500</v>
      </c>
      <c r="AD232" s="78">
        <f>INDEX('Population Data by Age'!$B$7:$H$10366,MATCH(CONCATENATE('Tabular Pop Data by Age'!$C232,'Tabular Pop Data by Age'!AD$7),'Population Data by Age'!$B$7:$B$10366,0),MATCH('Tabular Pop Data by Age'!$C$6,'Population Data by Age'!$B$6:$H$6,0))</f>
        <v>7970200</v>
      </c>
      <c r="AE232" s="78">
        <f>INDEX('Population Data by Age'!$B$7:$H$10366,MATCH(CONCATENATE('Tabular Pop Data by Age'!$C232,'Tabular Pop Data by Age'!AE$7),'Population Data by Age'!$B$7:$B$10366,0),MATCH('Tabular Pop Data by Age'!$C$6,'Population Data by Age'!$B$6:$H$6,0))</f>
        <v>6721800</v>
      </c>
      <c r="AF232" s="78">
        <f>INDEX('Population Data by Age'!$B$7:$H$10366,MATCH(CONCATENATE('Tabular Pop Data by Age'!$C232,'Tabular Pop Data by Age'!AF$7),'Population Data by Age'!$B$7:$B$10366,0),MATCH('Tabular Pop Data by Age'!$C$6,'Population Data by Age'!$B$6:$H$6,0))</f>
        <v>5520300</v>
      </c>
      <c r="AG232" s="78">
        <f>INDEX('Population Data by Age'!$B$7:$H$10366,MATCH(CONCATENATE('Tabular Pop Data by Age'!$C232,'Tabular Pop Data by Age'!AG$7),'Population Data by Age'!$B$7:$B$10366,0),MATCH('Tabular Pop Data by Age'!$C$6,'Population Data by Age'!$B$6:$H$6,0))</f>
        <v>4394600</v>
      </c>
      <c r="AH232" s="78">
        <f>INDEX('Population Data by Age'!$B$7:$H$10366,MATCH(CONCATENATE('Tabular Pop Data by Age'!$C232,'Tabular Pop Data by Age'!AH$7),'Population Data by Age'!$B$7:$B$10366,0),MATCH('Tabular Pop Data by Age'!$C$6,'Population Data by Age'!$B$6:$H$6,0))</f>
        <v>3361100</v>
      </c>
      <c r="AI232" s="78">
        <f>INDEX('Population Data by Age'!$B$7:$H$10366,MATCH(CONCATENATE('Tabular Pop Data by Age'!$C232,'Tabular Pop Data by Age'!AI$7),'Population Data by Age'!$B$7:$B$10366,0),MATCH('Tabular Pop Data by Age'!$C$6,'Population Data by Age'!$B$6:$H$6,0))</f>
        <v>2495400</v>
      </c>
      <c r="AJ232" s="78">
        <f>INDEX('Population Data by Age'!$B$7:$H$10366,MATCH(CONCATENATE('Tabular Pop Data by Age'!$C232,'Tabular Pop Data by Age'!AJ$7),'Population Data by Age'!$B$7:$B$10366,0),MATCH('Tabular Pop Data by Age'!$C$6,'Population Data by Age'!$B$6:$H$6,0))</f>
        <v>2337400</v>
      </c>
      <c r="AK232" s="78">
        <f>INDEX('Population Data by Age'!$B$7:$H$10366,MATCH(CONCATENATE('Tabular Pop Data by Age'!$C232,'Tabular Pop Data by Age'!AK$7),'Population Data by Age'!$B$7:$B$10366,0),MATCH('Tabular Pop Data by Age'!$C$6,'Population Data by Age'!$B$6:$H$6,0))</f>
        <v>1515400</v>
      </c>
      <c r="AL232" s="78">
        <f>INDEX('Population Data by Age'!$B$7:$H$10366,MATCH(CONCATENATE('Tabular Pop Data by Age'!$C232,'Tabular Pop Data by Age'!AL$7),'Population Data by Age'!$B$7:$B$10366,0),MATCH('Tabular Pop Data by Age'!$C$6,'Population Data by Age'!$B$6:$H$6,0))</f>
        <v>569080000</v>
      </c>
      <c r="AM232" s="78">
        <f>INDEX('Population Data by Age'!$B$7:$H$10366,MATCH(CONCATENATE('Tabular Pop Data by Age'!$C232,'Tabular Pop Data by Age'!AM$7),'Population Data by Age'!$B$7:$B$10366,0),MATCH('Tabular Pop Data by Age'!$C$6,'Population Data by Age'!$B$6:$H$6,0))</f>
        <v>566974000</v>
      </c>
      <c r="AN232" s="78">
        <f>INDEX('Population Data by Age'!$B$7:$H$10366,MATCH(CONCATENATE('Tabular Pop Data by Age'!$C232,'Tabular Pop Data by Age'!AN$7),'Population Data by Age'!$B$7:$B$10366,0),MATCH('Tabular Pop Data by Age'!$C$6,'Population Data by Age'!$B$6:$H$6,0))</f>
        <v>1136052000</v>
      </c>
      <c r="AO232" s="78">
        <f>INDEX('Population Data by Age'!$B$7:$H$10366,MATCH(CONCATENATE('Tabular Pop Data by Age'!$C232,'Tabular Pop Data by Age'!AO$7),'Population Data by Age'!$B$7:$B$10366,0),MATCH('Tabular Pop Data by Age'!$C$6,'Population Data by Age'!$B$6:$H$6,0))</f>
        <v>2.6280985762809905</v>
      </c>
      <c r="AP232" s="79">
        <f t="shared" si="68"/>
        <v>176965900</v>
      </c>
      <c r="AQ232" s="79">
        <f t="shared" si="69"/>
        <v>159165900</v>
      </c>
      <c r="AR232" s="79">
        <f t="shared" si="70"/>
        <v>141073400</v>
      </c>
      <c r="AS232" s="79">
        <f t="shared" si="71"/>
        <v>122092400</v>
      </c>
      <c r="AT232" s="79">
        <f t="shared" si="72"/>
        <v>104146000</v>
      </c>
      <c r="AU232" s="79">
        <f t="shared" si="73"/>
        <v>88333000</v>
      </c>
      <c r="AV232" s="79">
        <f t="shared" si="74"/>
        <v>75154100</v>
      </c>
      <c r="AW232" s="79">
        <f t="shared" si="75"/>
        <v>63169800</v>
      </c>
      <c r="AX232" s="79">
        <f t="shared" si="76"/>
        <v>51346400</v>
      </c>
      <c r="AY232" s="79">
        <f t="shared" si="77"/>
        <v>41403100</v>
      </c>
      <c r="AZ232" s="79">
        <f t="shared" si="78"/>
        <v>32773000</v>
      </c>
      <c r="BA232" s="79">
        <f t="shared" si="79"/>
        <v>26023500</v>
      </c>
      <c r="BB232" s="79">
        <f t="shared" si="80"/>
        <v>20079500</v>
      </c>
      <c r="BC232" s="79">
        <f t="shared" si="81"/>
        <v>14692000</v>
      </c>
      <c r="BD232" s="79">
        <f t="shared" si="82"/>
        <v>9914900</v>
      </c>
      <c r="BE232" s="79">
        <f t="shared" si="83"/>
        <v>5856500</v>
      </c>
      <c r="BF232" s="79">
        <f t="shared" si="84"/>
        <v>3852800</v>
      </c>
    </row>
    <row r="233" spans="1:58" x14ac:dyDescent="0.25">
      <c r="A233" s="138" t="s">
        <v>1182</v>
      </c>
      <c r="B233" t="s">
        <v>646</v>
      </c>
      <c r="C233" t="s">
        <v>647</v>
      </c>
      <c r="D233" s="78">
        <f>INDEX('Population Data by Age'!$B$7:$H$10366,MATCH(CONCATENATE('Tabular Pop Data by Age'!$C233,'Tabular Pop Data by Age'!D$7),'Population Data by Age'!$B$7:$B$10366,0),MATCH('Tabular Pop Data by Age'!$C$6,'Population Data by Age'!$B$6:$H$6,0))</f>
        <v>87237000</v>
      </c>
      <c r="E233" s="78">
        <f>INDEX('Population Data by Age'!$B$7:$H$10366,MATCH(CONCATENATE('Tabular Pop Data by Age'!$C233,'Tabular Pop Data by Age'!E$7),'Population Data by Age'!$B$7:$B$10366,0),MATCH('Tabular Pop Data by Age'!$C$6,'Population Data by Age'!$B$6:$H$6,0))</f>
        <v>89721000</v>
      </c>
      <c r="F233" s="78">
        <f>INDEX('Population Data by Age'!$B$7:$H$10366,MATCH(CONCATENATE('Tabular Pop Data by Age'!$C233,'Tabular Pop Data by Age'!F$7),'Population Data by Age'!$B$7:$B$10366,0),MATCH('Tabular Pop Data by Age'!$C$6,'Population Data by Age'!$B$6:$H$6,0))</f>
        <v>78591000</v>
      </c>
      <c r="G233" s="78">
        <f>INDEX('Population Data by Age'!$B$7:$H$10366,MATCH(CONCATENATE('Tabular Pop Data by Age'!$C233,'Tabular Pop Data by Age'!G$7),'Population Data by Age'!$B$7:$B$10366,0),MATCH('Tabular Pop Data by Age'!$C$6,'Population Data by Age'!$B$6:$H$6,0))</f>
        <v>80567000</v>
      </c>
      <c r="H233" s="78">
        <f>INDEX('Population Data by Age'!$B$7:$H$10366,MATCH(CONCATENATE('Tabular Pop Data by Age'!$C233,'Tabular Pop Data by Age'!H$7),'Population Data by Age'!$B$7:$B$10366,0),MATCH('Tabular Pop Data by Age'!$C$6,'Population Data by Age'!$B$6:$H$6,0))</f>
        <v>69779000</v>
      </c>
      <c r="I233" s="78">
        <f>INDEX('Population Data by Age'!$B$7:$H$10366,MATCH(CONCATENATE('Tabular Pop Data by Age'!$C233,'Tabular Pop Data by Age'!I$7),'Population Data by Age'!$B$7:$B$10366,0),MATCH('Tabular Pop Data by Age'!$C$6,'Population Data by Age'!$B$6:$H$6,0))</f>
        <v>71287000</v>
      </c>
      <c r="J233" s="78">
        <f>INDEX('Population Data by Age'!$B$7:$H$10366,MATCH(CONCATENATE('Tabular Pop Data by Age'!$C233,'Tabular Pop Data by Age'!J$7),'Population Data by Age'!$B$7:$B$10366,0),MATCH('Tabular Pop Data by Age'!$C$6,'Population Data by Age'!$B$6:$H$6,0))</f>
        <v>60542000</v>
      </c>
      <c r="K233" s="78">
        <f>INDEX('Population Data by Age'!$B$7:$H$10366,MATCH(CONCATENATE('Tabular Pop Data by Age'!$C233,'Tabular Pop Data by Age'!K$7),'Population Data by Age'!$B$7:$B$10366,0),MATCH('Tabular Pop Data by Age'!$C$6,'Population Data by Age'!$B$6:$H$6,0))</f>
        <v>61544000</v>
      </c>
      <c r="L233" s="78">
        <f>INDEX('Population Data by Age'!$B$7:$H$10366,MATCH(CONCATENATE('Tabular Pop Data by Age'!$C233,'Tabular Pop Data by Age'!L$7),'Population Data by Age'!$B$7:$B$10366,0),MATCH('Tabular Pop Data by Age'!$C$6,'Population Data by Age'!$B$6:$H$6,0))</f>
        <v>51825200</v>
      </c>
      <c r="M233" s="78">
        <f>INDEX('Population Data by Age'!$B$7:$H$10366,MATCH(CONCATENATE('Tabular Pop Data by Age'!$C233,'Tabular Pop Data by Age'!M$7),'Population Data by Age'!$B$7:$B$10366,0),MATCH('Tabular Pop Data by Age'!$C$6,'Population Data by Age'!$B$6:$H$6,0))</f>
        <v>52314500</v>
      </c>
      <c r="N233" s="78">
        <f>INDEX('Population Data by Age'!$B$7:$H$10366,MATCH(CONCATENATE('Tabular Pop Data by Age'!$C233,'Tabular Pop Data by Age'!N$7),'Population Data by Age'!$B$7:$B$10366,0),MATCH('Tabular Pop Data by Age'!$C$6,'Population Data by Age'!$B$6:$H$6,0))</f>
        <v>44117400</v>
      </c>
      <c r="O233" s="78">
        <f>INDEX('Population Data by Age'!$B$7:$H$10366,MATCH(CONCATENATE('Tabular Pop Data by Age'!$C233,'Tabular Pop Data by Age'!O$7),'Population Data by Age'!$B$7:$B$10366,0),MATCH('Tabular Pop Data by Age'!$C$6,'Population Data by Age'!$B$6:$H$6,0))</f>
        <v>44208600</v>
      </c>
      <c r="P233" s="78">
        <f>INDEX('Population Data by Age'!$B$7:$H$10366,MATCH(CONCATENATE('Tabular Pop Data by Age'!$C233,'Tabular Pop Data by Age'!P$7),'Population Data by Age'!$B$7:$B$10366,0),MATCH('Tabular Pop Data by Age'!$C$6,'Population Data by Age'!$B$6:$H$6,0))</f>
        <v>37714000</v>
      </c>
      <c r="Q233" s="78">
        <f>INDEX('Population Data by Age'!$B$7:$H$10366,MATCH(CONCATENATE('Tabular Pop Data by Age'!$C233,'Tabular Pop Data by Age'!Q$7),'Population Data by Age'!$B$7:$B$10366,0),MATCH('Tabular Pop Data by Age'!$C$6,'Population Data by Age'!$B$6:$H$6,0))</f>
        <v>37433100</v>
      </c>
      <c r="R233" s="78">
        <f>INDEX('Population Data by Age'!$B$7:$H$10366,MATCH(CONCATENATE('Tabular Pop Data by Age'!$C233,'Tabular Pop Data by Age'!R$7),'Population Data by Age'!$B$7:$B$10366,0),MATCH('Tabular Pop Data by Age'!$C$6,'Population Data by Age'!$B$6:$H$6,0))</f>
        <v>31894200</v>
      </c>
      <c r="S233" s="78">
        <f>INDEX('Population Data by Age'!$B$7:$H$10366,MATCH(CONCATENATE('Tabular Pop Data by Age'!$C233,'Tabular Pop Data by Age'!S$7),'Population Data by Age'!$B$7:$B$10366,0),MATCH('Tabular Pop Data by Age'!$C$6,'Population Data by Age'!$B$6:$H$6,0))</f>
        <v>31268300</v>
      </c>
      <c r="T233" s="78">
        <f>INDEX('Population Data by Age'!$B$7:$H$10366,MATCH(CONCATENATE('Tabular Pop Data by Age'!$C233,'Tabular Pop Data by Age'!T$7),'Population Data by Age'!$B$7:$B$10366,0),MATCH('Tabular Pop Data by Age'!$C$6,'Population Data by Age'!$B$6:$H$6,0))</f>
        <v>25978500</v>
      </c>
      <c r="U233" s="78">
        <f>INDEX('Population Data by Age'!$B$7:$H$10366,MATCH(CONCATENATE('Tabular Pop Data by Age'!$C233,'Tabular Pop Data by Age'!U$7),'Population Data by Age'!$B$7:$B$10366,0),MATCH('Tabular Pop Data by Age'!$C$6,'Population Data by Age'!$B$6:$H$6,0))</f>
        <v>25360500</v>
      </c>
      <c r="V233" s="78">
        <f>INDEX('Population Data by Age'!$B$7:$H$10366,MATCH(CONCATENATE('Tabular Pop Data by Age'!$C233,'Tabular Pop Data by Age'!V$7),'Population Data by Age'!$B$7:$B$10366,0),MATCH('Tabular Pop Data by Age'!$C$6,'Population Data by Age'!$B$6:$H$6,0))</f>
        <v>21032900</v>
      </c>
      <c r="W233" s="78">
        <f>INDEX('Population Data by Age'!$B$7:$H$10366,MATCH(CONCATENATE('Tabular Pop Data by Age'!$C233,'Tabular Pop Data by Age'!W$7),'Population Data by Age'!$B$7:$B$10366,0),MATCH('Tabular Pop Data by Age'!$C$6,'Population Data by Age'!$B$6:$H$6,0))</f>
        <v>20362800</v>
      </c>
      <c r="X233" s="78">
        <f>INDEX('Population Data by Age'!$B$7:$H$10366,MATCH(CONCATENATE('Tabular Pop Data by Age'!$C233,'Tabular Pop Data by Age'!X$7),'Population Data by Age'!$B$7:$B$10366,0),MATCH('Tabular Pop Data by Age'!$C$6,'Population Data by Age'!$B$6:$H$6,0))</f>
        <v>16863700</v>
      </c>
      <c r="Y233" s="78">
        <f>INDEX('Population Data by Age'!$B$7:$H$10366,MATCH(CONCATENATE('Tabular Pop Data by Age'!$C233,'Tabular Pop Data by Age'!Y$7),'Population Data by Age'!$B$7:$B$10366,0),MATCH('Tabular Pop Data by Age'!$C$6,'Population Data by Age'!$B$6:$H$6,0))</f>
        <v>15902600</v>
      </c>
      <c r="Z233" s="78">
        <f>INDEX('Population Data by Age'!$B$7:$H$10366,MATCH(CONCATENATE('Tabular Pop Data by Age'!$C233,'Tabular Pop Data by Age'!Z$7),'Population Data by Age'!$B$7:$B$10366,0),MATCH('Tabular Pop Data by Age'!$C$6,'Population Data by Age'!$B$6:$H$6,0))</f>
        <v>13574900</v>
      </c>
      <c r="AA233" s="78">
        <f>INDEX('Population Data by Age'!$B$7:$H$10366,MATCH(CONCATENATE('Tabular Pop Data by Age'!$C233,'Tabular Pop Data by Age'!AA$7),'Population Data by Age'!$B$7:$B$10366,0),MATCH('Tabular Pop Data by Age'!$C$6,'Population Data by Age'!$B$6:$H$6,0))</f>
        <v>12442500</v>
      </c>
      <c r="AB233" s="78">
        <f>INDEX('Population Data by Age'!$B$7:$H$10366,MATCH(CONCATENATE('Tabular Pop Data by Age'!$C233,'Tabular Pop Data by Age'!AB$7),'Population Data by Age'!$B$7:$B$10366,0),MATCH('Tabular Pop Data by Age'!$C$6,'Population Data by Age'!$B$6:$H$6,0))</f>
        <v>10689600</v>
      </c>
      <c r="AC233" s="78">
        <f>INDEX('Population Data by Age'!$B$7:$H$10366,MATCH(CONCATENATE('Tabular Pop Data by Age'!$C233,'Tabular Pop Data by Age'!AC$7),'Population Data by Age'!$B$7:$B$10366,0),MATCH('Tabular Pop Data by Age'!$C$6,'Population Data by Age'!$B$6:$H$6,0))</f>
        <v>9385100</v>
      </c>
      <c r="AD233" s="78">
        <f>INDEX('Population Data by Age'!$B$7:$H$10366,MATCH(CONCATENATE('Tabular Pop Data by Age'!$C233,'Tabular Pop Data by Age'!AD$7),'Population Data by Age'!$B$7:$B$10366,0),MATCH('Tabular Pop Data by Age'!$C$6,'Population Data by Age'!$B$6:$H$6,0))</f>
        <v>7968600</v>
      </c>
      <c r="AE233" s="78">
        <f>INDEX('Population Data by Age'!$B$7:$H$10366,MATCH(CONCATENATE('Tabular Pop Data by Age'!$C233,'Tabular Pop Data by Age'!AE$7),'Population Data by Age'!$B$7:$B$10366,0),MATCH('Tabular Pop Data by Age'!$C$6,'Population Data by Age'!$B$6:$H$6,0))</f>
        <v>6720300</v>
      </c>
      <c r="AF233" s="78">
        <f>INDEX('Population Data by Age'!$B$7:$H$10366,MATCH(CONCATENATE('Tabular Pop Data by Age'!$C233,'Tabular Pop Data by Age'!AF$7),'Population Data by Age'!$B$7:$B$10366,0),MATCH('Tabular Pop Data by Age'!$C$6,'Population Data by Age'!$B$6:$H$6,0))</f>
        <v>5519400</v>
      </c>
      <c r="AG233" s="78">
        <f>INDEX('Population Data by Age'!$B$7:$H$10366,MATCH(CONCATENATE('Tabular Pop Data by Age'!$C233,'Tabular Pop Data by Age'!AG$7),'Population Data by Age'!$B$7:$B$10366,0),MATCH('Tabular Pop Data by Age'!$C$6,'Population Data by Age'!$B$6:$H$6,0))</f>
        <v>4393800</v>
      </c>
      <c r="AH233" s="78">
        <f>INDEX('Population Data by Age'!$B$7:$H$10366,MATCH(CONCATENATE('Tabular Pop Data by Age'!$C233,'Tabular Pop Data by Age'!AH$7),'Population Data by Age'!$B$7:$B$10366,0),MATCH('Tabular Pop Data by Age'!$C$6,'Population Data by Age'!$B$6:$H$6,0))</f>
        <v>3360200</v>
      </c>
      <c r="AI233" s="78">
        <f>INDEX('Population Data by Age'!$B$7:$H$10366,MATCH(CONCATENATE('Tabular Pop Data by Age'!$C233,'Tabular Pop Data by Age'!AI$7),'Population Data by Age'!$B$7:$B$10366,0),MATCH('Tabular Pop Data by Age'!$C$6,'Population Data by Age'!$B$6:$H$6,0))</f>
        <v>2494700</v>
      </c>
      <c r="AJ233" s="78">
        <f>INDEX('Population Data by Age'!$B$7:$H$10366,MATCH(CONCATENATE('Tabular Pop Data by Age'!$C233,'Tabular Pop Data by Age'!AJ$7),'Population Data by Age'!$B$7:$B$10366,0),MATCH('Tabular Pop Data by Age'!$C$6,'Population Data by Age'!$B$6:$H$6,0))</f>
        <v>2336300</v>
      </c>
      <c r="AK233" s="78">
        <f>INDEX('Population Data by Age'!$B$7:$H$10366,MATCH(CONCATENATE('Tabular Pop Data by Age'!$C233,'Tabular Pop Data by Age'!AK$7),'Population Data by Age'!$B$7:$B$10366,0),MATCH('Tabular Pop Data by Age'!$C$6,'Population Data by Age'!$B$6:$H$6,0))</f>
        <v>1514900</v>
      </c>
      <c r="AL233" s="78">
        <f>INDEX('Population Data by Age'!$B$7:$H$10366,MATCH(CONCATENATE('Tabular Pop Data by Age'!$C233,'Tabular Pop Data by Age'!AL$7),'Population Data by Age'!$B$7:$B$10366,0),MATCH('Tabular Pop Data by Age'!$C$6,'Population Data by Age'!$B$6:$H$6,0))</f>
        <v>569032000</v>
      </c>
      <c r="AM233" s="78">
        <f>INDEX('Population Data by Age'!$B$7:$H$10366,MATCH(CONCATENATE('Tabular Pop Data by Age'!$C233,'Tabular Pop Data by Age'!AM$7),'Population Data by Age'!$B$7:$B$10366,0),MATCH('Tabular Pop Data by Age'!$C$6,'Population Data by Age'!$B$6:$H$6,0))</f>
        <v>566924000</v>
      </c>
      <c r="AN233" s="78">
        <f>INDEX('Population Data by Age'!$B$7:$H$10366,MATCH(CONCATENATE('Tabular Pop Data by Age'!$C233,'Tabular Pop Data by Age'!AN$7),'Population Data by Age'!$B$7:$B$10366,0),MATCH('Tabular Pop Data by Age'!$C$6,'Population Data by Age'!$B$6:$H$6,0))</f>
        <v>1135954000</v>
      </c>
      <c r="AO233" s="78">
        <f>INDEX('Population Data by Age'!$B$7:$H$10366,MATCH(CONCATENATE('Tabular Pop Data by Age'!$C233,'Tabular Pop Data by Age'!AO$7),'Population Data by Age'!$B$7:$B$10366,0),MATCH('Tabular Pop Data by Age'!$C$6,'Population Data by Age'!$B$6:$H$6,0))</f>
        <v>2.6282385444269067</v>
      </c>
      <c r="AP233" s="79">
        <f t="shared" si="68"/>
        <v>176958000</v>
      </c>
      <c r="AQ233" s="79">
        <f t="shared" si="69"/>
        <v>159158000</v>
      </c>
      <c r="AR233" s="79">
        <f t="shared" si="70"/>
        <v>141066000</v>
      </c>
      <c r="AS233" s="79">
        <f t="shared" si="71"/>
        <v>122086000</v>
      </c>
      <c r="AT233" s="79">
        <f t="shared" si="72"/>
        <v>104139700</v>
      </c>
      <c r="AU233" s="79">
        <f t="shared" si="73"/>
        <v>88326000</v>
      </c>
      <c r="AV233" s="79">
        <f t="shared" si="74"/>
        <v>75147100</v>
      </c>
      <c r="AW233" s="79">
        <f t="shared" si="75"/>
        <v>63162500</v>
      </c>
      <c r="AX233" s="79">
        <f t="shared" si="76"/>
        <v>51339000</v>
      </c>
      <c r="AY233" s="79">
        <f t="shared" si="77"/>
        <v>41395700</v>
      </c>
      <c r="AZ233" s="79">
        <f t="shared" si="78"/>
        <v>32766300</v>
      </c>
      <c r="BA233" s="79">
        <f t="shared" si="79"/>
        <v>26017400</v>
      </c>
      <c r="BB233" s="79">
        <f t="shared" si="80"/>
        <v>20074700</v>
      </c>
      <c r="BC233" s="79">
        <f t="shared" si="81"/>
        <v>14688900</v>
      </c>
      <c r="BD233" s="79">
        <f t="shared" si="82"/>
        <v>9913200</v>
      </c>
      <c r="BE233" s="79">
        <f t="shared" si="83"/>
        <v>5854900</v>
      </c>
      <c r="BF233" s="79">
        <f t="shared" si="84"/>
        <v>3851200</v>
      </c>
    </row>
    <row r="234" spans="1:58" x14ac:dyDescent="0.25">
      <c r="A234" s="138" t="s">
        <v>1182</v>
      </c>
      <c r="B234" t="s">
        <v>648</v>
      </c>
      <c r="C234" t="s">
        <v>649</v>
      </c>
      <c r="D234" s="78">
        <f>INDEX('Population Data by Age'!$B$7:$H$10366,MATCH(CONCATENATE('Tabular Pop Data by Age'!$C234,'Tabular Pop Data by Age'!D$7),'Population Data by Age'!$B$7:$B$10366,0),MATCH('Tabular Pop Data by Age'!$C$6,'Population Data by Age'!$B$6:$H$6,0))</f>
        <v>87240800</v>
      </c>
      <c r="E234" s="78">
        <f>INDEX('Population Data by Age'!$B$7:$H$10366,MATCH(CONCATENATE('Tabular Pop Data by Age'!$C234,'Tabular Pop Data by Age'!E$7),'Population Data by Age'!$B$7:$B$10366,0),MATCH('Tabular Pop Data by Age'!$C$6,'Population Data by Age'!$B$6:$H$6,0))</f>
        <v>89725100</v>
      </c>
      <c r="F234" s="78">
        <f>INDEX('Population Data by Age'!$B$7:$H$10366,MATCH(CONCATENATE('Tabular Pop Data by Age'!$C234,'Tabular Pop Data by Age'!F$7),'Population Data by Age'!$B$7:$B$10366,0),MATCH('Tabular Pop Data by Age'!$C$6,'Population Data by Age'!$B$6:$H$6,0))</f>
        <v>78594800</v>
      </c>
      <c r="G234" s="78">
        <f>INDEX('Population Data by Age'!$B$7:$H$10366,MATCH(CONCATENATE('Tabular Pop Data by Age'!$C234,'Tabular Pop Data by Age'!G$7),'Population Data by Age'!$B$7:$B$10366,0),MATCH('Tabular Pop Data by Age'!$C$6,'Population Data by Age'!$B$6:$H$6,0))</f>
        <v>80571100</v>
      </c>
      <c r="H234" s="78">
        <f>INDEX('Population Data by Age'!$B$7:$H$10366,MATCH(CONCATENATE('Tabular Pop Data by Age'!$C234,'Tabular Pop Data by Age'!H$7),'Population Data by Age'!$B$7:$B$10366,0),MATCH('Tabular Pop Data by Age'!$C$6,'Population Data by Age'!$B$6:$H$6,0))</f>
        <v>69782600</v>
      </c>
      <c r="I234" s="78">
        <f>INDEX('Population Data by Age'!$B$7:$H$10366,MATCH(CONCATENATE('Tabular Pop Data by Age'!$C234,'Tabular Pop Data by Age'!I$7),'Population Data by Age'!$B$7:$B$10366,0),MATCH('Tabular Pop Data by Age'!$C$6,'Population Data by Age'!$B$6:$H$6,0))</f>
        <v>71290800</v>
      </c>
      <c r="J234" s="78">
        <f>INDEX('Population Data by Age'!$B$7:$H$10366,MATCH(CONCATENATE('Tabular Pop Data by Age'!$C234,'Tabular Pop Data by Age'!J$7),'Population Data by Age'!$B$7:$B$10366,0),MATCH('Tabular Pop Data by Age'!$C$6,'Population Data by Age'!$B$6:$H$6,0))</f>
        <v>60545100</v>
      </c>
      <c r="K234" s="78">
        <f>INDEX('Population Data by Age'!$B$7:$H$10366,MATCH(CONCATENATE('Tabular Pop Data by Age'!$C234,'Tabular Pop Data by Age'!K$7),'Population Data by Age'!$B$7:$B$10366,0),MATCH('Tabular Pop Data by Age'!$C$6,'Population Data by Age'!$B$6:$H$6,0))</f>
        <v>61547300</v>
      </c>
      <c r="L234" s="78">
        <f>INDEX('Population Data by Age'!$B$7:$H$10366,MATCH(CONCATENATE('Tabular Pop Data by Age'!$C234,'Tabular Pop Data by Age'!L$7),'Population Data by Age'!$B$7:$B$10366,0),MATCH('Tabular Pop Data by Age'!$C$6,'Population Data by Age'!$B$6:$H$6,0))</f>
        <v>51828300</v>
      </c>
      <c r="M234" s="78">
        <f>INDEX('Population Data by Age'!$B$7:$H$10366,MATCH(CONCATENATE('Tabular Pop Data by Age'!$C234,'Tabular Pop Data by Age'!M$7),'Population Data by Age'!$B$7:$B$10366,0),MATCH('Tabular Pop Data by Age'!$C$6,'Population Data by Age'!$B$6:$H$6,0))</f>
        <v>52317700</v>
      </c>
      <c r="N234" s="78">
        <f>INDEX('Population Data by Age'!$B$7:$H$10366,MATCH(CONCATENATE('Tabular Pop Data by Age'!$C234,'Tabular Pop Data by Age'!N$7),'Population Data by Age'!$B$7:$B$10366,0),MATCH('Tabular Pop Data by Age'!$C$6,'Population Data by Age'!$B$6:$H$6,0))</f>
        <v>44120700</v>
      </c>
      <c r="O234" s="78">
        <f>INDEX('Population Data by Age'!$B$7:$H$10366,MATCH(CONCATENATE('Tabular Pop Data by Age'!$C234,'Tabular Pop Data by Age'!O$7),'Population Data by Age'!$B$7:$B$10366,0),MATCH('Tabular Pop Data by Age'!$C$6,'Population Data by Age'!$B$6:$H$6,0))</f>
        <v>44212300</v>
      </c>
      <c r="P234" s="78">
        <f>INDEX('Population Data by Age'!$B$7:$H$10366,MATCH(CONCATENATE('Tabular Pop Data by Age'!$C234,'Tabular Pop Data by Age'!P$7),'Population Data by Age'!$B$7:$B$10366,0),MATCH('Tabular Pop Data by Age'!$C$6,'Population Data by Age'!$B$6:$H$6,0))</f>
        <v>37717200</v>
      </c>
      <c r="Q234" s="78">
        <f>INDEX('Population Data by Age'!$B$7:$H$10366,MATCH(CONCATENATE('Tabular Pop Data by Age'!$C234,'Tabular Pop Data by Age'!Q$7),'Population Data by Age'!$B$7:$B$10366,0),MATCH('Tabular Pop Data by Age'!$C$6,'Population Data by Age'!$B$6:$H$6,0))</f>
        <v>37436900</v>
      </c>
      <c r="R234" s="78">
        <f>INDEX('Population Data by Age'!$B$7:$H$10366,MATCH(CONCATENATE('Tabular Pop Data by Age'!$C234,'Tabular Pop Data by Age'!R$7),'Population Data by Age'!$B$7:$B$10366,0),MATCH('Tabular Pop Data by Age'!$C$6,'Population Data by Age'!$B$6:$H$6,0))</f>
        <v>31897500</v>
      </c>
      <c r="S234" s="78">
        <f>INDEX('Population Data by Age'!$B$7:$H$10366,MATCH(CONCATENATE('Tabular Pop Data by Age'!$C234,'Tabular Pop Data by Age'!S$7),'Population Data by Age'!$B$7:$B$10366,0),MATCH('Tabular Pop Data by Age'!$C$6,'Population Data by Age'!$B$6:$H$6,0))</f>
        <v>31272300</v>
      </c>
      <c r="T234" s="78">
        <f>INDEX('Population Data by Age'!$B$7:$H$10366,MATCH(CONCATENATE('Tabular Pop Data by Age'!$C234,'Tabular Pop Data by Age'!T$7),'Population Data by Age'!$B$7:$B$10366,0),MATCH('Tabular Pop Data by Age'!$C$6,'Population Data by Age'!$B$6:$H$6,0))</f>
        <v>25981900</v>
      </c>
      <c r="U234" s="78">
        <f>INDEX('Population Data by Age'!$B$7:$H$10366,MATCH(CONCATENATE('Tabular Pop Data by Age'!$C234,'Tabular Pop Data by Age'!U$7),'Population Data by Age'!$B$7:$B$10366,0),MATCH('Tabular Pop Data by Age'!$C$6,'Population Data by Age'!$B$6:$H$6,0))</f>
        <v>25364500</v>
      </c>
      <c r="V234" s="78">
        <f>INDEX('Population Data by Age'!$B$7:$H$10366,MATCH(CONCATENATE('Tabular Pop Data by Age'!$C234,'Tabular Pop Data by Age'!V$7),'Population Data by Age'!$B$7:$B$10366,0),MATCH('Tabular Pop Data by Age'!$C$6,'Population Data by Age'!$B$6:$H$6,0))</f>
        <v>21036400</v>
      </c>
      <c r="W234" s="78">
        <f>INDEX('Population Data by Age'!$B$7:$H$10366,MATCH(CONCATENATE('Tabular Pop Data by Age'!$C234,'Tabular Pop Data by Age'!W$7),'Population Data by Age'!$B$7:$B$10366,0),MATCH('Tabular Pop Data by Age'!$C$6,'Population Data by Age'!$B$6:$H$6,0))</f>
        <v>20366700</v>
      </c>
      <c r="X234" s="78">
        <f>INDEX('Population Data by Age'!$B$7:$H$10366,MATCH(CONCATENATE('Tabular Pop Data by Age'!$C234,'Tabular Pop Data by Age'!X$7),'Population Data by Age'!$B$7:$B$10366,0),MATCH('Tabular Pop Data by Age'!$C$6,'Population Data by Age'!$B$6:$H$6,0))</f>
        <v>16867000</v>
      </c>
      <c r="Y234" s="78">
        <f>INDEX('Population Data by Age'!$B$7:$H$10366,MATCH(CONCATENATE('Tabular Pop Data by Age'!$C234,'Tabular Pop Data by Age'!Y$7),'Population Data by Age'!$B$7:$B$10366,0),MATCH('Tabular Pop Data by Age'!$C$6,'Population Data by Age'!$B$6:$H$6,0))</f>
        <v>15906000</v>
      </c>
      <c r="Z234" s="78">
        <f>INDEX('Population Data by Age'!$B$7:$H$10366,MATCH(CONCATENATE('Tabular Pop Data by Age'!$C234,'Tabular Pop Data by Age'!Z$7),'Population Data by Age'!$B$7:$B$10366,0),MATCH('Tabular Pop Data by Age'!$C$6,'Population Data by Age'!$B$6:$H$6,0))</f>
        <v>13578000</v>
      </c>
      <c r="AA234" s="78">
        <f>INDEX('Population Data by Age'!$B$7:$H$10366,MATCH(CONCATENATE('Tabular Pop Data by Age'!$C234,'Tabular Pop Data by Age'!AA$7),'Population Data by Age'!$B$7:$B$10366,0),MATCH('Tabular Pop Data by Age'!$C$6,'Population Data by Age'!$B$6:$H$6,0))</f>
        <v>12445500</v>
      </c>
      <c r="AB234" s="78">
        <f>INDEX('Population Data by Age'!$B$7:$H$10366,MATCH(CONCATENATE('Tabular Pop Data by Age'!$C234,'Tabular Pop Data by Age'!AB$7),'Population Data by Age'!$B$7:$B$10366,0),MATCH('Tabular Pop Data by Age'!$C$6,'Population Data by Age'!$B$6:$H$6,0))</f>
        <v>10692000</v>
      </c>
      <c r="AC234" s="78">
        <f>INDEX('Population Data by Age'!$B$7:$H$10366,MATCH(CONCATENATE('Tabular Pop Data by Age'!$C234,'Tabular Pop Data by Age'!AC$7),'Population Data by Age'!$B$7:$B$10366,0),MATCH('Tabular Pop Data by Age'!$C$6,'Population Data by Age'!$B$6:$H$6,0))</f>
        <v>9387500</v>
      </c>
      <c r="AD234" s="78">
        <f>INDEX('Population Data by Age'!$B$7:$H$10366,MATCH(CONCATENATE('Tabular Pop Data by Age'!$C234,'Tabular Pop Data by Age'!AD$7),'Population Data by Age'!$B$7:$B$10366,0),MATCH('Tabular Pop Data by Age'!$C$6,'Population Data by Age'!$B$6:$H$6,0))</f>
        <v>7970200</v>
      </c>
      <c r="AE234" s="78">
        <f>INDEX('Population Data by Age'!$B$7:$H$10366,MATCH(CONCATENATE('Tabular Pop Data by Age'!$C234,'Tabular Pop Data by Age'!AE$7),'Population Data by Age'!$B$7:$B$10366,0),MATCH('Tabular Pop Data by Age'!$C$6,'Population Data by Age'!$B$6:$H$6,0))</f>
        <v>6721800</v>
      </c>
      <c r="AF234" s="78">
        <f>INDEX('Population Data by Age'!$B$7:$H$10366,MATCH(CONCATENATE('Tabular Pop Data by Age'!$C234,'Tabular Pop Data by Age'!AF$7),'Population Data by Age'!$B$7:$B$10366,0),MATCH('Tabular Pop Data by Age'!$C$6,'Population Data by Age'!$B$6:$H$6,0))</f>
        <v>5520300</v>
      </c>
      <c r="AG234" s="78">
        <f>INDEX('Population Data by Age'!$B$7:$H$10366,MATCH(CONCATENATE('Tabular Pop Data by Age'!$C234,'Tabular Pop Data by Age'!AG$7),'Population Data by Age'!$B$7:$B$10366,0),MATCH('Tabular Pop Data by Age'!$C$6,'Population Data by Age'!$B$6:$H$6,0))</f>
        <v>4394600</v>
      </c>
      <c r="AH234" s="78">
        <f>INDEX('Population Data by Age'!$B$7:$H$10366,MATCH(CONCATENATE('Tabular Pop Data by Age'!$C234,'Tabular Pop Data by Age'!AH$7),'Population Data by Age'!$B$7:$B$10366,0),MATCH('Tabular Pop Data by Age'!$C$6,'Population Data by Age'!$B$6:$H$6,0))</f>
        <v>3361100</v>
      </c>
      <c r="AI234" s="78">
        <f>INDEX('Population Data by Age'!$B$7:$H$10366,MATCH(CONCATENATE('Tabular Pop Data by Age'!$C234,'Tabular Pop Data by Age'!AI$7),'Population Data by Age'!$B$7:$B$10366,0),MATCH('Tabular Pop Data by Age'!$C$6,'Population Data by Age'!$B$6:$H$6,0))</f>
        <v>2495400</v>
      </c>
      <c r="AJ234" s="78">
        <f>INDEX('Population Data by Age'!$B$7:$H$10366,MATCH(CONCATENATE('Tabular Pop Data by Age'!$C234,'Tabular Pop Data by Age'!AJ$7),'Population Data by Age'!$B$7:$B$10366,0),MATCH('Tabular Pop Data by Age'!$C$6,'Population Data by Age'!$B$6:$H$6,0))</f>
        <v>2337400</v>
      </c>
      <c r="AK234" s="78">
        <f>INDEX('Population Data by Age'!$B$7:$H$10366,MATCH(CONCATENATE('Tabular Pop Data by Age'!$C234,'Tabular Pop Data by Age'!AK$7),'Population Data by Age'!$B$7:$B$10366,0),MATCH('Tabular Pop Data by Age'!$C$6,'Population Data by Age'!$B$6:$H$6,0))</f>
        <v>1515400</v>
      </c>
      <c r="AL234" s="78">
        <f>INDEX('Population Data by Age'!$B$7:$H$10366,MATCH(CONCATENATE('Tabular Pop Data by Age'!$C234,'Tabular Pop Data by Age'!AL$7),'Population Data by Age'!$B$7:$B$10366,0),MATCH('Tabular Pop Data by Age'!$C$6,'Population Data by Age'!$B$6:$H$6,0))</f>
        <v>569080000</v>
      </c>
      <c r="AM234" s="78">
        <f>INDEX('Population Data by Age'!$B$7:$H$10366,MATCH(CONCATENATE('Tabular Pop Data by Age'!$C234,'Tabular Pop Data by Age'!AM$7),'Population Data by Age'!$B$7:$B$10366,0),MATCH('Tabular Pop Data by Age'!$C$6,'Population Data by Age'!$B$6:$H$6,0))</f>
        <v>566974000</v>
      </c>
      <c r="AN234" s="78">
        <f>INDEX('Population Data by Age'!$B$7:$H$10366,MATCH(CONCATENATE('Tabular Pop Data by Age'!$C234,'Tabular Pop Data by Age'!AN$7),'Population Data by Age'!$B$7:$B$10366,0),MATCH('Tabular Pop Data by Age'!$C$6,'Population Data by Age'!$B$6:$H$6,0))</f>
        <v>1136052000</v>
      </c>
      <c r="AO234" s="78">
        <f>INDEX('Population Data by Age'!$B$7:$H$10366,MATCH(CONCATENATE('Tabular Pop Data by Age'!$C234,'Tabular Pop Data by Age'!AO$7),'Population Data by Age'!$B$7:$B$10366,0),MATCH('Tabular Pop Data by Age'!$C$6,'Population Data by Age'!$B$6:$H$6,0))</f>
        <v>2.6280985762809905</v>
      </c>
      <c r="AP234" s="79">
        <f t="shared" si="68"/>
        <v>176965900</v>
      </c>
      <c r="AQ234" s="79">
        <f t="shared" si="69"/>
        <v>159165900</v>
      </c>
      <c r="AR234" s="79">
        <f t="shared" si="70"/>
        <v>141073400</v>
      </c>
      <c r="AS234" s="79">
        <f t="shared" si="71"/>
        <v>122092400</v>
      </c>
      <c r="AT234" s="79">
        <f t="shared" si="72"/>
        <v>104146000</v>
      </c>
      <c r="AU234" s="79">
        <f t="shared" si="73"/>
        <v>88333000</v>
      </c>
      <c r="AV234" s="79">
        <f t="shared" si="74"/>
        <v>75154100</v>
      </c>
      <c r="AW234" s="79">
        <f t="shared" si="75"/>
        <v>63169800</v>
      </c>
      <c r="AX234" s="79">
        <f t="shared" si="76"/>
        <v>51346400</v>
      </c>
      <c r="AY234" s="79">
        <f t="shared" si="77"/>
        <v>41403100</v>
      </c>
      <c r="AZ234" s="79">
        <f t="shared" si="78"/>
        <v>32773000</v>
      </c>
      <c r="BA234" s="79">
        <f t="shared" si="79"/>
        <v>26023500</v>
      </c>
      <c r="BB234" s="79">
        <f t="shared" si="80"/>
        <v>20079500</v>
      </c>
      <c r="BC234" s="79">
        <f t="shared" si="81"/>
        <v>14692000</v>
      </c>
      <c r="BD234" s="79">
        <f t="shared" si="82"/>
        <v>9914900</v>
      </c>
      <c r="BE234" s="79">
        <f t="shared" si="83"/>
        <v>5856500</v>
      </c>
      <c r="BF234" s="79">
        <f t="shared" si="84"/>
        <v>3852800</v>
      </c>
    </row>
    <row r="235" spans="1:58" x14ac:dyDescent="0.25">
      <c r="A235" s="138" t="s">
        <v>1182</v>
      </c>
      <c r="B235" t="s">
        <v>630</v>
      </c>
      <c r="C235" t="s">
        <v>631</v>
      </c>
      <c r="D235" s="78">
        <f>INDEX('Population Data by Age'!$B$7:$H$10366,MATCH(CONCATENATE('Tabular Pop Data by Age'!$C235,'Tabular Pop Data by Age'!D$7),'Population Data by Age'!$B$7:$B$10366,0),MATCH('Tabular Pop Data by Age'!$C$6,'Population Data by Age'!$B$6:$H$6,0))</f>
        <v>81079000</v>
      </c>
      <c r="E235" s="78">
        <f>INDEX('Population Data by Age'!$B$7:$H$10366,MATCH(CONCATENATE('Tabular Pop Data by Age'!$C235,'Tabular Pop Data by Age'!E$7),'Population Data by Age'!$B$7:$B$10366,0),MATCH('Tabular Pop Data by Age'!$C$6,'Population Data by Age'!$B$6:$H$6,0))</f>
        <v>88261000</v>
      </c>
      <c r="F235" s="78">
        <f>INDEX('Population Data by Age'!$B$7:$H$10366,MATCH(CONCATENATE('Tabular Pop Data by Age'!$C235,'Tabular Pop Data by Age'!F$7),'Population Data by Age'!$B$7:$B$10366,0),MATCH('Tabular Pop Data by Age'!$C$6,'Population Data by Age'!$B$6:$H$6,0))</f>
        <v>80455000</v>
      </c>
      <c r="G235" s="78">
        <f>INDEX('Population Data by Age'!$B$7:$H$10366,MATCH(CONCATENATE('Tabular Pop Data by Age'!$C235,'Tabular Pop Data by Age'!G$7),'Population Data by Age'!$B$7:$B$10366,0),MATCH('Tabular Pop Data by Age'!$C$6,'Population Data by Age'!$B$6:$H$6,0))</f>
        <v>87664000</v>
      </c>
      <c r="H235" s="78">
        <f>INDEX('Population Data by Age'!$B$7:$H$10366,MATCH(CONCATENATE('Tabular Pop Data by Age'!$C235,'Tabular Pop Data by Age'!H$7),'Population Data by Age'!$B$7:$B$10366,0),MATCH('Tabular Pop Data by Age'!$C$6,'Population Data by Age'!$B$6:$H$6,0))</f>
        <v>83452000</v>
      </c>
      <c r="I235" s="78">
        <f>INDEX('Population Data by Age'!$B$7:$H$10366,MATCH(CONCATENATE('Tabular Pop Data by Age'!$C235,'Tabular Pop Data by Age'!I$7),'Population Data by Age'!$B$7:$B$10366,0),MATCH('Tabular Pop Data by Age'!$C$6,'Population Data by Age'!$B$6:$H$6,0))</f>
        <v>91224000</v>
      </c>
      <c r="J235" s="78">
        <f>INDEX('Population Data by Age'!$B$7:$H$10366,MATCH(CONCATENATE('Tabular Pop Data by Age'!$C235,'Tabular Pop Data by Age'!J$7),'Population Data by Age'!$B$7:$B$10366,0),MATCH('Tabular Pop Data by Age'!$C$6,'Population Data by Age'!$B$6:$H$6,0))</f>
        <v>82251000</v>
      </c>
      <c r="K235" s="78">
        <f>INDEX('Population Data by Age'!$B$7:$H$10366,MATCH(CONCATENATE('Tabular Pop Data by Age'!$C235,'Tabular Pop Data by Age'!K$7),'Population Data by Age'!$B$7:$B$10366,0),MATCH('Tabular Pop Data by Age'!$C$6,'Population Data by Age'!$B$6:$H$6,0))</f>
        <v>90969000</v>
      </c>
      <c r="L235" s="78">
        <f>INDEX('Population Data by Age'!$B$7:$H$10366,MATCH(CONCATENATE('Tabular Pop Data by Age'!$C235,'Tabular Pop Data by Age'!L$7),'Population Data by Age'!$B$7:$B$10366,0),MATCH('Tabular Pop Data by Age'!$C$6,'Population Data by Age'!$B$6:$H$6,0))</f>
        <v>79578000</v>
      </c>
      <c r="M235" s="78">
        <f>INDEX('Population Data by Age'!$B$7:$H$10366,MATCH(CONCATENATE('Tabular Pop Data by Age'!$C235,'Tabular Pop Data by Age'!M$7),'Population Data by Age'!$B$7:$B$10366,0),MATCH('Tabular Pop Data by Age'!$C$6,'Population Data by Age'!$B$6:$H$6,0))</f>
        <v>87737000</v>
      </c>
      <c r="N235" s="78">
        <f>INDEX('Population Data by Age'!$B$7:$H$10366,MATCH(CONCATENATE('Tabular Pop Data by Age'!$C235,'Tabular Pop Data by Age'!N$7),'Population Data by Age'!$B$7:$B$10366,0),MATCH('Tabular Pop Data by Age'!$C$6,'Population Data by Age'!$B$6:$H$6,0))</f>
        <v>75793000</v>
      </c>
      <c r="O235" s="78">
        <f>INDEX('Population Data by Age'!$B$7:$H$10366,MATCH(CONCATENATE('Tabular Pop Data by Age'!$C235,'Tabular Pop Data by Age'!O$7),'Population Data by Age'!$B$7:$B$10366,0),MATCH('Tabular Pop Data by Age'!$C$6,'Population Data by Age'!$B$6:$H$6,0))</f>
        <v>82665000</v>
      </c>
      <c r="P235" s="78">
        <f>INDEX('Population Data by Age'!$B$7:$H$10366,MATCH(CONCATENATE('Tabular Pop Data by Age'!$C235,'Tabular Pop Data by Age'!P$7),'Population Data by Age'!$B$7:$B$10366,0),MATCH('Tabular Pop Data by Age'!$C$6,'Population Data by Age'!$B$6:$H$6,0))</f>
        <v>71779000</v>
      </c>
      <c r="Q235" s="78">
        <f>INDEX('Population Data by Age'!$B$7:$H$10366,MATCH(CONCATENATE('Tabular Pop Data by Age'!$C235,'Tabular Pop Data by Age'!Q$7),'Population Data by Age'!$B$7:$B$10366,0),MATCH('Tabular Pop Data by Age'!$C$6,'Population Data by Age'!$B$6:$H$6,0))</f>
        <v>77063000</v>
      </c>
      <c r="R235" s="78">
        <f>INDEX('Population Data by Age'!$B$7:$H$10366,MATCH(CONCATENATE('Tabular Pop Data by Age'!$C235,'Tabular Pop Data by Age'!R$7),'Population Data by Age'!$B$7:$B$10366,0),MATCH('Tabular Pop Data by Age'!$C$6,'Population Data by Age'!$B$6:$H$6,0))</f>
        <v>65754000</v>
      </c>
      <c r="S235" s="78">
        <f>INDEX('Population Data by Age'!$B$7:$H$10366,MATCH(CONCATENATE('Tabular Pop Data by Age'!$C235,'Tabular Pop Data by Age'!S$7),'Population Data by Age'!$B$7:$B$10366,0),MATCH('Tabular Pop Data by Age'!$C$6,'Population Data by Age'!$B$6:$H$6,0))</f>
        <v>69846000</v>
      </c>
      <c r="T235" s="78">
        <f>INDEX('Population Data by Age'!$B$7:$H$10366,MATCH(CONCATENATE('Tabular Pop Data by Age'!$C235,'Tabular Pop Data by Age'!T$7),'Population Data by Age'!$B$7:$B$10366,0),MATCH('Tabular Pop Data by Age'!$C$6,'Population Data by Age'!$B$6:$H$6,0))</f>
        <v>57580000</v>
      </c>
      <c r="U235" s="78">
        <f>INDEX('Population Data by Age'!$B$7:$H$10366,MATCH(CONCATENATE('Tabular Pop Data by Age'!$C235,'Tabular Pop Data by Age'!U$7),'Population Data by Age'!$B$7:$B$10366,0),MATCH('Tabular Pop Data by Age'!$C$6,'Population Data by Age'!$B$6:$H$6,0))</f>
        <v>60378000</v>
      </c>
      <c r="V235" s="78">
        <f>INDEX('Population Data by Age'!$B$7:$H$10366,MATCH(CONCATENATE('Tabular Pop Data by Age'!$C235,'Tabular Pop Data by Age'!V$7),'Population Data by Age'!$B$7:$B$10366,0),MATCH('Tabular Pop Data by Age'!$C$6,'Population Data by Age'!$B$6:$H$6,0))</f>
        <v>50314000</v>
      </c>
      <c r="W235" s="78">
        <f>INDEX('Population Data by Age'!$B$7:$H$10366,MATCH(CONCATENATE('Tabular Pop Data by Age'!$C235,'Tabular Pop Data by Age'!W$7),'Population Data by Age'!$B$7:$B$10366,0),MATCH('Tabular Pop Data by Age'!$C$6,'Population Data by Age'!$B$6:$H$6,0))</f>
        <v>52391000</v>
      </c>
      <c r="X235" s="78">
        <f>INDEX('Population Data by Age'!$B$7:$H$10366,MATCH(CONCATENATE('Tabular Pop Data by Age'!$C235,'Tabular Pop Data by Age'!X$7),'Population Data by Age'!$B$7:$B$10366,0),MATCH('Tabular Pop Data by Age'!$C$6,'Population Data by Age'!$B$6:$H$6,0))</f>
        <v>43669300</v>
      </c>
      <c r="Y235" s="78">
        <f>INDEX('Population Data by Age'!$B$7:$H$10366,MATCH(CONCATENATE('Tabular Pop Data by Age'!$C235,'Tabular Pop Data by Age'!Y$7),'Population Data by Age'!$B$7:$B$10366,0),MATCH('Tabular Pop Data by Age'!$C$6,'Population Data by Age'!$B$6:$H$6,0))</f>
        <v>45435000</v>
      </c>
      <c r="Z235" s="78">
        <f>INDEX('Population Data by Age'!$B$7:$H$10366,MATCH(CONCATENATE('Tabular Pop Data by Age'!$C235,'Tabular Pop Data by Age'!Z$7),'Population Data by Age'!$B$7:$B$10366,0),MATCH('Tabular Pop Data by Age'!$C$6,'Population Data by Age'!$B$6:$H$6,0))</f>
        <v>37368800</v>
      </c>
      <c r="AA235" s="78">
        <f>INDEX('Population Data by Age'!$B$7:$H$10366,MATCH(CONCATENATE('Tabular Pop Data by Age'!$C235,'Tabular Pop Data by Age'!AA$7),'Population Data by Age'!$B$7:$B$10366,0),MATCH('Tabular Pop Data by Age'!$C$6,'Population Data by Age'!$B$6:$H$6,0))</f>
        <v>38633500</v>
      </c>
      <c r="AB235" s="78">
        <f>INDEX('Population Data by Age'!$B$7:$H$10366,MATCH(CONCATENATE('Tabular Pop Data by Age'!$C235,'Tabular Pop Data by Age'!AB$7),'Population Data by Age'!$B$7:$B$10366,0),MATCH('Tabular Pop Data by Age'!$C$6,'Population Data by Age'!$B$6:$H$6,0))</f>
        <v>30315900</v>
      </c>
      <c r="AC235" s="78">
        <f>INDEX('Population Data by Age'!$B$7:$H$10366,MATCH(CONCATENATE('Tabular Pop Data by Age'!$C235,'Tabular Pop Data by Age'!AC$7),'Population Data by Age'!$B$7:$B$10366,0),MATCH('Tabular Pop Data by Age'!$C$6,'Population Data by Age'!$B$6:$H$6,0))</f>
        <v>30959700</v>
      </c>
      <c r="AD235" s="78">
        <f>INDEX('Population Data by Age'!$B$7:$H$10366,MATCH(CONCATENATE('Tabular Pop Data by Age'!$C235,'Tabular Pop Data by Age'!AD$7),'Population Data by Age'!$B$7:$B$10366,0),MATCH('Tabular Pop Data by Age'!$C$6,'Population Data by Age'!$B$6:$H$6,0))</f>
        <v>23296400</v>
      </c>
      <c r="AE235" s="78">
        <f>INDEX('Population Data by Age'!$B$7:$H$10366,MATCH(CONCATENATE('Tabular Pop Data by Age'!$C235,'Tabular Pop Data by Age'!AE$7),'Population Data by Age'!$B$7:$B$10366,0),MATCH('Tabular Pop Data by Age'!$C$6,'Population Data by Age'!$B$6:$H$6,0))</f>
        <v>23432800</v>
      </c>
      <c r="AF235" s="78">
        <f>INDEX('Population Data by Age'!$B$7:$H$10366,MATCH(CONCATENATE('Tabular Pop Data by Age'!$C235,'Tabular Pop Data by Age'!AF$7),'Population Data by Age'!$B$7:$B$10366,0),MATCH('Tabular Pop Data by Age'!$C$6,'Population Data by Age'!$B$6:$H$6,0))</f>
        <v>15814700</v>
      </c>
      <c r="AG235" s="78">
        <f>INDEX('Population Data by Age'!$B$7:$H$10366,MATCH(CONCATENATE('Tabular Pop Data by Age'!$C235,'Tabular Pop Data by Age'!AG$7),'Population Data by Age'!$B$7:$B$10366,0),MATCH('Tabular Pop Data by Age'!$C$6,'Population Data by Age'!$B$6:$H$6,0))</f>
        <v>14884500</v>
      </c>
      <c r="AH235" s="78">
        <f>INDEX('Population Data by Age'!$B$7:$H$10366,MATCH(CONCATENATE('Tabular Pop Data by Age'!$C235,'Tabular Pop Data by Age'!AH$7),'Population Data by Age'!$B$7:$B$10366,0),MATCH('Tabular Pop Data by Age'!$C$6,'Population Data by Age'!$B$6:$H$6,0))</f>
        <v>10362200</v>
      </c>
      <c r="AI235" s="78">
        <f>INDEX('Population Data by Age'!$B$7:$H$10366,MATCH(CONCATENATE('Tabular Pop Data by Age'!$C235,'Tabular Pop Data by Age'!AI$7),'Population Data by Age'!$B$7:$B$10366,0),MATCH('Tabular Pop Data by Age'!$C$6,'Population Data by Age'!$B$6:$H$6,0))</f>
        <v>9261400</v>
      </c>
      <c r="AJ235" s="78">
        <f>INDEX('Population Data by Age'!$B$7:$H$10366,MATCH(CONCATENATE('Tabular Pop Data by Age'!$C235,'Tabular Pop Data by Age'!AJ$7),'Population Data by Age'!$B$7:$B$10366,0),MATCH('Tabular Pop Data by Age'!$C$6,'Population Data by Age'!$B$6:$H$6,0))</f>
        <v>9356800</v>
      </c>
      <c r="AK235" s="78">
        <f>INDEX('Population Data by Age'!$B$7:$H$10366,MATCH(CONCATENATE('Tabular Pop Data by Age'!$C235,'Tabular Pop Data by Age'!AK$7),'Population Data by Age'!$B$7:$B$10366,0),MATCH('Tabular Pop Data by Age'!$C$6,'Population Data by Age'!$B$6:$H$6,0))</f>
        <v>7774600</v>
      </c>
      <c r="AL235" s="78">
        <f>INDEX('Population Data by Age'!$B$7:$H$10366,MATCH(CONCATENATE('Tabular Pop Data by Age'!$C235,'Tabular Pop Data by Age'!AL$7),'Population Data by Age'!$B$7:$B$10366,0),MATCH('Tabular Pop Data by Age'!$C$6,'Population Data by Age'!$B$6:$H$6,0))</f>
        <v>898220000</v>
      </c>
      <c r="AM235" s="78">
        <f>INDEX('Population Data by Age'!$B$7:$H$10366,MATCH(CONCATENATE('Tabular Pop Data by Age'!$C235,'Tabular Pop Data by Age'!AM$7),'Population Data by Age'!$B$7:$B$10366,0),MATCH('Tabular Pop Data by Age'!$C$6,'Population Data by Age'!$B$6:$H$6,0))</f>
        <v>958580000</v>
      </c>
      <c r="AN235" s="78">
        <f>INDEX('Population Data by Age'!$B$7:$H$10366,MATCH(CONCATENATE('Tabular Pop Data by Age'!$C235,'Tabular Pop Data by Age'!AN$7),'Population Data by Age'!$B$7:$B$10366,0),MATCH('Tabular Pop Data by Age'!$C$6,'Population Data by Age'!$B$6:$H$6,0))</f>
        <v>1856800000</v>
      </c>
      <c r="AO235" s="78">
        <f>INDEX('Population Data by Age'!$B$7:$H$10366,MATCH(CONCATENATE('Tabular Pop Data by Age'!$C235,'Tabular Pop Data by Age'!AO$7),'Population Data by Age'!$B$7:$B$10366,0),MATCH('Tabular Pop Data by Age'!$C$6,'Population Data by Age'!$B$6:$H$6,0))</f>
        <v>1.1477171764272498</v>
      </c>
      <c r="AP235" s="79">
        <f t="shared" si="68"/>
        <v>169340000</v>
      </c>
      <c r="AQ235" s="79">
        <f t="shared" si="69"/>
        <v>168119000</v>
      </c>
      <c r="AR235" s="79">
        <f t="shared" si="70"/>
        <v>174676000</v>
      </c>
      <c r="AS235" s="79">
        <f t="shared" si="71"/>
        <v>173220000</v>
      </c>
      <c r="AT235" s="79">
        <f t="shared" si="72"/>
        <v>167315000</v>
      </c>
      <c r="AU235" s="79">
        <f t="shared" si="73"/>
        <v>158458000</v>
      </c>
      <c r="AV235" s="79">
        <f t="shared" si="74"/>
        <v>148842000</v>
      </c>
      <c r="AW235" s="79">
        <f t="shared" si="75"/>
        <v>135600000</v>
      </c>
      <c r="AX235" s="79">
        <f t="shared" si="76"/>
        <v>117958000</v>
      </c>
      <c r="AY235" s="79">
        <f t="shared" si="77"/>
        <v>102705000</v>
      </c>
      <c r="AZ235" s="79">
        <f t="shared" si="78"/>
        <v>89104300</v>
      </c>
      <c r="BA235" s="79">
        <f t="shared" si="79"/>
        <v>76002300</v>
      </c>
      <c r="BB235" s="79">
        <f t="shared" si="80"/>
        <v>61275600</v>
      </c>
      <c r="BC235" s="79">
        <f t="shared" si="81"/>
        <v>46729200</v>
      </c>
      <c r="BD235" s="79">
        <f t="shared" si="82"/>
        <v>30699200</v>
      </c>
      <c r="BE235" s="79">
        <f t="shared" si="83"/>
        <v>19623600</v>
      </c>
      <c r="BF235" s="79">
        <f t="shared" si="84"/>
        <v>17131400</v>
      </c>
    </row>
    <row r="236" spans="1:58" x14ac:dyDescent="0.25">
      <c r="A236" s="138" t="s">
        <v>1182</v>
      </c>
      <c r="B236" t="s">
        <v>632</v>
      </c>
      <c r="C236" t="s">
        <v>633</v>
      </c>
      <c r="D236" s="78">
        <f>INDEX('Population Data by Age'!$B$7:$H$10366,MATCH(CONCATENATE('Tabular Pop Data by Age'!$C236,'Tabular Pop Data by Age'!D$7),'Population Data by Age'!$B$7:$B$10366,0),MATCH('Tabular Pop Data by Age'!$C$6,'Population Data by Age'!$B$6:$H$6,0))</f>
        <v>81079000</v>
      </c>
      <c r="E236" s="78">
        <f>INDEX('Population Data by Age'!$B$7:$H$10366,MATCH(CONCATENATE('Tabular Pop Data by Age'!$C236,'Tabular Pop Data by Age'!E$7),'Population Data by Age'!$B$7:$B$10366,0),MATCH('Tabular Pop Data by Age'!$C$6,'Population Data by Age'!$B$6:$H$6,0))</f>
        <v>88261000</v>
      </c>
      <c r="F236" s="78">
        <f>INDEX('Population Data by Age'!$B$7:$H$10366,MATCH(CONCATENATE('Tabular Pop Data by Age'!$C236,'Tabular Pop Data by Age'!F$7),'Population Data by Age'!$B$7:$B$10366,0),MATCH('Tabular Pop Data by Age'!$C$6,'Population Data by Age'!$B$6:$H$6,0))</f>
        <v>80455000</v>
      </c>
      <c r="G236" s="78">
        <f>INDEX('Population Data by Age'!$B$7:$H$10366,MATCH(CONCATENATE('Tabular Pop Data by Age'!$C236,'Tabular Pop Data by Age'!G$7),'Population Data by Age'!$B$7:$B$10366,0),MATCH('Tabular Pop Data by Age'!$C$6,'Population Data by Age'!$B$6:$H$6,0))</f>
        <v>87664000</v>
      </c>
      <c r="H236" s="78">
        <f>INDEX('Population Data by Age'!$B$7:$H$10366,MATCH(CONCATENATE('Tabular Pop Data by Age'!$C236,'Tabular Pop Data by Age'!H$7),'Population Data by Age'!$B$7:$B$10366,0),MATCH('Tabular Pop Data by Age'!$C$6,'Population Data by Age'!$B$6:$H$6,0))</f>
        <v>83452000</v>
      </c>
      <c r="I236" s="78">
        <f>INDEX('Population Data by Age'!$B$7:$H$10366,MATCH(CONCATENATE('Tabular Pop Data by Age'!$C236,'Tabular Pop Data by Age'!I$7),'Population Data by Age'!$B$7:$B$10366,0),MATCH('Tabular Pop Data by Age'!$C$6,'Population Data by Age'!$B$6:$H$6,0))</f>
        <v>91224000</v>
      </c>
      <c r="J236" s="78">
        <f>INDEX('Population Data by Age'!$B$7:$H$10366,MATCH(CONCATENATE('Tabular Pop Data by Age'!$C236,'Tabular Pop Data by Age'!J$7),'Population Data by Age'!$B$7:$B$10366,0),MATCH('Tabular Pop Data by Age'!$C$6,'Population Data by Age'!$B$6:$H$6,0))</f>
        <v>82251000</v>
      </c>
      <c r="K236" s="78">
        <f>INDEX('Population Data by Age'!$B$7:$H$10366,MATCH(CONCATENATE('Tabular Pop Data by Age'!$C236,'Tabular Pop Data by Age'!K$7),'Population Data by Age'!$B$7:$B$10366,0),MATCH('Tabular Pop Data by Age'!$C$6,'Population Data by Age'!$B$6:$H$6,0))</f>
        <v>90969000</v>
      </c>
      <c r="L236" s="78">
        <f>INDEX('Population Data by Age'!$B$7:$H$10366,MATCH(CONCATENATE('Tabular Pop Data by Age'!$C236,'Tabular Pop Data by Age'!L$7),'Population Data by Age'!$B$7:$B$10366,0),MATCH('Tabular Pop Data by Age'!$C$6,'Population Data by Age'!$B$6:$H$6,0))</f>
        <v>79578000</v>
      </c>
      <c r="M236" s="78">
        <f>INDEX('Population Data by Age'!$B$7:$H$10366,MATCH(CONCATENATE('Tabular Pop Data by Age'!$C236,'Tabular Pop Data by Age'!M$7),'Population Data by Age'!$B$7:$B$10366,0),MATCH('Tabular Pop Data by Age'!$C$6,'Population Data by Age'!$B$6:$H$6,0))</f>
        <v>87737000</v>
      </c>
      <c r="N236" s="78">
        <f>INDEX('Population Data by Age'!$B$7:$H$10366,MATCH(CONCATENATE('Tabular Pop Data by Age'!$C236,'Tabular Pop Data by Age'!N$7),'Population Data by Age'!$B$7:$B$10366,0),MATCH('Tabular Pop Data by Age'!$C$6,'Population Data by Age'!$B$6:$H$6,0))</f>
        <v>75793000</v>
      </c>
      <c r="O236" s="78">
        <f>INDEX('Population Data by Age'!$B$7:$H$10366,MATCH(CONCATENATE('Tabular Pop Data by Age'!$C236,'Tabular Pop Data by Age'!O$7),'Population Data by Age'!$B$7:$B$10366,0),MATCH('Tabular Pop Data by Age'!$C$6,'Population Data by Age'!$B$6:$H$6,0))</f>
        <v>82665000</v>
      </c>
      <c r="P236" s="78">
        <f>INDEX('Population Data by Age'!$B$7:$H$10366,MATCH(CONCATENATE('Tabular Pop Data by Age'!$C236,'Tabular Pop Data by Age'!P$7),'Population Data by Age'!$B$7:$B$10366,0),MATCH('Tabular Pop Data by Age'!$C$6,'Population Data by Age'!$B$6:$H$6,0))</f>
        <v>71779000</v>
      </c>
      <c r="Q236" s="78">
        <f>INDEX('Population Data by Age'!$B$7:$H$10366,MATCH(CONCATENATE('Tabular Pop Data by Age'!$C236,'Tabular Pop Data by Age'!Q$7),'Population Data by Age'!$B$7:$B$10366,0),MATCH('Tabular Pop Data by Age'!$C$6,'Population Data by Age'!$B$6:$H$6,0))</f>
        <v>77063000</v>
      </c>
      <c r="R236" s="78">
        <f>INDEX('Population Data by Age'!$B$7:$H$10366,MATCH(CONCATENATE('Tabular Pop Data by Age'!$C236,'Tabular Pop Data by Age'!R$7),'Population Data by Age'!$B$7:$B$10366,0),MATCH('Tabular Pop Data by Age'!$C$6,'Population Data by Age'!$B$6:$H$6,0))</f>
        <v>65754000</v>
      </c>
      <c r="S236" s="78">
        <f>INDEX('Population Data by Age'!$B$7:$H$10366,MATCH(CONCATENATE('Tabular Pop Data by Age'!$C236,'Tabular Pop Data by Age'!S$7),'Population Data by Age'!$B$7:$B$10366,0),MATCH('Tabular Pop Data by Age'!$C$6,'Population Data by Age'!$B$6:$H$6,0))</f>
        <v>69846000</v>
      </c>
      <c r="T236" s="78">
        <f>INDEX('Population Data by Age'!$B$7:$H$10366,MATCH(CONCATENATE('Tabular Pop Data by Age'!$C236,'Tabular Pop Data by Age'!T$7),'Population Data by Age'!$B$7:$B$10366,0),MATCH('Tabular Pop Data by Age'!$C$6,'Population Data by Age'!$B$6:$H$6,0))</f>
        <v>57580000</v>
      </c>
      <c r="U236" s="78">
        <f>INDEX('Population Data by Age'!$B$7:$H$10366,MATCH(CONCATENATE('Tabular Pop Data by Age'!$C236,'Tabular Pop Data by Age'!U$7),'Population Data by Age'!$B$7:$B$10366,0),MATCH('Tabular Pop Data by Age'!$C$6,'Population Data by Age'!$B$6:$H$6,0))</f>
        <v>60378000</v>
      </c>
      <c r="V236" s="78">
        <f>INDEX('Population Data by Age'!$B$7:$H$10366,MATCH(CONCATENATE('Tabular Pop Data by Age'!$C236,'Tabular Pop Data by Age'!V$7),'Population Data by Age'!$B$7:$B$10366,0),MATCH('Tabular Pop Data by Age'!$C$6,'Population Data by Age'!$B$6:$H$6,0))</f>
        <v>50314000</v>
      </c>
      <c r="W236" s="78">
        <f>INDEX('Population Data by Age'!$B$7:$H$10366,MATCH(CONCATENATE('Tabular Pop Data by Age'!$C236,'Tabular Pop Data by Age'!W$7),'Population Data by Age'!$B$7:$B$10366,0),MATCH('Tabular Pop Data by Age'!$C$6,'Population Data by Age'!$B$6:$H$6,0))</f>
        <v>52391000</v>
      </c>
      <c r="X236" s="78">
        <f>INDEX('Population Data by Age'!$B$7:$H$10366,MATCH(CONCATENATE('Tabular Pop Data by Age'!$C236,'Tabular Pop Data by Age'!X$7),'Population Data by Age'!$B$7:$B$10366,0),MATCH('Tabular Pop Data by Age'!$C$6,'Population Data by Age'!$B$6:$H$6,0))</f>
        <v>43669300</v>
      </c>
      <c r="Y236" s="78">
        <f>INDEX('Population Data by Age'!$B$7:$H$10366,MATCH(CONCATENATE('Tabular Pop Data by Age'!$C236,'Tabular Pop Data by Age'!Y$7),'Population Data by Age'!$B$7:$B$10366,0),MATCH('Tabular Pop Data by Age'!$C$6,'Population Data by Age'!$B$6:$H$6,0))</f>
        <v>45435000</v>
      </c>
      <c r="Z236" s="78">
        <f>INDEX('Population Data by Age'!$B$7:$H$10366,MATCH(CONCATENATE('Tabular Pop Data by Age'!$C236,'Tabular Pop Data by Age'!Z$7),'Population Data by Age'!$B$7:$B$10366,0),MATCH('Tabular Pop Data by Age'!$C$6,'Population Data by Age'!$B$6:$H$6,0))</f>
        <v>37368800</v>
      </c>
      <c r="AA236" s="78">
        <f>INDEX('Population Data by Age'!$B$7:$H$10366,MATCH(CONCATENATE('Tabular Pop Data by Age'!$C236,'Tabular Pop Data by Age'!AA$7),'Population Data by Age'!$B$7:$B$10366,0),MATCH('Tabular Pop Data by Age'!$C$6,'Population Data by Age'!$B$6:$H$6,0))</f>
        <v>38633500</v>
      </c>
      <c r="AB236" s="78">
        <f>INDEX('Population Data by Age'!$B$7:$H$10366,MATCH(CONCATENATE('Tabular Pop Data by Age'!$C236,'Tabular Pop Data by Age'!AB$7),'Population Data by Age'!$B$7:$B$10366,0),MATCH('Tabular Pop Data by Age'!$C$6,'Population Data by Age'!$B$6:$H$6,0))</f>
        <v>30315900</v>
      </c>
      <c r="AC236" s="78">
        <f>INDEX('Population Data by Age'!$B$7:$H$10366,MATCH(CONCATENATE('Tabular Pop Data by Age'!$C236,'Tabular Pop Data by Age'!AC$7),'Population Data by Age'!$B$7:$B$10366,0),MATCH('Tabular Pop Data by Age'!$C$6,'Population Data by Age'!$B$6:$H$6,0))</f>
        <v>30959700</v>
      </c>
      <c r="AD236" s="78">
        <f>INDEX('Population Data by Age'!$B$7:$H$10366,MATCH(CONCATENATE('Tabular Pop Data by Age'!$C236,'Tabular Pop Data by Age'!AD$7),'Population Data by Age'!$B$7:$B$10366,0),MATCH('Tabular Pop Data by Age'!$C$6,'Population Data by Age'!$B$6:$H$6,0))</f>
        <v>23296400</v>
      </c>
      <c r="AE236" s="78">
        <f>INDEX('Population Data by Age'!$B$7:$H$10366,MATCH(CONCATENATE('Tabular Pop Data by Age'!$C236,'Tabular Pop Data by Age'!AE$7),'Population Data by Age'!$B$7:$B$10366,0),MATCH('Tabular Pop Data by Age'!$C$6,'Population Data by Age'!$B$6:$H$6,0))</f>
        <v>23432800</v>
      </c>
      <c r="AF236" s="78">
        <f>INDEX('Population Data by Age'!$B$7:$H$10366,MATCH(CONCATENATE('Tabular Pop Data by Age'!$C236,'Tabular Pop Data by Age'!AF$7),'Population Data by Age'!$B$7:$B$10366,0),MATCH('Tabular Pop Data by Age'!$C$6,'Population Data by Age'!$B$6:$H$6,0))</f>
        <v>15814700</v>
      </c>
      <c r="AG236" s="78">
        <f>INDEX('Population Data by Age'!$B$7:$H$10366,MATCH(CONCATENATE('Tabular Pop Data by Age'!$C236,'Tabular Pop Data by Age'!AG$7),'Population Data by Age'!$B$7:$B$10366,0),MATCH('Tabular Pop Data by Age'!$C$6,'Population Data by Age'!$B$6:$H$6,0))</f>
        <v>14884500</v>
      </c>
      <c r="AH236" s="78">
        <f>INDEX('Population Data by Age'!$B$7:$H$10366,MATCH(CONCATENATE('Tabular Pop Data by Age'!$C236,'Tabular Pop Data by Age'!AH$7),'Population Data by Age'!$B$7:$B$10366,0),MATCH('Tabular Pop Data by Age'!$C$6,'Population Data by Age'!$B$6:$H$6,0))</f>
        <v>10362200</v>
      </c>
      <c r="AI236" s="78">
        <f>INDEX('Population Data by Age'!$B$7:$H$10366,MATCH(CONCATENATE('Tabular Pop Data by Age'!$C236,'Tabular Pop Data by Age'!AI$7),'Population Data by Age'!$B$7:$B$10366,0),MATCH('Tabular Pop Data by Age'!$C$6,'Population Data by Age'!$B$6:$H$6,0))</f>
        <v>9261400</v>
      </c>
      <c r="AJ236" s="78">
        <f>INDEX('Population Data by Age'!$B$7:$H$10366,MATCH(CONCATENATE('Tabular Pop Data by Age'!$C236,'Tabular Pop Data by Age'!AJ$7),'Population Data by Age'!$B$7:$B$10366,0),MATCH('Tabular Pop Data by Age'!$C$6,'Population Data by Age'!$B$6:$H$6,0))</f>
        <v>9356800</v>
      </c>
      <c r="AK236" s="78">
        <f>INDEX('Population Data by Age'!$B$7:$H$10366,MATCH(CONCATENATE('Tabular Pop Data by Age'!$C236,'Tabular Pop Data by Age'!AK$7),'Population Data by Age'!$B$7:$B$10366,0),MATCH('Tabular Pop Data by Age'!$C$6,'Population Data by Age'!$B$6:$H$6,0))</f>
        <v>7774600</v>
      </c>
      <c r="AL236" s="78">
        <f>INDEX('Population Data by Age'!$B$7:$H$10366,MATCH(CONCATENATE('Tabular Pop Data by Age'!$C236,'Tabular Pop Data by Age'!AL$7),'Population Data by Age'!$B$7:$B$10366,0),MATCH('Tabular Pop Data by Age'!$C$6,'Population Data by Age'!$B$6:$H$6,0))</f>
        <v>898220000</v>
      </c>
      <c r="AM236" s="78">
        <f>INDEX('Population Data by Age'!$B$7:$H$10366,MATCH(CONCATENATE('Tabular Pop Data by Age'!$C236,'Tabular Pop Data by Age'!AM$7),'Population Data by Age'!$B$7:$B$10366,0),MATCH('Tabular Pop Data by Age'!$C$6,'Population Data by Age'!$B$6:$H$6,0))</f>
        <v>958580000</v>
      </c>
      <c r="AN236" s="78">
        <f>INDEX('Population Data by Age'!$B$7:$H$10366,MATCH(CONCATENATE('Tabular Pop Data by Age'!$C236,'Tabular Pop Data by Age'!AN$7),'Population Data by Age'!$B$7:$B$10366,0),MATCH('Tabular Pop Data by Age'!$C$6,'Population Data by Age'!$B$6:$H$6,0))</f>
        <v>1856800000</v>
      </c>
      <c r="AO236" s="78">
        <f>INDEX('Population Data by Age'!$B$7:$H$10366,MATCH(CONCATENATE('Tabular Pop Data by Age'!$C236,'Tabular Pop Data by Age'!AO$7),'Population Data by Age'!$B$7:$B$10366,0),MATCH('Tabular Pop Data by Age'!$C$6,'Population Data by Age'!$B$6:$H$6,0))</f>
        <v>1.1477171764272498</v>
      </c>
      <c r="AP236" s="79">
        <f t="shared" si="68"/>
        <v>169340000</v>
      </c>
      <c r="AQ236" s="79">
        <f t="shared" si="69"/>
        <v>168119000</v>
      </c>
      <c r="AR236" s="79">
        <f t="shared" si="70"/>
        <v>174676000</v>
      </c>
      <c r="AS236" s="79">
        <f t="shared" si="71"/>
        <v>173220000</v>
      </c>
      <c r="AT236" s="79">
        <f t="shared" si="72"/>
        <v>167315000</v>
      </c>
      <c r="AU236" s="79">
        <f t="shared" si="73"/>
        <v>158458000</v>
      </c>
      <c r="AV236" s="79">
        <f t="shared" si="74"/>
        <v>148842000</v>
      </c>
      <c r="AW236" s="79">
        <f t="shared" si="75"/>
        <v>135600000</v>
      </c>
      <c r="AX236" s="79">
        <f t="shared" si="76"/>
        <v>117958000</v>
      </c>
      <c r="AY236" s="79">
        <f t="shared" si="77"/>
        <v>102705000</v>
      </c>
      <c r="AZ236" s="79">
        <f t="shared" si="78"/>
        <v>89104300</v>
      </c>
      <c r="BA236" s="79">
        <f t="shared" si="79"/>
        <v>76002300</v>
      </c>
      <c r="BB236" s="79">
        <f t="shared" si="80"/>
        <v>61275600</v>
      </c>
      <c r="BC236" s="79">
        <f t="shared" si="81"/>
        <v>46729200</v>
      </c>
      <c r="BD236" s="79">
        <f t="shared" si="82"/>
        <v>30699200</v>
      </c>
      <c r="BE236" s="79">
        <f t="shared" si="83"/>
        <v>19623600</v>
      </c>
      <c r="BF236" s="79">
        <f t="shared" si="84"/>
        <v>17131400</v>
      </c>
    </row>
    <row r="237" spans="1:58" x14ac:dyDescent="0.25">
      <c r="A237" s="138" t="s">
        <v>1182</v>
      </c>
      <c r="B237" t="s">
        <v>628</v>
      </c>
      <c r="C237" t="s">
        <v>629</v>
      </c>
      <c r="D237" s="78">
        <f>INDEX('Population Data by Age'!$B$7:$H$10366,MATCH(CONCATENATE('Tabular Pop Data by Age'!$C237,'Tabular Pop Data by Age'!D$7),'Population Data by Age'!$B$7:$B$10366,0),MATCH('Tabular Pop Data by Age'!$C$6,'Population Data by Age'!$B$6:$H$6,0))</f>
        <v>2088600</v>
      </c>
      <c r="E237" s="78">
        <f>INDEX('Population Data by Age'!$B$7:$H$10366,MATCH(CONCATENATE('Tabular Pop Data by Age'!$C237,'Tabular Pop Data by Age'!E$7),'Population Data by Age'!$B$7:$B$10366,0),MATCH('Tabular Pop Data by Age'!$C$6,'Population Data by Age'!$B$6:$H$6,0))</f>
        <v>2156900</v>
      </c>
      <c r="F237" s="78">
        <f>INDEX('Population Data by Age'!$B$7:$H$10366,MATCH(CONCATENATE('Tabular Pop Data by Age'!$C237,'Tabular Pop Data by Age'!F$7),'Population Data by Age'!$B$7:$B$10366,0),MATCH('Tabular Pop Data by Age'!$C$6,'Population Data by Age'!$B$6:$H$6,0))</f>
        <v>1980500</v>
      </c>
      <c r="G237" s="78">
        <f>INDEX('Population Data by Age'!$B$7:$H$10366,MATCH(CONCATENATE('Tabular Pop Data by Age'!$C237,'Tabular Pop Data by Age'!G$7),'Population Data by Age'!$B$7:$B$10366,0),MATCH('Tabular Pop Data by Age'!$C$6,'Population Data by Age'!$B$6:$H$6,0))</f>
        <v>2044100</v>
      </c>
      <c r="H237" s="78">
        <f>INDEX('Population Data by Age'!$B$7:$H$10366,MATCH(CONCATENATE('Tabular Pop Data by Age'!$C237,'Tabular Pop Data by Age'!H$7),'Population Data by Age'!$B$7:$B$10366,0),MATCH('Tabular Pop Data by Age'!$C$6,'Population Data by Age'!$B$6:$H$6,0))</f>
        <v>1832500</v>
      </c>
      <c r="I237" s="78">
        <f>INDEX('Population Data by Age'!$B$7:$H$10366,MATCH(CONCATENATE('Tabular Pop Data by Age'!$C237,'Tabular Pop Data by Age'!I$7),'Population Data by Age'!$B$7:$B$10366,0),MATCH('Tabular Pop Data by Age'!$C$6,'Population Data by Age'!$B$6:$H$6,0))</f>
        <v>1887500</v>
      </c>
      <c r="J237" s="78">
        <f>INDEX('Population Data by Age'!$B$7:$H$10366,MATCH(CONCATENATE('Tabular Pop Data by Age'!$C237,'Tabular Pop Data by Age'!J$7),'Population Data by Age'!$B$7:$B$10366,0),MATCH('Tabular Pop Data by Age'!$C$6,'Population Data by Age'!$B$6:$H$6,0))</f>
        <v>1690900</v>
      </c>
      <c r="K237" s="78">
        <f>INDEX('Population Data by Age'!$B$7:$H$10366,MATCH(CONCATENATE('Tabular Pop Data by Age'!$C237,'Tabular Pop Data by Age'!K$7),'Population Data by Age'!$B$7:$B$10366,0),MATCH('Tabular Pop Data by Age'!$C$6,'Population Data by Age'!$B$6:$H$6,0))</f>
        <v>1763700</v>
      </c>
      <c r="L237" s="78">
        <f>INDEX('Population Data by Age'!$B$7:$H$10366,MATCH(CONCATENATE('Tabular Pop Data by Age'!$C237,'Tabular Pop Data by Age'!L$7),'Population Data by Age'!$B$7:$B$10366,0),MATCH('Tabular Pop Data by Age'!$C$6,'Population Data by Age'!$B$6:$H$6,0))</f>
        <v>1627600</v>
      </c>
      <c r="M237" s="78">
        <f>INDEX('Population Data by Age'!$B$7:$H$10366,MATCH(CONCATENATE('Tabular Pop Data by Age'!$C237,'Tabular Pop Data by Age'!M$7),'Population Data by Age'!$B$7:$B$10366,0),MATCH('Tabular Pop Data by Age'!$C$6,'Population Data by Age'!$B$6:$H$6,0))</f>
        <v>1875300</v>
      </c>
      <c r="N237" s="78">
        <f>INDEX('Population Data by Age'!$B$7:$H$10366,MATCH(CONCATENATE('Tabular Pop Data by Age'!$C237,'Tabular Pop Data by Age'!N$7),'Population Data by Age'!$B$7:$B$10366,0),MATCH('Tabular Pop Data by Age'!$C$6,'Population Data by Age'!$B$6:$H$6,0))</f>
        <v>1647600</v>
      </c>
      <c r="O237" s="78">
        <f>INDEX('Population Data by Age'!$B$7:$H$10366,MATCH(CONCATENATE('Tabular Pop Data by Age'!$C237,'Tabular Pop Data by Age'!O$7),'Population Data by Age'!$B$7:$B$10366,0),MATCH('Tabular Pop Data by Age'!$C$6,'Population Data by Age'!$B$6:$H$6,0))</f>
        <v>2189800</v>
      </c>
      <c r="P237" s="78">
        <f>INDEX('Population Data by Age'!$B$7:$H$10366,MATCH(CONCATENATE('Tabular Pop Data by Age'!$C237,'Tabular Pop Data by Age'!P$7),'Population Data by Age'!$B$7:$B$10366,0),MATCH('Tabular Pop Data by Age'!$C$6,'Population Data by Age'!$B$6:$H$6,0))</f>
        <v>1566100</v>
      </c>
      <c r="Q237" s="78">
        <f>INDEX('Population Data by Age'!$B$7:$H$10366,MATCH(CONCATENATE('Tabular Pop Data by Age'!$C237,'Tabular Pop Data by Age'!Q$7),'Population Data by Age'!$B$7:$B$10366,0),MATCH('Tabular Pop Data by Age'!$C$6,'Population Data by Age'!$B$6:$H$6,0))</f>
        <v>2112000</v>
      </c>
      <c r="R237" s="78">
        <f>INDEX('Population Data by Age'!$B$7:$H$10366,MATCH(CONCATENATE('Tabular Pop Data by Age'!$C237,'Tabular Pop Data by Age'!R$7),'Population Data by Age'!$B$7:$B$10366,0),MATCH('Tabular Pop Data by Age'!$C$6,'Population Data by Age'!$B$6:$H$6,0))</f>
        <v>1405400</v>
      </c>
      <c r="S237" s="78">
        <f>INDEX('Population Data by Age'!$B$7:$H$10366,MATCH(CONCATENATE('Tabular Pop Data by Age'!$C237,'Tabular Pop Data by Age'!S$7),'Population Data by Age'!$B$7:$B$10366,0),MATCH('Tabular Pop Data by Age'!$C$6,'Population Data by Age'!$B$6:$H$6,0))</f>
        <v>1724000</v>
      </c>
      <c r="T237" s="78">
        <f>INDEX('Population Data by Age'!$B$7:$H$10366,MATCH(CONCATENATE('Tabular Pop Data by Age'!$C237,'Tabular Pop Data by Age'!T$7),'Population Data by Age'!$B$7:$B$10366,0),MATCH('Tabular Pop Data by Age'!$C$6,'Population Data by Age'!$B$6:$H$6,0))</f>
        <v>1170600</v>
      </c>
      <c r="U237" s="78">
        <f>INDEX('Population Data by Age'!$B$7:$H$10366,MATCH(CONCATENATE('Tabular Pop Data by Age'!$C237,'Tabular Pop Data by Age'!U$7),'Population Data by Age'!$B$7:$B$10366,0),MATCH('Tabular Pop Data by Age'!$C$6,'Population Data by Age'!$B$6:$H$6,0))</f>
        <v>1379100</v>
      </c>
      <c r="V237" s="78">
        <f>INDEX('Population Data by Age'!$B$7:$H$10366,MATCH(CONCATENATE('Tabular Pop Data by Age'!$C237,'Tabular Pop Data by Age'!V$7),'Population Data by Age'!$B$7:$B$10366,0),MATCH('Tabular Pop Data by Age'!$C$6,'Population Data by Age'!$B$6:$H$6,0))</f>
        <v>1008200</v>
      </c>
      <c r="W237" s="78">
        <f>INDEX('Population Data by Age'!$B$7:$H$10366,MATCH(CONCATENATE('Tabular Pop Data by Age'!$C237,'Tabular Pop Data by Age'!W$7),'Population Data by Age'!$B$7:$B$10366,0),MATCH('Tabular Pop Data by Age'!$C$6,'Population Data by Age'!$B$6:$H$6,0))</f>
        <v>1172600</v>
      </c>
      <c r="X237" s="78">
        <f>INDEX('Population Data by Age'!$B$7:$H$10366,MATCH(CONCATENATE('Tabular Pop Data by Age'!$C237,'Tabular Pop Data by Age'!X$7),'Population Data by Age'!$B$7:$B$10366,0),MATCH('Tabular Pop Data by Age'!$C$6,'Population Data by Age'!$B$6:$H$6,0))</f>
        <v>867100</v>
      </c>
      <c r="Y237" s="78">
        <f>INDEX('Population Data by Age'!$B$7:$H$10366,MATCH(CONCATENATE('Tabular Pop Data by Age'!$C237,'Tabular Pop Data by Age'!Y$7),'Population Data by Age'!$B$7:$B$10366,0),MATCH('Tabular Pop Data by Age'!$C$6,'Population Data by Age'!$B$6:$H$6,0))</f>
        <v>962900</v>
      </c>
      <c r="Z237" s="78">
        <f>INDEX('Population Data by Age'!$B$7:$H$10366,MATCH(CONCATENATE('Tabular Pop Data by Age'!$C237,'Tabular Pop Data by Age'!Z$7),'Population Data by Age'!$B$7:$B$10366,0),MATCH('Tabular Pop Data by Age'!$C$6,'Population Data by Age'!$B$6:$H$6,0))</f>
        <v>778900</v>
      </c>
      <c r="AA237" s="78">
        <f>INDEX('Population Data by Age'!$B$7:$H$10366,MATCH(CONCATENATE('Tabular Pop Data by Age'!$C237,'Tabular Pop Data by Age'!AA$7),'Population Data by Age'!$B$7:$B$10366,0),MATCH('Tabular Pop Data by Age'!$C$6,'Population Data by Age'!$B$6:$H$6,0))</f>
        <v>805200</v>
      </c>
      <c r="AB237" s="78">
        <f>INDEX('Population Data by Age'!$B$7:$H$10366,MATCH(CONCATENATE('Tabular Pop Data by Age'!$C237,'Tabular Pop Data by Age'!AB$7),'Population Data by Age'!$B$7:$B$10366,0),MATCH('Tabular Pop Data by Age'!$C$6,'Population Data by Age'!$B$6:$H$6,0))</f>
        <v>648700</v>
      </c>
      <c r="AC237" s="78">
        <f>INDEX('Population Data by Age'!$B$7:$H$10366,MATCH(CONCATENATE('Tabular Pop Data by Age'!$C237,'Tabular Pop Data by Age'!AC$7),'Population Data by Age'!$B$7:$B$10366,0),MATCH('Tabular Pop Data by Age'!$C$6,'Population Data by Age'!$B$6:$H$6,0))</f>
        <v>622500</v>
      </c>
      <c r="AD237" s="78">
        <f>INDEX('Population Data by Age'!$B$7:$H$10366,MATCH(CONCATENATE('Tabular Pop Data by Age'!$C237,'Tabular Pop Data by Age'!AD$7),'Population Data by Age'!$B$7:$B$10366,0),MATCH('Tabular Pop Data by Age'!$C$6,'Population Data by Age'!$B$6:$H$6,0))</f>
        <v>505600</v>
      </c>
      <c r="AE237" s="78">
        <f>INDEX('Population Data by Age'!$B$7:$H$10366,MATCH(CONCATENATE('Tabular Pop Data by Age'!$C237,'Tabular Pop Data by Age'!AE$7),'Population Data by Age'!$B$7:$B$10366,0),MATCH('Tabular Pop Data by Age'!$C$6,'Population Data by Age'!$B$6:$H$6,0))</f>
        <v>454200</v>
      </c>
      <c r="AF237" s="78">
        <f>INDEX('Population Data by Age'!$B$7:$H$10366,MATCH(CONCATENATE('Tabular Pop Data by Age'!$C237,'Tabular Pop Data by Age'!AF$7),'Population Data by Age'!$B$7:$B$10366,0),MATCH('Tabular Pop Data by Age'!$C$6,'Population Data by Age'!$B$6:$H$6,0))</f>
        <v>370100</v>
      </c>
      <c r="AG237" s="78">
        <f>INDEX('Population Data by Age'!$B$7:$H$10366,MATCH(CONCATENATE('Tabular Pop Data by Age'!$C237,'Tabular Pop Data by Age'!AG$7),'Population Data by Age'!$B$7:$B$10366,0),MATCH('Tabular Pop Data by Age'!$C$6,'Population Data by Age'!$B$6:$H$6,0))</f>
        <v>311900</v>
      </c>
      <c r="AH237" s="78">
        <f>INDEX('Population Data by Age'!$B$7:$H$10366,MATCH(CONCATENATE('Tabular Pop Data by Age'!$C237,'Tabular Pop Data by Age'!AH$7),'Population Data by Age'!$B$7:$B$10366,0),MATCH('Tabular Pop Data by Age'!$C$6,'Population Data by Age'!$B$6:$H$6,0))</f>
        <v>263800</v>
      </c>
      <c r="AI237" s="78">
        <f>INDEX('Population Data by Age'!$B$7:$H$10366,MATCH(CONCATENATE('Tabular Pop Data by Age'!$C237,'Tabular Pop Data by Age'!AI$7),'Population Data by Age'!$B$7:$B$10366,0),MATCH('Tabular Pop Data by Age'!$C$6,'Population Data by Age'!$B$6:$H$6,0))</f>
        <v>192700</v>
      </c>
      <c r="AJ237" s="78">
        <f>INDEX('Population Data by Age'!$B$7:$H$10366,MATCH(CONCATENATE('Tabular Pop Data by Age'!$C237,'Tabular Pop Data by Age'!AJ$7),'Population Data by Age'!$B$7:$B$10366,0),MATCH('Tabular Pop Data by Age'!$C$6,'Population Data by Age'!$B$6:$H$6,0))</f>
        <v>303100</v>
      </c>
      <c r="AK237" s="78">
        <f>INDEX('Population Data by Age'!$B$7:$H$10366,MATCH(CONCATENATE('Tabular Pop Data by Age'!$C237,'Tabular Pop Data by Age'!AK$7),'Population Data by Age'!$B$7:$B$10366,0),MATCH('Tabular Pop Data by Age'!$C$6,'Population Data by Age'!$B$6:$H$6,0))</f>
        <v>182300</v>
      </c>
      <c r="AL237" s="78">
        <f>INDEX('Population Data by Age'!$B$7:$H$10366,MATCH(CONCATENATE('Tabular Pop Data by Age'!$C237,'Tabular Pop Data by Age'!AL$7),'Population Data by Age'!$B$7:$B$10366,0),MATCH('Tabular Pop Data by Age'!$C$6,'Population Data by Age'!$B$6:$H$6,0))</f>
        <v>19770000</v>
      </c>
      <c r="AM237" s="78">
        <f>INDEX('Population Data by Age'!$B$7:$H$10366,MATCH(CONCATENATE('Tabular Pop Data by Age'!$C237,'Tabular Pop Data by Age'!AM$7),'Population Data by Age'!$B$7:$B$10366,0),MATCH('Tabular Pop Data by Age'!$C$6,'Population Data by Age'!$B$6:$H$6,0))</f>
        <v>21828000</v>
      </c>
      <c r="AN237" s="78">
        <f>INDEX('Population Data by Age'!$B$7:$H$10366,MATCH(CONCATENATE('Tabular Pop Data by Age'!$C237,'Tabular Pop Data by Age'!AN$7),'Population Data by Age'!$B$7:$B$10366,0),MATCH('Tabular Pop Data by Age'!$C$6,'Population Data by Age'!$B$6:$H$6,0))</f>
        <v>41855000</v>
      </c>
      <c r="AO237" s="78">
        <f>INDEX('Population Data by Age'!$B$7:$H$10366,MATCH(CONCATENATE('Tabular Pop Data by Age'!$C237,'Tabular Pop Data by Age'!AO$7),'Population Data by Age'!$B$7:$B$10366,0),MATCH('Tabular Pop Data by Age'!$C$6,'Population Data by Age'!$B$6:$H$6,0))</f>
        <v>1.523273582846187</v>
      </c>
      <c r="AP237" s="79">
        <f t="shared" si="68"/>
        <v>4245500</v>
      </c>
      <c r="AQ237" s="79">
        <f t="shared" si="69"/>
        <v>4024600</v>
      </c>
      <c r="AR237" s="79">
        <f t="shared" si="70"/>
        <v>3720000</v>
      </c>
      <c r="AS237" s="79">
        <f t="shared" si="71"/>
        <v>3454600</v>
      </c>
      <c r="AT237" s="79">
        <f t="shared" si="72"/>
        <v>3502900</v>
      </c>
      <c r="AU237" s="79">
        <f t="shared" si="73"/>
        <v>3837400</v>
      </c>
      <c r="AV237" s="79">
        <f t="shared" si="74"/>
        <v>3678100</v>
      </c>
      <c r="AW237" s="79">
        <f t="shared" si="75"/>
        <v>3129400</v>
      </c>
      <c r="AX237" s="79">
        <f t="shared" si="76"/>
        <v>2549700</v>
      </c>
      <c r="AY237" s="79">
        <f t="shared" si="77"/>
        <v>2180800</v>
      </c>
      <c r="AZ237" s="79">
        <f t="shared" si="78"/>
        <v>1830000</v>
      </c>
      <c r="BA237" s="79">
        <f t="shared" si="79"/>
        <v>1584100</v>
      </c>
      <c r="BB237" s="79">
        <f t="shared" si="80"/>
        <v>1271200</v>
      </c>
      <c r="BC237" s="79">
        <f t="shared" si="81"/>
        <v>959800</v>
      </c>
      <c r="BD237" s="79">
        <f t="shared" si="82"/>
        <v>682000</v>
      </c>
      <c r="BE237" s="79">
        <f t="shared" si="83"/>
        <v>456500</v>
      </c>
      <c r="BF237" s="79">
        <f t="shared" si="84"/>
        <v>485400</v>
      </c>
    </row>
    <row r="238" spans="1:58" x14ac:dyDescent="0.25">
      <c r="A238" s="138" t="s">
        <v>1182</v>
      </c>
      <c r="B238" t="s">
        <v>610</v>
      </c>
      <c r="C238" t="s">
        <v>611</v>
      </c>
      <c r="D238" s="78">
        <f>INDEX('Population Data by Age'!$B$7:$H$10366,MATCH(CONCATENATE('Tabular Pop Data by Age'!$C238,'Tabular Pop Data by Age'!D$7),'Population Data by Age'!$B$7:$B$10366,0),MATCH('Tabular Pop Data by Age'!$C$6,'Population Data by Age'!$B$6:$H$6,0))</f>
        <v>27737000</v>
      </c>
      <c r="E238" s="78">
        <f>INDEX('Population Data by Age'!$B$7:$H$10366,MATCH(CONCATENATE('Tabular Pop Data by Age'!$C238,'Tabular Pop Data by Age'!E$7),'Population Data by Age'!$B$7:$B$10366,0),MATCH('Tabular Pop Data by Age'!$C$6,'Population Data by Age'!$B$6:$H$6,0))</f>
        <v>29161400</v>
      </c>
      <c r="F238" s="78">
        <f>INDEX('Population Data by Age'!$B$7:$H$10366,MATCH(CONCATENATE('Tabular Pop Data by Age'!$C238,'Tabular Pop Data by Age'!F$7),'Population Data by Age'!$B$7:$B$10366,0),MATCH('Tabular Pop Data by Age'!$C$6,'Population Data by Age'!$B$6:$H$6,0))</f>
        <v>29073200</v>
      </c>
      <c r="G238" s="78">
        <f>INDEX('Population Data by Age'!$B$7:$H$10366,MATCH(CONCATENATE('Tabular Pop Data by Age'!$C238,'Tabular Pop Data by Age'!G$7),'Population Data by Age'!$B$7:$B$10366,0),MATCH('Tabular Pop Data by Age'!$C$6,'Population Data by Age'!$B$6:$H$6,0))</f>
        <v>30605600</v>
      </c>
      <c r="H238" s="78">
        <f>INDEX('Population Data by Age'!$B$7:$H$10366,MATCH(CONCATENATE('Tabular Pop Data by Age'!$C238,'Tabular Pop Data by Age'!H$7),'Population Data by Age'!$B$7:$B$10366,0),MATCH('Tabular Pop Data by Age'!$C$6,'Population Data by Age'!$B$6:$H$6,0))</f>
        <v>29849000</v>
      </c>
      <c r="I238" s="78">
        <f>INDEX('Population Data by Age'!$B$7:$H$10366,MATCH(CONCATENATE('Tabular Pop Data by Age'!$C238,'Tabular Pop Data by Age'!I$7),'Population Data by Age'!$B$7:$B$10366,0),MATCH('Tabular Pop Data by Age'!$C$6,'Population Data by Age'!$B$6:$H$6,0))</f>
        <v>31452300</v>
      </c>
      <c r="J238" s="78">
        <f>INDEX('Population Data by Age'!$B$7:$H$10366,MATCH(CONCATENATE('Tabular Pop Data by Age'!$C238,'Tabular Pop Data by Age'!J$7),'Population Data by Age'!$B$7:$B$10366,0),MATCH('Tabular Pop Data by Age'!$C$6,'Population Data by Age'!$B$6:$H$6,0))</f>
        <v>29637700</v>
      </c>
      <c r="K238" s="78">
        <f>INDEX('Population Data by Age'!$B$7:$H$10366,MATCH(CONCATENATE('Tabular Pop Data by Age'!$C238,'Tabular Pop Data by Age'!K$7),'Population Data by Age'!$B$7:$B$10366,0),MATCH('Tabular Pop Data by Age'!$C$6,'Population Data by Age'!$B$6:$H$6,0))</f>
        <v>31193300</v>
      </c>
      <c r="L238" s="78">
        <f>INDEX('Population Data by Age'!$B$7:$H$10366,MATCH(CONCATENATE('Tabular Pop Data by Age'!$C238,'Tabular Pop Data by Age'!L$7),'Population Data by Age'!$B$7:$B$10366,0),MATCH('Tabular Pop Data by Age'!$C$6,'Population Data by Age'!$B$6:$H$6,0))</f>
        <v>31649000</v>
      </c>
      <c r="M238" s="78">
        <f>INDEX('Population Data by Age'!$B$7:$H$10366,MATCH(CONCATENATE('Tabular Pop Data by Age'!$C238,'Tabular Pop Data by Age'!M$7),'Population Data by Age'!$B$7:$B$10366,0),MATCH('Tabular Pop Data by Age'!$C$6,'Population Data by Age'!$B$6:$H$6,0))</f>
        <v>33229300</v>
      </c>
      <c r="N238" s="78">
        <f>INDEX('Population Data by Age'!$B$7:$H$10366,MATCH(CONCATENATE('Tabular Pop Data by Age'!$C238,'Tabular Pop Data by Age'!N$7),'Population Data by Age'!$B$7:$B$10366,0),MATCH('Tabular Pop Data by Age'!$C$6,'Population Data by Age'!$B$6:$H$6,0))</f>
        <v>34423100</v>
      </c>
      <c r="O238" s="78">
        <f>INDEX('Population Data by Age'!$B$7:$H$10366,MATCH(CONCATENATE('Tabular Pop Data by Age'!$C238,'Tabular Pop Data by Age'!O$7),'Population Data by Age'!$B$7:$B$10366,0),MATCH('Tabular Pop Data by Age'!$C$6,'Population Data by Age'!$B$6:$H$6,0))</f>
        <v>36050000</v>
      </c>
      <c r="P238" s="78">
        <f>INDEX('Population Data by Age'!$B$7:$H$10366,MATCH(CONCATENATE('Tabular Pop Data by Age'!$C238,'Tabular Pop Data by Age'!P$7),'Population Data by Age'!$B$7:$B$10366,0),MATCH('Tabular Pop Data by Age'!$C$6,'Population Data by Age'!$B$6:$H$6,0))</f>
        <v>36009800</v>
      </c>
      <c r="Q238" s="78">
        <f>INDEX('Population Data by Age'!$B$7:$H$10366,MATCH(CONCATENATE('Tabular Pop Data by Age'!$C238,'Tabular Pop Data by Age'!Q$7),'Population Data by Age'!$B$7:$B$10366,0),MATCH('Tabular Pop Data by Age'!$C$6,'Population Data by Age'!$B$6:$H$6,0))</f>
        <v>37102400</v>
      </c>
      <c r="R238" s="78">
        <f>INDEX('Population Data by Age'!$B$7:$H$10366,MATCH(CONCATENATE('Tabular Pop Data by Age'!$C238,'Tabular Pop Data by Age'!R$7),'Population Data by Age'!$B$7:$B$10366,0),MATCH('Tabular Pop Data by Age'!$C$6,'Population Data by Age'!$B$6:$H$6,0))</f>
        <v>36782400</v>
      </c>
      <c r="S238" s="78">
        <f>INDEX('Population Data by Age'!$B$7:$H$10366,MATCH(CONCATENATE('Tabular Pop Data by Age'!$C238,'Tabular Pop Data by Age'!S$7),'Population Data by Age'!$B$7:$B$10366,0),MATCH('Tabular Pop Data by Age'!$C$6,'Population Data by Age'!$B$6:$H$6,0))</f>
        <v>37267600</v>
      </c>
      <c r="T238" s="78">
        <f>INDEX('Population Data by Age'!$B$7:$H$10366,MATCH(CONCATENATE('Tabular Pop Data by Age'!$C238,'Tabular Pop Data by Age'!T$7),'Population Data by Age'!$B$7:$B$10366,0),MATCH('Tabular Pop Data by Age'!$C$6,'Population Data by Age'!$B$6:$H$6,0))</f>
        <v>36794300</v>
      </c>
      <c r="U238" s="78">
        <f>INDEX('Population Data by Age'!$B$7:$H$10366,MATCH(CONCATENATE('Tabular Pop Data by Age'!$C238,'Tabular Pop Data by Age'!U$7),'Population Data by Age'!$B$7:$B$10366,0),MATCH('Tabular Pop Data by Age'!$C$6,'Population Data by Age'!$B$6:$H$6,0))</f>
        <v>36893400</v>
      </c>
      <c r="V238" s="78">
        <f>INDEX('Population Data by Age'!$B$7:$H$10366,MATCH(CONCATENATE('Tabular Pop Data by Age'!$C238,'Tabular Pop Data by Age'!V$7),'Population Data by Age'!$B$7:$B$10366,0),MATCH('Tabular Pop Data by Age'!$C$6,'Population Data by Age'!$B$6:$H$6,0))</f>
        <v>38432800</v>
      </c>
      <c r="W238" s="78">
        <f>INDEX('Population Data by Age'!$B$7:$H$10366,MATCH(CONCATENATE('Tabular Pop Data by Age'!$C238,'Tabular Pop Data by Age'!W$7),'Population Data by Age'!$B$7:$B$10366,0),MATCH('Tabular Pop Data by Age'!$C$6,'Population Data by Age'!$B$6:$H$6,0))</f>
        <v>38369900</v>
      </c>
      <c r="X238" s="78">
        <f>INDEX('Population Data by Age'!$B$7:$H$10366,MATCH(CONCATENATE('Tabular Pop Data by Age'!$C238,'Tabular Pop Data by Age'!X$7),'Population Data by Age'!$B$7:$B$10366,0),MATCH('Tabular Pop Data by Age'!$C$6,'Population Data by Age'!$B$6:$H$6,0))</f>
        <v>38804600</v>
      </c>
      <c r="Y238" s="78">
        <f>INDEX('Population Data by Age'!$B$7:$H$10366,MATCH(CONCATENATE('Tabular Pop Data by Age'!$C238,'Tabular Pop Data by Age'!Y$7),'Population Data by Age'!$B$7:$B$10366,0),MATCH('Tabular Pop Data by Age'!$C$6,'Population Data by Age'!$B$6:$H$6,0))</f>
        <v>38448600</v>
      </c>
      <c r="Z238" s="78">
        <f>INDEX('Population Data by Age'!$B$7:$H$10366,MATCH(CONCATENATE('Tabular Pop Data by Age'!$C238,'Tabular Pop Data by Age'!Z$7),'Population Data by Age'!$B$7:$B$10366,0),MATCH('Tabular Pop Data by Age'!$C$6,'Population Data by Age'!$B$6:$H$6,0))</f>
        <v>39167200</v>
      </c>
      <c r="AA238" s="78">
        <f>INDEX('Population Data by Age'!$B$7:$H$10366,MATCH(CONCATENATE('Tabular Pop Data by Age'!$C238,'Tabular Pop Data by Age'!AA$7),'Population Data by Age'!$B$7:$B$10366,0),MATCH('Tabular Pop Data by Age'!$C$6,'Population Data by Age'!$B$6:$H$6,0))</f>
        <v>38133300</v>
      </c>
      <c r="AB238" s="78">
        <f>INDEX('Population Data by Age'!$B$7:$H$10366,MATCH(CONCATENATE('Tabular Pop Data by Age'!$C238,'Tabular Pop Data by Age'!AB$7),'Population Data by Age'!$B$7:$B$10366,0),MATCH('Tabular Pop Data by Age'!$C$6,'Population Data by Age'!$B$6:$H$6,0))</f>
        <v>36468500</v>
      </c>
      <c r="AC238" s="78">
        <f>INDEX('Population Data by Age'!$B$7:$H$10366,MATCH(CONCATENATE('Tabular Pop Data by Age'!$C238,'Tabular Pop Data by Age'!AC$7),'Population Data by Age'!$B$7:$B$10366,0),MATCH('Tabular Pop Data by Age'!$C$6,'Population Data by Age'!$B$6:$H$6,0))</f>
        <v>34337700</v>
      </c>
      <c r="AD238" s="78">
        <f>INDEX('Population Data by Age'!$B$7:$H$10366,MATCH(CONCATENATE('Tabular Pop Data by Age'!$C238,'Tabular Pop Data by Age'!AD$7),'Population Data by Age'!$B$7:$B$10366,0),MATCH('Tabular Pop Data by Age'!$C$6,'Population Data by Age'!$B$6:$H$6,0))</f>
        <v>33178900</v>
      </c>
      <c r="AE238" s="78">
        <f>INDEX('Population Data by Age'!$B$7:$H$10366,MATCH(CONCATENATE('Tabular Pop Data by Age'!$C238,'Tabular Pop Data by Age'!AE$7),'Population Data by Age'!$B$7:$B$10366,0),MATCH('Tabular Pop Data by Age'!$C$6,'Population Data by Age'!$B$6:$H$6,0))</f>
        <v>29846500</v>
      </c>
      <c r="AF238" s="78">
        <f>INDEX('Population Data by Age'!$B$7:$H$10366,MATCH(CONCATENATE('Tabular Pop Data by Age'!$C238,'Tabular Pop Data by Age'!AF$7),'Population Data by Age'!$B$7:$B$10366,0),MATCH('Tabular Pop Data by Age'!$C$6,'Population Data by Age'!$B$6:$H$6,0))</f>
        <v>29611700</v>
      </c>
      <c r="AG238" s="78">
        <f>INDEX('Population Data by Age'!$B$7:$H$10366,MATCH(CONCATENATE('Tabular Pop Data by Age'!$C238,'Tabular Pop Data by Age'!AG$7),'Population Data by Age'!$B$7:$B$10366,0),MATCH('Tabular Pop Data by Age'!$C$6,'Population Data by Age'!$B$6:$H$6,0))</f>
        <v>25552700</v>
      </c>
      <c r="AH238" s="78">
        <f>INDEX('Population Data by Age'!$B$7:$H$10366,MATCH(CONCATENATE('Tabular Pop Data by Age'!$C238,'Tabular Pop Data by Age'!AH$7),'Population Data by Age'!$B$7:$B$10366,0),MATCH('Tabular Pop Data by Age'!$C$6,'Population Data by Age'!$B$6:$H$6,0))</f>
        <v>22659900</v>
      </c>
      <c r="AI238" s="78">
        <f>INDEX('Population Data by Age'!$B$7:$H$10366,MATCH(CONCATENATE('Tabular Pop Data by Age'!$C238,'Tabular Pop Data by Age'!AI$7),'Population Data by Age'!$B$7:$B$10366,0),MATCH('Tabular Pop Data by Age'!$C$6,'Population Data by Age'!$B$6:$H$6,0))</f>
        <v>17931400</v>
      </c>
      <c r="AJ238" s="78">
        <f>INDEX('Population Data by Age'!$B$7:$H$10366,MATCH(CONCATENATE('Tabular Pop Data by Age'!$C238,'Tabular Pop Data by Age'!AJ$7),'Population Data by Age'!$B$7:$B$10366,0),MATCH('Tabular Pop Data by Age'!$C$6,'Population Data by Age'!$B$6:$H$6,0))</f>
        <v>37759000</v>
      </c>
      <c r="AK238" s="78">
        <f>INDEX('Population Data by Age'!$B$7:$H$10366,MATCH(CONCATENATE('Tabular Pop Data by Age'!$C238,'Tabular Pop Data by Age'!AK$7),'Population Data by Age'!$B$7:$B$10366,0),MATCH('Tabular Pop Data by Age'!$C$6,'Population Data by Age'!$B$6:$H$6,0))</f>
        <v>22661500</v>
      </c>
      <c r="AL238" s="78">
        <f>INDEX('Population Data by Age'!$B$7:$H$10366,MATCH(CONCATENATE('Tabular Pop Data by Age'!$C238,'Tabular Pop Data by Age'!AL$7),'Population Data by Age'!$B$7:$B$10366,0),MATCH('Tabular Pop Data by Age'!$C$6,'Population Data by Age'!$B$6:$H$6,0))</f>
        <v>568036000</v>
      </c>
      <c r="AM238" s="78">
        <f>INDEX('Population Data by Age'!$B$7:$H$10366,MATCH(CONCATENATE('Tabular Pop Data by Age'!$C238,'Tabular Pop Data by Age'!AM$7),'Population Data by Age'!$B$7:$B$10366,0),MATCH('Tabular Pop Data by Age'!$C$6,'Population Data by Age'!$B$6:$H$6,0))</f>
        <v>548230000</v>
      </c>
      <c r="AN238" s="78">
        <f>INDEX('Population Data by Age'!$B$7:$H$10366,MATCH(CONCATENATE('Tabular Pop Data by Age'!$C238,'Tabular Pop Data by Age'!AN$7),'Population Data by Age'!$B$7:$B$10366,0),MATCH('Tabular Pop Data by Age'!$C$6,'Population Data by Age'!$B$6:$H$6,0))</f>
        <v>1116268000</v>
      </c>
      <c r="AO238" s="78">
        <f>INDEX('Population Data by Age'!$B$7:$H$10366,MATCH(CONCATENATE('Tabular Pop Data by Age'!$C238,'Tabular Pop Data by Age'!AO$7),'Population Data by Age'!$B$7:$B$10366,0),MATCH('Tabular Pop Data by Age'!$C$6,'Population Data by Age'!$B$6:$H$6,0))</f>
        <v>0.28055644143395853</v>
      </c>
      <c r="AP238" s="79">
        <f t="shared" si="68"/>
        <v>56898400</v>
      </c>
      <c r="AQ238" s="79">
        <f t="shared" si="69"/>
        <v>59678800</v>
      </c>
      <c r="AR238" s="79">
        <f t="shared" si="70"/>
        <v>61301300</v>
      </c>
      <c r="AS238" s="79">
        <f t="shared" si="71"/>
        <v>60831000</v>
      </c>
      <c r="AT238" s="79">
        <f t="shared" si="72"/>
        <v>64878300</v>
      </c>
      <c r="AU238" s="79">
        <f t="shared" si="73"/>
        <v>70473100</v>
      </c>
      <c r="AV238" s="79">
        <f t="shared" si="74"/>
        <v>73112200</v>
      </c>
      <c r="AW238" s="79">
        <f t="shared" si="75"/>
        <v>74050000</v>
      </c>
      <c r="AX238" s="79">
        <f t="shared" si="76"/>
        <v>73687700</v>
      </c>
      <c r="AY238" s="79">
        <f t="shared" si="77"/>
        <v>76802700</v>
      </c>
      <c r="AZ238" s="79">
        <f t="shared" si="78"/>
        <v>77253200</v>
      </c>
      <c r="BA238" s="79">
        <f t="shared" si="79"/>
        <v>77300500</v>
      </c>
      <c r="BB238" s="79">
        <f t="shared" si="80"/>
        <v>70806200</v>
      </c>
      <c r="BC238" s="79">
        <f t="shared" si="81"/>
        <v>63025400</v>
      </c>
      <c r="BD238" s="79">
        <f t="shared" si="82"/>
        <v>55164400</v>
      </c>
      <c r="BE238" s="79">
        <f t="shared" si="83"/>
        <v>40591300</v>
      </c>
      <c r="BF238" s="79">
        <f t="shared" si="84"/>
        <v>60420500</v>
      </c>
    </row>
    <row r="239" spans="1:58" x14ac:dyDescent="0.25">
      <c r="A239" s="138" t="s">
        <v>1182</v>
      </c>
      <c r="B239" t="s">
        <v>612</v>
      </c>
      <c r="C239" t="s">
        <v>613</v>
      </c>
      <c r="D239" s="78">
        <f>INDEX('Population Data by Age'!$B$7:$H$10366,MATCH(CONCATENATE('Tabular Pop Data by Age'!$C239,'Tabular Pop Data by Age'!D$7),'Population Data by Age'!$B$7:$B$10366,0),MATCH('Tabular Pop Data by Age'!$C$6,'Population Data by Age'!$B$6:$H$6,0))</f>
        <v>76836000</v>
      </c>
      <c r="E239" s="78">
        <f>INDEX('Population Data by Age'!$B$7:$H$10366,MATCH(CONCATENATE('Tabular Pop Data by Age'!$C239,'Tabular Pop Data by Age'!E$7),'Population Data by Age'!$B$7:$B$10366,0),MATCH('Tabular Pop Data by Age'!$C$6,'Population Data by Age'!$B$6:$H$6,0))</f>
        <v>79170000</v>
      </c>
      <c r="F239" s="78">
        <f>INDEX('Population Data by Age'!$B$7:$H$10366,MATCH(CONCATENATE('Tabular Pop Data by Age'!$C239,'Tabular Pop Data by Age'!F$7),'Population Data by Age'!$B$7:$B$10366,0),MATCH('Tabular Pop Data by Age'!$C$6,'Population Data by Age'!$B$6:$H$6,0))</f>
        <v>68919000</v>
      </c>
      <c r="G239" s="78">
        <f>INDEX('Population Data by Age'!$B$7:$H$10366,MATCH(CONCATENATE('Tabular Pop Data by Age'!$C239,'Tabular Pop Data by Age'!G$7),'Population Data by Age'!$B$7:$B$10366,0),MATCH('Tabular Pop Data by Age'!$C$6,'Population Data by Age'!$B$6:$H$6,0))</f>
        <v>70810000</v>
      </c>
      <c r="H239" s="78">
        <f>INDEX('Population Data by Age'!$B$7:$H$10366,MATCH(CONCATENATE('Tabular Pop Data by Age'!$C239,'Tabular Pop Data by Age'!H$7),'Population Data by Age'!$B$7:$B$10366,0),MATCH('Tabular Pop Data by Age'!$C$6,'Population Data by Age'!$B$6:$H$6,0))</f>
        <v>60965000</v>
      </c>
      <c r="I239" s="78">
        <f>INDEX('Population Data by Age'!$B$7:$H$10366,MATCH(CONCATENATE('Tabular Pop Data by Age'!$C239,'Tabular Pop Data by Age'!I$7),'Population Data by Age'!$B$7:$B$10366,0),MATCH('Tabular Pop Data by Age'!$C$6,'Population Data by Age'!$B$6:$H$6,0))</f>
        <v>62427000</v>
      </c>
      <c r="J239" s="78">
        <f>INDEX('Population Data by Age'!$B$7:$H$10366,MATCH(CONCATENATE('Tabular Pop Data by Age'!$C239,'Tabular Pop Data by Age'!J$7),'Population Data by Age'!$B$7:$B$10366,0),MATCH('Tabular Pop Data by Age'!$C$6,'Population Data by Age'!$B$6:$H$6,0))</f>
        <v>52397000</v>
      </c>
      <c r="K239" s="78">
        <f>INDEX('Population Data by Age'!$B$7:$H$10366,MATCH(CONCATENATE('Tabular Pop Data by Age'!$C239,'Tabular Pop Data by Age'!K$7),'Population Data by Age'!$B$7:$B$10366,0),MATCH('Tabular Pop Data by Age'!$C$6,'Population Data by Age'!$B$6:$H$6,0))</f>
        <v>53429000</v>
      </c>
      <c r="L239" s="78">
        <f>INDEX('Population Data by Age'!$B$7:$H$10366,MATCH(CONCATENATE('Tabular Pop Data by Age'!$C239,'Tabular Pop Data by Age'!L$7),'Population Data by Age'!$B$7:$B$10366,0),MATCH('Tabular Pop Data by Age'!$C$6,'Population Data by Age'!$B$6:$H$6,0))</f>
        <v>44144000</v>
      </c>
      <c r="M239" s="78">
        <f>INDEX('Population Data by Age'!$B$7:$H$10366,MATCH(CONCATENATE('Tabular Pop Data by Age'!$C239,'Tabular Pop Data by Age'!M$7),'Population Data by Age'!$B$7:$B$10366,0),MATCH('Tabular Pop Data by Age'!$C$6,'Population Data by Age'!$B$6:$H$6,0))</f>
        <v>44655000</v>
      </c>
      <c r="N239" s="78">
        <f>INDEX('Population Data by Age'!$B$7:$H$10366,MATCH(CONCATENATE('Tabular Pop Data by Age'!$C239,'Tabular Pop Data by Age'!N$7),'Population Data by Age'!$B$7:$B$10366,0),MATCH('Tabular Pop Data by Age'!$C$6,'Population Data by Age'!$B$6:$H$6,0))</f>
        <v>37027000</v>
      </c>
      <c r="O239" s="78">
        <f>INDEX('Population Data by Age'!$B$7:$H$10366,MATCH(CONCATENATE('Tabular Pop Data by Age'!$C239,'Tabular Pop Data by Age'!O$7),'Population Data by Age'!$B$7:$B$10366,0),MATCH('Tabular Pop Data by Age'!$C$6,'Population Data by Age'!$B$6:$H$6,0))</f>
        <v>37230000</v>
      </c>
      <c r="P239" s="78">
        <f>INDEX('Population Data by Age'!$B$7:$H$10366,MATCH(CONCATENATE('Tabular Pop Data by Age'!$C239,'Tabular Pop Data by Age'!P$7),'Population Data by Age'!$B$7:$B$10366,0),MATCH('Tabular Pop Data by Age'!$C$6,'Population Data by Age'!$B$6:$H$6,0))</f>
        <v>31289000</v>
      </c>
      <c r="Q239" s="78">
        <f>INDEX('Population Data by Age'!$B$7:$H$10366,MATCH(CONCATENATE('Tabular Pop Data by Age'!$C239,'Tabular Pop Data by Age'!Q$7),'Population Data by Age'!$B$7:$B$10366,0),MATCH('Tabular Pop Data by Age'!$C$6,'Population Data by Age'!$B$6:$H$6,0))</f>
        <v>31235000</v>
      </c>
      <c r="R239" s="78">
        <f>INDEX('Population Data by Age'!$B$7:$H$10366,MATCH(CONCATENATE('Tabular Pop Data by Age'!$C239,'Tabular Pop Data by Age'!R$7),'Population Data by Age'!$B$7:$B$10366,0),MATCH('Tabular Pop Data by Age'!$C$6,'Population Data by Age'!$B$6:$H$6,0))</f>
        <v>26255000</v>
      </c>
      <c r="S239" s="78">
        <f>INDEX('Population Data by Age'!$B$7:$H$10366,MATCH(CONCATENATE('Tabular Pop Data by Age'!$C239,'Tabular Pop Data by Age'!S$7),'Population Data by Age'!$B$7:$B$10366,0),MATCH('Tabular Pop Data by Age'!$C$6,'Population Data by Age'!$B$6:$H$6,0))</f>
        <v>25945000</v>
      </c>
      <c r="T239" s="78">
        <f>INDEX('Population Data by Age'!$B$7:$H$10366,MATCH(CONCATENATE('Tabular Pop Data by Age'!$C239,'Tabular Pop Data by Age'!T$7),'Population Data by Age'!$B$7:$B$10366,0),MATCH('Tabular Pop Data by Age'!$C$6,'Population Data by Age'!$B$6:$H$6,0))</f>
        <v>21564000</v>
      </c>
      <c r="U239" s="78">
        <f>INDEX('Population Data by Age'!$B$7:$H$10366,MATCH(CONCATENATE('Tabular Pop Data by Age'!$C239,'Tabular Pop Data by Age'!U$7),'Population Data by Age'!$B$7:$B$10366,0),MATCH('Tabular Pop Data by Age'!$C$6,'Population Data by Age'!$B$6:$H$6,0))</f>
        <v>21180000</v>
      </c>
      <c r="V239" s="78">
        <f>INDEX('Population Data by Age'!$B$7:$H$10366,MATCH(CONCATENATE('Tabular Pop Data by Age'!$C239,'Tabular Pop Data by Age'!V$7),'Population Data by Age'!$B$7:$B$10366,0),MATCH('Tabular Pop Data by Age'!$C$6,'Population Data by Age'!$B$6:$H$6,0))</f>
        <v>17383000</v>
      </c>
      <c r="W239" s="78">
        <f>INDEX('Population Data by Age'!$B$7:$H$10366,MATCH(CONCATENATE('Tabular Pop Data by Age'!$C239,'Tabular Pop Data by Age'!W$7),'Population Data by Age'!$B$7:$B$10366,0),MATCH('Tabular Pop Data by Age'!$C$6,'Population Data by Age'!$B$6:$H$6,0))</f>
        <v>16857000</v>
      </c>
      <c r="X239" s="78">
        <f>INDEX('Population Data by Age'!$B$7:$H$10366,MATCH(CONCATENATE('Tabular Pop Data by Age'!$C239,'Tabular Pop Data by Age'!X$7),'Population Data by Age'!$B$7:$B$10366,0),MATCH('Tabular Pop Data by Age'!$C$6,'Population Data by Age'!$B$6:$H$6,0))</f>
        <v>13837000</v>
      </c>
      <c r="Y239" s="78">
        <f>INDEX('Population Data by Age'!$B$7:$H$10366,MATCH(CONCATENATE('Tabular Pop Data by Age'!$C239,'Tabular Pop Data by Age'!Y$7),'Population Data by Age'!$B$7:$B$10366,0),MATCH('Tabular Pop Data by Age'!$C$6,'Population Data by Age'!$B$6:$H$6,0))</f>
        <v>13107000</v>
      </c>
      <c r="Z239" s="78">
        <f>INDEX('Population Data by Age'!$B$7:$H$10366,MATCH(CONCATENATE('Tabular Pop Data by Age'!$C239,'Tabular Pop Data by Age'!Z$7),'Population Data by Age'!$B$7:$B$10366,0),MATCH('Tabular Pop Data by Age'!$C$6,'Population Data by Age'!$B$6:$H$6,0))</f>
        <v>10936000</v>
      </c>
      <c r="AA239" s="78">
        <f>INDEX('Population Data by Age'!$B$7:$H$10366,MATCH(CONCATENATE('Tabular Pop Data by Age'!$C239,'Tabular Pop Data by Age'!AA$7),'Population Data by Age'!$B$7:$B$10366,0),MATCH('Tabular Pop Data by Age'!$C$6,'Population Data by Age'!$B$6:$H$6,0))</f>
        <v>10135000</v>
      </c>
      <c r="AB239" s="78">
        <f>INDEX('Population Data by Age'!$B$7:$H$10366,MATCH(CONCATENATE('Tabular Pop Data by Age'!$C239,'Tabular Pop Data by Age'!AB$7),'Population Data by Age'!$B$7:$B$10366,0),MATCH('Tabular Pop Data by Age'!$C$6,'Population Data by Age'!$B$6:$H$6,0))</f>
        <v>8473900</v>
      </c>
      <c r="AC239" s="78">
        <f>INDEX('Population Data by Age'!$B$7:$H$10366,MATCH(CONCATENATE('Tabular Pop Data by Age'!$C239,'Tabular Pop Data by Age'!AC$7),'Population Data by Age'!$B$7:$B$10366,0),MATCH('Tabular Pop Data by Age'!$C$6,'Population Data by Age'!$B$6:$H$6,0))</f>
        <v>7575400</v>
      </c>
      <c r="AD239" s="78">
        <f>INDEX('Population Data by Age'!$B$7:$H$10366,MATCH(CONCATENATE('Tabular Pop Data by Age'!$C239,'Tabular Pop Data by Age'!AD$7),'Population Data by Age'!$B$7:$B$10366,0),MATCH('Tabular Pop Data by Age'!$C$6,'Population Data by Age'!$B$6:$H$6,0))</f>
        <v>6349100</v>
      </c>
      <c r="AE239" s="78">
        <f>INDEX('Population Data by Age'!$B$7:$H$10366,MATCH(CONCATENATE('Tabular Pop Data by Age'!$C239,'Tabular Pop Data by Age'!AE$7),'Population Data by Age'!$B$7:$B$10366,0),MATCH('Tabular Pop Data by Age'!$C$6,'Population Data by Age'!$B$6:$H$6,0))</f>
        <v>5447000</v>
      </c>
      <c r="AF239" s="78">
        <f>INDEX('Population Data by Age'!$B$7:$H$10366,MATCH(CONCATENATE('Tabular Pop Data by Age'!$C239,'Tabular Pop Data by Age'!AF$7),'Population Data by Age'!$B$7:$B$10366,0),MATCH('Tabular Pop Data by Age'!$C$6,'Population Data by Age'!$B$6:$H$6,0))</f>
        <v>4297400</v>
      </c>
      <c r="AG239" s="78">
        <f>INDEX('Population Data by Age'!$B$7:$H$10366,MATCH(CONCATENATE('Tabular Pop Data by Age'!$C239,'Tabular Pop Data by Age'!AG$7),'Population Data by Age'!$B$7:$B$10366,0),MATCH('Tabular Pop Data by Age'!$C$6,'Population Data by Age'!$B$6:$H$6,0))</f>
        <v>3503500</v>
      </c>
      <c r="AH239" s="78">
        <f>INDEX('Population Data by Age'!$B$7:$H$10366,MATCH(CONCATENATE('Tabular Pop Data by Age'!$C239,'Tabular Pop Data by Age'!AH$7),'Population Data by Age'!$B$7:$B$10366,0),MATCH('Tabular Pop Data by Age'!$C$6,'Population Data by Age'!$B$6:$H$6,0))</f>
        <v>2569000</v>
      </c>
      <c r="AI239" s="78">
        <f>INDEX('Population Data by Age'!$B$7:$H$10366,MATCH(CONCATENATE('Tabular Pop Data by Age'!$C239,'Tabular Pop Data by Age'!AI$7),'Population Data by Age'!$B$7:$B$10366,0),MATCH('Tabular Pop Data by Age'!$C$6,'Population Data by Age'!$B$6:$H$6,0))</f>
        <v>1966000</v>
      </c>
      <c r="AJ239" s="78">
        <f>INDEX('Population Data by Age'!$B$7:$H$10366,MATCH(CONCATENATE('Tabular Pop Data by Age'!$C239,'Tabular Pop Data by Age'!AJ$7),'Population Data by Age'!$B$7:$B$10366,0),MATCH('Tabular Pop Data by Age'!$C$6,'Population Data by Age'!$B$6:$H$6,0))</f>
        <v>1714800</v>
      </c>
      <c r="AK239" s="78">
        <f>INDEX('Population Data by Age'!$B$7:$H$10366,MATCH(CONCATENATE('Tabular Pop Data by Age'!$C239,'Tabular Pop Data by Age'!AK$7),'Population Data by Age'!$B$7:$B$10366,0),MATCH('Tabular Pop Data by Age'!$C$6,'Population Data by Age'!$B$6:$H$6,0))</f>
        <v>1151500</v>
      </c>
      <c r="AL239" s="78">
        <f>INDEX('Population Data by Age'!$B$7:$H$10366,MATCH(CONCATENATE('Tabular Pop Data by Age'!$C239,'Tabular Pop Data by Age'!AL$7),'Population Data by Age'!$B$7:$B$10366,0),MATCH('Tabular Pop Data by Age'!$C$6,'Population Data by Age'!$B$6:$H$6,0))</f>
        <v>484962000</v>
      </c>
      <c r="AM239" s="78">
        <f>INDEX('Population Data by Age'!$B$7:$H$10366,MATCH(CONCATENATE('Tabular Pop Data by Age'!$C239,'Tabular Pop Data by Age'!AM$7),'Population Data by Age'!$B$7:$B$10366,0),MATCH('Tabular Pop Data by Age'!$C$6,'Population Data by Age'!$B$6:$H$6,0))</f>
        <v>485835000</v>
      </c>
      <c r="AN239" s="78">
        <f>INDEX('Population Data by Age'!$B$7:$H$10366,MATCH(CONCATENATE('Tabular Pop Data by Age'!$C239,'Tabular Pop Data by Age'!AN$7),'Population Data by Age'!$B$7:$B$10366,0),MATCH('Tabular Pop Data by Age'!$C$6,'Population Data by Age'!$B$6:$H$6,0))</f>
        <v>970795000</v>
      </c>
      <c r="AO239" s="78">
        <f>INDEX('Population Data by Age'!$B$7:$H$10366,MATCH(CONCATENATE('Tabular Pop Data by Age'!$C239,'Tabular Pop Data by Age'!AO$7),'Population Data by Age'!$B$7:$B$10366,0),MATCH('Tabular Pop Data by Age'!$C$6,'Population Data by Age'!$B$6:$H$6,0))</f>
        <v>2.7401754465802242</v>
      </c>
      <c r="AP239" s="79">
        <f t="shared" si="68"/>
        <v>156006000</v>
      </c>
      <c r="AQ239" s="79">
        <f t="shared" si="69"/>
        <v>139729000</v>
      </c>
      <c r="AR239" s="79">
        <f t="shared" si="70"/>
        <v>123392000</v>
      </c>
      <c r="AS239" s="79">
        <f t="shared" si="71"/>
        <v>105826000</v>
      </c>
      <c r="AT239" s="79">
        <f t="shared" si="72"/>
        <v>88799000</v>
      </c>
      <c r="AU239" s="79">
        <f t="shared" si="73"/>
        <v>74257000</v>
      </c>
      <c r="AV239" s="79">
        <f t="shared" si="74"/>
        <v>62524000</v>
      </c>
      <c r="AW239" s="79">
        <f t="shared" si="75"/>
        <v>52200000</v>
      </c>
      <c r="AX239" s="79">
        <f t="shared" si="76"/>
        <v>42744000</v>
      </c>
      <c r="AY239" s="79">
        <f t="shared" si="77"/>
        <v>34240000</v>
      </c>
      <c r="AZ239" s="79">
        <f t="shared" si="78"/>
        <v>26944000</v>
      </c>
      <c r="BA239" s="79">
        <f t="shared" si="79"/>
        <v>21071000</v>
      </c>
      <c r="BB239" s="79">
        <f t="shared" si="80"/>
        <v>16049300</v>
      </c>
      <c r="BC239" s="79">
        <f t="shared" si="81"/>
        <v>11796100</v>
      </c>
      <c r="BD239" s="79">
        <f t="shared" si="82"/>
        <v>7800900</v>
      </c>
      <c r="BE239" s="79">
        <f t="shared" si="83"/>
        <v>4535000</v>
      </c>
      <c r="BF239" s="79">
        <f t="shared" si="84"/>
        <v>2866300</v>
      </c>
    </row>
    <row r="240" spans="1:58" x14ac:dyDescent="0.25">
      <c r="A240" s="138" t="s">
        <v>1182</v>
      </c>
      <c r="B240" t="s">
        <v>600</v>
      </c>
      <c r="C240" t="s">
        <v>601</v>
      </c>
      <c r="D240" s="78">
        <f>INDEX('Population Data by Age'!$B$7:$H$10366,MATCH(CONCATENATE('Tabular Pop Data by Age'!$C240,'Tabular Pop Data by Age'!D$7),'Population Data by Age'!$B$7:$B$10366,0),MATCH('Tabular Pop Data by Age'!$C$6,'Population Data by Age'!$B$6:$H$6,0))</f>
        <v>1669800</v>
      </c>
      <c r="E240" s="78">
        <f>INDEX('Population Data by Age'!$B$7:$H$10366,MATCH(CONCATENATE('Tabular Pop Data by Age'!$C240,'Tabular Pop Data by Age'!E$7),'Population Data by Age'!$B$7:$B$10366,0),MATCH('Tabular Pop Data by Age'!$C$6,'Population Data by Age'!$B$6:$H$6,0))</f>
        <v>1714100</v>
      </c>
      <c r="F240" s="78">
        <f>INDEX('Population Data by Age'!$B$7:$H$10366,MATCH(CONCATENATE('Tabular Pop Data by Age'!$C240,'Tabular Pop Data by Age'!F$7),'Population Data by Age'!$B$7:$B$10366,0),MATCH('Tabular Pop Data by Age'!$C$6,'Population Data by Age'!$B$6:$H$6,0))</f>
        <v>1562800</v>
      </c>
      <c r="G240" s="78">
        <f>INDEX('Population Data by Age'!$B$7:$H$10366,MATCH(CONCATENATE('Tabular Pop Data by Age'!$C240,'Tabular Pop Data by Age'!G$7),'Population Data by Age'!$B$7:$B$10366,0),MATCH('Tabular Pop Data by Age'!$C$6,'Population Data by Age'!$B$6:$H$6,0))</f>
        <v>1605100</v>
      </c>
      <c r="H240" s="78">
        <f>INDEX('Population Data by Age'!$B$7:$H$10366,MATCH(CONCATENATE('Tabular Pop Data by Age'!$C240,'Tabular Pop Data by Age'!H$7),'Population Data by Age'!$B$7:$B$10366,0),MATCH('Tabular Pop Data by Age'!$C$6,'Population Data by Age'!$B$6:$H$6,0))</f>
        <v>1426600</v>
      </c>
      <c r="I240" s="78">
        <f>INDEX('Population Data by Age'!$B$7:$H$10366,MATCH(CONCATENATE('Tabular Pop Data by Age'!$C240,'Tabular Pop Data by Age'!I$7),'Population Data by Age'!$B$7:$B$10366,0),MATCH('Tabular Pop Data by Age'!$C$6,'Population Data by Age'!$B$6:$H$6,0))</f>
        <v>1465800</v>
      </c>
      <c r="J240" s="78">
        <f>INDEX('Population Data by Age'!$B$7:$H$10366,MATCH(CONCATENATE('Tabular Pop Data by Age'!$C240,'Tabular Pop Data by Age'!J$7),'Population Data by Age'!$B$7:$B$10366,0),MATCH('Tabular Pop Data by Age'!$C$6,'Population Data by Age'!$B$6:$H$6,0))</f>
        <v>1295100</v>
      </c>
      <c r="K240" s="78">
        <f>INDEX('Population Data by Age'!$B$7:$H$10366,MATCH(CONCATENATE('Tabular Pop Data by Age'!$C240,'Tabular Pop Data by Age'!K$7),'Population Data by Age'!$B$7:$B$10366,0),MATCH('Tabular Pop Data by Age'!$C$6,'Population Data by Age'!$B$6:$H$6,0))</f>
        <v>1350300</v>
      </c>
      <c r="L240" s="78">
        <f>INDEX('Population Data by Age'!$B$7:$H$10366,MATCH(CONCATENATE('Tabular Pop Data by Age'!$C240,'Tabular Pop Data by Age'!L$7),'Population Data by Age'!$B$7:$B$10366,0),MATCH('Tabular Pop Data by Age'!$C$6,'Population Data by Age'!$B$6:$H$6,0))</f>
        <v>1229300</v>
      </c>
      <c r="M240" s="78">
        <f>INDEX('Population Data by Age'!$B$7:$H$10366,MATCH(CONCATENATE('Tabular Pop Data by Age'!$C240,'Tabular Pop Data by Age'!M$7),'Population Data by Age'!$B$7:$B$10366,0),MATCH('Tabular Pop Data by Age'!$C$6,'Population Data by Age'!$B$6:$H$6,0))</f>
        <v>1459700</v>
      </c>
      <c r="N240" s="78">
        <f>INDEX('Population Data by Age'!$B$7:$H$10366,MATCH(CONCATENATE('Tabular Pop Data by Age'!$C240,'Tabular Pop Data by Age'!N$7),'Population Data by Age'!$B$7:$B$10366,0),MATCH('Tabular Pop Data by Age'!$C$6,'Population Data by Age'!$B$6:$H$6,0))</f>
        <v>1260700</v>
      </c>
      <c r="O240" s="78">
        <f>INDEX('Population Data by Age'!$B$7:$H$10366,MATCH(CONCATENATE('Tabular Pop Data by Age'!$C240,'Tabular Pop Data by Age'!O$7),'Population Data by Age'!$B$7:$B$10366,0),MATCH('Tabular Pop Data by Age'!$C$6,'Population Data by Age'!$B$6:$H$6,0))</f>
        <v>1791300</v>
      </c>
      <c r="P240" s="78">
        <f>INDEX('Population Data by Age'!$B$7:$H$10366,MATCH(CONCATENATE('Tabular Pop Data by Age'!$C240,'Tabular Pop Data by Age'!P$7),'Population Data by Age'!$B$7:$B$10366,0),MATCH('Tabular Pop Data by Age'!$C$6,'Population Data by Age'!$B$6:$H$6,0))</f>
        <v>1208200</v>
      </c>
      <c r="Q240" s="78">
        <f>INDEX('Population Data by Age'!$B$7:$H$10366,MATCH(CONCATENATE('Tabular Pop Data by Age'!$C240,'Tabular Pop Data by Age'!Q$7),'Population Data by Age'!$B$7:$B$10366,0),MATCH('Tabular Pop Data by Age'!$C$6,'Population Data by Age'!$B$6:$H$6,0))</f>
        <v>1749900</v>
      </c>
      <c r="R240" s="78">
        <f>INDEX('Population Data by Age'!$B$7:$H$10366,MATCH(CONCATENATE('Tabular Pop Data by Age'!$C240,'Tabular Pop Data by Age'!R$7),'Population Data by Age'!$B$7:$B$10366,0),MATCH('Tabular Pop Data by Age'!$C$6,'Population Data by Age'!$B$6:$H$6,0))</f>
        <v>1054500</v>
      </c>
      <c r="S240" s="78">
        <f>INDEX('Population Data by Age'!$B$7:$H$10366,MATCH(CONCATENATE('Tabular Pop Data by Age'!$C240,'Tabular Pop Data by Age'!S$7),'Population Data by Age'!$B$7:$B$10366,0),MATCH('Tabular Pop Data by Age'!$C$6,'Population Data by Age'!$B$6:$H$6,0))</f>
        <v>1382300</v>
      </c>
      <c r="T240" s="78">
        <f>INDEX('Population Data by Age'!$B$7:$H$10366,MATCH(CONCATENATE('Tabular Pop Data by Age'!$C240,'Tabular Pop Data by Age'!T$7),'Population Data by Age'!$B$7:$B$10366,0),MATCH('Tabular Pop Data by Age'!$C$6,'Population Data by Age'!$B$6:$H$6,0))</f>
        <v>861900</v>
      </c>
      <c r="U240" s="78">
        <f>INDEX('Population Data by Age'!$B$7:$H$10366,MATCH(CONCATENATE('Tabular Pop Data by Age'!$C240,'Tabular Pop Data by Age'!U$7),'Population Data by Age'!$B$7:$B$10366,0),MATCH('Tabular Pop Data by Age'!$C$6,'Population Data by Age'!$B$6:$H$6,0))</f>
        <v>1085500</v>
      </c>
      <c r="V240" s="78">
        <f>INDEX('Population Data by Age'!$B$7:$H$10366,MATCH(CONCATENATE('Tabular Pop Data by Age'!$C240,'Tabular Pop Data by Age'!V$7),'Population Data by Age'!$B$7:$B$10366,0),MATCH('Tabular Pop Data by Age'!$C$6,'Population Data by Age'!$B$6:$H$6,0))</f>
        <v>713400</v>
      </c>
      <c r="W240" s="78">
        <f>INDEX('Population Data by Age'!$B$7:$H$10366,MATCH(CONCATENATE('Tabular Pop Data by Age'!$C240,'Tabular Pop Data by Age'!W$7),'Population Data by Age'!$B$7:$B$10366,0),MATCH('Tabular Pop Data by Age'!$C$6,'Population Data by Age'!$B$6:$H$6,0))</f>
        <v>891700</v>
      </c>
      <c r="X240" s="78">
        <f>INDEX('Population Data by Age'!$B$7:$H$10366,MATCH(CONCATENATE('Tabular Pop Data by Age'!$C240,'Tabular Pop Data by Age'!X$7),'Population Data by Age'!$B$7:$B$10366,0),MATCH('Tabular Pop Data by Age'!$C$6,'Population Data by Age'!$B$6:$H$6,0))</f>
        <v>599300</v>
      </c>
      <c r="Y240" s="78">
        <f>INDEX('Population Data by Age'!$B$7:$H$10366,MATCH(CONCATENATE('Tabular Pop Data by Age'!$C240,'Tabular Pop Data by Age'!Y$7),'Population Data by Age'!$B$7:$B$10366,0),MATCH('Tabular Pop Data by Age'!$C$6,'Population Data by Age'!$B$6:$H$6,0))</f>
        <v>703000</v>
      </c>
      <c r="Z240" s="78">
        <f>INDEX('Population Data by Age'!$B$7:$H$10366,MATCH(CONCATENATE('Tabular Pop Data by Age'!$C240,'Tabular Pop Data by Age'!Z$7),'Population Data by Age'!$B$7:$B$10366,0),MATCH('Tabular Pop Data by Age'!$C$6,'Population Data by Age'!$B$6:$H$6,0))</f>
        <v>527800</v>
      </c>
      <c r="AA240" s="78">
        <f>INDEX('Population Data by Age'!$B$7:$H$10366,MATCH(CONCATENATE('Tabular Pop Data by Age'!$C240,'Tabular Pop Data by Age'!AA$7),'Population Data by Age'!$B$7:$B$10366,0),MATCH('Tabular Pop Data by Age'!$C$6,'Population Data by Age'!$B$6:$H$6,0))</f>
        <v>565000</v>
      </c>
      <c r="AB240" s="78">
        <f>INDEX('Population Data by Age'!$B$7:$H$10366,MATCH(CONCATENATE('Tabular Pop Data by Age'!$C240,'Tabular Pop Data by Age'!AB$7),'Population Data by Age'!$B$7:$B$10366,0),MATCH('Tabular Pop Data by Age'!$C$6,'Population Data by Age'!$B$6:$H$6,0))</f>
        <v>444300</v>
      </c>
      <c r="AC240" s="78">
        <f>INDEX('Population Data by Age'!$B$7:$H$10366,MATCH(CONCATENATE('Tabular Pop Data by Age'!$C240,'Tabular Pop Data by Age'!AC$7),'Population Data by Age'!$B$7:$B$10366,0),MATCH('Tabular Pop Data by Age'!$C$6,'Population Data by Age'!$B$6:$H$6,0))</f>
        <v>433000</v>
      </c>
      <c r="AD240" s="78">
        <f>INDEX('Population Data by Age'!$B$7:$H$10366,MATCH(CONCATENATE('Tabular Pop Data by Age'!$C240,'Tabular Pop Data by Age'!AD$7),'Population Data by Age'!$B$7:$B$10366,0),MATCH('Tabular Pop Data by Age'!$C$6,'Population Data by Age'!$B$6:$H$6,0))</f>
        <v>355300</v>
      </c>
      <c r="AE240" s="78">
        <f>INDEX('Population Data by Age'!$B$7:$H$10366,MATCH(CONCATENATE('Tabular Pop Data by Age'!$C240,'Tabular Pop Data by Age'!AE$7),'Population Data by Age'!$B$7:$B$10366,0),MATCH('Tabular Pop Data by Age'!$C$6,'Population Data by Age'!$B$6:$H$6,0))</f>
        <v>316800</v>
      </c>
      <c r="AF240" s="78">
        <f>INDEX('Population Data by Age'!$B$7:$H$10366,MATCH(CONCATENATE('Tabular Pop Data by Age'!$C240,'Tabular Pop Data by Age'!AF$7),'Population Data by Age'!$B$7:$B$10366,0),MATCH('Tabular Pop Data by Age'!$C$6,'Population Data by Age'!$B$6:$H$6,0))</f>
        <v>257800</v>
      </c>
      <c r="AG240" s="78">
        <f>INDEX('Population Data by Age'!$B$7:$H$10366,MATCH(CONCATENATE('Tabular Pop Data by Age'!$C240,'Tabular Pop Data by Age'!AG$7),'Population Data by Age'!$B$7:$B$10366,0),MATCH('Tabular Pop Data by Age'!$C$6,'Population Data by Age'!$B$6:$H$6,0))</f>
        <v>212000</v>
      </c>
      <c r="AH240" s="78">
        <f>INDEX('Population Data by Age'!$B$7:$H$10366,MATCH(CONCATENATE('Tabular Pop Data by Age'!$C240,'Tabular Pop Data by Age'!AH$7),'Population Data by Age'!$B$7:$B$10366,0),MATCH('Tabular Pop Data by Age'!$C$6,'Population Data by Age'!$B$6:$H$6,0))</f>
        <v>187600</v>
      </c>
      <c r="AI240" s="78">
        <f>INDEX('Population Data by Age'!$B$7:$H$10366,MATCH(CONCATENATE('Tabular Pop Data by Age'!$C240,'Tabular Pop Data by Age'!AI$7),'Population Data by Age'!$B$7:$B$10366,0),MATCH('Tabular Pop Data by Age'!$C$6,'Population Data by Age'!$B$6:$H$6,0))</f>
        <v>130400</v>
      </c>
      <c r="AJ240" s="78">
        <f>INDEX('Population Data by Age'!$B$7:$H$10366,MATCH(CONCATENATE('Tabular Pop Data by Age'!$C240,'Tabular Pop Data by Age'!AJ$7),'Population Data by Age'!$B$7:$B$10366,0),MATCH('Tabular Pop Data by Age'!$C$6,'Population Data by Age'!$B$6:$H$6,0))</f>
        <v>217100</v>
      </c>
      <c r="AK240" s="78">
        <f>INDEX('Population Data by Age'!$B$7:$H$10366,MATCH(CONCATENATE('Tabular Pop Data by Age'!$C240,'Tabular Pop Data by Age'!AK$7),'Population Data by Age'!$B$7:$B$10366,0),MATCH('Tabular Pop Data by Age'!$C$6,'Population Data by Age'!$B$6:$H$6,0))</f>
        <v>115100</v>
      </c>
      <c r="AL240" s="78">
        <f>INDEX('Population Data by Age'!$B$7:$H$10366,MATCH(CONCATENATE('Tabular Pop Data by Age'!$C240,'Tabular Pop Data by Age'!AL$7),'Population Data by Age'!$B$7:$B$10366,0),MATCH('Tabular Pop Data by Age'!$C$6,'Population Data by Age'!$B$6:$H$6,0))</f>
        <v>14883000</v>
      </c>
      <c r="AM240" s="78">
        <f>INDEX('Population Data by Age'!$B$7:$H$10366,MATCH(CONCATENATE('Tabular Pop Data by Age'!$C240,'Tabular Pop Data by Age'!AM$7),'Population Data by Age'!$B$7:$B$10366,0),MATCH('Tabular Pop Data by Age'!$C$6,'Population Data by Age'!$B$6:$H$6,0))</f>
        <v>16966000</v>
      </c>
      <c r="AN240" s="78">
        <f>INDEX('Population Data by Age'!$B$7:$H$10366,MATCH(CONCATENATE('Tabular Pop Data by Age'!$C240,'Tabular Pop Data by Age'!AN$7),'Population Data by Age'!$B$7:$B$10366,0),MATCH('Tabular Pop Data by Age'!$C$6,'Population Data by Age'!$B$6:$H$6,0))</f>
        <v>31882000</v>
      </c>
      <c r="AO240" s="78">
        <f>INDEX('Population Data by Age'!$B$7:$H$10366,MATCH(CONCATENATE('Tabular Pop Data by Age'!$C240,'Tabular Pop Data by Age'!AO$7),'Population Data by Age'!$B$7:$B$10366,0),MATCH('Tabular Pop Data by Age'!$C$6,'Population Data by Age'!$B$6:$H$6,0))</f>
        <v>1.7586416009702788</v>
      </c>
      <c r="AP240" s="79">
        <f t="shared" si="68"/>
        <v>3383900</v>
      </c>
      <c r="AQ240" s="79">
        <f t="shared" si="69"/>
        <v>3167900</v>
      </c>
      <c r="AR240" s="79">
        <f t="shared" si="70"/>
        <v>2892400</v>
      </c>
      <c r="AS240" s="79">
        <f t="shared" si="71"/>
        <v>2645400</v>
      </c>
      <c r="AT240" s="79">
        <f t="shared" si="72"/>
        <v>2689000</v>
      </c>
      <c r="AU240" s="79">
        <f t="shared" si="73"/>
        <v>3052000</v>
      </c>
      <c r="AV240" s="79">
        <f t="shared" si="74"/>
        <v>2958100</v>
      </c>
      <c r="AW240" s="79">
        <f t="shared" si="75"/>
        <v>2436800</v>
      </c>
      <c r="AX240" s="79">
        <f t="shared" si="76"/>
        <v>1947400</v>
      </c>
      <c r="AY240" s="79">
        <f t="shared" si="77"/>
        <v>1605100</v>
      </c>
      <c r="AZ240" s="79">
        <f t="shared" si="78"/>
        <v>1302300</v>
      </c>
      <c r="BA240" s="79">
        <f t="shared" si="79"/>
        <v>1092800</v>
      </c>
      <c r="BB240" s="79">
        <f t="shared" si="80"/>
        <v>877300</v>
      </c>
      <c r="BC240" s="79">
        <f t="shared" si="81"/>
        <v>672100</v>
      </c>
      <c r="BD240" s="79">
        <f t="shared" si="82"/>
        <v>469800</v>
      </c>
      <c r="BE240" s="79">
        <f t="shared" si="83"/>
        <v>318000</v>
      </c>
      <c r="BF240" s="79">
        <f t="shared" si="84"/>
        <v>332200</v>
      </c>
    </row>
    <row r="241" spans="1:58" x14ac:dyDescent="0.25">
      <c r="A241" s="138" t="s">
        <v>1182</v>
      </c>
      <c r="B241" t="s">
        <v>602</v>
      </c>
      <c r="C241" t="s">
        <v>603</v>
      </c>
      <c r="D241" s="78">
        <f>INDEX('Population Data by Age'!$B$7:$H$10366,MATCH(CONCATENATE('Tabular Pop Data by Age'!$C241,'Tabular Pop Data by Age'!D$7),'Population Data by Age'!$B$7:$B$10366,0),MATCH('Tabular Pop Data by Age'!$C$6,'Population Data by Age'!$B$6:$H$6,0))</f>
        <v>145300</v>
      </c>
      <c r="E241" s="78">
        <f>INDEX('Population Data by Age'!$B$7:$H$10366,MATCH(CONCATENATE('Tabular Pop Data by Age'!$C241,'Tabular Pop Data by Age'!E$7),'Population Data by Age'!$B$7:$B$10366,0),MATCH('Tabular Pop Data by Age'!$C$6,'Population Data by Age'!$B$6:$H$6,0))</f>
        <v>155400</v>
      </c>
      <c r="F241" s="78">
        <f>INDEX('Population Data by Age'!$B$7:$H$10366,MATCH(CONCATENATE('Tabular Pop Data by Age'!$C241,'Tabular Pop Data by Age'!F$7),'Population Data by Age'!$B$7:$B$10366,0),MATCH('Tabular Pop Data by Age'!$C$6,'Population Data by Age'!$B$6:$H$6,0))</f>
        <v>137500</v>
      </c>
      <c r="G241" s="78">
        <f>INDEX('Population Data by Age'!$B$7:$H$10366,MATCH(CONCATENATE('Tabular Pop Data by Age'!$C241,'Tabular Pop Data by Age'!G$7),'Population Data by Age'!$B$7:$B$10366,0),MATCH('Tabular Pop Data by Age'!$C$6,'Population Data by Age'!$B$6:$H$6,0))</f>
        <v>146000</v>
      </c>
      <c r="H241" s="78">
        <f>INDEX('Population Data by Age'!$B$7:$H$10366,MATCH(CONCATENATE('Tabular Pop Data by Age'!$C241,'Tabular Pop Data by Age'!H$7),'Population Data by Age'!$B$7:$B$10366,0),MATCH('Tabular Pop Data by Age'!$C$6,'Population Data by Age'!$B$6:$H$6,0))</f>
        <v>126100</v>
      </c>
      <c r="I241" s="78">
        <f>INDEX('Population Data by Age'!$B$7:$H$10366,MATCH(CONCATENATE('Tabular Pop Data by Age'!$C241,'Tabular Pop Data by Age'!I$7),'Population Data by Age'!$B$7:$B$10366,0),MATCH('Tabular Pop Data by Age'!$C$6,'Population Data by Age'!$B$6:$H$6,0))</f>
        <v>133200</v>
      </c>
      <c r="J241" s="78">
        <f>INDEX('Population Data by Age'!$B$7:$H$10366,MATCH(CONCATENATE('Tabular Pop Data by Age'!$C241,'Tabular Pop Data by Age'!J$7),'Population Data by Age'!$B$7:$B$10366,0),MATCH('Tabular Pop Data by Age'!$C$6,'Population Data by Age'!$B$6:$H$6,0))</f>
        <v>110400</v>
      </c>
      <c r="K241" s="78">
        <f>INDEX('Population Data by Age'!$B$7:$H$10366,MATCH(CONCATENATE('Tabular Pop Data by Age'!$C241,'Tabular Pop Data by Age'!K$7),'Population Data by Age'!$B$7:$B$10366,0),MATCH('Tabular Pop Data by Age'!$C$6,'Population Data by Age'!$B$6:$H$6,0))</f>
        <v>118000</v>
      </c>
      <c r="L241" s="78">
        <f>INDEX('Population Data by Age'!$B$7:$H$10366,MATCH(CONCATENATE('Tabular Pop Data by Age'!$C241,'Tabular Pop Data by Age'!L$7),'Population Data by Age'!$B$7:$B$10366,0),MATCH('Tabular Pop Data by Age'!$C$6,'Population Data by Age'!$B$6:$H$6,0))</f>
        <v>100500</v>
      </c>
      <c r="M241" s="78">
        <f>INDEX('Population Data by Age'!$B$7:$H$10366,MATCH(CONCATENATE('Tabular Pop Data by Age'!$C241,'Tabular Pop Data by Age'!M$7),'Population Data by Age'!$B$7:$B$10366,0),MATCH('Tabular Pop Data by Age'!$C$6,'Population Data by Age'!$B$6:$H$6,0))</f>
        <v>107300</v>
      </c>
      <c r="N241" s="78">
        <f>INDEX('Population Data by Age'!$B$7:$H$10366,MATCH(CONCATENATE('Tabular Pop Data by Age'!$C241,'Tabular Pop Data by Age'!N$7),'Population Data by Age'!$B$7:$B$10366,0),MATCH('Tabular Pop Data by Age'!$C$6,'Population Data by Age'!$B$6:$H$6,0))</f>
        <v>92500</v>
      </c>
      <c r="O241" s="78">
        <f>INDEX('Population Data by Age'!$B$7:$H$10366,MATCH(CONCATENATE('Tabular Pop Data by Age'!$C241,'Tabular Pop Data by Age'!O$7),'Population Data by Age'!$B$7:$B$10366,0),MATCH('Tabular Pop Data by Age'!$C$6,'Population Data by Age'!$B$6:$H$6,0))</f>
        <v>96000</v>
      </c>
      <c r="P241" s="78">
        <f>INDEX('Population Data by Age'!$B$7:$H$10366,MATCH(CONCATENATE('Tabular Pop Data by Age'!$C241,'Tabular Pop Data by Age'!P$7),'Population Data by Age'!$B$7:$B$10366,0),MATCH('Tabular Pop Data by Age'!$C$6,'Population Data by Age'!$B$6:$H$6,0))</f>
        <v>83300</v>
      </c>
      <c r="Q241" s="78">
        <f>INDEX('Population Data by Age'!$B$7:$H$10366,MATCH(CONCATENATE('Tabular Pop Data by Age'!$C241,'Tabular Pop Data by Age'!Q$7),'Population Data by Age'!$B$7:$B$10366,0),MATCH('Tabular Pop Data by Age'!$C$6,'Population Data by Age'!$B$6:$H$6,0))</f>
        <v>83900</v>
      </c>
      <c r="R241" s="78">
        <f>INDEX('Population Data by Age'!$B$7:$H$10366,MATCH(CONCATENATE('Tabular Pop Data by Age'!$C241,'Tabular Pop Data by Age'!R$7),'Population Data by Age'!$B$7:$B$10366,0),MATCH('Tabular Pop Data by Age'!$C$6,'Population Data by Age'!$B$6:$H$6,0))</f>
        <v>77800</v>
      </c>
      <c r="S241" s="78">
        <f>INDEX('Population Data by Age'!$B$7:$H$10366,MATCH(CONCATENATE('Tabular Pop Data by Age'!$C241,'Tabular Pop Data by Age'!S$7),'Population Data by Age'!$B$7:$B$10366,0),MATCH('Tabular Pop Data by Age'!$C$6,'Population Data by Age'!$B$6:$H$6,0))</f>
        <v>78100</v>
      </c>
      <c r="T241" s="78">
        <f>INDEX('Population Data by Age'!$B$7:$H$10366,MATCH(CONCATENATE('Tabular Pop Data by Age'!$C241,'Tabular Pop Data by Age'!T$7),'Population Data by Age'!$B$7:$B$10366,0),MATCH('Tabular Pop Data by Age'!$C$6,'Population Data by Age'!$B$6:$H$6,0))</f>
        <v>68800</v>
      </c>
      <c r="U241" s="78">
        <f>INDEX('Population Data by Age'!$B$7:$H$10366,MATCH(CONCATENATE('Tabular Pop Data by Age'!$C241,'Tabular Pop Data by Age'!U$7),'Population Data by Age'!$B$7:$B$10366,0),MATCH('Tabular Pop Data by Age'!$C$6,'Population Data by Age'!$B$6:$H$6,0))</f>
        <v>68800</v>
      </c>
      <c r="V241" s="78">
        <f>INDEX('Population Data by Age'!$B$7:$H$10366,MATCH(CONCATENATE('Tabular Pop Data by Age'!$C241,'Tabular Pop Data by Age'!V$7),'Population Data by Age'!$B$7:$B$10366,0),MATCH('Tabular Pop Data by Age'!$C$6,'Population Data by Age'!$B$6:$H$6,0))</f>
        <v>59100</v>
      </c>
      <c r="W241" s="78">
        <f>INDEX('Population Data by Age'!$B$7:$H$10366,MATCH(CONCATENATE('Tabular Pop Data by Age'!$C241,'Tabular Pop Data by Age'!W$7),'Population Data by Age'!$B$7:$B$10366,0),MATCH('Tabular Pop Data by Age'!$C$6,'Population Data by Age'!$B$6:$H$6,0))</f>
        <v>60100</v>
      </c>
      <c r="X241" s="78">
        <f>INDEX('Population Data by Age'!$B$7:$H$10366,MATCH(CONCATENATE('Tabular Pop Data by Age'!$C241,'Tabular Pop Data by Age'!X$7),'Population Data by Age'!$B$7:$B$10366,0),MATCH('Tabular Pop Data by Age'!$C$6,'Population Data by Age'!$B$6:$H$6,0))</f>
        <v>51700</v>
      </c>
      <c r="Y241" s="78">
        <f>INDEX('Population Data by Age'!$B$7:$H$10366,MATCH(CONCATENATE('Tabular Pop Data by Age'!$C241,'Tabular Pop Data by Age'!Y$7),'Population Data by Age'!$B$7:$B$10366,0),MATCH('Tabular Pop Data by Age'!$C$6,'Population Data by Age'!$B$6:$H$6,0))</f>
        <v>53100</v>
      </c>
      <c r="Z241" s="78">
        <f>INDEX('Population Data by Age'!$B$7:$H$10366,MATCH(CONCATENATE('Tabular Pop Data by Age'!$C241,'Tabular Pop Data by Age'!Z$7),'Population Data by Age'!$B$7:$B$10366,0),MATCH('Tabular Pop Data by Age'!$C$6,'Population Data by Age'!$B$6:$H$6,0))</f>
        <v>45600</v>
      </c>
      <c r="AA241" s="78">
        <f>INDEX('Population Data by Age'!$B$7:$H$10366,MATCH(CONCATENATE('Tabular Pop Data by Age'!$C241,'Tabular Pop Data by Age'!AA$7),'Population Data by Age'!$B$7:$B$10366,0),MATCH('Tabular Pop Data by Age'!$C$6,'Population Data by Age'!$B$6:$H$6,0))</f>
        <v>45800</v>
      </c>
      <c r="AB241" s="78">
        <f>INDEX('Population Data by Age'!$B$7:$H$10366,MATCH(CONCATENATE('Tabular Pop Data by Age'!$C241,'Tabular Pop Data by Age'!AB$7),'Population Data by Age'!$B$7:$B$10366,0),MATCH('Tabular Pop Data by Age'!$C$6,'Population Data by Age'!$B$6:$H$6,0))</f>
        <v>36200</v>
      </c>
      <c r="AC241" s="78">
        <f>INDEX('Population Data by Age'!$B$7:$H$10366,MATCH(CONCATENATE('Tabular Pop Data by Age'!$C241,'Tabular Pop Data by Age'!AC$7),'Population Data by Age'!$B$7:$B$10366,0),MATCH('Tabular Pop Data by Age'!$C$6,'Population Data by Age'!$B$6:$H$6,0))</f>
        <v>35000</v>
      </c>
      <c r="AD241" s="78">
        <f>INDEX('Population Data by Age'!$B$7:$H$10366,MATCH(CONCATENATE('Tabular Pop Data by Age'!$C241,'Tabular Pop Data by Age'!AD$7),'Population Data by Age'!$B$7:$B$10366,0),MATCH('Tabular Pop Data by Age'!$C$6,'Population Data by Age'!$B$6:$H$6,0))</f>
        <v>25000</v>
      </c>
      <c r="AE241" s="78">
        <f>INDEX('Population Data by Age'!$B$7:$H$10366,MATCH(CONCATENATE('Tabular Pop Data by Age'!$C241,'Tabular Pop Data by Age'!AE$7),'Population Data by Age'!$B$7:$B$10366,0),MATCH('Tabular Pop Data by Age'!$C$6,'Population Data by Age'!$B$6:$H$6,0))</f>
        <v>23500</v>
      </c>
      <c r="AF241" s="78">
        <f>INDEX('Population Data by Age'!$B$7:$H$10366,MATCH(CONCATENATE('Tabular Pop Data by Age'!$C241,'Tabular Pop Data by Age'!AF$7),'Population Data by Age'!$B$7:$B$10366,0),MATCH('Tabular Pop Data by Age'!$C$6,'Population Data by Age'!$B$6:$H$6,0))</f>
        <v>18000</v>
      </c>
      <c r="AG241" s="78">
        <f>INDEX('Population Data by Age'!$B$7:$H$10366,MATCH(CONCATENATE('Tabular Pop Data by Age'!$C241,'Tabular Pop Data by Age'!AG$7),'Population Data by Age'!$B$7:$B$10366,0),MATCH('Tabular Pop Data by Age'!$C$6,'Population Data by Age'!$B$6:$H$6,0))</f>
        <v>15100</v>
      </c>
      <c r="AH241" s="78">
        <f>INDEX('Population Data by Age'!$B$7:$H$10366,MATCH(CONCATENATE('Tabular Pop Data by Age'!$C241,'Tabular Pop Data by Age'!AH$7),'Population Data by Age'!$B$7:$B$10366,0),MATCH('Tabular Pop Data by Age'!$C$6,'Population Data by Age'!$B$6:$H$6,0))</f>
        <v>10900</v>
      </c>
      <c r="AI241" s="78">
        <f>INDEX('Population Data by Age'!$B$7:$H$10366,MATCH(CONCATENATE('Tabular Pop Data by Age'!$C241,'Tabular Pop Data by Age'!AI$7),'Population Data by Age'!$B$7:$B$10366,0),MATCH('Tabular Pop Data by Age'!$C$6,'Population Data by Age'!$B$6:$H$6,0))</f>
        <v>8200</v>
      </c>
      <c r="AJ241" s="78">
        <f>INDEX('Population Data by Age'!$B$7:$H$10366,MATCH(CONCATENATE('Tabular Pop Data by Age'!$C241,'Tabular Pop Data by Age'!AJ$7),'Population Data by Age'!$B$7:$B$10366,0),MATCH('Tabular Pop Data by Age'!$C$6,'Population Data by Age'!$B$6:$H$6,0))</f>
        <v>8100</v>
      </c>
      <c r="AK241" s="78">
        <f>INDEX('Population Data by Age'!$B$7:$H$10366,MATCH(CONCATENATE('Tabular Pop Data by Age'!$C241,'Tabular Pop Data by Age'!AK$7),'Population Data by Age'!$B$7:$B$10366,0),MATCH('Tabular Pop Data by Age'!$C$6,'Population Data by Age'!$B$6:$H$6,0))</f>
        <v>6100</v>
      </c>
      <c r="AL241" s="78">
        <f>INDEX('Population Data by Age'!$B$7:$H$10366,MATCH(CONCATENATE('Tabular Pop Data by Age'!$C241,'Tabular Pop Data by Age'!AL$7),'Population Data by Age'!$B$7:$B$10366,0),MATCH('Tabular Pop Data by Age'!$C$6,'Population Data by Age'!$B$6:$H$6,0))</f>
        <v>1198000</v>
      </c>
      <c r="AM241" s="78">
        <f>INDEX('Population Data by Age'!$B$7:$H$10366,MATCH(CONCATENATE('Tabular Pop Data by Age'!$C241,'Tabular Pop Data by Age'!AM$7),'Population Data by Age'!$B$7:$B$10366,0),MATCH('Tabular Pop Data by Age'!$C$6,'Population Data by Age'!$B$6:$H$6,0))</f>
        <v>1232000</v>
      </c>
      <c r="AN241" s="78">
        <f>INDEX('Population Data by Age'!$B$7:$H$10366,MATCH(CONCATENATE('Tabular Pop Data by Age'!$C241,'Tabular Pop Data by Age'!AN$7),'Population Data by Age'!$B$7:$B$10366,0),MATCH('Tabular Pop Data by Age'!$C$6,'Population Data by Age'!$B$6:$H$6,0))</f>
        <v>2530000</v>
      </c>
      <c r="AO241" s="78">
        <f>INDEX('Population Data by Age'!$B$7:$H$10366,MATCH(CONCATENATE('Tabular Pop Data by Age'!$C241,'Tabular Pop Data by Age'!AO$7),'Population Data by Age'!$B$7:$B$10366,0),MATCH('Tabular Pop Data by Age'!$C$6,'Population Data by Age'!$B$6:$H$6,0))</f>
        <v>1.4028056112224334</v>
      </c>
      <c r="AP241" s="79">
        <f t="shared" si="68"/>
        <v>300700</v>
      </c>
      <c r="AQ241" s="79">
        <f t="shared" si="69"/>
        <v>283500</v>
      </c>
      <c r="AR241" s="79">
        <f t="shared" si="70"/>
        <v>259300</v>
      </c>
      <c r="AS241" s="79">
        <f t="shared" si="71"/>
        <v>228400</v>
      </c>
      <c r="AT241" s="79">
        <f t="shared" si="72"/>
        <v>207800</v>
      </c>
      <c r="AU241" s="79">
        <f t="shared" si="73"/>
        <v>188500</v>
      </c>
      <c r="AV241" s="79">
        <f t="shared" si="74"/>
        <v>167200</v>
      </c>
      <c r="AW241" s="79">
        <f t="shared" si="75"/>
        <v>155900</v>
      </c>
      <c r="AX241" s="79">
        <f t="shared" si="76"/>
        <v>137600</v>
      </c>
      <c r="AY241" s="79">
        <f t="shared" si="77"/>
        <v>119200</v>
      </c>
      <c r="AZ241" s="79">
        <f t="shared" si="78"/>
        <v>104800</v>
      </c>
      <c r="BA241" s="79">
        <f t="shared" si="79"/>
        <v>91400</v>
      </c>
      <c r="BB241" s="79">
        <f t="shared" si="80"/>
        <v>71200</v>
      </c>
      <c r="BC241" s="79">
        <f t="shared" si="81"/>
        <v>48500</v>
      </c>
      <c r="BD241" s="79">
        <f t="shared" si="82"/>
        <v>33100</v>
      </c>
      <c r="BE241" s="79">
        <f t="shared" si="83"/>
        <v>19100</v>
      </c>
      <c r="BF241" s="79">
        <f t="shared" si="84"/>
        <v>14200</v>
      </c>
    </row>
    <row r="242" spans="1:58" x14ac:dyDescent="0.25">
      <c r="A242" s="138" t="s">
        <v>1182</v>
      </c>
      <c r="B242" t="s">
        <v>595</v>
      </c>
      <c r="C242" t="s">
        <v>596</v>
      </c>
      <c r="D242" s="78">
        <f>INDEX('Population Data by Age'!$B$7:$H$10366,MATCH(CONCATENATE('Tabular Pop Data by Age'!$C242,'Tabular Pop Data by Age'!D$7),'Population Data by Age'!$B$7:$B$10366,0),MATCH('Tabular Pop Data by Age'!$C$6,'Population Data by Age'!$B$6:$H$6,0))</f>
        <v>0</v>
      </c>
      <c r="E242" s="78">
        <f>INDEX('Population Data by Age'!$B$7:$H$10366,MATCH(CONCATENATE('Tabular Pop Data by Age'!$C242,'Tabular Pop Data by Age'!E$7),'Population Data by Age'!$B$7:$B$10366,0),MATCH('Tabular Pop Data by Age'!$C$6,'Population Data by Age'!$B$6:$H$6,0))</f>
        <v>0</v>
      </c>
      <c r="F242" s="78">
        <f>INDEX('Population Data by Age'!$B$7:$H$10366,MATCH(CONCATENATE('Tabular Pop Data by Age'!$C242,'Tabular Pop Data by Age'!F$7),'Population Data by Age'!$B$7:$B$10366,0),MATCH('Tabular Pop Data by Age'!$C$6,'Population Data by Age'!$B$6:$H$6,0))</f>
        <v>0</v>
      </c>
      <c r="G242" s="78">
        <f>INDEX('Population Data by Age'!$B$7:$H$10366,MATCH(CONCATENATE('Tabular Pop Data by Age'!$C242,'Tabular Pop Data by Age'!G$7),'Population Data by Age'!$B$7:$B$10366,0),MATCH('Tabular Pop Data by Age'!$C$6,'Population Data by Age'!$B$6:$H$6,0))</f>
        <v>0</v>
      </c>
      <c r="H242" s="78">
        <f>INDEX('Population Data by Age'!$B$7:$H$10366,MATCH(CONCATENATE('Tabular Pop Data by Age'!$C242,'Tabular Pop Data by Age'!H$7),'Population Data by Age'!$B$7:$B$10366,0),MATCH('Tabular Pop Data by Age'!$C$6,'Population Data by Age'!$B$6:$H$6,0))</f>
        <v>0</v>
      </c>
      <c r="I242" s="78">
        <f>INDEX('Population Data by Age'!$B$7:$H$10366,MATCH(CONCATENATE('Tabular Pop Data by Age'!$C242,'Tabular Pop Data by Age'!I$7),'Population Data by Age'!$B$7:$B$10366,0),MATCH('Tabular Pop Data by Age'!$C$6,'Population Data by Age'!$B$6:$H$6,0))</f>
        <v>0</v>
      </c>
      <c r="J242" s="78">
        <f>INDEX('Population Data by Age'!$B$7:$H$10366,MATCH(CONCATENATE('Tabular Pop Data by Age'!$C242,'Tabular Pop Data by Age'!J$7),'Population Data by Age'!$B$7:$B$10366,0),MATCH('Tabular Pop Data by Age'!$C$6,'Population Data by Age'!$B$6:$H$6,0))</f>
        <v>0</v>
      </c>
      <c r="K242" s="78">
        <f>INDEX('Population Data by Age'!$B$7:$H$10366,MATCH(CONCATENATE('Tabular Pop Data by Age'!$C242,'Tabular Pop Data by Age'!K$7),'Population Data by Age'!$B$7:$B$10366,0),MATCH('Tabular Pop Data by Age'!$C$6,'Population Data by Age'!$B$6:$H$6,0))</f>
        <v>0</v>
      </c>
      <c r="L242" s="78">
        <f>INDEX('Population Data by Age'!$B$7:$H$10366,MATCH(CONCATENATE('Tabular Pop Data by Age'!$C242,'Tabular Pop Data by Age'!L$7),'Population Data by Age'!$B$7:$B$10366,0),MATCH('Tabular Pop Data by Age'!$C$6,'Population Data by Age'!$B$6:$H$6,0))</f>
        <v>0</v>
      </c>
      <c r="M242" s="78">
        <f>INDEX('Population Data by Age'!$B$7:$H$10366,MATCH(CONCATENATE('Tabular Pop Data by Age'!$C242,'Tabular Pop Data by Age'!M$7),'Population Data by Age'!$B$7:$B$10366,0),MATCH('Tabular Pop Data by Age'!$C$6,'Population Data by Age'!$B$6:$H$6,0))</f>
        <v>0</v>
      </c>
      <c r="N242" s="78">
        <f>INDEX('Population Data by Age'!$B$7:$H$10366,MATCH(CONCATENATE('Tabular Pop Data by Age'!$C242,'Tabular Pop Data by Age'!N$7),'Population Data by Age'!$B$7:$B$10366,0),MATCH('Tabular Pop Data by Age'!$C$6,'Population Data by Age'!$B$6:$H$6,0))</f>
        <v>0</v>
      </c>
      <c r="O242" s="78">
        <f>INDEX('Population Data by Age'!$B$7:$H$10366,MATCH(CONCATENATE('Tabular Pop Data by Age'!$C242,'Tabular Pop Data by Age'!O$7),'Population Data by Age'!$B$7:$B$10366,0),MATCH('Tabular Pop Data by Age'!$C$6,'Population Data by Age'!$B$6:$H$6,0))</f>
        <v>0</v>
      </c>
      <c r="P242" s="78">
        <f>INDEX('Population Data by Age'!$B$7:$H$10366,MATCH(CONCATENATE('Tabular Pop Data by Age'!$C242,'Tabular Pop Data by Age'!P$7),'Population Data by Age'!$B$7:$B$10366,0),MATCH('Tabular Pop Data by Age'!$C$6,'Population Data by Age'!$B$6:$H$6,0))</f>
        <v>0</v>
      </c>
      <c r="Q242" s="78">
        <f>INDEX('Population Data by Age'!$B$7:$H$10366,MATCH(CONCATENATE('Tabular Pop Data by Age'!$C242,'Tabular Pop Data by Age'!Q$7),'Population Data by Age'!$B$7:$B$10366,0),MATCH('Tabular Pop Data by Age'!$C$6,'Population Data by Age'!$B$6:$H$6,0))</f>
        <v>0</v>
      </c>
      <c r="R242" s="78">
        <f>INDEX('Population Data by Age'!$B$7:$H$10366,MATCH(CONCATENATE('Tabular Pop Data by Age'!$C242,'Tabular Pop Data by Age'!R$7),'Population Data by Age'!$B$7:$B$10366,0),MATCH('Tabular Pop Data by Age'!$C$6,'Population Data by Age'!$B$6:$H$6,0))</f>
        <v>0</v>
      </c>
      <c r="S242" s="78">
        <f>INDEX('Population Data by Age'!$B$7:$H$10366,MATCH(CONCATENATE('Tabular Pop Data by Age'!$C242,'Tabular Pop Data by Age'!S$7),'Population Data by Age'!$B$7:$B$10366,0),MATCH('Tabular Pop Data by Age'!$C$6,'Population Data by Age'!$B$6:$H$6,0))</f>
        <v>0</v>
      </c>
      <c r="T242" s="78">
        <f>INDEX('Population Data by Age'!$B$7:$H$10366,MATCH(CONCATENATE('Tabular Pop Data by Age'!$C242,'Tabular Pop Data by Age'!T$7),'Population Data by Age'!$B$7:$B$10366,0),MATCH('Tabular Pop Data by Age'!$C$6,'Population Data by Age'!$B$6:$H$6,0))</f>
        <v>0</v>
      </c>
      <c r="U242" s="78">
        <f>INDEX('Population Data by Age'!$B$7:$H$10366,MATCH(CONCATENATE('Tabular Pop Data by Age'!$C242,'Tabular Pop Data by Age'!U$7),'Population Data by Age'!$B$7:$B$10366,0),MATCH('Tabular Pop Data by Age'!$C$6,'Population Data by Age'!$B$6:$H$6,0))</f>
        <v>0</v>
      </c>
      <c r="V242" s="78">
        <f>INDEX('Population Data by Age'!$B$7:$H$10366,MATCH(CONCATENATE('Tabular Pop Data by Age'!$C242,'Tabular Pop Data by Age'!V$7),'Population Data by Age'!$B$7:$B$10366,0),MATCH('Tabular Pop Data by Age'!$C$6,'Population Data by Age'!$B$6:$H$6,0))</f>
        <v>0</v>
      </c>
      <c r="W242" s="78">
        <f>INDEX('Population Data by Age'!$B$7:$H$10366,MATCH(CONCATENATE('Tabular Pop Data by Age'!$C242,'Tabular Pop Data by Age'!W$7),'Population Data by Age'!$B$7:$B$10366,0),MATCH('Tabular Pop Data by Age'!$C$6,'Population Data by Age'!$B$6:$H$6,0))</f>
        <v>0</v>
      </c>
      <c r="X242" s="78">
        <f>INDEX('Population Data by Age'!$B$7:$H$10366,MATCH(CONCATENATE('Tabular Pop Data by Age'!$C242,'Tabular Pop Data by Age'!X$7),'Population Data by Age'!$B$7:$B$10366,0),MATCH('Tabular Pop Data by Age'!$C$6,'Population Data by Age'!$B$6:$H$6,0))</f>
        <v>0</v>
      </c>
      <c r="Y242" s="78">
        <f>INDEX('Population Data by Age'!$B$7:$H$10366,MATCH(CONCATENATE('Tabular Pop Data by Age'!$C242,'Tabular Pop Data by Age'!Y$7),'Population Data by Age'!$B$7:$B$10366,0),MATCH('Tabular Pop Data by Age'!$C$6,'Population Data by Age'!$B$6:$H$6,0))</f>
        <v>0</v>
      </c>
      <c r="Z242" s="78">
        <f>INDEX('Population Data by Age'!$B$7:$H$10366,MATCH(CONCATENATE('Tabular Pop Data by Age'!$C242,'Tabular Pop Data by Age'!Z$7),'Population Data by Age'!$B$7:$B$10366,0),MATCH('Tabular Pop Data by Age'!$C$6,'Population Data by Age'!$B$6:$H$6,0))</f>
        <v>0</v>
      </c>
      <c r="AA242" s="78">
        <f>INDEX('Population Data by Age'!$B$7:$H$10366,MATCH(CONCATENATE('Tabular Pop Data by Age'!$C242,'Tabular Pop Data by Age'!AA$7),'Population Data by Age'!$B$7:$B$10366,0),MATCH('Tabular Pop Data by Age'!$C$6,'Population Data by Age'!$B$6:$H$6,0))</f>
        <v>0</v>
      </c>
      <c r="AB242" s="78">
        <f>INDEX('Population Data by Age'!$B$7:$H$10366,MATCH(CONCATENATE('Tabular Pop Data by Age'!$C242,'Tabular Pop Data by Age'!AB$7),'Population Data by Age'!$B$7:$B$10366,0),MATCH('Tabular Pop Data by Age'!$C$6,'Population Data by Age'!$B$6:$H$6,0))</f>
        <v>0</v>
      </c>
      <c r="AC242" s="78">
        <f>INDEX('Population Data by Age'!$B$7:$H$10366,MATCH(CONCATENATE('Tabular Pop Data by Age'!$C242,'Tabular Pop Data by Age'!AC$7),'Population Data by Age'!$B$7:$B$10366,0),MATCH('Tabular Pop Data by Age'!$C$6,'Population Data by Age'!$B$6:$H$6,0))</f>
        <v>0</v>
      </c>
      <c r="AD242" s="78">
        <f>INDEX('Population Data by Age'!$B$7:$H$10366,MATCH(CONCATENATE('Tabular Pop Data by Age'!$C242,'Tabular Pop Data by Age'!AD$7),'Population Data by Age'!$B$7:$B$10366,0),MATCH('Tabular Pop Data by Age'!$C$6,'Population Data by Age'!$B$6:$H$6,0))</f>
        <v>0</v>
      </c>
      <c r="AE242" s="78">
        <f>INDEX('Population Data by Age'!$B$7:$H$10366,MATCH(CONCATENATE('Tabular Pop Data by Age'!$C242,'Tabular Pop Data by Age'!AE$7),'Population Data by Age'!$B$7:$B$10366,0),MATCH('Tabular Pop Data by Age'!$C$6,'Population Data by Age'!$B$6:$H$6,0))</f>
        <v>0</v>
      </c>
      <c r="AF242" s="78">
        <f>INDEX('Population Data by Age'!$B$7:$H$10366,MATCH(CONCATENATE('Tabular Pop Data by Age'!$C242,'Tabular Pop Data by Age'!AF$7),'Population Data by Age'!$B$7:$B$10366,0),MATCH('Tabular Pop Data by Age'!$C$6,'Population Data by Age'!$B$6:$H$6,0))</f>
        <v>0</v>
      </c>
      <c r="AG242" s="78">
        <f>INDEX('Population Data by Age'!$B$7:$H$10366,MATCH(CONCATENATE('Tabular Pop Data by Age'!$C242,'Tabular Pop Data by Age'!AG$7),'Population Data by Age'!$B$7:$B$10366,0),MATCH('Tabular Pop Data by Age'!$C$6,'Population Data by Age'!$B$6:$H$6,0))</f>
        <v>0</v>
      </c>
      <c r="AH242" s="78">
        <f>INDEX('Population Data by Age'!$B$7:$H$10366,MATCH(CONCATENATE('Tabular Pop Data by Age'!$C242,'Tabular Pop Data by Age'!AH$7),'Population Data by Age'!$B$7:$B$10366,0),MATCH('Tabular Pop Data by Age'!$C$6,'Population Data by Age'!$B$6:$H$6,0))</f>
        <v>0</v>
      </c>
      <c r="AI242" s="78">
        <f>INDEX('Population Data by Age'!$B$7:$H$10366,MATCH(CONCATENATE('Tabular Pop Data by Age'!$C242,'Tabular Pop Data by Age'!AI$7),'Population Data by Age'!$B$7:$B$10366,0),MATCH('Tabular Pop Data by Age'!$C$6,'Population Data by Age'!$B$6:$H$6,0))</f>
        <v>0</v>
      </c>
      <c r="AJ242" s="78">
        <f>INDEX('Population Data by Age'!$B$7:$H$10366,MATCH(CONCATENATE('Tabular Pop Data by Age'!$C242,'Tabular Pop Data by Age'!AJ$7),'Population Data by Age'!$B$7:$B$10366,0),MATCH('Tabular Pop Data by Age'!$C$6,'Population Data by Age'!$B$6:$H$6,0))</f>
        <v>0</v>
      </c>
      <c r="AK242" s="78">
        <f>INDEX('Population Data by Age'!$B$7:$H$10366,MATCH(CONCATENATE('Tabular Pop Data by Age'!$C242,'Tabular Pop Data by Age'!AK$7),'Population Data by Age'!$B$7:$B$10366,0),MATCH('Tabular Pop Data by Age'!$C$6,'Population Data by Age'!$B$6:$H$6,0))</f>
        <v>0</v>
      </c>
      <c r="AL242" s="78">
        <f>INDEX('Population Data by Age'!$B$7:$H$10366,MATCH(CONCATENATE('Tabular Pop Data by Age'!$C242,'Tabular Pop Data by Age'!AL$7),'Population Data by Age'!$B$7:$B$10366,0),MATCH('Tabular Pop Data by Age'!$C$6,'Population Data by Age'!$B$6:$H$6,0))</f>
        <v>0</v>
      </c>
      <c r="AM242" s="78">
        <f>INDEX('Population Data by Age'!$B$7:$H$10366,MATCH(CONCATENATE('Tabular Pop Data by Age'!$C242,'Tabular Pop Data by Age'!AM$7),'Population Data by Age'!$B$7:$B$10366,0),MATCH('Tabular Pop Data by Age'!$C$6,'Population Data by Age'!$B$6:$H$6,0))</f>
        <v>0</v>
      </c>
      <c r="AN242" s="78">
        <f>INDEX('Population Data by Age'!$B$7:$H$10366,MATCH(CONCATENATE('Tabular Pop Data by Age'!$C242,'Tabular Pop Data by Age'!AN$7),'Population Data by Age'!$B$7:$B$10366,0),MATCH('Tabular Pop Data by Age'!$C$6,'Population Data by Age'!$B$6:$H$6,0))</f>
        <v>0</v>
      </c>
      <c r="AO242" s="78">
        <f>INDEX('Population Data by Age'!$B$7:$H$10366,MATCH(CONCATENATE('Tabular Pop Data by Age'!$C242,'Tabular Pop Data by Age'!AO$7),'Population Data by Age'!$B$7:$B$10366,0),MATCH('Tabular Pop Data by Age'!$C$6,'Population Data by Age'!$B$6:$H$6,0))</f>
        <v>0</v>
      </c>
      <c r="AP242" s="79">
        <f t="shared" si="68"/>
        <v>0</v>
      </c>
      <c r="AQ242" s="79">
        <f t="shared" si="69"/>
        <v>0</v>
      </c>
      <c r="AR242" s="79">
        <f t="shared" si="70"/>
        <v>0</v>
      </c>
      <c r="AS242" s="79">
        <f t="shared" si="71"/>
        <v>0</v>
      </c>
      <c r="AT242" s="79">
        <f t="shared" si="72"/>
        <v>0</v>
      </c>
      <c r="AU242" s="79">
        <f t="shared" si="73"/>
        <v>0</v>
      </c>
      <c r="AV242" s="79">
        <f t="shared" si="74"/>
        <v>0</v>
      </c>
      <c r="AW242" s="79">
        <f t="shared" si="75"/>
        <v>0</v>
      </c>
      <c r="AX242" s="79">
        <f t="shared" si="76"/>
        <v>0</v>
      </c>
      <c r="AY242" s="79">
        <f t="shared" si="77"/>
        <v>0</v>
      </c>
      <c r="AZ242" s="79">
        <f t="shared" si="78"/>
        <v>0</v>
      </c>
      <c r="BA242" s="79">
        <f t="shared" si="79"/>
        <v>0</v>
      </c>
      <c r="BB242" s="79">
        <f t="shared" si="80"/>
        <v>0</v>
      </c>
      <c r="BC242" s="79">
        <f t="shared" si="81"/>
        <v>0</v>
      </c>
      <c r="BD242" s="79">
        <f t="shared" si="82"/>
        <v>0</v>
      </c>
      <c r="BE242" s="79">
        <f t="shared" si="83"/>
        <v>0</v>
      </c>
      <c r="BF242" s="79">
        <f t="shared" si="84"/>
        <v>0</v>
      </c>
    </row>
    <row r="243" spans="1:58" x14ac:dyDescent="0.25">
      <c r="A243" s="138" t="s">
        <v>1182</v>
      </c>
      <c r="B243" t="s">
        <v>597</v>
      </c>
      <c r="C243" t="s">
        <v>598</v>
      </c>
      <c r="D243" s="78">
        <f>INDEX('Population Data by Age'!$B$7:$H$10366,MATCH(CONCATENATE('Tabular Pop Data by Age'!$C243,'Tabular Pop Data by Age'!D$7),'Population Data by Age'!$B$7:$B$10366,0),MATCH('Tabular Pop Data by Age'!$C$6,'Population Data by Age'!$B$6:$H$6,0))</f>
        <v>36385000</v>
      </c>
      <c r="E243" s="78">
        <f>INDEX('Population Data by Age'!$B$7:$H$10366,MATCH(CONCATENATE('Tabular Pop Data by Age'!$C243,'Tabular Pop Data by Age'!E$7),'Population Data by Age'!$B$7:$B$10366,0),MATCH('Tabular Pop Data by Age'!$C$6,'Population Data by Age'!$B$6:$H$6,0))</f>
        <v>38198000</v>
      </c>
      <c r="F243" s="78">
        <f>INDEX('Population Data by Age'!$B$7:$H$10366,MATCH(CONCATENATE('Tabular Pop Data by Age'!$C243,'Tabular Pop Data by Age'!F$7),'Population Data by Age'!$B$7:$B$10366,0),MATCH('Tabular Pop Data by Age'!$C$6,'Population Data by Age'!$B$6:$H$6,0))</f>
        <v>37845000</v>
      </c>
      <c r="G243" s="78">
        <f>INDEX('Population Data by Age'!$B$7:$H$10366,MATCH(CONCATENATE('Tabular Pop Data by Age'!$C243,'Tabular Pop Data by Age'!G$7),'Population Data by Age'!$B$7:$B$10366,0),MATCH('Tabular Pop Data by Age'!$C$6,'Population Data by Age'!$B$6:$H$6,0))</f>
        <v>39742000</v>
      </c>
      <c r="H243" s="78">
        <f>INDEX('Population Data by Age'!$B$7:$H$10366,MATCH(CONCATENATE('Tabular Pop Data by Age'!$C243,'Tabular Pop Data by Age'!H$7),'Population Data by Age'!$B$7:$B$10366,0),MATCH('Tabular Pop Data by Age'!$C$6,'Population Data by Age'!$B$6:$H$6,0))</f>
        <v>38611000</v>
      </c>
      <c r="I243" s="78">
        <f>INDEX('Population Data by Age'!$B$7:$H$10366,MATCH(CONCATENATE('Tabular Pop Data by Age'!$C243,'Tabular Pop Data by Age'!I$7),'Population Data by Age'!$B$7:$B$10366,0),MATCH('Tabular Pop Data by Age'!$C$6,'Population Data by Age'!$B$6:$H$6,0))</f>
        <v>40576000</v>
      </c>
      <c r="J243" s="78">
        <f>INDEX('Population Data by Age'!$B$7:$H$10366,MATCH(CONCATENATE('Tabular Pop Data by Age'!$C243,'Tabular Pop Data by Age'!J$7),'Population Data by Age'!$B$7:$B$10366,0),MATCH('Tabular Pop Data by Age'!$C$6,'Population Data by Age'!$B$6:$H$6,0))</f>
        <v>38543000</v>
      </c>
      <c r="K243" s="78">
        <f>INDEX('Population Data by Age'!$B$7:$H$10366,MATCH(CONCATENATE('Tabular Pop Data by Age'!$C243,'Tabular Pop Data by Age'!K$7),'Population Data by Age'!$B$7:$B$10366,0),MATCH('Tabular Pop Data by Age'!$C$6,'Population Data by Age'!$B$6:$H$6,0))</f>
        <v>40385000</v>
      </c>
      <c r="L243" s="78">
        <f>INDEX('Population Data by Age'!$B$7:$H$10366,MATCH(CONCATENATE('Tabular Pop Data by Age'!$C243,'Tabular Pop Data by Age'!L$7),'Population Data by Age'!$B$7:$B$10366,0),MATCH('Tabular Pop Data by Age'!$C$6,'Population Data by Age'!$B$6:$H$6,0))</f>
        <v>40371000</v>
      </c>
      <c r="M243" s="78">
        <f>INDEX('Population Data by Age'!$B$7:$H$10366,MATCH(CONCATENATE('Tabular Pop Data by Age'!$C243,'Tabular Pop Data by Age'!M$7),'Population Data by Age'!$B$7:$B$10366,0),MATCH('Tabular Pop Data by Age'!$C$6,'Population Data by Age'!$B$6:$H$6,0))</f>
        <v>42073000</v>
      </c>
      <c r="N243" s="78">
        <f>INDEX('Population Data by Age'!$B$7:$H$10366,MATCH(CONCATENATE('Tabular Pop Data by Age'!$C243,'Tabular Pop Data by Age'!N$7),'Population Data by Age'!$B$7:$B$10366,0),MATCH('Tabular Pop Data by Age'!$C$6,'Population Data by Age'!$B$6:$H$6,0))</f>
        <v>42767000</v>
      </c>
      <c r="O243" s="78">
        <f>INDEX('Population Data by Age'!$B$7:$H$10366,MATCH(CONCATENATE('Tabular Pop Data by Age'!$C243,'Tabular Pop Data by Age'!O$7),'Population Data by Age'!$B$7:$B$10366,0),MATCH('Tabular Pop Data by Age'!$C$6,'Population Data by Age'!$B$6:$H$6,0))</f>
        <v>44446000</v>
      </c>
      <c r="P243" s="78">
        <f>INDEX('Population Data by Age'!$B$7:$H$10366,MATCH(CONCATENATE('Tabular Pop Data by Age'!$C243,'Tabular Pop Data by Age'!P$7),'Population Data by Age'!$B$7:$B$10366,0),MATCH('Tabular Pop Data by Age'!$C$6,'Population Data by Age'!$B$6:$H$6,0))</f>
        <v>43498000</v>
      </c>
      <c r="Q243" s="78">
        <f>INDEX('Population Data by Age'!$B$7:$H$10366,MATCH(CONCATENATE('Tabular Pop Data by Age'!$C243,'Tabular Pop Data by Age'!Q$7),'Population Data by Age'!$B$7:$B$10366,0),MATCH('Tabular Pop Data by Age'!$C$6,'Population Data by Age'!$B$6:$H$6,0))</f>
        <v>44438000</v>
      </c>
      <c r="R243" s="78">
        <f>INDEX('Population Data by Age'!$B$7:$H$10366,MATCH(CONCATENATE('Tabular Pop Data by Age'!$C243,'Tabular Pop Data by Age'!R$7),'Population Data by Age'!$B$7:$B$10366,0),MATCH('Tabular Pop Data by Age'!$C$6,'Population Data by Age'!$B$6:$H$6,0))</f>
        <v>44133000</v>
      </c>
      <c r="S243" s="78">
        <f>INDEX('Population Data by Age'!$B$7:$H$10366,MATCH(CONCATENATE('Tabular Pop Data by Age'!$C243,'Tabular Pop Data by Age'!S$7),'Population Data by Age'!$B$7:$B$10366,0),MATCH('Tabular Pop Data by Age'!$C$6,'Population Data by Age'!$B$6:$H$6,0))</f>
        <v>44378000</v>
      </c>
      <c r="T243" s="78">
        <f>INDEX('Population Data by Age'!$B$7:$H$10366,MATCH(CONCATENATE('Tabular Pop Data by Age'!$C243,'Tabular Pop Data by Age'!T$7),'Population Data by Age'!$B$7:$B$10366,0),MATCH('Tabular Pop Data by Age'!$C$6,'Population Data by Age'!$B$6:$H$6,0))</f>
        <v>43780000</v>
      </c>
      <c r="U243" s="78">
        <f>INDEX('Population Data by Age'!$B$7:$H$10366,MATCH(CONCATENATE('Tabular Pop Data by Age'!$C243,'Tabular Pop Data by Age'!U$7),'Population Data by Age'!$B$7:$B$10366,0),MATCH('Tabular Pop Data by Age'!$C$6,'Population Data by Age'!$B$6:$H$6,0))</f>
        <v>43565000</v>
      </c>
      <c r="V243" s="78">
        <f>INDEX('Population Data by Age'!$B$7:$H$10366,MATCH(CONCATENATE('Tabular Pop Data by Age'!$C243,'Tabular Pop Data by Age'!V$7),'Population Data by Age'!$B$7:$B$10366,0),MATCH('Tabular Pop Data by Age'!$C$6,'Population Data by Age'!$B$6:$H$6,0))</f>
        <v>44604000</v>
      </c>
      <c r="W243" s="78">
        <f>INDEX('Population Data by Age'!$B$7:$H$10366,MATCH(CONCATENATE('Tabular Pop Data by Age'!$C243,'Tabular Pop Data by Age'!W$7),'Population Data by Age'!$B$7:$B$10366,0),MATCH('Tabular Pop Data by Age'!$C$6,'Population Data by Age'!$B$6:$H$6,0))</f>
        <v>44174000</v>
      </c>
      <c r="X243" s="78">
        <f>INDEX('Population Data by Age'!$B$7:$H$10366,MATCH(CONCATENATE('Tabular Pop Data by Age'!$C243,'Tabular Pop Data by Age'!X$7),'Population Data by Age'!$B$7:$B$10366,0),MATCH('Tabular Pop Data by Age'!$C$6,'Population Data by Age'!$B$6:$H$6,0))</f>
        <v>43913000</v>
      </c>
      <c r="Y243" s="78">
        <f>INDEX('Population Data by Age'!$B$7:$H$10366,MATCH(CONCATENATE('Tabular Pop Data by Age'!$C243,'Tabular Pop Data by Age'!Y$7),'Population Data by Age'!$B$7:$B$10366,0),MATCH('Tabular Pop Data by Age'!$C$6,'Population Data by Age'!$B$6:$H$6,0))</f>
        <v>43249000</v>
      </c>
      <c r="Z243" s="78">
        <f>INDEX('Population Data by Age'!$B$7:$H$10366,MATCH(CONCATENATE('Tabular Pop Data by Age'!$C243,'Tabular Pop Data by Age'!Z$7),'Population Data by Age'!$B$7:$B$10366,0),MATCH('Tabular Pop Data by Age'!$C$6,'Population Data by Age'!$B$6:$H$6,0))</f>
        <v>43077000</v>
      </c>
      <c r="AA243" s="78">
        <f>INDEX('Population Data by Age'!$B$7:$H$10366,MATCH(CONCATENATE('Tabular Pop Data by Age'!$C243,'Tabular Pop Data by Age'!AA$7),'Population Data by Age'!$B$7:$B$10366,0),MATCH('Tabular Pop Data by Age'!$C$6,'Population Data by Age'!$B$6:$H$6,0))</f>
        <v>41859000</v>
      </c>
      <c r="AB243" s="78">
        <f>INDEX('Population Data by Age'!$B$7:$H$10366,MATCH(CONCATENATE('Tabular Pop Data by Age'!$C243,'Tabular Pop Data by Age'!AB$7),'Population Data by Age'!$B$7:$B$10366,0),MATCH('Tabular Pop Data by Age'!$C$6,'Population Data by Age'!$B$6:$H$6,0))</f>
        <v>39948000</v>
      </c>
      <c r="AC243" s="78">
        <f>INDEX('Population Data by Age'!$B$7:$H$10366,MATCH(CONCATENATE('Tabular Pop Data by Age'!$C243,'Tabular Pop Data by Age'!AC$7),'Population Data by Age'!$B$7:$B$10366,0),MATCH('Tabular Pop Data by Age'!$C$6,'Population Data by Age'!$B$6:$H$6,0))</f>
        <v>37543000</v>
      </c>
      <c r="AD243" s="78">
        <f>INDEX('Population Data by Age'!$B$7:$H$10366,MATCH(CONCATENATE('Tabular Pop Data by Age'!$C243,'Tabular Pop Data by Age'!AD$7),'Population Data by Age'!$B$7:$B$10366,0),MATCH('Tabular Pop Data by Age'!$C$6,'Population Data by Age'!$B$6:$H$6,0))</f>
        <v>35826000</v>
      </c>
      <c r="AE243" s="78">
        <f>INDEX('Population Data by Age'!$B$7:$H$10366,MATCH(CONCATENATE('Tabular Pop Data by Age'!$C243,'Tabular Pop Data by Age'!AE$7),'Population Data by Age'!$B$7:$B$10366,0),MATCH('Tabular Pop Data by Age'!$C$6,'Population Data by Age'!$B$6:$H$6,0))</f>
        <v>32328000</v>
      </c>
      <c r="AF243" s="78">
        <f>INDEX('Population Data by Age'!$B$7:$H$10366,MATCH(CONCATENATE('Tabular Pop Data by Age'!$C243,'Tabular Pop Data by Age'!AF$7),'Population Data by Age'!$B$7:$B$10366,0),MATCH('Tabular Pop Data by Age'!$C$6,'Population Data by Age'!$B$6:$H$6,0))</f>
        <v>31631300</v>
      </c>
      <c r="AG243" s="78">
        <f>INDEX('Population Data by Age'!$B$7:$H$10366,MATCH(CONCATENATE('Tabular Pop Data by Age'!$C243,'Tabular Pop Data by Age'!AG$7),'Population Data by Age'!$B$7:$B$10366,0),MATCH('Tabular Pop Data by Age'!$C$6,'Population Data by Age'!$B$6:$H$6,0))</f>
        <v>27408400</v>
      </c>
      <c r="AH243" s="78">
        <f>INDEX('Population Data by Age'!$B$7:$H$10366,MATCH(CONCATENATE('Tabular Pop Data by Age'!$C243,'Tabular Pop Data by Age'!AH$7),'Population Data by Age'!$B$7:$B$10366,0),MATCH('Tabular Pop Data by Age'!$C$6,'Population Data by Age'!$B$6:$H$6,0))</f>
        <v>23942700</v>
      </c>
      <c r="AI243" s="78">
        <f>INDEX('Population Data by Age'!$B$7:$H$10366,MATCH(CONCATENATE('Tabular Pop Data by Age'!$C243,'Tabular Pop Data by Age'!AI$7),'Population Data by Age'!$B$7:$B$10366,0),MATCH('Tabular Pop Data by Age'!$C$6,'Population Data by Age'!$B$6:$H$6,0))</f>
        <v>19144700</v>
      </c>
      <c r="AJ243" s="78">
        <f>INDEX('Population Data by Age'!$B$7:$H$10366,MATCH(CONCATENATE('Tabular Pop Data by Age'!$C243,'Tabular Pop Data by Age'!AJ$7),'Population Data by Age'!$B$7:$B$10366,0),MATCH('Tabular Pop Data by Age'!$C$6,'Population Data by Age'!$B$6:$H$6,0))</f>
        <v>39265800</v>
      </c>
      <c r="AK243" s="78">
        <f>INDEX('Population Data by Age'!$B$7:$H$10366,MATCH(CONCATENATE('Tabular Pop Data by Age'!$C243,'Tabular Pop Data by Age'!AK$7),'Population Data by Age'!$B$7:$B$10366,0),MATCH('Tabular Pop Data by Age'!$C$6,'Population Data by Age'!$B$6:$H$6,0))</f>
        <v>23880200</v>
      </c>
      <c r="AL243" s="78">
        <f>INDEX('Population Data by Age'!$B$7:$H$10366,MATCH(CONCATENATE('Tabular Pop Data by Age'!$C243,'Tabular Pop Data by Age'!AL$7),'Population Data by Age'!$B$7:$B$10366,0),MATCH('Tabular Pop Data by Age'!$C$6,'Population Data by Age'!$B$6:$H$6,0))</f>
        <v>668148000</v>
      </c>
      <c r="AM243" s="78">
        <f>INDEX('Population Data by Age'!$B$7:$H$10366,MATCH(CONCATENATE('Tabular Pop Data by Age'!$C243,'Tabular Pop Data by Age'!AM$7),'Population Data by Age'!$B$7:$B$10366,0),MATCH('Tabular Pop Data by Age'!$C$6,'Population Data by Age'!$B$6:$H$6,0))</f>
        <v>647384000</v>
      </c>
      <c r="AN243" s="78">
        <f>INDEX('Population Data by Age'!$B$7:$H$10366,MATCH(CONCATENATE('Tabular Pop Data by Age'!$C243,'Tabular Pop Data by Age'!AN$7),'Population Data by Age'!$B$7:$B$10366,0),MATCH('Tabular Pop Data by Age'!$C$6,'Population Data by Age'!$B$6:$H$6,0))</f>
        <v>1315534000</v>
      </c>
      <c r="AO243" s="78">
        <f>INDEX('Population Data by Age'!$B$7:$H$10366,MATCH(CONCATENATE('Tabular Pop Data by Age'!$C243,'Tabular Pop Data by Age'!AO$7),'Population Data by Age'!$B$7:$B$10366,0),MATCH('Tabular Pop Data by Age'!$C$6,'Population Data by Age'!$B$6:$H$6,0))</f>
        <v>0.44651924201679094</v>
      </c>
      <c r="AP243" s="79">
        <f t="shared" si="68"/>
        <v>74583000</v>
      </c>
      <c r="AQ243" s="79">
        <f t="shared" si="69"/>
        <v>77587000</v>
      </c>
      <c r="AR243" s="79">
        <f t="shared" si="70"/>
        <v>79187000</v>
      </c>
      <c r="AS243" s="79">
        <f t="shared" si="71"/>
        <v>78928000</v>
      </c>
      <c r="AT243" s="79">
        <f t="shared" si="72"/>
        <v>82444000</v>
      </c>
      <c r="AU243" s="79">
        <f t="shared" si="73"/>
        <v>87213000</v>
      </c>
      <c r="AV243" s="79">
        <f t="shared" si="74"/>
        <v>87936000</v>
      </c>
      <c r="AW243" s="79">
        <f t="shared" si="75"/>
        <v>88511000</v>
      </c>
      <c r="AX243" s="79">
        <f t="shared" si="76"/>
        <v>87345000</v>
      </c>
      <c r="AY243" s="79">
        <f t="shared" si="77"/>
        <v>88778000</v>
      </c>
      <c r="AZ243" s="79">
        <f t="shared" si="78"/>
        <v>87162000</v>
      </c>
      <c r="BA243" s="79">
        <f t="shared" si="79"/>
        <v>84936000</v>
      </c>
      <c r="BB243" s="79">
        <f t="shared" si="80"/>
        <v>77491000</v>
      </c>
      <c r="BC243" s="79">
        <f t="shared" si="81"/>
        <v>68154000</v>
      </c>
      <c r="BD243" s="79">
        <f t="shared" si="82"/>
        <v>59039700</v>
      </c>
      <c r="BE243" s="79">
        <f t="shared" si="83"/>
        <v>43087400</v>
      </c>
      <c r="BF243" s="79">
        <f t="shared" si="84"/>
        <v>63146000</v>
      </c>
    </row>
    <row r="244" spans="1:58" x14ac:dyDescent="0.25">
      <c r="A244" s="138" t="s">
        <v>1182</v>
      </c>
      <c r="B244" t="s">
        <v>588</v>
      </c>
      <c r="C244" t="s">
        <v>589</v>
      </c>
      <c r="D244" s="78">
        <f>INDEX('Population Data by Age'!$B$7:$H$10366,MATCH(CONCATENATE('Tabular Pop Data by Age'!$C244,'Tabular Pop Data by Age'!D$7),'Population Data by Age'!$B$7:$B$10366,0),MATCH('Tabular Pop Data by Age'!$C$6,'Population Data by Age'!$B$6:$H$6,0))</f>
        <v>10619000</v>
      </c>
      <c r="E244" s="78">
        <f>INDEX('Population Data by Age'!$B$7:$H$10366,MATCH(CONCATENATE('Tabular Pop Data by Age'!$C244,'Tabular Pop Data by Age'!E$7),'Population Data by Age'!$B$7:$B$10366,0),MATCH('Tabular Pop Data by Age'!$C$6,'Population Data by Age'!$B$6:$H$6,0))</f>
        <v>11102000</v>
      </c>
      <c r="F244" s="78">
        <f>INDEX('Population Data by Age'!$B$7:$H$10366,MATCH(CONCATENATE('Tabular Pop Data by Age'!$C244,'Tabular Pop Data by Age'!F$7),'Population Data by Age'!$B$7:$B$10366,0),MATCH('Tabular Pop Data by Age'!$C$6,'Population Data by Age'!$B$6:$H$6,0))</f>
        <v>10791000</v>
      </c>
      <c r="G244" s="78">
        <f>INDEX('Population Data by Age'!$B$7:$H$10366,MATCH(CONCATENATE('Tabular Pop Data by Age'!$C244,'Tabular Pop Data by Age'!G$7),'Population Data by Age'!$B$7:$B$10366,0),MATCH('Tabular Pop Data by Age'!$C$6,'Population Data by Age'!$B$6:$H$6,0))</f>
        <v>11285000</v>
      </c>
      <c r="H244" s="78">
        <f>INDEX('Population Data by Age'!$B$7:$H$10366,MATCH(CONCATENATE('Tabular Pop Data by Age'!$C244,'Tabular Pop Data by Age'!H$7),'Population Data by Age'!$B$7:$B$10366,0),MATCH('Tabular Pop Data by Age'!$C$6,'Population Data by Age'!$B$6:$H$6,0))</f>
        <v>11307000</v>
      </c>
      <c r="I244" s="78">
        <f>INDEX('Population Data by Age'!$B$7:$H$10366,MATCH(CONCATENATE('Tabular Pop Data by Age'!$C244,'Tabular Pop Data by Age'!I$7),'Population Data by Age'!$B$7:$B$10366,0),MATCH('Tabular Pop Data by Age'!$C$6,'Population Data by Age'!$B$6:$H$6,0))</f>
        <v>11820000</v>
      </c>
      <c r="J244" s="78">
        <f>INDEX('Population Data by Age'!$B$7:$H$10366,MATCH(CONCATENATE('Tabular Pop Data by Age'!$C244,'Tabular Pop Data by Age'!J$7),'Population Data by Age'!$B$7:$B$10366,0),MATCH('Tabular Pop Data by Age'!$C$6,'Population Data by Age'!$B$6:$H$6,0))</f>
        <v>11407000</v>
      </c>
      <c r="K244" s="78">
        <f>INDEX('Population Data by Age'!$B$7:$H$10366,MATCH(CONCATENATE('Tabular Pop Data by Age'!$C244,'Tabular Pop Data by Age'!K$7),'Population Data by Age'!$B$7:$B$10366,0),MATCH('Tabular Pop Data by Age'!$C$6,'Population Data by Age'!$B$6:$H$6,0))</f>
        <v>11880000</v>
      </c>
      <c r="L244" s="78">
        <f>INDEX('Population Data by Age'!$B$7:$H$10366,MATCH(CONCATENATE('Tabular Pop Data by Age'!$C244,'Tabular Pop Data by Age'!L$7),'Population Data by Age'!$B$7:$B$10366,0),MATCH('Tabular Pop Data by Age'!$C$6,'Population Data by Age'!$B$6:$H$6,0))</f>
        <v>12119000</v>
      </c>
      <c r="M244" s="78">
        <f>INDEX('Population Data by Age'!$B$7:$H$10366,MATCH(CONCATENATE('Tabular Pop Data by Age'!$C244,'Tabular Pop Data by Age'!M$7),'Population Data by Age'!$B$7:$B$10366,0),MATCH('Tabular Pop Data by Age'!$C$6,'Population Data by Age'!$B$6:$H$6,0))</f>
        <v>12560000</v>
      </c>
      <c r="N244" s="78">
        <f>INDEX('Population Data by Age'!$B$7:$H$10366,MATCH(CONCATENATE('Tabular Pop Data by Age'!$C244,'Tabular Pop Data by Age'!N$7),'Population Data by Age'!$B$7:$B$10366,0),MATCH('Tabular Pop Data by Age'!$C$6,'Population Data by Age'!$B$6:$H$6,0))</f>
        <v>13065000</v>
      </c>
      <c r="O244" s="78">
        <f>INDEX('Population Data by Age'!$B$7:$H$10366,MATCH(CONCATENATE('Tabular Pop Data by Age'!$C244,'Tabular Pop Data by Age'!O$7),'Population Data by Age'!$B$7:$B$10366,0),MATCH('Tabular Pop Data by Age'!$C$6,'Population Data by Age'!$B$6:$H$6,0))</f>
        <v>13565000</v>
      </c>
      <c r="P244" s="78">
        <f>INDEX('Population Data by Age'!$B$7:$H$10366,MATCH(CONCATENATE('Tabular Pop Data by Age'!$C244,'Tabular Pop Data by Age'!P$7),'Population Data by Age'!$B$7:$B$10366,0),MATCH('Tabular Pop Data by Age'!$C$6,'Population Data by Age'!$B$6:$H$6,0))</f>
        <v>12689000</v>
      </c>
      <c r="Q244" s="78">
        <f>INDEX('Population Data by Age'!$B$7:$H$10366,MATCH(CONCATENATE('Tabular Pop Data by Age'!$C244,'Tabular Pop Data by Age'!Q$7),'Population Data by Age'!$B$7:$B$10366,0),MATCH('Tabular Pop Data by Age'!$C$6,'Population Data by Age'!$B$6:$H$6,0))</f>
        <v>13049000</v>
      </c>
      <c r="R244" s="78">
        <f>INDEX('Population Data by Age'!$B$7:$H$10366,MATCH(CONCATENATE('Tabular Pop Data by Age'!$C244,'Tabular Pop Data by Age'!R$7),'Population Data by Age'!$B$7:$B$10366,0),MATCH('Tabular Pop Data by Age'!$C$6,'Population Data by Age'!$B$6:$H$6,0))</f>
        <v>12115000</v>
      </c>
      <c r="S244" s="78">
        <f>INDEX('Population Data by Age'!$B$7:$H$10366,MATCH(CONCATENATE('Tabular Pop Data by Age'!$C244,'Tabular Pop Data by Age'!S$7),'Population Data by Age'!$B$7:$B$10366,0),MATCH('Tabular Pop Data by Age'!$C$6,'Population Data by Age'!$B$6:$H$6,0))</f>
        <v>12209000</v>
      </c>
      <c r="T244" s="78">
        <f>INDEX('Population Data by Age'!$B$7:$H$10366,MATCH(CONCATENATE('Tabular Pop Data by Age'!$C244,'Tabular Pop Data by Age'!T$7),'Population Data by Age'!$B$7:$B$10366,0),MATCH('Tabular Pop Data by Age'!$C$6,'Population Data by Age'!$B$6:$H$6,0))</f>
        <v>11441000</v>
      </c>
      <c r="U244" s="78">
        <f>INDEX('Population Data by Age'!$B$7:$H$10366,MATCH(CONCATENATE('Tabular Pop Data by Age'!$C244,'Tabular Pop Data by Age'!U$7),'Population Data by Age'!$B$7:$B$10366,0),MATCH('Tabular Pop Data by Age'!$C$6,'Population Data by Age'!$B$6:$H$6,0))</f>
        <v>11368000</v>
      </c>
      <c r="V244" s="78">
        <f>INDEX('Population Data by Age'!$B$7:$H$10366,MATCH(CONCATENATE('Tabular Pop Data by Age'!$C244,'Tabular Pop Data by Age'!V$7),'Population Data by Age'!$B$7:$B$10366,0),MATCH('Tabular Pop Data by Age'!$C$6,'Population Data by Age'!$B$6:$H$6,0))</f>
        <v>11304000</v>
      </c>
      <c r="W244" s="78">
        <f>INDEX('Population Data by Age'!$B$7:$H$10366,MATCH(CONCATENATE('Tabular Pop Data by Age'!$C244,'Tabular Pop Data by Age'!W$7),'Population Data by Age'!$B$7:$B$10366,0),MATCH('Tabular Pop Data by Age'!$C$6,'Population Data by Age'!$B$6:$H$6,0))</f>
        <v>11185000</v>
      </c>
      <c r="X244" s="78">
        <f>INDEX('Population Data by Age'!$B$7:$H$10366,MATCH(CONCATENATE('Tabular Pop Data by Age'!$C244,'Tabular Pop Data by Age'!X$7),'Population Data by Age'!$B$7:$B$10366,0),MATCH('Tabular Pop Data by Age'!$C$6,'Population Data by Age'!$B$6:$H$6,0))</f>
        <v>11493000</v>
      </c>
      <c r="Y244" s="78">
        <f>INDEX('Population Data by Age'!$B$7:$H$10366,MATCH(CONCATENATE('Tabular Pop Data by Age'!$C244,'Tabular Pop Data by Age'!Y$7),'Population Data by Age'!$B$7:$B$10366,0),MATCH('Tabular Pop Data by Age'!$C$6,'Population Data by Age'!$B$6:$H$6,0))</f>
        <v>11562000</v>
      </c>
      <c r="Z244" s="78">
        <f>INDEX('Population Data by Age'!$B$7:$H$10366,MATCH(CONCATENATE('Tabular Pop Data by Age'!$C244,'Tabular Pop Data by Age'!Z$7),'Population Data by Age'!$B$7:$B$10366,0),MATCH('Tabular Pop Data by Age'!$C$6,'Population Data by Age'!$B$6:$H$6,0))</f>
        <v>12246000</v>
      </c>
      <c r="AA244" s="78">
        <f>INDEX('Population Data by Age'!$B$7:$H$10366,MATCH(CONCATENATE('Tabular Pop Data by Age'!$C244,'Tabular Pop Data by Age'!AA$7),'Population Data by Age'!$B$7:$B$10366,0),MATCH('Tabular Pop Data by Age'!$C$6,'Population Data by Age'!$B$6:$H$6,0))</f>
        <v>12111000</v>
      </c>
      <c r="AB244" s="78">
        <f>INDEX('Population Data by Age'!$B$7:$H$10366,MATCH(CONCATENATE('Tabular Pop Data by Age'!$C244,'Tabular Pop Data by Age'!AB$7),'Population Data by Age'!$B$7:$B$10366,0),MATCH('Tabular Pop Data by Age'!$C$6,'Population Data by Age'!$B$6:$H$6,0))</f>
        <v>11934000</v>
      </c>
      <c r="AC244" s="78">
        <f>INDEX('Population Data by Age'!$B$7:$H$10366,MATCH(CONCATENATE('Tabular Pop Data by Age'!$C244,'Tabular Pop Data by Age'!AC$7),'Population Data by Age'!$B$7:$B$10366,0),MATCH('Tabular Pop Data by Age'!$C$6,'Population Data by Age'!$B$6:$H$6,0))</f>
        <v>11351000</v>
      </c>
      <c r="AD244" s="78">
        <f>INDEX('Population Data by Age'!$B$7:$H$10366,MATCH(CONCATENATE('Tabular Pop Data by Age'!$C244,'Tabular Pop Data by Age'!AD$7),'Population Data by Age'!$B$7:$B$10366,0),MATCH('Tabular Pop Data by Age'!$C$6,'Population Data by Age'!$B$6:$H$6,0))</f>
        <v>10481000</v>
      </c>
      <c r="AE244" s="78">
        <f>INDEX('Population Data by Age'!$B$7:$H$10366,MATCH(CONCATENATE('Tabular Pop Data by Age'!$C244,'Tabular Pop Data by Age'!AE$7),'Population Data by Age'!$B$7:$B$10366,0),MATCH('Tabular Pop Data by Age'!$C$6,'Population Data by Age'!$B$6:$H$6,0))</f>
        <v>9535000</v>
      </c>
      <c r="AF244" s="78">
        <f>INDEX('Population Data by Age'!$B$7:$H$10366,MATCH(CONCATENATE('Tabular Pop Data by Age'!$C244,'Tabular Pop Data by Age'!AF$7),'Population Data by Age'!$B$7:$B$10366,0),MATCH('Tabular Pop Data by Age'!$C$6,'Population Data by Age'!$B$6:$H$6,0))</f>
        <v>8655000</v>
      </c>
      <c r="AG244" s="78">
        <f>INDEX('Population Data by Age'!$B$7:$H$10366,MATCH(CONCATENATE('Tabular Pop Data by Age'!$C244,'Tabular Pop Data by Age'!AG$7),'Population Data by Age'!$B$7:$B$10366,0),MATCH('Tabular Pop Data by Age'!$C$6,'Population Data by Age'!$B$6:$H$6,0))</f>
        <v>7530000</v>
      </c>
      <c r="AH244" s="78">
        <f>INDEX('Population Data by Age'!$B$7:$H$10366,MATCH(CONCATENATE('Tabular Pop Data by Age'!$C244,'Tabular Pop Data by Age'!AH$7),'Population Data by Age'!$B$7:$B$10366,0),MATCH('Tabular Pop Data by Age'!$C$6,'Population Data by Age'!$B$6:$H$6,0))</f>
        <v>6073000</v>
      </c>
      <c r="AI244" s="78">
        <f>INDEX('Population Data by Age'!$B$7:$H$10366,MATCH(CONCATENATE('Tabular Pop Data by Age'!$C244,'Tabular Pop Data by Age'!AI$7),'Population Data by Age'!$B$7:$B$10366,0),MATCH('Tabular Pop Data by Age'!$C$6,'Population Data by Age'!$B$6:$H$6,0))</f>
        <v>4906000</v>
      </c>
      <c r="AJ244" s="78">
        <f>INDEX('Population Data by Age'!$B$7:$H$10366,MATCH(CONCATENATE('Tabular Pop Data by Age'!$C244,'Tabular Pop Data by Age'!AJ$7),'Population Data by Age'!$B$7:$B$10366,0),MATCH('Tabular Pop Data by Age'!$C$6,'Population Data by Age'!$B$6:$H$6,0))</f>
        <v>8921000</v>
      </c>
      <c r="AK244" s="78">
        <f>INDEX('Population Data by Age'!$B$7:$H$10366,MATCH(CONCATENATE('Tabular Pop Data by Age'!$C244,'Tabular Pop Data by Age'!AK$7),'Population Data by Age'!$B$7:$B$10366,0),MATCH('Tabular Pop Data by Age'!$C$6,'Population Data by Age'!$B$6:$H$6,0))</f>
        <v>5924000</v>
      </c>
      <c r="AL244" s="78">
        <f>INDEX('Population Data by Age'!$B$7:$H$10366,MATCH(CONCATENATE('Tabular Pop Data by Age'!$C244,'Tabular Pop Data by Age'!AL$7),'Population Data by Age'!$B$7:$B$10366,0),MATCH('Tabular Pop Data by Age'!$C$6,'Population Data by Age'!$B$6:$H$6,0))</f>
        <v>186658000</v>
      </c>
      <c r="AM244" s="78">
        <f>INDEX('Population Data by Age'!$B$7:$H$10366,MATCH(CONCATENATE('Tabular Pop Data by Age'!$C244,'Tabular Pop Data by Age'!AM$7),'Population Data by Age'!$B$7:$B$10366,0),MATCH('Tabular Pop Data by Age'!$C$6,'Population Data by Age'!$B$6:$H$6,0))</f>
        <v>182941000</v>
      </c>
      <c r="AN244" s="78">
        <f>INDEX('Population Data by Age'!$B$7:$H$10366,MATCH(CONCATENATE('Tabular Pop Data by Age'!$C244,'Tabular Pop Data by Age'!AN$7),'Population Data by Age'!$B$7:$B$10366,0),MATCH('Tabular Pop Data by Age'!$C$6,'Population Data by Age'!$B$6:$H$6,0))</f>
        <v>369599000</v>
      </c>
      <c r="AO244" s="78">
        <f>INDEX('Population Data by Age'!$B$7:$H$10366,MATCH(CONCATENATE('Tabular Pop Data by Age'!$C244,'Tabular Pop Data by Age'!AO$7),'Population Data by Age'!$B$7:$B$10366,0),MATCH('Tabular Pop Data by Age'!$C$6,'Population Data by Age'!$B$6:$H$6,0))</f>
        <v>0.73315181693554621</v>
      </c>
      <c r="AP244" s="79">
        <f t="shared" si="68"/>
        <v>21721000</v>
      </c>
      <c r="AQ244" s="79">
        <f t="shared" si="69"/>
        <v>22076000</v>
      </c>
      <c r="AR244" s="79">
        <f t="shared" si="70"/>
        <v>23127000</v>
      </c>
      <c r="AS244" s="79">
        <f t="shared" si="71"/>
        <v>23287000</v>
      </c>
      <c r="AT244" s="79">
        <f t="shared" si="72"/>
        <v>24679000</v>
      </c>
      <c r="AU244" s="79">
        <f t="shared" si="73"/>
        <v>26630000</v>
      </c>
      <c r="AV244" s="79">
        <f t="shared" si="74"/>
        <v>25738000</v>
      </c>
      <c r="AW244" s="79">
        <f t="shared" si="75"/>
        <v>24324000</v>
      </c>
      <c r="AX244" s="79">
        <f t="shared" si="76"/>
        <v>22809000</v>
      </c>
      <c r="AY244" s="79">
        <f t="shared" si="77"/>
        <v>22489000</v>
      </c>
      <c r="AZ244" s="79">
        <f t="shared" si="78"/>
        <v>23055000</v>
      </c>
      <c r="BA244" s="79">
        <f t="shared" si="79"/>
        <v>24357000</v>
      </c>
      <c r="BB244" s="79">
        <f t="shared" si="80"/>
        <v>23285000</v>
      </c>
      <c r="BC244" s="79">
        <f t="shared" si="81"/>
        <v>20016000</v>
      </c>
      <c r="BD244" s="79">
        <f t="shared" si="82"/>
        <v>16185000</v>
      </c>
      <c r="BE244" s="79">
        <f t="shared" si="83"/>
        <v>10979000</v>
      </c>
      <c r="BF244" s="79">
        <f t="shared" si="84"/>
        <v>14845000</v>
      </c>
    </row>
    <row r="245" spans="1:58" x14ac:dyDescent="0.25">
      <c r="A245" s="138" t="s">
        <v>1182</v>
      </c>
      <c r="B245" t="s">
        <v>572</v>
      </c>
      <c r="C245" t="s">
        <v>573</v>
      </c>
      <c r="D245" s="78">
        <f>INDEX('Population Data by Age'!$B$7:$H$10366,MATCH(CONCATENATE('Tabular Pop Data by Age'!$C245,'Tabular Pop Data by Age'!D$7),'Population Data by Age'!$B$7:$B$10366,0),MATCH('Tabular Pop Data by Age'!$C$6,'Population Data by Age'!$B$6:$H$6,0))</f>
        <v>24142000</v>
      </c>
      <c r="E245" s="78">
        <f>INDEX('Population Data by Age'!$B$7:$H$10366,MATCH(CONCATENATE('Tabular Pop Data by Age'!$C245,'Tabular Pop Data by Age'!E$7),'Population Data by Age'!$B$7:$B$10366,0),MATCH('Tabular Pop Data by Age'!$C$6,'Population Data by Age'!$B$6:$H$6,0))</f>
        <v>25364000</v>
      </c>
      <c r="F245" s="78">
        <f>INDEX('Population Data by Age'!$B$7:$H$10366,MATCH(CONCATENATE('Tabular Pop Data by Age'!$C245,'Tabular Pop Data by Age'!F$7),'Population Data by Age'!$B$7:$B$10366,0),MATCH('Tabular Pop Data by Age'!$C$6,'Population Data by Age'!$B$6:$H$6,0))</f>
        <v>23203000</v>
      </c>
      <c r="G245" s="78">
        <f>INDEX('Population Data by Age'!$B$7:$H$10366,MATCH(CONCATENATE('Tabular Pop Data by Age'!$C245,'Tabular Pop Data by Age'!G$7),'Population Data by Age'!$B$7:$B$10366,0),MATCH('Tabular Pop Data by Age'!$C$6,'Population Data by Age'!$B$6:$H$6,0))</f>
        <v>24461000</v>
      </c>
      <c r="H245" s="78">
        <f>INDEX('Population Data by Age'!$B$7:$H$10366,MATCH(CONCATENATE('Tabular Pop Data by Age'!$C245,'Tabular Pop Data by Age'!H$7),'Population Data by Age'!$B$7:$B$10366,0),MATCH('Tabular Pop Data by Age'!$C$6,'Population Data by Age'!$B$6:$H$6,0))</f>
        <v>20100000</v>
      </c>
      <c r="I245" s="78">
        <f>INDEX('Population Data by Age'!$B$7:$H$10366,MATCH(CONCATENATE('Tabular Pop Data by Age'!$C245,'Tabular Pop Data by Age'!I$7),'Population Data by Age'!$B$7:$B$10366,0),MATCH('Tabular Pop Data by Age'!$C$6,'Population Data by Age'!$B$6:$H$6,0))</f>
        <v>21168000</v>
      </c>
      <c r="J245" s="78">
        <f>INDEX('Population Data by Age'!$B$7:$H$10366,MATCH(CONCATENATE('Tabular Pop Data by Age'!$C245,'Tabular Pop Data by Age'!J$7),'Population Data by Age'!$B$7:$B$10366,0),MATCH('Tabular Pop Data by Age'!$C$6,'Population Data by Age'!$B$6:$H$6,0))</f>
        <v>17847000</v>
      </c>
      <c r="K245" s="78">
        <f>INDEX('Population Data by Age'!$B$7:$H$10366,MATCH(CONCATENATE('Tabular Pop Data by Age'!$C245,'Tabular Pop Data by Age'!K$7),'Population Data by Age'!$B$7:$B$10366,0),MATCH('Tabular Pop Data by Age'!$C$6,'Population Data by Age'!$B$6:$H$6,0))</f>
        <v>18710000</v>
      </c>
      <c r="L245" s="78">
        <f>INDEX('Population Data by Age'!$B$7:$H$10366,MATCH(CONCATENATE('Tabular Pop Data by Age'!$C245,'Tabular Pop Data by Age'!L$7),'Population Data by Age'!$B$7:$B$10366,0),MATCH('Tabular Pop Data by Age'!$C$6,'Population Data by Age'!$B$6:$H$6,0))</f>
        <v>17501000</v>
      </c>
      <c r="M245" s="78">
        <f>INDEX('Population Data by Age'!$B$7:$H$10366,MATCH(CONCATENATE('Tabular Pop Data by Age'!$C245,'Tabular Pop Data by Age'!M$7),'Population Data by Age'!$B$7:$B$10366,0),MATCH('Tabular Pop Data by Age'!$C$6,'Population Data by Age'!$B$6:$H$6,0))</f>
        <v>18730000</v>
      </c>
      <c r="N245" s="78">
        <f>INDEX('Population Data by Age'!$B$7:$H$10366,MATCH(CONCATENATE('Tabular Pop Data by Age'!$C245,'Tabular Pop Data by Age'!N$7),'Population Data by Age'!$B$7:$B$10366,0),MATCH('Tabular Pop Data by Age'!$C$6,'Population Data by Age'!$B$6:$H$6,0))</f>
        <v>18553000</v>
      </c>
      <c r="O245" s="78">
        <f>INDEX('Population Data by Age'!$B$7:$H$10366,MATCH(CONCATENATE('Tabular Pop Data by Age'!$C245,'Tabular Pop Data by Age'!O$7),'Population Data by Age'!$B$7:$B$10366,0),MATCH('Tabular Pop Data by Age'!$C$6,'Population Data by Age'!$B$6:$H$6,0))</f>
        <v>20792000</v>
      </c>
      <c r="P245" s="78">
        <f>INDEX('Population Data by Age'!$B$7:$H$10366,MATCH(CONCATENATE('Tabular Pop Data by Age'!$C245,'Tabular Pop Data by Age'!P$7),'Population Data by Age'!$B$7:$B$10366,0),MATCH('Tabular Pop Data by Age'!$C$6,'Population Data by Age'!$B$6:$H$6,0))</f>
        <v>19247000</v>
      </c>
      <c r="Q245" s="78">
        <f>INDEX('Population Data by Age'!$B$7:$H$10366,MATCH(CONCATENATE('Tabular Pop Data by Age'!$C245,'Tabular Pop Data by Age'!Q$7),'Population Data by Age'!$B$7:$B$10366,0),MATCH('Tabular Pop Data by Age'!$C$6,'Population Data by Age'!$B$6:$H$6,0))</f>
        <v>21790000</v>
      </c>
      <c r="R245" s="78">
        <f>INDEX('Population Data by Age'!$B$7:$H$10366,MATCH(CONCATENATE('Tabular Pop Data by Age'!$C245,'Tabular Pop Data by Age'!R$7),'Population Data by Age'!$B$7:$B$10366,0),MATCH('Tabular Pop Data by Age'!$C$6,'Population Data by Age'!$B$6:$H$6,0))</f>
        <v>17780000</v>
      </c>
      <c r="S245" s="78">
        <f>INDEX('Population Data by Age'!$B$7:$H$10366,MATCH(CONCATENATE('Tabular Pop Data by Age'!$C245,'Tabular Pop Data by Age'!S$7),'Population Data by Age'!$B$7:$B$10366,0),MATCH('Tabular Pop Data by Age'!$C$6,'Population Data by Age'!$B$6:$H$6,0))</f>
        <v>19901000</v>
      </c>
      <c r="T245" s="78">
        <f>INDEX('Population Data by Age'!$B$7:$H$10366,MATCH(CONCATENATE('Tabular Pop Data by Age'!$C245,'Tabular Pop Data by Age'!T$7),'Population Data by Age'!$B$7:$B$10366,0),MATCH('Tabular Pop Data by Age'!$C$6,'Population Data by Age'!$B$6:$H$6,0))</f>
        <v>14850000</v>
      </c>
      <c r="U245" s="78">
        <f>INDEX('Population Data by Age'!$B$7:$H$10366,MATCH(CONCATENATE('Tabular Pop Data by Age'!$C245,'Tabular Pop Data by Age'!U$7),'Population Data by Age'!$B$7:$B$10366,0),MATCH('Tabular Pop Data by Age'!$C$6,'Population Data by Age'!$B$6:$H$6,0))</f>
        <v>16853000</v>
      </c>
      <c r="V245" s="78">
        <f>INDEX('Population Data by Age'!$B$7:$H$10366,MATCH(CONCATENATE('Tabular Pop Data by Age'!$C245,'Tabular Pop Data by Age'!V$7),'Population Data by Age'!$B$7:$B$10366,0),MATCH('Tabular Pop Data by Age'!$C$6,'Population Data by Age'!$B$6:$H$6,0))</f>
        <v>12103000</v>
      </c>
      <c r="W245" s="78">
        <f>INDEX('Population Data by Age'!$B$7:$H$10366,MATCH(CONCATENATE('Tabular Pop Data by Age'!$C245,'Tabular Pop Data by Age'!W$7),'Population Data by Age'!$B$7:$B$10366,0),MATCH('Tabular Pop Data by Age'!$C$6,'Population Data by Age'!$B$6:$H$6,0))</f>
        <v>13643000</v>
      </c>
      <c r="X245" s="78">
        <f>INDEX('Population Data by Age'!$B$7:$H$10366,MATCH(CONCATENATE('Tabular Pop Data by Age'!$C245,'Tabular Pop Data by Age'!X$7),'Population Data by Age'!$B$7:$B$10366,0),MATCH('Tabular Pop Data by Age'!$C$6,'Population Data by Age'!$B$6:$H$6,0))</f>
        <v>10224000</v>
      </c>
      <c r="Y245" s="78">
        <f>INDEX('Population Data by Age'!$B$7:$H$10366,MATCH(CONCATENATE('Tabular Pop Data by Age'!$C245,'Tabular Pop Data by Age'!Y$7),'Population Data by Age'!$B$7:$B$10366,0),MATCH('Tabular Pop Data by Age'!$C$6,'Population Data by Age'!$B$6:$H$6,0))</f>
        <v>11166000</v>
      </c>
      <c r="Z245" s="78">
        <f>INDEX('Population Data by Age'!$B$7:$H$10366,MATCH(CONCATENATE('Tabular Pop Data by Age'!$C245,'Tabular Pop Data by Age'!Z$7),'Population Data by Age'!$B$7:$B$10366,0),MATCH('Tabular Pop Data by Age'!$C$6,'Population Data by Age'!$B$6:$H$6,0))</f>
        <v>8337000</v>
      </c>
      <c r="AA245" s="78">
        <f>INDEX('Population Data by Age'!$B$7:$H$10366,MATCH(CONCATENATE('Tabular Pop Data by Age'!$C245,'Tabular Pop Data by Age'!AA$7),'Population Data by Age'!$B$7:$B$10366,0),MATCH('Tabular Pop Data by Age'!$C$6,'Population Data by Age'!$B$6:$H$6,0))</f>
        <v>9010000</v>
      </c>
      <c r="AB245" s="78">
        <f>INDEX('Population Data by Age'!$B$7:$H$10366,MATCH(CONCATENATE('Tabular Pop Data by Age'!$C245,'Tabular Pop Data by Age'!AB$7),'Population Data by Age'!$B$7:$B$10366,0),MATCH('Tabular Pop Data by Age'!$C$6,'Population Data by Age'!$B$6:$H$6,0))</f>
        <v>6721000</v>
      </c>
      <c r="AC245" s="78">
        <f>INDEX('Population Data by Age'!$B$7:$H$10366,MATCH(CONCATENATE('Tabular Pop Data by Age'!$C245,'Tabular Pop Data by Age'!AC$7),'Population Data by Age'!$B$7:$B$10366,0),MATCH('Tabular Pop Data by Age'!$C$6,'Population Data by Age'!$B$6:$H$6,0))</f>
        <v>6994000</v>
      </c>
      <c r="AD245" s="78">
        <f>INDEX('Population Data by Age'!$B$7:$H$10366,MATCH(CONCATENATE('Tabular Pop Data by Age'!$C245,'Tabular Pop Data by Age'!AD$7),'Population Data by Age'!$B$7:$B$10366,0),MATCH('Tabular Pop Data by Age'!$C$6,'Population Data by Age'!$B$6:$H$6,0))</f>
        <v>5179000</v>
      </c>
      <c r="AE245" s="78">
        <f>INDEX('Population Data by Age'!$B$7:$H$10366,MATCH(CONCATENATE('Tabular Pop Data by Age'!$C245,'Tabular Pop Data by Age'!AE$7),'Population Data by Age'!$B$7:$B$10366,0),MATCH('Tabular Pop Data by Age'!$C$6,'Population Data by Age'!$B$6:$H$6,0))</f>
        <v>5069800</v>
      </c>
      <c r="AF245" s="78">
        <f>INDEX('Population Data by Age'!$B$7:$H$10366,MATCH(CONCATENATE('Tabular Pop Data by Age'!$C245,'Tabular Pop Data by Age'!AF$7),'Population Data by Age'!$B$7:$B$10366,0),MATCH('Tabular Pop Data by Age'!$C$6,'Population Data by Age'!$B$6:$H$6,0))</f>
        <v>3494700</v>
      </c>
      <c r="AG245" s="78">
        <f>INDEX('Population Data by Age'!$B$7:$H$10366,MATCH(CONCATENATE('Tabular Pop Data by Age'!$C245,'Tabular Pop Data by Age'!AG$7),'Population Data by Age'!$B$7:$B$10366,0),MATCH('Tabular Pop Data by Age'!$C$6,'Population Data by Age'!$B$6:$H$6,0))</f>
        <v>3208000</v>
      </c>
      <c r="AH245" s="78">
        <f>INDEX('Population Data by Age'!$B$7:$H$10366,MATCH(CONCATENATE('Tabular Pop Data by Age'!$C245,'Tabular Pop Data by Age'!AH$7),'Population Data by Age'!$B$7:$B$10366,0),MATCH('Tabular Pop Data by Age'!$C$6,'Population Data by Age'!$B$6:$H$6,0))</f>
        <v>2261400</v>
      </c>
      <c r="AI245" s="78">
        <f>INDEX('Population Data by Age'!$B$7:$H$10366,MATCH(CONCATENATE('Tabular Pop Data by Age'!$C245,'Tabular Pop Data by Age'!AI$7),'Population Data by Age'!$B$7:$B$10366,0),MATCH('Tabular Pop Data by Age'!$C$6,'Population Data by Age'!$B$6:$H$6,0))</f>
        <v>1973700</v>
      </c>
      <c r="AJ245" s="78">
        <f>INDEX('Population Data by Age'!$B$7:$H$10366,MATCH(CONCATENATE('Tabular Pop Data by Age'!$C245,'Tabular Pop Data by Age'!AJ$7),'Population Data by Age'!$B$7:$B$10366,0),MATCH('Tabular Pop Data by Age'!$C$6,'Population Data by Age'!$B$6:$H$6,0))</f>
        <v>2274300</v>
      </c>
      <c r="AK245" s="78">
        <f>INDEX('Population Data by Age'!$B$7:$H$10366,MATCH(CONCATENATE('Tabular Pop Data by Age'!$C245,'Tabular Pop Data by Age'!AK$7),'Population Data by Age'!$B$7:$B$10366,0),MATCH('Tabular Pop Data by Age'!$C$6,'Population Data by Age'!$B$6:$H$6,0))</f>
        <v>1802900</v>
      </c>
      <c r="AL245" s="78">
        <f>INDEX('Population Data by Age'!$B$7:$H$10366,MATCH(CONCATENATE('Tabular Pop Data by Age'!$C245,'Tabular Pop Data by Age'!AL$7),'Population Data by Age'!$B$7:$B$10366,0),MATCH('Tabular Pop Data by Age'!$C$6,'Population Data by Age'!$B$6:$H$6,0))</f>
        <v>223829000</v>
      </c>
      <c r="AM245" s="78">
        <f>INDEX('Population Data by Age'!$B$7:$H$10366,MATCH(CONCATENATE('Tabular Pop Data by Age'!$C245,'Tabular Pop Data by Age'!AM$7),'Population Data by Age'!$B$7:$B$10366,0),MATCH('Tabular Pop Data by Age'!$C$6,'Population Data by Age'!$B$6:$H$6,0))</f>
        <v>240632000</v>
      </c>
      <c r="AN245" s="78">
        <f>INDEX('Population Data by Age'!$B$7:$H$10366,MATCH(CONCATENATE('Tabular Pop Data by Age'!$C245,'Tabular Pop Data by Age'!AN$7),'Population Data by Age'!$B$7:$B$10366,0),MATCH('Tabular Pop Data by Age'!$C$6,'Population Data by Age'!$B$6:$H$6,0))</f>
        <v>464460000</v>
      </c>
      <c r="AO245" s="78">
        <f>INDEX('Population Data by Age'!$B$7:$H$10366,MATCH(CONCATENATE('Tabular Pop Data by Age'!$C245,'Tabular Pop Data by Age'!AO$7),'Population Data by Age'!$B$7:$B$10366,0),MATCH('Tabular Pop Data by Age'!$C$6,'Population Data by Age'!$B$6:$H$6,0))</f>
        <v>1.7078314110467119</v>
      </c>
      <c r="AP245" s="79">
        <f t="shared" si="68"/>
        <v>49506000</v>
      </c>
      <c r="AQ245" s="79">
        <f t="shared" si="69"/>
        <v>47664000</v>
      </c>
      <c r="AR245" s="79">
        <f t="shared" si="70"/>
        <v>41268000</v>
      </c>
      <c r="AS245" s="79">
        <f t="shared" si="71"/>
        <v>36557000</v>
      </c>
      <c r="AT245" s="79">
        <f t="shared" si="72"/>
        <v>36231000</v>
      </c>
      <c r="AU245" s="79">
        <f t="shared" si="73"/>
        <v>39345000</v>
      </c>
      <c r="AV245" s="79">
        <f t="shared" si="74"/>
        <v>41037000</v>
      </c>
      <c r="AW245" s="79">
        <f t="shared" si="75"/>
        <v>37681000</v>
      </c>
      <c r="AX245" s="79">
        <f t="shared" si="76"/>
        <v>31703000</v>
      </c>
      <c r="AY245" s="79">
        <f t="shared" si="77"/>
        <v>25746000</v>
      </c>
      <c r="AZ245" s="79">
        <f t="shared" si="78"/>
        <v>21390000</v>
      </c>
      <c r="BA245" s="79">
        <f t="shared" si="79"/>
        <v>17347000</v>
      </c>
      <c r="BB245" s="79">
        <f t="shared" si="80"/>
        <v>13715000</v>
      </c>
      <c r="BC245" s="79">
        <f t="shared" si="81"/>
        <v>10248800</v>
      </c>
      <c r="BD245" s="79">
        <f t="shared" si="82"/>
        <v>6702700</v>
      </c>
      <c r="BE245" s="79">
        <f t="shared" si="83"/>
        <v>4235100</v>
      </c>
      <c r="BF245" s="79">
        <f t="shared" si="84"/>
        <v>4077200</v>
      </c>
    </row>
    <row r="246" spans="1:58" x14ac:dyDescent="0.25">
      <c r="A246" s="138" t="s">
        <v>1182</v>
      </c>
      <c r="B246" t="s">
        <v>574</v>
      </c>
      <c r="C246" t="s">
        <v>575</v>
      </c>
      <c r="D246" s="78">
        <f>INDEX('Population Data by Age'!$B$7:$H$10366,MATCH(CONCATENATE('Tabular Pop Data by Age'!$C246,'Tabular Pop Data by Age'!D$7),'Population Data by Age'!$B$7:$B$10366,0),MATCH('Tabular Pop Data by Age'!$C$6,'Population Data by Age'!$B$6:$H$6,0))</f>
        <v>21499000</v>
      </c>
      <c r="E246" s="78">
        <f>INDEX('Population Data by Age'!$B$7:$H$10366,MATCH(CONCATENATE('Tabular Pop Data by Age'!$C246,'Tabular Pop Data by Age'!E$7),'Population Data by Age'!$B$7:$B$10366,0),MATCH('Tabular Pop Data by Age'!$C$6,'Population Data by Age'!$B$6:$H$6,0))</f>
        <v>22622000</v>
      </c>
      <c r="F246" s="78">
        <f>INDEX('Population Data by Age'!$B$7:$H$10366,MATCH(CONCATENATE('Tabular Pop Data by Age'!$C246,'Tabular Pop Data by Age'!F$7),'Population Data by Age'!$B$7:$B$10366,0),MATCH('Tabular Pop Data by Age'!$C$6,'Population Data by Age'!$B$6:$H$6,0))</f>
        <v>20598000</v>
      </c>
      <c r="G246" s="78">
        <f>INDEX('Population Data by Age'!$B$7:$H$10366,MATCH(CONCATENATE('Tabular Pop Data by Age'!$C246,'Tabular Pop Data by Age'!G$7),'Population Data by Age'!$B$7:$B$10366,0),MATCH('Tabular Pop Data by Age'!$C$6,'Population Data by Age'!$B$6:$H$6,0))</f>
        <v>21738000</v>
      </c>
      <c r="H246" s="78">
        <f>INDEX('Population Data by Age'!$B$7:$H$10366,MATCH(CONCATENATE('Tabular Pop Data by Age'!$C246,'Tabular Pop Data by Age'!H$7),'Population Data by Age'!$B$7:$B$10366,0),MATCH('Tabular Pop Data by Age'!$C$6,'Population Data by Age'!$B$6:$H$6,0))</f>
        <v>17796000</v>
      </c>
      <c r="I246" s="78">
        <f>INDEX('Population Data by Age'!$B$7:$H$10366,MATCH(CONCATENATE('Tabular Pop Data by Age'!$C246,'Tabular Pop Data by Age'!I$7),'Population Data by Age'!$B$7:$B$10366,0),MATCH('Tabular Pop Data by Age'!$C$6,'Population Data by Age'!$B$6:$H$6,0))</f>
        <v>18735000</v>
      </c>
      <c r="J246" s="78">
        <f>INDEX('Population Data by Age'!$B$7:$H$10366,MATCH(CONCATENATE('Tabular Pop Data by Age'!$C246,'Tabular Pop Data by Age'!J$7),'Population Data by Age'!$B$7:$B$10366,0),MATCH('Tabular Pop Data by Age'!$C$6,'Population Data by Age'!$B$6:$H$6,0))</f>
        <v>15904000</v>
      </c>
      <c r="K246" s="78">
        <f>INDEX('Population Data by Age'!$B$7:$H$10366,MATCH(CONCATENATE('Tabular Pop Data by Age'!$C246,'Tabular Pop Data by Age'!K$7),'Population Data by Age'!$B$7:$B$10366,0),MATCH('Tabular Pop Data by Age'!$C$6,'Population Data by Age'!$B$6:$H$6,0))</f>
        <v>16681000</v>
      </c>
      <c r="L246" s="78">
        <f>INDEX('Population Data by Age'!$B$7:$H$10366,MATCH(CONCATENATE('Tabular Pop Data by Age'!$C246,'Tabular Pop Data by Age'!L$7),'Population Data by Age'!$B$7:$B$10366,0),MATCH('Tabular Pop Data by Age'!$C$6,'Population Data by Age'!$B$6:$H$6,0))</f>
        <v>15523000</v>
      </c>
      <c r="M246" s="78">
        <f>INDEX('Population Data by Age'!$B$7:$H$10366,MATCH(CONCATENATE('Tabular Pop Data by Age'!$C246,'Tabular Pop Data by Age'!M$7),'Population Data by Age'!$B$7:$B$10366,0),MATCH('Tabular Pop Data by Age'!$C$6,'Population Data by Age'!$B$6:$H$6,0))</f>
        <v>16108000</v>
      </c>
      <c r="N246" s="78">
        <f>INDEX('Population Data by Age'!$B$7:$H$10366,MATCH(CONCATENATE('Tabular Pop Data by Age'!$C246,'Tabular Pop Data by Age'!N$7),'Population Data by Age'!$B$7:$B$10366,0),MATCH('Tabular Pop Data by Age'!$C$6,'Population Data by Age'!$B$6:$H$6,0))</f>
        <v>16124000</v>
      </c>
      <c r="O246" s="78">
        <f>INDEX('Population Data by Age'!$B$7:$H$10366,MATCH(CONCATENATE('Tabular Pop Data by Age'!$C246,'Tabular Pop Data by Age'!O$7),'Population Data by Age'!$B$7:$B$10366,0),MATCH('Tabular Pop Data by Age'!$C$6,'Population Data by Age'!$B$6:$H$6,0))</f>
        <v>16438000</v>
      </c>
      <c r="P246" s="78">
        <f>INDEX('Population Data by Age'!$B$7:$H$10366,MATCH(CONCATENATE('Tabular Pop Data by Age'!$C246,'Tabular Pop Data by Age'!P$7),'Population Data by Age'!$B$7:$B$10366,0),MATCH('Tabular Pop Data by Age'!$C$6,'Population Data by Age'!$B$6:$H$6,0))</f>
        <v>16538000</v>
      </c>
      <c r="Q246" s="78">
        <f>INDEX('Population Data by Age'!$B$7:$H$10366,MATCH(CONCATENATE('Tabular Pop Data by Age'!$C246,'Tabular Pop Data by Age'!Q$7),'Population Data by Age'!$B$7:$B$10366,0),MATCH('Tabular Pop Data by Age'!$C$6,'Population Data by Age'!$B$6:$H$6,0))</f>
        <v>16610000</v>
      </c>
      <c r="R246" s="78">
        <f>INDEX('Population Data by Age'!$B$7:$H$10366,MATCH(CONCATENATE('Tabular Pop Data by Age'!$C246,'Tabular Pop Data by Age'!R$7),'Population Data by Age'!$B$7:$B$10366,0),MATCH('Tabular Pop Data by Age'!$C$6,'Population Data by Age'!$B$6:$H$6,0))</f>
        <v>15241000</v>
      </c>
      <c r="S246" s="78">
        <f>INDEX('Population Data by Age'!$B$7:$H$10366,MATCH(CONCATENATE('Tabular Pop Data by Age'!$C246,'Tabular Pop Data by Age'!S$7),'Population Data by Age'!$B$7:$B$10366,0),MATCH('Tabular Pop Data by Age'!$C$6,'Population Data by Age'!$B$6:$H$6,0))</f>
        <v>15249000</v>
      </c>
      <c r="T246" s="78">
        <f>INDEX('Population Data by Age'!$B$7:$H$10366,MATCH(CONCATENATE('Tabular Pop Data by Age'!$C246,'Tabular Pop Data by Age'!T$7),'Population Data by Age'!$B$7:$B$10366,0),MATCH('Tabular Pop Data by Age'!$C$6,'Population Data by Age'!$B$6:$H$6,0))</f>
        <v>12627000</v>
      </c>
      <c r="U246" s="78">
        <f>INDEX('Population Data by Age'!$B$7:$H$10366,MATCH(CONCATENATE('Tabular Pop Data by Age'!$C246,'Tabular Pop Data by Age'!U$7),'Population Data by Age'!$B$7:$B$10366,0),MATCH('Tabular Pop Data by Age'!$C$6,'Population Data by Age'!$B$6:$H$6,0))</f>
        <v>12655000</v>
      </c>
      <c r="V246" s="78">
        <f>INDEX('Population Data by Age'!$B$7:$H$10366,MATCH(CONCATENATE('Tabular Pop Data by Age'!$C246,'Tabular Pop Data by Age'!V$7),'Population Data by Age'!$B$7:$B$10366,0),MATCH('Tabular Pop Data by Age'!$C$6,'Population Data by Age'!$B$6:$H$6,0))</f>
        <v>10380000</v>
      </c>
      <c r="W246" s="78">
        <f>INDEX('Population Data by Age'!$B$7:$H$10366,MATCH(CONCATENATE('Tabular Pop Data by Age'!$C246,'Tabular Pop Data by Age'!W$7),'Population Data by Age'!$B$7:$B$10366,0),MATCH('Tabular Pop Data by Age'!$C$6,'Population Data by Age'!$B$6:$H$6,0))</f>
        <v>10237000</v>
      </c>
      <c r="X246" s="78">
        <f>INDEX('Population Data by Age'!$B$7:$H$10366,MATCH(CONCATENATE('Tabular Pop Data by Age'!$C246,'Tabular Pop Data by Age'!X$7),'Population Data by Age'!$B$7:$B$10366,0),MATCH('Tabular Pop Data by Age'!$C$6,'Population Data by Age'!$B$6:$H$6,0))</f>
        <v>9021000</v>
      </c>
      <c r="Y246" s="78">
        <f>INDEX('Population Data by Age'!$B$7:$H$10366,MATCH(CONCATENATE('Tabular Pop Data by Age'!$C246,'Tabular Pop Data by Age'!Y$7),'Population Data by Age'!$B$7:$B$10366,0),MATCH('Tabular Pop Data by Age'!$C$6,'Population Data by Age'!$B$6:$H$6,0))</f>
        <v>8785000</v>
      </c>
      <c r="Z246" s="78">
        <f>INDEX('Population Data by Age'!$B$7:$H$10366,MATCH(CONCATENATE('Tabular Pop Data by Age'!$C246,'Tabular Pop Data by Age'!Z$7),'Population Data by Age'!$B$7:$B$10366,0),MATCH('Tabular Pop Data by Age'!$C$6,'Population Data by Age'!$B$6:$H$6,0))</f>
        <v>7450000</v>
      </c>
      <c r="AA246" s="78">
        <f>INDEX('Population Data by Age'!$B$7:$H$10366,MATCH(CONCATENATE('Tabular Pop Data by Age'!$C246,'Tabular Pop Data by Age'!AA$7),'Population Data by Age'!$B$7:$B$10366,0),MATCH('Tabular Pop Data by Age'!$C$6,'Population Data by Age'!$B$6:$H$6,0))</f>
        <v>7296000</v>
      </c>
      <c r="AB246" s="78">
        <f>INDEX('Population Data by Age'!$B$7:$H$10366,MATCH(CONCATENATE('Tabular Pop Data by Age'!$C246,'Tabular Pop Data by Age'!AB$7),'Population Data by Age'!$B$7:$B$10366,0),MATCH('Tabular Pop Data by Age'!$C$6,'Population Data by Age'!$B$6:$H$6,0))</f>
        <v>6071000</v>
      </c>
      <c r="AC246" s="78">
        <f>INDEX('Population Data by Age'!$B$7:$H$10366,MATCH(CONCATENATE('Tabular Pop Data by Age'!$C246,'Tabular Pop Data by Age'!AC$7),'Population Data by Age'!$B$7:$B$10366,0),MATCH('Tabular Pop Data by Age'!$C$6,'Population Data by Age'!$B$6:$H$6,0))</f>
        <v>5898000</v>
      </c>
      <c r="AD246" s="78">
        <f>INDEX('Population Data by Age'!$B$7:$H$10366,MATCH(CONCATENATE('Tabular Pop Data by Age'!$C246,'Tabular Pop Data by Age'!AD$7),'Population Data by Age'!$B$7:$B$10366,0),MATCH('Tabular Pop Data by Age'!$C$6,'Population Data by Age'!$B$6:$H$6,0))</f>
        <v>4642200</v>
      </c>
      <c r="AE246" s="78">
        <f>INDEX('Population Data by Age'!$B$7:$H$10366,MATCH(CONCATENATE('Tabular Pop Data by Age'!$C246,'Tabular Pop Data by Age'!AE$7),'Population Data by Age'!$B$7:$B$10366,0),MATCH('Tabular Pop Data by Age'!$C$6,'Population Data by Age'!$B$6:$H$6,0))</f>
        <v>4416800</v>
      </c>
      <c r="AF246" s="78">
        <f>INDEX('Population Data by Age'!$B$7:$H$10366,MATCH(CONCATENATE('Tabular Pop Data by Age'!$C246,'Tabular Pop Data by Age'!AF$7),'Population Data by Age'!$B$7:$B$10366,0),MATCH('Tabular Pop Data by Age'!$C$6,'Population Data by Age'!$B$6:$H$6,0))</f>
        <v>3122100</v>
      </c>
      <c r="AG246" s="78">
        <f>INDEX('Population Data by Age'!$B$7:$H$10366,MATCH(CONCATENATE('Tabular Pop Data by Age'!$C246,'Tabular Pop Data by Age'!AG$7),'Population Data by Age'!$B$7:$B$10366,0),MATCH('Tabular Pop Data by Age'!$C$6,'Population Data by Age'!$B$6:$H$6,0))</f>
        <v>2830800</v>
      </c>
      <c r="AH246" s="78">
        <f>INDEX('Population Data by Age'!$B$7:$H$10366,MATCH(CONCATENATE('Tabular Pop Data by Age'!$C246,'Tabular Pop Data by Age'!AH$7),'Population Data by Age'!$B$7:$B$10366,0),MATCH('Tabular Pop Data by Age'!$C$6,'Population Data by Age'!$B$6:$H$6,0))</f>
        <v>2023400</v>
      </c>
      <c r="AI246" s="78">
        <f>INDEX('Population Data by Age'!$B$7:$H$10366,MATCH(CONCATENATE('Tabular Pop Data by Age'!$C246,'Tabular Pop Data by Age'!AI$7),'Population Data by Age'!$B$7:$B$10366,0),MATCH('Tabular Pop Data by Age'!$C$6,'Population Data by Age'!$B$6:$H$6,0))</f>
        <v>1739000</v>
      </c>
      <c r="AJ246" s="78">
        <f>INDEX('Population Data by Age'!$B$7:$H$10366,MATCH(CONCATENATE('Tabular Pop Data by Age'!$C246,'Tabular Pop Data by Age'!AJ$7),'Population Data by Age'!$B$7:$B$10366,0),MATCH('Tabular Pop Data by Age'!$C$6,'Population Data by Age'!$B$6:$H$6,0))</f>
        <v>1975400</v>
      </c>
      <c r="AK246" s="78">
        <f>INDEX('Population Data by Age'!$B$7:$H$10366,MATCH(CONCATENATE('Tabular Pop Data by Age'!$C246,'Tabular Pop Data by Age'!AK$7),'Population Data by Age'!$B$7:$B$10366,0),MATCH('Tabular Pop Data by Age'!$C$6,'Population Data by Age'!$B$6:$H$6,0))</f>
        <v>1577400</v>
      </c>
      <c r="AL246" s="78">
        <f>INDEX('Population Data by Age'!$B$7:$H$10366,MATCH(CONCATENATE('Tabular Pop Data by Age'!$C246,'Tabular Pop Data by Age'!AL$7),'Population Data by Age'!$B$7:$B$10366,0),MATCH('Tabular Pop Data by Age'!$C$6,'Population Data by Age'!$B$6:$H$6,0))</f>
        <v>196544000</v>
      </c>
      <c r="AM246" s="78">
        <f>INDEX('Population Data by Age'!$B$7:$H$10366,MATCH(CONCATENATE('Tabular Pop Data by Age'!$C246,'Tabular Pop Data by Age'!AM$7),'Population Data by Age'!$B$7:$B$10366,0),MATCH('Tabular Pop Data by Age'!$C$6,'Population Data by Age'!$B$6:$H$6,0))</f>
        <v>199617000</v>
      </c>
      <c r="AN246" s="78">
        <f>INDEX('Population Data by Age'!$B$7:$H$10366,MATCH(CONCATENATE('Tabular Pop Data by Age'!$C246,'Tabular Pop Data by Age'!AN$7),'Population Data by Age'!$B$7:$B$10366,0),MATCH('Tabular Pop Data by Age'!$C$6,'Population Data by Age'!$B$6:$H$6,0))</f>
        <v>396157000</v>
      </c>
      <c r="AO246" s="78">
        <f>INDEX('Population Data by Age'!$B$7:$H$10366,MATCH(CONCATENATE('Tabular Pop Data by Age'!$C246,'Tabular Pop Data by Age'!AO$7),'Population Data by Age'!$B$7:$B$10366,0),MATCH('Tabular Pop Data by Age'!$C$6,'Population Data by Age'!$B$6:$H$6,0))</f>
        <v>1.7187768799603589</v>
      </c>
      <c r="AP246" s="79">
        <f t="shared" si="68"/>
        <v>44121000</v>
      </c>
      <c r="AQ246" s="79">
        <f t="shared" si="69"/>
        <v>42336000</v>
      </c>
      <c r="AR246" s="79">
        <f t="shared" si="70"/>
        <v>36531000</v>
      </c>
      <c r="AS246" s="79">
        <f t="shared" si="71"/>
        <v>32585000</v>
      </c>
      <c r="AT246" s="79">
        <f t="shared" si="72"/>
        <v>31631000</v>
      </c>
      <c r="AU246" s="79">
        <f t="shared" si="73"/>
        <v>32562000</v>
      </c>
      <c r="AV246" s="79">
        <f t="shared" si="74"/>
        <v>33148000</v>
      </c>
      <c r="AW246" s="79">
        <f t="shared" si="75"/>
        <v>30490000</v>
      </c>
      <c r="AX246" s="79">
        <f t="shared" si="76"/>
        <v>25282000</v>
      </c>
      <c r="AY246" s="79">
        <f t="shared" si="77"/>
        <v>20617000</v>
      </c>
      <c r="AZ246" s="79">
        <f t="shared" si="78"/>
        <v>17806000</v>
      </c>
      <c r="BA246" s="79">
        <f t="shared" si="79"/>
        <v>14746000</v>
      </c>
      <c r="BB246" s="79">
        <f t="shared" si="80"/>
        <v>11969000</v>
      </c>
      <c r="BC246" s="79">
        <f t="shared" si="81"/>
        <v>9059000</v>
      </c>
      <c r="BD246" s="79">
        <f t="shared" si="82"/>
        <v>5952900</v>
      </c>
      <c r="BE246" s="79">
        <f t="shared" si="83"/>
        <v>3762400</v>
      </c>
      <c r="BF246" s="79">
        <f t="shared" si="84"/>
        <v>3552800</v>
      </c>
    </row>
    <row r="247" spans="1:58" x14ac:dyDescent="0.25">
      <c r="A247" s="138" t="s">
        <v>1182</v>
      </c>
      <c r="B247" t="s">
        <v>576</v>
      </c>
      <c r="C247" t="s">
        <v>577</v>
      </c>
      <c r="D247" s="78">
        <f>INDEX('Population Data by Age'!$B$7:$H$10366,MATCH(CONCATENATE('Tabular Pop Data by Age'!$C247,'Tabular Pop Data by Age'!D$7),'Population Data by Age'!$B$7:$B$10366,0),MATCH('Tabular Pop Data by Age'!$C$6,'Population Data by Age'!$B$6:$H$6,0))</f>
        <v>21180000</v>
      </c>
      <c r="E247" s="78">
        <f>INDEX('Population Data by Age'!$B$7:$H$10366,MATCH(CONCATENATE('Tabular Pop Data by Age'!$C247,'Tabular Pop Data by Age'!E$7),'Population Data by Age'!$B$7:$B$10366,0),MATCH('Tabular Pop Data by Age'!$C$6,'Population Data by Age'!$B$6:$H$6,0))</f>
        <v>22288000</v>
      </c>
      <c r="F247" s="78">
        <f>INDEX('Population Data by Age'!$B$7:$H$10366,MATCH(CONCATENATE('Tabular Pop Data by Age'!$C247,'Tabular Pop Data by Age'!F$7),'Population Data by Age'!$B$7:$B$10366,0),MATCH('Tabular Pop Data by Age'!$C$6,'Population Data by Age'!$B$6:$H$6,0))</f>
        <v>20288000</v>
      </c>
      <c r="G247" s="78">
        <f>INDEX('Population Data by Age'!$B$7:$H$10366,MATCH(CONCATENATE('Tabular Pop Data by Age'!$C247,'Tabular Pop Data by Age'!G$7),'Population Data by Age'!$B$7:$B$10366,0),MATCH('Tabular Pop Data by Age'!$C$6,'Population Data by Age'!$B$6:$H$6,0))</f>
        <v>21414000</v>
      </c>
      <c r="H247" s="78">
        <f>INDEX('Population Data by Age'!$B$7:$H$10366,MATCH(CONCATENATE('Tabular Pop Data by Age'!$C247,'Tabular Pop Data by Age'!H$7),'Population Data by Age'!$B$7:$B$10366,0),MATCH('Tabular Pop Data by Age'!$C$6,'Population Data by Age'!$B$6:$H$6,0))</f>
        <v>17523000</v>
      </c>
      <c r="I247" s="78">
        <f>INDEX('Population Data by Age'!$B$7:$H$10366,MATCH(CONCATENATE('Tabular Pop Data by Age'!$C247,'Tabular Pop Data by Age'!I$7),'Population Data by Age'!$B$7:$B$10366,0),MATCH('Tabular Pop Data by Age'!$C$6,'Population Data by Age'!$B$6:$H$6,0))</f>
        <v>18450000</v>
      </c>
      <c r="J247" s="78">
        <f>INDEX('Population Data by Age'!$B$7:$H$10366,MATCH(CONCATENATE('Tabular Pop Data by Age'!$C247,'Tabular Pop Data by Age'!J$7),'Population Data by Age'!$B$7:$B$10366,0),MATCH('Tabular Pop Data by Age'!$C$6,'Population Data by Age'!$B$6:$H$6,0))</f>
        <v>15664000</v>
      </c>
      <c r="K247" s="78">
        <f>INDEX('Population Data by Age'!$B$7:$H$10366,MATCH(CONCATENATE('Tabular Pop Data by Age'!$C247,'Tabular Pop Data by Age'!K$7),'Population Data by Age'!$B$7:$B$10366,0),MATCH('Tabular Pop Data by Age'!$C$6,'Population Data by Age'!$B$6:$H$6,0))</f>
        <v>16433000</v>
      </c>
      <c r="L247" s="78">
        <f>INDEX('Population Data by Age'!$B$7:$H$10366,MATCH(CONCATENATE('Tabular Pop Data by Age'!$C247,'Tabular Pop Data by Age'!L$7),'Population Data by Age'!$B$7:$B$10366,0),MATCH('Tabular Pop Data by Age'!$C$6,'Population Data by Age'!$B$6:$H$6,0))</f>
        <v>15291000</v>
      </c>
      <c r="M247" s="78">
        <f>INDEX('Population Data by Age'!$B$7:$H$10366,MATCH(CONCATENATE('Tabular Pop Data by Age'!$C247,'Tabular Pop Data by Age'!M$7),'Population Data by Age'!$B$7:$B$10366,0),MATCH('Tabular Pop Data by Age'!$C$6,'Population Data by Age'!$B$6:$H$6,0))</f>
        <v>15869000</v>
      </c>
      <c r="N247" s="78">
        <f>INDEX('Population Data by Age'!$B$7:$H$10366,MATCH(CONCATENATE('Tabular Pop Data by Age'!$C247,'Tabular Pop Data by Age'!N$7),'Population Data by Age'!$B$7:$B$10366,0),MATCH('Tabular Pop Data by Age'!$C$6,'Population Data by Age'!$B$6:$H$6,0))</f>
        <v>15908000</v>
      </c>
      <c r="O247" s="78">
        <f>INDEX('Population Data by Age'!$B$7:$H$10366,MATCH(CONCATENATE('Tabular Pop Data by Age'!$C247,'Tabular Pop Data by Age'!O$7),'Population Data by Age'!$B$7:$B$10366,0),MATCH('Tabular Pop Data by Age'!$C$6,'Population Data by Age'!$B$6:$H$6,0))</f>
        <v>16214000</v>
      </c>
      <c r="P247" s="78">
        <f>INDEX('Population Data by Age'!$B$7:$H$10366,MATCH(CONCATENATE('Tabular Pop Data by Age'!$C247,'Tabular Pop Data by Age'!P$7),'Population Data by Age'!$B$7:$B$10366,0),MATCH('Tabular Pop Data by Age'!$C$6,'Population Data by Age'!$B$6:$H$6,0))</f>
        <v>16367000</v>
      </c>
      <c r="Q247" s="78">
        <f>INDEX('Population Data by Age'!$B$7:$H$10366,MATCH(CONCATENATE('Tabular Pop Data by Age'!$C247,'Tabular Pop Data by Age'!Q$7),'Population Data by Age'!$B$7:$B$10366,0),MATCH('Tabular Pop Data by Age'!$C$6,'Population Data by Age'!$B$6:$H$6,0))</f>
        <v>16432000</v>
      </c>
      <c r="R247" s="78">
        <f>INDEX('Population Data by Age'!$B$7:$H$10366,MATCH(CONCATENATE('Tabular Pop Data by Age'!$C247,'Tabular Pop Data by Age'!R$7),'Population Data by Age'!$B$7:$B$10366,0),MATCH('Tabular Pop Data by Age'!$C$6,'Population Data by Age'!$B$6:$H$6,0))</f>
        <v>15104000</v>
      </c>
      <c r="S247" s="78">
        <f>INDEX('Population Data by Age'!$B$7:$H$10366,MATCH(CONCATENATE('Tabular Pop Data by Age'!$C247,'Tabular Pop Data by Age'!S$7),'Population Data by Age'!$B$7:$B$10366,0),MATCH('Tabular Pop Data by Age'!$C$6,'Population Data by Age'!$B$6:$H$6,0))</f>
        <v>15108000</v>
      </c>
      <c r="T247" s="78">
        <f>INDEX('Population Data by Age'!$B$7:$H$10366,MATCH(CONCATENATE('Tabular Pop Data by Age'!$C247,'Tabular Pop Data by Age'!T$7),'Population Data by Age'!$B$7:$B$10366,0),MATCH('Tabular Pop Data by Age'!$C$6,'Population Data by Age'!$B$6:$H$6,0))</f>
        <v>12512000</v>
      </c>
      <c r="U247" s="78">
        <f>INDEX('Population Data by Age'!$B$7:$H$10366,MATCH(CONCATENATE('Tabular Pop Data by Age'!$C247,'Tabular Pop Data by Age'!U$7),'Population Data by Age'!$B$7:$B$10366,0),MATCH('Tabular Pop Data by Age'!$C$6,'Population Data by Age'!$B$6:$H$6,0))</f>
        <v>12537000</v>
      </c>
      <c r="V247" s="78">
        <f>INDEX('Population Data by Age'!$B$7:$H$10366,MATCH(CONCATENATE('Tabular Pop Data by Age'!$C247,'Tabular Pop Data by Age'!V$7),'Population Data by Age'!$B$7:$B$10366,0),MATCH('Tabular Pop Data by Age'!$C$6,'Population Data by Age'!$B$6:$H$6,0))</f>
        <v>10286000</v>
      </c>
      <c r="W247" s="78">
        <f>INDEX('Population Data by Age'!$B$7:$H$10366,MATCH(CONCATENATE('Tabular Pop Data by Age'!$C247,'Tabular Pop Data by Age'!W$7),'Population Data by Age'!$B$7:$B$10366,0),MATCH('Tabular Pop Data by Age'!$C$6,'Population Data by Age'!$B$6:$H$6,0))</f>
        <v>10141000</v>
      </c>
      <c r="X247" s="78">
        <f>INDEX('Population Data by Age'!$B$7:$H$10366,MATCH(CONCATENATE('Tabular Pop Data by Age'!$C247,'Tabular Pop Data by Age'!X$7),'Population Data by Age'!$B$7:$B$10366,0),MATCH('Tabular Pop Data by Age'!$C$6,'Population Data by Age'!$B$6:$H$6,0))</f>
        <v>8943000</v>
      </c>
      <c r="Y247" s="78">
        <f>INDEX('Population Data by Age'!$B$7:$H$10366,MATCH(CONCATENATE('Tabular Pop Data by Age'!$C247,'Tabular Pop Data by Age'!Y$7),'Population Data by Age'!$B$7:$B$10366,0),MATCH('Tabular Pop Data by Age'!$C$6,'Population Data by Age'!$B$6:$H$6,0))</f>
        <v>8706000</v>
      </c>
      <c r="Z247" s="78">
        <f>INDEX('Population Data by Age'!$B$7:$H$10366,MATCH(CONCATENATE('Tabular Pop Data by Age'!$C247,'Tabular Pop Data by Age'!Z$7),'Population Data by Age'!$B$7:$B$10366,0),MATCH('Tabular Pop Data by Age'!$C$6,'Population Data by Age'!$B$6:$H$6,0))</f>
        <v>7388000</v>
      </c>
      <c r="AA247" s="78">
        <f>INDEX('Population Data by Age'!$B$7:$H$10366,MATCH(CONCATENATE('Tabular Pop Data by Age'!$C247,'Tabular Pop Data by Age'!AA$7),'Population Data by Age'!$B$7:$B$10366,0),MATCH('Tabular Pop Data by Age'!$C$6,'Population Data by Age'!$B$6:$H$6,0))</f>
        <v>7235000</v>
      </c>
      <c r="AB247" s="78">
        <f>INDEX('Population Data by Age'!$B$7:$H$10366,MATCH(CONCATENATE('Tabular Pop Data by Age'!$C247,'Tabular Pop Data by Age'!AB$7),'Population Data by Age'!$B$7:$B$10366,0),MATCH('Tabular Pop Data by Age'!$C$6,'Population Data by Age'!$B$6:$H$6,0))</f>
        <v>6028000</v>
      </c>
      <c r="AC247" s="78">
        <f>INDEX('Population Data by Age'!$B$7:$H$10366,MATCH(CONCATENATE('Tabular Pop Data by Age'!$C247,'Tabular Pop Data by Age'!AC$7),'Population Data by Age'!$B$7:$B$10366,0),MATCH('Tabular Pop Data by Age'!$C$6,'Population Data by Age'!$B$6:$H$6,0))</f>
        <v>5858000</v>
      </c>
      <c r="AD247" s="78">
        <f>INDEX('Population Data by Age'!$B$7:$H$10366,MATCH(CONCATENATE('Tabular Pop Data by Age'!$C247,'Tabular Pop Data by Age'!AD$7),'Population Data by Age'!$B$7:$B$10366,0),MATCH('Tabular Pop Data by Age'!$C$6,'Population Data by Age'!$B$6:$H$6,0))</f>
        <v>4610200</v>
      </c>
      <c r="AE247" s="78">
        <f>INDEX('Population Data by Age'!$B$7:$H$10366,MATCH(CONCATENATE('Tabular Pop Data by Age'!$C247,'Tabular Pop Data by Age'!AE$7),'Population Data by Age'!$B$7:$B$10366,0),MATCH('Tabular Pop Data by Age'!$C$6,'Population Data by Age'!$B$6:$H$6,0))</f>
        <v>4388800</v>
      </c>
      <c r="AF247" s="78">
        <f>INDEX('Population Data by Age'!$B$7:$H$10366,MATCH(CONCATENATE('Tabular Pop Data by Age'!$C247,'Tabular Pop Data by Age'!AF$7),'Population Data by Age'!$B$7:$B$10366,0),MATCH('Tabular Pop Data by Age'!$C$6,'Population Data by Age'!$B$6:$H$6,0))</f>
        <v>3099100</v>
      </c>
      <c r="AG247" s="78">
        <f>INDEX('Population Data by Age'!$B$7:$H$10366,MATCH(CONCATENATE('Tabular Pop Data by Age'!$C247,'Tabular Pop Data by Age'!AG$7),'Population Data by Age'!$B$7:$B$10366,0),MATCH('Tabular Pop Data by Age'!$C$6,'Population Data by Age'!$B$6:$H$6,0))</f>
        <v>2807800</v>
      </c>
      <c r="AH247" s="78">
        <f>INDEX('Population Data by Age'!$B$7:$H$10366,MATCH(CONCATENATE('Tabular Pop Data by Age'!$C247,'Tabular Pop Data by Age'!AH$7),'Population Data by Age'!$B$7:$B$10366,0),MATCH('Tabular Pop Data by Age'!$C$6,'Population Data by Age'!$B$6:$H$6,0))</f>
        <v>2008400</v>
      </c>
      <c r="AI247" s="78">
        <f>INDEX('Population Data by Age'!$B$7:$H$10366,MATCH(CONCATENATE('Tabular Pop Data by Age'!$C247,'Tabular Pop Data by Age'!AI$7),'Population Data by Age'!$B$7:$B$10366,0),MATCH('Tabular Pop Data by Age'!$C$6,'Population Data by Age'!$B$6:$H$6,0))</f>
        <v>1726000</v>
      </c>
      <c r="AJ247" s="78">
        <f>INDEX('Population Data by Age'!$B$7:$H$10366,MATCH(CONCATENATE('Tabular Pop Data by Age'!$C247,'Tabular Pop Data by Age'!AJ$7),'Population Data by Age'!$B$7:$B$10366,0),MATCH('Tabular Pop Data by Age'!$C$6,'Population Data by Age'!$B$6:$H$6,0))</f>
        <v>1963400</v>
      </c>
      <c r="AK247" s="78">
        <f>INDEX('Population Data by Age'!$B$7:$H$10366,MATCH(CONCATENATE('Tabular Pop Data by Age'!$C247,'Tabular Pop Data by Age'!AK$7),'Population Data by Age'!$B$7:$B$10366,0),MATCH('Tabular Pop Data by Age'!$C$6,'Population Data by Age'!$B$6:$H$6,0))</f>
        <v>1568700</v>
      </c>
      <c r="AL247" s="78">
        <f>INDEX('Population Data by Age'!$B$7:$H$10366,MATCH(CONCATENATE('Tabular Pop Data by Age'!$C247,'Tabular Pop Data by Age'!AL$7),'Population Data by Age'!$B$7:$B$10366,0),MATCH('Tabular Pop Data by Age'!$C$6,'Population Data by Age'!$B$6:$H$6,0))</f>
        <v>194172000</v>
      </c>
      <c r="AM247" s="78">
        <f>INDEX('Population Data by Age'!$B$7:$H$10366,MATCH(CONCATENATE('Tabular Pop Data by Age'!$C247,'Tabular Pop Data by Age'!AM$7),'Population Data by Age'!$B$7:$B$10366,0),MATCH('Tabular Pop Data by Age'!$C$6,'Population Data by Age'!$B$6:$H$6,0))</f>
        <v>197176000</v>
      </c>
      <c r="AN247" s="78">
        <f>INDEX('Population Data by Age'!$B$7:$H$10366,MATCH(CONCATENATE('Tabular Pop Data by Age'!$C247,'Tabular Pop Data by Age'!AN$7),'Population Data by Age'!$B$7:$B$10366,0),MATCH('Tabular Pop Data by Age'!$C$6,'Population Data by Age'!$B$6:$H$6,0))</f>
        <v>391344000</v>
      </c>
      <c r="AO247" s="78">
        <f>INDEX('Population Data by Age'!$B$7:$H$10366,MATCH(CONCATENATE('Tabular Pop Data by Age'!$C247,'Tabular Pop Data by Age'!AO$7),'Population Data by Age'!$B$7:$B$10366,0),MATCH('Tabular Pop Data by Age'!$C$6,'Population Data by Age'!$B$6:$H$6,0))</f>
        <v>1.707760159886476</v>
      </c>
      <c r="AP247" s="79">
        <f t="shared" si="68"/>
        <v>43468000</v>
      </c>
      <c r="AQ247" s="79">
        <f t="shared" si="69"/>
        <v>41702000</v>
      </c>
      <c r="AR247" s="79">
        <f t="shared" si="70"/>
        <v>35973000</v>
      </c>
      <c r="AS247" s="79">
        <f t="shared" si="71"/>
        <v>32097000</v>
      </c>
      <c r="AT247" s="79">
        <f t="shared" si="72"/>
        <v>31160000</v>
      </c>
      <c r="AU247" s="79">
        <f t="shared" si="73"/>
        <v>32122000</v>
      </c>
      <c r="AV247" s="79">
        <f t="shared" si="74"/>
        <v>32799000</v>
      </c>
      <c r="AW247" s="79">
        <f t="shared" si="75"/>
        <v>30212000</v>
      </c>
      <c r="AX247" s="79">
        <f t="shared" si="76"/>
        <v>25049000</v>
      </c>
      <c r="AY247" s="79">
        <f t="shared" si="77"/>
        <v>20427000</v>
      </c>
      <c r="AZ247" s="79">
        <f t="shared" si="78"/>
        <v>17649000</v>
      </c>
      <c r="BA247" s="79">
        <f t="shared" si="79"/>
        <v>14623000</v>
      </c>
      <c r="BB247" s="79">
        <f t="shared" si="80"/>
        <v>11886000</v>
      </c>
      <c r="BC247" s="79">
        <f t="shared" si="81"/>
        <v>8999000</v>
      </c>
      <c r="BD247" s="79">
        <f t="shared" si="82"/>
        <v>5906900</v>
      </c>
      <c r="BE247" s="79">
        <f t="shared" si="83"/>
        <v>3734400</v>
      </c>
      <c r="BF247" s="79">
        <f t="shared" si="84"/>
        <v>3532100</v>
      </c>
    </row>
    <row r="248" spans="1:58" x14ac:dyDescent="0.25">
      <c r="A248" s="138" t="s">
        <v>1182</v>
      </c>
      <c r="B248" t="s">
        <v>578</v>
      </c>
      <c r="C248" t="s">
        <v>579</v>
      </c>
      <c r="D248" s="78">
        <f>INDEX('Population Data by Age'!$B$7:$H$10366,MATCH(CONCATENATE('Tabular Pop Data by Age'!$C248,'Tabular Pop Data by Age'!D$7),'Population Data by Age'!$B$7:$B$10366,0),MATCH('Tabular Pop Data by Age'!$C$6,'Population Data by Age'!$B$6:$H$6,0))</f>
        <v>239903800</v>
      </c>
      <c r="E248" s="78">
        <f>INDEX('Population Data by Age'!$B$7:$H$10366,MATCH(CONCATENATE('Tabular Pop Data by Age'!$C248,'Tabular Pop Data by Age'!E$7),'Population Data by Age'!$B$7:$B$10366,0),MATCH('Tabular Pop Data by Age'!$C$6,'Population Data by Age'!$B$6:$H$6,0))</f>
        <v>257563400</v>
      </c>
      <c r="F248" s="78">
        <f>INDEX('Population Data by Age'!$B$7:$H$10366,MATCH(CONCATENATE('Tabular Pop Data by Age'!$C248,'Tabular Pop Data by Age'!F$7),'Population Data by Age'!$B$7:$B$10366,0),MATCH('Tabular Pop Data by Age'!$C$6,'Population Data by Age'!$B$6:$H$6,0))</f>
        <v>237342500</v>
      </c>
      <c r="G248" s="78">
        <f>INDEX('Population Data by Age'!$B$7:$H$10366,MATCH(CONCATENATE('Tabular Pop Data by Age'!$C248,'Tabular Pop Data by Age'!G$7),'Population Data by Age'!$B$7:$B$10366,0),MATCH('Tabular Pop Data by Age'!$C$6,'Population Data by Age'!$B$6:$H$6,0))</f>
        <v>255697400</v>
      </c>
      <c r="H248" s="78">
        <f>INDEX('Population Data by Age'!$B$7:$H$10366,MATCH(CONCATENATE('Tabular Pop Data by Age'!$C248,'Tabular Pop Data by Age'!H$7),'Population Data by Age'!$B$7:$B$10366,0),MATCH('Tabular Pop Data by Age'!$C$6,'Population Data by Age'!$B$6:$H$6,0))</f>
        <v>230134900</v>
      </c>
      <c r="I248" s="78">
        <f>INDEX('Population Data by Age'!$B$7:$H$10366,MATCH(CONCATENATE('Tabular Pop Data by Age'!$C248,'Tabular Pop Data by Age'!I$7),'Population Data by Age'!$B$7:$B$10366,0),MATCH('Tabular Pop Data by Age'!$C$6,'Population Data by Age'!$B$6:$H$6,0))</f>
        <v>248971400</v>
      </c>
      <c r="J248" s="78">
        <f>INDEX('Population Data by Age'!$B$7:$H$10366,MATCH(CONCATENATE('Tabular Pop Data by Age'!$C248,'Tabular Pop Data by Age'!J$7),'Population Data by Age'!$B$7:$B$10366,0),MATCH('Tabular Pop Data by Age'!$C$6,'Population Data by Age'!$B$6:$H$6,0))</f>
        <v>221690100</v>
      </c>
      <c r="K248" s="78">
        <f>INDEX('Population Data by Age'!$B$7:$H$10366,MATCH(CONCATENATE('Tabular Pop Data by Age'!$C248,'Tabular Pop Data by Age'!K$7),'Population Data by Age'!$B$7:$B$10366,0),MATCH('Tabular Pop Data by Age'!$C$6,'Population Data by Age'!$B$6:$H$6,0))</f>
        <v>240236100</v>
      </c>
      <c r="L248" s="78">
        <f>INDEX('Population Data by Age'!$B$7:$H$10366,MATCH(CONCATENATE('Tabular Pop Data by Age'!$C248,'Tabular Pop Data by Age'!L$7),'Population Data by Age'!$B$7:$B$10366,0),MATCH('Tabular Pop Data by Age'!$C$6,'Population Data by Age'!$B$6:$H$6,0))</f>
        <v>218078500</v>
      </c>
      <c r="M248" s="78">
        <f>INDEX('Population Data by Age'!$B$7:$H$10366,MATCH(CONCATENATE('Tabular Pop Data by Age'!$C248,'Tabular Pop Data by Age'!M$7),'Population Data by Age'!$B$7:$B$10366,0),MATCH('Tabular Pop Data by Age'!$C$6,'Population Data by Age'!$B$6:$H$6,0))</f>
        <v>234622800</v>
      </c>
      <c r="N248" s="78">
        <f>INDEX('Population Data by Age'!$B$7:$H$10366,MATCH(CONCATENATE('Tabular Pop Data by Age'!$C248,'Tabular Pop Data by Age'!N$7),'Population Data by Age'!$B$7:$B$10366,0),MATCH('Tabular Pop Data by Age'!$C$6,'Population Data by Age'!$B$6:$H$6,0))</f>
        <v>219390200</v>
      </c>
      <c r="O248" s="78">
        <f>INDEX('Population Data by Age'!$B$7:$H$10366,MATCH(CONCATENATE('Tabular Pop Data by Age'!$C248,'Tabular Pop Data by Age'!O$7),'Population Data by Age'!$B$7:$B$10366,0),MATCH('Tabular Pop Data by Age'!$C$6,'Population Data by Age'!$B$6:$H$6,0))</f>
        <v>233333100</v>
      </c>
      <c r="P248" s="78">
        <f>INDEX('Population Data by Age'!$B$7:$H$10366,MATCH(CONCATENATE('Tabular Pop Data by Age'!$C248,'Tabular Pop Data by Age'!P$7),'Population Data by Age'!$B$7:$B$10366,0),MATCH('Tabular Pop Data by Age'!$C$6,'Population Data by Age'!$B$6:$H$6,0))</f>
        <v>230027100</v>
      </c>
      <c r="Q248" s="78">
        <f>INDEX('Population Data by Age'!$B$7:$H$10366,MATCH(CONCATENATE('Tabular Pop Data by Age'!$C248,'Tabular Pop Data by Age'!Q$7),'Population Data by Age'!$B$7:$B$10366,0),MATCH('Tabular Pop Data by Age'!$C$6,'Population Data by Age'!$B$6:$H$6,0))</f>
        <v>239866800</v>
      </c>
      <c r="R248" s="78">
        <f>INDEX('Population Data by Age'!$B$7:$H$10366,MATCH(CONCATENATE('Tabular Pop Data by Age'!$C248,'Tabular Pop Data by Age'!R$7),'Population Data by Age'!$B$7:$B$10366,0),MATCH('Tabular Pop Data by Age'!$C$6,'Population Data by Age'!$B$6:$H$6,0))</f>
        <v>205486700</v>
      </c>
      <c r="S248" s="78">
        <f>INDEX('Population Data by Age'!$B$7:$H$10366,MATCH(CONCATENATE('Tabular Pop Data by Age'!$C248,'Tabular Pop Data by Age'!S$7),'Population Data by Age'!$B$7:$B$10366,0),MATCH('Tabular Pop Data by Age'!$C$6,'Population Data by Age'!$B$6:$H$6,0))</f>
        <v>211853400</v>
      </c>
      <c r="T248" s="78">
        <f>INDEX('Population Data by Age'!$B$7:$H$10366,MATCH(CONCATENATE('Tabular Pop Data by Age'!$C248,'Tabular Pop Data by Age'!T$7),'Population Data by Age'!$B$7:$B$10366,0),MATCH('Tabular Pop Data by Age'!$C$6,'Population Data by Age'!$B$6:$H$6,0))</f>
        <v>185753900</v>
      </c>
      <c r="U248" s="78">
        <f>INDEX('Population Data by Age'!$B$7:$H$10366,MATCH(CONCATENATE('Tabular Pop Data by Age'!$C248,'Tabular Pop Data by Age'!U$7),'Population Data by Age'!$B$7:$B$10366,0),MATCH('Tabular Pop Data by Age'!$C$6,'Population Data by Age'!$B$6:$H$6,0))</f>
        <v>189331700</v>
      </c>
      <c r="V248" s="78">
        <f>INDEX('Population Data by Age'!$B$7:$H$10366,MATCH(CONCATENATE('Tabular Pop Data by Age'!$C248,'Tabular Pop Data by Age'!V$7),'Population Data by Age'!$B$7:$B$10366,0),MATCH('Tabular Pop Data by Age'!$C$6,'Population Data by Age'!$B$6:$H$6,0))</f>
        <v>181286900</v>
      </c>
      <c r="W248" s="78">
        <f>INDEX('Population Data by Age'!$B$7:$H$10366,MATCH(CONCATENATE('Tabular Pop Data by Age'!$C248,'Tabular Pop Data by Age'!W$7),'Population Data by Age'!$B$7:$B$10366,0),MATCH('Tabular Pop Data by Age'!$C$6,'Population Data by Age'!$B$6:$H$6,0))</f>
        <v>183241800</v>
      </c>
      <c r="X248" s="78">
        <f>INDEX('Population Data by Age'!$B$7:$H$10366,MATCH(CONCATENATE('Tabular Pop Data by Age'!$C248,'Tabular Pop Data by Age'!X$7),'Population Data by Age'!$B$7:$B$10366,0),MATCH('Tabular Pop Data by Age'!$C$6,'Population Data by Age'!$B$6:$H$6,0))</f>
        <v>168969200</v>
      </c>
      <c r="Y248" s="78">
        <f>INDEX('Population Data by Age'!$B$7:$H$10366,MATCH(CONCATENATE('Tabular Pop Data by Age'!$C248,'Tabular Pop Data by Age'!Y$7),'Population Data by Age'!$B$7:$B$10366,0),MATCH('Tabular Pop Data by Age'!$C$6,'Population Data by Age'!$B$6:$H$6,0))</f>
        <v>168221900</v>
      </c>
      <c r="Z248" s="78">
        <f>INDEX('Population Data by Age'!$B$7:$H$10366,MATCH(CONCATENATE('Tabular Pop Data by Age'!$C248,'Tabular Pop Data by Age'!Z$7),'Population Data by Age'!$B$7:$B$10366,0),MATCH('Tabular Pop Data by Age'!$C$6,'Population Data by Age'!$B$6:$H$6,0))</f>
        <v>144288600</v>
      </c>
      <c r="AA248" s="78">
        <f>INDEX('Population Data by Age'!$B$7:$H$10366,MATCH(CONCATENATE('Tabular Pop Data by Age'!$C248,'Tabular Pop Data by Age'!AA$7),'Population Data by Age'!$B$7:$B$10366,0),MATCH('Tabular Pop Data by Age'!$C$6,'Population Data by Age'!$B$6:$H$6,0))</f>
        <v>141685900</v>
      </c>
      <c r="AB248" s="78">
        <f>INDEX('Population Data by Age'!$B$7:$H$10366,MATCH(CONCATENATE('Tabular Pop Data by Age'!$C248,'Tabular Pop Data by Age'!AB$7),'Population Data by Age'!$B$7:$B$10366,0),MATCH('Tabular Pop Data by Age'!$C$6,'Population Data by Age'!$B$6:$H$6,0))</f>
        <v>118344800</v>
      </c>
      <c r="AC248" s="78">
        <f>INDEX('Population Data by Age'!$B$7:$H$10366,MATCH(CONCATENATE('Tabular Pop Data by Age'!$C248,'Tabular Pop Data by Age'!AC$7),'Population Data by Age'!$B$7:$B$10366,0),MATCH('Tabular Pop Data by Age'!$C$6,'Population Data by Age'!$B$6:$H$6,0))</f>
        <v>112888600</v>
      </c>
      <c r="AD248" s="78">
        <f>INDEX('Population Data by Age'!$B$7:$H$10366,MATCH(CONCATENATE('Tabular Pop Data by Age'!$C248,'Tabular Pop Data by Age'!AD$7),'Population Data by Age'!$B$7:$B$10366,0),MATCH('Tabular Pop Data by Age'!$C$6,'Population Data by Age'!$B$6:$H$6,0))</f>
        <v>99808100</v>
      </c>
      <c r="AE248" s="78">
        <f>INDEX('Population Data by Age'!$B$7:$H$10366,MATCH(CONCATENATE('Tabular Pop Data by Age'!$C248,'Tabular Pop Data by Age'!AE$7),'Population Data by Age'!$B$7:$B$10366,0),MATCH('Tabular Pop Data by Age'!$C$6,'Population Data by Age'!$B$6:$H$6,0))</f>
        <v>91836200</v>
      </c>
      <c r="AF248" s="78">
        <f>INDEX('Population Data by Age'!$B$7:$H$10366,MATCH(CONCATENATE('Tabular Pop Data by Age'!$C248,'Tabular Pop Data by Age'!AF$7),'Population Data by Age'!$B$7:$B$10366,0),MATCH('Tabular Pop Data by Age'!$C$6,'Population Data by Age'!$B$6:$H$6,0))</f>
        <v>66180400</v>
      </c>
      <c r="AG248" s="78">
        <f>INDEX('Population Data by Age'!$B$7:$H$10366,MATCH(CONCATENATE('Tabular Pop Data by Age'!$C248,'Tabular Pop Data by Age'!AG$7),'Population Data by Age'!$B$7:$B$10366,0),MATCH('Tabular Pop Data by Age'!$C$6,'Population Data by Age'!$B$6:$H$6,0))</f>
        <v>56750000</v>
      </c>
      <c r="AH248" s="78">
        <f>INDEX('Population Data by Age'!$B$7:$H$10366,MATCH(CONCATENATE('Tabular Pop Data by Age'!$C248,'Tabular Pop Data by Age'!AH$7),'Population Data by Age'!$B$7:$B$10366,0),MATCH('Tabular Pop Data by Age'!$C$6,'Population Data by Age'!$B$6:$H$6,0))</f>
        <v>42827500</v>
      </c>
      <c r="AI248" s="78">
        <f>INDEX('Population Data by Age'!$B$7:$H$10366,MATCH(CONCATENATE('Tabular Pop Data by Age'!$C248,'Tabular Pop Data by Age'!AI$7),'Population Data by Age'!$B$7:$B$10366,0),MATCH('Tabular Pop Data by Age'!$C$6,'Population Data by Age'!$B$6:$H$6,0))</f>
        <v>33954900</v>
      </c>
      <c r="AJ248" s="78">
        <f>INDEX('Population Data by Age'!$B$7:$H$10366,MATCH(CONCATENATE('Tabular Pop Data by Age'!$C248,'Tabular Pop Data by Age'!AJ$7),'Population Data by Age'!$B$7:$B$10366,0),MATCH('Tabular Pop Data by Age'!$C$6,'Population Data by Age'!$B$6:$H$6,0))</f>
        <v>48474100</v>
      </c>
      <c r="AK248" s="78">
        <f>INDEX('Population Data by Age'!$B$7:$H$10366,MATCH(CONCATENATE('Tabular Pop Data by Age'!$C248,'Tabular Pop Data by Age'!AK$7),'Population Data by Age'!$B$7:$B$10366,0),MATCH('Tabular Pop Data by Age'!$C$6,'Population Data by Age'!$B$6:$H$6,0))</f>
        <v>30918200</v>
      </c>
      <c r="AL248" s="78">
        <f>INDEX('Population Data by Age'!$B$7:$H$10366,MATCH(CONCATENATE('Tabular Pop Data by Age'!$C248,'Tabular Pop Data by Age'!AL$7),'Population Data by Age'!$B$7:$B$10366,0),MATCH('Tabular Pop Data by Age'!$C$6,'Population Data by Age'!$B$6:$H$6,0))</f>
        <v>2858008000</v>
      </c>
      <c r="AM248" s="78">
        <f>INDEX('Population Data by Age'!$B$7:$H$10366,MATCH(CONCATENATE('Tabular Pop Data by Age'!$C248,'Tabular Pop Data by Age'!AM$7),'Population Data by Age'!$B$7:$B$10366,0),MATCH('Tabular Pop Data by Age'!$C$6,'Population Data by Age'!$B$6:$H$6,0))</f>
        <v>2930983000</v>
      </c>
      <c r="AN248" s="78">
        <f>INDEX('Population Data by Age'!$B$7:$H$10366,MATCH(CONCATENATE('Tabular Pop Data by Age'!$C248,'Tabular Pop Data by Age'!AN$7),'Population Data by Age'!$B$7:$B$10366,0),MATCH('Tabular Pop Data by Age'!$C$6,'Population Data by Age'!$B$6:$H$6,0))</f>
        <v>5791067000</v>
      </c>
      <c r="AO248" s="78">
        <f>INDEX('Population Data by Age'!$B$7:$H$10366,MATCH(CONCATENATE('Tabular Pop Data by Age'!$C248,'Tabular Pop Data by Age'!AO$7),'Population Data by Age'!$B$7:$B$10366,0),MATCH('Tabular Pop Data by Age'!$C$6,'Population Data by Age'!$B$6:$H$6,0))</f>
        <v>0.97065660331038828</v>
      </c>
      <c r="AP248" s="79">
        <f t="shared" si="68"/>
        <v>497467200</v>
      </c>
      <c r="AQ248" s="79">
        <f t="shared" si="69"/>
        <v>493039900</v>
      </c>
      <c r="AR248" s="79">
        <f t="shared" si="70"/>
        <v>479106300</v>
      </c>
      <c r="AS248" s="79">
        <f t="shared" si="71"/>
        <v>461926200</v>
      </c>
      <c r="AT248" s="79">
        <f t="shared" si="72"/>
        <v>452701300</v>
      </c>
      <c r="AU248" s="79">
        <f t="shared" si="73"/>
        <v>452723300</v>
      </c>
      <c r="AV248" s="79">
        <f t="shared" si="74"/>
        <v>469893900</v>
      </c>
      <c r="AW248" s="79">
        <f t="shared" si="75"/>
        <v>417340100</v>
      </c>
      <c r="AX248" s="79">
        <f t="shared" si="76"/>
        <v>375085600</v>
      </c>
      <c r="AY248" s="79">
        <f t="shared" si="77"/>
        <v>364528700</v>
      </c>
      <c r="AZ248" s="79">
        <f t="shared" si="78"/>
        <v>337191100</v>
      </c>
      <c r="BA248" s="79">
        <f t="shared" si="79"/>
        <v>285974500</v>
      </c>
      <c r="BB248" s="79">
        <f t="shared" si="80"/>
        <v>231233400</v>
      </c>
      <c r="BC248" s="79">
        <f t="shared" si="81"/>
        <v>191644300</v>
      </c>
      <c r="BD248" s="79">
        <f t="shared" si="82"/>
        <v>122930400</v>
      </c>
      <c r="BE248" s="79">
        <f t="shared" si="83"/>
        <v>76782400</v>
      </c>
      <c r="BF248" s="79">
        <f t="shared" si="84"/>
        <v>79392300</v>
      </c>
    </row>
    <row r="249" spans="1:58" x14ac:dyDescent="0.25">
      <c r="A249" s="138" t="s">
        <v>1182</v>
      </c>
      <c r="B249" t="s">
        <v>425</v>
      </c>
      <c r="C249" t="s">
        <v>426</v>
      </c>
      <c r="D249" s="78">
        <f>INDEX('Population Data by Age'!$B$7:$H$10366,MATCH(CONCATENATE('Tabular Pop Data by Age'!$C249,'Tabular Pop Data by Age'!D$7),'Population Data by Age'!$B$7:$B$10366,0),MATCH('Tabular Pop Data by Age'!$C$6,'Population Data by Age'!$B$6:$H$6,0))</f>
        <v>24895000</v>
      </c>
      <c r="E249" s="78">
        <f>INDEX('Population Data by Age'!$B$7:$H$10366,MATCH(CONCATENATE('Tabular Pop Data by Age'!$C249,'Tabular Pop Data by Age'!E$7),'Population Data by Age'!$B$7:$B$10366,0),MATCH('Tabular Pop Data by Age'!$C$6,'Population Data by Age'!$B$6:$H$6,0))</f>
        <v>26033000</v>
      </c>
      <c r="F249" s="78">
        <f>INDEX('Population Data by Age'!$B$7:$H$10366,MATCH(CONCATENATE('Tabular Pop Data by Age'!$C249,'Tabular Pop Data by Age'!F$7),'Population Data by Age'!$B$7:$B$10366,0),MATCH('Tabular Pop Data by Age'!$C$6,'Population Data by Age'!$B$6:$H$6,0))</f>
        <v>23809000</v>
      </c>
      <c r="G249" s="78">
        <f>INDEX('Population Data by Age'!$B$7:$H$10366,MATCH(CONCATENATE('Tabular Pop Data by Age'!$C249,'Tabular Pop Data by Age'!G$7),'Population Data by Age'!$B$7:$B$10366,0),MATCH('Tabular Pop Data by Age'!$C$6,'Population Data by Age'!$B$6:$H$6,0))</f>
        <v>24943000</v>
      </c>
      <c r="H249" s="78">
        <f>INDEX('Population Data by Age'!$B$7:$H$10366,MATCH(CONCATENATE('Tabular Pop Data by Age'!$C249,'Tabular Pop Data by Age'!H$7),'Population Data by Age'!$B$7:$B$10366,0),MATCH('Tabular Pop Data by Age'!$C$6,'Population Data by Age'!$B$6:$H$6,0))</f>
        <v>20673000</v>
      </c>
      <c r="I249" s="78">
        <f>INDEX('Population Data by Age'!$B$7:$H$10366,MATCH(CONCATENATE('Tabular Pop Data by Age'!$C249,'Tabular Pop Data by Age'!I$7),'Population Data by Age'!$B$7:$B$10366,0),MATCH('Tabular Pop Data by Age'!$C$6,'Population Data by Age'!$B$6:$H$6,0))</f>
        <v>21655000</v>
      </c>
      <c r="J249" s="78">
        <f>INDEX('Population Data by Age'!$B$7:$H$10366,MATCH(CONCATENATE('Tabular Pop Data by Age'!$C249,'Tabular Pop Data by Age'!J$7),'Population Data by Age'!$B$7:$B$10366,0),MATCH('Tabular Pop Data by Age'!$C$6,'Population Data by Age'!$B$6:$H$6,0))</f>
        <v>18347000</v>
      </c>
      <c r="K249" s="78">
        <f>INDEX('Population Data by Age'!$B$7:$H$10366,MATCH(CONCATENATE('Tabular Pop Data by Age'!$C249,'Tabular Pop Data by Age'!K$7),'Population Data by Age'!$B$7:$B$10366,0),MATCH('Tabular Pop Data by Age'!$C$6,'Population Data by Age'!$B$6:$H$6,0))</f>
        <v>19132000</v>
      </c>
      <c r="L249" s="78">
        <f>INDEX('Population Data by Age'!$B$7:$H$10366,MATCH(CONCATENATE('Tabular Pop Data by Age'!$C249,'Tabular Pop Data by Age'!L$7),'Population Data by Age'!$B$7:$B$10366,0),MATCH('Tabular Pop Data by Age'!$C$6,'Population Data by Age'!$B$6:$H$6,0))</f>
        <v>17480000</v>
      </c>
      <c r="M249" s="78">
        <f>INDEX('Population Data by Age'!$B$7:$H$10366,MATCH(CONCATENATE('Tabular Pop Data by Age'!$C249,'Tabular Pop Data by Age'!M$7),'Population Data by Age'!$B$7:$B$10366,0),MATCH('Tabular Pop Data by Age'!$C$6,'Population Data by Age'!$B$6:$H$6,0))</f>
        <v>18697000</v>
      </c>
      <c r="N249" s="78">
        <f>INDEX('Population Data by Age'!$B$7:$H$10366,MATCH(CONCATENATE('Tabular Pop Data by Age'!$C249,'Tabular Pop Data by Age'!N$7),'Population Data by Age'!$B$7:$B$10366,0),MATCH('Tabular Pop Data by Age'!$C$6,'Population Data by Age'!$B$6:$H$6,0))</f>
        <v>17358000</v>
      </c>
      <c r="O249" s="78">
        <f>INDEX('Population Data by Age'!$B$7:$H$10366,MATCH(CONCATENATE('Tabular Pop Data by Age'!$C249,'Tabular Pop Data by Age'!O$7),'Population Data by Age'!$B$7:$B$10366,0),MATCH('Tabular Pop Data by Age'!$C$6,'Population Data by Age'!$B$6:$H$6,0))</f>
        <v>19632000</v>
      </c>
      <c r="P249" s="78">
        <f>INDEX('Population Data by Age'!$B$7:$H$10366,MATCH(CONCATENATE('Tabular Pop Data by Age'!$C249,'Tabular Pop Data by Age'!P$7),'Population Data by Age'!$B$7:$B$10366,0),MATCH('Tabular Pop Data by Age'!$C$6,'Population Data by Age'!$B$6:$H$6,0))</f>
        <v>16719000</v>
      </c>
      <c r="Q249" s="78">
        <f>INDEX('Population Data by Age'!$B$7:$H$10366,MATCH(CONCATENATE('Tabular Pop Data by Age'!$C249,'Tabular Pop Data by Age'!Q$7),'Population Data by Age'!$B$7:$B$10366,0),MATCH('Tabular Pop Data by Age'!$C$6,'Population Data by Age'!$B$6:$H$6,0))</f>
        <v>19282000</v>
      </c>
      <c r="R249" s="78">
        <f>INDEX('Population Data by Age'!$B$7:$H$10366,MATCH(CONCATENATE('Tabular Pop Data by Age'!$C249,'Tabular Pop Data by Age'!R$7),'Population Data by Age'!$B$7:$B$10366,0),MATCH('Tabular Pop Data by Age'!$C$6,'Population Data by Age'!$B$6:$H$6,0))</f>
        <v>15054000</v>
      </c>
      <c r="S249" s="78">
        <f>INDEX('Population Data by Age'!$B$7:$H$10366,MATCH(CONCATENATE('Tabular Pop Data by Age'!$C249,'Tabular Pop Data by Age'!S$7),'Population Data by Age'!$B$7:$B$10366,0),MATCH('Tabular Pop Data by Age'!$C$6,'Population Data by Age'!$B$6:$H$6,0))</f>
        <v>17138000</v>
      </c>
      <c r="T249" s="78">
        <f>INDEX('Population Data by Age'!$B$7:$H$10366,MATCH(CONCATENATE('Tabular Pop Data by Age'!$C249,'Tabular Pop Data by Age'!T$7),'Population Data by Age'!$B$7:$B$10366,0),MATCH('Tabular Pop Data by Age'!$C$6,'Population Data by Age'!$B$6:$H$6,0))</f>
        <v>12799000</v>
      </c>
      <c r="U249" s="78">
        <f>INDEX('Population Data by Age'!$B$7:$H$10366,MATCH(CONCATENATE('Tabular Pop Data by Age'!$C249,'Tabular Pop Data by Age'!U$7),'Population Data by Age'!$B$7:$B$10366,0),MATCH('Tabular Pop Data by Age'!$C$6,'Population Data by Age'!$B$6:$H$6,0))</f>
        <v>14668000</v>
      </c>
      <c r="V249" s="78">
        <f>INDEX('Population Data by Age'!$B$7:$H$10366,MATCH(CONCATENATE('Tabular Pop Data by Age'!$C249,'Tabular Pop Data by Age'!V$7),'Population Data by Age'!$B$7:$B$10366,0),MATCH('Tabular Pop Data by Age'!$C$6,'Population Data by Age'!$B$6:$H$6,0))</f>
        <v>10508000</v>
      </c>
      <c r="W249" s="78">
        <f>INDEX('Population Data by Age'!$B$7:$H$10366,MATCH(CONCATENATE('Tabular Pop Data by Age'!$C249,'Tabular Pop Data by Age'!W$7),'Population Data by Age'!$B$7:$B$10366,0),MATCH('Tabular Pop Data by Age'!$C$6,'Population Data by Age'!$B$6:$H$6,0))</f>
        <v>11934000</v>
      </c>
      <c r="X249" s="78">
        <f>INDEX('Population Data by Age'!$B$7:$H$10366,MATCH(CONCATENATE('Tabular Pop Data by Age'!$C249,'Tabular Pop Data by Age'!X$7),'Population Data by Age'!$B$7:$B$10366,0),MATCH('Tabular Pop Data by Age'!$C$6,'Population Data by Age'!$B$6:$H$6,0))</f>
        <v>8719000</v>
      </c>
      <c r="Y249" s="78">
        <f>INDEX('Population Data by Age'!$B$7:$H$10366,MATCH(CONCATENATE('Tabular Pop Data by Age'!$C249,'Tabular Pop Data by Age'!Y$7),'Population Data by Age'!$B$7:$B$10366,0),MATCH('Tabular Pop Data by Age'!$C$6,'Population Data by Age'!$B$6:$H$6,0))</f>
        <v>9592000</v>
      </c>
      <c r="Z249" s="78">
        <f>INDEX('Population Data by Age'!$B$7:$H$10366,MATCH(CONCATENATE('Tabular Pop Data by Age'!$C249,'Tabular Pop Data by Age'!Z$7),'Population Data by Age'!$B$7:$B$10366,0),MATCH('Tabular Pop Data by Age'!$C$6,'Population Data by Age'!$B$6:$H$6,0))</f>
        <v>7087000</v>
      </c>
      <c r="AA249" s="78">
        <f>INDEX('Population Data by Age'!$B$7:$H$10366,MATCH(CONCATENATE('Tabular Pop Data by Age'!$C249,'Tabular Pop Data by Age'!AA$7),'Population Data by Age'!$B$7:$B$10366,0),MATCH('Tabular Pop Data by Age'!$C$6,'Population Data by Age'!$B$6:$H$6,0))</f>
        <v>7747000</v>
      </c>
      <c r="AB249" s="78">
        <f>INDEX('Population Data by Age'!$B$7:$H$10366,MATCH(CONCATENATE('Tabular Pop Data by Age'!$C249,'Tabular Pop Data by Age'!AB$7),'Population Data by Age'!$B$7:$B$10366,0),MATCH('Tabular Pop Data by Age'!$C$6,'Population Data by Age'!$B$6:$H$6,0))</f>
        <v>5582100</v>
      </c>
      <c r="AC249" s="78">
        <f>INDEX('Population Data by Age'!$B$7:$H$10366,MATCH(CONCATENATE('Tabular Pop Data by Age'!$C249,'Tabular Pop Data by Age'!AC$7),'Population Data by Age'!$B$7:$B$10366,0),MATCH('Tabular Pop Data by Age'!$C$6,'Population Data by Age'!$B$6:$H$6,0))</f>
        <v>5841500</v>
      </c>
      <c r="AD249" s="78">
        <f>INDEX('Population Data by Age'!$B$7:$H$10366,MATCH(CONCATENATE('Tabular Pop Data by Age'!$C249,'Tabular Pop Data by Age'!AD$7),'Population Data by Age'!$B$7:$B$10366,0),MATCH('Tabular Pop Data by Age'!$C$6,'Population Data by Age'!$B$6:$H$6,0))</f>
        <v>4318400</v>
      </c>
      <c r="AE249" s="78">
        <f>INDEX('Population Data by Age'!$B$7:$H$10366,MATCH(CONCATENATE('Tabular Pop Data by Age'!$C249,'Tabular Pop Data by Age'!AE$7),'Population Data by Age'!$B$7:$B$10366,0),MATCH('Tabular Pop Data by Age'!$C$6,'Population Data by Age'!$B$6:$H$6,0))</f>
        <v>4196500</v>
      </c>
      <c r="AF249" s="78">
        <f>INDEX('Population Data by Age'!$B$7:$H$10366,MATCH(CONCATENATE('Tabular Pop Data by Age'!$C249,'Tabular Pop Data by Age'!AF$7),'Population Data by Age'!$B$7:$B$10366,0),MATCH('Tabular Pop Data by Age'!$C$6,'Population Data by Age'!$B$6:$H$6,0))</f>
        <v>2916500</v>
      </c>
      <c r="AG249" s="78">
        <f>INDEX('Population Data by Age'!$B$7:$H$10366,MATCH(CONCATENATE('Tabular Pop Data by Age'!$C249,'Tabular Pop Data by Age'!AG$7),'Population Data by Age'!$B$7:$B$10366,0),MATCH('Tabular Pop Data by Age'!$C$6,'Population Data by Age'!$B$6:$H$6,0))</f>
        <v>2640300</v>
      </c>
      <c r="AH249" s="78">
        <f>INDEX('Population Data by Age'!$B$7:$H$10366,MATCH(CONCATENATE('Tabular Pop Data by Age'!$C249,'Tabular Pop Data by Age'!AH$7),'Population Data by Age'!$B$7:$B$10366,0),MATCH('Tabular Pop Data by Age'!$C$6,'Population Data by Age'!$B$6:$H$6,0))</f>
        <v>1925900</v>
      </c>
      <c r="AI249" s="78">
        <f>INDEX('Population Data by Age'!$B$7:$H$10366,MATCH(CONCATENATE('Tabular Pop Data by Age'!$C249,'Tabular Pop Data by Age'!AI$7),'Population Data by Age'!$B$7:$B$10366,0),MATCH('Tabular Pop Data by Age'!$C$6,'Population Data by Age'!$B$6:$H$6,0))</f>
        <v>1586000</v>
      </c>
      <c r="AJ249" s="78">
        <f>INDEX('Population Data by Age'!$B$7:$H$10366,MATCH(CONCATENATE('Tabular Pop Data by Age'!$C249,'Tabular Pop Data by Age'!AJ$7),'Population Data by Age'!$B$7:$B$10366,0),MATCH('Tabular Pop Data by Age'!$C$6,'Population Data by Age'!$B$6:$H$6,0))</f>
        <v>1863200</v>
      </c>
      <c r="AK249" s="78">
        <f>INDEX('Population Data by Age'!$B$7:$H$10366,MATCH(CONCATENATE('Tabular Pop Data by Age'!$C249,'Tabular Pop Data by Age'!AK$7),'Population Data by Age'!$B$7:$B$10366,0),MATCH('Tabular Pop Data by Age'!$C$6,'Population Data by Age'!$B$6:$H$6,0))</f>
        <v>1310300</v>
      </c>
      <c r="AL249" s="78">
        <f>INDEX('Population Data by Age'!$B$7:$H$10366,MATCH(CONCATENATE('Tabular Pop Data by Age'!$C249,'Tabular Pop Data by Age'!AL$7),'Population Data by Age'!$B$7:$B$10366,0),MATCH('Tabular Pop Data by Age'!$C$6,'Population Data by Age'!$B$6:$H$6,0))</f>
        <v>210062000</v>
      </c>
      <c r="AM249" s="78">
        <f>INDEX('Population Data by Age'!$B$7:$H$10366,MATCH(CONCATENATE('Tabular Pop Data by Age'!$C249,'Tabular Pop Data by Age'!AM$7),'Population Data by Age'!$B$7:$B$10366,0),MATCH('Tabular Pop Data by Age'!$C$6,'Population Data by Age'!$B$6:$H$6,0))</f>
        <v>226030000</v>
      </c>
      <c r="AN249" s="78">
        <f>INDEX('Population Data by Age'!$B$7:$H$10366,MATCH(CONCATENATE('Tabular Pop Data by Age'!$C249,'Tabular Pop Data by Age'!AN$7),'Population Data by Age'!$B$7:$B$10366,0),MATCH('Tabular Pop Data by Age'!$C$6,'Population Data by Age'!$B$6:$H$6,0))</f>
        <v>436091000</v>
      </c>
      <c r="AO249" s="78">
        <f>INDEX('Population Data by Age'!$B$7:$H$10366,MATCH(CONCATENATE('Tabular Pop Data by Age'!$C249,'Tabular Pop Data by Age'!AO$7),'Population Data by Age'!$B$7:$B$10366,0),MATCH('Tabular Pop Data by Age'!$C$6,'Population Data by Age'!$B$6:$H$6,0))</f>
        <v>1.9197105710286024</v>
      </c>
      <c r="AP249" s="79">
        <f t="shared" si="68"/>
        <v>50928000</v>
      </c>
      <c r="AQ249" s="79">
        <f t="shared" si="69"/>
        <v>48752000</v>
      </c>
      <c r="AR249" s="79">
        <f t="shared" si="70"/>
        <v>42328000</v>
      </c>
      <c r="AS249" s="79">
        <f t="shared" si="71"/>
        <v>37479000</v>
      </c>
      <c r="AT249" s="79">
        <f t="shared" si="72"/>
        <v>36177000</v>
      </c>
      <c r="AU249" s="79">
        <f t="shared" si="73"/>
        <v>36990000</v>
      </c>
      <c r="AV249" s="79">
        <f t="shared" si="74"/>
        <v>36001000</v>
      </c>
      <c r="AW249" s="79">
        <f t="shared" si="75"/>
        <v>32192000</v>
      </c>
      <c r="AX249" s="79">
        <f t="shared" si="76"/>
        <v>27467000</v>
      </c>
      <c r="AY249" s="79">
        <f t="shared" si="77"/>
        <v>22442000</v>
      </c>
      <c r="AZ249" s="79">
        <f t="shared" si="78"/>
        <v>18311000</v>
      </c>
      <c r="BA249" s="79">
        <f t="shared" si="79"/>
        <v>14834000</v>
      </c>
      <c r="BB249" s="79">
        <f t="shared" si="80"/>
        <v>11423600</v>
      </c>
      <c r="BC249" s="79">
        <f t="shared" si="81"/>
        <v>8514900</v>
      </c>
      <c r="BD249" s="79">
        <f t="shared" si="82"/>
        <v>5556800</v>
      </c>
      <c r="BE249" s="79">
        <f t="shared" si="83"/>
        <v>3511900</v>
      </c>
      <c r="BF249" s="79">
        <f t="shared" si="84"/>
        <v>3173500</v>
      </c>
    </row>
    <row r="250" spans="1:58" x14ac:dyDescent="0.25">
      <c r="A250" s="138" t="s">
        <v>1182</v>
      </c>
      <c r="B250" t="s">
        <v>450</v>
      </c>
      <c r="C250" t="s">
        <v>451</v>
      </c>
      <c r="D250" s="78">
        <f>INDEX('Population Data by Age'!$B$7:$H$10366,MATCH(CONCATENATE('Tabular Pop Data by Age'!$C250,'Tabular Pop Data by Age'!D$7),'Population Data by Age'!$B$7:$B$10366,0),MATCH('Tabular Pop Data by Age'!$C$6,'Population Data by Age'!$B$6:$H$6,0))</f>
        <v>273500</v>
      </c>
      <c r="E250" s="78">
        <f>INDEX('Population Data by Age'!$B$7:$H$10366,MATCH(CONCATENATE('Tabular Pop Data by Age'!$C250,'Tabular Pop Data by Age'!E$7),'Population Data by Age'!$B$7:$B$10366,0),MATCH('Tabular Pop Data by Age'!$C$6,'Population Data by Age'!$B$6:$H$6,0))</f>
        <v>287400</v>
      </c>
      <c r="F250" s="78">
        <f>INDEX('Population Data by Age'!$B$7:$H$10366,MATCH(CONCATENATE('Tabular Pop Data by Age'!$C250,'Tabular Pop Data by Age'!F$7),'Population Data by Age'!$B$7:$B$10366,0),MATCH('Tabular Pop Data by Age'!$C$6,'Population Data by Age'!$B$6:$H$6,0))</f>
        <v>280200</v>
      </c>
      <c r="G250" s="78">
        <f>INDEX('Population Data by Age'!$B$7:$H$10366,MATCH(CONCATENATE('Tabular Pop Data by Age'!$C250,'Tabular Pop Data by Age'!G$7),'Population Data by Age'!$B$7:$B$10366,0),MATCH('Tabular Pop Data by Age'!$C$6,'Population Data by Age'!$B$6:$H$6,0))</f>
        <v>293000</v>
      </c>
      <c r="H250" s="78">
        <f>INDEX('Population Data by Age'!$B$7:$H$10366,MATCH(CONCATENATE('Tabular Pop Data by Age'!$C250,'Tabular Pop Data by Age'!H$7),'Population Data by Age'!$B$7:$B$10366,0),MATCH('Tabular Pop Data by Age'!$C$6,'Population Data by Age'!$B$6:$H$6,0))</f>
        <v>279800</v>
      </c>
      <c r="I250" s="78">
        <f>INDEX('Population Data by Age'!$B$7:$H$10366,MATCH(CONCATENATE('Tabular Pop Data by Age'!$C250,'Tabular Pop Data by Age'!I$7),'Population Data by Age'!$B$7:$B$10366,0),MATCH('Tabular Pop Data by Age'!$C$6,'Population Data by Age'!$B$6:$H$6,0))</f>
        <v>288500</v>
      </c>
      <c r="J250" s="78">
        <f>INDEX('Population Data by Age'!$B$7:$H$10366,MATCH(CONCATENATE('Tabular Pop Data by Age'!$C250,'Tabular Pop Data by Age'!J$7),'Population Data by Age'!$B$7:$B$10366,0),MATCH('Tabular Pop Data by Age'!$C$6,'Population Data by Age'!$B$6:$H$6,0))</f>
        <v>285400</v>
      </c>
      <c r="K250" s="78">
        <f>INDEX('Population Data by Age'!$B$7:$H$10366,MATCH(CONCATENATE('Tabular Pop Data by Age'!$C250,'Tabular Pop Data by Age'!K$7),'Population Data by Age'!$B$7:$B$10366,0),MATCH('Tabular Pop Data by Age'!$C$6,'Population Data by Age'!$B$6:$H$6,0))</f>
        <v>295400</v>
      </c>
      <c r="L250" s="78">
        <f>INDEX('Population Data by Age'!$B$7:$H$10366,MATCH(CONCATENATE('Tabular Pop Data by Age'!$C250,'Tabular Pop Data by Age'!L$7),'Population Data by Age'!$B$7:$B$10366,0),MATCH('Tabular Pop Data by Age'!$C$6,'Population Data by Age'!$B$6:$H$6,0))</f>
        <v>297800</v>
      </c>
      <c r="M250" s="78">
        <f>INDEX('Population Data by Age'!$B$7:$H$10366,MATCH(CONCATENATE('Tabular Pop Data by Age'!$C250,'Tabular Pop Data by Age'!M$7),'Population Data by Age'!$B$7:$B$10366,0),MATCH('Tabular Pop Data by Age'!$C$6,'Population Data by Age'!$B$6:$H$6,0))</f>
        <v>308300</v>
      </c>
      <c r="N250" s="78">
        <f>INDEX('Population Data by Age'!$B$7:$H$10366,MATCH(CONCATENATE('Tabular Pop Data by Age'!$C250,'Tabular Pop Data by Age'!N$7),'Population Data by Age'!$B$7:$B$10366,0),MATCH('Tabular Pop Data by Age'!$C$6,'Population Data by Age'!$B$6:$H$6,0))</f>
        <v>294400</v>
      </c>
      <c r="O250" s="78">
        <f>INDEX('Population Data by Age'!$B$7:$H$10366,MATCH(CONCATENATE('Tabular Pop Data by Age'!$C250,'Tabular Pop Data by Age'!O$7),'Population Data by Age'!$B$7:$B$10366,0),MATCH('Tabular Pop Data by Age'!$C$6,'Population Data by Age'!$B$6:$H$6,0))</f>
        <v>302500</v>
      </c>
      <c r="P250" s="78">
        <f>INDEX('Population Data by Age'!$B$7:$H$10366,MATCH(CONCATENATE('Tabular Pop Data by Age'!$C250,'Tabular Pop Data by Age'!P$7),'Population Data by Age'!$B$7:$B$10366,0),MATCH('Tabular Pop Data by Age'!$C$6,'Population Data by Age'!$B$6:$H$6,0))</f>
        <v>274600</v>
      </c>
      <c r="Q250" s="78">
        <f>INDEX('Population Data by Age'!$B$7:$H$10366,MATCH(CONCATENATE('Tabular Pop Data by Age'!$C250,'Tabular Pop Data by Age'!Q$7),'Population Data by Age'!$B$7:$B$10366,0),MATCH('Tabular Pop Data by Age'!$C$6,'Population Data by Age'!$B$6:$H$6,0))</f>
        <v>278200</v>
      </c>
      <c r="R250" s="78">
        <f>INDEX('Population Data by Age'!$B$7:$H$10366,MATCH(CONCATENATE('Tabular Pop Data by Age'!$C250,'Tabular Pop Data by Age'!R$7),'Population Data by Age'!$B$7:$B$10366,0),MATCH('Tabular Pop Data by Age'!$C$6,'Population Data by Age'!$B$6:$H$6,0))</f>
        <v>273100</v>
      </c>
      <c r="S250" s="78">
        <f>INDEX('Population Data by Age'!$B$7:$H$10366,MATCH(CONCATENATE('Tabular Pop Data by Age'!$C250,'Tabular Pop Data by Age'!S$7),'Population Data by Age'!$B$7:$B$10366,0),MATCH('Tabular Pop Data by Age'!$C$6,'Population Data by Age'!$B$6:$H$6,0))</f>
        <v>263600</v>
      </c>
      <c r="T250" s="78">
        <f>INDEX('Population Data by Age'!$B$7:$H$10366,MATCH(CONCATENATE('Tabular Pop Data by Age'!$C250,'Tabular Pop Data by Age'!T$7),'Population Data by Age'!$B$7:$B$10366,0),MATCH('Tabular Pop Data by Age'!$C$6,'Population Data by Age'!$B$6:$H$6,0))</f>
        <v>239900</v>
      </c>
      <c r="U250" s="78">
        <f>INDEX('Population Data by Age'!$B$7:$H$10366,MATCH(CONCATENATE('Tabular Pop Data by Age'!$C250,'Tabular Pop Data by Age'!U$7),'Population Data by Age'!$B$7:$B$10366,0),MATCH('Tabular Pop Data by Age'!$C$6,'Population Data by Age'!$B$6:$H$6,0))</f>
        <v>224800</v>
      </c>
      <c r="V250" s="78">
        <f>INDEX('Population Data by Age'!$B$7:$H$10366,MATCH(CONCATENATE('Tabular Pop Data by Age'!$C250,'Tabular Pop Data by Age'!V$7),'Population Data by Age'!$B$7:$B$10366,0),MATCH('Tabular Pop Data by Age'!$C$6,'Population Data by Age'!$B$6:$H$6,0))</f>
        <v>235700</v>
      </c>
      <c r="W250" s="78">
        <f>INDEX('Population Data by Age'!$B$7:$H$10366,MATCH(CONCATENATE('Tabular Pop Data by Age'!$C250,'Tabular Pop Data by Age'!W$7),'Population Data by Age'!$B$7:$B$10366,0),MATCH('Tabular Pop Data by Age'!$C$6,'Population Data by Age'!$B$6:$H$6,0))</f>
        <v>220800</v>
      </c>
      <c r="X250" s="78">
        <f>INDEX('Population Data by Age'!$B$7:$H$10366,MATCH(CONCATENATE('Tabular Pop Data by Age'!$C250,'Tabular Pop Data by Age'!X$7),'Population Data by Age'!$B$7:$B$10366,0),MATCH('Tabular Pop Data by Age'!$C$6,'Population Data by Age'!$B$6:$H$6,0))</f>
        <v>216100</v>
      </c>
      <c r="Y250" s="78">
        <f>INDEX('Population Data by Age'!$B$7:$H$10366,MATCH(CONCATENATE('Tabular Pop Data by Age'!$C250,'Tabular Pop Data by Age'!Y$7),'Population Data by Age'!$B$7:$B$10366,0),MATCH('Tabular Pop Data by Age'!$C$6,'Population Data by Age'!$B$6:$H$6,0))</f>
        <v>206800</v>
      </c>
      <c r="Z250" s="78">
        <f>INDEX('Population Data by Age'!$B$7:$H$10366,MATCH(CONCATENATE('Tabular Pop Data by Age'!$C250,'Tabular Pop Data by Age'!Z$7),'Population Data by Age'!$B$7:$B$10366,0),MATCH('Tabular Pop Data by Age'!$C$6,'Population Data by Age'!$B$6:$H$6,0))</f>
        <v>205500</v>
      </c>
      <c r="AA250" s="78">
        <f>INDEX('Population Data by Age'!$B$7:$H$10366,MATCH(CONCATENATE('Tabular Pop Data by Age'!$C250,'Tabular Pop Data by Age'!AA$7),'Population Data by Age'!$B$7:$B$10366,0),MATCH('Tabular Pop Data by Age'!$C$6,'Population Data by Age'!$B$6:$H$6,0))</f>
        <v>194400</v>
      </c>
      <c r="AB250" s="78">
        <f>INDEX('Population Data by Age'!$B$7:$H$10366,MATCH(CONCATENATE('Tabular Pop Data by Age'!$C250,'Tabular Pop Data by Age'!AB$7),'Population Data by Age'!$B$7:$B$10366,0),MATCH('Tabular Pop Data by Age'!$C$6,'Population Data by Age'!$B$6:$H$6,0))</f>
        <v>168200</v>
      </c>
      <c r="AC250" s="78">
        <f>INDEX('Population Data by Age'!$B$7:$H$10366,MATCH(CONCATENATE('Tabular Pop Data by Age'!$C250,'Tabular Pop Data by Age'!AC$7),'Population Data by Age'!$B$7:$B$10366,0),MATCH('Tabular Pop Data by Age'!$C$6,'Population Data by Age'!$B$6:$H$6,0))</f>
        <v>154500</v>
      </c>
      <c r="AD250" s="78">
        <f>INDEX('Population Data by Age'!$B$7:$H$10366,MATCH(CONCATENATE('Tabular Pop Data by Age'!$C250,'Tabular Pop Data by Age'!AD$7),'Population Data by Age'!$B$7:$B$10366,0),MATCH('Tabular Pop Data by Age'!$C$6,'Population Data by Age'!$B$6:$H$6,0))</f>
        <v>125300</v>
      </c>
      <c r="AE250" s="78">
        <f>INDEX('Population Data by Age'!$B$7:$H$10366,MATCH(CONCATENATE('Tabular Pop Data by Age'!$C250,'Tabular Pop Data by Age'!AE$7),'Population Data by Age'!$B$7:$B$10366,0),MATCH('Tabular Pop Data by Age'!$C$6,'Population Data by Age'!$B$6:$H$6,0))</f>
        <v>113900</v>
      </c>
      <c r="AF250" s="78">
        <f>INDEX('Population Data by Age'!$B$7:$H$10366,MATCH(CONCATENATE('Tabular Pop Data by Age'!$C250,'Tabular Pop Data by Age'!AF$7),'Population Data by Age'!$B$7:$B$10366,0),MATCH('Tabular Pop Data by Age'!$C$6,'Population Data by Age'!$B$6:$H$6,0))</f>
        <v>94300</v>
      </c>
      <c r="AG250" s="78">
        <f>INDEX('Population Data by Age'!$B$7:$H$10366,MATCH(CONCATENATE('Tabular Pop Data by Age'!$C250,'Tabular Pop Data by Age'!AG$7),'Population Data by Age'!$B$7:$B$10366,0),MATCH('Tabular Pop Data by Age'!$C$6,'Population Data by Age'!$B$6:$H$6,0))</f>
        <v>84800</v>
      </c>
      <c r="AH250" s="78">
        <f>INDEX('Population Data by Age'!$B$7:$H$10366,MATCH(CONCATENATE('Tabular Pop Data by Age'!$C250,'Tabular Pop Data by Age'!AH$7),'Population Data by Age'!$B$7:$B$10366,0),MATCH('Tabular Pop Data by Age'!$C$6,'Population Data by Age'!$B$6:$H$6,0))</f>
        <v>65300</v>
      </c>
      <c r="AI250" s="78">
        <f>INDEX('Population Data by Age'!$B$7:$H$10366,MATCH(CONCATENATE('Tabular Pop Data by Age'!$C250,'Tabular Pop Data by Age'!AI$7),'Population Data by Age'!$B$7:$B$10366,0),MATCH('Tabular Pop Data by Age'!$C$6,'Population Data by Age'!$B$6:$H$6,0))</f>
        <v>54100</v>
      </c>
      <c r="AJ250" s="78">
        <f>INDEX('Population Data by Age'!$B$7:$H$10366,MATCH(CONCATENATE('Tabular Pop Data by Age'!$C250,'Tabular Pop Data by Age'!AJ$7),'Population Data by Age'!$B$7:$B$10366,0),MATCH('Tabular Pop Data by Age'!$C$6,'Population Data by Age'!$B$6:$H$6,0))</f>
        <v>77900</v>
      </c>
      <c r="AK250" s="78">
        <f>INDEX('Population Data by Age'!$B$7:$H$10366,MATCH(CONCATENATE('Tabular Pop Data by Age'!$C250,'Tabular Pop Data by Age'!AK$7),'Population Data by Age'!$B$7:$B$10366,0),MATCH('Tabular Pop Data by Age'!$C$6,'Population Data by Age'!$B$6:$H$6,0))</f>
        <v>61100</v>
      </c>
      <c r="AL250" s="78">
        <f>INDEX('Population Data by Age'!$B$7:$H$10366,MATCH(CONCATENATE('Tabular Pop Data by Age'!$C250,'Tabular Pop Data by Age'!AL$7),'Population Data by Age'!$B$7:$B$10366,0),MATCH('Tabular Pop Data by Age'!$C$6,'Population Data by Age'!$B$6:$H$6,0))</f>
        <v>3689000</v>
      </c>
      <c r="AM250" s="78">
        <f>INDEX('Population Data by Age'!$B$7:$H$10366,MATCH(CONCATENATE('Tabular Pop Data by Age'!$C250,'Tabular Pop Data by Age'!AM$7),'Population Data by Age'!$B$7:$B$10366,0),MATCH('Tabular Pop Data by Age'!$C$6,'Population Data by Age'!$B$6:$H$6,0))</f>
        <v>3630000</v>
      </c>
      <c r="AN250" s="78">
        <f>INDEX('Population Data by Age'!$B$7:$H$10366,MATCH(CONCATENATE('Tabular Pop Data by Age'!$C250,'Tabular Pop Data by Age'!AN$7),'Population Data by Age'!$B$7:$B$10366,0),MATCH('Tabular Pop Data by Age'!$C$6,'Population Data by Age'!$B$6:$H$6,0))</f>
        <v>7443000</v>
      </c>
      <c r="AO250" s="78">
        <f>INDEX('Population Data by Age'!$B$7:$H$10366,MATCH(CONCATENATE('Tabular Pop Data by Age'!$C250,'Tabular Pop Data by Age'!AO$7),'Population Data by Age'!$B$7:$B$10366,0),MATCH('Tabular Pop Data by Age'!$C$6,'Population Data by Age'!$B$6:$H$6,0))</f>
        <v>0.5674908796108582</v>
      </c>
      <c r="AP250" s="79">
        <f t="shared" si="68"/>
        <v>560900</v>
      </c>
      <c r="AQ250" s="79">
        <f t="shared" si="69"/>
        <v>573200</v>
      </c>
      <c r="AR250" s="79">
        <f t="shared" si="70"/>
        <v>568300</v>
      </c>
      <c r="AS250" s="79">
        <f t="shared" si="71"/>
        <v>580800</v>
      </c>
      <c r="AT250" s="79">
        <f t="shared" si="72"/>
        <v>606100</v>
      </c>
      <c r="AU250" s="79">
        <f t="shared" si="73"/>
        <v>596900</v>
      </c>
      <c r="AV250" s="79">
        <f t="shared" si="74"/>
        <v>552800</v>
      </c>
      <c r="AW250" s="79">
        <f t="shared" si="75"/>
        <v>536700</v>
      </c>
      <c r="AX250" s="79">
        <f t="shared" si="76"/>
        <v>464700</v>
      </c>
      <c r="AY250" s="79">
        <f t="shared" si="77"/>
        <v>456500</v>
      </c>
      <c r="AZ250" s="79">
        <f t="shared" si="78"/>
        <v>422900</v>
      </c>
      <c r="BA250" s="79">
        <f t="shared" si="79"/>
        <v>399900</v>
      </c>
      <c r="BB250" s="79">
        <f t="shared" si="80"/>
        <v>322700</v>
      </c>
      <c r="BC250" s="79">
        <f t="shared" si="81"/>
        <v>239200</v>
      </c>
      <c r="BD250" s="79">
        <f t="shared" si="82"/>
        <v>179100</v>
      </c>
      <c r="BE250" s="79">
        <f t="shared" si="83"/>
        <v>119400</v>
      </c>
      <c r="BF250" s="79">
        <f t="shared" si="84"/>
        <v>139000</v>
      </c>
    </row>
    <row r="251" spans="1:58" x14ac:dyDescent="0.25">
      <c r="A251" s="138" t="s">
        <v>1182</v>
      </c>
      <c r="B251" t="s">
        <v>454</v>
      </c>
      <c r="C251" t="s">
        <v>455</v>
      </c>
      <c r="D251" s="78">
        <f>INDEX('Population Data by Age'!$B$7:$H$10366,MATCH(CONCATENATE('Tabular Pop Data by Age'!$C251,'Tabular Pop Data by Age'!D$7),'Population Data by Age'!$B$7:$B$10366,0),MATCH('Tabular Pop Data by Age'!$C$6,'Population Data by Age'!$B$6:$H$6,0))</f>
        <v>2455000</v>
      </c>
      <c r="E251" s="78">
        <f>INDEX('Population Data by Age'!$B$7:$H$10366,MATCH(CONCATENATE('Tabular Pop Data by Age'!$C251,'Tabular Pop Data by Age'!E$7),'Population Data by Age'!$B$7:$B$10366,0),MATCH('Tabular Pop Data by Age'!$C$6,'Population Data by Age'!$B$6:$H$6,0))</f>
        <v>2594000</v>
      </c>
      <c r="F251" s="78">
        <f>INDEX('Population Data by Age'!$B$7:$H$10366,MATCH(CONCATENATE('Tabular Pop Data by Age'!$C251,'Tabular Pop Data by Age'!F$7),'Population Data by Age'!$B$7:$B$10366,0),MATCH('Tabular Pop Data by Age'!$C$6,'Population Data by Age'!$B$6:$H$6,0))</f>
        <v>2489000</v>
      </c>
      <c r="G251" s="78">
        <f>INDEX('Population Data by Age'!$B$7:$H$10366,MATCH(CONCATENATE('Tabular Pop Data by Age'!$C251,'Tabular Pop Data by Age'!G$7),'Population Data by Age'!$B$7:$B$10366,0),MATCH('Tabular Pop Data by Age'!$C$6,'Population Data by Age'!$B$6:$H$6,0))</f>
        <v>2626000</v>
      </c>
      <c r="H251" s="78">
        <f>INDEX('Population Data by Age'!$B$7:$H$10366,MATCH(CONCATENATE('Tabular Pop Data by Age'!$C251,'Tabular Pop Data by Age'!H$7),'Population Data by Age'!$B$7:$B$10366,0),MATCH('Tabular Pop Data by Age'!$C$6,'Population Data by Age'!$B$6:$H$6,0))</f>
        <v>2616000</v>
      </c>
      <c r="I251" s="78">
        <f>INDEX('Population Data by Age'!$B$7:$H$10366,MATCH(CONCATENATE('Tabular Pop Data by Age'!$C251,'Tabular Pop Data by Age'!I$7),'Population Data by Age'!$B$7:$B$10366,0),MATCH('Tabular Pop Data by Age'!$C$6,'Population Data by Age'!$B$6:$H$6,0))</f>
        <v>2756000</v>
      </c>
      <c r="J251" s="78">
        <f>INDEX('Population Data by Age'!$B$7:$H$10366,MATCH(CONCATENATE('Tabular Pop Data by Age'!$C251,'Tabular Pop Data by Age'!J$7),'Population Data by Age'!$B$7:$B$10366,0),MATCH('Tabular Pop Data by Age'!$C$6,'Population Data by Age'!$B$6:$H$6,0))</f>
        <v>2359000</v>
      </c>
      <c r="K251" s="78">
        <f>INDEX('Population Data by Age'!$B$7:$H$10366,MATCH(CONCATENATE('Tabular Pop Data by Age'!$C251,'Tabular Pop Data by Age'!K$7),'Population Data by Age'!$B$7:$B$10366,0),MATCH('Tabular Pop Data by Age'!$C$6,'Population Data by Age'!$B$6:$H$6,0))</f>
        <v>2475000</v>
      </c>
      <c r="L251" s="78">
        <f>INDEX('Population Data by Age'!$B$7:$H$10366,MATCH(CONCATENATE('Tabular Pop Data by Age'!$C251,'Tabular Pop Data by Age'!L$7),'Population Data by Age'!$B$7:$B$10366,0),MATCH('Tabular Pop Data by Age'!$C$6,'Population Data by Age'!$B$6:$H$6,0))</f>
        <v>2513000</v>
      </c>
      <c r="M251" s="78">
        <f>INDEX('Population Data by Age'!$B$7:$H$10366,MATCH(CONCATENATE('Tabular Pop Data by Age'!$C251,'Tabular Pop Data by Age'!M$7),'Population Data by Age'!$B$7:$B$10366,0),MATCH('Tabular Pop Data by Age'!$C$6,'Population Data by Age'!$B$6:$H$6,0))</f>
        <v>2632000</v>
      </c>
      <c r="N251" s="78">
        <f>INDEX('Population Data by Age'!$B$7:$H$10366,MATCH(CONCATENATE('Tabular Pop Data by Age'!$C251,'Tabular Pop Data by Age'!N$7),'Population Data by Age'!$B$7:$B$10366,0),MATCH('Tabular Pop Data by Age'!$C$6,'Population Data by Age'!$B$6:$H$6,0))</f>
        <v>3055000</v>
      </c>
      <c r="O251" s="78">
        <f>INDEX('Population Data by Age'!$B$7:$H$10366,MATCH(CONCATENATE('Tabular Pop Data by Age'!$C251,'Tabular Pop Data by Age'!O$7),'Population Data by Age'!$B$7:$B$10366,0),MATCH('Tabular Pop Data by Age'!$C$6,'Population Data by Age'!$B$6:$H$6,0))</f>
        <v>3240000</v>
      </c>
      <c r="P251" s="78">
        <f>INDEX('Population Data by Age'!$B$7:$H$10366,MATCH(CONCATENATE('Tabular Pop Data by Age'!$C251,'Tabular Pop Data by Age'!P$7),'Population Data by Age'!$B$7:$B$10366,0),MATCH('Tabular Pop Data by Age'!$C$6,'Population Data by Age'!$B$6:$H$6,0))</f>
        <v>3496000</v>
      </c>
      <c r="Q251" s="78">
        <f>INDEX('Population Data by Age'!$B$7:$H$10366,MATCH(CONCATENATE('Tabular Pop Data by Age'!$C251,'Tabular Pop Data by Age'!Q$7),'Population Data by Age'!$B$7:$B$10366,0),MATCH('Tabular Pop Data by Age'!$C$6,'Population Data by Age'!$B$6:$H$6,0))</f>
        <v>3756000</v>
      </c>
      <c r="R251" s="78">
        <f>INDEX('Population Data by Age'!$B$7:$H$10366,MATCH(CONCATENATE('Tabular Pop Data by Age'!$C251,'Tabular Pop Data by Age'!R$7),'Population Data by Age'!$B$7:$B$10366,0),MATCH('Tabular Pop Data by Age'!$C$6,'Population Data by Age'!$B$6:$H$6,0))</f>
        <v>3620000</v>
      </c>
      <c r="S251" s="78">
        <f>INDEX('Population Data by Age'!$B$7:$H$10366,MATCH(CONCATENATE('Tabular Pop Data by Age'!$C251,'Tabular Pop Data by Age'!S$7),'Population Data by Age'!$B$7:$B$10366,0),MATCH('Tabular Pop Data by Age'!$C$6,'Population Data by Age'!$B$6:$H$6,0))</f>
        <v>3852000</v>
      </c>
      <c r="T251" s="78">
        <f>INDEX('Population Data by Age'!$B$7:$H$10366,MATCH(CONCATENATE('Tabular Pop Data by Age'!$C251,'Tabular Pop Data by Age'!T$7),'Population Data by Age'!$B$7:$B$10366,0),MATCH('Tabular Pop Data by Age'!$C$6,'Population Data by Age'!$B$6:$H$6,0))</f>
        <v>3940000</v>
      </c>
      <c r="U251" s="78">
        <f>INDEX('Population Data by Age'!$B$7:$H$10366,MATCH(CONCATENATE('Tabular Pop Data by Age'!$C251,'Tabular Pop Data by Age'!U$7),'Population Data by Age'!$B$7:$B$10366,0),MATCH('Tabular Pop Data by Age'!$C$6,'Population Data by Age'!$B$6:$H$6,0))</f>
        <v>4082000</v>
      </c>
      <c r="V251" s="78">
        <f>INDEX('Population Data by Age'!$B$7:$H$10366,MATCH(CONCATENATE('Tabular Pop Data by Age'!$C251,'Tabular Pop Data by Age'!V$7),'Population Data by Age'!$B$7:$B$10366,0),MATCH('Tabular Pop Data by Age'!$C$6,'Population Data by Age'!$B$6:$H$6,0))</f>
        <v>3705000</v>
      </c>
      <c r="W251" s="78">
        <f>INDEX('Population Data by Age'!$B$7:$H$10366,MATCH(CONCATENATE('Tabular Pop Data by Age'!$C251,'Tabular Pop Data by Age'!W$7),'Population Data by Age'!$B$7:$B$10366,0),MATCH('Tabular Pop Data by Age'!$C$6,'Population Data by Age'!$B$6:$H$6,0))</f>
        <v>3777000</v>
      </c>
      <c r="X251" s="78">
        <f>INDEX('Population Data by Age'!$B$7:$H$10366,MATCH(CONCATENATE('Tabular Pop Data by Age'!$C251,'Tabular Pop Data by Age'!X$7),'Population Data by Age'!$B$7:$B$10366,0),MATCH('Tabular Pop Data by Age'!$C$6,'Population Data by Age'!$B$6:$H$6,0))</f>
        <v>3384000</v>
      </c>
      <c r="Y251" s="78">
        <f>INDEX('Population Data by Age'!$B$7:$H$10366,MATCH(CONCATENATE('Tabular Pop Data by Age'!$C251,'Tabular Pop Data by Age'!Y$7),'Population Data by Age'!$B$7:$B$10366,0),MATCH('Tabular Pop Data by Age'!$C$6,'Population Data by Age'!$B$6:$H$6,0))</f>
        <v>3349000</v>
      </c>
      <c r="Z251" s="78">
        <f>INDEX('Population Data by Age'!$B$7:$H$10366,MATCH(CONCATENATE('Tabular Pop Data by Age'!$C251,'Tabular Pop Data by Age'!Z$7),'Population Data by Age'!$B$7:$B$10366,0),MATCH('Tabular Pop Data by Age'!$C$6,'Population Data by Age'!$B$6:$H$6,0))</f>
        <v>3255000</v>
      </c>
      <c r="AA251" s="78">
        <f>INDEX('Population Data by Age'!$B$7:$H$10366,MATCH(CONCATENATE('Tabular Pop Data by Age'!$C251,'Tabular Pop Data by Age'!AA$7),'Population Data by Age'!$B$7:$B$10366,0),MATCH('Tabular Pop Data by Age'!$C$6,'Population Data by Age'!$B$6:$H$6,0))</f>
        <v>3065000</v>
      </c>
      <c r="AB251" s="78">
        <f>INDEX('Population Data by Age'!$B$7:$H$10366,MATCH(CONCATENATE('Tabular Pop Data by Age'!$C251,'Tabular Pop Data by Age'!AB$7),'Population Data by Age'!$B$7:$B$10366,0),MATCH('Tabular Pop Data by Age'!$C$6,'Population Data by Age'!$B$6:$H$6,0))</f>
        <v>3703000</v>
      </c>
      <c r="AC251" s="78">
        <f>INDEX('Population Data by Age'!$B$7:$H$10366,MATCH(CONCATENATE('Tabular Pop Data by Age'!$C251,'Tabular Pop Data by Age'!AC$7),'Population Data by Age'!$B$7:$B$10366,0),MATCH('Tabular Pop Data by Age'!$C$6,'Population Data by Age'!$B$6:$H$6,0))</f>
        <v>3248000</v>
      </c>
      <c r="AD251" s="78">
        <f>INDEX('Population Data by Age'!$B$7:$H$10366,MATCH(CONCATENATE('Tabular Pop Data by Age'!$C251,'Tabular Pop Data by Age'!AD$7),'Population Data by Age'!$B$7:$B$10366,0),MATCH('Tabular Pop Data by Age'!$C$6,'Population Data by Age'!$B$6:$H$6,0))</f>
        <v>3671000</v>
      </c>
      <c r="AE251" s="78">
        <f>INDEX('Population Data by Age'!$B$7:$H$10366,MATCH(CONCATENATE('Tabular Pop Data by Age'!$C251,'Tabular Pop Data by Age'!AE$7),'Population Data by Age'!$B$7:$B$10366,0),MATCH('Tabular Pop Data by Age'!$C$6,'Population Data by Age'!$B$6:$H$6,0))</f>
        <v>2940000</v>
      </c>
      <c r="AF251" s="78">
        <f>INDEX('Population Data by Age'!$B$7:$H$10366,MATCH(CONCATENATE('Tabular Pop Data by Age'!$C251,'Tabular Pop Data by Age'!AF$7),'Population Data by Age'!$B$7:$B$10366,0),MATCH('Tabular Pop Data by Age'!$C$6,'Population Data by Age'!$B$6:$H$6,0))</f>
        <v>2949000</v>
      </c>
      <c r="AG251" s="78">
        <f>INDEX('Population Data by Age'!$B$7:$H$10366,MATCH(CONCATENATE('Tabular Pop Data by Age'!$C251,'Tabular Pop Data by Age'!AG$7),'Population Data by Age'!$B$7:$B$10366,0),MATCH('Tabular Pop Data by Age'!$C$6,'Population Data by Age'!$B$6:$H$6,0))</f>
        <v>2116000</v>
      </c>
      <c r="AH251" s="78">
        <f>INDEX('Population Data by Age'!$B$7:$H$10366,MATCH(CONCATENATE('Tabular Pop Data by Age'!$C251,'Tabular Pop Data by Age'!AH$7),'Population Data by Age'!$B$7:$B$10366,0),MATCH('Tabular Pop Data by Age'!$C$6,'Population Data by Age'!$B$6:$H$6,0))</f>
        <v>2088000</v>
      </c>
      <c r="AI251" s="78">
        <f>INDEX('Population Data by Age'!$B$7:$H$10366,MATCH(CONCATENATE('Tabular Pop Data by Age'!$C251,'Tabular Pop Data by Age'!AI$7),'Population Data by Age'!$B$7:$B$10366,0),MATCH('Tabular Pop Data by Age'!$C$6,'Population Data by Age'!$B$6:$H$6,0))</f>
        <v>1285000</v>
      </c>
      <c r="AJ251" s="78">
        <f>INDEX('Population Data by Age'!$B$7:$H$10366,MATCH(CONCATENATE('Tabular Pop Data by Age'!$C251,'Tabular Pop Data by Age'!AJ$7),'Population Data by Age'!$B$7:$B$10366,0),MATCH('Tabular Pop Data by Age'!$C$6,'Population Data by Age'!$B$6:$H$6,0))</f>
        <v>3242000</v>
      </c>
      <c r="AK251" s="78">
        <f>INDEX('Population Data by Age'!$B$7:$H$10366,MATCH(CONCATENATE('Tabular Pop Data by Age'!$C251,'Tabular Pop Data by Age'!AK$7),'Population Data by Age'!$B$7:$B$10366,0),MATCH('Tabular Pop Data by Age'!$C$6,'Population Data by Age'!$B$6:$H$6,0))</f>
        <v>1506000</v>
      </c>
      <c r="AL251" s="78">
        <f>INDEX('Population Data by Age'!$B$7:$H$10366,MATCH(CONCATENATE('Tabular Pop Data by Age'!$C251,'Tabular Pop Data by Age'!AL$7),'Population Data by Age'!$B$7:$B$10366,0),MATCH('Tabular Pop Data by Age'!$C$6,'Population Data by Age'!$B$6:$H$6,0))</f>
        <v>52547000</v>
      </c>
      <c r="AM251" s="78">
        <f>INDEX('Population Data by Age'!$B$7:$H$10366,MATCH(CONCATENATE('Tabular Pop Data by Age'!$C251,'Tabular Pop Data by Age'!AM$7),'Population Data by Age'!$B$7:$B$10366,0),MATCH('Tabular Pop Data by Age'!$C$6,'Population Data by Age'!$B$6:$H$6,0))</f>
        <v>49300000</v>
      </c>
      <c r="AN251" s="78">
        <f>INDEX('Population Data by Age'!$B$7:$H$10366,MATCH(CONCATENATE('Tabular Pop Data by Age'!$C251,'Tabular Pop Data by Age'!AN$7),'Population Data by Age'!$B$7:$B$10366,0),MATCH('Tabular Pop Data by Age'!$C$6,'Population Data by Age'!$B$6:$H$6,0))</f>
        <v>101847000</v>
      </c>
      <c r="AO251" s="78">
        <f>INDEX('Population Data by Age'!$B$7:$H$10366,MATCH(CONCATENATE('Tabular Pop Data by Age'!$C251,'Tabular Pop Data by Age'!AO$7),'Population Data by Age'!$B$7:$B$10366,0),MATCH('Tabular Pop Data by Age'!$C$6,'Population Data by Age'!$B$6:$H$6,0))</f>
        <v>-0.32687094469618216</v>
      </c>
      <c r="AP251" s="79">
        <f t="shared" si="68"/>
        <v>5049000</v>
      </c>
      <c r="AQ251" s="79">
        <f t="shared" si="69"/>
        <v>5115000</v>
      </c>
      <c r="AR251" s="79">
        <f t="shared" si="70"/>
        <v>5372000</v>
      </c>
      <c r="AS251" s="79">
        <f t="shared" si="71"/>
        <v>4834000</v>
      </c>
      <c r="AT251" s="79">
        <f t="shared" si="72"/>
        <v>5145000</v>
      </c>
      <c r="AU251" s="79">
        <f t="shared" si="73"/>
        <v>6295000</v>
      </c>
      <c r="AV251" s="79">
        <f t="shared" si="74"/>
        <v>7252000</v>
      </c>
      <c r="AW251" s="79">
        <f t="shared" si="75"/>
        <v>7472000</v>
      </c>
      <c r="AX251" s="79">
        <f t="shared" si="76"/>
        <v>8022000</v>
      </c>
      <c r="AY251" s="79">
        <f t="shared" si="77"/>
        <v>7482000</v>
      </c>
      <c r="AZ251" s="79">
        <f t="shared" si="78"/>
        <v>6733000</v>
      </c>
      <c r="BA251" s="79">
        <f t="shared" si="79"/>
        <v>6320000</v>
      </c>
      <c r="BB251" s="79">
        <f t="shared" si="80"/>
        <v>6951000</v>
      </c>
      <c r="BC251" s="79">
        <f t="shared" si="81"/>
        <v>6611000</v>
      </c>
      <c r="BD251" s="79">
        <f t="shared" si="82"/>
        <v>5065000</v>
      </c>
      <c r="BE251" s="79">
        <f t="shared" si="83"/>
        <v>3373000</v>
      </c>
      <c r="BF251" s="79">
        <f t="shared" si="84"/>
        <v>4748000</v>
      </c>
    </row>
    <row r="252" spans="1:58" x14ac:dyDescent="0.25">
      <c r="A252" s="138" t="s">
        <v>1182</v>
      </c>
      <c r="B252" t="s">
        <v>475</v>
      </c>
      <c r="C252" t="s">
        <v>476</v>
      </c>
      <c r="D252" s="78">
        <f>INDEX('Population Data by Age'!$B$7:$H$10366,MATCH(CONCATENATE('Tabular Pop Data by Age'!$C252,'Tabular Pop Data by Age'!D$7),'Population Data by Age'!$B$7:$B$10366,0),MATCH('Tabular Pop Data by Age'!$C$6,'Population Data by Age'!$B$6:$H$6,0))</f>
        <v>153428700</v>
      </c>
      <c r="E252" s="78">
        <f>INDEX('Population Data by Age'!$B$7:$H$10366,MATCH(CONCATENATE('Tabular Pop Data by Age'!$C252,'Tabular Pop Data by Age'!E$7),'Population Data by Age'!$B$7:$B$10366,0),MATCH('Tabular Pop Data by Age'!$C$6,'Population Data by Age'!$B$6:$H$6,0))</f>
        <v>163715000</v>
      </c>
      <c r="F252" s="78">
        <f>INDEX('Population Data by Age'!$B$7:$H$10366,MATCH(CONCATENATE('Tabular Pop Data by Age'!$C252,'Tabular Pop Data by Age'!F$7),'Population Data by Age'!$B$7:$B$10366,0),MATCH('Tabular Pop Data by Age'!$C$6,'Population Data by Age'!$B$6:$H$6,0))</f>
        <v>151831000</v>
      </c>
      <c r="G252" s="78">
        <f>INDEX('Population Data by Age'!$B$7:$H$10366,MATCH(CONCATENATE('Tabular Pop Data by Age'!$C252,'Tabular Pop Data by Age'!G$7),'Population Data by Age'!$B$7:$B$10366,0),MATCH('Tabular Pop Data by Age'!$C$6,'Population Data by Age'!$B$6:$H$6,0))</f>
        <v>162004700</v>
      </c>
      <c r="H252" s="78">
        <f>INDEX('Population Data by Age'!$B$7:$H$10366,MATCH(CONCATENATE('Tabular Pop Data by Age'!$C252,'Tabular Pop Data by Age'!H$7),'Population Data by Age'!$B$7:$B$10366,0),MATCH('Tabular Pop Data by Age'!$C$6,'Population Data by Age'!$B$6:$H$6,0))</f>
        <v>149760300</v>
      </c>
      <c r="I252" s="78">
        <f>INDEX('Population Data by Age'!$B$7:$H$10366,MATCH(CONCATENATE('Tabular Pop Data by Age'!$C252,'Tabular Pop Data by Age'!I$7),'Population Data by Age'!$B$7:$B$10366,0),MATCH('Tabular Pop Data by Age'!$C$6,'Population Data by Age'!$B$6:$H$6,0))</f>
        <v>160221600</v>
      </c>
      <c r="J252" s="78">
        <f>INDEX('Population Data by Age'!$B$7:$H$10366,MATCH(CONCATENATE('Tabular Pop Data by Age'!$C252,'Tabular Pop Data by Age'!J$7),'Population Data by Age'!$B$7:$B$10366,0),MATCH('Tabular Pop Data by Age'!$C$6,'Population Data by Age'!$B$6:$H$6,0))</f>
        <v>145233100</v>
      </c>
      <c r="K252" s="78">
        <f>INDEX('Population Data by Age'!$B$7:$H$10366,MATCH(CONCATENATE('Tabular Pop Data by Age'!$C252,'Tabular Pop Data by Age'!K$7),'Population Data by Age'!$B$7:$B$10366,0),MATCH('Tabular Pop Data by Age'!$C$6,'Population Data by Age'!$B$6:$H$6,0))</f>
        <v>156412800</v>
      </c>
      <c r="L252" s="78">
        <f>INDEX('Population Data by Age'!$B$7:$H$10366,MATCH(CONCATENATE('Tabular Pop Data by Age'!$C252,'Tabular Pop Data by Age'!L$7),'Population Data by Age'!$B$7:$B$10366,0),MATCH('Tabular Pop Data by Age'!$C$6,'Population Data by Age'!$B$6:$H$6,0))</f>
        <v>141055800</v>
      </c>
      <c r="M252" s="78">
        <f>INDEX('Population Data by Age'!$B$7:$H$10366,MATCH(CONCATENATE('Tabular Pop Data by Age'!$C252,'Tabular Pop Data by Age'!M$7),'Population Data by Age'!$B$7:$B$10366,0),MATCH('Tabular Pop Data by Age'!$C$6,'Population Data by Age'!$B$6:$H$6,0))</f>
        <v>151028700</v>
      </c>
      <c r="N252" s="78">
        <f>INDEX('Population Data by Age'!$B$7:$H$10366,MATCH(CONCATENATE('Tabular Pop Data by Age'!$C252,'Tabular Pop Data by Age'!N$7),'Population Data by Age'!$B$7:$B$10366,0),MATCH('Tabular Pop Data by Age'!$C$6,'Population Data by Age'!$B$6:$H$6,0))</f>
        <v>135962200</v>
      </c>
      <c r="O252" s="78">
        <f>INDEX('Population Data by Age'!$B$7:$H$10366,MATCH(CONCATENATE('Tabular Pop Data by Age'!$C252,'Tabular Pop Data by Age'!O$7),'Population Data by Age'!$B$7:$B$10366,0),MATCH('Tabular Pop Data by Age'!$C$6,'Population Data by Age'!$B$6:$H$6,0))</f>
        <v>144080800</v>
      </c>
      <c r="P252" s="78">
        <f>INDEX('Population Data by Age'!$B$7:$H$10366,MATCH(CONCATENATE('Tabular Pop Data by Age'!$C252,'Tabular Pop Data by Age'!P$7),'Population Data by Age'!$B$7:$B$10366,0),MATCH('Tabular Pop Data by Age'!$C$6,'Population Data by Age'!$B$6:$H$6,0))</f>
        <v>129604900</v>
      </c>
      <c r="Q252" s="78">
        <f>INDEX('Population Data by Age'!$B$7:$H$10366,MATCH(CONCATENATE('Tabular Pop Data by Age'!$C252,'Tabular Pop Data by Age'!Q$7),'Population Data by Age'!$B$7:$B$10366,0),MATCH('Tabular Pop Data by Age'!$C$6,'Population Data by Age'!$B$6:$H$6,0))</f>
        <v>135305700</v>
      </c>
      <c r="R252" s="78">
        <f>INDEX('Population Data by Age'!$B$7:$H$10366,MATCH(CONCATENATE('Tabular Pop Data by Age'!$C252,'Tabular Pop Data by Age'!R$7),'Population Data by Age'!$B$7:$B$10366,0),MATCH('Tabular Pop Data by Age'!$C$6,'Population Data by Age'!$B$6:$H$6,0))</f>
        <v>120217200</v>
      </c>
      <c r="S252" s="78">
        <f>INDEX('Population Data by Age'!$B$7:$H$10366,MATCH(CONCATENATE('Tabular Pop Data by Age'!$C252,'Tabular Pop Data by Age'!S$7),'Population Data by Age'!$B$7:$B$10366,0),MATCH('Tabular Pop Data by Age'!$C$6,'Population Data by Age'!$B$6:$H$6,0))</f>
        <v>124582500</v>
      </c>
      <c r="T252" s="78">
        <f>INDEX('Population Data by Age'!$B$7:$H$10366,MATCH(CONCATENATE('Tabular Pop Data by Age'!$C252,'Tabular Pop Data by Age'!T$7),'Population Data by Age'!$B$7:$B$10366,0),MATCH('Tabular Pop Data by Age'!$C$6,'Population Data by Age'!$B$6:$H$6,0))</f>
        <v>105185100</v>
      </c>
      <c r="U252" s="78">
        <f>INDEX('Population Data by Age'!$B$7:$H$10366,MATCH(CONCATENATE('Tabular Pop Data by Age'!$C252,'Tabular Pop Data by Age'!U$7),'Population Data by Age'!$B$7:$B$10366,0),MATCH('Tabular Pop Data by Age'!$C$6,'Population Data by Age'!$B$6:$H$6,0))</f>
        <v>108242100</v>
      </c>
      <c r="V252" s="78">
        <f>INDEX('Population Data by Age'!$B$7:$H$10366,MATCH(CONCATENATE('Tabular Pop Data by Age'!$C252,'Tabular Pop Data by Age'!V$7),'Population Data by Age'!$B$7:$B$10366,0),MATCH('Tabular Pop Data by Age'!$C$6,'Population Data by Age'!$B$6:$H$6,0))</f>
        <v>92007100</v>
      </c>
      <c r="W252" s="78">
        <f>INDEX('Population Data by Age'!$B$7:$H$10366,MATCH(CONCATENATE('Tabular Pop Data by Age'!$C252,'Tabular Pop Data by Age'!W$7),'Population Data by Age'!$B$7:$B$10366,0),MATCH('Tabular Pop Data by Age'!$C$6,'Population Data by Age'!$B$6:$H$6,0))</f>
        <v>93938400</v>
      </c>
      <c r="X252" s="78">
        <f>INDEX('Population Data by Age'!$B$7:$H$10366,MATCH(CONCATENATE('Tabular Pop Data by Age'!$C252,'Tabular Pop Data by Age'!X$7),'Population Data by Age'!$B$7:$B$10366,0),MATCH('Tabular Pop Data by Age'!$C$6,'Population Data by Age'!$B$6:$H$6,0))</f>
        <v>79742800</v>
      </c>
      <c r="Y252" s="78">
        <f>INDEX('Population Data by Age'!$B$7:$H$10366,MATCH(CONCATENATE('Tabular Pop Data by Age'!$C252,'Tabular Pop Data by Age'!Y$7),'Population Data by Age'!$B$7:$B$10366,0),MATCH('Tabular Pop Data by Age'!$C$6,'Population Data by Age'!$B$6:$H$6,0))</f>
        <v>80589800</v>
      </c>
      <c r="Z252" s="78">
        <f>INDEX('Population Data by Age'!$B$7:$H$10366,MATCH(CONCATENATE('Tabular Pop Data by Age'!$C252,'Tabular Pop Data by Age'!Z$7),'Population Data by Age'!$B$7:$B$10366,0),MATCH('Tabular Pop Data by Age'!$C$6,'Population Data by Age'!$B$6:$H$6,0))</f>
        <v>67864700</v>
      </c>
      <c r="AA252" s="78">
        <f>INDEX('Population Data by Age'!$B$7:$H$10366,MATCH(CONCATENATE('Tabular Pop Data by Age'!$C252,'Tabular Pop Data by Age'!AA$7),'Population Data by Age'!$B$7:$B$10366,0),MATCH('Tabular Pop Data by Age'!$C$6,'Population Data by Age'!$B$6:$H$6,0))</f>
        <v>67568600</v>
      </c>
      <c r="AB252" s="78">
        <f>INDEX('Population Data by Age'!$B$7:$H$10366,MATCH(CONCATENATE('Tabular Pop Data by Age'!$C252,'Tabular Pop Data by Age'!AB$7),'Population Data by Age'!$B$7:$B$10366,0),MATCH('Tabular Pop Data by Age'!$C$6,'Population Data by Age'!$B$6:$H$6,0))</f>
        <v>55083700</v>
      </c>
      <c r="AC252" s="78">
        <f>INDEX('Population Data by Age'!$B$7:$H$10366,MATCH(CONCATENATE('Tabular Pop Data by Age'!$C252,'Tabular Pop Data by Age'!AC$7),'Population Data by Age'!$B$7:$B$10366,0),MATCH('Tabular Pop Data by Age'!$C$6,'Population Data by Age'!$B$6:$H$6,0))</f>
        <v>53749400</v>
      </c>
      <c r="AD252" s="78">
        <f>INDEX('Population Data by Age'!$B$7:$H$10366,MATCH(CONCATENATE('Tabular Pop Data by Age'!$C252,'Tabular Pop Data by Age'!AD$7),'Population Data by Age'!$B$7:$B$10366,0),MATCH('Tabular Pop Data by Age'!$C$6,'Population Data by Age'!$B$6:$H$6,0))</f>
        <v>42029400</v>
      </c>
      <c r="AE252" s="78">
        <f>INDEX('Population Data by Age'!$B$7:$H$10366,MATCH(CONCATENATE('Tabular Pop Data by Age'!$C252,'Tabular Pop Data by Age'!AE$7),'Population Data by Age'!$B$7:$B$10366,0),MATCH('Tabular Pop Data by Age'!$C$6,'Population Data by Age'!$B$6:$H$6,0))</f>
        <v>40104500</v>
      </c>
      <c r="AF252" s="78">
        <f>INDEX('Population Data by Age'!$B$7:$H$10366,MATCH(CONCATENATE('Tabular Pop Data by Age'!$C252,'Tabular Pop Data by Age'!AF$7),'Population Data by Age'!$B$7:$B$10366,0),MATCH('Tabular Pop Data by Age'!$C$6,'Population Data by Age'!$B$6:$H$6,0))</f>
        <v>28840000</v>
      </c>
      <c r="AG252" s="78">
        <f>INDEX('Population Data by Age'!$B$7:$H$10366,MATCH(CONCATENATE('Tabular Pop Data by Age'!$C252,'Tabular Pop Data by Age'!AG$7),'Population Data by Age'!$B$7:$B$10366,0),MATCH('Tabular Pop Data by Age'!$C$6,'Population Data by Age'!$B$6:$H$6,0))</f>
        <v>25601400</v>
      </c>
      <c r="AH252" s="78">
        <f>INDEX('Population Data by Age'!$B$7:$H$10366,MATCH(CONCATENATE('Tabular Pop Data by Age'!$C252,'Tabular Pop Data by Age'!AH$7),'Population Data by Age'!$B$7:$B$10366,0),MATCH('Tabular Pop Data by Age'!$C$6,'Population Data by Age'!$B$6:$H$6,0))</f>
        <v>19110900</v>
      </c>
      <c r="AI252" s="78">
        <f>INDEX('Population Data by Age'!$B$7:$H$10366,MATCH(CONCATENATE('Tabular Pop Data by Age'!$C252,'Tabular Pop Data by Age'!AI$7),'Population Data by Age'!$B$7:$B$10366,0),MATCH('Tabular Pop Data by Age'!$C$6,'Population Data by Age'!$B$6:$H$6,0))</f>
        <v>16009300</v>
      </c>
      <c r="AJ252" s="78">
        <f>INDEX('Population Data by Age'!$B$7:$H$10366,MATCH(CONCATENATE('Tabular Pop Data by Age'!$C252,'Tabular Pop Data by Age'!AJ$7),'Population Data by Age'!$B$7:$B$10366,0),MATCH('Tabular Pop Data by Age'!$C$6,'Population Data by Age'!$B$6:$H$6,0))</f>
        <v>18612200</v>
      </c>
      <c r="AK252" s="78">
        <f>INDEX('Population Data by Age'!$B$7:$H$10366,MATCH(CONCATENATE('Tabular Pop Data by Age'!$C252,'Tabular Pop Data by Age'!AK$7),'Population Data by Age'!$B$7:$B$10366,0),MATCH('Tabular Pop Data by Age'!$C$6,'Population Data by Age'!$B$6:$H$6,0))</f>
        <v>13823900</v>
      </c>
      <c r="AL252" s="78">
        <f>INDEX('Population Data by Age'!$B$7:$H$10366,MATCH(CONCATENATE('Tabular Pop Data by Age'!$C252,'Tabular Pop Data by Age'!AL$7),'Population Data by Age'!$B$7:$B$10366,0),MATCH('Tabular Pop Data by Age'!$C$6,'Population Data by Age'!$B$6:$H$6,0))</f>
        <v>1635590000</v>
      </c>
      <c r="AM252" s="78">
        <f>INDEX('Population Data by Age'!$B$7:$H$10366,MATCH(CONCATENATE('Tabular Pop Data by Age'!$C252,'Tabular Pop Data by Age'!AM$7),'Population Data by Age'!$B$7:$B$10366,0),MATCH('Tabular Pop Data by Age'!$C$6,'Population Data by Age'!$B$6:$H$6,0))</f>
        <v>1696964000</v>
      </c>
      <c r="AN252" s="78">
        <f>INDEX('Population Data by Age'!$B$7:$H$10366,MATCH(CONCATENATE('Tabular Pop Data by Age'!$C252,'Tabular Pop Data by Age'!AN$7),'Population Data by Age'!$B$7:$B$10366,0),MATCH('Tabular Pop Data by Age'!$C$6,'Population Data by Age'!$B$6:$H$6,0))</f>
        <v>3332556000</v>
      </c>
      <c r="AO252" s="78">
        <f>INDEX('Population Data by Age'!$B$7:$H$10366,MATCH(CONCATENATE('Tabular Pop Data by Age'!$C252,'Tabular Pop Data by Age'!AO$7),'Population Data by Age'!$B$7:$B$10366,0),MATCH('Tabular Pop Data by Age'!$C$6,'Population Data by Age'!$B$6:$H$6,0))</f>
        <v>1.2633011251052437</v>
      </c>
      <c r="AP252" s="79">
        <f t="shared" si="68"/>
        <v>317143700</v>
      </c>
      <c r="AQ252" s="79">
        <f t="shared" si="69"/>
        <v>313835700</v>
      </c>
      <c r="AR252" s="79">
        <f t="shared" si="70"/>
        <v>309981900</v>
      </c>
      <c r="AS252" s="79">
        <f t="shared" si="71"/>
        <v>301645900</v>
      </c>
      <c r="AT252" s="79">
        <f t="shared" si="72"/>
        <v>292084500</v>
      </c>
      <c r="AU252" s="79">
        <f t="shared" si="73"/>
        <v>280043000</v>
      </c>
      <c r="AV252" s="79">
        <f t="shared" si="74"/>
        <v>264910600</v>
      </c>
      <c r="AW252" s="79">
        <f t="shared" si="75"/>
        <v>244799700</v>
      </c>
      <c r="AX252" s="79">
        <f t="shared" si="76"/>
        <v>213427200</v>
      </c>
      <c r="AY252" s="79">
        <f t="shared" si="77"/>
        <v>185945500</v>
      </c>
      <c r="AZ252" s="79">
        <f t="shared" si="78"/>
        <v>160332600</v>
      </c>
      <c r="BA252" s="79">
        <f t="shared" si="79"/>
        <v>135433300</v>
      </c>
      <c r="BB252" s="79">
        <f t="shared" si="80"/>
        <v>108833100</v>
      </c>
      <c r="BC252" s="79">
        <f t="shared" si="81"/>
        <v>82133900</v>
      </c>
      <c r="BD252" s="79">
        <f t="shared" si="82"/>
        <v>54441400</v>
      </c>
      <c r="BE252" s="79">
        <f t="shared" si="83"/>
        <v>35120200</v>
      </c>
      <c r="BF252" s="79">
        <f t="shared" si="84"/>
        <v>32436100</v>
      </c>
    </row>
    <row r="253" spans="1:58" x14ac:dyDescent="0.25">
      <c r="A253" s="138" t="s">
        <v>1182</v>
      </c>
      <c r="B253" t="s">
        <v>477</v>
      </c>
      <c r="C253" t="s">
        <v>478</v>
      </c>
      <c r="D253" s="78">
        <f>INDEX('Population Data by Age'!$B$7:$H$10366,MATCH(CONCATENATE('Tabular Pop Data by Age'!$C253,'Tabular Pop Data by Age'!D$7),'Population Data by Age'!$B$7:$B$10366,0),MATCH('Tabular Pop Data by Age'!$C$6,'Population Data by Age'!$B$6:$H$6,0))</f>
        <v>72270600</v>
      </c>
      <c r="E253" s="78">
        <f>INDEX('Population Data by Age'!$B$7:$H$10366,MATCH(CONCATENATE('Tabular Pop Data by Age'!$C253,'Tabular Pop Data by Age'!E$7),'Population Data by Age'!$B$7:$B$10366,0),MATCH('Tabular Pop Data by Age'!$C$6,'Population Data by Age'!$B$6:$H$6,0))</f>
        <v>79040400</v>
      </c>
      <c r="F253" s="78">
        <f>INDEX('Population Data by Age'!$B$7:$H$10366,MATCH(CONCATENATE('Tabular Pop Data by Age'!$C253,'Tabular Pop Data by Age'!F$7),'Population Data by Age'!$B$7:$B$10366,0),MATCH('Tabular Pop Data by Age'!$C$6,'Population Data by Age'!$B$6:$H$6,0))</f>
        <v>74138400</v>
      </c>
      <c r="G253" s="78">
        <f>INDEX('Population Data by Age'!$B$7:$H$10366,MATCH(CONCATENATE('Tabular Pop Data by Age'!$C253,'Tabular Pop Data by Age'!G$7),'Population Data by Age'!$B$7:$B$10366,0),MATCH('Tabular Pop Data by Age'!$C$6,'Population Data by Age'!$B$6:$H$6,0))</f>
        <v>81807900</v>
      </c>
      <c r="H253" s="78">
        <f>INDEX('Population Data by Age'!$B$7:$H$10366,MATCH(CONCATENATE('Tabular Pop Data by Age'!$C253,'Tabular Pop Data by Age'!H$7),'Population Data by Age'!$B$7:$B$10366,0),MATCH('Tabular Pop Data by Age'!$C$6,'Population Data by Age'!$B$6:$H$6,0))</f>
        <v>71699600</v>
      </c>
      <c r="I253" s="78">
        <f>INDEX('Population Data by Age'!$B$7:$H$10366,MATCH(CONCATENATE('Tabular Pop Data by Age'!$C253,'Tabular Pop Data by Age'!I$7),'Population Data by Age'!$B$7:$B$10366,0),MATCH('Tabular Pop Data by Age'!$C$6,'Population Data by Age'!$B$6:$H$6,0))</f>
        <v>79897000</v>
      </c>
      <c r="J253" s="78">
        <f>INDEX('Population Data by Age'!$B$7:$H$10366,MATCH(CONCATENATE('Tabular Pop Data by Age'!$C253,'Tabular Pop Data by Age'!J$7),'Population Data by Age'!$B$7:$B$10366,0),MATCH('Tabular Pop Data by Age'!$C$6,'Population Data by Age'!$B$6:$H$6,0))</f>
        <v>71173100</v>
      </c>
      <c r="K253" s="78">
        <f>INDEX('Population Data by Age'!$B$7:$H$10366,MATCH(CONCATENATE('Tabular Pop Data by Age'!$C253,'Tabular Pop Data by Age'!K$7),'Population Data by Age'!$B$7:$B$10366,0),MATCH('Tabular Pop Data by Age'!$C$6,'Population Data by Age'!$B$6:$H$6,0))</f>
        <v>78828100</v>
      </c>
      <c r="L253" s="78">
        <f>INDEX('Population Data by Age'!$B$7:$H$10366,MATCH(CONCATENATE('Tabular Pop Data by Age'!$C253,'Tabular Pop Data by Age'!L$7),'Population Data by Age'!$B$7:$B$10366,0),MATCH('Tabular Pop Data by Age'!$C$6,'Population Data by Age'!$B$6:$H$6,0))</f>
        <v>74484100</v>
      </c>
      <c r="M253" s="78">
        <f>INDEX('Population Data by Age'!$B$7:$H$10366,MATCH(CONCATENATE('Tabular Pop Data by Age'!$C253,'Tabular Pop Data by Age'!M$7),'Population Data by Age'!$B$7:$B$10366,0),MATCH('Tabular Pop Data by Age'!$C$6,'Population Data by Age'!$B$6:$H$6,0))</f>
        <v>81493500</v>
      </c>
      <c r="N253" s="78">
        <f>INDEX('Population Data by Age'!$B$7:$H$10366,MATCH(CONCATENATE('Tabular Pop Data by Age'!$C253,'Tabular Pop Data by Age'!N$7),'Population Data by Age'!$B$7:$B$10366,0),MATCH('Tabular Pop Data by Age'!$C$6,'Population Data by Age'!$B$6:$H$6,0))</f>
        <v>80149900</v>
      </c>
      <c r="O253" s="78">
        <f>INDEX('Population Data by Age'!$B$7:$H$10366,MATCH(CONCATENATE('Tabular Pop Data by Age'!$C253,'Tabular Pop Data by Age'!O$7),'Population Data by Age'!$B$7:$B$10366,0),MATCH('Tabular Pop Data by Age'!$C$6,'Population Data by Age'!$B$6:$H$6,0))</f>
        <v>86367400</v>
      </c>
      <c r="P253" s="78">
        <f>INDEX('Population Data by Age'!$B$7:$H$10366,MATCH(CONCATENATE('Tabular Pop Data by Age'!$C253,'Tabular Pop Data by Age'!P$7),'Population Data by Age'!$B$7:$B$10366,0),MATCH('Tabular Pop Data by Age'!$C$6,'Population Data by Age'!$B$6:$H$6,0))</f>
        <v>94469100</v>
      </c>
      <c r="Q253" s="78">
        <f>INDEX('Population Data by Age'!$B$7:$H$10366,MATCH(CONCATENATE('Tabular Pop Data by Age'!$C253,'Tabular Pop Data by Age'!Q$7),'Population Data by Age'!$B$7:$B$10366,0),MATCH('Tabular Pop Data by Age'!$C$6,'Population Data by Age'!$B$6:$H$6,0))</f>
        <v>98970800</v>
      </c>
      <c r="R253" s="78">
        <f>INDEX('Population Data by Age'!$B$7:$H$10366,MATCH(CONCATENATE('Tabular Pop Data by Age'!$C253,'Tabular Pop Data by Age'!R$7),'Population Data by Age'!$B$7:$B$10366,0),MATCH('Tabular Pop Data by Age'!$C$6,'Population Data by Age'!$B$6:$H$6,0))</f>
        <v>81996800</v>
      </c>
      <c r="S253" s="78">
        <f>INDEX('Population Data by Age'!$B$7:$H$10366,MATCH(CONCATENATE('Tabular Pop Data by Age'!$C253,'Tabular Pop Data by Age'!S$7),'Population Data by Age'!$B$7:$B$10366,0),MATCH('Tabular Pop Data by Age'!$C$6,'Population Data by Age'!$B$6:$H$6,0))</f>
        <v>84823200</v>
      </c>
      <c r="T253" s="78">
        <f>INDEX('Population Data by Age'!$B$7:$H$10366,MATCH(CONCATENATE('Tabular Pop Data by Age'!$C253,'Tabular Pop Data by Age'!T$7),'Population Data by Age'!$B$7:$B$10366,0),MATCH('Tabular Pop Data by Age'!$C$6,'Population Data by Age'!$B$6:$H$6,0))</f>
        <v>78428900</v>
      </c>
      <c r="U253" s="78">
        <f>INDEX('Population Data by Age'!$B$7:$H$10366,MATCH(CONCATENATE('Tabular Pop Data by Age'!$C253,'Tabular Pop Data by Age'!U$7),'Population Data by Age'!$B$7:$B$10366,0),MATCH('Tabular Pop Data by Age'!$C$6,'Population Data by Age'!$B$6:$H$6,0))</f>
        <v>80747400</v>
      </c>
      <c r="V253" s="78">
        <f>INDEX('Population Data by Age'!$B$7:$H$10366,MATCH(CONCATENATE('Tabular Pop Data by Age'!$C253,'Tabular Pop Data by Age'!V$7),'Population Data by Age'!$B$7:$B$10366,0),MATCH('Tabular Pop Data by Age'!$C$6,'Population Data by Age'!$B$6:$H$6,0))</f>
        <v>89565200</v>
      </c>
      <c r="W253" s="78">
        <f>INDEX('Population Data by Age'!$B$7:$H$10366,MATCH(CONCATENATE('Tabular Pop Data by Age'!$C253,'Tabular Pop Data by Age'!W$7),'Population Data by Age'!$B$7:$B$10366,0),MATCH('Tabular Pop Data by Age'!$C$6,'Population Data by Age'!$B$6:$H$6,0))</f>
        <v>91881300</v>
      </c>
      <c r="X253" s="78">
        <f>INDEX('Population Data by Age'!$B$7:$H$10366,MATCH(CONCATENATE('Tabular Pop Data by Age'!$C253,'Tabular Pop Data by Age'!X$7),'Population Data by Age'!$B$7:$B$10366,0),MATCH('Tabular Pop Data by Age'!$C$6,'Population Data by Age'!$B$6:$H$6,0))</f>
        <v>89257100</v>
      </c>
      <c r="Y253" s="78">
        <f>INDEX('Population Data by Age'!$B$7:$H$10366,MATCH(CONCATENATE('Tabular Pop Data by Age'!$C253,'Tabular Pop Data by Age'!Y$7),'Population Data by Age'!$B$7:$B$10366,0),MATCH('Tabular Pop Data by Age'!$C$6,'Population Data by Age'!$B$6:$H$6,0))</f>
        <v>89838500</v>
      </c>
      <c r="Z253" s="78">
        <f>INDEX('Population Data by Age'!$B$7:$H$10366,MATCH(CONCATENATE('Tabular Pop Data by Age'!$C253,'Tabular Pop Data by Age'!Z$7),'Population Data by Age'!$B$7:$B$10366,0),MATCH('Tabular Pop Data by Age'!$C$6,'Population Data by Age'!$B$6:$H$6,0))</f>
        <v>73861300</v>
      </c>
      <c r="AA253" s="78">
        <f>INDEX('Population Data by Age'!$B$7:$H$10366,MATCH(CONCATENATE('Tabular Pop Data by Age'!$C253,'Tabular Pop Data by Age'!AA$7),'Population Data by Age'!$B$7:$B$10366,0),MATCH('Tabular Pop Data by Age'!$C$6,'Population Data by Age'!$B$6:$H$6,0))</f>
        <v>73977700</v>
      </c>
      <c r="AB253" s="78">
        <f>INDEX('Population Data by Age'!$B$7:$H$10366,MATCH(CONCATENATE('Tabular Pop Data by Age'!$C253,'Tabular Pop Data by Age'!AB$7),'Population Data by Age'!$B$7:$B$10366,0),MATCH('Tabular Pop Data by Age'!$C$6,'Population Data by Age'!$B$6:$H$6,0))</f>
        <v>60346300</v>
      </c>
      <c r="AC253" s="78">
        <f>INDEX('Population Data by Age'!$B$7:$H$10366,MATCH(CONCATENATE('Tabular Pop Data by Age'!$C253,'Tabular Pop Data by Age'!AC$7),'Population Data by Age'!$B$7:$B$10366,0),MATCH('Tabular Pop Data by Age'!$C$6,'Population Data by Age'!$B$6:$H$6,0))</f>
        <v>59194600</v>
      </c>
      <c r="AD253" s="78">
        <f>INDEX('Population Data by Age'!$B$7:$H$10366,MATCH(CONCATENATE('Tabular Pop Data by Age'!$C253,'Tabular Pop Data by Age'!AD$7),'Population Data by Age'!$B$7:$B$10366,0),MATCH('Tabular Pop Data by Age'!$C$6,'Population Data by Age'!$B$6:$H$6,0))</f>
        <v>54797300</v>
      </c>
      <c r="AE253" s="78">
        <f>INDEX('Population Data by Age'!$B$7:$H$10366,MATCH(CONCATENATE('Tabular Pop Data by Age'!$C253,'Tabular Pop Data by Age'!AE$7),'Population Data by Age'!$B$7:$B$10366,0),MATCH('Tabular Pop Data by Age'!$C$6,'Population Data by Age'!$B$6:$H$6,0))</f>
        <v>52028200</v>
      </c>
      <c r="AF253" s="78">
        <f>INDEX('Population Data by Age'!$B$7:$H$10366,MATCH(CONCATENATE('Tabular Pop Data by Age'!$C253,'Tabular Pop Data by Age'!AF$7),'Population Data by Age'!$B$7:$B$10366,0),MATCH('Tabular Pop Data by Age'!$C$6,'Population Data by Age'!$B$6:$H$6,0))</f>
        <v>37544500</v>
      </c>
      <c r="AG253" s="78">
        <f>INDEX('Population Data by Age'!$B$7:$H$10366,MATCH(CONCATENATE('Tabular Pop Data by Age'!$C253,'Tabular Pop Data by Age'!AG$7),'Population Data by Age'!$B$7:$B$10366,0),MATCH('Tabular Pop Data by Age'!$C$6,'Population Data by Age'!$B$6:$H$6,0))</f>
        <v>33089000</v>
      </c>
      <c r="AH253" s="78">
        <f>INDEX('Population Data by Age'!$B$7:$H$10366,MATCH(CONCATENATE('Tabular Pop Data by Age'!$C253,'Tabular Pop Data by Age'!AH$7),'Population Data by Age'!$B$7:$B$10366,0),MATCH('Tabular Pop Data by Age'!$C$6,'Population Data by Age'!$B$6:$H$6,0))</f>
        <v>24659400</v>
      </c>
      <c r="AI253" s="78">
        <f>INDEX('Population Data by Age'!$B$7:$H$10366,MATCH(CONCATENATE('Tabular Pop Data by Age'!$C253,'Tabular Pop Data by Age'!AI$7),'Population Data by Age'!$B$7:$B$10366,0),MATCH('Tabular Pop Data by Age'!$C$6,'Population Data by Age'!$B$6:$H$6,0))</f>
        <v>19976200</v>
      </c>
      <c r="AJ253" s="78">
        <f>INDEX('Population Data by Age'!$B$7:$H$10366,MATCH(CONCATENATE('Tabular Pop Data by Age'!$C253,'Tabular Pop Data by Age'!AJ$7),'Population Data by Age'!$B$7:$B$10366,0),MATCH('Tabular Pop Data by Age'!$C$6,'Population Data by Age'!$B$6:$H$6,0))</f>
        <v>31118700</v>
      </c>
      <c r="AK253" s="78">
        <f>INDEX('Population Data by Age'!$B$7:$H$10366,MATCH(CONCATENATE('Tabular Pop Data by Age'!$C253,'Tabular Pop Data by Age'!AK$7),'Population Data by Age'!$B$7:$B$10366,0),MATCH('Tabular Pop Data by Age'!$C$6,'Population Data by Age'!$B$6:$H$6,0))</f>
        <v>19174700</v>
      </c>
      <c r="AL253" s="78">
        <f>INDEX('Population Data by Age'!$B$7:$H$10366,MATCH(CONCATENATE('Tabular Pop Data by Age'!$C253,'Tabular Pop Data by Age'!AL$7),'Population Data by Age'!$B$7:$B$10366,0),MATCH('Tabular Pop Data by Age'!$C$6,'Population Data by Age'!$B$6:$H$6,0))</f>
        <v>1159958000</v>
      </c>
      <c r="AM253" s="78">
        <f>INDEX('Population Data by Age'!$B$7:$H$10366,MATCH(CONCATENATE('Tabular Pop Data by Age'!$C253,'Tabular Pop Data by Age'!AM$7),'Population Data by Age'!$B$7:$B$10366,0),MATCH('Tabular Pop Data by Age'!$C$6,'Population Data by Age'!$B$6:$H$6,0))</f>
        <v>1191134000</v>
      </c>
      <c r="AN253" s="78">
        <f>INDEX('Population Data by Age'!$B$7:$H$10366,MATCH(CONCATENATE('Tabular Pop Data by Age'!$C253,'Tabular Pop Data by Age'!AN$7),'Population Data by Age'!$B$7:$B$10366,0),MATCH('Tabular Pop Data by Age'!$C$6,'Population Data by Age'!$B$6:$H$6,0))</f>
        <v>2351307000</v>
      </c>
      <c r="AO253" s="78">
        <f>INDEX('Population Data by Age'!$B$7:$H$10366,MATCH(CONCATENATE('Tabular Pop Data by Age'!$C253,'Tabular Pop Data by Age'!AO$7),'Population Data by Age'!$B$7:$B$10366,0),MATCH('Tabular Pop Data by Age'!$C$6,'Population Data by Age'!$B$6:$H$6,0))</f>
        <v>0.47976992239581762</v>
      </c>
      <c r="AP253" s="79">
        <f t="shared" si="68"/>
        <v>151311000</v>
      </c>
      <c r="AQ253" s="79">
        <f t="shared" si="69"/>
        <v>155946300</v>
      </c>
      <c r="AR253" s="79">
        <f t="shared" si="70"/>
        <v>151596600</v>
      </c>
      <c r="AS253" s="79">
        <f t="shared" si="71"/>
        <v>150001200</v>
      </c>
      <c r="AT253" s="79">
        <f t="shared" si="72"/>
        <v>155977600</v>
      </c>
      <c r="AU253" s="79">
        <f t="shared" si="73"/>
        <v>166517300</v>
      </c>
      <c r="AV253" s="79">
        <f t="shared" si="74"/>
        <v>193439900</v>
      </c>
      <c r="AW253" s="79">
        <f t="shared" si="75"/>
        <v>166820000</v>
      </c>
      <c r="AX253" s="79">
        <f t="shared" si="76"/>
        <v>159176300</v>
      </c>
      <c r="AY253" s="79">
        <f t="shared" si="77"/>
        <v>181446500</v>
      </c>
      <c r="AZ253" s="79">
        <f t="shared" si="78"/>
        <v>179095600</v>
      </c>
      <c r="BA253" s="79">
        <f t="shared" si="79"/>
        <v>147839000</v>
      </c>
      <c r="BB253" s="79">
        <f t="shared" si="80"/>
        <v>119540900</v>
      </c>
      <c r="BC253" s="79">
        <f t="shared" si="81"/>
        <v>106825500</v>
      </c>
      <c r="BD253" s="79">
        <f t="shared" si="82"/>
        <v>70633500</v>
      </c>
      <c r="BE253" s="79">
        <f t="shared" si="83"/>
        <v>44635600</v>
      </c>
      <c r="BF253" s="79">
        <f t="shared" si="84"/>
        <v>50293400</v>
      </c>
    </row>
    <row r="254" spans="1:58" x14ac:dyDescent="0.25">
      <c r="A254" s="138" t="s">
        <v>1182</v>
      </c>
      <c r="B254" t="s">
        <v>479</v>
      </c>
      <c r="C254" t="s">
        <v>480</v>
      </c>
      <c r="D254" s="78">
        <f>INDEX('Population Data by Age'!$B$7:$H$10366,MATCH(CONCATENATE('Tabular Pop Data by Age'!$C254,'Tabular Pop Data by Age'!D$7),'Population Data by Age'!$B$7:$B$10366,0),MATCH('Tabular Pop Data by Age'!$C$6,'Population Data by Age'!$B$6:$H$6,0))</f>
        <v>67219300</v>
      </c>
      <c r="E254" s="78">
        <f>INDEX('Population Data by Age'!$B$7:$H$10366,MATCH(CONCATENATE('Tabular Pop Data by Age'!$C254,'Tabular Pop Data by Age'!E$7),'Population Data by Age'!$B$7:$B$10366,0),MATCH('Tabular Pop Data by Age'!$C$6,'Population Data by Age'!$B$6:$H$6,0))</f>
        <v>73692400</v>
      </c>
      <c r="F254" s="78">
        <f>INDEX('Population Data by Age'!$B$7:$H$10366,MATCH(CONCATENATE('Tabular Pop Data by Age'!$C254,'Tabular Pop Data by Age'!F$7),'Population Data by Age'!$B$7:$B$10366,0),MATCH('Tabular Pop Data by Age'!$C$6,'Population Data by Age'!$B$6:$H$6,0))</f>
        <v>68650500</v>
      </c>
      <c r="G254" s="78">
        <f>INDEX('Population Data by Age'!$B$7:$H$10366,MATCH(CONCATENATE('Tabular Pop Data by Age'!$C254,'Tabular Pop Data by Age'!G$7),'Population Data by Age'!$B$7:$B$10366,0),MATCH('Tabular Pop Data by Age'!$C$6,'Population Data by Age'!$B$6:$H$6,0))</f>
        <v>75994000</v>
      </c>
      <c r="H254" s="78">
        <f>INDEX('Population Data by Age'!$B$7:$H$10366,MATCH(CONCATENATE('Tabular Pop Data by Age'!$C254,'Tabular Pop Data by Age'!H$7),'Population Data by Age'!$B$7:$B$10366,0),MATCH('Tabular Pop Data by Age'!$C$6,'Population Data by Age'!$B$6:$H$6,0))</f>
        <v>66172100</v>
      </c>
      <c r="I254" s="78">
        <f>INDEX('Population Data by Age'!$B$7:$H$10366,MATCH(CONCATENATE('Tabular Pop Data by Age'!$C254,'Tabular Pop Data by Age'!I$7),'Population Data by Age'!$B$7:$B$10366,0),MATCH('Tabular Pop Data by Age'!$C$6,'Population Data by Age'!$B$6:$H$6,0))</f>
        <v>74035200</v>
      </c>
      <c r="J254" s="78">
        <f>INDEX('Population Data by Age'!$B$7:$H$10366,MATCH(CONCATENATE('Tabular Pop Data by Age'!$C254,'Tabular Pop Data by Age'!J$7),'Population Data by Age'!$B$7:$B$10366,0),MATCH('Tabular Pop Data by Age'!$C$6,'Population Data by Age'!$B$6:$H$6,0))</f>
        <v>65426400</v>
      </c>
      <c r="K254" s="78">
        <f>INDEX('Population Data by Age'!$B$7:$H$10366,MATCH(CONCATENATE('Tabular Pop Data by Age'!$C254,'Tabular Pop Data by Age'!K$7),'Population Data by Age'!$B$7:$B$10366,0),MATCH('Tabular Pop Data by Age'!$C$6,'Population Data by Age'!$B$6:$H$6,0))</f>
        <v>72715000</v>
      </c>
      <c r="L254" s="78">
        <f>INDEX('Population Data by Age'!$B$7:$H$10366,MATCH(CONCATENATE('Tabular Pop Data by Age'!$C254,'Tabular Pop Data by Age'!L$7),'Population Data by Age'!$B$7:$B$10366,0),MATCH('Tabular Pop Data by Age'!$C$6,'Population Data by Age'!$B$6:$H$6,0))</f>
        <v>67936500</v>
      </c>
      <c r="M254" s="78">
        <f>INDEX('Population Data by Age'!$B$7:$H$10366,MATCH(CONCATENATE('Tabular Pop Data by Age'!$C254,'Tabular Pop Data by Age'!M$7),'Population Data by Age'!$B$7:$B$10366,0),MATCH('Tabular Pop Data by Age'!$C$6,'Population Data by Age'!$B$6:$H$6,0))</f>
        <v>74497300</v>
      </c>
      <c r="N254" s="78">
        <f>INDEX('Population Data by Age'!$B$7:$H$10366,MATCH(CONCATENATE('Tabular Pop Data by Age'!$C254,'Tabular Pop Data by Age'!N$7),'Population Data by Age'!$B$7:$B$10366,0),MATCH('Tabular Pop Data by Age'!$C$6,'Population Data by Age'!$B$6:$H$6,0))</f>
        <v>73162500</v>
      </c>
      <c r="O254" s="78">
        <f>INDEX('Population Data by Age'!$B$7:$H$10366,MATCH(CONCATENATE('Tabular Pop Data by Age'!$C254,'Tabular Pop Data by Age'!O$7),'Population Data by Age'!$B$7:$B$10366,0),MATCH('Tabular Pop Data by Age'!$C$6,'Population Data by Age'!$B$6:$H$6,0))</f>
        <v>78881000</v>
      </c>
      <c r="P254" s="78">
        <f>INDEX('Population Data by Age'!$B$7:$H$10366,MATCH(CONCATENATE('Tabular Pop Data by Age'!$C254,'Tabular Pop Data by Age'!P$7),'Population Data by Age'!$B$7:$B$10366,0),MATCH('Tabular Pop Data by Age'!$C$6,'Population Data by Age'!$B$6:$H$6,0))</f>
        <v>87114300</v>
      </c>
      <c r="Q254" s="78">
        <f>INDEX('Population Data by Age'!$B$7:$H$10366,MATCH(CONCATENATE('Tabular Pop Data by Age'!$C254,'Tabular Pop Data by Age'!Q$7),'Population Data by Age'!$B$7:$B$10366,0),MATCH('Tabular Pop Data by Age'!$C$6,'Population Data by Age'!$B$6:$H$6,0))</f>
        <v>91297900</v>
      </c>
      <c r="R254" s="78">
        <f>INDEX('Population Data by Age'!$B$7:$H$10366,MATCH(CONCATENATE('Tabular Pop Data by Age'!$C254,'Tabular Pop Data by Age'!R$7),'Population Data by Age'!$B$7:$B$10366,0),MATCH('Tabular Pop Data by Age'!$C$6,'Population Data by Age'!$B$6:$H$6,0))</f>
        <v>73735800</v>
      </c>
      <c r="S254" s="78">
        <f>INDEX('Population Data by Age'!$B$7:$H$10366,MATCH(CONCATENATE('Tabular Pop Data by Age'!$C254,'Tabular Pop Data by Age'!S$7),'Population Data by Age'!$B$7:$B$10366,0),MATCH('Tabular Pop Data by Age'!$C$6,'Population Data by Age'!$B$6:$H$6,0))</f>
        <v>76356100</v>
      </c>
      <c r="T254" s="78">
        <f>INDEX('Population Data by Age'!$B$7:$H$10366,MATCH(CONCATENATE('Tabular Pop Data by Age'!$C254,'Tabular Pop Data by Age'!T$7),'Population Data by Age'!$B$7:$B$10366,0),MATCH('Tabular Pop Data by Age'!$C$6,'Population Data by Age'!$B$6:$H$6,0))</f>
        <v>69740800</v>
      </c>
      <c r="U254" s="78">
        <f>INDEX('Population Data by Age'!$B$7:$H$10366,MATCH(CONCATENATE('Tabular Pop Data by Age'!$C254,'Tabular Pop Data by Age'!U$7),'Population Data by Age'!$B$7:$B$10366,0),MATCH('Tabular Pop Data by Age'!$C$6,'Population Data by Age'!$B$6:$H$6,0))</f>
        <v>71943800</v>
      </c>
      <c r="V254" s="78">
        <f>INDEX('Population Data by Age'!$B$7:$H$10366,MATCH(CONCATENATE('Tabular Pop Data by Age'!$C254,'Tabular Pop Data by Age'!V$7),'Population Data by Age'!$B$7:$B$10366,0),MATCH('Tabular Pop Data by Age'!$C$6,'Population Data by Age'!$B$6:$H$6,0))</f>
        <v>80017100</v>
      </c>
      <c r="W254" s="78">
        <f>INDEX('Population Data by Age'!$B$7:$H$10366,MATCH(CONCATENATE('Tabular Pop Data by Age'!$C254,'Tabular Pop Data by Age'!W$7),'Population Data by Age'!$B$7:$B$10366,0),MATCH('Tabular Pop Data by Age'!$C$6,'Population Data by Age'!$B$6:$H$6,0))</f>
        <v>82205100</v>
      </c>
      <c r="X254" s="78">
        <f>INDEX('Population Data by Age'!$B$7:$H$10366,MATCH(CONCATENATE('Tabular Pop Data by Age'!$C254,'Tabular Pop Data by Age'!X$7),'Population Data by Age'!$B$7:$B$10366,0),MATCH('Tabular Pop Data by Age'!$C$6,'Population Data by Age'!$B$6:$H$6,0))</f>
        <v>80342700</v>
      </c>
      <c r="Y254" s="78">
        <f>INDEX('Population Data by Age'!$B$7:$H$10366,MATCH(CONCATENATE('Tabular Pop Data by Age'!$C254,'Tabular Pop Data by Age'!Y$7),'Population Data by Age'!$B$7:$B$10366,0),MATCH('Tabular Pop Data by Age'!$C$6,'Population Data by Age'!$B$6:$H$6,0))</f>
        <v>80945100</v>
      </c>
      <c r="Z254" s="78">
        <f>INDEX('Population Data by Age'!$B$7:$H$10366,MATCH(CONCATENATE('Tabular Pop Data by Age'!$C254,'Tabular Pop Data by Age'!Z$7),'Population Data by Age'!$B$7:$B$10366,0),MATCH('Tabular Pop Data by Age'!$C$6,'Population Data by Age'!$B$6:$H$6,0))</f>
        <v>65338600</v>
      </c>
      <c r="AA254" s="78">
        <f>INDEX('Population Data by Age'!$B$7:$H$10366,MATCH(CONCATENATE('Tabular Pop Data by Age'!$C254,'Tabular Pop Data by Age'!AA$7),'Population Data by Age'!$B$7:$B$10366,0),MATCH('Tabular Pop Data by Age'!$C$6,'Population Data by Age'!$B$6:$H$6,0))</f>
        <v>65495800</v>
      </c>
      <c r="AB254" s="78">
        <f>INDEX('Population Data by Age'!$B$7:$H$10366,MATCH(CONCATENATE('Tabular Pop Data by Age'!$C254,'Tabular Pop Data by Age'!AB$7),'Population Data by Age'!$B$7:$B$10366,0),MATCH('Tabular Pop Data by Age'!$C$6,'Population Data by Age'!$B$6:$H$6,0))</f>
        <v>52381200</v>
      </c>
      <c r="AC254" s="78">
        <f>INDEX('Population Data by Age'!$B$7:$H$10366,MATCH(CONCATENATE('Tabular Pop Data by Age'!$C254,'Tabular Pop Data by Age'!AC$7),'Population Data by Age'!$B$7:$B$10366,0),MATCH('Tabular Pop Data by Age'!$C$6,'Population Data by Age'!$B$6:$H$6,0))</f>
        <v>51376000</v>
      </c>
      <c r="AD254" s="78">
        <f>INDEX('Population Data by Age'!$B$7:$H$10366,MATCH(CONCATENATE('Tabular Pop Data by Age'!$C254,'Tabular Pop Data by Age'!AD$7),'Population Data by Age'!$B$7:$B$10366,0),MATCH('Tabular Pop Data by Age'!$C$6,'Population Data by Age'!$B$6:$H$6,0))</f>
        <v>47189000</v>
      </c>
      <c r="AE254" s="78">
        <f>INDEX('Population Data by Age'!$B$7:$H$10366,MATCH(CONCATENATE('Tabular Pop Data by Age'!$C254,'Tabular Pop Data by Age'!AE$7),'Population Data by Age'!$B$7:$B$10366,0),MATCH('Tabular Pop Data by Age'!$C$6,'Population Data by Age'!$B$6:$H$6,0))</f>
        <v>44819300</v>
      </c>
      <c r="AF254" s="78">
        <f>INDEX('Population Data by Age'!$B$7:$H$10366,MATCH(CONCATENATE('Tabular Pop Data by Age'!$C254,'Tabular Pop Data by Age'!AF$7),'Population Data by Age'!$B$7:$B$10366,0),MATCH('Tabular Pop Data by Age'!$C$6,'Population Data by Age'!$B$6:$H$6,0))</f>
        <v>30241500</v>
      </c>
      <c r="AG254" s="78">
        <f>INDEX('Population Data by Age'!$B$7:$H$10366,MATCH(CONCATENATE('Tabular Pop Data by Age'!$C254,'Tabular Pop Data by Age'!AG$7),'Population Data by Age'!$B$7:$B$10366,0),MATCH('Tabular Pop Data by Age'!$C$6,'Population Data by Age'!$B$6:$H$6,0))</f>
        <v>26512600</v>
      </c>
      <c r="AH254" s="78">
        <f>INDEX('Population Data by Age'!$B$7:$H$10366,MATCH(CONCATENATE('Tabular Pop Data by Age'!$C254,'Tabular Pop Data by Age'!AH$7),'Population Data by Age'!$B$7:$B$10366,0),MATCH('Tabular Pop Data by Age'!$C$6,'Population Data by Age'!$B$6:$H$6,0))</f>
        <v>18909000</v>
      </c>
      <c r="AI254" s="78">
        <f>INDEX('Population Data by Age'!$B$7:$H$10366,MATCH(CONCATENATE('Tabular Pop Data by Age'!$C254,'Tabular Pop Data by Age'!AI$7),'Population Data by Age'!$B$7:$B$10366,0),MATCH('Tabular Pop Data by Age'!$C$6,'Population Data by Age'!$B$6:$H$6,0))</f>
        <v>15324800</v>
      </c>
      <c r="AJ254" s="78">
        <f>INDEX('Population Data by Age'!$B$7:$H$10366,MATCH(CONCATENATE('Tabular Pop Data by Age'!$C254,'Tabular Pop Data by Age'!AJ$7),'Population Data by Age'!$B$7:$B$10366,0),MATCH('Tabular Pop Data by Age'!$C$6,'Population Data by Age'!$B$6:$H$6,0))</f>
        <v>21116600</v>
      </c>
      <c r="AK254" s="78">
        <f>INDEX('Population Data by Age'!$B$7:$H$10366,MATCH(CONCATENATE('Tabular Pop Data by Age'!$C254,'Tabular Pop Data by Age'!AK$7),'Population Data by Age'!$B$7:$B$10366,0),MATCH('Tabular Pop Data by Age'!$C$6,'Population Data by Age'!$B$6:$H$6,0))</f>
        <v>13359300</v>
      </c>
      <c r="AL254" s="78">
        <f>INDEX('Population Data by Age'!$B$7:$H$10366,MATCH(CONCATENATE('Tabular Pop Data by Age'!$C254,'Tabular Pop Data by Age'!AL$7),'Population Data by Age'!$B$7:$B$10366,0),MATCH('Tabular Pop Data by Age'!$C$6,'Population Data by Age'!$B$6:$H$6,0))</f>
        <v>1034694000</v>
      </c>
      <c r="AM254" s="78">
        <f>INDEX('Population Data by Age'!$B$7:$H$10366,MATCH(CONCATENATE('Tabular Pop Data by Age'!$C254,'Tabular Pop Data by Age'!AM$7),'Population Data by Age'!$B$7:$B$10366,0),MATCH('Tabular Pop Data by Age'!$C$6,'Population Data by Age'!$B$6:$H$6,0))</f>
        <v>1069450000</v>
      </c>
      <c r="AN254" s="78">
        <f>INDEX('Population Data by Age'!$B$7:$H$10366,MATCH(CONCATENATE('Tabular Pop Data by Age'!$C254,'Tabular Pop Data by Age'!AN$7),'Population Data by Age'!$B$7:$B$10366,0),MATCH('Tabular Pop Data by Age'!$C$6,'Population Data by Age'!$B$6:$H$6,0))</f>
        <v>2104283000</v>
      </c>
      <c r="AO254" s="78">
        <f>INDEX('Population Data by Age'!$B$7:$H$10366,MATCH(CONCATENATE('Tabular Pop Data by Age'!$C254,'Tabular Pop Data by Age'!AO$7),'Population Data by Age'!$B$7:$B$10366,0),MATCH('Tabular Pop Data by Age'!$C$6,'Population Data by Age'!$B$6:$H$6,0))</f>
        <v>0.52616266710107595</v>
      </c>
      <c r="AP254" s="79">
        <f t="shared" si="68"/>
        <v>140911700</v>
      </c>
      <c r="AQ254" s="79">
        <f t="shared" si="69"/>
        <v>144644500</v>
      </c>
      <c r="AR254" s="79">
        <f t="shared" si="70"/>
        <v>140207300</v>
      </c>
      <c r="AS254" s="79">
        <f t="shared" si="71"/>
        <v>138141400</v>
      </c>
      <c r="AT254" s="79">
        <f t="shared" si="72"/>
        <v>142433800</v>
      </c>
      <c r="AU254" s="79">
        <f t="shared" si="73"/>
        <v>152043500</v>
      </c>
      <c r="AV254" s="79">
        <f t="shared" si="74"/>
        <v>178412200</v>
      </c>
      <c r="AW254" s="79">
        <f t="shared" si="75"/>
        <v>150091900</v>
      </c>
      <c r="AX254" s="79">
        <f t="shared" si="76"/>
        <v>141684600</v>
      </c>
      <c r="AY254" s="79">
        <f t="shared" si="77"/>
        <v>162222200</v>
      </c>
      <c r="AZ254" s="79">
        <f t="shared" si="78"/>
        <v>161287800</v>
      </c>
      <c r="BA254" s="79">
        <f t="shared" si="79"/>
        <v>130834400</v>
      </c>
      <c r="BB254" s="79">
        <f t="shared" si="80"/>
        <v>103757200</v>
      </c>
      <c r="BC254" s="79">
        <f t="shared" si="81"/>
        <v>92008300</v>
      </c>
      <c r="BD254" s="79">
        <f t="shared" si="82"/>
        <v>56754100</v>
      </c>
      <c r="BE254" s="79">
        <f t="shared" si="83"/>
        <v>34233800</v>
      </c>
      <c r="BF254" s="79">
        <f t="shared" si="84"/>
        <v>34475900</v>
      </c>
    </row>
    <row r="255" spans="1:58" x14ac:dyDescent="0.25">
      <c r="A255" s="138" t="s">
        <v>1182</v>
      </c>
      <c r="B255" t="s">
        <v>481</v>
      </c>
      <c r="C255" t="s">
        <v>482</v>
      </c>
      <c r="D255" s="78">
        <f>INDEX('Population Data by Age'!$B$7:$H$10366,MATCH(CONCATENATE('Tabular Pop Data by Age'!$C255,'Tabular Pop Data by Age'!D$7),'Population Data by Age'!$B$7:$B$10366,0),MATCH('Tabular Pop Data by Age'!$C$6,'Population Data by Age'!$B$6:$H$6,0))</f>
        <v>66367300</v>
      </c>
      <c r="E255" s="78">
        <f>INDEX('Population Data by Age'!$B$7:$H$10366,MATCH(CONCATENATE('Tabular Pop Data by Age'!$C255,'Tabular Pop Data by Age'!E$7),'Population Data by Age'!$B$7:$B$10366,0),MATCH('Tabular Pop Data by Age'!$C$6,'Population Data by Age'!$B$6:$H$6,0))</f>
        <v>72798400</v>
      </c>
      <c r="F255" s="78">
        <f>INDEX('Population Data by Age'!$B$7:$H$10366,MATCH(CONCATENATE('Tabular Pop Data by Age'!$C255,'Tabular Pop Data by Age'!F$7),'Population Data by Age'!$B$7:$B$10366,0),MATCH('Tabular Pop Data by Age'!$C$6,'Population Data by Age'!$B$6:$H$6,0))</f>
        <v>67827500</v>
      </c>
      <c r="G255" s="78">
        <f>INDEX('Population Data by Age'!$B$7:$H$10366,MATCH(CONCATENATE('Tabular Pop Data by Age'!$C255,'Tabular Pop Data by Age'!G$7),'Population Data by Age'!$B$7:$B$10366,0),MATCH('Tabular Pop Data by Age'!$C$6,'Population Data by Age'!$B$6:$H$6,0))</f>
        <v>75132000</v>
      </c>
      <c r="H255" s="78">
        <f>INDEX('Population Data by Age'!$B$7:$H$10366,MATCH(CONCATENATE('Tabular Pop Data by Age'!$C255,'Tabular Pop Data by Age'!H$7),'Population Data by Age'!$B$7:$B$10366,0),MATCH('Tabular Pop Data by Age'!$C$6,'Population Data by Age'!$B$6:$H$6,0))</f>
        <v>65348100</v>
      </c>
      <c r="I255" s="78">
        <f>INDEX('Population Data by Age'!$B$7:$H$10366,MATCH(CONCATENATE('Tabular Pop Data by Age'!$C255,'Tabular Pop Data by Age'!I$7),'Population Data by Age'!$B$7:$B$10366,0),MATCH('Tabular Pop Data by Age'!$C$6,'Population Data by Age'!$B$6:$H$6,0))</f>
        <v>73174200</v>
      </c>
      <c r="J255" s="78">
        <f>INDEX('Population Data by Age'!$B$7:$H$10366,MATCH(CONCATENATE('Tabular Pop Data by Age'!$C255,'Tabular Pop Data by Age'!J$7),'Population Data by Age'!$B$7:$B$10366,0),MATCH('Tabular Pop Data by Age'!$C$6,'Population Data by Age'!$B$6:$H$6,0))</f>
        <v>64507400</v>
      </c>
      <c r="K255" s="78">
        <f>INDEX('Population Data by Age'!$B$7:$H$10366,MATCH(CONCATENATE('Tabular Pop Data by Age'!$C255,'Tabular Pop Data by Age'!K$7),'Population Data by Age'!$B$7:$B$10366,0),MATCH('Tabular Pop Data by Age'!$C$6,'Population Data by Age'!$B$6:$H$6,0))</f>
        <v>71758000</v>
      </c>
      <c r="L255" s="78">
        <f>INDEX('Population Data by Age'!$B$7:$H$10366,MATCH(CONCATENATE('Tabular Pop Data by Age'!$C255,'Tabular Pop Data by Age'!L$7),'Population Data by Age'!$B$7:$B$10366,0),MATCH('Tabular Pop Data by Age'!$C$6,'Population Data by Age'!$B$6:$H$6,0))</f>
        <v>66988500</v>
      </c>
      <c r="M255" s="78">
        <f>INDEX('Population Data by Age'!$B$7:$H$10366,MATCH(CONCATENATE('Tabular Pop Data by Age'!$C255,'Tabular Pop Data by Age'!M$7),'Population Data by Age'!$B$7:$B$10366,0),MATCH('Tabular Pop Data by Age'!$C$6,'Population Data by Age'!$B$6:$H$6,0))</f>
        <v>73504300</v>
      </c>
      <c r="N255" s="78">
        <f>INDEX('Population Data by Age'!$B$7:$H$10366,MATCH(CONCATENATE('Tabular Pop Data by Age'!$C255,'Tabular Pop Data by Age'!N$7),'Population Data by Age'!$B$7:$B$10366,0),MATCH('Tabular Pop Data by Age'!$C$6,'Population Data by Age'!$B$6:$H$6,0))</f>
        <v>72188500</v>
      </c>
      <c r="O255" s="78">
        <f>INDEX('Population Data by Age'!$B$7:$H$10366,MATCH(CONCATENATE('Tabular Pop Data by Age'!$C255,'Tabular Pop Data by Age'!O$7),'Population Data by Age'!$B$7:$B$10366,0),MATCH('Tabular Pop Data by Age'!$C$6,'Population Data by Age'!$B$6:$H$6,0))</f>
        <v>77871000</v>
      </c>
      <c r="P255" s="78">
        <f>INDEX('Population Data by Age'!$B$7:$H$10366,MATCH(CONCATENATE('Tabular Pop Data by Age'!$C255,'Tabular Pop Data by Age'!P$7),'Population Data by Age'!$B$7:$B$10366,0),MATCH('Tabular Pop Data by Age'!$C$6,'Population Data by Age'!$B$6:$H$6,0))</f>
        <v>86203300</v>
      </c>
      <c r="Q255" s="78">
        <f>INDEX('Population Data by Age'!$B$7:$H$10366,MATCH(CONCATENATE('Tabular Pop Data by Age'!$C255,'Tabular Pop Data by Age'!Q$7),'Population Data by Age'!$B$7:$B$10366,0),MATCH('Tabular Pop Data by Age'!$C$6,'Population Data by Age'!$B$6:$H$6,0))</f>
        <v>90357900</v>
      </c>
      <c r="R255" s="78">
        <f>INDEX('Population Data by Age'!$B$7:$H$10366,MATCH(CONCATENATE('Tabular Pop Data by Age'!$C255,'Tabular Pop Data by Age'!R$7),'Population Data by Age'!$B$7:$B$10366,0),MATCH('Tabular Pop Data by Age'!$C$6,'Population Data by Age'!$B$6:$H$6,0))</f>
        <v>72851800</v>
      </c>
      <c r="S255" s="78">
        <f>INDEX('Population Data by Age'!$B$7:$H$10366,MATCH(CONCATENATE('Tabular Pop Data by Age'!$C255,'Tabular Pop Data by Age'!S$7),'Population Data by Age'!$B$7:$B$10366,0),MATCH('Tabular Pop Data by Age'!$C$6,'Population Data by Age'!$B$6:$H$6,0))</f>
        <v>75449100</v>
      </c>
      <c r="T255" s="78">
        <f>INDEX('Population Data by Age'!$B$7:$H$10366,MATCH(CONCATENATE('Tabular Pop Data by Age'!$C255,'Tabular Pop Data by Age'!T$7),'Population Data by Age'!$B$7:$B$10366,0),MATCH('Tabular Pop Data by Age'!$C$6,'Population Data by Age'!$B$6:$H$6,0))</f>
        <v>68968800</v>
      </c>
      <c r="U255" s="78">
        <f>INDEX('Population Data by Age'!$B$7:$H$10366,MATCH(CONCATENATE('Tabular Pop Data by Age'!$C255,'Tabular Pop Data by Age'!U$7),'Population Data by Age'!$B$7:$B$10366,0),MATCH('Tabular Pop Data by Age'!$C$6,'Population Data by Age'!$B$6:$H$6,0))</f>
        <v>71158800</v>
      </c>
      <c r="V255" s="78">
        <f>INDEX('Population Data by Age'!$B$7:$H$10366,MATCH(CONCATENATE('Tabular Pop Data by Age'!$C255,'Tabular Pop Data by Age'!V$7),'Population Data by Age'!$B$7:$B$10366,0),MATCH('Tabular Pop Data by Age'!$C$6,'Population Data by Age'!$B$6:$H$6,0))</f>
        <v>78940100</v>
      </c>
      <c r="W255" s="78">
        <f>INDEX('Population Data by Age'!$B$7:$H$10366,MATCH(CONCATENATE('Tabular Pop Data by Age'!$C255,'Tabular Pop Data by Age'!W$7),'Population Data by Age'!$B$7:$B$10366,0),MATCH('Tabular Pop Data by Age'!$C$6,'Population Data by Age'!$B$6:$H$6,0))</f>
        <v>81124100</v>
      </c>
      <c r="X255" s="78">
        <f>INDEX('Population Data by Age'!$B$7:$H$10366,MATCH(CONCATENATE('Tabular Pop Data by Age'!$C255,'Tabular Pop Data by Age'!X$7),'Population Data by Age'!$B$7:$B$10366,0),MATCH('Tabular Pop Data by Age'!$C$6,'Population Data by Age'!$B$6:$H$6,0))</f>
        <v>79264700</v>
      </c>
      <c r="Y255" s="78">
        <f>INDEX('Population Data by Age'!$B$7:$H$10366,MATCH(CONCATENATE('Tabular Pop Data by Age'!$C255,'Tabular Pop Data by Age'!Y$7),'Population Data by Age'!$B$7:$B$10366,0),MATCH('Tabular Pop Data by Age'!$C$6,'Population Data by Age'!$B$6:$H$6,0))</f>
        <v>79883100</v>
      </c>
      <c r="Z255" s="78">
        <f>INDEX('Population Data by Age'!$B$7:$H$10366,MATCH(CONCATENATE('Tabular Pop Data by Age'!$C255,'Tabular Pop Data by Age'!Z$7),'Population Data by Age'!$B$7:$B$10366,0),MATCH('Tabular Pop Data by Age'!$C$6,'Population Data by Age'!$B$6:$H$6,0))</f>
        <v>64578600</v>
      </c>
      <c r="AA255" s="78">
        <f>INDEX('Population Data by Age'!$B$7:$H$10366,MATCH(CONCATENATE('Tabular Pop Data by Age'!$C255,'Tabular Pop Data by Age'!AA$7),'Population Data by Age'!$B$7:$B$10366,0),MATCH('Tabular Pop Data by Age'!$C$6,'Population Data by Age'!$B$6:$H$6,0))</f>
        <v>64773800</v>
      </c>
      <c r="AB255" s="78">
        <f>INDEX('Population Data by Age'!$B$7:$H$10366,MATCH(CONCATENATE('Tabular Pop Data by Age'!$C255,'Tabular Pop Data by Age'!AB$7),'Population Data by Age'!$B$7:$B$10366,0),MATCH('Tabular Pop Data by Age'!$C$6,'Population Data by Age'!$B$6:$H$6,0))</f>
        <v>51603200</v>
      </c>
      <c r="AC255" s="78">
        <f>INDEX('Population Data by Age'!$B$7:$H$10366,MATCH(CONCATENATE('Tabular Pop Data by Age'!$C255,'Tabular Pop Data by Age'!AC$7),'Population Data by Age'!$B$7:$B$10366,0),MATCH('Tabular Pop Data by Age'!$C$6,'Population Data by Age'!$B$6:$H$6,0))</f>
        <v>50681000</v>
      </c>
      <c r="AD255" s="78">
        <f>INDEX('Population Data by Age'!$B$7:$H$10366,MATCH(CONCATENATE('Tabular Pop Data by Age'!$C255,'Tabular Pop Data by Age'!AD$7),'Population Data by Age'!$B$7:$B$10366,0),MATCH('Tabular Pop Data by Age'!$C$6,'Population Data by Age'!$B$6:$H$6,0))</f>
        <v>46811000</v>
      </c>
      <c r="AE255" s="78">
        <f>INDEX('Population Data by Age'!$B$7:$H$10366,MATCH(CONCATENATE('Tabular Pop Data by Age'!$C255,'Tabular Pop Data by Age'!AE$7),'Population Data by Age'!$B$7:$B$10366,0),MATCH('Tabular Pop Data by Age'!$C$6,'Population Data by Age'!$B$6:$H$6,0))</f>
        <v>44535300</v>
      </c>
      <c r="AF255" s="78">
        <f>INDEX('Population Data by Age'!$B$7:$H$10366,MATCH(CONCATENATE('Tabular Pop Data by Age'!$C255,'Tabular Pop Data by Age'!AF$7),'Population Data by Age'!$B$7:$B$10366,0),MATCH('Tabular Pop Data by Age'!$C$6,'Population Data by Age'!$B$6:$H$6,0))</f>
        <v>29780500</v>
      </c>
      <c r="AG255" s="78">
        <f>INDEX('Population Data by Age'!$B$7:$H$10366,MATCH(CONCATENATE('Tabular Pop Data by Age'!$C255,'Tabular Pop Data by Age'!AG$7),'Population Data by Age'!$B$7:$B$10366,0),MATCH('Tabular Pop Data by Age'!$C$6,'Population Data by Age'!$B$6:$H$6,0))</f>
        <v>26227600</v>
      </c>
      <c r="AH255" s="78">
        <f>INDEX('Population Data by Age'!$B$7:$H$10366,MATCH(CONCATENATE('Tabular Pop Data by Age'!$C255,'Tabular Pop Data by Age'!AH$7),'Population Data by Age'!$B$7:$B$10366,0),MATCH('Tabular Pop Data by Age'!$C$6,'Population Data by Age'!$B$6:$H$6,0))</f>
        <v>18529000</v>
      </c>
      <c r="AI255" s="78">
        <f>INDEX('Population Data by Age'!$B$7:$H$10366,MATCH(CONCATENATE('Tabular Pop Data by Age'!$C255,'Tabular Pop Data by Age'!AI$7),'Population Data by Age'!$B$7:$B$10366,0),MATCH('Tabular Pop Data by Age'!$C$6,'Population Data by Age'!$B$6:$H$6,0))</f>
        <v>15145800</v>
      </c>
      <c r="AJ255" s="78">
        <f>INDEX('Population Data by Age'!$B$7:$H$10366,MATCH(CONCATENATE('Tabular Pop Data by Age'!$C255,'Tabular Pop Data by Age'!AJ$7),'Population Data by Age'!$B$7:$B$10366,0),MATCH('Tabular Pop Data by Age'!$C$6,'Population Data by Age'!$B$6:$H$6,0))</f>
        <v>20764600</v>
      </c>
      <c r="AK255" s="78">
        <f>INDEX('Population Data by Age'!$B$7:$H$10366,MATCH(CONCATENATE('Tabular Pop Data by Age'!$C255,'Tabular Pop Data by Age'!AK$7),'Population Data by Age'!$B$7:$B$10366,0),MATCH('Tabular Pop Data by Age'!$C$6,'Population Data by Age'!$B$6:$H$6,0))</f>
        <v>13267300</v>
      </c>
      <c r="AL255" s="78">
        <f>INDEX('Population Data by Age'!$B$7:$H$10366,MATCH(CONCATENATE('Tabular Pop Data by Age'!$C255,'Tabular Pop Data by Age'!AL$7),'Population Data by Age'!$B$7:$B$10366,0),MATCH('Tabular Pop Data by Age'!$C$6,'Population Data by Age'!$B$6:$H$6,0))</f>
        <v>1021524000</v>
      </c>
      <c r="AM255" s="78">
        <f>INDEX('Population Data by Age'!$B$7:$H$10366,MATCH(CONCATENATE('Tabular Pop Data by Age'!$C255,'Tabular Pop Data by Age'!AM$7),'Population Data by Age'!$B$7:$B$10366,0),MATCH('Tabular Pop Data by Age'!$C$6,'Population Data by Age'!$B$6:$H$6,0))</f>
        <v>1056842000</v>
      </c>
      <c r="AN255" s="78">
        <f>INDEX('Population Data by Age'!$B$7:$H$10366,MATCH(CONCATENATE('Tabular Pop Data by Age'!$C255,'Tabular Pop Data by Age'!AN$7),'Population Data by Age'!$B$7:$B$10366,0),MATCH('Tabular Pop Data by Age'!$C$6,'Population Data by Age'!$B$6:$H$6,0))</f>
        <v>2078467000</v>
      </c>
      <c r="AO255" s="78">
        <f>INDEX('Population Data by Age'!$B$7:$H$10366,MATCH(CONCATENATE('Tabular Pop Data by Age'!$C255,'Tabular Pop Data by Age'!AO$7),'Population Data by Age'!$B$7:$B$10366,0),MATCH('Tabular Pop Data by Age'!$C$6,'Population Data by Age'!$B$6:$H$6,0))</f>
        <v>0.52723830823295259</v>
      </c>
      <c r="AP255" s="79">
        <f t="shared" si="68"/>
        <v>139165700</v>
      </c>
      <c r="AQ255" s="79">
        <f t="shared" si="69"/>
        <v>142959500</v>
      </c>
      <c r="AR255" s="79">
        <f t="shared" si="70"/>
        <v>138522300</v>
      </c>
      <c r="AS255" s="79">
        <f t="shared" si="71"/>
        <v>136265400</v>
      </c>
      <c r="AT255" s="79">
        <f t="shared" si="72"/>
        <v>140492800</v>
      </c>
      <c r="AU255" s="79">
        <f t="shared" si="73"/>
        <v>150059500</v>
      </c>
      <c r="AV255" s="79">
        <f t="shared" si="74"/>
        <v>176561200</v>
      </c>
      <c r="AW255" s="79">
        <f t="shared" si="75"/>
        <v>148300900</v>
      </c>
      <c r="AX255" s="79">
        <f t="shared" si="76"/>
        <v>140127600</v>
      </c>
      <c r="AY255" s="79">
        <f t="shared" si="77"/>
        <v>160064200</v>
      </c>
      <c r="AZ255" s="79">
        <f t="shared" si="78"/>
        <v>159147800</v>
      </c>
      <c r="BA255" s="79">
        <f t="shared" si="79"/>
        <v>129352400</v>
      </c>
      <c r="BB255" s="79">
        <f t="shared" si="80"/>
        <v>102284200</v>
      </c>
      <c r="BC255" s="79">
        <f t="shared" si="81"/>
        <v>91346300</v>
      </c>
      <c r="BD255" s="79">
        <f t="shared" si="82"/>
        <v>56008100</v>
      </c>
      <c r="BE255" s="79">
        <f t="shared" si="83"/>
        <v>33674800</v>
      </c>
      <c r="BF255" s="79">
        <f t="shared" si="84"/>
        <v>34031900</v>
      </c>
    </row>
    <row r="256" spans="1:58" x14ac:dyDescent="0.25">
      <c r="A256" s="138" t="s">
        <v>1182</v>
      </c>
      <c r="B256" t="s">
        <v>487</v>
      </c>
      <c r="C256" t="s">
        <v>488</v>
      </c>
      <c r="D256" s="78">
        <f>INDEX('Population Data by Age'!$B$7:$H$10366,MATCH(CONCATENATE('Tabular Pop Data by Age'!$C256,'Tabular Pop Data by Age'!D$7),'Population Data by Age'!$B$7:$B$10366,0),MATCH('Tabular Pop Data by Age'!$C$6,'Population Data by Age'!$B$6:$H$6,0))</f>
        <v>7893000</v>
      </c>
      <c r="E256" s="78">
        <f>INDEX('Population Data by Age'!$B$7:$H$10366,MATCH(CONCATENATE('Tabular Pop Data by Age'!$C256,'Tabular Pop Data by Age'!E$7),'Population Data by Age'!$B$7:$B$10366,0),MATCH('Tabular Pop Data by Age'!$C$6,'Population Data by Age'!$B$6:$H$6,0))</f>
        <v>8330000</v>
      </c>
      <c r="F256" s="78">
        <f>INDEX('Population Data by Age'!$B$7:$H$10366,MATCH(CONCATENATE('Tabular Pop Data by Age'!$C256,'Tabular Pop Data by Age'!F$7),'Population Data by Age'!$B$7:$B$10366,0),MATCH('Tabular Pop Data by Age'!$C$6,'Population Data by Age'!$B$6:$H$6,0))</f>
        <v>8324000</v>
      </c>
      <c r="G256" s="78">
        <f>INDEX('Population Data by Age'!$B$7:$H$10366,MATCH(CONCATENATE('Tabular Pop Data by Age'!$C256,'Tabular Pop Data by Age'!G$7),'Population Data by Age'!$B$7:$B$10366,0),MATCH('Tabular Pop Data by Age'!$C$6,'Population Data by Age'!$B$6:$H$6,0))</f>
        <v>8805000</v>
      </c>
      <c r="H256" s="78">
        <f>INDEX('Population Data by Age'!$B$7:$H$10366,MATCH(CONCATENATE('Tabular Pop Data by Age'!$C256,'Tabular Pop Data by Age'!H$7),'Population Data by Age'!$B$7:$B$10366,0),MATCH('Tabular Pop Data by Age'!$C$6,'Population Data by Age'!$B$6:$H$6,0))</f>
        <v>8628000</v>
      </c>
      <c r="I256" s="78">
        <f>INDEX('Population Data by Age'!$B$7:$H$10366,MATCH(CONCATENATE('Tabular Pop Data by Age'!$C256,'Tabular Pop Data by Age'!I$7),'Population Data by Age'!$B$7:$B$10366,0),MATCH('Tabular Pop Data by Age'!$C$6,'Population Data by Age'!$B$6:$H$6,0))</f>
        <v>9159000</v>
      </c>
      <c r="J256" s="78">
        <f>INDEX('Population Data by Age'!$B$7:$H$10366,MATCH(CONCATENATE('Tabular Pop Data by Age'!$C256,'Tabular Pop Data by Age'!J$7),'Population Data by Age'!$B$7:$B$10366,0),MATCH('Tabular Pop Data by Age'!$C$6,'Population Data by Age'!$B$6:$H$6,0))</f>
        <v>8593000</v>
      </c>
      <c r="K256" s="78">
        <f>INDEX('Population Data by Age'!$B$7:$H$10366,MATCH(CONCATENATE('Tabular Pop Data by Age'!$C256,'Tabular Pop Data by Age'!K$7),'Population Data by Age'!$B$7:$B$10366,0),MATCH('Tabular Pop Data by Age'!$C$6,'Population Data by Age'!$B$6:$H$6,0))</f>
        <v>9133000</v>
      </c>
      <c r="L256" s="78">
        <f>INDEX('Population Data by Age'!$B$7:$H$10366,MATCH(CONCATENATE('Tabular Pop Data by Age'!$C256,'Tabular Pop Data by Age'!L$7),'Population Data by Age'!$B$7:$B$10366,0),MATCH('Tabular Pop Data by Age'!$C$6,'Population Data by Age'!$B$6:$H$6,0))</f>
        <v>8829000</v>
      </c>
      <c r="M256" s="78">
        <f>INDEX('Population Data by Age'!$B$7:$H$10366,MATCH(CONCATENATE('Tabular Pop Data by Age'!$C256,'Tabular Pop Data by Age'!M$7),'Population Data by Age'!$B$7:$B$10366,0),MATCH('Tabular Pop Data by Age'!$C$6,'Population Data by Age'!$B$6:$H$6,0))</f>
        <v>9355000</v>
      </c>
      <c r="N256" s="78">
        <f>INDEX('Population Data by Age'!$B$7:$H$10366,MATCH(CONCATENATE('Tabular Pop Data by Age'!$C256,'Tabular Pop Data by Age'!N$7),'Population Data by Age'!$B$7:$B$10366,0),MATCH('Tabular Pop Data by Age'!$C$6,'Population Data by Age'!$B$6:$H$6,0))</f>
        <v>9394000</v>
      </c>
      <c r="O256" s="78">
        <f>INDEX('Population Data by Age'!$B$7:$H$10366,MATCH(CONCATENATE('Tabular Pop Data by Age'!$C256,'Tabular Pop Data by Age'!O$7),'Population Data by Age'!$B$7:$B$10366,0),MATCH('Tabular Pop Data by Age'!$C$6,'Population Data by Age'!$B$6:$H$6,0))</f>
        <v>9840000</v>
      </c>
      <c r="P256" s="78">
        <f>INDEX('Population Data by Age'!$B$7:$H$10366,MATCH(CONCATENATE('Tabular Pop Data by Age'!$C256,'Tabular Pop Data by Age'!P$7),'Population Data by Age'!$B$7:$B$10366,0),MATCH('Tabular Pop Data by Age'!$C$6,'Population Data by Age'!$B$6:$H$6,0))</f>
        <v>10292000</v>
      </c>
      <c r="Q256" s="78">
        <f>INDEX('Population Data by Age'!$B$7:$H$10366,MATCH(CONCATENATE('Tabular Pop Data by Age'!$C256,'Tabular Pop Data by Age'!Q$7),'Population Data by Age'!$B$7:$B$10366,0),MATCH('Tabular Pop Data by Age'!$C$6,'Population Data by Age'!$B$6:$H$6,0))</f>
        <v>10551000</v>
      </c>
      <c r="R256" s="78">
        <f>INDEX('Population Data by Age'!$B$7:$H$10366,MATCH(CONCATENATE('Tabular Pop Data by Age'!$C256,'Tabular Pop Data by Age'!R$7),'Population Data by Age'!$B$7:$B$10366,0),MATCH('Tabular Pop Data by Age'!$C$6,'Population Data by Age'!$B$6:$H$6,0))</f>
        <v>11032000</v>
      </c>
      <c r="S256" s="78">
        <f>INDEX('Population Data by Age'!$B$7:$H$10366,MATCH(CONCATENATE('Tabular Pop Data by Age'!$C256,'Tabular Pop Data by Age'!S$7),'Population Data by Age'!$B$7:$B$10366,0),MATCH('Tabular Pop Data by Age'!$C$6,'Population Data by Age'!$B$6:$H$6,0))</f>
        <v>11115000</v>
      </c>
      <c r="T256" s="78">
        <f>INDEX('Population Data by Age'!$B$7:$H$10366,MATCH(CONCATENATE('Tabular Pop Data by Age'!$C256,'Tabular Pop Data by Age'!T$7),'Population Data by Age'!$B$7:$B$10366,0),MATCH('Tabular Pop Data by Age'!$C$6,'Population Data by Age'!$B$6:$H$6,0))</f>
        <v>11482000</v>
      </c>
      <c r="U256" s="78">
        <f>INDEX('Population Data by Age'!$B$7:$H$10366,MATCH(CONCATENATE('Tabular Pop Data by Age'!$C256,'Tabular Pop Data by Age'!U$7),'Population Data by Age'!$B$7:$B$10366,0),MATCH('Tabular Pop Data by Age'!$C$6,'Population Data by Age'!$B$6:$H$6,0))</f>
        <v>11539000</v>
      </c>
      <c r="V256" s="78">
        <f>INDEX('Population Data by Age'!$B$7:$H$10366,MATCH(CONCATENATE('Tabular Pop Data by Age'!$C256,'Tabular Pop Data by Age'!V$7),'Population Data by Age'!$B$7:$B$10366,0),MATCH('Tabular Pop Data by Age'!$C$6,'Population Data by Age'!$B$6:$H$6,0))</f>
        <v>12161000</v>
      </c>
      <c r="W256" s="78">
        <f>INDEX('Population Data by Age'!$B$7:$H$10366,MATCH(CONCATENATE('Tabular Pop Data by Age'!$C256,'Tabular Pop Data by Age'!W$7),'Population Data by Age'!$B$7:$B$10366,0),MATCH('Tabular Pop Data by Age'!$C$6,'Population Data by Age'!$B$6:$H$6,0))</f>
        <v>12198000</v>
      </c>
      <c r="X256" s="78">
        <f>INDEX('Population Data by Age'!$B$7:$H$10366,MATCH(CONCATENATE('Tabular Pop Data by Age'!$C256,'Tabular Pop Data by Age'!X$7),'Population Data by Age'!$B$7:$B$10366,0),MATCH('Tabular Pop Data by Age'!$C$6,'Population Data by Age'!$B$6:$H$6,0))</f>
        <v>12895000</v>
      </c>
      <c r="Y256" s="78">
        <f>INDEX('Population Data by Age'!$B$7:$H$10366,MATCH(CONCATENATE('Tabular Pop Data by Age'!$C256,'Tabular Pop Data by Age'!Y$7),'Population Data by Age'!$B$7:$B$10366,0),MATCH('Tabular Pop Data by Age'!$C$6,'Population Data by Age'!$B$6:$H$6,0))</f>
        <v>12762000</v>
      </c>
      <c r="Z256" s="78">
        <f>INDEX('Population Data by Age'!$B$7:$H$10366,MATCH(CONCATENATE('Tabular Pop Data by Age'!$C256,'Tabular Pop Data by Age'!Z$7),'Population Data by Age'!$B$7:$B$10366,0),MATCH('Tabular Pop Data by Age'!$C$6,'Population Data by Age'!$B$6:$H$6,0))</f>
        <v>12786000</v>
      </c>
      <c r="AA256" s="78">
        <f>INDEX('Population Data by Age'!$B$7:$H$10366,MATCH(CONCATENATE('Tabular Pop Data by Age'!$C256,'Tabular Pop Data by Age'!AA$7),'Population Data by Age'!$B$7:$B$10366,0),MATCH('Tabular Pop Data by Age'!$C$6,'Population Data by Age'!$B$6:$H$6,0))</f>
        <v>12398000</v>
      </c>
      <c r="AB256" s="78">
        <f>INDEX('Population Data by Age'!$B$7:$H$10366,MATCH(CONCATENATE('Tabular Pop Data by Age'!$C256,'Tabular Pop Data by Age'!AB$7),'Population Data by Age'!$B$7:$B$10366,0),MATCH('Tabular Pop Data by Age'!$C$6,'Population Data by Age'!$B$6:$H$6,0))</f>
        <v>11446000</v>
      </c>
      <c r="AC256" s="78">
        <f>INDEX('Population Data by Age'!$B$7:$H$10366,MATCH(CONCATENATE('Tabular Pop Data by Age'!$C256,'Tabular Pop Data by Age'!AC$7),'Population Data by Age'!$B$7:$B$10366,0),MATCH('Tabular Pop Data by Age'!$C$6,'Population Data by Age'!$B$6:$H$6,0))</f>
        <v>10740000</v>
      </c>
      <c r="AD256" s="78">
        <f>INDEX('Population Data by Age'!$B$7:$H$10366,MATCH(CONCATENATE('Tabular Pop Data by Age'!$C256,'Tabular Pop Data by Age'!AD$7),'Population Data by Age'!$B$7:$B$10366,0),MATCH('Tabular Pop Data by Age'!$C$6,'Population Data by Age'!$B$6:$H$6,0))</f>
        <v>10238000</v>
      </c>
      <c r="AE256" s="78">
        <f>INDEX('Population Data by Age'!$B$7:$H$10366,MATCH(CONCATENATE('Tabular Pop Data by Age'!$C256,'Tabular Pop Data by Age'!AE$7),'Population Data by Age'!$B$7:$B$10366,0),MATCH('Tabular Pop Data by Age'!$C$6,'Population Data by Age'!$B$6:$H$6,0))</f>
        <v>9208000</v>
      </c>
      <c r="AF256" s="78">
        <f>INDEX('Population Data by Age'!$B$7:$H$10366,MATCH(CONCATENATE('Tabular Pop Data by Age'!$C256,'Tabular Pop Data by Age'!AF$7),'Population Data by Age'!$B$7:$B$10366,0),MATCH('Tabular Pop Data by Age'!$C$6,'Population Data by Age'!$B$6:$H$6,0))</f>
        <v>9260000</v>
      </c>
      <c r="AG256" s="78">
        <f>INDEX('Population Data by Age'!$B$7:$H$10366,MATCH(CONCATENATE('Tabular Pop Data by Age'!$C256,'Tabular Pop Data by Age'!AG$7),'Population Data by Age'!$B$7:$B$10366,0),MATCH('Tabular Pop Data by Age'!$C$6,'Population Data by Age'!$B$6:$H$6,0))</f>
        <v>8017000</v>
      </c>
      <c r="AH256" s="78">
        <f>INDEX('Population Data by Age'!$B$7:$H$10366,MATCH(CONCATENATE('Tabular Pop Data by Age'!$C256,'Tabular Pop Data by Age'!AH$7),'Population Data by Age'!$B$7:$B$10366,0),MATCH('Tabular Pop Data by Age'!$C$6,'Population Data by Age'!$B$6:$H$6,0))</f>
        <v>7504500</v>
      </c>
      <c r="AI256" s="78">
        <f>INDEX('Population Data by Age'!$B$7:$H$10366,MATCH(CONCATENATE('Tabular Pop Data by Age'!$C256,'Tabular Pop Data by Age'!AI$7),'Population Data by Age'!$B$7:$B$10366,0),MATCH('Tabular Pop Data by Age'!$C$6,'Population Data by Age'!$B$6:$H$6,0))</f>
        <v>5999700</v>
      </c>
      <c r="AJ256" s="78">
        <f>INDEX('Population Data by Age'!$B$7:$H$10366,MATCH(CONCATENATE('Tabular Pop Data by Age'!$C256,'Tabular Pop Data by Age'!AJ$7),'Population Data by Age'!$B$7:$B$10366,0),MATCH('Tabular Pop Data by Age'!$C$6,'Population Data by Age'!$B$6:$H$6,0))</f>
        <v>13825000</v>
      </c>
      <c r="AK256" s="78">
        <f>INDEX('Population Data by Age'!$B$7:$H$10366,MATCH(CONCATENATE('Tabular Pop Data by Age'!$C256,'Tabular Pop Data by Age'!AK$7),'Population Data by Age'!$B$7:$B$10366,0),MATCH('Tabular Pop Data by Age'!$C$6,'Population Data by Age'!$B$6:$H$6,0))</f>
        <v>8249400</v>
      </c>
      <c r="AL256" s="78">
        <f>INDEX('Population Data by Age'!$B$7:$H$10366,MATCH(CONCATENATE('Tabular Pop Data by Age'!$C256,'Tabular Pop Data by Age'!AL$7),'Population Data by Age'!$B$7:$B$10366,0),MATCH('Tabular Pop Data by Age'!$C$6,'Population Data by Age'!$B$6:$H$6,0))</f>
        <v>174590000</v>
      </c>
      <c r="AM256" s="78">
        <f>INDEX('Population Data by Age'!$B$7:$H$10366,MATCH(CONCATENATE('Tabular Pop Data by Age'!$C256,'Tabular Pop Data by Age'!AM$7),'Population Data by Age'!$B$7:$B$10366,0),MATCH('Tabular Pop Data by Age'!$C$6,'Population Data by Age'!$B$6:$H$6,0))</f>
        <v>167399000</v>
      </c>
      <c r="AN256" s="78">
        <f>INDEX('Population Data by Age'!$B$7:$H$10366,MATCH(CONCATENATE('Tabular Pop Data by Age'!$C256,'Tabular Pop Data by Age'!AN$7),'Population Data by Age'!$B$7:$B$10366,0),MATCH('Tabular Pop Data by Age'!$C$6,'Population Data by Age'!$B$6:$H$6,0))</f>
        <v>341989000</v>
      </c>
      <c r="AO256" s="78">
        <f>INDEX('Population Data by Age'!$B$7:$H$10366,MATCH(CONCATENATE('Tabular Pop Data by Age'!$C256,'Tabular Pop Data by Age'!AO$7),'Population Data by Age'!$B$7:$B$10366,0),MATCH('Tabular Pop Data by Age'!$C$6,'Population Data by Age'!$B$6:$H$6,0))</f>
        <v>2.9541838262829856E-2</v>
      </c>
      <c r="AP256" s="79">
        <f t="shared" si="68"/>
        <v>16223000</v>
      </c>
      <c r="AQ256" s="79">
        <f t="shared" si="69"/>
        <v>17129000</v>
      </c>
      <c r="AR256" s="79">
        <f t="shared" si="70"/>
        <v>17787000</v>
      </c>
      <c r="AS256" s="79">
        <f t="shared" si="71"/>
        <v>17726000</v>
      </c>
      <c r="AT256" s="79">
        <f t="shared" si="72"/>
        <v>18184000</v>
      </c>
      <c r="AU256" s="79">
        <f t="shared" si="73"/>
        <v>19234000</v>
      </c>
      <c r="AV256" s="79">
        <f t="shared" si="74"/>
        <v>20843000</v>
      </c>
      <c r="AW256" s="79">
        <f t="shared" si="75"/>
        <v>22147000</v>
      </c>
      <c r="AX256" s="79">
        <f t="shared" si="76"/>
        <v>23021000</v>
      </c>
      <c r="AY256" s="79">
        <f t="shared" si="77"/>
        <v>24359000</v>
      </c>
      <c r="AZ256" s="79">
        <f t="shared" si="78"/>
        <v>25657000</v>
      </c>
      <c r="BA256" s="79">
        <f t="shared" si="79"/>
        <v>25184000</v>
      </c>
      <c r="BB256" s="79">
        <f t="shared" si="80"/>
        <v>22186000</v>
      </c>
      <c r="BC256" s="79">
        <f t="shared" si="81"/>
        <v>19446000</v>
      </c>
      <c r="BD256" s="79">
        <f t="shared" si="82"/>
        <v>17277000</v>
      </c>
      <c r="BE256" s="79">
        <f t="shared" si="83"/>
        <v>13504200</v>
      </c>
      <c r="BF256" s="79">
        <f t="shared" si="84"/>
        <v>22074400</v>
      </c>
    </row>
    <row r="257" spans="1:58" x14ac:dyDescent="0.25">
      <c r="A257" s="138" t="s">
        <v>1182</v>
      </c>
      <c r="B257" t="s">
        <v>489</v>
      </c>
      <c r="C257" t="s">
        <v>490</v>
      </c>
      <c r="D257" s="78">
        <f>INDEX('Population Data by Age'!$B$7:$H$10366,MATCH(CONCATENATE('Tabular Pop Data by Age'!$C257,'Tabular Pop Data by Age'!D$7),'Population Data by Age'!$B$7:$B$10366,0),MATCH('Tabular Pop Data by Age'!$C$6,'Population Data by Age'!$B$6:$H$6,0))</f>
        <v>26713200</v>
      </c>
      <c r="E257" s="78">
        <f>INDEX('Population Data by Age'!$B$7:$H$10366,MATCH(CONCATENATE('Tabular Pop Data by Age'!$C257,'Tabular Pop Data by Age'!E$7),'Population Data by Age'!$B$7:$B$10366,0),MATCH('Tabular Pop Data by Age'!$C$6,'Population Data by Age'!$B$6:$H$6,0))</f>
        <v>28204500</v>
      </c>
      <c r="F257" s="78">
        <f>INDEX('Population Data by Age'!$B$7:$H$10366,MATCH(CONCATENATE('Tabular Pop Data by Age'!$C257,'Tabular Pop Data by Age'!F$7),'Population Data by Age'!$B$7:$B$10366,0),MATCH('Tabular Pop Data by Age'!$C$6,'Population Data by Age'!$B$6:$H$6,0))</f>
        <v>27579400</v>
      </c>
      <c r="G257" s="78">
        <f>INDEX('Population Data by Age'!$B$7:$H$10366,MATCH(CONCATENATE('Tabular Pop Data by Age'!$C257,'Tabular Pop Data by Age'!G$7),'Population Data by Age'!$B$7:$B$10366,0),MATCH('Tabular Pop Data by Age'!$C$6,'Population Data by Age'!$B$6:$H$6,0))</f>
        <v>29136400</v>
      </c>
      <c r="H257" s="78">
        <f>INDEX('Population Data by Age'!$B$7:$H$10366,MATCH(CONCATENATE('Tabular Pop Data by Age'!$C257,'Tabular Pop Data by Age'!H$7),'Population Data by Age'!$B$7:$B$10366,0),MATCH('Tabular Pop Data by Age'!$C$6,'Population Data by Age'!$B$6:$H$6,0))</f>
        <v>26587100</v>
      </c>
      <c r="I257" s="78">
        <f>INDEX('Population Data by Age'!$B$7:$H$10366,MATCH(CONCATENATE('Tabular Pop Data by Age'!$C257,'Tabular Pop Data by Age'!I$7),'Population Data by Age'!$B$7:$B$10366,0),MATCH('Tabular Pop Data by Age'!$C$6,'Population Data by Age'!$B$6:$H$6,0))</f>
        <v>28089400</v>
      </c>
      <c r="J257" s="78">
        <f>INDEX('Population Data by Age'!$B$7:$H$10366,MATCH(CONCATENATE('Tabular Pop Data by Age'!$C257,'Tabular Pop Data by Age'!J$7),'Population Data by Age'!$B$7:$B$10366,0),MATCH('Tabular Pop Data by Age'!$C$6,'Population Data by Age'!$B$6:$H$6,0))</f>
        <v>24851600</v>
      </c>
      <c r="K257" s="78">
        <f>INDEX('Population Data by Age'!$B$7:$H$10366,MATCH(CONCATENATE('Tabular Pop Data by Age'!$C257,'Tabular Pop Data by Age'!K$7),'Population Data by Age'!$B$7:$B$10366,0),MATCH('Tabular Pop Data by Age'!$C$6,'Population Data by Age'!$B$6:$H$6,0))</f>
        <v>26216800</v>
      </c>
      <c r="L257" s="78">
        <f>INDEX('Population Data by Age'!$B$7:$H$10366,MATCH(CONCATENATE('Tabular Pop Data by Age'!$C257,'Tabular Pop Data by Age'!L$7),'Population Data by Age'!$B$7:$B$10366,0),MATCH('Tabular Pop Data by Age'!$C$6,'Population Data by Age'!$B$6:$H$6,0))</f>
        <v>25586100</v>
      </c>
      <c r="M257" s="78">
        <f>INDEX('Population Data by Age'!$B$7:$H$10366,MATCH(CONCATENATE('Tabular Pop Data by Age'!$C257,'Tabular Pop Data by Age'!M$7),'Population Data by Age'!$B$7:$B$10366,0),MATCH('Tabular Pop Data by Age'!$C$6,'Population Data by Age'!$B$6:$H$6,0))</f>
        <v>26865400</v>
      </c>
      <c r="N257" s="78">
        <f>INDEX('Population Data by Age'!$B$7:$H$10366,MATCH(CONCATENATE('Tabular Pop Data by Age'!$C257,'Tabular Pop Data by Age'!N$7),'Population Data by Age'!$B$7:$B$10366,0),MATCH('Tabular Pop Data by Age'!$C$6,'Population Data by Age'!$B$6:$H$6,0))</f>
        <v>29024500</v>
      </c>
      <c r="O257" s="78">
        <f>INDEX('Population Data by Age'!$B$7:$H$10366,MATCH(CONCATENATE('Tabular Pop Data by Age'!$C257,'Tabular Pop Data by Age'!O$7),'Population Data by Age'!$B$7:$B$10366,0),MATCH('Tabular Pop Data by Age'!$C$6,'Population Data by Age'!$B$6:$H$6,0))</f>
        <v>30206800</v>
      </c>
      <c r="P257" s="78">
        <f>INDEX('Population Data by Age'!$B$7:$H$10366,MATCH(CONCATENATE('Tabular Pop Data by Age'!$C257,'Tabular Pop Data by Age'!P$7),'Population Data by Age'!$B$7:$B$10366,0),MATCH('Tabular Pop Data by Age'!$C$6,'Population Data by Age'!$B$6:$H$6,0))</f>
        <v>32938800</v>
      </c>
      <c r="Q257" s="78">
        <f>INDEX('Population Data by Age'!$B$7:$H$10366,MATCH(CONCATENATE('Tabular Pop Data by Age'!$C257,'Tabular Pop Data by Age'!Q$7),'Population Data by Age'!$B$7:$B$10366,0),MATCH('Tabular Pop Data by Age'!$C$6,'Population Data by Age'!$B$6:$H$6,0))</f>
        <v>33665900</v>
      </c>
      <c r="R257" s="78">
        <f>INDEX('Population Data by Age'!$B$7:$H$10366,MATCH(CONCATENATE('Tabular Pop Data by Age'!$C257,'Tabular Pop Data by Age'!R$7),'Population Data by Age'!$B$7:$B$10366,0),MATCH('Tabular Pop Data by Age'!$C$6,'Population Data by Age'!$B$6:$H$6,0))</f>
        <v>32789900</v>
      </c>
      <c r="S257" s="78">
        <f>INDEX('Population Data by Age'!$B$7:$H$10366,MATCH(CONCATENATE('Tabular Pop Data by Age'!$C257,'Tabular Pop Data by Age'!S$7),'Population Data by Age'!$B$7:$B$10366,0),MATCH('Tabular Pop Data by Age'!$C$6,'Population Data by Age'!$B$6:$H$6,0))</f>
        <v>32996200</v>
      </c>
      <c r="T257" s="78">
        <f>INDEX('Population Data by Age'!$B$7:$H$10366,MATCH(CONCATENATE('Tabular Pop Data by Age'!$C257,'Tabular Pop Data by Age'!T$7),'Population Data by Age'!$B$7:$B$10366,0),MATCH('Tabular Pop Data by Age'!$C$6,'Population Data by Age'!$B$6:$H$6,0))</f>
        <v>32031800</v>
      </c>
      <c r="U257" s="78">
        <f>INDEX('Population Data by Age'!$B$7:$H$10366,MATCH(CONCATENATE('Tabular Pop Data by Age'!$C257,'Tabular Pop Data by Age'!U$7),'Population Data by Age'!$B$7:$B$10366,0),MATCH('Tabular Pop Data by Age'!$C$6,'Population Data by Age'!$B$6:$H$6,0))</f>
        <v>31640800</v>
      </c>
      <c r="V257" s="78">
        <f>INDEX('Population Data by Age'!$B$7:$H$10366,MATCH(CONCATENATE('Tabular Pop Data by Age'!$C257,'Tabular Pop Data by Age'!V$7),'Population Data by Age'!$B$7:$B$10366,0),MATCH('Tabular Pop Data by Age'!$C$6,'Population Data by Age'!$B$6:$H$6,0))</f>
        <v>31521700</v>
      </c>
      <c r="W257" s="78">
        <f>INDEX('Population Data by Age'!$B$7:$H$10366,MATCH(CONCATENATE('Tabular Pop Data by Age'!$C257,'Tabular Pop Data by Age'!W$7),'Population Data by Age'!$B$7:$B$10366,0),MATCH('Tabular Pop Data by Age'!$C$6,'Population Data by Age'!$B$6:$H$6,0))</f>
        <v>30745600</v>
      </c>
      <c r="X257" s="78">
        <f>INDEX('Population Data by Age'!$B$7:$H$10366,MATCH(CONCATENATE('Tabular Pop Data by Age'!$C257,'Tabular Pop Data by Age'!X$7),'Population Data by Age'!$B$7:$B$10366,0),MATCH('Tabular Pop Data by Age'!$C$6,'Population Data by Age'!$B$6:$H$6,0))</f>
        <v>31026000</v>
      </c>
      <c r="Y257" s="78">
        <f>INDEX('Population Data by Age'!$B$7:$H$10366,MATCH(CONCATENATE('Tabular Pop Data by Age'!$C257,'Tabular Pop Data by Age'!Y$7),'Population Data by Age'!$B$7:$B$10366,0),MATCH('Tabular Pop Data by Age'!$C$6,'Population Data by Age'!$B$6:$H$6,0))</f>
        <v>29587800</v>
      </c>
      <c r="Z257" s="78">
        <f>INDEX('Population Data by Age'!$B$7:$H$10366,MATCH(CONCATENATE('Tabular Pop Data by Age'!$C257,'Tabular Pop Data by Age'!Z$7),'Population Data by Age'!$B$7:$B$10366,0),MATCH('Tabular Pop Data by Age'!$C$6,'Population Data by Age'!$B$6:$H$6,0))</f>
        <v>31937300</v>
      </c>
      <c r="AA257" s="78">
        <f>INDEX('Population Data by Age'!$B$7:$H$10366,MATCH(CONCATENATE('Tabular Pop Data by Age'!$C257,'Tabular Pop Data by Age'!AA$7),'Population Data by Age'!$B$7:$B$10366,0),MATCH('Tabular Pop Data by Age'!$C$6,'Population Data by Age'!$B$6:$H$6,0))</f>
        <v>29292100</v>
      </c>
      <c r="AB257" s="78">
        <f>INDEX('Population Data by Age'!$B$7:$H$10366,MATCH(CONCATENATE('Tabular Pop Data by Age'!$C257,'Tabular Pop Data by Age'!AB$7),'Population Data by Age'!$B$7:$B$10366,0),MATCH('Tabular Pop Data by Age'!$C$6,'Population Data by Age'!$B$6:$H$6,0))</f>
        <v>29869400</v>
      </c>
      <c r="AC257" s="78">
        <f>INDEX('Population Data by Age'!$B$7:$H$10366,MATCH(CONCATENATE('Tabular Pop Data by Age'!$C257,'Tabular Pop Data by Age'!AC$7),'Population Data by Age'!$B$7:$B$10366,0),MATCH('Tabular Pop Data by Age'!$C$6,'Population Data by Age'!$B$6:$H$6,0))</f>
        <v>25852200</v>
      </c>
      <c r="AD257" s="78">
        <f>INDEX('Population Data by Age'!$B$7:$H$10366,MATCH(CONCATENATE('Tabular Pop Data by Age'!$C257,'Tabular Pop Data by Age'!AD$7),'Population Data by Age'!$B$7:$B$10366,0),MATCH('Tabular Pop Data by Age'!$C$6,'Population Data by Age'!$B$6:$H$6,0))</f>
        <v>26607700</v>
      </c>
      <c r="AE257" s="78">
        <f>INDEX('Population Data by Age'!$B$7:$H$10366,MATCH(CONCATENATE('Tabular Pop Data by Age'!$C257,'Tabular Pop Data by Age'!AE$7),'Population Data by Age'!$B$7:$B$10366,0),MATCH('Tabular Pop Data by Age'!$C$6,'Population Data by Age'!$B$6:$H$6,0))</f>
        <v>21451700</v>
      </c>
      <c r="AF257" s="78">
        <f>INDEX('Population Data by Age'!$B$7:$H$10366,MATCH(CONCATENATE('Tabular Pop Data by Age'!$C257,'Tabular Pop Data by Age'!AF$7),'Population Data by Age'!$B$7:$B$10366,0),MATCH('Tabular Pop Data by Age'!$C$6,'Population Data by Age'!$B$6:$H$6,0))</f>
        <v>21502300</v>
      </c>
      <c r="AG257" s="78">
        <f>INDEX('Population Data by Age'!$B$7:$H$10366,MATCH(CONCATENATE('Tabular Pop Data by Age'!$C257,'Tabular Pop Data by Age'!AG$7),'Population Data by Age'!$B$7:$B$10366,0),MATCH('Tabular Pop Data by Age'!$C$6,'Population Data by Age'!$B$6:$H$6,0))</f>
        <v>16672000</v>
      </c>
      <c r="AH257" s="78">
        <f>INDEX('Population Data by Age'!$B$7:$H$10366,MATCH(CONCATENATE('Tabular Pop Data by Age'!$C257,'Tabular Pop Data by Age'!AH$7),'Population Data by Age'!$B$7:$B$10366,0),MATCH('Tabular Pop Data by Age'!$C$6,'Population Data by Age'!$B$6:$H$6,0))</f>
        <v>16014400</v>
      </c>
      <c r="AI257" s="78">
        <f>INDEX('Population Data by Age'!$B$7:$H$10366,MATCH(CONCATENATE('Tabular Pop Data by Age'!$C257,'Tabular Pop Data by Age'!AI$7),'Population Data by Age'!$B$7:$B$10366,0),MATCH('Tabular Pop Data by Age'!$C$6,'Population Data by Age'!$B$6:$H$6,0))</f>
        <v>11275400</v>
      </c>
      <c r="AJ257" s="78">
        <f>INDEX('Population Data by Age'!$B$7:$H$10366,MATCH(CONCATENATE('Tabular Pop Data by Age'!$C257,'Tabular Pop Data by Age'!AJ$7),'Population Data by Age'!$B$7:$B$10366,0),MATCH('Tabular Pop Data by Age'!$C$6,'Population Data by Age'!$B$6:$H$6,0))</f>
        <v>27459900</v>
      </c>
      <c r="AK257" s="78">
        <f>INDEX('Population Data by Age'!$B$7:$H$10366,MATCH(CONCATENATE('Tabular Pop Data by Age'!$C257,'Tabular Pop Data by Age'!AK$7),'Population Data by Age'!$B$7:$B$10366,0),MATCH('Tabular Pop Data by Age'!$C$6,'Population Data by Age'!$B$6:$H$6,0))</f>
        <v>14601400</v>
      </c>
      <c r="AL257" s="78">
        <f>INDEX('Population Data by Age'!$B$7:$H$10366,MATCH(CONCATENATE('Tabular Pop Data by Age'!$C257,'Tabular Pop Data by Age'!AL$7),'Population Data by Age'!$B$7:$B$10366,0),MATCH('Tabular Pop Data by Age'!$C$6,'Population Data by Age'!$B$6:$H$6,0))</f>
        <v>474050000</v>
      </c>
      <c r="AM257" s="78">
        <f>INDEX('Population Data by Age'!$B$7:$H$10366,MATCH(CONCATENATE('Tabular Pop Data by Age'!$C257,'Tabular Pop Data by Age'!AM$7),'Population Data by Age'!$B$7:$B$10366,0),MATCH('Tabular Pop Data by Age'!$C$6,'Population Data by Age'!$B$6:$H$6,0))</f>
        <v>446502000</v>
      </c>
      <c r="AN257" s="78">
        <f>INDEX('Population Data by Age'!$B$7:$H$10366,MATCH(CONCATENATE('Tabular Pop Data by Age'!$C257,'Tabular Pop Data by Age'!AN$7),'Population Data by Age'!$B$7:$B$10366,0),MATCH('Tabular Pop Data by Age'!$C$6,'Population Data by Age'!$B$6:$H$6,0))</f>
        <v>922779000</v>
      </c>
      <c r="AO257" s="78">
        <f>INDEX('Population Data by Age'!$B$7:$H$10366,MATCH(CONCATENATE('Tabular Pop Data by Age'!$C257,'Tabular Pop Data by Age'!AO$7),'Population Data by Age'!$B$7:$B$10366,0),MATCH('Tabular Pop Data by Age'!$C$6,'Population Data by Age'!$B$6:$H$6,0))</f>
        <v>0.20393071567954735</v>
      </c>
      <c r="AP257" s="79">
        <f t="shared" si="68"/>
        <v>54917700</v>
      </c>
      <c r="AQ257" s="79">
        <f t="shared" si="69"/>
        <v>56715800</v>
      </c>
      <c r="AR257" s="79">
        <f t="shared" si="70"/>
        <v>54676500</v>
      </c>
      <c r="AS257" s="79">
        <f t="shared" si="71"/>
        <v>51068400</v>
      </c>
      <c r="AT257" s="79">
        <f t="shared" si="72"/>
        <v>52451500</v>
      </c>
      <c r="AU257" s="79">
        <f t="shared" si="73"/>
        <v>59231300</v>
      </c>
      <c r="AV257" s="79">
        <f t="shared" si="74"/>
        <v>66604700</v>
      </c>
      <c r="AW257" s="79">
        <f t="shared" si="75"/>
        <v>65786100</v>
      </c>
      <c r="AX257" s="79">
        <f t="shared" si="76"/>
        <v>63672600</v>
      </c>
      <c r="AY257" s="79">
        <f t="shared" si="77"/>
        <v>62267300</v>
      </c>
      <c r="AZ257" s="79">
        <f t="shared" si="78"/>
        <v>60613800</v>
      </c>
      <c r="BA257" s="79">
        <f t="shared" si="79"/>
        <v>61229400</v>
      </c>
      <c r="BB257" s="79">
        <f t="shared" si="80"/>
        <v>55721600</v>
      </c>
      <c r="BC257" s="79">
        <f t="shared" si="81"/>
        <v>48059400</v>
      </c>
      <c r="BD257" s="79">
        <f t="shared" si="82"/>
        <v>38174300</v>
      </c>
      <c r="BE257" s="79">
        <f t="shared" si="83"/>
        <v>27289800</v>
      </c>
      <c r="BF257" s="79">
        <f t="shared" si="84"/>
        <v>42061300</v>
      </c>
    </row>
    <row r="258" spans="1:58" x14ac:dyDescent="0.25">
      <c r="A258" s="138" t="s">
        <v>1182</v>
      </c>
      <c r="B258" t="s">
        <v>491</v>
      </c>
      <c r="C258" t="s">
        <v>492</v>
      </c>
      <c r="D258" s="78">
        <f>INDEX('Population Data by Age'!$B$7:$H$10366,MATCH(CONCATENATE('Tabular Pop Data by Age'!$C258,'Tabular Pop Data by Age'!D$7),'Population Data by Age'!$B$7:$B$10366,0),MATCH('Tabular Pop Data by Age'!$C$6,'Population Data by Age'!$B$6:$H$6,0))</f>
        <v>14606000</v>
      </c>
      <c r="E258" s="78">
        <f>INDEX('Population Data by Age'!$B$7:$H$10366,MATCH(CONCATENATE('Tabular Pop Data by Age'!$C258,'Tabular Pop Data by Age'!E$7),'Population Data by Age'!$B$7:$B$10366,0),MATCH('Tabular Pop Data by Age'!$C$6,'Population Data by Age'!$B$6:$H$6,0))</f>
        <v>15436000</v>
      </c>
      <c r="F258" s="78">
        <f>INDEX('Population Data by Age'!$B$7:$H$10366,MATCH(CONCATENATE('Tabular Pop Data by Age'!$C258,'Tabular Pop Data by Age'!F$7),'Population Data by Age'!$B$7:$B$10366,0),MATCH('Tabular Pop Data by Age'!$C$6,'Population Data by Age'!$B$6:$H$6,0))</f>
        <v>14948000</v>
      </c>
      <c r="G258" s="78">
        <f>INDEX('Population Data by Age'!$B$7:$H$10366,MATCH(CONCATENATE('Tabular Pop Data by Age'!$C258,'Tabular Pop Data by Age'!G$7),'Population Data by Age'!$B$7:$B$10366,0),MATCH('Tabular Pop Data by Age'!$C$6,'Population Data by Age'!$B$6:$H$6,0))</f>
        <v>15803000</v>
      </c>
      <c r="H258" s="78">
        <f>INDEX('Population Data by Age'!$B$7:$H$10366,MATCH(CONCATENATE('Tabular Pop Data by Age'!$C258,'Tabular Pop Data by Age'!H$7),'Population Data by Age'!$B$7:$B$10366,0),MATCH('Tabular Pop Data by Age'!$C$6,'Population Data by Age'!$B$6:$H$6,0))</f>
        <v>13651000</v>
      </c>
      <c r="I258" s="78">
        <f>INDEX('Population Data by Age'!$B$7:$H$10366,MATCH(CONCATENATE('Tabular Pop Data by Age'!$C258,'Tabular Pop Data by Age'!I$7),'Population Data by Age'!$B$7:$B$10366,0),MATCH('Tabular Pop Data by Age'!$C$6,'Population Data by Age'!$B$6:$H$6,0))</f>
        <v>14406000</v>
      </c>
      <c r="J258" s="78">
        <f>INDEX('Population Data by Age'!$B$7:$H$10366,MATCH(CONCATENATE('Tabular Pop Data by Age'!$C258,'Tabular Pop Data by Age'!J$7),'Population Data by Age'!$B$7:$B$10366,0),MATCH('Tabular Pop Data by Age'!$C$6,'Population Data by Age'!$B$6:$H$6,0))</f>
        <v>12244000</v>
      </c>
      <c r="K258" s="78">
        <f>INDEX('Population Data by Age'!$B$7:$H$10366,MATCH(CONCATENATE('Tabular Pop Data by Age'!$C258,'Tabular Pop Data by Age'!K$7),'Population Data by Age'!$B$7:$B$10366,0),MATCH('Tabular Pop Data by Age'!$C$6,'Population Data by Age'!$B$6:$H$6,0))</f>
        <v>12901000</v>
      </c>
      <c r="L258" s="78">
        <f>INDEX('Population Data by Age'!$B$7:$H$10366,MATCH(CONCATENATE('Tabular Pop Data by Age'!$C258,'Tabular Pop Data by Age'!L$7),'Population Data by Age'!$B$7:$B$10366,0),MATCH('Tabular Pop Data by Age'!$C$6,'Population Data by Age'!$B$6:$H$6,0))</f>
        <v>12344000</v>
      </c>
      <c r="M258" s="78">
        <f>INDEX('Population Data by Age'!$B$7:$H$10366,MATCH(CONCATENATE('Tabular Pop Data by Age'!$C258,'Tabular Pop Data by Age'!M$7),'Population Data by Age'!$B$7:$B$10366,0),MATCH('Tabular Pop Data by Age'!$C$6,'Population Data by Age'!$B$6:$H$6,0))</f>
        <v>12928000</v>
      </c>
      <c r="N258" s="78">
        <f>INDEX('Population Data by Age'!$B$7:$H$10366,MATCH(CONCATENATE('Tabular Pop Data by Age'!$C258,'Tabular Pop Data by Age'!N$7),'Population Data by Age'!$B$7:$B$10366,0),MATCH('Tabular Pop Data by Age'!$C$6,'Population Data by Age'!$B$6:$H$6,0))</f>
        <v>14487000</v>
      </c>
      <c r="O258" s="78">
        <f>INDEX('Population Data by Age'!$B$7:$H$10366,MATCH(CONCATENATE('Tabular Pop Data by Age'!$C258,'Tabular Pop Data by Age'!O$7),'Population Data by Age'!$B$7:$B$10366,0),MATCH('Tabular Pop Data by Age'!$C$6,'Population Data by Age'!$B$6:$H$6,0))</f>
        <v>15021000</v>
      </c>
      <c r="P258" s="78">
        <f>INDEX('Population Data by Age'!$B$7:$H$10366,MATCH(CONCATENATE('Tabular Pop Data by Age'!$C258,'Tabular Pop Data by Age'!P$7),'Population Data by Age'!$B$7:$B$10366,0),MATCH('Tabular Pop Data by Age'!$C$6,'Population Data by Age'!$B$6:$H$6,0))</f>
        <v>17195000</v>
      </c>
      <c r="Q258" s="78">
        <f>INDEX('Population Data by Age'!$B$7:$H$10366,MATCH(CONCATENATE('Tabular Pop Data by Age'!$C258,'Tabular Pop Data by Age'!Q$7),'Population Data by Age'!$B$7:$B$10366,0),MATCH('Tabular Pop Data by Age'!$C$6,'Population Data by Age'!$B$6:$H$6,0))</f>
        <v>17465000</v>
      </c>
      <c r="R258" s="78">
        <f>INDEX('Population Data by Age'!$B$7:$H$10366,MATCH(CONCATENATE('Tabular Pop Data by Age'!$C258,'Tabular Pop Data by Age'!R$7),'Population Data by Age'!$B$7:$B$10366,0),MATCH('Tabular Pop Data by Age'!$C$6,'Population Data by Age'!$B$6:$H$6,0))</f>
        <v>16160000</v>
      </c>
      <c r="S258" s="78">
        <f>INDEX('Population Data by Age'!$B$7:$H$10366,MATCH(CONCATENATE('Tabular Pop Data by Age'!$C258,'Tabular Pop Data by Age'!S$7),'Population Data by Age'!$B$7:$B$10366,0),MATCH('Tabular Pop Data by Age'!$C$6,'Population Data by Age'!$B$6:$H$6,0))</f>
        <v>16134000</v>
      </c>
      <c r="T258" s="78">
        <f>INDEX('Population Data by Age'!$B$7:$H$10366,MATCH(CONCATENATE('Tabular Pop Data by Age'!$C258,'Tabular Pop Data by Age'!T$7),'Population Data by Age'!$B$7:$B$10366,0),MATCH('Tabular Pop Data by Age'!$C$6,'Population Data by Age'!$B$6:$H$6,0))</f>
        <v>15024000</v>
      </c>
      <c r="U258" s="78">
        <f>INDEX('Population Data by Age'!$B$7:$H$10366,MATCH(CONCATENATE('Tabular Pop Data by Age'!$C258,'Tabular Pop Data by Age'!U$7),'Population Data by Age'!$B$7:$B$10366,0),MATCH('Tabular Pop Data by Age'!$C$6,'Population Data by Age'!$B$6:$H$6,0))</f>
        <v>14479000</v>
      </c>
      <c r="V258" s="78">
        <f>INDEX('Population Data by Age'!$B$7:$H$10366,MATCH(CONCATENATE('Tabular Pop Data by Age'!$C258,'Tabular Pop Data by Age'!V$7),'Population Data by Age'!$B$7:$B$10366,0),MATCH('Tabular Pop Data by Age'!$C$6,'Population Data by Age'!$B$6:$H$6,0))</f>
        <v>13988000</v>
      </c>
      <c r="W258" s="78">
        <f>INDEX('Population Data by Age'!$B$7:$H$10366,MATCH(CONCATENATE('Tabular Pop Data by Age'!$C258,'Tabular Pop Data by Age'!W$7),'Population Data by Age'!$B$7:$B$10366,0),MATCH('Tabular Pop Data by Age'!$C$6,'Population Data by Age'!$B$6:$H$6,0))</f>
        <v>13162000</v>
      </c>
      <c r="X258" s="78">
        <f>INDEX('Population Data by Age'!$B$7:$H$10366,MATCH(CONCATENATE('Tabular Pop Data by Age'!$C258,'Tabular Pop Data by Age'!X$7),'Population Data by Age'!$B$7:$B$10366,0),MATCH('Tabular Pop Data by Age'!$C$6,'Population Data by Age'!$B$6:$H$6,0))</f>
        <v>12792000</v>
      </c>
      <c r="Y258" s="78">
        <f>INDEX('Population Data by Age'!$B$7:$H$10366,MATCH(CONCATENATE('Tabular Pop Data by Age'!$C258,'Tabular Pop Data by Age'!Y$7),'Population Data by Age'!$B$7:$B$10366,0),MATCH('Tabular Pop Data by Age'!$C$6,'Population Data by Age'!$B$6:$H$6,0))</f>
        <v>11542000</v>
      </c>
      <c r="Z258" s="78">
        <f>INDEX('Population Data by Age'!$B$7:$H$10366,MATCH(CONCATENATE('Tabular Pop Data by Age'!$C258,'Tabular Pop Data by Age'!Z$7),'Population Data by Age'!$B$7:$B$10366,0),MATCH('Tabular Pop Data by Age'!$C$6,'Population Data by Age'!$B$6:$H$6,0))</f>
        <v>13911000</v>
      </c>
      <c r="AA258" s="78">
        <f>INDEX('Population Data by Age'!$B$7:$H$10366,MATCH(CONCATENATE('Tabular Pop Data by Age'!$C258,'Tabular Pop Data by Age'!AA$7),'Population Data by Age'!$B$7:$B$10366,0),MATCH('Tabular Pop Data by Age'!$C$6,'Population Data by Age'!$B$6:$H$6,0))</f>
        <v>11810000</v>
      </c>
      <c r="AB258" s="78">
        <f>INDEX('Population Data by Age'!$B$7:$H$10366,MATCH(CONCATENATE('Tabular Pop Data by Age'!$C258,'Tabular Pop Data by Age'!AB$7),'Population Data by Age'!$B$7:$B$10366,0),MATCH('Tabular Pop Data by Age'!$C$6,'Population Data by Age'!$B$6:$H$6,0))</f>
        <v>13301000</v>
      </c>
      <c r="AC258" s="78">
        <f>INDEX('Population Data by Age'!$B$7:$H$10366,MATCH(CONCATENATE('Tabular Pop Data by Age'!$C258,'Tabular Pop Data by Age'!AC$7),'Population Data by Age'!$B$7:$B$10366,0),MATCH('Tabular Pop Data by Age'!$C$6,'Population Data by Age'!$B$6:$H$6,0))</f>
        <v>10307000</v>
      </c>
      <c r="AD258" s="78">
        <f>INDEX('Population Data by Age'!$B$7:$H$10366,MATCH(CONCATENATE('Tabular Pop Data by Age'!$C258,'Tabular Pop Data by Age'!AD$7),'Population Data by Age'!$B$7:$B$10366,0),MATCH('Tabular Pop Data by Age'!$C$6,'Population Data by Age'!$B$6:$H$6,0))</f>
        <v>11616000</v>
      </c>
      <c r="AE258" s="78">
        <f>INDEX('Population Data by Age'!$B$7:$H$10366,MATCH(CONCATENATE('Tabular Pop Data by Age'!$C258,'Tabular Pop Data by Age'!AE$7),'Population Data by Age'!$B$7:$B$10366,0),MATCH('Tabular Pop Data by Age'!$C$6,'Population Data by Age'!$B$6:$H$6,0))</f>
        <v>8019000</v>
      </c>
      <c r="AF258" s="78">
        <f>INDEX('Population Data by Age'!$B$7:$H$10366,MATCH(CONCATENATE('Tabular Pop Data by Age'!$C258,'Tabular Pop Data by Age'!AF$7),'Population Data by Age'!$B$7:$B$10366,0),MATCH('Tabular Pop Data by Age'!$C$6,'Population Data by Age'!$B$6:$H$6,0))</f>
        <v>7851000</v>
      </c>
      <c r="AG258" s="78">
        <f>INDEX('Population Data by Age'!$B$7:$H$10366,MATCH(CONCATENATE('Tabular Pop Data by Age'!$C258,'Tabular Pop Data by Age'!AG$7),'Population Data by Age'!$B$7:$B$10366,0),MATCH('Tabular Pop Data by Age'!$C$6,'Population Data by Age'!$B$6:$H$6,0))</f>
        <v>4936000</v>
      </c>
      <c r="AH258" s="78">
        <f>INDEX('Population Data by Age'!$B$7:$H$10366,MATCH(CONCATENATE('Tabular Pop Data by Age'!$C258,'Tabular Pop Data by Age'!AH$7),'Population Data by Age'!$B$7:$B$10366,0),MATCH('Tabular Pop Data by Age'!$C$6,'Population Data by Age'!$B$6:$H$6,0))</f>
        <v>5372700</v>
      </c>
      <c r="AI258" s="78">
        <f>INDEX('Population Data by Age'!$B$7:$H$10366,MATCH(CONCATENATE('Tabular Pop Data by Age'!$C258,'Tabular Pop Data by Age'!AI$7),'Population Data by Age'!$B$7:$B$10366,0),MATCH('Tabular Pop Data by Age'!$C$6,'Population Data by Age'!$B$6:$H$6,0))</f>
        <v>2827100</v>
      </c>
      <c r="AJ258" s="78">
        <f>INDEX('Population Data by Age'!$B$7:$H$10366,MATCH(CONCATENATE('Tabular Pop Data by Age'!$C258,'Tabular Pop Data by Age'!AJ$7),'Population Data by Age'!$B$7:$B$10366,0),MATCH('Tabular Pop Data by Age'!$C$6,'Population Data by Age'!$B$6:$H$6,0))</f>
        <v>8751000</v>
      </c>
      <c r="AK258" s="78">
        <f>INDEX('Population Data by Age'!$B$7:$H$10366,MATCH(CONCATENATE('Tabular Pop Data by Age'!$C258,'Tabular Pop Data by Age'!AK$7),'Population Data by Age'!$B$7:$B$10366,0),MATCH('Tabular Pop Data by Age'!$C$6,'Population Data by Age'!$B$6:$H$6,0))</f>
        <v>3466900</v>
      </c>
      <c r="AL258" s="78">
        <f>INDEX('Population Data by Age'!$B$7:$H$10366,MATCH(CONCATENATE('Tabular Pop Data by Age'!$C258,'Tabular Pop Data by Age'!AL$7),'Population Data by Age'!$B$7:$B$10366,0),MATCH('Tabular Pop Data by Age'!$C$6,'Population Data by Age'!$B$6:$H$6,0))</f>
        <v>218240000</v>
      </c>
      <c r="AM258" s="78">
        <f>INDEX('Population Data by Age'!$B$7:$H$10366,MATCH(CONCATENATE('Tabular Pop Data by Age'!$C258,'Tabular Pop Data by Age'!AM$7),'Population Data by Age'!$B$7:$B$10366,0),MATCH('Tabular Pop Data by Age'!$C$6,'Population Data by Age'!$B$6:$H$6,0))</f>
        <v>200646000</v>
      </c>
      <c r="AN258" s="78">
        <f>INDEX('Population Data by Age'!$B$7:$H$10366,MATCH(CONCATENATE('Tabular Pop Data by Age'!$C258,'Tabular Pop Data by Age'!AN$7),'Population Data by Age'!$B$7:$B$10366,0),MATCH('Tabular Pop Data by Age'!$C$6,'Population Data by Age'!$B$6:$H$6,0))</f>
        <v>420757000</v>
      </c>
      <c r="AO258" s="78">
        <f>INDEX('Population Data by Age'!$B$7:$H$10366,MATCH(CONCATENATE('Tabular Pop Data by Age'!$C258,'Tabular Pop Data by Age'!AO$7),'Population Data by Age'!$B$7:$B$10366,0),MATCH('Tabular Pop Data by Age'!$C$6,'Population Data by Age'!$B$6:$H$6,0))</f>
        <v>0.32044786403855596</v>
      </c>
      <c r="AP258" s="79">
        <f t="shared" si="68"/>
        <v>30042000</v>
      </c>
      <c r="AQ258" s="79">
        <f t="shared" si="69"/>
        <v>30751000</v>
      </c>
      <c r="AR258" s="79">
        <f t="shared" si="70"/>
        <v>28057000</v>
      </c>
      <c r="AS258" s="79">
        <f t="shared" si="71"/>
        <v>25145000</v>
      </c>
      <c r="AT258" s="79">
        <f t="shared" si="72"/>
        <v>25272000</v>
      </c>
      <c r="AU258" s="79">
        <f t="shared" si="73"/>
        <v>29508000</v>
      </c>
      <c r="AV258" s="79">
        <f t="shared" si="74"/>
        <v>34660000</v>
      </c>
      <c r="AW258" s="79">
        <f t="shared" si="75"/>
        <v>32294000</v>
      </c>
      <c r="AX258" s="79">
        <f t="shared" si="76"/>
        <v>29503000</v>
      </c>
      <c r="AY258" s="79">
        <f t="shared" si="77"/>
        <v>27150000</v>
      </c>
      <c r="AZ258" s="79">
        <f t="shared" si="78"/>
        <v>24334000</v>
      </c>
      <c r="BA258" s="79">
        <f t="shared" si="79"/>
        <v>25721000</v>
      </c>
      <c r="BB258" s="79">
        <f t="shared" si="80"/>
        <v>23608000</v>
      </c>
      <c r="BC258" s="79">
        <f t="shared" si="81"/>
        <v>19635000</v>
      </c>
      <c r="BD258" s="79">
        <f t="shared" si="82"/>
        <v>12787000</v>
      </c>
      <c r="BE258" s="79">
        <f t="shared" si="83"/>
        <v>8199800</v>
      </c>
      <c r="BF258" s="79">
        <f t="shared" si="84"/>
        <v>12217900</v>
      </c>
    </row>
    <row r="259" spans="1:58" x14ac:dyDescent="0.25">
      <c r="A259" s="138" t="s">
        <v>1182</v>
      </c>
      <c r="B259" t="s">
        <v>493</v>
      </c>
      <c r="C259" t="s">
        <v>494</v>
      </c>
      <c r="D259" s="78">
        <f>INDEX('Population Data by Age'!$B$7:$H$10366,MATCH(CONCATENATE('Tabular Pop Data by Age'!$C259,'Tabular Pop Data by Age'!D$7),'Population Data by Age'!$B$7:$B$10366,0),MATCH('Tabular Pop Data by Age'!$C$6,'Population Data by Age'!$B$6:$H$6,0))</f>
        <v>15611000</v>
      </c>
      <c r="E259" s="78">
        <f>INDEX('Population Data by Age'!$B$7:$H$10366,MATCH(CONCATENATE('Tabular Pop Data by Age'!$C259,'Tabular Pop Data by Age'!E$7),'Population Data by Age'!$B$7:$B$10366,0),MATCH('Tabular Pop Data by Age'!$C$6,'Population Data by Age'!$B$6:$H$6,0))</f>
        <v>16496000</v>
      </c>
      <c r="F259" s="78">
        <f>INDEX('Population Data by Age'!$B$7:$H$10366,MATCH(CONCATENATE('Tabular Pop Data by Age'!$C259,'Tabular Pop Data by Age'!F$7),'Population Data by Age'!$B$7:$B$10366,0),MATCH('Tabular Pop Data by Age'!$C$6,'Population Data by Age'!$B$6:$H$6,0))</f>
        <v>15969000</v>
      </c>
      <c r="G259" s="78">
        <f>INDEX('Population Data by Age'!$B$7:$H$10366,MATCH(CONCATENATE('Tabular Pop Data by Age'!$C259,'Tabular Pop Data by Age'!G$7),'Population Data by Age'!$B$7:$B$10366,0),MATCH('Tabular Pop Data by Age'!$C$6,'Population Data by Age'!$B$6:$H$6,0))</f>
        <v>16879000</v>
      </c>
      <c r="H259" s="78">
        <f>INDEX('Population Data by Age'!$B$7:$H$10366,MATCH(CONCATENATE('Tabular Pop Data by Age'!$C259,'Tabular Pop Data by Age'!H$7),'Population Data by Age'!$B$7:$B$10366,0),MATCH('Tabular Pop Data by Age'!$C$6,'Population Data by Age'!$B$6:$H$6,0))</f>
        <v>14715000</v>
      </c>
      <c r="I259" s="78">
        <f>INDEX('Population Data by Age'!$B$7:$H$10366,MATCH(CONCATENATE('Tabular Pop Data by Age'!$C259,'Tabular Pop Data by Age'!I$7),'Population Data by Age'!$B$7:$B$10366,0),MATCH('Tabular Pop Data by Age'!$C$6,'Population Data by Age'!$B$6:$H$6,0))</f>
        <v>15523000</v>
      </c>
      <c r="J259" s="78">
        <f>INDEX('Population Data by Age'!$B$7:$H$10366,MATCH(CONCATENATE('Tabular Pop Data by Age'!$C259,'Tabular Pop Data by Age'!J$7),'Population Data by Age'!$B$7:$B$10366,0),MATCH('Tabular Pop Data by Age'!$C$6,'Population Data by Age'!$B$6:$H$6,0))</f>
        <v>13190000</v>
      </c>
      <c r="K259" s="78">
        <f>INDEX('Population Data by Age'!$B$7:$H$10366,MATCH(CONCATENATE('Tabular Pop Data by Age'!$C259,'Tabular Pop Data by Age'!K$7),'Population Data by Age'!$B$7:$B$10366,0),MATCH('Tabular Pop Data by Age'!$C$6,'Population Data by Age'!$B$6:$H$6,0))</f>
        <v>13882000</v>
      </c>
      <c r="L259" s="78">
        <f>INDEX('Population Data by Age'!$B$7:$H$10366,MATCH(CONCATENATE('Tabular Pop Data by Age'!$C259,'Tabular Pop Data by Age'!L$7),'Population Data by Age'!$B$7:$B$10366,0),MATCH('Tabular Pop Data by Age'!$C$6,'Population Data by Age'!$B$6:$H$6,0))</f>
        <v>13428000</v>
      </c>
      <c r="M259" s="78">
        <f>INDEX('Population Data by Age'!$B$7:$H$10366,MATCH(CONCATENATE('Tabular Pop Data by Age'!$C259,'Tabular Pop Data by Age'!M$7),'Population Data by Age'!$B$7:$B$10366,0),MATCH('Tabular Pop Data by Age'!$C$6,'Population Data by Age'!$B$6:$H$6,0))</f>
        <v>14042000</v>
      </c>
      <c r="N259" s="78">
        <f>INDEX('Population Data by Age'!$B$7:$H$10366,MATCH(CONCATENATE('Tabular Pop Data by Age'!$C259,'Tabular Pop Data by Age'!N$7),'Population Data by Age'!$B$7:$B$10366,0),MATCH('Tabular Pop Data by Age'!$C$6,'Population Data by Age'!$B$6:$H$6,0))</f>
        <v>15802000</v>
      </c>
      <c r="O259" s="78">
        <f>INDEX('Population Data by Age'!$B$7:$H$10366,MATCH(CONCATENATE('Tabular Pop Data by Age'!$C259,'Tabular Pop Data by Age'!O$7),'Population Data by Age'!$B$7:$B$10366,0),MATCH('Tabular Pop Data by Age'!$C$6,'Population Data by Age'!$B$6:$H$6,0))</f>
        <v>16402000</v>
      </c>
      <c r="P259" s="78">
        <f>INDEX('Population Data by Age'!$B$7:$H$10366,MATCH(CONCATENATE('Tabular Pop Data by Age'!$C259,'Tabular Pop Data by Age'!P$7),'Population Data by Age'!$B$7:$B$10366,0),MATCH('Tabular Pop Data by Age'!$C$6,'Population Data by Age'!$B$6:$H$6,0))</f>
        <v>18674000</v>
      </c>
      <c r="Q259" s="78">
        <f>INDEX('Population Data by Age'!$B$7:$H$10366,MATCH(CONCATENATE('Tabular Pop Data by Age'!$C259,'Tabular Pop Data by Age'!Q$7),'Population Data by Age'!$B$7:$B$10366,0),MATCH('Tabular Pop Data by Age'!$C$6,'Population Data by Age'!$B$6:$H$6,0))</f>
        <v>19063000</v>
      </c>
      <c r="R259" s="78">
        <f>INDEX('Population Data by Age'!$B$7:$H$10366,MATCH(CONCATENATE('Tabular Pop Data by Age'!$C259,'Tabular Pop Data by Age'!R$7),'Population Data by Age'!$B$7:$B$10366,0),MATCH('Tabular Pop Data by Age'!$C$6,'Population Data by Age'!$B$6:$H$6,0))</f>
        <v>17828000</v>
      </c>
      <c r="S259" s="78">
        <f>INDEX('Population Data by Age'!$B$7:$H$10366,MATCH(CONCATENATE('Tabular Pop Data by Age'!$C259,'Tabular Pop Data by Age'!S$7),'Population Data by Age'!$B$7:$B$10366,0),MATCH('Tabular Pop Data by Age'!$C$6,'Population Data by Age'!$B$6:$H$6,0))</f>
        <v>17920000</v>
      </c>
      <c r="T259" s="78">
        <f>INDEX('Population Data by Age'!$B$7:$H$10366,MATCH(CONCATENATE('Tabular Pop Data by Age'!$C259,'Tabular Pop Data by Age'!T$7),'Population Data by Age'!$B$7:$B$10366,0),MATCH('Tabular Pop Data by Age'!$C$6,'Population Data by Age'!$B$6:$H$6,0))</f>
        <v>16618000</v>
      </c>
      <c r="U259" s="78">
        <f>INDEX('Population Data by Age'!$B$7:$H$10366,MATCH(CONCATENATE('Tabular Pop Data by Age'!$C259,'Tabular Pop Data by Age'!U$7),'Population Data by Age'!$B$7:$B$10366,0),MATCH('Tabular Pop Data by Age'!$C$6,'Population Data by Age'!$B$6:$H$6,0))</f>
        <v>16124000</v>
      </c>
      <c r="V259" s="78">
        <f>INDEX('Population Data by Age'!$B$7:$H$10366,MATCH(CONCATENATE('Tabular Pop Data by Age'!$C259,'Tabular Pop Data by Age'!V$7),'Population Data by Age'!$B$7:$B$10366,0),MATCH('Tabular Pop Data by Age'!$C$6,'Population Data by Age'!$B$6:$H$6,0))</f>
        <v>15404000</v>
      </c>
      <c r="W259" s="78">
        <f>INDEX('Population Data by Age'!$B$7:$H$10366,MATCH(CONCATENATE('Tabular Pop Data by Age'!$C259,'Tabular Pop Data by Age'!W$7),'Population Data by Age'!$B$7:$B$10366,0),MATCH('Tabular Pop Data by Age'!$C$6,'Population Data by Age'!$B$6:$H$6,0))</f>
        <v>14585000</v>
      </c>
      <c r="X259" s="78">
        <f>INDEX('Population Data by Age'!$B$7:$H$10366,MATCH(CONCATENATE('Tabular Pop Data by Age'!$C259,'Tabular Pop Data by Age'!X$7),'Population Data by Age'!$B$7:$B$10366,0),MATCH('Tabular Pop Data by Age'!$C$6,'Population Data by Age'!$B$6:$H$6,0))</f>
        <v>14059000</v>
      </c>
      <c r="Y259" s="78">
        <f>INDEX('Population Data by Age'!$B$7:$H$10366,MATCH(CONCATENATE('Tabular Pop Data by Age'!$C259,'Tabular Pop Data by Age'!Y$7),'Population Data by Age'!$B$7:$B$10366,0),MATCH('Tabular Pop Data by Age'!$C$6,'Population Data by Age'!$B$6:$H$6,0))</f>
        <v>12788000</v>
      </c>
      <c r="Z259" s="78">
        <f>INDEX('Population Data by Age'!$B$7:$H$10366,MATCH(CONCATENATE('Tabular Pop Data by Age'!$C259,'Tabular Pop Data by Age'!Z$7),'Population Data by Age'!$B$7:$B$10366,0),MATCH('Tabular Pop Data by Age'!$C$6,'Population Data by Age'!$B$6:$H$6,0))</f>
        <v>15259000</v>
      </c>
      <c r="AA259" s="78">
        <f>INDEX('Population Data by Age'!$B$7:$H$10366,MATCH(CONCATENATE('Tabular Pop Data by Age'!$C259,'Tabular Pop Data by Age'!AA$7),'Population Data by Age'!$B$7:$B$10366,0),MATCH('Tabular Pop Data by Age'!$C$6,'Population Data by Age'!$B$6:$H$6,0))</f>
        <v>13081000</v>
      </c>
      <c r="AB259" s="78">
        <f>INDEX('Population Data by Age'!$B$7:$H$10366,MATCH(CONCATENATE('Tabular Pop Data by Age'!$C259,'Tabular Pop Data by Age'!AB$7),'Population Data by Age'!$B$7:$B$10366,0),MATCH('Tabular Pop Data by Age'!$C$6,'Population Data by Age'!$B$6:$H$6,0))</f>
        <v>14894000</v>
      </c>
      <c r="AC259" s="78">
        <f>INDEX('Population Data by Age'!$B$7:$H$10366,MATCH(CONCATENATE('Tabular Pop Data by Age'!$C259,'Tabular Pop Data by Age'!AC$7),'Population Data by Age'!$B$7:$B$10366,0),MATCH('Tabular Pop Data by Age'!$C$6,'Population Data by Age'!$B$6:$H$6,0))</f>
        <v>11722000</v>
      </c>
      <c r="AD259" s="78">
        <f>INDEX('Population Data by Age'!$B$7:$H$10366,MATCH(CONCATENATE('Tabular Pop Data by Age'!$C259,'Tabular Pop Data by Age'!AD$7),'Population Data by Age'!$B$7:$B$10366,0),MATCH('Tabular Pop Data by Age'!$C$6,'Population Data by Age'!$B$6:$H$6,0))</f>
        <v>13114000</v>
      </c>
      <c r="AE259" s="78">
        <f>INDEX('Population Data by Age'!$B$7:$H$10366,MATCH(CONCATENATE('Tabular Pop Data by Age'!$C259,'Tabular Pop Data by Age'!AE$7),'Population Data by Age'!$B$7:$B$10366,0),MATCH('Tabular Pop Data by Age'!$C$6,'Population Data by Age'!$B$6:$H$6,0))</f>
        <v>9240000</v>
      </c>
      <c r="AF259" s="78">
        <f>INDEX('Population Data by Age'!$B$7:$H$10366,MATCH(CONCATENATE('Tabular Pop Data by Age'!$C259,'Tabular Pop Data by Age'!AF$7),'Population Data by Age'!$B$7:$B$10366,0),MATCH('Tabular Pop Data by Age'!$C$6,'Population Data by Age'!$B$6:$H$6,0))</f>
        <v>9042000</v>
      </c>
      <c r="AG259" s="78">
        <f>INDEX('Population Data by Age'!$B$7:$H$10366,MATCH(CONCATENATE('Tabular Pop Data by Age'!$C259,'Tabular Pop Data by Age'!AG$7),'Population Data by Age'!$B$7:$B$10366,0),MATCH('Tabular Pop Data by Age'!$C$6,'Population Data by Age'!$B$6:$H$6,0))</f>
        <v>5803000</v>
      </c>
      <c r="AH259" s="78">
        <f>INDEX('Population Data by Age'!$B$7:$H$10366,MATCH(CONCATENATE('Tabular Pop Data by Age'!$C259,'Tabular Pop Data by Age'!AH$7),'Population Data by Age'!$B$7:$B$10366,0),MATCH('Tabular Pop Data by Age'!$C$6,'Population Data by Age'!$B$6:$H$6,0))</f>
        <v>6110700</v>
      </c>
      <c r="AI259" s="78">
        <f>INDEX('Population Data by Age'!$B$7:$H$10366,MATCH(CONCATENATE('Tabular Pop Data by Age'!$C259,'Tabular Pop Data by Age'!AI$7),'Population Data by Age'!$B$7:$B$10366,0),MATCH('Tabular Pop Data by Age'!$C$6,'Population Data by Age'!$B$6:$H$6,0))</f>
        <v>3286100</v>
      </c>
      <c r="AJ259" s="78">
        <f>INDEX('Population Data by Age'!$B$7:$H$10366,MATCH(CONCATENATE('Tabular Pop Data by Age'!$C259,'Tabular Pop Data by Age'!AJ$7),'Population Data by Age'!$B$7:$B$10366,0),MATCH('Tabular Pop Data by Age'!$C$6,'Population Data by Age'!$B$6:$H$6,0))</f>
        <v>10110000</v>
      </c>
      <c r="AK259" s="78">
        <f>INDEX('Population Data by Age'!$B$7:$H$10366,MATCH(CONCATENATE('Tabular Pop Data by Age'!$C259,'Tabular Pop Data by Age'!AK$7),'Population Data by Age'!$B$7:$B$10366,0),MATCH('Tabular Pop Data by Age'!$C$6,'Population Data by Age'!$B$6:$H$6,0))</f>
        <v>4079900</v>
      </c>
      <c r="AL259" s="78">
        <f>INDEX('Population Data by Age'!$B$7:$H$10366,MATCH(CONCATENATE('Tabular Pop Data by Age'!$C259,'Tabular Pop Data by Age'!AL$7),'Population Data by Age'!$B$7:$B$10366,0),MATCH('Tabular Pop Data by Age'!$C$6,'Population Data by Age'!$B$6:$H$6,0))</f>
        <v>239827000</v>
      </c>
      <c r="AM259" s="78">
        <f>INDEX('Population Data by Age'!$B$7:$H$10366,MATCH(CONCATENATE('Tabular Pop Data by Age'!$C259,'Tabular Pop Data by Age'!AM$7),'Population Data by Age'!$B$7:$B$10366,0),MATCH('Tabular Pop Data by Age'!$C$6,'Population Data by Age'!$B$6:$H$6,0))</f>
        <v>220918000</v>
      </c>
      <c r="AN259" s="78">
        <f>INDEX('Population Data by Age'!$B$7:$H$10366,MATCH(CONCATENATE('Tabular Pop Data by Age'!$C259,'Tabular Pop Data by Age'!AN$7),'Population Data by Age'!$B$7:$B$10366,0),MATCH('Tabular Pop Data by Age'!$C$6,'Population Data by Age'!$B$6:$H$6,0))</f>
        <v>462615000</v>
      </c>
      <c r="AO259" s="78">
        <f>INDEX('Population Data by Age'!$B$7:$H$10366,MATCH(CONCATENATE('Tabular Pop Data by Age'!$C259,'Tabular Pop Data by Age'!AO$7),'Population Data by Age'!$B$7:$B$10366,0),MATCH('Tabular Pop Data by Age'!$C$6,'Population Data by Age'!$B$6:$H$6,0))</f>
        <v>0.26789255687840807</v>
      </c>
      <c r="AP259" s="79">
        <f t="shared" si="68"/>
        <v>32107000</v>
      </c>
      <c r="AQ259" s="79">
        <f t="shared" si="69"/>
        <v>32848000</v>
      </c>
      <c r="AR259" s="79">
        <f t="shared" si="70"/>
        <v>30238000</v>
      </c>
      <c r="AS259" s="79">
        <f t="shared" si="71"/>
        <v>27072000</v>
      </c>
      <c r="AT259" s="79">
        <f t="shared" si="72"/>
        <v>27470000</v>
      </c>
      <c r="AU259" s="79">
        <f t="shared" si="73"/>
        <v>32204000</v>
      </c>
      <c r="AV259" s="79">
        <f t="shared" si="74"/>
        <v>37737000</v>
      </c>
      <c r="AW259" s="79">
        <f t="shared" si="75"/>
        <v>35748000</v>
      </c>
      <c r="AX259" s="79">
        <f t="shared" si="76"/>
        <v>32742000</v>
      </c>
      <c r="AY259" s="79">
        <f t="shared" si="77"/>
        <v>29989000</v>
      </c>
      <c r="AZ259" s="79">
        <f t="shared" si="78"/>
        <v>26847000</v>
      </c>
      <c r="BA259" s="79">
        <f t="shared" si="79"/>
        <v>28340000</v>
      </c>
      <c r="BB259" s="79">
        <f t="shared" si="80"/>
        <v>26616000</v>
      </c>
      <c r="BC259" s="79">
        <f t="shared" si="81"/>
        <v>22354000</v>
      </c>
      <c r="BD259" s="79">
        <f t="shared" si="82"/>
        <v>14845000</v>
      </c>
      <c r="BE259" s="79">
        <f t="shared" si="83"/>
        <v>9396800</v>
      </c>
      <c r="BF259" s="79">
        <f t="shared" si="84"/>
        <v>14189900</v>
      </c>
    </row>
    <row r="260" spans="1:58" x14ac:dyDescent="0.25">
      <c r="A260" s="138" t="s">
        <v>1182</v>
      </c>
      <c r="B260" t="s">
        <v>495</v>
      </c>
      <c r="C260" t="s">
        <v>496</v>
      </c>
      <c r="D260" s="78">
        <f>INDEX('Population Data by Age'!$B$7:$H$10366,MATCH(CONCATENATE('Tabular Pop Data by Age'!$C260,'Tabular Pop Data by Age'!D$7),'Population Data by Age'!$B$7:$B$10366,0),MATCH('Tabular Pop Data by Age'!$C$6,'Population Data by Age'!$B$6:$H$6,0))</f>
        <v>12347000</v>
      </c>
      <c r="E260" s="78">
        <f>INDEX('Population Data by Age'!$B$7:$H$10366,MATCH(CONCATENATE('Tabular Pop Data by Age'!$C260,'Tabular Pop Data by Age'!E$7),'Population Data by Age'!$B$7:$B$10366,0),MATCH('Tabular Pop Data by Age'!$C$6,'Population Data by Age'!$B$6:$H$6,0))</f>
        <v>13022000</v>
      </c>
      <c r="F260" s="78">
        <f>INDEX('Population Data by Age'!$B$7:$H$10366,MATCH(CONCATENATE('Tabular Pop Data by Age'!$C260,'Tabular Pop Data by Age'!F$7),'Population Data by Age'!$B$7:$B$10366,0),MATCH('Tabular Pop Data by Age'!$C$6,'Population Data by Age'!$B$6:$H$6,0))</f>
        <v>12896000</v>
      </c>
      <c r="G260" s="78">
        <f>INDEX('Population Data by Age'!$B$7:$H$10366,MATCH(CONCATENATE('Tabular Pop Data by Age'!$C260,'Tabular Pop Data by Age'!G$7),'Population Data by Age'!$B$7:$B$10366,0),MATCH('Tabular Pop Data by Age'!$C$6,'Population Data by Age'!$B$6:$H$6,0))</f>
        <v>13616000</v>
      </c>
      <c r="H260" s="78">
        <f>INDEX('Population Data by Age'!$B$7:$H$10366,MATCH(CONCATENATE('Tabular Pop Data by Age'!$C260,'Tabular Pop Data by Age'!H$7),'Population Data by Age'!$B$7:$B$10366,0),MATCH('Tabular Pop Data by Age'!$C$6,'Population Data by Age'!$B$6:$H$6,0))</f>
        <v>13281000</v>
      </c>
      <c r="I260" s="78">
        <f>INDEX('Population Data by Age'!$B$7:$H$10366,MATCH(CONCATENATE('Tabular Pop Data by Age'!$C260,'Tabular Pop Data by Age'!I$7),'Population Data by Age'!$B$7:$B$10366,0),MATCH('Tabular Pop Data by Age'!$C$6,'Population Data by Age'!$B$6:$H$6,0))</f>
        <v>14049000</v>
      </c>
      <c r="J260" s="78">
        <f>INDEX('Population Data by Age'!$B$7:$H$10366,MATCH(CONCATENATE('Tabular Pop Data by Age'!$C260,'Tabular Pop Data by Age'!J$7),'Population Data by Age'!$B$7:$B$10366,0),MATCH('Tabular Pop Data by Age'!$C$6,'Population Data by Age'!$B$6:$H$6,0))</f>
        <v>12873000</v>
      </c>
      <c r="K260" s="78">
        <f>INDEX('Population Data by Age'!$B$7:$H$10366,MATCH(CONCATENATE('Tabular Pop Data by Age'!$C260,'Tabular Pop Data by Age'!K$7),'Population Data by Age'!$B$7:$B$10366,0),MATCH('Tabular Pop Data by Age'!$C$6,'Population Data by Age'!$B$6:$H$6,0))</f>
        <v>13606000</v>
      </c>
      <c r="L260" s="78">
        <f>INDEX('Population Data by Age'!$B$7:$H$10366,MATCH(CONCATENATE('Tabular Pop Data by Age'!$C260,'Tabular Pop Data by Age'!L$7),'Population Data by Age'!$B$7:$B$10366,0),MATCH('Tabular Pop Data by Age'!$C$6,'Population Data by Age'!$B$6:$H$6,0))</f>
        <v>13462000</v>
      </c>
      <c r="M260" s="78">
        <f>INDEX('Population Data by Age'!$B$7:$H$10366,MATCH(CONCATENATE('Tabular Pop Data by Age'!$C260,'Tabular Pop Data by Age'!M$7),'Population Data by Age'!$B$7:$B$10366,0),MATCH('Tabular Pop Data by Age'!$C$6,'Population Data by Age'!$B$6:$H$6,0))</f>
        <v>14183000</v>
      </c>
      <c r="N260" s="78">
        <f>INDEX('Population Data by Age'!$B$7:$H$10366,MATCH(CONCATENATE('Tabular Pop Data by Age'!$C260,'Tabular Pop Data by Age'!N$7),'Population Data by Age'!$B$7:$B$10366,0),MATCH('Tabular Pop Data by Age'!$C$6,'Population Data by Age'!$B$6:$H$6,0))</f>
        <v>14782000</v>
      </c>
      <c r="O260" s="78">
        <f>INDEX('Population Data by Age'!$B$7:$H$10366,MATCH(CONCATENATE('Tabular Pop Data by Age'!$C260,'Tabular Pop Data by Age'!O$7),'Population Data by Age'!$B$7:$B$10366,0),MATCH('Tabular Pop Data by Age'!$C$6,'Population Data by Age'!$B$6:$H$6,0))</f>
        <v>15474000</v>
      </c>
      <c r="P260" s="78">
        <f>INDEX('Population Data by Age'!$B$7:$H$10366,MATCH(CONCATENATE('Tabular Pop Data by Age'!$C260,'Tabular Pop Data by Age'!P$7),'Population Data by Age'!$B$7:$B$10366,0),MATCH('Tabular Pop Data by Age'!$C$6,'Population Data by Age'!$B$6:$H$6,0))</f>
        <v>16162000</v>
      </c>
      <c r="Q260" s="78">
        <f>INDEX('Population Data by Age'!$B$7:$H$10366,MATCH(CONCATENATE('Tabular Pop Data by Age'!$C260,'Tabular Pop Data by Age'!Q$7),'Population Data by Age'!$B$7:$B$10366,0),MATCH('Tabular Pop Data by Age'!$C$6,'Population Data by Age'!$B$6:$H$6,0))</f>
        <v>16686000</v>
      </c>
      <c r="R260" s="78">
        <f>INDEX('Population Data by Age'!$B$7:$H$10366,MATCH(CONCATENATE('Tabular Pop Data by Age'!$C260,'Tabular Pop Data by Age'!R$7),'Population Data by Age'!$B$7:$B$10366,0),MATCH('Tabular Pop Data by Age'!$C$6,'Population Data by Age'!$B$6:$H$6,0))</f>
        <v>16949000</v>
      </c>
      <c r="S260" s="78">
        <f>INDEX('Population Data by Age'!$B$7:$H$10366,MATCH(CONCATENATE('Tabular Pop Data by Age'!$C260,'Tabular Pop Data by Age'!S$7),'Population Data by Age'!$B$7:$B$10366,0),MATCH('Tabular Pop Data by Age'!$C$6,'Population Data by Age'!$B$6:$H$6,0))</f>
        <v>17224000</v>
      </c>
      <c r="T260" s="78">
        <f>INDEX('Population Data by Age'!$B$7:$H$10366,MATCH(CONCATENATE('Tabular Pop Data by Age'!$C260,'Tabular Pop Data by Age'!T$7),'Population Data by Age'!$B$7:$B$10366,0),MATCH('Tabular Pop Data by Age'!$C$6,'Population Data by Age'!$B$6:$H$6,0))</f>
        <v>17566000</v>
      </c>
      <c r="U260" s="78">
        <f>INDEX('Population Data by Age'!$B$7:$H$10366,MATCH(CONCATENATE('Tabular Pop Data by Age'!$C260,'Tabular Pop Data by Age'!U$7),'Population Data by Age'!$B$7:$B$10366,0),MATCH('Tabular Pop Data by Age'!$C$6,'Population Data by Age'!$B$6:$H$6,0))</f>
        <v>17743000</v>
      </c>
      <c r="V260" s="78">
        <f>INDEX('Population Data by Age'!$B$7:$H$10366,MATCH(CONCATENATE('Tabular Pop Data by Age'!$C260,'Tabular Pop Data by Age'!V$7),'Population Data by Age'!$B$7:$B$10366,0),MATCH('Tabular Pop Data by Age'!$C$6,'Population Data by Age'!$B$6:$H$6,0))</f>
        <v>18049000</v>
      </c>
      <c r="W260" s="78">
        <f>INDEX('Population Data by Age'!$B$7:$H$10366,MATCH(CONCATENATE('Tabular Pop Data by Age'!$C260,'Tabular Pop Data by Age'!W$7),'Population Data by Age'!$B$7:$B$10366,0),MATCH('Tabular Pop Data by Age'!$C$6,'Population Data by Age'!$B$6:$H$6,0))</f>
        <v>18120000</v>
      </c>
      <c r="X260" s="78">
        <f>INDEX('Population Data by Age'!$B$7:$H$10366,MATCH(CONCATENATE('Tabular Pop Data by Age'!$C260,'Tabular Pop Data by Age'!X$7),'Population Data by Age'!$B$7:$B$10366,0),MATCH('Tabular Pop Data by Age'!$C$6,'Population Data by Age'!$B$6:$H$6,0))</f>
        <v>18713000</v>
      </c>
      <c r="Y260" s="78">
        <f>INDEX('Population Data by Age'!$B$7:$H$10366,MATCH(CONCATENATE('Tabular Pop Data by Age'!$C260,'Tabular Pop Data by Age'!Y$7),'Population Data by Age'!$B$7:$B$10366,0),MATCH('Tabular Pop Data by Age'!$C$6,'Population Data by Age'!$B$6:$H$6,0))</f>
        <v>18507000</v>
      </c>
      <c r="Z260" s="78">
        <f>INDEX('Population Data by Age'!$B$7:$H$10366,MATCH(CONCATENATE('Tabular Pop Data by Age'!$C260,'Tabular Pop Data by Age'!Z$7),'Population Data by Age'!$B$7:$B$10366,0),MATCH('Tabular Pop Data by Age'!$C$6,'Population Data by Age'!$B$6:$H$6,0))</f>
        <v>18317000</v>
      </c>
      <c r="AA260" s="78">
        <f>INDEX('Population Data by Age'!$B$7:$H$10366,MATCH(CONCATENATE('Tabular Pop Data by Age'!$C260,'Tabular Pop Data by Age'!AA$7),'Population Data by Age'!$B$7:$B$10366,0),MATCH('Tabular Pop Data by Age'!$C$6,'Population Data by Age'!$B$6:$H$6,0))</f>
        <v>17720000</v>
      </c>
      <c r="AB260" s="78">
        <f>INDEX('Population Data by Age'!$B$7:$H$10366,MATCH(CONCATENATE('Tabular Pop Data by Age'!$C260,'Tabular Pop Data by Age'!AB$7),'Population Data by Age'!$B$7:$B$10366,0),MATCH('Tabular Pop Data by Age'!$C$6,'Population Data by Age'!$B$6:$H$6,0))</f>
        <v>17090000</v>
      </c>
      <c r="AC260" s="78">
        <f>INDEX('Population Data by Age'!$B$7:$H$10366,MATCH(CONCATENATE('Tabular Pop Data by Age'!$C260,'Tabular Pop Data by Age'!AC$7),'Population Data by Age'!$B$7:$B$10366,0),MATCH('Tabular Pop Data by Age'!$C$6,'Population Data by Age'!$B$6:$H$6,0))</f>
        <v>15933000</v>
      </c>
      <c r="AD260" s="78">
        <f>INDEX('Population Data by Age'!$B$7:$H$10366,MATCH(CONCATENATE('Tabular Pop Data by Age'!$C260,'Tabular Pop Data by Age'!AD$7),'Population Data by Age'!$B$7:$B$10366,0),MATCH('Tabular Pop Data by Age'!$C$6,'Population Data by Age'!$B$6:$H$6,0))</f>
        <v>15580000</v>
      </c>
      <c r="AE260" s="78">
        <f>INDEX('Population Data by Age'!$B$7:$H$10366,MATCH(CONCATENATE('Tabular Pop Data by Age'!$C260,'Tabular Pop Data by Age'!AE$7),'Population Data by Age'!$B$7:$B$10366,0),MATCH('Tabular Pop Data by Age'!$C$6,'Population Data by Age'!$B$6:$H$6,0))</f>
        <v>13830000</v>
      </c>
      <c r="AF260" s="78">
        <f>INDEX('Population Data by Age'!$B$7:$H$10366,MATCH(CONCATENATE('Tabular Pop Data by Age'!$C260,'Tabular Pop Data by Age'!AF$7),'Population Data by Age'!$B$7:$B$10366,0),MATCH('Tabular Pop Data by Age'!$C$6,'Population Data by Age'!$B$6:$H$6,0))</f>
        <v>14092000</v>
      </c>
      <c r="AG260" s="78">
        <f>INDEX('Population Data by Age'!$B$7:$H$10366,MATCH(CONCATENATE('Tabular Pop Data by Age'!$C260,'Tabular Pop Data by Age'!AG$7),'Population Data by Age'!$B$7:$B$10366,0),MATCH('Tabular Pop Data by Age'!$C$6,'Population Data by Age'!$B$6:$H$6,0))</f>
        <v>11967000</v>
      </c>
      <c r="AH260" s="78">
        <f>INDEX('Population Data by Age'!$B$7:$H$10366,MATCH(CONCATENATE('Tabular Pop Data by Age'!$C260,'Tabular Pop Data by Age'!AH$7),'Population Data by Age'!$B$7:$B$10366,0),MATCH('Tabular Pop Data by Age'!$C$6,'Population Data by Age'!$B$6:$H$6,0))</f>
        <v>10916500</v>
      </c>
      <c r="AI260" s="78">
        <f>INDEX('Population Data by Age'!$B$7:$H$10366,MATCH(CONCATENATE('Tabular Pop Data by Age'!$C260,'Tabular Pop Data by Age'!AI$7),'Population Data by Age'!$B$7:$B$10366,0),MATCH('Tabular Pop Data by Age'!$C$6,'Population Data by Age'!$B$6:$H$6,0))</f>
        <v>8553700</v>
      </c>
      <c r="AJ260" s="78">
        <f>INDEX('Population Data by Age'!$B$7:$H$10366,MATCH(CONCATENATE('Tabular Pop Data by Age'!$C260,'Tabular Pop Data by Age'!AJ$7),'Population Data by Age'!$B$7:$B$10366,0),MATCH('Tabular Pop Data by Age'!$C$6,'Population Data by Age'!$B$6:$H$6,0))</f>
        <v>19111000</v>
      </c>
      <c r="AK260" s="78">
        <f>INDEX('Population Data by Age'!$B$7:$H$10366,MATCH(CONCATENATE('Tabular Pop Data by Age'!$C260,'Tabular Pop Data by Age'!AK$7),'Population Data by Age'!$B$7:$B$10366,0),MATCH('Tabular Pop Data by Age'!$C$6,'Population Data by Age'!$B$6:$H$6,0))</f>
        <v>11293400</v>
      </c>
      <c r="AL260" s="78">
        <f>INDEX('Population Data by Age'!$B$7:$H$10366,MATCH(CONCATENATE('Tabular Pop Data by Age'!$C260,'Tabular Pop Data by Age'!AL$7),'Population Data by Age'!$B$7:$B$10366,0),MATCH('Tabular Pop Data by Age'!$C$6,'Population Data by Age'!$B$6:$H$6,0))</f>
        <v>262195000</v>
      </c>
      <c r="AM260" s="78">
        <f>INDEX('Population Data by Age'!$B$7:$H$10366,MATCH(CONCATENATE('Tabular Pop Data by Age'!$C260,'Tabular Pop Data by Age'!AM$7),'Population Data by Age'!$B$7:$B$10366,0),MATCH('Tabular Pop Data by Age'!$C$6,'Population Data by Age'!$B$6:$H$6,0))</f>
        <v>251523000</v>
      </c>
      <c r="AN260" s="78">
        <f>INDEX('Population Data by Age'!$B$7:$H$10366,MATCH(CONCATENATE('Tabular Pop Data by Age'!$C260,'Tabular Pop Data by Age'!AN$7),'Population Data by Age'!$B$7:$B$10366,0),MATCH('Tabular Pop Data by Age'!$C$6,'Population Data by Age'!$B$6:$H$6,0))</f>
        <v>513719000</v>
      </c>
      <c r="AO260" s="78">
        <f>INDEX('Population Data by Age'!$B$7:$H$10366,MATCH(CONCATENATE('Tabular Pop Data by Age'!$C260,'Tabular Pop Data by Age'!AO$7),'Population Data by Age'!$B$7:$B$10366,0),MATCH('Tabular Pop Data by Age'!$C$6,'Population Data by Age'!$B$6:$H$6,0))</f>
        <v>4.8883279970695526E-2</v>
      </c>
      <c r="AP260" s="79">
        <f t="shared" si="68"/>
        <v>25369000</v>
      </c>
      <c r="AQ260" s="79">
        <f t="shared" si="69"/>
        <v>26512000</v>
      </c>
      <c r="AR260" s="79">
        <f t="shared" si="70"/>
        <v>27330000</v>
      </c>
      <c r="AS260" s="79">
        <f t="shared" si="71"/>
        <v>26479000</v>
      </c>
      <c r="AT260" s="79">
        <f t="shared" si="72"/>
        <v>27645000</v>
      </c>
      <c r="AU260" s="79">
        <f t="shared" si="73"/>
        <v>30256000</v>
      </c>
      <c r="AV260" s="79">
        <f t="shared" si="74"/>
        <v>32848000</v>
      </c>
      <c r="AW260" s="79">
        <f t="shared" si="75"/>
        <v>34173000</v>
      </c>
      <c r="AX260" s="79">
        <f t="shared" si="76"/>
        <v>35309000</v>
      </c>
      <c r="AY260" s="79">
        <f t="shared" si="77"/>
        <v>36169000</v>
      </c>
      <c r="AZ260" s="79">
        <f t="shared" si="78"/>
        <v>37220000</v>
      </c>
      <c r="BA260" s="79">
        <f t="shared" si="79"/>
        <v>36037000</v>
      </c>
      <c r="BB260" s="79">
        <f t="shared" si="80"/>
        <v>33023000</v>
      </c>
      <c r="BC260" s="79">
        <f t="shared" si="81"/>
        <v>29410000</v>
      </c>
      <c r="BD260" s="79">
        <f t="shared" si="82"/>
        <v>26059000</v>
      </c>
      <c r="BE260" s="79">
        <f t="shared" si="83"/>
        <v>19470200</v>
      </c>
      <c r="BF260" s="79">
        <f t="shared" si="84"/>
        <v>30404400</v>
      </c>
    </row>
    <row r="261" spans="1:58" x14ac:dyDescent="0.25">
      <c r="A261" s="138" t="s">
        <v>1182</v>
      </c>
      <c r="B261" t="s">
        <v>500</v>
      </c>
      <c r="C261" t="s">
        <v>501</v>
      </c>
      <c r="D261" s="78">
        <f>INDEX('Population Data by Age'!$B$7:$H$10366,MATCH(CONCATENATE('Tabular Pop Data by Age'!$C261,'Tabular Pop Data by Age'!D$7),'Population Data by Age'!$B$7:$B$10366,0),MATCH('Tabular Pop Data by Age'!$C$6,'Population Data by Age'!$B$6:$H$6,0))</f>
        <v>38327400</v>
      </c>
      <c r="E261" s="78">
        <f>INDEX('Population Data by Age'!$B$7:$H$10366,MATCH(CONCATENATE('Tabular Pop Data by Age'!$C261,'Tabular Pop Data by Age'!E$7),'Population Data by Age'!$B$7:$B$10366,0),MATCH('Tabular Pop Data by Age'!$C$6,'Population Data by Age'!$B$6:$H$6,0))</f>
        <v>39423100</v>
      </c>
      <c r="F261" s="78">
        <f>INDEX('Population Data by Age'!$B$7:$H$10366,MATCH(CONCATENATE('Tabular Pop Data by Age'!$C261,'Tabular Pop Data by Age'!F$7),'Population Data by Age'!$B$7:$B$10366,0),MATCH('Tabular Pop Data by Age'!$C$6,'Population Data by Age'!$B$6:$H$6,0))</f>
        <v>35069500</v>
      </c>
      <c r="G261" s="78">
        <f>INDEX('Population Data by Age'!$B$7:$H$10366,MATCH(CONCATENATE('Tabular Pop Data by Age'!$C261,'Tabular Pop Data by Age'!G$7),'Population Data by Age'!$B$7:$B$10366,0),MATCH('Tabular Pop Data by Age'!$C$6,'Population Data by Age'!$B$6:$H$6,0))</f>
        <v>36008600</v>
      </c>
      <c r="H261" s="78">
        <f>INDEX('Population Data by Age'!$B$7:$H$10366,MATCH(CONCATENATE('Tabular Pop Data by Age'!$C261,'Tabular Pop Data by Age'!H$7),'Population Data by Age'!$B$7:$B$10366,0),MATCH('Tabular Pop Data by Age'!$C$6,'Population Data by Age'!$B$6:$H$6,0))</f>
        <v>31759400</v>
      </c>
      <c r="I261" s="78">
        <f>INDEX('Population Data by Age'!$B$7:$H$10366,MATCH(CONCATENATE('Tabular Pop Data by Age'!$C261,'Tabular Pop Data by Age'!I$7),'Population Data by Age'!$B$7:$B$10366,0),MATCH('Tabular Pop Data by Age'!$C$6,'Population Data by Age'!$B$6:$H$6,0))</f>
        <v>32525800</v>
      </c>
      <c r="J261" s="78">
        <f>INDEX('Population Data by Age'!$B$7:$H$10366,MATCH(CONCATENATE('Tabular Pop Data by Age'!$C261,'Tabular Pop Data by Age'!J$7),'Population Data by Age'!$B$7:$B$10366,0),MATCH('Tabular Pop Data by Age'!$C$6,'Population Data by Age'!$B$6:$H$6,0))</f>
        <v>28169600</v>
      </c>
      <c r="K261" s="78">
        <f>INDEX('Population Data by Age'!$B$7:$H$10366,MATCH(CONCATENATE('Tabular Pop Data by Age'!$C261,'Tabular Pop Data by Age'!K$7),'Population Data by Age'!$B$7:$B$10366,0),MATCH('Tabular Pop Data by Age'!$C$6,'Population Data by Age'!$B$6:$H$6,0))</f>
        <v>28736100</v>
      </c>
      <c r="L261" s="78">
        <f>INDEX('Population Data by Age'!$B$7:$H$10366,MATCH(CONCATENATE('Tabular Pop Data by Age'!$C261,'Tabular Pop Data by Age'!L$7),'Population Data by Age'!$B$7:$B$10366,0),MATCH('Tabular Pop Data by Age'!$C$6,'Population Data by Age'!$B$6:$H$6,0))</f>
        <v>24573000</v>
      </c>
      <c r="M261" s="78">
        <f>INDEX('Population Data by Age'!$B$7:$H$10366,MATCH(CONCATENATE('Tabular Pop Data by Age'!$C261,'Tabular Pop Data by Age'!M$7),'Population Data by Age'!$B$7:$B$10366,0),MATCH('Tabular Pop Data by Age'!$C$6,'Population Data by Age'!$B$6:$H$6,0))</f>
        <v>24857500</v>
      </c>
      <c r="N261" s="78">
        <f>INDEX('Population Data by Age'!$B$7:$H$10366,MATCH(CONCATENATE('Tabular Pop Data by Age'!$C261,'Tabular Pop Data by Age'!N$7),'Population Data by Age'!$B$7:$B$10366,0),MATCH('Tabular Pop Data by Age'!$C$6,'Population Data by Age'!$B$6:$H$6,0))</f>
        <v>21199900</v>
      </c>
      <c r="O261" s="78">
        <f>INDEX('Population Data by Age'!$B$7:$H$10366,MATCH(CONCATENATE('Tabular Pop Data by Age'!$C261,'Tabular Pop Data by Age'!O$7),'Population Data by Age'!$B$7:$B$10366,0),MATCH('Tabular Pop Data by Age'!$C$6,'Population Data by Age'!$B$6:$H$6,0))</f>
        <v>21254400</v>
      </c>
      <c r="P261" s="78">
        <f>INDEX('Population Data by Age'!$B$7:$H$10366,MATCH(CONCATENATE('Tabular Pop Data by Age'!$C261,'Tabular Pop Data by Age'!P$7),'Population Data by Age'!$B$7:$B$10366,0),MATCH('Tabular Pop Data by Age'!$C$6,'Population Data by Age'!$B$6:$H$6,0))</f>
        <v>18209600</v>
      </c>
      <c r="Q261" s="78">
        <f>INDEX('Population Data by Age'!$B$7:$H$10366,MATCH(CONCATENATE('Tabular Pop Data by Age'!$C261,'Tabular Pop Data by Age'!Q$7),'Population Data by Age'!$B$7:$B$10366,0),MATCH('Tabular Pop Data by Age'!$C$6,'Population Data by Age'!$B$6:$H$6,0))</f>
        <v>18054800</v>
      </c>
      <c r="R261" s="78">
        <f>INDEX('Population Data by Age'!$B$7:$H$10366,MATCH(CONCATENATE('Tabular Pop Data by Age'!$C261,'Tabular Pop Data by Age'!R$7),'Population Data by Age'!$B$7:$B$10366,0),MATCH('Tabular Pop Data by Age'!$C$6,'Population Data by Age'!$B$6:$H$6,0))</f>
        <v>15594400</v>
      </c>
      <c r="S261" s="78">
        <f>INDEX('Population Data by Age'!$B$7:$H$10366,MATCH(CONCATENATE('Tabular Pop Data by Age'!$C261,'Tabular Pop Data by Age'!S$7),'Population Data by Age'!$B$7:$B$10366,0),MATCH('Tabular Pop Data by Age'!$C$6,'Population Data by Age'!$B$6:$H$6,0))</f>
        <v>15309000</v>
      </c>
      <c r="T261" s="78">
        <f>INDEX('Population Data by Age'!$B$7:$H$10366,MATCH(CONCATENATE('Tabular Pop Data by Age'!$C261,'Tabular Pop Data by Age'!T$7),'Population Data by Age'!$B$7:$B$10366,0),MATCH('Tabular Pop Data by Age'!$C$6,'Population Data by Age'!$B$6:$H$6,0))</f>
        <v>13110200</v>
      </c>
      <c r="U261" s="78">
        <f>INDEX('Population Data by Age'!$B$7:$H$10366,MATCH(CONCATENATE('Tabular Pop Data by Age'!$C261,'Tabular Pop Data by Age'!U$7),'Population Data by Age'!$B$7:$B$10366,0),MATCH('Tabular Pop Data by Age'!$C$6,'Population Data by Age'!$B$6:$H$6,0))</f>
        <v>12771100</v>
      </c>
      <c r="V261" s="78">
        <f>INDEX('Population Data by Age'!$B$7:$H$10366,MATCH(CONCATENATE('Tabular Pop Data by Age'!$C261,'Tabular Pop Data by Age'!V$7),'Population Data by Age'!$B$7:$B$10366,0),MATCH('Tabular Pop Data by Age'!$C$6,'Population Data by Age'!$B$6:$H$6,0))</f>
        <v>10845400</v>
      </c>
      <c r="W261" s="78">
        <f>INDEX('Population Data by Age'!$B$7:$H$10366,MATCH(CONCATENATE('Tabular Pop Data by Age'!$C261,'Tabular Pop Data by Age'!W$7),'Population Data by Age'!$B$7:$B$10366,0),MATCH('Tabular Pop Data by Age'!$C$6,'Population Data by Age'!$B$6:$H$6,0))</f>
        <v>10394000</v>
      </c>
      <c r="X261" s="78">
        <f>INDEX('Population Data by Age'!$B$7:$H$10366,MATCH(CONCATENATE('Tabular Pop Data by Age'!$C261,'Tabular Pop Data by Age'!X$7),'Population Data by Age'!$B$7:$B$10366,0),MATCH('Tabular Pop Data by Age'!$C$6,'Population Data by Age'!$B$6:$H$6,0))</f>
        <v>8971500</v>
      </c>
      <c r="Y261" s="78">
        <f>INDEX('Population Data by Age'!$B$7:$H$10366,MATCH(CONCATENATE('Tabular Pop Data by Age'!$C261,'Tabular Pop Data by Age'!Y$7),'Population Data by Age'!$B$7:$B$10366,0),MATCH('Tabular Pop Data by Age'!$C$6,'Population Data by Age'!$B$6:$H$6,0))</f>
        <v>8379000</v>
      </c>
      <c r="Z261" s="78">
        <f>INDEX('Population Data by Age'!$B$7:$H$10366,MATCH(CONCATENATE('Tabular Pop Data by Age'!$C261,'Tabular Pop Data by Age'!Z$7),'Population Data by Age'!$B$7:$B$10366,0),MATCH('Tabular Pop Data by Age'!$C$6,'Population Data by Age'!$B$6:$H$6,0))</f>
        <v>7199600</v>
      </c>
      <c r="AA261" s="78">
        <f>INDEX('Population Data by Age'!$B$7:$H$10366,MATCH(CONCATENATE('Tabular Pop Data by Age'!$C261,'Tabular Pop Data by Age'!AA$7),'Population Data by Age'!$B$7:$B$10366,0),MATCH('Tabular Pop Data by Age'!$C$6,'Population Data by Age'!$B$6:$H$6,0))</f>
        <v>6565600</v>
      </c>
      <c r="AB261" s="78">
        <f>INDEX('Population Data by Age'!$B$7:$H$10366,MATCH(CONCATENATE('Tabular Pop Data by Age'!$C261,'Tabular Pop Data by Age'!AB$7),'Population Data by Age'!$B$7:$B$10366,0),MATCH('Tabular Pop Data by Age'!$C$6,'Population Data by Age'!$B$6:$H$6,0))</f>
        <v>5681500</v>
      </c>
      <c r="AC261" s="78">
        <f>INDEX('Population Data by Age'!$B$7:$H$10366,MATCH(CONCATENATE('Tabular Pop Data by Age'!$C261,'Tabular Pop Data by Age'!AC$7),'Population Data by Age'!$B$7:$B$10366,0),MATCH('Tabular Pop Data by Age'!$C$6,'Population Data by Age'!$B$6:$H$6,0))</f>
        <v>5013600</v>
      </c>
      <c r="AD261" s="78">
        <f>INDEX('Population Data by Age'!$B$7:$H$10366,MATCH(CONCATENATE('Tabular Pop Data by Age'!$C261,'Tabular Pop Data by Age'!AD$7),'Population Data by Age'!$B$7:$B$10366,0),MATCH('Tabular Pop Data by Age'!$C$6,'Population Data by Age'!$B$6:$H$6,0))</f>
        <v>4435000</v>
      </c>
      <c r="AE261" s="78">
        <f>INDEX('Population Data by Age'!$B$7:$H$10366,MATCH(CONCATENATE('Tabular Pop Data by Age'!$C261,'Tabular Pop Data by Age'!AE$7),'Population Data by Age'!$B$7:$B$10366,0),MATCH('Tabular Pop Data by Age'!$C$6,'Population Data by Age'!$B$6:$H$6,0))</f>
        <v>3710300</v>
      </c>
      <c r="AF261" s="78">
        <f>INDEX('Population Data by Age'!$B$7:$H$10366,MATCH(CONCATENATE('Tabular Pop Data by Age'!$C261,'Tabular Pop Data by Age'!AF$7),'Population Data by Age'!$B$7:$B$10366,0),MATCH('Tabular Pop Data by Age'!$C$6,'Population Data by Age'!$B$6:$H$6,0))</f>
        <v>2888300</v>
      </c>
      <c r="AG261" s="78">
        <f>INDEX('Population Data by Age'!$B$7:$H$10366,MATCH(CONCATENATE('Tabular Pop Data by Age'!$C261,'Tabular Pop Data by Age'!AG$7),'Population Data by Age'!$B$7:$B$10366,0),MATCH('Tabular Pop Data by Age'!$C$6,'Population Data by Age'!$B$6:$H$6,0))</f>
        <v>2346500</v>
      </c>
      <c r="AH261" s="78">
        <f>INDEX('Population Data by Age'!$B$7:$H$10366,MATCH(CONCATENATE('Tabular Pop Data by Age'!$C261,'Tabular Pop Data by Age'!AH$7),'Population Data by Age'!$B$7:$B$10366,0),MATCH('Tabular Pop Data by Age'!$C$6,'Population Data by Age'!$B$6:$H$6,0))</f>
        <v>1834800</v>
      </c>
      <c r="AI261" s="78">
        <f>INDEX('Population Data by Age'!$B$7:$H$10366,MATCH(CONCATENATE('Tabular Pop Data by Age'!$C261,'Tabular Pop Data by Age'!AI$7),'Population Data by Age'!$B$7:$B$10366,0),MATCH('Tabular Pop Data by Age'!$C$6,'Population Data by Age'!$B$6:$H$6,0))</f>
        <v>1397200</v>
      </c>
      <c r="AJ261" s="78">
        <f>INDEX('Population Data by Age'!$B$7:$H$10366,MATCH(CONCATENATE('Tabular Pop Data by Age'!$C261,'Tabular Pop Data by Age'!AJ$7),'Population Data by Age'!$B$7:$B$10366,0),MATCH('Tabular Pop Data by Age'!$C$6,'Population Data by Age'!$B$6:$H$6,0))</f>
        <v>1453900</v>
      </c>
      <c r="AK261" s="78">
        <f>INDEX('Population Data by Age'!$B$7:$H$10366,MATCH(CONCATENATE('Tabular Pop Data by Age'!$C261,'Tabular Pop Data by Age'!AK$7),'Population Data by Age'!$B$7:$B$10366,0),MATCH('Tabular Pop Data by Age'!$C$6,'Population Data by Age'!$B$6:$H$6,0))</f>
        <v>949400</v>
      </c>
      <c r="AL261" s="78">
        <f>INDEX('Population Data by Age'!$B$7:$H$10366,MATCH(CONCATENATE('Tabular Pop Data by Age'!$C261,'Tabular Pop Data by Age'!AL$7),'Population Data by Age'!$B$7:$B$10366,0),MATCH('Tabular Pop Data by Age'!$C$6,'Population Data by Age'!$B$6:$H$6,0))</f>
        <v>269332000</v>
      </c>
      <c r="AM261" s="78">
        <f>INDEX('Population Data by Age'!$B$7:$H$10366,MATCH(CONCATENATE('Tabular Pop Data by Age'!$C261,'Tabular Pop Data by Age'!AM$7),'Population Data by Age'!$B$7:$B$10366,0),MATCH('Tabular Pop Data by Age'!$C$6,'Population Data by Age'!$B$6:$H$6,0))</f>
        <v>267691000</v>
      </c>
      <c r="AN261" s="78">
        <f>INDEX('Population Data by Age'!$B$7:$H$10366,MATCH(CONCATENATE('Tabular Pop Data by Age'!$C261,'Tabular Pop Data by Age'!AN$7),'Population Data by Age'!$B$7:$B$10366,0),MATCH('Tabular Pop Data by Age'!$C$6,'Population Data by Age'!$B$6:$H$6,0))</f>
        <v>538961000</v>
      </c>
      <c r="AO261" s="78">
        <f>INDEX('Population Data by Age'!$B$7:$H$10366,MATCH(CONCATENATE('Tabular Pop Data by Age'!$C261,'Tabular Pop Data by Age'!AO$7),'Population Data by Age'!$B$7:$B$10366,0),MATCH('Tabular Pop Data by Age'!$C$6,'Population Data by Age'!$B$6:$H$6,0))</f>
        <v>2.3039996355512073</v>
      </c>
      <c r="AP261" s="79">
        <f t="shared" si="68"/>
        <v>77750500</v>
      </c>
      <c r="AQ261" s="79">
        <f t="shared" si="69"/>
        <v>71078100</v>
      </c>
      <c r="AR261" s="79">
        <f t="shared" si="70"/>
        <v>64285200</v>
      </c>
      <c r="AS261" s="79">
        <f t="shared" si="71"/>
        <v>56905700</v>
      </c>
      <c r="AT261" s="79">
        <f t="shared" si="72"/>
        <v>49430500</v>
      </c>
      <c r="AU261" s="79">
        <f t="shared" si="73"/>
        <v>42454300</v>
      </c>
      <c r="AV261" s="79">
        <f t="shared" si="74"/>
        <v>36264400</v>
      </c>
      <c r="AW261" s="79">
        <f t="shared" si="75"/>
        <v>30903400</v>
      </c>
      <c r="AX261" s="79">
        <f t="shared" si="76"/>
        <v>25881300</v>
      </c>
      <c r="AY261" s="79">
        <f t="shared" si="77"/>
        <v>21239400</v>
      </c>
      <c r="AZ261" s="79">
        <f t="shared" si="78"/>
        <v>17350500</v>
      </c>
      <c r="BA261" s="79">
        <f t="shared" si="79"/>
        <v>13765200</v>
      </c>
      <c r="BB261" s="79">
        <f t="shared" si="80"/>
        <v>10695100</v>
      </c>
      <c r="BC261" s="79">
        <f t="shared" si="81"/>
        <v>8145300</v>
      </c>
      <c r="BD261" s="79">
        <f t="shared" si="82"/>
        <v>5234800</v>
      </c>
      <c r="BE261" s="79">
        <f t="shared" si="83"/>
        <v>3232000</v>
      </c>
      <c r="BF261" s="79">
        <f t="shared" si="84"/>
        <v>2403300</v>
      </c>
    </row>
    <row r="262" spans="1:58" x14ac:dyDescent="0.25">
      <c r="A262" s="138" t="s">
        <v>1182</v>
      </c>
      <c r="B262" t="s">
        <v>515</v>
      </c>
      <c r="C262" t="s">
        <v>516</v>
      </c>
      <c r="D262" s="78">
        <f>INDEX('Population Data by Age'!$B$7:$H$10366,MATCH(CONCATENATE('Tabular Pop Data by Age'!$C262,'Tabular Pop Data by Age'!D$7),'Population Data by Age'!$B$7:$B$10366,0),MATCH('Tabular Pop Data by Age'!$C$6,'Population Data by Age'!$B$6:$H$6,0))</f>
        <v>63592000</v>
      </c>
      <c r="E262" s="78">
        <f>INDEX('Population Data by Age'!$B$7:$H$10366,MATCH(CONCATENATE('Tabular Pop Data by Age'!$C262,'Tabular Pop Data by Age'!E$7),'Population Data by Age'!$B$7:$B$10366,0),MATCH('Tabular Pop Data by Age'!$C$6,'Population Data by Age'!$B$6:$H$6,0))</f>
        <v>65245000</v>
      </c>
      <c r="F262" s="78">
        <f>INDEX('Population Data by Age'!$B$7:$H$10366,MATCH(CONCATENATE('Tabular Pop Data by Age'!$C262,'Tabular Pop Data by Age'!F$7),'Population Data by Age'!$B$7:$B$10366,0),MATCH('Tabular Pop Data by Age'!$C$6,'Population Data by Age'!$B$6:$H$6,0))</f>
        <v>57139000</v>
      </c>
      <c r="G262" s="78">
        <f>INDEX('Population Data by Age'!$B$7:$H$10366,MATCH(CONCATENATE('Tabular Pop Data by Age'!$C262,'Tabular Pop Data by Age'!G$7),'Population Data by Age'!$B$7:$B$10366,0),MATCH('Tabular Pop Data by Age'!$C$6,'Population Data by Age'!$B$6:$H$6,0))</f>
        <v>58491000</v>
      </c>
      <c r="H262" s="78">
        <f>INDEX('Population Data by Age'!$B$7:$H$10366,MATCH(CONCATENATE('Tabular Pop Data by Age'!$C262,'Tabular Pop Data by Age'!H$7),'Population Data by Age'!$B$7:$B$10366,0),MATCH('Tabular Pop Data by Age'!$C$6,'Population Data by Age'!$B$6:$H$6,0))</f>
        <v>51115000</v>
      </c>
      <c r="I262" s="78">
        <f>INDEX('Population Data by Age'!$B$7:$H$10366,MATCH(CONCATENATE('Tabular Pop Data by Age'!$C262,'Tabular Pop Data by Age'!I$7),'Population Data by Age'!$B$7:$B$10366,0),MATCH('Tabular Pop Data by Age'!$C$6,'Population Data by Age'!$B$6:$H$6,0))</f>
        <v>52171000</v>
      </c>
      <c r="J262" s="78">
        <f>INDEX('Population Data by Age'!$B$7:$H$10366,MATCH(CONCATENATE('Tabular Pop Data by Age'!$C262,'Tabular Pop Data by Age'!J$7),'Population Data by Age'!$B$7:$B$10366,0),MATCH('Tabular Pop Data by Age'!$C$6,'Population Data by Age'!$B$6:$H$6,0))</f>
        <v>44739000</v>
      </c>
      <c r="K262" s="78">
        <f>INDEX('Population Data by Age'!$B$7:$H$10366,MATCH(CONCATENATE('Tabular Pop Data by Age'!$C262,'Tabular Pop Data by Age'!K$7),'Population Data by Age'!$B$7:$B$10366,0),MATCH('Tabular Pop Data by Age'!$C$6,'Population Data by Age'!$B$6:$H$6,0))</f>
        <v>45498000</v>
      </c>
      <c r="L262" s="78">
        <f>INDEX('Population Data by Age'!$B$7:$H$10366,MATCH(CONCATENATE('Tabular Pop Data by Age'!$C262,'Tabular Pop Data by Age'!L$7),'Population Data by Age'!$B$7:$B$10366,0),MATCH('Tabular Pop Data by Age'!$C$6,'Population Data by Age'!$B$6:$H$6,0))</f>
        <v>38363200</v>
      </c>
      <c r="M262" s="78">
        <f>INDEX('Population Data by Age'!$B$7:$H$10366,MATCH(CONCATENATE('Tabular Pop Data by Age'!$C262,'Tabular Pop Data by Age'!M$7),'Population Data by Age'!$B$7:$B$10366,0),MATCH('Tabular Pop Data by Age'!$C$6,'Population Data by Age'!$B$6:$H$6,0))</f>
        <v>38736500</v>
      </c>
      <c r="N262" s="78">
        <f>INDEX('Population Data by Age'!$B$7:$H$10366,MATCH(CONCATENATE('Tabular Pop Data by Age'!$C262,'Tabular Pop Data by Age'!N$7),'Population Data by Age'!$B$7:$B$10366,0),MATCH('Tabular Pop Data by Age'!$C$6,'Population Data by Age'!$B$6:$H$6,0))</f>
        <v>32258400</v>
      </c>
      <c r="O262" s="78">
        <f>INDEX('Population Data by Age'!$B$7:$H$10366,MATCH(CONCATENATE('Tabular Pop Data by Age'!$C262,'Tabular Pop Data by Age'!O$7),'Population Data by Age'!$B$7:$B$10366,0),MATCH('Tabular Pop Data by Age'!$C$6,'Population Data by Age'!$B$6:$H$6,0))</f>
        <v>32345600</v>
      </c>
      <c r="P262" s="78">
        <f>INDEX('Population Data by Age'!$B$7:$H$10366,MATCH(CONCATENATE('Tabular Pop Data by Age'!$C262,'Tabular Pop Data by Age'!P$7),'Population Data by Age'!$B$7:$B$10366,0),MATCH('Tabular Pop Data by Age'!$C$6,'Population Data by Age'!$B$6:$H$6,0))</f>
        <v>26830000</v>
      </c>
      <c r="Q262" s="78">
        <f>INDEX('Population Data by Age'!$B$7:$H$10366,MATCH(CONCATENATE('Tabular Pop Data by Age'!$C262,'Tabular Pop Data by Age'!Q$7),'Population Data by Age'!$B$7:$B$10366,0),MATCH('Tabular Pop Data by Age'!$C$6,'Population Data by Age'!$B$6:$H$6,0))</f>
        <v>26612100</v>
      </c>
      <c r="R262" s="78">
        <f>INDEX('Population Data by Age'!$B$7:$H$10366,MATCH(CONCATENATE('Tabular Pop Data by Age'!$C262,'Tabular Pop Data by Age'!R$7),'Population Data by Age'!$B$7:$B$10366,0),MATCH('Tabular Pop Data by Age'!$C$6,'Population Data by Age'!$B$6:$H$6,0))</f>
        <v>22514200</v>
      </c>
      <c r="S262" s="78">
        <f>INDEX('Population Data by Age'!$B$7:$H$10366,MATCH(CONCATENATE('Tabular Pop Data by Age'!$C262,'Tabular Pop Data by Age'!S$7),'Population Data by Age'!$B$7:$B$10366,0),MATCH('Tabular Pop Data by Age'!$C$6,'Population Data by Age'!$B$6:$H$6,0))</f>
        <v>21897300</v>
      </c>
      <c r="T262" s="78">
        <f>INDEX('Population Data by Age'!$B$7:$H$10366,MATCH(CONCATENATE('Tabular Pop Data by Age'!$C262,'Tabular Pop Data by Age'!T$7),'Population Data by Age'!$B$7:$B$10366,0),MATCH('Tabular Pop Data by Age'!$C$6,'Population Data by Age'!$B$6:$H$6,0))</f>
        <v>18264500</v>
      </c>
      <c r="U262" s="78">
        <f>INDEX('Population Data by Age'!$B$7:$H$10366,MATCH(CONCATENATE('Tabular Pop Data by Age'!$C262,'Tabular Pop Data by Age'!U$7),'Population Data by Age'!$B$7:$B$10366,0),MATCH('Tabular Pop Data by Age'!$C$6,'Population Data by Age'!$B$6:$H$6,0))</f>
        <v>17695500</v>
      </c>
      <c r="V262" s="78">
        <f>INDEX('Population Data by Age'!$B$7:$H$10366,MATCH(CONCATENATE('Tabular Pop Data by Age'!$C262,'Tabular Pop Data by Age'!V$7),'Population Data by Age'!$B$7:$B$10366,0),MATCH('Tabular Pop Data by Age'!$C$6,'Population Data by Age'!$B$6:$H$6,0))</f>
        <v>14783900</v>
      </c>
      <c r="W262" s="78">
        <f>INDEX('Population Data by Age'!$B$7:$H$10366,MATCH(CONCATENATE('Tabular Pop Data by Age'!$C262,'Tabular Pop Data by Age'!W$7),'Population Data by Age'!$B$7:$B$10366,0),MATCH('Tabular Pop Data by Age'!$C$6,'Population Data by Age'!$B$6:$H$6,0))</f>
        <v>14240800</v>
      </c>
      <c r="X262" s="78">
        <f>INDEX('Population Data by Age'!$B$7:$H$10366,MATCH(CONCATENATE('Tabular Pop Data by Age'!$C262,'Tabular Pop Data by Age'!X$7),'Population Data by Age'!$B$7:$B$10366,0),MATCH('Tabular Pop Data by Age'!$C$6,'Population Data by Age'!$B$6:$H$6,0))</f>
        <v>11940700</v>
      </c>
      <c r="Y262" s="78">
        <f>INDEX('Population Data by Age'!$B$7:$H$10366,MATCH(CONCATENATE('Tabular Pop Data by Age'!$C262,'Tabular Pop Data by Age'!Y$7),'Population Data by Age'!$B$7:$B$10366,0),MATCH('Tabular Pop Data by Age'!$C$6,'Population Data by Age'!$B$6:$H$6,0))</f>
        <v>11218600</v>
      </c>
      <c r="Z262" s="78">
        <f>INDEX('Population Data by Age'!$B$7:$H$10366,MATCH(CONCATENATE('Tabular Pop Data by Age'!$C262,'Tabular Pop Data by Age'!Z$7),'Population Data by Age'!$B$7:$B$10366,0),MATCH('Tabular Pop Data by Age'!$C$6,'Population Data by Age'!$B$6:$H$6,0))</f>
        <v>9559900</v>
      </c>
      <c r="AA262" s="78">
        <f>INDEX('Population Data by Age'!$B$7:$H$10366,MATCH(CONCATENATE('Tabular Pop Data by Age'!$C262,'Tabular Pop Data by Age'!AA$7),'Population Data by Age'!$B$7:$B$10366,0),MATCH('Tabular Pop Data by Age'!$C$6,'Population Data by Age'!$B$6:$H$6,0))</f>
        <v>8758500</v>
      </c>
      <c r="AB262" s="78">
        <f>INDEX('Population Data by Age'!$B$7:$H$10366,MATCH(CONCATENATE('Tabular Pop Data by Age'!$C262,'Tabular Pop Data by Age'!AB$7),'Population Data by Age'!$B$7:$B$10366,0),MATCH('Tabular Pop Data by Age'!$C$6,'Population Data by Age'!$B$6:$H$6,0))</f>
        <v>7528400</v>
      </c>
      <c r="AC262" s="78">
        <f>INDEX('Population Data by Age'!$B$7:$H$10366,MATCH(CONCATENATE('Tabular Pop Data by Age'!$C262,'Tabular Pop Data by Age'!AC$7),'Population Data by Age'!$B$7:$B$10366,0),MATCH('Tabular Pop Data by Age'!$C$6,'Population Data by Age'!$B$6:$H$6,0))</f>
        <v>6657500</v>
      </c>
      <c r="AD262" s="78">
        <f>INDEX('Population Data by Age'!$B$7:$H$10366,MATCH(CONCATENATE('Tabular Pop Data by Age'!$C262,'Tabular Pop Data by Age'!AD$7),'Population Data by Age'!$B$7:$B$10366,0),MATCH('Tabular Pop Data by Age'!$C$6,'Population Data by Age'!$B$6:$H$6,0))</f>
        <v>5659900</v>
      </c>
      <c r="AE262" s="78">
        <f>INDEX('Population Data by Age'!$B$7:$H$10366,MATCH(CONCATENATE('Tabular Pop Data by Age'!$C262,'Tabular Pop Data by Age'!AE$7),'Population Data by Age'!$B$7:$B$10366,0),MATCH('Tabular Pop Data by Age'!$C$6,'Population Data by Age'!$B$6:$H$6,0))</f>
        <v>4844400</v>
      </c>
      <c r="AF262" s="78">
        <f>INDEX('Population Data by Age'!$B$7:$H$10366,MATCH(CONCATENATE('Tabular Pop Data by Age'!$C262,'Tabular Pop Data by Age'!AF$7),'Population Data by Age'!$B$7:$B$10366,0),MATCH('Tabular Pop Data by Age'!$C$6,'Population Data by Age'!$B$6:$H$6,0))</f>
        <v>4004900</v>
      </c>
      <c r="AG262" s="78">
        <f>INDEX('Population Data by Age'!$B$7:$H$10366,MATCH(CONCATENATE('Tabular Pop Data by Age'!$C262,'Tabular Pop Data by Age'!AG$7),'Population Data by Age'!$B$7:$B$10366,0),MATCH('Tabular Pop Data by Age'!$C$6,'Population Data by Age'!$B$6:$H$6,0))</f>
        <v>3208600</v>
      </c>
      <c r="AH262" s="78">
        <f>INDEX('Population Data by Age'!$B$7:$H$10366,MATCH(CONCATENATE('Tabular Pop Data by Age'!$C262,'Tabular Pop Data by Age'!AH$7),'Population Data by Age'!$B$7:$B$10366,0),MATCH('Tabular Pop Data by Age'!$C$6,'Population Data by Age'!$B$6:$H$6,0))</f>
        <v>2491900</v>
      </c>
      <c r="AI262" s="78">
        <f>INDEX('Population Data by Age'!$B$7:$H$10366,MATCH(CONCATENATE('Tabular Pop Data by Age'!$C262,'Tabular Pop Data by Age'!AI$7),'Population Data by Age'!$B$7:$B$10366,0),MATCH('Tabular Pop Data by Age'!$C$6,'Population Data by Age'!$B$6:$H$6,0))</f>
        <v>1897400</v>
      </c>
      <c r="AJ262" s="78">
        <f>INDEX('Population Data by Age'!$B$7:$H$10366,MATCH(CONCATENATE('Tabular Pop Data by Age'!$C262,'Tabular Pop Data by Age'!AJ$7),'Population Data by Age'!$B$7:$B$10366,0),MATCH('Tabular Pop Data by Age'!$C$6,'Population Data by Age'!$B$6:$H$6,0))</f>
        <v>1879300</v>
      </c>
      <c r="AK262" s="78">
        <f>INDEX('Population Data by Age'!$B$7:$H$10366,MATCH(CONCATENATE('Tabular Pop Data by Age'!$C262,'Tabular Pop Data by Age'!AK$7),'Population Data by Age'!$B$7:$B$10366,0),MATCH('Tabular Pop Data by Age'!$C$6,'Population Data by Age'!$B$6:$H$6,0))</f>
        <v>1294100</v>
      </c>
      <c r="AL262" s="78">
        <f>INDEX('Population Data by Age'!$B$7:$H$10366,MATCH(CONCATENATE('Tabular Pop Data by Age'!$C262,'Tabular Pop Data by Age'!AL$7),'Population Data by Age'!$B$7:$B$10366,0),MATCH('Tabular Pop Data by Age'!$C$6,'Population Data by Age'!$B$6:$H$6,0))</f>
        <v>412665000</v>
      </c>
      <c r="AM262" s="78">
        <f>INDEX('Population Data by Age'!$B$7:$H$10366,MATCH(CONCATENATE('Tabular Pop Data by Age'!$C262,'Tabular Pop Data by Age'!AM$7),'Population Data by Age'!$B$7:$B$10366,0),MATCH('Tabular Pop Data by Age'!$C$6,'Population Data by Age'!$B$6:$H$6,0))</f>
        <v>410816000</v>
      </c>
      <c r="AN262" s="78">
        <f>INDEX('Population Data by Age'!$B$7:$H$10366,MATCH(CONCATENATE('Tabular Pop Data by Age'!$C262,'Tabular Pop Data by Age'!AN$7),'Population Data by Age'!$B$7:$B$10366,0),MATCH('Tabular Pop Data by Age'!$C$6,'Population Data by Age'!$B$6:$H$6,0))</f>
        <v>823482000</v>
      </c>
      <c r="AO262" s="78">
        <f>INDEX('Population Data by Age'!$B$7:$H$10366,MATCH(CONCATENATE('Tabular Pop Data by Age'!$C262,'Tabular Pop Data by Age'!AO$7),'Population Data by Age'!$B$7:$B$10366,0),MATCH('Tabular Pop Data by Age'!$C$6,'Population Data by Age'!$B$6:$H$6,0))</f>
        <v>2.7158233224274539</v>
      </c>
      <c r="AP262" s="79">
        <f t="shared" si="68"/>
        <v>128837000</v>
      </c>
      <c r="AQ262" s="79">
        <f t="shared" si="69"/>
        <v>115630000</v>
      </c>
      <c r="AR262" s="79">
        <f t="shared" si="70"/>
        <v>103286000</v>
      </c>
      <c r="AS262" s="79">
        <f t="shared" si="71"/>
        <v>90237000</v>
      </c>
      <c r="AT262" s="79">
        <f t="shared" si="72"/>
        <v>77099700</v>
      </c>
      <c r="AU262" s="79">
        <f t="shared" si="73"/>
        <v>64604000</v>
      </c>
      <c r="AV262" s="79">
        <f t="shared" si="74"/>
        <v>53442100</v>
      </c>
      <c r="AW262" s="79">
        <f t="shared" si="75"/>
        <v>44411500</v>
      </c>
      <c r="AX262" s="79">
        <f t="shared" si="76"/>
        <v>35960000</v>
      </c>
      <c r="AY262" s="79">
        <f t="shared" si="77"/>
        <v>29024700</v>
      </c>
      <c r="AZ262" s="79">
        <f t="shared" si="78"/>
        <v>23159300</v>
      </c>
      <c r="BA262" s="79">
        <f t="shared" si="79"/>
        <v>18318400</v>
      </c>
      <c r="BB262" s="79">
        <f t="shared" si="80"/>
        <v>14185900</v>
      </c>
      <c r="BC262" s="79">
        <f t="shared" si="81"/>
        <v>10504300</v>
      </c>
      <c r="BD262" s="79">
        <f t="shared" si="82"/>
        <v>7213500</v>
      </c>
      <c r="BE262" s="79">
        <f t="shared" si="83"/>
        <v>4389300</v>
      </c>
      <c r="BF262" s="79">
        <f t="shared" si="84"/>
        <v>3173400</v>
      </c>
    </row>
    <row r="263" spans="1:58" x14ac:dyDescent="0.25">
      <c r="A263" s="138" t="s">
        <v>1182</v>
      </c>
      <c r="B263" t="s">
        <v>517</v>
      </c>
      <c r="C263" t="s">
        <v>518</v>
      </c>
      <c r="D263" s="78">
        <f>INDEX('Population Data by Age'!$B$7:$H$10366,MATCH(CONCATENATE('Tabular Pop Data by Age'!$C263,'Tabular Pop Data by Age'!D$7),'Population Data by Age'!$B$7:$B$10366,0),MATCH('Tabular Pop Data by Age'!$C$6,'Population Data by Age'!$B$6:$H$6,0))</f>
        <v>31422600</v>
      </c>
      <c r="E263" s="78">
        <f>INDEX('Population Data by Age'!$B$7:$H$10366,MATCH(CONCATENATE('Tabular Pop Data by Age'!$C263,'Tabular Pop Data by Age'!E$7),'Population Data by Age'!$B$7:$B$10366,0),MATCH('Tabular Pop Data by Age'!$C$6,'Population Data by Age'!$B$6:$H$6,0))</f>
        <v>33005700</v>
      </c>
      <c r="F263" s="78">
        <f>INDEX('Population Data by Age'!$B$7:$H$10366,MATCH(CONCATENATE('Tabular Pop Data by Age'!$C263,'Tabular Pop Data by Age'!F$7),'Population Data by Age'!$B$7:$B$10366,0),MATCH('Tabular Pop Data by Age'!$C$6,'Population Data by Age'!$B$6:$H$6,0))</f>
        <v>32611500</v>
      </c>
      <c r="G263" s="78">
        <f>INDEX('Population Data by Age'!$B$7:$H$10366,MATCH(CONCATENATE('Tabular Pop Data by Age'!$C263,'Tabular Pop Data by Age'!G$7),'Population Data by Age'!$B$7:$B$10366,0),MATCH('Tabular Pop Data by Age'!$C$6,'Population Data by Age'!$B$6:$H$6,0))</f>
        <v>34295700</v>
      </c>
      <c r="H263" s="78">
        <f>INDEX('Population Data by Age'!$B$7:$H$10366,MATCH(CONCATENATE('Tabular Pop Data by Age'!$C263,'Tabular Pop Data by Age'!H$7),'Population Data by Age'!$B$7:$B$10366,0),MATCH('Tabular Pop Data by Age'!$C$6,'Population Data by Age'!$B$6:$H$6,0))</f>
        <v>33188400</v>
      </c>
      <c r="I263" s="78">
        <f>INDEX('Population Data by Age'!$B$7:$H$10366,MATCH(CONCATENATE('Tabular Pop Data by Age'!$C263,'Tabular Pop Data by Age'!I$7),'Population Data by Age'!$B$7:$B$10366,0),MATCH('Tabular Pop Data by Age'!$C$6,'Population Data by Age'!$B$6:$H$6,0))</f>
        <v>34955700</v>
      </c>
      <c r="J263" s="78">
        <f>INDEX('Population Data by Age'!$B$7:$H$10366,MATCH(CONCATENATE('Tabular Pop Data by Age'!$C263,'Tabular Pop Data by Age'!J$7),'Population Data by Age'!$B$7:$B$10366,0),MATCH('Tabular Pop Data by Age'!$C$6,'Population Data by Age'!$B$6:$H$6,0))</f>
        <v>32794300</v>
      </c>
      <c r="K263" s="78">
        <f>INDEX('Population Data by Age'!$B$7:$H$10366,MATCH(CONCATENATE('Tabular Pop Data by Age'!$C263,'Tabular Pop Data by Age'!K$7),'Population Data by Age'!$B$7:$B$10366,0),MATCH('Tabular Pop Data by Age'!$C$6,'Population Data by Age'!$B$6:$H$6,0))</f>
        <v>34477400</v>
      </c>
      <c r="L263" s="78">
        <f>INDEX('Population Data by Age'!$B$7:$H$10366,MATCH(CONCATENATE('Tabular Pop Data by Age'!$C263,'Tabular Pop Data by Age'!L$7),'Population Data by Age'!$B$7:$B$10366,0),MATCH('Tabular Pop Data by Age'!$C$6,'Population Data by Age'!$B$6:$H$6,0))</f>
        <v>35033400</v>
      </c>
      <c r="M263" s="78">
        <f>INDEX('Population Data by Age'!$B$7:$H$10366,MATCH(CONCATENATE('Tabular Pop Data by Age'!$C263,'Tabular Pop Data by Age'!M$7),'Population Data by Age'!$B$7:$B$10366,0),MATCH('Tabular Pop Data by Age'!$C$6,'Population Data by Age'!$B$6:$H$6,0))</f>
        <v>37310200</v>
      </c>
      <c r="N263" s="78">
        <f>INDEX('Population Data by Age'!$B$7:$H$10366,MATCH(CONCATENATE('Tabular Pop Data by Age'!$C263,'Tabular Pop Data by Age'!N$7),'Population Data by Age'!$B$7:$B$10366,0),MATCH('Tabular Pop Data by Age'!$C$6,'Population Data by Age'!$B$6:$H$6,0))</f>
        <v>38265100</v>
      </c>
      <c r="O263" s="78">
        <f>INDEX('Population Data by Age'!$B$7:$H$10366,MATCH(CONCATENATE('Tabular Pop Data by Age'!$C263,'Tabular Pop Data by Age'!O$7),'Population Data by Age'!$B$7:$B$10366,0),MATCH('Tabular Pop Data by Age'!$C$6,'Population Data by Age'!$B$6:$H$6,0))</f>
        <v>41874800</v>
      </c>
      <c r="P263" s="78">
        <f>INDEX('Population Data by Age'!$B$7:$H$10366,MATCH(CONCATENATE('Tabular Pop Data by Age'!$C263,'Tabular Pop Data by Age'!P$7),'Population Data by Age'!$B$7:$B$10366,0),MATCH('Tabular Pop Data by Age'!$C$6,'Population Data by Age'!$B$6:$H$6,0))</f>
        <v>39719900</v>
      </c>
      <c r="Q263" s="78">
        <f>INDEX('Population Data by Age'!$B$7:$H$10366,MATCH(CONCATENATE('Tabular Pop Data by Age'!$C263,'Tabular Pop Data by Age'!Q$7),'Population Data by Age'!$B$7:$B$10366,0),MATCH('Tabular Pop Data by Age'!$C$6,'Population Data by Age'!$B$6:$H$6,0))</f>
        <v>43353100</v>
      </c>
      <c r="R263" s="78">
        <f>INDEX('Population Data by Age'!$B$7:$H$10366,MATCH(CONCATENATE('Tabular Pop Data by Age'!$C263,'Tabular Pop Data by Age'!R$7),'Population Data by Age'!$B$7:$B$10366,0),MATCH('Tabular Pop Data by Age'!$C$6,'Population Data by Age'!$B$6:$H$6,0))</f>
        <v>40704800</v>
      </c>
      <c r="S263" s="78">
        <f>INDEX('Population Data by Age'!$B$7:$H$10366,MATCH(CONCATENATE('Tabular Pop Data by Age'!$C263,'Tabular Pop Data by Age'!S$7),'Population Data by Age'!$B$7:$B$10366,0),MATCH('Tabular Pop Data by Age'!$C$6,'Population Data by Age'!$B$6:$H$6,0))</f>
        <v>43356000</v>
      </c>
      <c r="T263" s="78">
        <f>INDEX('Population Data by Age'!$B$7:$H$10366,MATCH(CONCATENATE('Tabular Pop Data by Age'!$C263,'Tabular Pop Data by Age'!T$7),'Population Data by Age'!$B$7:$B$10366,0),MATCH('Tabular Pop Data by Age'!$C$6,'Population Data by Age'!$B$6:$H$6,0))</f>
        <v>40490600</v>
      </c>
      <c r="U263" s="78">
        <f>INDEX('Population Data by Age'!$B$7:$H$10366,MATCH(CONCATENATE('Tabular Pop Data by Age'!$C263,'Tabular Pop Data by Age'!U$7),'Population Data by Age'!$B$7:$B$10366,0),MATCH('Tabular Pop Data by Age'!$C$6,'Population Data by Age'!$B$6:$H$6,0))</f>
        <v>42647300</v>
      </c>
      <c r="V263" s="78">
        <f>INDEX('Population Data by Age'!$B$7:$H$10366,MATCH(CONCATENATE('Tabular Pop Data by Age'!$C263,'Tabular Pop Data by Age'!V$7),'Population Data by Age'!$B$7:$B$10366,0),MATCH('Tabular Pop Data by Age'!$C$6,'Population Data by Age'!$B$6:$H$6,0))</f>
        <v>41201700</v>
      </c>
      <c r="W263" s="78">
        <f>INDEX('Population Data by Age'!$B$7:$H$10366,MATCH(CONCATENATE('Tabular Pop Data by Age'!$C263,'Tabular Pop Data by Age'!W$7),'Population Data by Age'!$B$7:$B$10366,0),MATCH('Tabular Pop Data by Age'!$C$6,'Population Data by Age'!$B$6:$H$6,0))</f>
        <v>42906900</v>
      </c>
      <c r="X263" s="78">
        <f>INDEX('Population Data by Age'!$B$7:$H$10366,MATCH(CONCATENATE('Tabular Pop Data by Age'!$C263,'Tabular Pop Data by Age'!X$7),'Population Data by Age'!$B$7:$B$10366,0),MATCH('Tabular Pop Data by Age'!$C$6,'Population Data by Age'!$B$6:$H$6,0))</f>
        <v>40899000</v>
      </c>
      <c r="Y263" s="78">
        <f>INDEX('Population Data by Age'!$B$7:$H$10366,MATCH(CONCATENATE('Tabular Pop Data by Age'!$C263,'Tabular Pop Data by Age'!Y$7),'Population Data by Age'!$B$7:$B$10366,0),MATCH('Tabular Pop Data by Age'!$C$6,'Population Data by Age'!$B$6:$H$6,0))</f>
        <v>41876400</v>
      </c>
      <c r="Z263" s="78">
        <f>INDEX('Population Data by Age'!$B$7:$H$10366,MATCH(CONCATENATE('Tabular Pop Data by Age'!$C263,'Tabular Pop Data by Age'!Z$7),'Population Data by Age'!$B$7:$B$10366,0),MATCH('Tabular Pop Data by Age'!$C$6,'Population Data by Age'!$B$6:$H$6,0))</f>
        <v>40690300</v>
      </c>
      <c r="AA263" s="78">
        <f>INDEX('Population Data by Age'!$B$7:$H$10366,MATCH(CONCATENATE('Tabular Pop Data by Age'!$C263,'Tabular Pop Data by Age'!AA$7),'Population Data by Age'!$B$7:$B$10366,0),MATCH('Tabular Pop Data by Age'!$C$6,'Population Data by Age'!$B$6:$H$6,0))</f>
        <v>40715500</v>
      </c>
      <c r="AB263" s="78">
        <f>INDEX('Population Data by Age'!$B$7:$H$10366,MATCH(CONCATENATE('Tabular Pop Data by Age'!$C263,'Tabular Pop Data by Age'!AB$7),'Population Data by Age'!$B$7:$B$10366,0),MATCH('Tabular Pop Data by Age'!$C$6,'Population Data by Age'!$B$6:$H$6,0))</f>
        <v>38009500</v>
      </c>
      <c r="AC263" s="78">
        <f>INDEX('Population Data by Age'!$B$7:$H$10366,MATCH(CONCATENATE('Tabular Pop Data by Age'!$C263,'Tabular Pop Data by Age'!AC$7),'Population Data by Age'!$B$7:$B$10366,0),MATCH('Tabular Pop Data by Age'!$C$6,'Population Data by Age'!$B$6:$H$6,0))</f>
        <v>36605800</v>
      </c>
      <c r="AD263" s="78">
        <f>INDEX('Population Data by Age'!$B$7:$H$10366,MATCH(CONCATENATE('Tabular Pop Data by Age'!$C263,'Tabular Pop Data by Age'!AD$7),'Population Data by Age'!$B$7:$B$10366,0),MATCH('Tabular Pop Data by Age'!$C$6,'Population Data by Age'!$B$6:$H$6,0))</f>
        <v>34364200</v>
      </c>
      <c r="AE263" s="78">
        <f>INDEX('Population Data by Age'!$B$7:$H$10366,MATCH(CONCATENATE('Tabular Pop Data by Age'!$C263,'Tabular Pop Data by Age'!AE$7),'Population Data by Age'!$B$7:$B$10366,0),MATCH('Tabular Pop Data by Age'!$C$6,'Population Data by Age'!$B$6:$H$6,0))</f>
        <v>31465700</v>
      </c>
      <c r="AF263" s="78">
        <f>INDEX('Population Data by Age'!$B$7:$H$10366,MATCH(CONCATENATE('Tabular Pop Data by Age'!$C263,'Tabular Pop Data by Age'!AF$7),'Population Data by Age'!$B$7:$B$10366,0),MATCH('Tabular Pop Data by Age'!$C$6,'Population Data by Age'!$B$6:$H$6,0))</f>
        <v>30565400</v>
      </c>
      <c r="AG263" s="78">
        <f>INDEX('Population Data by Age'!$B$7:$H$10366,MATCH(CONCATENATE('Tabular Pop Data by Age'!$C263,'Tabular Pop Data by Age'!AG$7),'Population Data by Age'!$B$7:$B$10366,0),MATCH('Tabular Pop Data by Age'!$C$6,'Population Data by Age'!$B$6:$H$6,0))</f>
        <v>26692700</v>
      </c>
      <c r="AH263" s="78">
        <f>INDEX('Population Data by Age'!$B$7:$H$10366,MATCH(CONCATENATE('Tabular Pop Data by Age'!$C263,'Tabular Pop Data by Age'!AH$7),'Population Data by Age'!$B$7:$B$10366,0),MATCH('Tabular Pop Data by Age'!$C$6,'Population Data by Age'!$B$6:$H$6,0))</f>
        <v>23141100</v>
      </c>
      <c r="AI263" s="78">
        <f>INDEX('Population Data by Age'!$B$7:$H$10366,MATCH(CONCATENATE('Tabular Pop Data by Age'!$C263,'Tabular Pop Data by Age'!AI$7),'Population Data by Age'!$B$7:$B$10366,0),MATCH('Tabular Pop Data by Age'!$C$6,'Population Data by Age'!$B$6:$H$6,0))</f>
        <v>18567100</v>
      </c>
      <c r="AJ263" s="78">
        <f>INDEX('Population Data by Age'!$B$7:$H$10366,MATCH(CONCATENATE('Tabular Pop Data by Age'!$C263,'Tabular Pop Data by Age'!AJ$7),'Population Data by Age'!$B$7:$B$10366,0),MATCH('Tabular Pop Data by Age'!$C$6,'Population Data by Age'!$B$6:$H$6,0))</f>
        <v>38580600</v>
      </c>
      <c r="AK263" s="78">
        <f>INDEX('Population Data by Age'!$B$7:$H$10366,MATCH(CONCATENATE('Tabular Pop Data by Age'!$C263,'Tabular Pop Data by Age'!AK$7),'Population Data by Age'!$B$7:$B$10366,0),MATCH('Tabular Pop Data by Age'!$C$6,'Population Data by Age'!$B$6:$H$6,0))</f>
        <v>23466700</v>
      </c>
      <c r="AL263" s="78">
        <f>INDEX('Population Data by Age'!$B$7:$H$10366,MATCH(CONCATENATE('Tabular Pop Data by Age'!$C263,'Tabular Pop Data by Age'!AL$7),'Population Data by Age'!$B$7:$B$10366,0),MATCH('Tabular Pop Data by Age'!$C$6,'Population Data by Age'!$B$6:$H$6,0))</f>
        <v>611690000</v>
      </c>
      <c r="AM263" s="78">
        <f>INDEX('Population Data by Age'!$B$7:$H$10366,MATCH(CONCATENATE('Tabular Pop Data by Age'!$C263,'Tabular Pop Data by Age'!AM$7),'Population Data by Age'!$B$7:$B$10366,0),MATCH('Tabular Pop Data by Age'!$C$6,'Population Data by Age'!$B$6:$H$6,0))</f>
        <v>607562000</v>
      </c>
      <c r="AN263" s="78">
        <f>INDEX('Population Data by Age'!$B$7:$H$10366,MATCH(CONCATENATE('Tabular Pop Data by Age'!$C263,'Tabular Pop Data by Age'!AN$7),'Population Data by Age'!$B$7:$B$10366,0),MATCH('Tabular Pop Data by Age'!$C$6,'Population Data by Age'!$B$6:$H$6,0))</f>
        <v>1219876000</v>
      </c>
      <c r="AO263" s="78">
        <f>INDEX('Population Data by Age'!$B$7:$H$10366,MATCH(CONCATENATE('Tabular Pop Data by Age'!$C263,'Tabular Pop Data by Age'!AO$7),'Population Data by Age'!$B$7:$B$10366,0),MATCH('Tabular Pop Data by Age'!$C$6,'Population Data by Age'!$B$6:$H$6,0))</f>
        <v>0.39470652138132323</v>
      </c>
      <c r="AP263" s="79">
        <f t="shared" si="68"/>
        <v>64428300</v>
      </c>
      <c r="AQ263" s="79">
        <f t="shared" si="69"/>
        <v>66907200</v>
      </c>
      <c r="AR263" s="79">
        <f t="shared" si="70"/>
        <v>68144100</v>
      </c>
      <c r="AS263" s="79">
        <f t="shared" si="71"/>
        <v>67271700</v>
      </c>
      <c r="AT263" s="79">
        <f t="shared" si="72"/>
        <v>72343600</v>
      </c>
      <c r="AU263" s="79">
        <f t="shared" si="73"/>
        <v>80139900</v>
      </c>
      <c r="AV263" s="79">
        <f t="shared" si="74"/>
        <v>83073000</v>
      </c>
      <c r="AW263" s="79">
        <f t="shared" si="75"/>
        <v>84060800</v>
      </c>
      <c r="AX263" s="79">
        <f t="shared" si="76"/>
        <v>83137900</v>
      </c>
      <c r="AY263" s="79">
        <f t="shared" si="77"/>
        <v>84108600</v>
      </c>
      <c r="AZ263" s="79">
        <f t="shared" si="78"/>
        <v>82775400</v>
      </c>
      <c r="BA263" s="79">
        <f t="shared" si="79"/>
        <v>81405800</v>
      </c>
      <c r="BB263" s="79">
        <f t="shared" si="80"/>
        <v>74615300</v>
      </c>
      <c r="BC263" s="79">
        <f t="shared" si="81"/>
        <v>65829900</v>
      </c>
      <c r="BD263" s="79">
        <f t="shared" si="82"/>
        <v>57258100</v>
      </c>
      <c r="BE263" s="79">
        <f t="shared" si="83"/>
        <v>41708200</v>
      </c>
      <c r="BF263" s="79">
        <f t="shared" si="84"/>
        <v>62047300</v>
      </c>
    </row>
    <row r="264" spans="1:58" x14ac:dyDescent="0.25">
      <c r="A264" s="138" t="s">
        <v>1182</v>
      </c>
      <c r="B264" t="s">
        <v>557</v>
      </c>
      <c r="C264" t="s">
        <v>558</v>
      </c>
      <c r="D264" s="78">
        <f>INDEX('Population Data by Age'!$B$7:$H$10366,MATCH(CONCATENATE('Tabular Pop Data by Age'!$C264,'Tabular Pop Data by Age'!D$7),'Population Data by Age'!$B$7:$B$10366,0),MATCH('Tabular Pop Data by Age'!$C$6,'Population Data by Age'!$B$6:$H$6,0))</f>
        <v>295868800</v>
      </c>
      <c r="E264" s="78">
        <f>INDEX('Population Data by Age'!$B$7:$H$10366,MATCH(CONCATENATE('Tabular Pop Data by Age'!$C264,'Tabular Pop Data by Age'!E$7),'Population Data by Age'!$B$7:$B$10366,0),MATCH('Tabular Pop Data by Age'!$C$6,'Population Data by Age'!$B$6:$H$6,0))</f>
        <v>315070400</v>
      </c>
      <c r="F264" s="78">
        <f>INDEX('Population Data by Age'!$B$7:$H$10366,MATCH(CONCATENATE('Tabular Pop Data by Age'!$C264,'Tabular Pop Data by Age'!F$7),'Population Data by Age'!$B$7:$B$10366,0),MATCH('Tabular Pop Data by Age'!$C$6,'Population Data by Age'!$B$6:$H$6,0))</f>
        <v>287669500</v>
      </c>
      <c r="G264" s="78">
        <f>INDEX('Population Data by Age'!$B$7:$H$10366,MATCH(CONCATENATE('Tabular Pop Data by Age'!$C264,'Tabular Pop Data by Age'!G$7),'Population Data by Age'!$B$7:$B$10366,0),MATCH('Tabular Pop Data by Age'!$C$6,'Population Data by Age'!$B$6:$H$6,0))</f>
        <v>307240400</v>
      </c>
      <c r="H264" s="78">
        <f>INDEX('Population Data by Age'!$B$7:$H$10366,MATCH(CONCATENATE('Tabular Pop Data by Age'!$C264,'Tabular Pop Data by Age'!H$7),'Population Data by Age'!$B$7:$B$10366,0),MATCH('Tabular Pop Data by Age'!$C$6,'Population Data by Age'!$B$6:$H$6,0))</f>
        <v>275388900</v>
      </c>
      <c r="I264" s="78">
        <f>INDEX('Population Data by Age'!$B$7:$H$10366,MATCH(CONCATENATE('Tabular Pop Data by Age'!$C264,'Tabular Pop Data by Age'!I$7),'Population Data by Age'!$B$7:$B$10366,0),MATCH('Tabular Pop Data by Age'!$C$6,'Population Data by Age'!$B$6:$H$6,0))</f>
        <v>295178400</v>
      </c>
      <c r="J264" s="78">
        <f>INDEX('Population Data by Age'!$B$7:$H$10366,MATCH(CONCATENATE('Tabular Pop Data by Age'!$C264,'Tabular Pop Data by Age'!J$7),'Population Data by Age'!$B$7:$B$10366,0),MATCH('Tabular Pop Data by Age'!$C$6,'Population Data by Age'!$B$6:$H$6,0))</f>
        <v>261588100</v>
      </c>
      <c r="K264" s="78">
        <f>INDEX('Population Data by Age'!$B$7:$H$10366,MATCH(CONCATENATE('Tabular Pop Data by Age'!$C264,'Tabular Pop Data by Age'!K$7),'Population Data by Age'!$B$7:$B$10366,0),MATCH('Tabular Pop Data by Age'!$C$6,'Population Data by Age'!$B$6:$H$6,0))</f>
        <v>280832100</v>
      </c>
      <c r="L264" s="78">
        <f>INDEX('Population Data by Age'!$B$7:$H$10366,MATCH(CONCATENATE('Tabular Pop Data by Age'!$C264,'Tabular Pop Data by Age'!L$7),'Population Data by Age'!$B$7:$B$10366,0),MATCH('Tabular Pop Data by Age'!$C$6,'Population Data by Age'!$B$6:$H$6,0))</f>
        <v>252828500</v>
      </c>
      <c r="M264" s="78">
        <f>INDEX('Population Data by Age'!$B$7:$H$10366,MATCH(CONCATENATE('Tabular Pop Data by Age'!$C264,'Tabular Pop Data by Age'!M$7),'Population Data by Age'!$B$7:$B$10366,0),MATCH('Tabular Pop Data by Age'!$C$6,'Population Data by Age'!$B$6:$H$6,0))</f>
        <v>269582800</v>
      </c>
      <c r="N264" s="78">
        <f>INDEX('Population Data by Age'!$B$7:$H$10366,MATCH(CONCATENATE('Tabular Pop Data by Age'!$C264,'Tabular Pop Data by Age'!N$7),'Population Data by Age'!$B$7:$B$10366,0),MATCH('Tabular Pop Data by Age'!$C$6,'Population Data by Age'!$B$6:$H$6,0))</f>
        <v>248972200</v>
      </c>
      <c r="O264" s="78">
        <f>INDEX('Population Data by Age'!$B$7:$H$10366,MATCH(CONCATENATE('Tabular Pop Data by Age'!$C264,'Tabular Pop Data by Age'!O$7),'Population Data by Age'!$B$7:$B$10366,0),MATCH('Tabular Pop Data by Age'!$C$6,'Population Data by Age'!$B$6:$H$6,0))</f>
        <v>262653100</v>
      </c>
      <c r="P264" s="78">
        <f>INDEX('Population Data by Age'!$B$7:$H$10366,MATCH(CONCATENATE('Tabular Pop Data by Age'!$C264,'Tabular Pop Data by Age'!P$7),'Population Data by Age'!$B$7:$B$10366,0),MATCH('Tabular Pop Data by Age'!$C$6,'Population Data by Age'!$B$6:$H$6,0))</f>
        <v>254725100</v>
      </c>
      <c r="Q264" s="78">
        <f>INDEX('Population Data by Age'!$B$7:$H$10366,MATCH(CONCATENATE('Tabular Pop Data by Age'!$C264,'Tabular Pop Data by Age'!Q$7),'Population Data by Age'!$B$7:$B$10366,0),MATCH('Tabular Pop Data by Age'!$C$6,'Population Data by Age'!$B$6:$H$6,0))</f>
        <v>263927800</v>
      </c>
      <c r="R264" s="78">
        <f>INDEX('Population Data by Age'!$B$7:$H$10366,MATCH(CONCATENATE('Tabular Pop Data by Age'!$C264,'Tabular Pop Data by Age'!R$7),'Population Data by Age'!$B$7:$B$10366,0),MATCH('Tabular Pop Data by Age'!$C$6,'Population Data by Age'!$B$6:$H$6,0))</f>
        <v>226185700</v>
      </c>
      <c r="S264" s="78">
        <f>INDEX('Population Data by Age'!$B$7:$H$10366,MATCH(CONCATENATE('Tabular Pop Data by Age'!$C264,'Tabular Pop Data by Age'!S$7),'Population Data by Age'!$B$7:$B$10366,0),MATCH('Tabular Pop Data by Age'!$C$6,'Population Data by Age'!$B$6:$H$6,0))</f>
        <v>231555400</v>
      </c>
      <c r="T264" s="78">
        <f>INDEX('Population Data by Age'!$B$7:$H$10366,MATCH(CONCATENATE('Tabular Pop Data by Age'!$C264,'Tabular Pop Data by Age'!T$7),'Population Data by Age'!$B$7:$B$10366,0),MATCH('Tabular Pop Data by Age'!$C$6,'Population Data by Age'!$B$6:$H$6,0))</f>
        <v>202473900</v>
      </c>
      <c r="U264" s="78">
        <f>INDEX('Population Data by Age'!$B$7:$H$10366,MATCH(CONCATENATE('Tabular Pop Data by Age'!$C264,'Tabular Pop Data by Age'!U$7),'Population Data by Age'!$B$7:$B$10366,0),MATCH('Tabular Pop Data by Age'!$C$6,'Population Data by Age'!$B$6:$H$6,0))</f>
        <v>205259700</v>
      </c>
      <c r="V264" s="78">
        <f>INDEX('Population Data by Age'!$B$7:$H$10366,MATCH(CONCATENATE('Tabular Pop Data by Age'!$C264,'Tabular Pop Data by Age'!V$7),'Population Data by Age'!$B$7:$B$10366,0),MATCH('Tabular Pop Data by Age'!$C$6,'Population Data by Age'!$B$6:$H$6,0))</f>
        <v>195204900</v>
      </c>
      <c r="W264" s="78">
        <f>INDEX('Population Data by Age'!$B$7:$H$10366,MATCH(CONCATENATE('Tabular Pop Data by Age'!$C264,'Tabular Pop Data by Age'!W$7),'Population Data by Age'!$B$7:$B$10366,0),MATCH('Tabular Pop Data by Age'!$C$6,'Population Data by Age'!$B$6:$H$6,0))</f>
        <v>196536800</v>
      </c>
      <c r="X264" s="78">
        <f>INDEX('Population Data by Age'!$B$7:$H$10366,MATCH(CONCATENATE('Tabular Pop Data by Age'!$C264,'Tabular Pop Data by Age'!X$7),'Population Data by Age'!$B$7:$B$10366,0),MATCH('Tabular Pop Data by Age'!$C$6,'Population Data by Age'!$B$6:$H$6,0))</f>
        <v>180469200</v>
      </c>
      <c r="Y264" s="78">
        <f>INDEX('Population Data by Age'!$B$7:$H$10366,MATCH(CONCATENATE('Tabular Pop Data by Age'!$C264,'Tabular Pop Data by Age'!Y$7),'Population Data by Age'!$B$7:$B$10366,0),MATCH('Tabular Pop Data by Age'!$C$6,'Population Data by Age'!$B$6:$H$6,0))</f>
        <v>178917900</v>
      </c>
      <c r="Z264" s="78">
        <f>INDEX('Population Data by Age'!$B$7:$H$10366,MATCH(CONCATENATE('Tabular Pop Data by Age'!$C264,'Tabular Pop Data by Age'!Z$7),'Population Data by Age'!$B$7:$B$10366,0),MATCH('Tabular Pop Data by Age'!$C$6,'Population Data by Age'!$B$6:$H$6,0))</f>
        <v>153465600</v>
      </c>
      <c r="AA264" s="78">
        <f>INDEX('Population Data by Age'!$B$7:$H$10366,MATCH(CONCATENATE('Tabular Pop Data by Age'!$C264,'Tabular Pop Data by Age'!AA$7),'Population Data by Age'!$B$7:$B$10366,0),MATCH('Tabular Pop Data by Age'!$C$6,'Population Data by Age'!$B$6:$H$6,0))</f>
        <v>150002900</v>
      </c>
      <c r="AB264" s="78">
        <f>INDEX('Population Data by Age'!$B$7:$H$10366,MATCH(CONCATENATE('Tabular Pop Data by Age'!$C264,'Tabular Pop Data by Age'!AB$7),'Population Data by Age'!$B$7:$B$10366,0),MATCH('Tabular Pop Data by Age'!$C$6,'Population Data by Age'!$B$6:$H$6,0))</f>
        <v>125764800</v>
      </c>
      <c r="AC264" s="78">
        <f>INDEX('Population Data by Age'!$B$7:$H$10366,MATCH(CONCATENATE('Tabular Pop Data by Age'!$C264,'Tabular Pop Data by Age'!AC$7),'Population Data by Age'!$B$7:$B$10366,0),MATCH('Tabular Pop Data by Age'!$C$6,'Population Data by Age'!$B$6:$H$6,0))</f>
        <v>119400600</v>
      </c>
      <c r="AD264" s="78">
        <f>INDEX('Population Data by Age'!$B$7:$H$10366,MATCH(CONCATENATE('Tabular Pop Data by Age'!$C264,'Tabular Pop Data by Age'!AD$7),'Population Data by Age'!$B$7:$B$10366,0),MATCH('Tabular Pop Data by Age'!$C$6,'Population Data by Age'!$B$6:$H$6,0))</f>
        <v>105195100</v>
      </c>
      <c r="AE264" s="78">
        <f>INDEX('Population Data by Age'!$B$7:$H$10366,MATCH(CONCATENATE('Tabular Pop Data by Age'!$C264,'Tabular Pop Data by Age'!AE$7),'Population Data by Age'!$B$7:$B$10366,0),MATCH('Tabular Pop Data by Age'!$C$6,'Population Data by Age'!$B$6:$H$6,0))</f>
        <v>96386200</v>
      </c>
      <c r="AF264" s="78">
        <f>INDEX('Population Data by Age'!$B$7:$H$10366,MATCH(CONCATENATE('Tabular Pop Data by Age'!$C264,'Tabular Pop Data by Age'!AF$7),'Population Data by Age'!$B$7:$B$10366,0),MATCH('Tabular Pop Data by Age'!$C$6,'Population Data by Age'!$B$6:$H$6,0))</f>
        <v>70201800</v>
      </c>
      <c r="AG264" s="78">
        <f>INDEX('Population Data by Age'!$B$7:$H$10366,MATCH(CONCATENATE('Tabular Pop Data by Age'!$C264,'Tabular Pop Data by Age'!AG$7),'Population Data by Age'!$B$7:$B$10366,0),MATCH('Tabular Pop Data by Age'!$C$6,'Population Data by Age'!$B$6:$H$6,0))</f>
        <v>59846300</v>
      </c>
      <c r="AH264" s="78">
        <f>INDEX('Population Data by Age'!$B$7:$H$10366,MATCH(CONCATENATE('Tabular Pop Data by Age'!$C264,'Tabular Pop Data by Age'!AH$7),'Population Data by Age'!$B$7:$B$10366,0),MATCH('Tabular Pop Data by Age'!$C$6,'Population Data by Age'!$B$6:$H$6,0))</f>
        <v>45428900</v>
      </c>
      <c r="AI264" s="78">
        <f>INDEX('Population Data by Age'!$B$7:$H$10366,MATCH(CONCATENATE('Tabular Pop Data by Age'!$C264,'Tabular Pop Data by Age'!AI$7),'Population Data by Age'!$B$7:$B$10366,0),MATCH('Tabular Pop Data by Age'!$C$6,'Population Data by Age'!$B$6:$H$6,0))</f>
        <v>35812400</v>
      </c>
      <c r="AJ264" s="78">
        <f>INDEX('Population Data by Age'!$B$7:$H$10366,MATCH(CONCATENATE('Tabular Pop Data by Age'!$C264,'Tabular Pop Data by Age'!AJ$7),'Population Data by Age'!$B$7:$B$10366,0),MATCH('Tabular Pop Data by Age'!$C$6,'Population Data by Age'!$B$6:$H$6,0))</f>
        <v>50439600</v>
      </c>
      <c r="AK264" s="78">
        <f>INDEX('Population Data by Age'!$B$7:$H$10366,MATCH(CONCATENATE('Tabular Pop Data by Age'!$C264,'Tabular Pop Data by Age'!AK$7),'Population Data by Age'!$B$7:$B$10366,0),MATCH('Tabular Pop Data by Age'!$C$6,'Population Data by Age'!$B$6:$H$6,0))</f>
        <v>32125200</v>
      </c>
      <c r="AL264" s="78">
        <f>INDEX('Population Data by Age'!$B$7:$H$10366,MATCH(CONCATENATE('Tabular Pop Data by Age'!$C264,'Tabular Pop Data by Age'!AL$7),'Population Data by Age'!$B$7:$B$10366,0),MATCH('Tabular Pop Data by Age'!$C$6,'Population Data by Age'!$B$6:$H$6,0))</f>
        <v>3231892000</v>
      </c>
      <c r="AM264" s="78">
        <f>INDEX('Population Data by Age'!$B$7:$H$10366,MATCH(CONCATENATE('Tabular Pop Data by Age'!$C264,'Tabular Pop Data by Age'!AM$7),'Population Data by Age'!$B$7:$B$10366,0),MATCH('Tabular Pop Data by Age'!$C$6,'Population Data by Age'!$B$6:$H$6,0))</f>
        <v>3300332000</v>
      </c>
      <c r="AN264" s="78">
        <f>INDEX('Population Data by Age'!$B$7:$H$10366,MATCH(CONCATENATE('Tabular Pop Data by Age'!$C264,'Tabular Pop Data by Age'!AN$7),'Population Data by Age'!$B$7:$B$10366,0),MATCH('Tabular Pop Data by Age'!$C$6,'Population Data by Age'!$B$6:$H$6,0))</f>
        <v>6534303000</v>
      </c>
      <c r="AO264" s="78">
        <f>INDEX('Population Data by Age'!$B$7:$H$10366,MATCH(CONCATENATE('Tabular Pop Data by Age'!$C264,'Tabular Pop Data by Age'!AO$7),'Population Data by Age'!$B$7:$B$10366,0),MATCH('Tabular Pop Data by Age'!$C$6,'Population Data by Age'!$B$6:$H$6,0))</f>
        <v>1.1587668491434187</v>
      </c>
      <c r="AP264" s="79">
        <f t="shared" si="68"/>
        <v>610939200</v>
      </c>
      <c r="AQ264" s="79">
        <f t="shared" si="69"/>
        <v>594909900</v>
      </c>
      <c r="AR264" s="79">
        <f t="shared" si="70"/>
        <v>570567300</v>
      </c>
      <c r="AS264" s="79">
        <f t="shared" si="71"/>
        <v>542420200</v>
      </c>
      <c r="AT264" s="79">
        <f t="shared" si="72"/>
        <v>522411300</v>
      </c>
      <c r="AU264" s="79">
        <f t="shared" si="73"/>
        <v>511625300</v>
      </c>
      <c r="AV264" s="79">
        <f t="shared" si="74"/>
        <v>518652900</v>
      </c>
      <c r="AW264" s="79">
        <f t="shared" si="75"/>
        <v>457741100</v>
      </c>
      <c r="AX264" s="79">
        <f t="shared" si="76"/>
        <v>407733600</v>
      </c>
      <c r="AY264" s="79">
        <f t="shared" si="77"/>
        <v>391741700</v>
      </c>
      <c r="AZ264" s="79">
        <f t="shared" si="78"/>
        <v>359387100</v>
      </c>
      <c r="BA264" s="79">
        <f t="shared" si="79"/>
        <v>303468500</v>
      </c>
      <c r="BB264" s="79">
        <f t="shared" si="80"/>
        <v>245165400</v>
      </c>
      <c r="BC264" s="79">
        <f t="shared" si="81"/>
        <v>201581300</v>
      </c>
      <c r="BD264" s="79">
        <f t="shared" si="82"/>
        <v>130048100</v>
      </c>
      <c r="BE264" s="79">
        <f t="shared" si="83"/>
        <v>81241300</v>
      </c>
      <c r="BF264" s="79">
        <f t="shared" si="84"/>
        <v>82564800</v>
      </c>
    </row>
    <row r="265" spans="1:58" x14ac:dyDescent="0.25">
      <c r="A265" s="138" t="s">
        <v>1182</v>
      </c>
      <c r="B265" t="s">
        <v>559</v>
      </c>
      <c r="C265" t="s">
        <v>560</v>
      </c>
      <c r="D265" s="78">
        <f>INDEX('Population Data by Age'!$B$7:$H$10366,MATCH(CONCATENATE('Tabular Pop Data by Age'!$C265,'Tabular Pop Data by Age'!D$7),'Population Data by Age'!$B$7:$B$10366,0),MATCH('Tabular Pop Data by Age'!$C$6,'Population Data by Age'!$B$6:$H$6,0))</f>
        <v>55965000</v>
      </c>
      <c r="E265" s="78">
        <f>INDEX('Population Data by Age'!$B$7:$H$10366,MATCH(CONCATENATE('Tabular Pop Data by Age'!$C265,'Tabular Pop Data by Age'!E$7),'Population Data by Age'!$B$7:$B$10366,0),MATCH('Tabular Pop Data by Age'!$C$6,'Population Data by Age'!$B$6:$H$6,0))</f>
        <v>57507000</v>
      </c>
      <c r="F265" s="78">
        <f>INDEX('Population Data by Age'!$B$7:$H$10366,MATCH(CONCATENATE('Tabular Pop Data by Age'!$C265,'Tabular Pop Data by Age'!F$7),'Population Data by Age'!$B$7:$B$10366,0),MATCH('Tabular Pop Data by Age'!$C$6,'Population Data by Age'!$B$6:$H$6,0))</f>
        <v>50327000</v>
      </c>
      <c r="G265" s="78">
        <f>INDEX('Population Data by Age'!$B$7:$H$10366,MATCH(CONCATENATE('Tabular Pop Data by Age'!$C265,'Tabular Pop Data by Age'!G$7),'Population Data by Age'!$B$7:$B$10366,0),MATCH('Tabular Pop Data by Age'!$C$6,'Population Data by Age'!$B$6:$H$6,0))</f>
        <v>51543000</v>
      </c>
      <c r="H265" s="78">
        <f>INDEX('Population Data by Age'!$B$7:$H$10366,MATCH(CONCATENATE('Tabular Pop Data by Age'!$C265,'Tabular Pop Data by Age'!H$7),'Population Data by Age'!$B$7:$B$10366,0),MATCH('Tabular Pop Data by Age'!$C$6,'Population Data by Age'!$B$6:$H$6,0))</f>
        <v>45254000</v>
      </c>
      <c r="I265" s="78">
        <f>INDEX('Population Data by Age'!$B$7:$H$10366,MATCH(CONCATENATE('Tabular Pop Data by Age'!$C265,'Tabular Pop Data by Age'!I$7),'Population Data by Age'!$B$7:$B$10366,0),MATCH('Tabular Pop Data by Age'!$C$6,'Population Data by Age'!$B$6:$H$6,0))</f>
        <v>46207000</v>
      </c>
      <c r="J265" s="78">
        <f>INDEX('Population Data by Age'!$B$7:$H$10366,MATCH(CONCATENATE('Tabular Pop Data by Age'!$C265,'Tabular Pop Data by Age'!J$7),'Population Data by Age'!$B$7:$B$10366,0),MATCH('Tabular Pop Data by Age'!$C$6,'Population Data by Age'!$B$6:$H$6,0))</f>
        <v>39898000</v>
      </c>
      <c r="K265" s="78">
        <f>INDEX('Population Data by Age'!$B$7:$H$10366,MATCH(CONCATENATE('Tabular Pop Data by Age'!$C265,'Tabular Pop Data by Age'!K$7),'Population Data by Age'!$B$7:$B$10366,0),MATCH('Tabular Pop Data by Age'!$C$6,'Population Data by Age'!$B$6:$H$6,0))</f>
        <v>40596000</v>
      </c>
      <c r="L265" s="78">
        <f>INDEX('Population Data by Age'!$B$7:$H$10366,MATCH(CONCATENATE('Tabular Pop Data by Age'!$C265,'Tabular Pop Data by Age'!L$7),'Population Data by Age'!$B$7:$B$10366,0),MATCH('Tabular Pop Data by Age'!$C$6,'Population Data by Age'!$B$6:$H$6,0))</f>
        <v>34750000</v>
      </c>
      <c r="M265" s="78">
        <f>INDEX('Population Data by Age'!$B$7:$H$10366,MATCH(CONCATENATE('Tabular Pop Data by Age'!$C265,'Tabular Pop Data by Age'!M$7),'Population Data by Age'!$B$7:$B$10366,0),MATCH('Tabular Pop Data by Age'!$C$6,'Population Data by Age'!$B$6:$H$6,0))</f>
        <v>34960000</v>
      </c>
      <c r="N265" s="78">
        <f>INDEX('Population Data by Age'!$B$7:$H$10366,MATCH(CONCATENATE('Tabular Pop Data by Age'!$C265,'Tabular Pop Data by Age'!N$7),'Population Data by Age'!$B$7:$B$10366,0),MATCH('Tabular Pop Data by Age'!$C$6,'Population Data by Age'!$B$6:$H$6,0))</f>
        <v>29582000</v>
      </c>
      <c r="O265" s="78">
        <f>INDEX('Population Data by Age'!$B$7:$H$10366,MATCH(CONCATENATE('Tabular Pop Data by Age'!$C265,'Tabular Pop Data by Age'!O$7),'Population Data by Age'!$B$7:$B$10366,0),MATCH('Tabular Pop Data by Age'!$C$6,'Population Data by Age'!$B$6:$H$6,0))</f>
        <v>29320000</v>
      </c>
      <c r="P265" s="78">
        <f>INDEX('Population Data by Age'!$B$7:$H$10366,MATCH(CONCATENATE('Tabular Pop Data by Age'!$C265,'Tabular Pop Data by Age'!P$7),'Population Data by Age'!$B$7:$B$10366,0),MATCH('Tabular Pop Data by Age'!$C$6,'Population Data by Age'!$B$6:$H$6,0))</f>
        <v>24698000</v>
      </c>
      <c r="Q265" s="78">
        <f>INDEX('Population Data by Age'!$B$7:$H$10366,MATCH(CONCATENATE('Tabular Pop Data by Age'!$C265,'Tabular Pop Data by Age'!Q$7),'Population Data by Age'!$B$7:$B$10366,0),MATCH('Tabular Pop Data by Age'!$C$6,'Population Data by Age'!$B$6:$H$6,0))</f>
        <v>24061000</v>
      </c>
      <c r="R265" s="78">
        <f>INDEX('Population Data by Age'!$B$7:$H$10366,MATCH(CONCATENATE('Tabular Pop Data by Age'!$C265,'Tabular Pop Data by Age'!R$7),'Population Data by Age'!$B$7:$B$10366,0),MATCH('Tabular Pop Data by Age'!$C$6,'Population Data by Age'!$B$6:$H$6,0))</f>
        <v>20699000</v>
      </c>
      <c r="S265" s="78">
        <f>INDEX('Population Data by Age'!$B$7:$H$10366,MATCH(CONCATENATE('Tabular Pop Data by Age'!$C265,'Tabular Pop Data by Age'!S$7),'Population Data by Age'!$B$7:$B$10366,0),MATCH('Tabular Pop Data by Age'!$C$6,'Population Data by Age'!$B$6:$H$6,0))</f>
        <v>19702000</v>
      </c>
      <c r="T265" s="78">
        <f>INDEX('Population Data by Age'!$B$7:$H$10366,MATCH(CONCATENATE('Tabular Pop Data by Age'!$C265,'Tabular Pop Data by Age'!T$7),'Population Data by Age'!$B$7:$B$10366,0),MATCH('Tabular Pop Data by Age'!$C$6,'Population Data by Age'!$B$6:$H$6,0))</f>
        <v>16720000</v>
      </c>
      <c r="U265" s="78">
        <f>INDEX('Population Data by Age'!$B$7:$H$10366,MATCH(CONCATENATE('Tabular Pop Data by Age'!$C265,'Tabular Pop Data by Age'!U$7),'Population Data by Age'!$B$7:$B$10366,0),MATCH('Tabular Pop Data by Age'!$C$6,'Population Data by Age'!$B$6:$H$6,0))</f>
        <v>15928000</v>
      </c>
      <c r="V265" s="78">
        <f>INDEX('Population Data by Age'!$B$7:$H$10366,MATCH(CONCATENATE('Tabular Pop Data by Age'!$C265,'Tabular Pop Data by Age'!V$7),'Population Data by Age'!$B$7:$B$10366,0),MATCH('Tabular Pop Data by Age'!$C$6,'Population Data by Age'!$B$6:$H$6,0))</f>
        <v>13918000</v>
      </c>
      <c r="W265" s="78">
        <f>INDEX('Population Data by Age'!$B$7:$H$10366,MATCH(CONCATENATE('Tabular Pop Data by Age'!$C265,'Tabular Pop Data by Age'!W$7),'Population Data by Age'!$B$7:$B$10366,0),MATCH('Tabular Pop Data by Age'!$C$6,'Population Data by Age'!$B$6:$H$6,0))</f>
        <v>13295000</v>
      </c>
      <c r="X265" s="78">
        <f>INDEX('Population Data by Age'!$B$7:$H$10366,MATCH(CONCATENATE('Tabular Pop Data by Age'!$C265,'Tabular Pop Data by Age'!X$7),'Population Data by Age'!$B$7:$B$10366,0),MATCH('Tabular Pop Data by Age'!$C$6,'Population Data by Age'!$B$6:$H$6,0))</f>
        <v>11500000</v>
      </c>
      <c r="Y265" s="78">
        <f>INDEX('Population Data by Age'!$B$7:$H$10366,MATCH(CONCATENATE('Tabular Pop Data by Age'!$C265,'Tabular Pop Data by Age'!Y$7),'Population Data by Age'!$B$7:$B$10366,0),MATCH('Tabular Pop Data by Age'!$C$6,'Population Data by Age'!$B$6:$H$6,0))</f>
        <v>10696000</v>
      </c>
      <c r="Z265" s="78">
        <f>INDEX('Population Data by Age'!$B$7:$H$10366,MATCH(CONCATENATE('Tabular Pop Data by Age'!$C265,'Tabular Pop Data by Age'!Z$7),'Population Data by Age'!$B$7:$B$10366,0),MATCH('Tabular Pop Data by Age'!$C$6,'Population Data by Age'!$B$6:$H$6,0))</f>
        <v>9177000</v>
      </c>
      <c r="AA265" s="78">
        <f>INDEX('Population Data by Age'!$B$7:$H$10366,MATCH(CONCATENATE('Tabular Pop Data by Age'!$C265,'Tabular Pop Data by Age'!AA$7),'Population Data by Age'!$B$7:$B$10366,0),MATCH('Tabular Pop Data by Age'!$C$6,'Population Data by Age'!$B$6:$H$6,0))</f>
        <v>8317000</v>
      </c>
      <c r="AB265" s="78">
        <f>INDEX('Population Data by Age'!$B$7:$H$10366,MATCH(CONCATENATE('Tabular Pop Data by Age'!$C265,'Tabular Pop Data by Age'!AB$7),'Population Data by Age'!$B$7:$B$10366,0),MATCH('Tabular Pop Data by Age'!$C$6,'Population Data by Age'!$B$6:$H$6,0))</f>
        <v>7420000</v>
      </c>
      <c r="AC265" s="78">
        <f>INDEX('Population Data by Age'!$B$7:$H$10366,MATCH(CONCATENATE('Tabular Pop Data by Age'!$C265,'Tabular Pop Data by Age'!AC$7),'Population Data by Age'!$B$7:$B$10366,0),MATCH('Tabular Pop Data by Age'!$C$6,'Population Data by Age'!$B$6:$H$6,0))</f>
        <v>6512000</v>
      </c>
      <c r="AD265" s="78">
        <f>INDEX('Population Data by Age'!$B$7:$H$10366,MATCH(CONCATENATE('Tabular Pop Data by Age'!$C265,'Tabular Pop Data by Age'!AD$7),'Population Data by Age'!$B$7:$B$10366,0),MATCH('Tabular Pop Data by Age'!$C$6,'Population Data by Age'!$B$6:$H$6,0))</f>
        <v>5387000</v>
      </c>
      <c r="AE265" s="78">
        <f>INDEX('Population Data by Age'!$B$7:$H$10366,MATCH(CONCATENATE('Tabular Pop Data by Age'!$C265,'Tabular Pop Data by Age'!AE$7),'Population Data by Age'!$B$7:$B$10366,0),MATCH('Tabular Pop Data by Age'!$C$6,'Population Data by Age'!$B$6:$H$6,0))</f>
        <v>4550000</v>
      </c>
      <c r="AF265" s="78">
        <f>INDEX('Population Data by Age'!$B$7:$H$10366,MATCH(CONCATENATE('Tabular Pop Data by Age'!$C265,'Tabular Pop Data by Age'!AF$7),'Population Data by Age'!$B$7:$B$10366,0),MATCH('Tabular Pop Data by Age'!$C$6,'Population Data by Age'!$B$6:$H$6,0))</f>
        <v>4021400</v>
      </c>
      <c r="AG265" s="78">
        <f>INDEX('Population Data by Age'!$B$7:$H$10366,MATCH(CONCATENATE('Tabular Pop Data by Age'!$C265,'Tabular Pop Data by Age'!AG$7),'Population Data by Age'!$B$7:$B$10366,0),MATCH('Tabular Pop Data by Age'!$C$6,'Population Data by Age'!$B$6:$H$6,0))</f>
        <v>3096300</v>
      </c>
      <c r="AH265" s="78">
        <f>INDEX('Population Data by Age'!$B$7:$H$10366,MATCH(CONCATENATE('Tabular Pop Data by Age'!$C265,'Tabular Pop Data by Age'!AH$7),'Population Data by Age'!$B$7:$B$10366,0),MATCH('Tabular Pop Data by Age'!$C$6,'Population Data by Age'!$B$6:$H$6,0))</f>
        <v>2601400</v>
      </c>
      <c r="AI265" s="78">
        <f>INDEX('Population Data by Age'!$B$7:$H$10366,MATCH(CONCATENATE('Tabular Pop Data by Age'!$C265,'Tabular Pop Data by Age'!AI$7),'Population Data by Age'!$B$7:$B$10366,0),MATCH('Tabular Pop Data by Age'!$C$6,'Population Data by Age'!$B$6:$H$6,0))</f>
        <v>1857500</v>
      </c>
      <c r="AJ265" s="78">
        <f>INDEX('Population Data by Age'!$B$7:$H$10366,MATCH(CONCATENATE('Tabular Pop Data by Age'!$C265,'Tabular Pop Data by Age'!AJ$7),'Population Data by Age'!$B$7:$B$10366,0),MATCH('Tabular Pop Data by Age'!$C$6,'Population Data by Age'!$B$6:$H$6,0))</f>
        <v>1965500</v>
      </c>
      <c r="AK265" s="78">
        <f>INDEX('Population Data by Age'!$B$7:$H$10366,MATCH(CONCATENATE('Tabular Pop Data by Age'!$C265,'Tabular Pop Data by Age'!AK$7),'Population Data by Age'!$B$7:$B$10366,0),MATCH('Tabular Pop Data by Age'!$C$6,'Population Data by Age'!$B$6:$H$6,0))</f>
        <v>1207000</v>
      </c>
      <c r="AL265" s="78">
        <f>INDEX('Population Data by Age'!$B$7:$H$10366,MATCH(CONCATENATE('Tabular Pop Data by Age'!$C265,'Tabular Pop Data by Age'!AL$7),'Population Data by Age'!$B$7:$B$10366,0),MATCH('Tabular Pop Data by Age'!$C$6,'Population Data by Age'!$B$6:$H$6,0))</f>
        <v>373884000</v>
      </c>
      <c r="AM265" s="78">
        <f>INDEX('Population Data by Age'!$B$7:$H$10366,MATCH(CONCATENATE('Tabular Pop Data by Age'!$C265,'Tabular Pop Data by Age'!AM$7),'Population Data by Age'!$B$7:$B$10366,0),MATCH('Tabular Pop Data by Age'!$C$6,'Population Data by Age'!$B$6:$H$6,0))</f>
        <v>369349000</v>
      </c>
      <c r="AN265" s="78">
        <f>INDEX('Population Data by Age'!$B$7:$H$10366,MATCH(CONCATENATE('Tabular Pop Data by Age'!$C265,'Tabular Pop Data by Age'!AN$7),'Population Data by Age'!$B$7:$B$10366,0),MATCH('Tabular Pop Data by Age'!$C$6,'Population Data by Age'!$B$6:$H$6,0))</f>
        <v>743236000</v>
      </c>
      <c r="AO265" s="78">
        <f>INDEX('Population Data by Age'!$B$7:$H$10366,MATCH(CONCATENATE('Tabular Pop Data by Age'!$C265,'Tabular Pop Data by Age'!AO$7),'Population Data by Age'!$B$7:$B$10366,0),MATCH('Tabular Pop Data by Age'!$C$6,'Population Data by Age'!$B$6:$H$6,0))</f>
        <v>2.6488246091122676</v>
      </c>
      <c r="AP265" s="79">
        <f t="shared" si="68"/>
        <v>113472000</v>
      </c>
      <c r="AQ265" s="79">
        <f t="shared" si="69"/>
        <v>101870000</v>
      </c>
      <c r="AR265" s="79">
        <f t="shared" si="70"/>
        <v>91461000</v>
      </c>
      <c r="AS265" s="79">
        <f t="shared" si="71"/>
        <v>80494000</v>
      </c>
      <c r="AT265" s="79">
        <f t="shared" si="72"/>
        <v>69710000</v>
      </c>
      <c r="AU265" s="79">
        <f t="shared" si="73"/>
        <v>58902000</v>
      </c>
      <c r="AV265" s="79">
        <f t="shared" si="74"/>
        <v>48759000</v>
      </c>
      <c r="AW265" s="79">
        <f t="shared" si="75"/>
        <v>40401000</v>
      </c>
      <c r="AX265" s="79">
        <f t="shared" si="76"/>
        <v>32648000</v>
      </c>
      <c r="AY265" s="79">
        <f t="shared" si="77"/>
        <v>27213000</v>
      </c>
      <c r="AZ265" s="79">
        <f t="shared" si="78"/>
        <v>22196000</v>
      </c>
      <c r="BA265" s="79">
        <f t="shared" si="79"/>
        <v>17494000</v>
      </c>
      <c r="BB265" s="79">
        <f t="shared" si="80"/>
        <v>13932000</v>
      </c>
      <c r="BC265" s="79">
        <f t="shared" si="81"/>
        <v>9937000</v>
      </c>
      <c r="BD265" s="79">
        <f t="shared" si="82"/>
        <v>7117700</v>
      </c>
      <c r="BE265" s="79">
        <f t="shared" si="83"/>
        <v>4458900</v>
      </c>
      <c r="BF265" s="79">
        <f t="shared" si="84"/>
        <v>3172500</v>
      </c>
    </row>
    <row r="266" spans="1:58" x14ac:dyDescent="0.25">
      <c r="A266" s="138" t="s">
        <v>1182</v>
      </c>
      <c r="B266" t="s">
        <v>561</v>
      </c>
      <c r="C266" t="s">
        <v>562</v>
      </c>
      <c r="D266" s="78">
        <f>INDEX('Population Data by Age'!$B$7:$H$10366,MATCH(CONCATENATE('Tabular Pop Data by Age'!$C266,'Tabular Pop Data by Age'!D$7),'Population Data by Age'!$B$7:$B$10366,0),MATCH('Tabular Pop Data by Age'!$C$6,'Population Data by Age'!$B$6:$H$6,0))</f>
        <v>151489400</v>
      </c>
      <c r="E266" s="78">
        <f>INDEX('Population Data by Age'!$B$7:$H$10366,MATCH(CONCATENATE('Tabular Pop Data by Age'!$C266,'Tabular Pop Data by Age'!E$7),'Population Data by Age'!$B$7:$B$10366,0),MATCH('Tabular Pop Data by Age'!$C$6,'Population Data by Age'!$B$6:$H$6,0))</f>
        <v>161883100</v>
      </c>
      <c r="F266" s="78">
        <f>INDEX('Population Data by Age'!$B$7:$H$10366,MATCH(CONCATENATE('Tabular Pop Data by Age'!$C266,'Tabular Pop Data by Age'!F$7),'Population Data by Age'!$B$7:$B$10366,0),MATCH('Tabular Pop Data by Age'!$C$6,'Population Data by Age'!$B$6:$H$6,0))</f>
        <v>147993500</v>
      </c>
      <c r="G266" s="78">
        <f>INDEX('Population Data by Age'!$B$7:$H$10366,MATCH(CONCATENATE('Tabular Pop Data by Age'!$C266,'Tabular Pop Data by Age'!G$7),'Population Data by Age'!$B$7:$B$10366,0),MATCH('Tabular Pop Data by Age'!$C$6,'Population Data by Age'!$B$6:$H$6,0))</f>
        <v>158212600</v>
      </c>
      <c r="H266" s="78">
        <f>INDEX('Population Data by Age'!$B$7:$H$10366,MATCH(CONCATENATE('Tabular Pop Data by Age'!$C266,'Tabular Pop Data by Age'!H$7),'Population Data by Age'!$B$7:$B$10366,0),MATCH('Tabular Pop Data by Age'!$C$6,'Population Data by Age'!$B$6:$H$6,0))</f>
        <v>144192400</v>
      </c>
      <c r="I266" s="78">
        <f>INDEX('Population Data by Age'!$B$7:$H$10366,MATCH(CONCATENATE('Tabular Pop Data by Age'!$C266,'Tabular Pop Data by Age'!I$7),'Population Data by Age'!$B$7:$B$10366,0),MATCH('Tabular Pop Data by Age'!$C$6,'Population Data by Age'!$B$6:$H$6,0))</f>
        <v>154662800</v>
      </c>
      <c r="J266" s="78">
        <f>INDEX('Population Data by Age'!$B$7:$H$10366,MATCH(CONCATENATE('Tabular Pop Data by Age'!$C266,'Tabular Pop Data by Age'!J$7),'Population Data by Age'!$B$7:$B$10366,0),MATCH('Tabular Pop Data by Age'!$C$6,'Population Data by Age'!$B$6:$H$6,0))</f>
        <v>137713600</v>
      </c>
      <c r="K266" s="78">
        <f>INDEX('Population Data by Age'!$B$7:$H$10366,MATCH(CONCATENATE('Tabular Pop Data by Age'!$C266,'Tabular Pop Data by Age'!K$7),'Population Data by Age'!$B$7:$B$10366,0),MATCH('Tabular Pop Data by Age'!$C$6,'Population Data by Age'!$B$6:$H$6,0))</f>
        <v>148767100</v>
      </c>
      <c r="L266" s="78">
        <f>INDEX('Population Data by Age'!$B$7:$H$10366,MATCH(CONCATENATE('Tabular Pop Data by Age'!$C266,'Tabular Pop Data by Age'!L$7),'Population Data by Age'!$B$7:$B$10366,0),MATCH('Tabular Pop Data by Age'!$C$6,'Population Data by Age'!$B$6:$H$6,0))</f>
        <v>131106200</v>
      </c>
      <c r="M266" s="78">
        <f>INDEX('Population Data by Age'!$B$7:$H$10366,MATCH(CONCATENATE('Tabular Pop Data by Age'!$C266,'Tabular Pop Data by Age'!M$7),'Population Data by Age'!$B$7:$B$10366,0),MATCH('Tabular Pop Data by Age'!$C$6,'Population Data by Age'!$B$6:$H$6,0))</f>
        <v>141174000</v>
      </c>
      <c r="N266" s="78">
        <f>INDEX('Population Data by Age'!$B$7:$H$10366,MATCH(CONCATENATE('Tabular Pop Data by Age'!$C266,'Tabular Pop Data by Age'!N$7),'Population Data by Age'!$B$7:$B$10366,0),MATCH('Tabular Pop Data by Age'!$C$6,'Population Data by Age'!$B$6:$H$6,0))</f>
        <v>124681300</v>
      </c>
      <c r="O266" s="78">
        <f>INDEX('Population Data by Age'!$B$7:$H$10366,MATCH(CONCATENATE('Tabular Pop Data by Age'!$C266,'Tabular Pop Data by Age'!O$7),'Population Data by Age'!$B$7:$B$10366,0),MATCH('Tabular Pop Data by Age'!$C$6,'Population Data by Age'!$B$6:$H$6,0))</f>
        <v>132893000</v>
      </c>
      <c r="P266" s="78">
        <f>INDEX('Population Data by Age'!$B$7:$H$10366,MATCH(CONCATENATE('Tabular Pop Data by Age'!$C266,'Tabular Pop Data by Age'!P$7),'Population Data by Age'!$B$7:$B$10366,0),MATCH('Tabular Pop Data by Age'!$C$6,'Population Data by Age'!$B$6:$H$6,0))</f>
        <v>117759600</v>
      </c>
      <c r="Q266" s="78">
        <f>INDEX('Population Data by Age'!$B$7:$H$10366,MATCH(CONCATENATE('Tabular Pop Data by Age'!$C266,'Tabular Pop Data by Age'!Q$7),'Population Data by Age'!$B$7:$B$10366,0),MATCH('Tabular Pop Data by Age'!$C$6,'Population Data by Age'!$B$6:$H$6,0))</f>
        <v>123533900</v>
      </c>
      <c r="R266" s="78">
        <f>INDEX('Population Data by Age'!$B$7:$H$10366,MATCH(CONCATENATE('Tabular Pop Data by Age'!$C266,'Tabular Pop Data by Age'!R$7),'Population Data by Age'!$B$7:$B$10366,0),MATCH('Tabular Pop Data by Age'!$C$6,'Population Data by Age'!$B$6:$H$6,0))</f>
        <v>108594700</v>
      </c>
      <c r="S266" s="78">
        <f>INDEX('Population Data by Age'!$B$7:$H$10366,MATCH(CONCATENATE('Tabular Pop Data by Age'!$C266,'Tabular Pop Data by Age'!S$7),'Population Data by Age'!$B$7:$B$10366,0),MATCH('Tabular Pop Data by Age'!$C$6,'Population Data by Age'!$B$6:$H$6,0))</f>
        <v>113005200</v>
      </c>
      <c r="T266" s="78">
        <f>INDEX('Population Data by Age'!$B$7:$H$10366,MATCH(CONCATENATE('Tabular Pop Data by Age'!$C266,'Tabular Pop Data by Age'!T$7),'Population Data by Age'!$B$7:$B$10366,0),MATCH('Tabular Pop Data by Age'!$C$6,'Population Data by Age'!$B$6:$H$6,0))</f>
        <v>94852700</v>
      </c>
      <c r="U266" s="78">
        <f>INDEX('Population Data by Age'!$B$7:$H$10366,MATCH(CONCATENATE('Tabular Pop Data by Age'!$C266,'Tabular Pop Data by Age'!U$7),'Population Data by Age'!$B$7:$B$10366,0),MATCH('Tabular Pop Data by Age'!$C$6,'Population Data by Age'!$B$6:$H$6,0))</f>
        <v>97564700</v>
      </c>
      <c r="V266" s="78">
        <f>INDEX('Population Data by Age'!$B$7:$H$10366,MATCH(CONCATENATE('Tabular Pop Data by Age'!$C266,'Tabular Pop Data by Age'!V$7),'Population Data by Age'!$B$7:$B$10366,0),MATCH('Tabular Pop Data by Age'!$C$6,'Population Data by Age'!$B$6:$H$6,0))</f>
        <v>83069800</v>
      </c>
      <c r="W266" s="78">
        <f>INDEX('Population Data by Age'!$B$7:$H$10366,MATCH(CONCATENATE('Tabular Pop Data by Age'!$C266,'Tabular Pop Data by Age'!W$7),'Population Data by Age'!$B$7:$B$10366,0),MATCH('Tabular Pop Data by Age'!$C$6,'Population Data by Age'!$B$6:$H$6,0))</f>
        <v>84603400</v>
      </c>
      <c r="X266" s="78">
        <f>INDEX('Population Data by Age'!$B$7:$H$10366,MATCH(CONCATENATE('Tabular Pop Data by Age'!$C266,'Tabular Pop Data by Age'!X$7),'Population Data by Age'!$B$7:$B$10366,0),MATCH('Tabular Pop Data by Age'!$C$6,'Population Data by Age'!$B$6:$H$6,0))</f>
        <v>71975800</v>
      </c>
      <c r="Y266" s="78">
        <f>INDEX('Population Data by Age'!$B$7:$H$10366,MATCH(CONCATENATE('Tabular Pop Data by Age'!$C266,'Tabular Pop Data by Age'!Y$7),'Population Data by Age'!$B$7:$B$10366,0),MATCH('Tabular Pop Data by Age'!$C$6,'Population Data by Age'!$B$6:$H$6,0))</f>
        <v>72701600</v>
      </c>
      <c r="Z266" s="78">
        <f>INDEX('Population Data by Age'!$B$7:$H$10366,MATCH(CONCATENATE('Tabular Pop Data by Age'!$C266,'Tabular Pop Data by Age'!Z$7),'Population Data by Age'!$B$7:$B$10366,0),MATCH('Tabular Pop Data by Age'!$C$6,'Population Data by Age'!$B$6:$H$6,0))</f>
        <v>61829900</v>
      </c>
      <c r="AA266" s="78">
        <f>INDEX('Population Data by Age'!$B$7:$H$10366,MATCH(CONCATENATE('Tabular Pop Data by Age'!$C266,'Tabular Pop Data by Age'!AA$7),'Population Data by Age'!$B$7:$B$10366,0),MATCH('Tabular Pop Data by Age'!$C$6,'Population Data by Age'!$B$6:$H$6,0))</f>
        <v>61556600</v>
      </c>
      <c r="AB266" s="78">
        <f>INDEX('Population Data by Age'!$B$7:$H$10366,MATCH(CONCATENATE('Tabular Pop Data by Age'!$C266,'Tabular Pop Data by Age'!AB$7),'Population Data by Age'!$B$7:$B$10366,0),MATCH('Tabular Pop Data by Age'!$C$6,'Population Data by Age'!$B$6:$H$6,0))</f>
        <v>50239500</v>
      </c>
      <c r="AC266" s="78">
        <f>INDEX('Population Data by Age'!$B$7:$H$10366,MATCH(CONCATENATE('Tabular Pop Data by Age'!$C266,'Tabular Pop Data by Age'!AC$7),'Population Data by Age'!$B$7:$B$10366,0),MATCH('Tabular Pop Data by Age'!$C$6,'Population Data by Age'!$B$6:$H$6,0))</f>
        <v>48907800</v>
      </c>
      <c r="AD266" s="78">
        <f>INDEX('Population Data by Age'!$B$7:$H$10366,MATCH(CONCATENATE('Tabular Pop Data by Age'!$C266,'Tabular Pop Data by Age'!AD$7),'Population Data by Age'!$B$7:$B$10366,0),MATCH('Tabular Pop Data by Age'!$C$6,'Population Data by Age'!$B$6:$H$6,0))</f>
        <v>38032900</v>
      </c>
      <c r="AE266" s="78">
        <f>INDEX('Population Data by Age'!$B$7:$H$10366,MATCH(CONCATENATE('Tabular Pop Data by Age'!$C266,'Tabular Pop Data by Age'!AE$7),'Population Data by Age'!$B$7:$B$10366,0),MATCH('Tabular Pop Data by Age'!$C$6,'Population Data by Age'!$B$6:$H$6,0))</f>
        <v>36050300</v>
      </c>
      <c r="AF266" s="78">
        <f>INDEX('Population Data by Age'!$B$7:$H$10366,MATCH(CONCATENATE('Tabular Pop Data by Age'!$C266,'Tabular Pop Data by Age'!AF$7),'Population Data by Age'!$B$7:$B$10366,0),MATCH('Tabular Pop Data by Age'!$C$6,'Population Data by Age'!$B$6:$H$6,0))</f>
        <v>25549600</v>
      </c>
      <c r="AG266" s="78">
        <f>INDEX('Population Data by Age'!$B$7:$H$10366,MATCH(CONCATENATE('Tabular Pop Data by Age'!$C266,'Tabular Pop Data by Age'!AG$7),'Population Data by Age'!$B$7:$B$10366,0),MATCH('Tabular Pop Data by Age'!$C$6,'Population Data by Age'!$B$6:$H$6,0))</f>
        <v>22434500</v>
      </c>
      <c r="AH266" s="78">
        <f>INDEX('Population Data by Age'!$B$7:$H$10366,MATCH(CONCATENATE('Tabular Pop Data by Age'!$C266,'Tabular Pop Data by Age'!AH$7),'Population Data by Age'!$B$7:$B$10366,0),MATCH('Tabular Pop Data by Age'!$C$6,'Population Data by Age'!$B$6:$H$6,0))</f>
        <v>16721100</v>
      </c>
      <c r="AI266" s="78">
        <f>INDEX('Population Data by Age'!$B$7:$H$10366,MATCH(CONCATENATE('Tabular Pop Data by Age'!$C266,'Tabular Pop Data by Age'!AI$7),'Population Data by Age'!$B$7:$B$10366,0),MATCH('Tabular Pop Data by Age'!$C$6,'Population Data by Age'!$B$6:$H$6,0))</f>
        <v>13647700</v>
      </c>
      <c r="AJ266" s="78">
        <f>INDEX('Population Data by Age'!$B$7:$H$10366,MATCH(CONCATENATE('Tabular Pop Data by Age'!$C266,'Tabular Pop Data by Age'!AJ$7),'Population Data by Age'!$B$7:$B$10366,0),MATCH('Tabular Pop Data by Age'!$C$6,'Population Data by Age'!$B$6:$H$6,0))</f>
        <v>16342600</v>
      </c>
      <c r="AK266" s="78">
        <f>INDEX('Population Data by Age'!$B$7:$H$10366,MATCH(CONCATENATE('Tabular Pop Data by Age'!$C266,'Tabular Pop Data by Age'!AK$7),'Population Data by Age'!$B$7:$B$10366,0),MATCH('Tabular Pop Data by Age'!$C$6,'Population Data by Age'!$B$6:$H$6,0))</f>
        <v>11419300</v>
      </c>
      <c r="AL266" s="78">
        <f>INDEX('Population Data by Age'!$B$7:$H$10366,MATCH(CONCATENATE('Tabular Pop Data by Age'!$C266,'Tabular Pop Data by Age'!AL$7),'Population Data by Age'!$B$7:$B$10366,0),MATCH('Tabular Pop Data by Age'!$C$6,'Population Data by Age'!$B$6:$H$6,0))</f>
        <v>1522150000</v>
      </c>
      <c r="AM266" s="78">
        <f>INDEX('Population Data by Age'!$B$7:$H$10366,MATCH(CONCATENATE('Tabular Pop Data by Age'!$C266,'Tabular Pop Data by Age'!AM$7),'Population Data by Age'!$B$7:$B$10366,0),MATCH('Tabular Pop Data by Age'!$C$6,'Population Data by Age'!$B$6:$H$6,0))</f>
        <v>1583032000</v>
      </c>
      <c r="AN266" s="78">
        <f>INDEX('Population Data by Age'!$B$7:$H$10366,MATCH(CONCATENATE('Tabular Pop Data by Age'!$C266,'Tabular Pop Data by Age'!AN$7),'Population Data by Age'!$B$7:$B$10366,0),MATCH('Tabular Pop Data by Age'!$C$6,'Population Data by Age'!$B$6:$H$6,0))</f>
        <v>3105181000</v>
      </c>
      <c r="AO266" s="78">
        <f>INDEX('Population Data by Age'!$B$7:$H$10366,MATCH(CONCATENATE('Tabular Pop Data by Age'!$C266,'Tabular Pop Data by Age'!AO$7),'Population Data by Age'!$B$7:$B$10366,0),MATCH('Tabular Pop Data by Age'!$C$6,'Population Data by Age'!$B$6:$H$6,0))</f>
        <v>1.3391324439942167</v>
      </c>
      <c r="AP266" s="79">
        <f t="shared" si="68"/>
        <v>313372500</v>
      </c>
      <c r="AQ266" s="79">
        <f t="shared" si="69"/>
        <v>306206100</v>
      </c>
      <c r="AR266" s="79">
        <f t="shared" si="70"/>
        <v>298855200</v>
      </c>
      <c r="AS266" s="79">
        <f t="shared" si="71"/>
        <v>286480700</v>
      </c>
      <c r="AT266" s="79">
        <f t="shared" si="72"/>
        <v>272280200</v>
      </c>
      <c r="AU266" s="79">
        <f t="shared" si="73"/>
        <v>257574300</v>
      </c>
      <c r="AV266" s="79">
        <f t="shared" si="74"/>
        <v>241293500</v>
      </c>
      <c r="AW266" s="79">
        <f t="shared" si="75"/>
        <v>221599900</v>
      </c>
      <c r="AX266" s="79">
        <f t="shared" si="76"/>
        <v>192417400</v>
      </c>
      <c r="AY266" s="79">
        <f t="shared" si="77"/>
        <v>167673200</v>
      </c>
      <c r="AZ266" s="79">
        <f t="shared" si="78"/>
        <v>144677400</v>
      </c>
      <c r="BA266" s="79">
        <f t="shared" si="79"/>
        <v>123386500</v>
      </c>
      <c r="BB266" s="79">
        <f t="shared" si="80"/>
        <v>99147300</v>
      </c>
      <c r="BC266" s="79">
        <f t="shared" si="81"/>
        <v>74083200</v>
      </c>
      <c r="BD266" s="79">
        <f t="shared" si="82"/>
        <v>47984100</v>
      </c>
      <c r="BE266" s="79">
        <f t="shared" si="83"/>
        <v>30368800</v>
      </c>
      <c r="BF266" s="79">
        <f t="shared" si="84"/>
        <v>27761900</v>
      </c>
    </row>
    <row r="267" spans="1:58" x14ac:dyDescent="0.25">
      <c r="A267" s="138" t="s">
        <v>1182</v>
      </c>
      <c r="B267" t="s">
        <v>541</v>
      </c>
      <c r="C267" t="s">
        <v>542</v>
      </c>
      <c r="D267" s="78">
        <f>INDEX('Population Data by Age'!$B$7:$H$10366,MATCH(CONCATENATE('Tabular Pop Data by Age'!$C267,'Tabular Pop Data by Age'!D$7),'Population Data by Age'!$B$7:$B$10366,0),MATCH('Tabular Pop Data by Age'!$C$6,'Population Data by Age'!$B$6:$H$6,0))</f>
        <v>68782200</v>
      </c>
      <c r="E267" s="78">
        <f>INDEX('Population Data by Age'!$B$7:$H$10366,MATCH(CONCATENATE('Tabular Pop Data by Age'!$C267,'Tabular Pop Data by Age'!E$7),'Population Data by Age'!$B$7:$B$10366,0),MATCH('Tabular Pop Data by Age'!$C$6,'Population Data by Age'!$B$6:$H$6,0))</f>
        <v>75484700</v>
      </c>
      <c r="F267" s="78">
        <f>INDEX('Population Data by Age'!$B$7:$H$10366,MATCH(CONCATENATE('Tabular Pop Data by Age'!$C267,'Tabular Pop Data by Age'!F$7),'Population Data by Age'!$B$7:$B$10366,0),MATCH('Tabular Pop Data by Age'!$C$6,'Population Data by Age'!$B$6:$H$6,0))</f>
        <v>69936400</v>
      </c>
      <c r="G267" s="78">
        <f>INDEX('Population Data by Age'!$B$7:$H$10366,MATCH(CONCATENATE('Tabular Pop Data by Age'!$C267,'Tabular Pop Data by Age'!G$7),'Population Data by Age'!$B$7:$B$10366,0),MATCH('Tabular Pop Data by Age'!$C$6,'Population Data by Age'!$B$6:$H$6,0))</f>
        <v>77554200</v>
      </c>
      <c r="H267" s="78">
        <f>INDEX('Population Data by Age'!$B$7:$H$10366,MATCH(CONCATENATE('Tabular Pop Data by Age'!$C267,'Tabular Pop Data by Age'!H$7),'Population Data by Age'!$B$7:$B$10366,0),MATCH('Tabular Pop Data by Age'!$C$6,'Population Data by Age'!$B$6:$H$6,0))</f>
        <v>67514800</v>
      </c>
      <c r="I267" s="78">
        <f>INDEX('Population Data by Age'!$B$7:$H$10366,MATCH(CONCATENATE('Tabular Pop Data by Age'!$C267,'Tabular Pop Data by Age'!I$7),'Population Data by Age'!$B$7:$B$10366,0),MATCH('Tabular Pop Data by Age'!$C$6,'Population Data by Age'!$B$6:$H$6,0))</f>
        <v>75505500</v>
      </c>
      <c r="J267" s="78">
        <f>INDEX('Population Data by Age'!$B$7:$H$10366,MATCH(CONCATENATE('Tabular Pop Data by Age'!$C267,'Tabular Pop Data by Age'!J$7),'Population Data by Age'!$B$7:$B$10366,0),MATCH('Tabular Pop Data by Age'!$C$6,'Population Data by Age'!$B$6:$H$6,0))</f>
        <v>66516700</v>
      </c>
      <c r="K267" s="78">
        <f>INDEX('Population Data by Age'!$B$7:$H$10366,MATCH(CONCATENATE('Tabular Pop Data by Age'!$C267,'Tabular Pop Data by Age'!K$7),'Population Data by Age'!$B$7:$B$10366,0),MATCH('Tabular Pop Data by Age'!$C$6,'Population Data by Age'!$B$6:$H$6,0))</f>
        <v>73624000</v>
      </c>
      <c r="L267" s="78">
        <f>INDEX('Population Data by Age'!$B$7:$H$10366,MATCH(CONCATENATE('Tabular Pop Data by Age'!$C267,'Tabular Pop Data by Age'!L$7),'Population Data by Age'!$B$7:$B$10366,0),MATCH('Tabular Pop Data by Age'!$C$6,'Population Data by Age'!$B$6:$H$6,0))</f>
        <v>70279200</v>
      </c>
      <c r="M267" s="78">
        <f>INDEX('Population Data by Age'!$B$7:$H$10366,MATCH(CONCATENATE('Tabular Pop Data by Age'!$C267,'Tabular Pop Data by Age'!M$7),'Population Data by Age'!$B$7:$B$10366,0),MATCH('Tabular Pop Data by Age'!$C$6,'Population Data by Age'!$B$6:$H$6,0))</f>
        <v>77185300</v>
      </c>
      <c r="N267" s="78">
        <f>INDEX('Population Data by Age'!$B$7:$H$10366,MATCH(CONCATENATE('Tabular Pop Data by Age'!$C267,'Tabular Pop Data by Age'!N$7),'Population Data by Age'!$B$7:$B$10366,0),MATCH('Tabular Pop Data by Age'!$C$6,'Population Data by Age'!$B$6:$H$6,0))</f>
        <v>79029100</v>
      </c>
      <c r="O267" s="78">
        <f>INDEX('Population Data by Age'!$B$7:$H$10366,MATCH(CONCATENATE('Tabular Pop Data by Age'!$C267,'Tabular Pop Data by Age'!O$7),'Population Data by Age'!$B$7:$B$10366,0),MATCH('Tabular Pop Data by Age'!$C$6,'Population Data by Age'!$B$6:$H$6,0))</f>
        <v>86321800</v>
      </c>
      <c r="P267" s="78">
        <f>INDEX('Population Data by Age'!$B$7:$H$10366,MATCH(CONCATENATE('Tabular Pop Data by Age'!$C267,'Tabular Pop Data by Age'!P$7),'Population Data by Age'!$B$7:$B$10366,0),MATCH('Tabular Pop Data by Age'!$C$6,'Population Data by Age'!$B$6:$H$6,0))</f>
        <v>96733500</v>
      </c>
      <c r="Q267" s="78">
        <f>INDEX('Population Data by Age'!$B$7:$H$10366,MATCH(CONCATENATE('Tabular Pop Data by Age'!$C267,'Tabular Pop Data by Age'!Q$7),'Population Data by Age'!$B$7:$B$10366,0),MATCH('Tabular Pop Data by Age'!$C$6,'Population Data by Age'!$B$6:$H$6,0))</f>
        <v>102802600</v>
      </c>
      <c r="R267" s="78">
        <f>INDEX('Population Data by Age'!$B$7:$H$10366,MATCH(CONCATENATE('Tabular Pop Data by Age'!$C267,'Tabular Pop Data by Age'!R$7),'Population Data by Age'!$B$7:$B$10366,0),MATCH('Tabular Pop Data by Age'!$C$6,'Population Data by Age'!$B$6:$H$6,0))</f>
        <v>82663600</v>
      </c>
      <c r="S267" s="78">
        <f>INDEX('Population Data by Age'!$B$7:$H$10366,MATCH(CONCATENATE('Tabular Pop Data by Age'!$C267,'Tabular Pop Data by Age'!S$7),'Population Data by Age'!$B$7:$B$10366,0),MATCH('Tabular Pop Data by Age'!$C$6,'Population Data by Age'!$B$6:$H$6,0))</f>
        <v>86143700</v>
      </c>
      <c r="T267" s="78">
        <f>INDEX('Population Data by Age'!$B$7:$H$10366,MATCH(CONCATENATE('Tabular Pop Data by Age'!$C267,'Tabular Pop Data by Age'!T$7),'Population Data by Age'!$B$7:$B$10366,0),MATCH('Tabular Pop Data by Age'!$C$6,'Population Data by Age'!$B$6:$H$6,0))</f>
        <v>78386600</v>
      </c>
      <c r="U267" s="78">
        <f>INDEX('Population Data by Age'!$B$7:$H$10366,MATCH(CONCATENATE('Tabular Pop Data by Age'!$C267,'Tabular Pop Data by Age'!U$7),'Population Data by Age'!$B$7:$B$10366,0),MATCH('Tabular Pop Data by Age'!$C$6,'Population Data by Age'!$B$6:$H$6,0))</f>
        <v>80579300</v>
      </c>
      <c r="V267" s="78">
        <f>INDEX('Population Data by Age'!$B$7:$H$10366,MATCH(CONCATENATE('Tabular Pop Data by Age'!$C267,'Tabular Pop Data by Age'!V$7),'Population Data by Age'!$B$7:$B$10366,0),MATCH('Tabular Pop Data by Age'!$C$6,'Population Data by Age'!$B$6:$H$6,0))</f>
        <v>87688000</v>
      </c>
      <c r="W267" s="78">
        <f>INDEX('Population Data by Age'!$B$7:$H$10366,MATCH(CONCATENATE('Tabular Pop Data by Age'!$C267,'Tabular Pop Data by Age'!W$7),'Population Data by Age'!$B$7:$B$10366,0),MATCH('Tabular Pop Data by Age'!$C$6,'Population Data by Age'!$B$6:$H$6,0))</f>
        <v>89401200</v>
      </c>
      <c r="X267" s="78">
        <f>INDEX('Population Data by Age'!$B$7:$H$10366,MATCH(CONCATENATE('Tabular Pop Data by Age'!$C267,'Tabular Pop Data by Age'!X$7),'Population Data by Age'!$B$7:$B$10366,0),MATCH('Tabular Pop Data by Age'!$C$6,'Population Data by Age'!$B$6:$H$6,0))</f>
        <v>88059700</v>
      </c>
      <c r="Y267" s="78">
        <f>INDEX('Population Data by Age'!$B$7:$H$10366,MATCH(CONCATENATE('Tabular Pop Data by Age'!$C267,'Tabular Pop Data by Age'!Y$7),'Population Data by Age'!$B$7:$B$10366,0),MATCH('Tabular Pop Data by Age'!$C$6,'Population Data by Age'!$B$6:$H$6,0))</f>
        <v>87748400</v>
      </c>
      <c r="Z267" s="78">
        <f>INDEX('Population Data by Age'!$B$7:$H$10366,MATCH(CONCATENATE('Tabular Pop Data by Age'!$C267,'Tabular Pop Data by Age'!Z$7),'Population Data by Age'!$B$7:$B$10366,0),MATCH('Tabular Pop Data by Age'!$C$6,'Population Data by Age'!$B$6:$H$6,0))</f>
        <v>75226700</v>
      </c>
      <c r="AA267" s="78">
        <f>INDEX('Population Data by Age'!$B$7:$H$10366,MATCH(CONCATENATE('Tabular Pop Data by Age'!$C267,'Tabular Pop Data by Age'!AA$7),'Population Data by Age'!$B$7:$B$10366,0),MATCH('Tabular Pop Data by Age'!$C$6,'Population Data by Age'!$B$6:$H$6,0))</f>
        <v>73974400</v>
      </c>
      <c r="AB267" s="78">
        <f>INDEX('Population Data by Age'!$B$7:$H$10366,MATCH(CONCATENATE('Tabular Pop Data by Age'!$C267,'Tabular Pop Data by Age'!AB$7),'Population Data by Age'!$B$7:$B$10366,0),MATCH('Tabular Pop Data by Age'!$C$6,'Population Data by Age'!$B$6:$H$6,0))</f>
        <v>62878200</v>
      </c>
      <c r="AC267" s="78">
        <f>INDEX('Population Data by Age'!$B$7:$H$10366,MATCH(CONCATENATE('Tabular Pop Data by Age'!$C267,'Tabular Pop Data by Age'!AC$7),'Population Data by Age'!$B$7:$B$10366,0),MATCH('Tabular Pop Data by Age'!$C$6,'Population Data by Age'!$B$6:$H$6,0))</f>
        <v>59517900</v>
      </c>
      <c r="AD267" s="78">
        <f>INDEX('Population Data by Age'!$B$7:$H$10366,MATCH(CONCATENATE('Tabular Pop Data by Age'!$C267,'Tabular Pop Data by Age'!AD$7),'Population Data by Age'!$B$7:$B$10366,0),MATCH('Tabular Pop Data by Age'!$C$6,'Population Data by Age'!$B$6:$H$6,0))</f>
        <v>57247400</v>
      </c>
      <c r="AE267" s="78">
        <f>INDEX('Population Data by Age'!$B$7:$H$10366,MATCH(CONCATENATE('Tabular Pop Data by Age'!$C267,'Tabular Pop Data by Age'!AE$7),'Population Data by Age'!$B$7:$B$10366,0),MATCH('Tabular Pop Data by Age'!$C$6,'Population Data by Age'!$B$6:$H$6,0))</f>
        <v>51782000</v>
      </c>
      <c r="AF267" s="78">
        <f>INDEX('Population Data by Age'!$B$7:$H$10366,MATCH(CONCATENATE('Tabular Pop Data by Age'!$C267,'Tabular Pop Data by Age'!AF$7),'Population Data by Age'!$B$7:$B$10366,0),MATCH('Tabular Pop Data by Age'!$C$6,'Population Data by Age'!$B$6:$H$6,0))</f>
        <v>37543800</v>
      </c>
      <c r="AG267" s="78">
        <f>INDEX('Population Data by Age'!$B$7:$H$10366,MATCH(CONCATENATE('Tabular Pop Data by Age'!$C267,'Tabular Pop Data by Age'!AG$7),'Population Data by Age'!$B$7:$B$10366,0),MATCH('Tabular Pop Data by Age'!$C$6,'Population Data by Age'!$B$6:$H$6,0))</f>
        <v>31442700</v>
      </c>
      <c r="AH267" s="78">
        <f>INDEX('Population Data by Age'!$B$7:$H$10366,MATCH(CONCATENATE('Tabular Pop Data by Age'!$C267,'Tabular Pop Data by Age'!AH$7),'Population Data by Age'!$B$7:$B$10366,0),MATCH('Tabular Pop Data by Age'!$C$6,'Population Data by Age'!$B$6:$H$6,0))</f>
        <v>23895500</v>
      </c>
      <c r="AI267" s="78">
        <f>INDEX('Population Data by Age'!$B$7:$H$10366,MATCH(CONCATENATE('Tabular Pop Data by Age'!$C267,'Tabular Pop Data by Age'!AI$7),'Population Data by Age'!$B$7:$B$10366,0),MATCH('Tabular Pop Data by Age'!$C$6,'Population Data by Age'!$B$6:$H$6,0))</f>
        <v>18214700</v>
      </c>
      <c r="AJ267" s="78">
        <f>INDEX('Population Data by Age'!$B$7:$H$10366,MATCH(CONCATENATE('Tabular Pop Data by Age'!$C267,'Tabular Pop Data by Age'!AJ$7),'Population Data by Age'!$B$7:$B$10366,0),MATCH('Tabular Pop Data by Age'!$C$6,'Population Data by Age'!$B$6:$H$6,0))</f>
        <v>30439400</v>
      </c>
      <c r="AK267" s="78">
        <f>INDEX('Population Data by Age'!$B$7:$H$10366,MATCH(CONCATENATE('Tabular Pop Data by Age'!$C267,'Tabular Pop Data by Age'!AK$7),'Population Data by Age'!$B$7:$B$10366,0),MATCH('Tabular Pop Data by Age'!$C$6,'Population Data by Age'!$B$6:$H$6,0))</f>
        <v>17571900</v>
      </c>
      <c r="AL267" s="78">
        <f>INDEX('Population Data by Age'!$B$7:$H$10366,MATCH(CONCATENATE('Tabular Pop Data by Age'!$C267,'Tabular Pop Data by Age'!AL$7),'Population Data by Age'!$B$7:$B$10366,0),MATCH('Tabular Pop Data by Age'!$C$6,'Population Data by Age'!$B$6:$H$6,0))</f>
        <v>1142825000</v>
      </c>
      <c r="AM267" s="78">
        <f>INDEX('Population Data by Age'!$B$7:$H$10366,MATCH(CONCATENATE('Tabular Pop Data by Age'!$C267,'Tabular Pop Data by Age'!AM$7),'Population Data by Age'!$B$7:$B$10366,0),MATCH('Tabular Pop Data by Age'!$C$6,'Population Data by Age'!$B$6:$H$6,0))</f>
        <v>1164857000</v>
      </c>
      <c r="AN267" s="78">
        <f>INDEX('Population Data by Age'!$B$7:$H$10366,MATCH(CONCATENATE('Tabular Pop Data by Age'!$C267,'Tabular Pop Data by Age'!AN$7),'Population Data by Age'!$B$7:$B$10366,0),MATCH('Tabular Pop Data by Age'!$C$6,'Population Data by Age'!$B$6:$H$6,0))</f>
        <v>2307681000</v>
      </c>
      <c r="AO267" s="78">
        <f>INDEX('Population Data by Age'!$B$7:$H$10366,MATCH(CONCATENATE('Tabular Pop Data by Age'!$C267,'Tabular Pop Data by Age'!AO$7),'Population Data by Age'!$B$7:$B$10366,0),MATCH('Tabular Pop Data by Age'!$C$6,'Population Data by Age'!$B$6:$H$6,0))</f>
        <v>0.39196561839428057</v>
      </c>
      <c r="AP267" s="79">
        <f t="shared" si="68"/>
        <v>144266900</v>
      </c>
      <c r="AQ267" s="79">
        <f t="shared" si="69"/>
        <v>147490600</v>
      </c>
      <c r="AR267" s="79">
        <f t="shared" si="70"/>
        <v>143020300</v>
      </c>
      <c r="AS267" s="79">
        <f t="shared" si="71"/>
        <v>140140700</v>
      </c>
      <c r="AT267" s="79">
        <f t="shared" si="72"/>
        <v>147464500</v>
      </c>
      <c r="AU267" s="79">
        <f t="shared" si="73"/>
        <v>165350900</v>
      </c>
      <c r="AV267" s="79">
        <f t="shared" si="74"/>
        <v>199536100</v>
      </c>
      <c r="AW267" s="79">
        <f t="shared" si="75"/>
        <v>168807300</v>
      </c>
      <c r="AX267" s="79">
        <f t="shared" si="76"/>
        <v>158965900</v>
      </c>
      <c r="AY267" s="79">
        <f t="shared" si="77"/>
        <v>177089200</v>
      </c>
      <c r="AZ267" s="79">
        <f t="shared" si="78"/>
        <v>175808100</v>
      </c>
      <c r="BA267" s="79">
        <f t="shared" si="79"/>
        <v>149201100</v>
      </c>
      <c r="BB267" s="79">
        <f t="shared" si="80"/>
        <v>122396100</v>
      </c>
      <c r="BC267" s="79">
        <f t="shared" si="81"/>
        <v>109029400</v>
      </c>
      <c r="BD267" s="79">
        <f t="shared" si="82"/>
        <v>68986500</v>
      </c>
      <c r="BE267" s="79">
        <f t="shared" si="83"/>
        <v>42110200</v>
      </c>
      <c r="BF267" s="79">
        <f t="shared" si="84"/>
        <v>48011300</v>
      </c>
    </row>
    <row r="268" spans="1:58" x14ac:dyDescent="0.25">
      <c r="A268" s="138" t="s">
        <v>1182</v>
      </c>
      <c r="B268" t="s">
        <v>543</v>
      </c>
      <c r="C268" t="s">
        <v>544</v>
      </c>
      <c r="D268" s="78">
        <f>INDEX('Population Data by Age'!$B$7:$H$10366,MATCH(CONCATENATE('Tabular Pop Data by Age'!$C268,'Tabular Pop Data by Age'!D$7),'Population Data by Age'!$B$7:$B$10366,0),MATCH('Tabular Pop Data by Age'!$C$6,'Population Data by Age'!$B$6:$H$6,0))</f>
        <v>25226800</v>
      </c>
      <c r="E268" s="78">
        <f>INDEX('Population Data by Age'!$B$7:$H$10366,MATCH(CONCATENATE('Tabular Pop Data by Age'!$C268,'Tabular Pop Data by Age'!E$7),'Population Data by Age'!$B$7:$B$10366,0),MATCH('Tabular Pop Data by Age'!$C$6,'Population Data by Age'!$B$6:$H$6,0))</f>
        <v>26379100</v>
      </c>
      <c r="F268" s="78">
        <f>INDEX('Population Data by Age'!$B$7:$H$10366,MATCH(CONCATENATE('Tabular Pop Data by Age'!$C268,'Tabular Pop Data by Age'!F$7),'Population Data by Age'!$B$7:$B$10366,0),MATCH('Tabular Pop Data by Age'!$C$6,'Population Data by Age'!$B$6:$H$6,0))</f>
        <v>25519400</v>
      </c>
      <c r="G268" s="78">
        <f>INDEX('Population Data by Age'!$B$7:$H$10366,MATCH(CONCATENATE('Tabular Pop Data by Age'!$C268,'Tabular Pop Data by Age'!G$7),'Population Data by Age'!$B$7:$B$10366,0),MATCH('Tabular Pop Data by Age'!$C$6,'Population Data by Age'!$B$6:$H$6,0))</f>
        <v>26610700</v>
      </c>
      <c r="H268" s="78">
        <f>INDEX('Population Data by Age'!$B$7:$H$10366,MATCH(CONCATENATE('Tabular Pop Data by Age'!$C268,'Tabular Pop Data by Age'!H$7),'Population Data by Age'!$B$7:$B$10366,0),MATCH('Tabular Pop Data by Age'!$C$6,'Population Data by Age'!$B$6:$H$6,0))</f>
        <v>25649000</v>
      </c>
      <c r="I268" s="78">
        <f>INDEX('Population Data by Age'!$B$7:$H$10366,MATCH(CONCATENATE('Tabular Pop Data by Age'!$C268,'Tabular Pop Data by Age'!I$7),'Population Data by Age'!$B$7:$B$10366,0),MATCH('Tabular Pop Data by Age'!$C$6,'Population Data by Age'!$B$6:$H$6,0))</f>
        <v>26644900</v>
      </c>
      <c r="J268" s="78">
        <f>INDEX('Population Data by Age'!$B$7:$H$10366,MATCH(CONCATENATE('Tabular Pop Data by Age'!$C268,'Tabular Pop Data by Age'!J$7),'Population Data by Age'!$B$7:$B$10366,0),MATCH('Tabular Pop Data by Age'!$C$6,'Population Data by Age'!$B$6:$H$6,0))</f>
        <v>26307600</v>
      </c>
      <c r="K268" s="78">
        <f>INDEX('Population Data by Age'!$B$7:$H$10366,MATCH(CONCATENATE('Tabular Pop Data by Age'!$C268,'Tabular Pop Data by Age'!K$7),'Population Data by Age'!$B$7:$B$10366,0),MATCH('Tabular Pop Data by Age'!$C$6,'Population Data by Age'!$B$6:$H$6,0))</f>
        <v>27158300</v>
      </c>
      <c r="L268" s="78">
        <f>INDEX('Population Data by Age'!$B$7:$H$10366,MATCH(CONCATENATE('Tabular Pop Data by Age'!$C268,'Tabular Pop Data by Age'!L$7),'Population Data by Age'!$B$7:$B$10366,0),MATCH('Tabular Pop Data by Age'!$C$6,'Population Data by Age'!$B$6:$H$6,0))</f>
        <v>26765400</v>
      </c>
      <c r="M268" s="78">
        <f>INDEX('Population Data by Age'!$B$7:$H$10366,MATCH(CONCATENATE('Tabular Pop Data by Age'!$C268,'Tabular Pop Data by Age'!M$7),'Population Data by Age'!$B$7:$B$10366,0),MATCH('Tabular Pop Data by Age'!$C$6,'Population Data by Age'!$B$6:$H$6,0))</f>
        <v>27189400</v>
      </c>
      <c r="N268" s="78">
        <f>INDEX('Population Data by Age'!$B$7:$H$10366,MATCH(CONCATENATE('Tabular Pop Data by Age'!$C268,'Tabular Pop Data by Age'!N$7),'Population Data by Age'!$B$7:$B$10366,0),MATCH('Tabular Pop Data by Age'!$C$6,'Population Data by Age'!$B$6:$H$6,0))</f>
        <v>26531200</v>
      </c>
      <c r="O268" s="78">
        <f>INDEX('Population Data by Age'!$B$7:$H$10366,MATCH(CONCATENATE('Tabular Pop Data by Age'!$C268,'Tabular Pop Data by Age'!O$7),'Population Data by Age'!$B$7:$B$10366,0),MATCH('Tabular Pop Data by Age'!$C$6,'Population Data by Age'!$B$6:$H$6,0))</f>
        <v>26719400</v>
      </c>
      <c r="P268" s="78">
        <f>INDEX('Population Data by Age'!$B$7:$H$10366,MATCH(CONCATENATE('Tabular Pop Data by Age'!$C268,'Tabular Pop Data by Age'!P$7),'Population Data by Age'!$B$7:$B$10366,0),MATCH('Tabular Pop Data by Age'!$C$6,'Population Data by Age'!$B$6:$H$6,0))</f>
        <v>25604900</v>
      </c>
      <c r="Q268" s="78">
        <f>INDEX('Population Data by Age'!$B$7:$H$10366,MATCH(CONCATENATE('Tabular Pop Data by Age'!$C268,'Tabular Pop Data by Age'!Q$7),'Population Data by Age'!$B$7:$B$10366,0),MATCH('Tabular Pop Data by Age'!$C$6,'Population Data by Age'!$B$6:$H$6,0))</f>
        <v>25305300</v>
      </c>
      <c r="R268" s="78">
        <f>INDEX('Population Data by Age'!$B$7:$H$10366,MATCH(CONCATENATE('Tabular Pop Data by Age'!$C268,'Tabular Pop Data by Age'!R$7),'Population Data by Age'!$B$7:$B$10366,0),MATCH('Tabular Pop Data by Age'!$C$6,'Population Data by Age'!$B$6:$H$6,0))</f>
        <v>24557300</v>
      </c>
      <c r="S268" s="78">
        <f>INDEX('Population Data by Age'!$B$7:$H$10366,MATCH(CONCATENATE('Tabular Pop Data by Age'!$C268,'Tabular Pop Data by Age'!S$7),'Population Data by Age'!$B$7:$B$10366,0),MATCH('Tabular Pop Data by Age'!$C$6,'Population Data by Age'!$B$6:$H$6,0))</f>
        <v>23863700</v>
      </c>
      <c r="T268" s="78">
        <f>INDEX('Population Data by Age'!$B$7:$H$10366,MATCH(CONCATENATE('Tabular Pop Data by Age'!$C268,'Tabular Pop Data by Age'!T$7),'Population Data by Age'!$B$7:$B$10366,0),MATCH('Tabular Pop Data by Age'!$C$6,'Population Data by Age'!$B$6:$H$6,0))</f>
        <v>22650900</v>
      </c>
      <c r="U268" s="78">
        <f>INDEX('Population Data by Age'!$B$7:$H$10366,MATCH(CONCATENATE('Tabular Pop Data by Age'!$C268,'Tabular Pop Data by Age'!U$7),'Population Data by Age'!$B$7:$B$10366,0),MATCH('Tabular Pop Data by Age'!$C$6,'Population Data by Age'!$B$6:$H$6,0))</f>
        <v>21555300</v>
      </c>
      <c r="V268" s="78">
        <f>INDEX('Population Data by Age'!$B$7:$H$10366,MATCH(CONCATENATE('Tabular Pop Data by Age'!$C268,'Tabular Pop Data by Age'!V$7),'Population Data by Age'!$B$7:$B$10366,0),MATCH('Tabular Pop Data by Age'!$C$6,'Population Data by Age'!$B$6:$H$6,0))</f>
        <v>20562300</v>
      </c>
      <c r="W268" s="78">
        <f>INDEX('Population Data by Age'!$B$7:$H$10366,MATCH(CONCATENATE('Tabular Pop Data by Age'!$C268,'Tabular Pop Data by Age'!W$7),'Population Data by Age'!$B$7:$B$10366,0),MATCH('Tabular Pop Data by Age'!$C$6,'Population Data by Age'!$B$6:$H$6,0))</f>
        <v>19231100</v>
      </c>
      <c r="X268" s="78">
        <f>INDEX('Population Data by Age'!$B$7:$H$10366,MATCH(CONCATENATE('Tabular Pop Data by Age'!$C268,'Tabular Pop Data by Age'!X$7),'Population Data by Age'!$B$7:$B$10366,0),MATCH('Tabular Pop Data by Age'!$C$6,'Population Data by Age'!$B$6:$H$6,0))</f>
        <v>18831800</v>
      </c>
      <c r="Y268" s="78">
        <f>INDEX('Population Data by Age'!$B$7:$H$10366,MATCH(CONCATENATE('Tabular Pop Data by Age'!$C268,'Tabular Pop Data by Age'!Y$7),'Population Data by Age'!$B$7:$B$10366,0),MATCH('Tabular Pop Data by Age'!$C$6,'Population Data by Age'!$B$6:$H$6,0))</f>
        <v>17299000</v>
      </c>
      <c r="Z268" s="78">
        <f>INDEX('Population Data by Age'!$B$7:$H$10366,MATCH(CONCATENATE('Tabular Pop Data by Age'!$C268,'Tabular Pop Data by Age'!Z$7),'Population Data by Age'!$B$7:$B$10366,0),MATCH('Tabular Pop Data by Age'!$C$6,'Population Data by Age'!$B$6:$H$6,0))</f>
        <v>16827500</v>
      </c>
      <c r="AA268" s="78">
        <f>INDEX('Population Data by Age'!$B$7:$H$10366,MATCH(CONCATENATE('Tabular Pop Data by Age'!$C268,'Tabular Pop Data by Age'!AA$7),'Population Data by Age'!$B$7:$B$10366,0),MATCH('Tabular Pop Data by Age'!$C$6,'Population Data by Age'!$B$6:$H$6,0))</f>
        <v>15248600</v>
      </c>
      <c r="AB268" s="78">
        <f>INDEX('Population Data by Age'!$B$7:$H$10366,MATCH(CONCATENATE('Tabular Pop Data by Age'!$C268,'Tabular Pop Data by Age'!AB$7),'Population Data by Age'!$B$7:$B$10366,0),MATCH('Tabular Pop Data by Age'!$C$6,'Population Data by Age'!$B$6:$H$6,0))</f>
        <v>13895700</v>
      </c>
      <c r="AC268" s="78">
        <f>INDEX('Population Data by Age'!$B$7:$H$10366,MATCH(CONCATENATE('Tabular Pop Data by Age'!$C268,'Tabular Pop Data by Age'!AC$7),'Population Data by Age'!$B$7:$B$10366,0),MATCH('Tabular Pop Data by Age'!$C$6,'Population Data by Age'!$B$6:$H$6,0))</f>
        <v>12267400</v>
      </c>
      <c r="AD268" s="78">
        <f>INDEX('Population Data by Age'!$B$7:$H$10366,MATCH(CONCATENATE('Tabular Pop Data by Age'!$C268,'Tabular Pop Data by Age'!AD$7),'Population Data by Age'!$B$7:$B$10366,0),MATCH('Tabular Pop Data by Age'!$C$6,'Population Data by Age'!$B$6:$H$6,0))</f>
        <v>11227700</v>
      </c>
      <c r="AE268" s="78">
        <f>INDEX('Population Data by Age'!$B$7:$H$10366,MATCH(CONCATENATE('Tabular Pop Data by Age'!$C268,'Tabular Pop Data by Age'!AE$7),'Population Data by Age'!$B$7:$B$10366,0),MATCH('Tabular Pop Data by Age'!$C$6,'Population Data by Age'!$B$6:$H$6,0))</f>
        <v>9612600</v>
      </c>
      <c r="AF268" s="78">
        <f>INDEX('Population Data by Age'!$B$7:$H$10366,MATCH(CONCATENATE('Tabular Pop Data by Age'!$C268,'Tabular Pop Data by Age'!AF$7),'Population Data by Age'!$B$7:$B$10366,0),MATCH('Tabular Pop Data by Age'!$C$6,'Population Data by Age'!$B$6:$H$6,0))</f>
        <v>8235700</v>
      </c>
      <c r="AG268" s="78">
        <f>INDEX('Population Data by Age'!$B$7:$H$10366,MATCH(CONCATENATE('Tabular Pop Data by Age'!$C268,'Tabular Pop Data by Age'!AG$7),'Population Data by Age'!$B$7:$B$10366,0),MATCH('Tabular Pop Data by Age'!$C$6,'Population Data by Age'!$B$6:$H$6,0))</f>
        <v>6760900</v>
      </c>
      <c r="AH268" s="78">
        <f>INDEX('Population Data by Age'!$B$7:$H$10366,MATCH(CONCATENATE('Tabular Pop Data by Age'!$C268,'Tabular Pop Data by Age'!AH$7),'Population Data by Age'!$B$7:$B$10366,0),MATCH('Tabular Pop Data by Age'!$C$6,'Population Data by Age'!$B$6:$H$6,0))</f>
        <v>5838500</v>
      </c>
      <c r="AI268" s="78">
        <f>INDEX('Population Data by Age'!$B$7:$H$10366,MATCH(CONCATENATE('Tabular Pop Data by Age'!$C268,'Tabular Pop Data by Age'!AI$7),'Population Data by Age'!$B$7:$B$10366,0),MATCH('Tabular Pop Data by Age'!$C$6,'Population Data by Age'!$B$6:$H$6,0))</f>
        <v>4491400</v>
      </c>
      <c r="AJ268" s="78">
        <f>INDEX('Population Data by Age'!$B$7:$H$10366,MATCH(CONCATENATE('Tabular Pop Data by Age'!$C268,'Tabular Pop Data by Age'!AJ$7),'Population Data by Age'!$B$7:$B$10366,0),MATCH('Tabular Pop Data by Age'!$C$6,'Population Data by Age'!$B$6:$H$6,0))</f>
        <v>7552100</v>
      </c>
      <c r="AK268" s="78">
        <f>INDEX('Population Data by Age'!$B$7:$H$10366,MATCH(CONCATENATE('Tabular Pop Data by Age'!$C268,'Tabular Pop Data by Age'!AK$7),'Population Data by Age'!$B$7:$B$10366,0),MATCH('Tabular Pop Data by Age'!$C$6,'Population Data by Age'!$B$6:$H$6,0))</f>
        <v>4798900</v>
      </c>
      <c r="AL268" s="78">
        <f>INDEX('Population Data by Age'!$B$7:$H$10366,MATCH(CONCATENATE('Tabular Pop Data by Age'!$C268,'Tabular Pop Data by Age'!AL$7),'Population Data by Age'!$B$7:$B$10366,0),MATCH('Tabular Pop Data by Age'!$C$6,'Population Data by Age'!$B$6:$H$6,0))</f>
        <v>331787000</v>
      </c>
      <c r="AM268" s="78">
        <f>INDEX('Population Data by Age'!$B$7:$H$10366,MATCH(CONCATENATE('Tabular Pop Data by Age'!$C268,'Tabular Pop Data by Age'!AM$7),'Population Data by Age'!$B$7:$B$10366,0),MATCH('Tabular Pop Data by Age'!$C$6,'Population Data by Age'!$B$6:$H$6,0))</f>
        <v>321131000</v>
      </c>
      <c r="AN268" s="78">
        <f>INDEX('Population Data by Age'!$B$7:$H$10366,MATCH(CONCATENATE('Tabular Pop Data by Age'!$C268,'Tabular Pop Data by Age'!AN$7),'Population Data by Age'!$B$7:$B$10366,0),MATCH('Tabular Pop Data by Age'!$C$6,'Population Data by Age'!$B$6:$H$6,0))</f>
        <v>653182000</v>
      </c>
      <c r="AO268" s="78">
        <f>INDEX('Population Data by Age'!$B$7:$H$10366,MATCH(CONCATENATE('Tabular Pop Data by Age'!$C268,'Tabular Pop Data by Age'!AO$7),'Population Data by Age'!$B$7:$B$10366,0),MATCH('Tabular Pop Data by Age'!$C$6,'Population Data by Age'!$B$6:$H$6,0))</f>
        <v>0.91010071204451037</v>
      </c>
      <c r="AP268" s="79">
        <f t="shared" si="68"/>
        <v>51605900</v>
      </c>
      <c r="AQ268" s="79">
        <f t="shared" si="69"/>
        <v>52130100</v>
      </c>
      <c r="AR268" s="79">
        <f t="shared" si="70"/>
        <v>52293900</v>
      </c>
      <c r="AS268" s="79">
        <f t="shared" si="71"/>
        <v>53465900</v>
      </c>
      <c r="AT268" s="79">
        <f t="shared" si="72"/>
        <v>53954800</v>
      </c>
      <c r="AU268" s="79">
        <f t="shared" si="73"/>
        <v>53250600</v>
      </c>
      <c r="AV268" s="79">
        <f t="shared" si="74"/>
        <v>50910200</v>
      </c>
      <c r="AW268" s="79">
        <f t="shared" si="75"/>
        <v>48421000</v>
      </c>
      <c r="AX268" s="79">
        <f t="shared" si="76"/>
        <v>44206200</v>
      </c>
      <c r="AY268" s="79">
        <f t="shared" si="77"/>
        <v>39793400</v>
      </c>
      <c r="AZ268" s="79">
        <f t="shared" si="78"/>
        <v>36130800</v>
      </c>
      <c r="BA268" s="79">
        <f t="shared" si="79"/>
        <v>32076100</v>
      </c>
      <c r="BB268" s="79">
        <f t="shared" si="80"/>
        <v>26163100</v>
      </c>
      <c r="BC268" s="79">
        <f t="shared" si="81"/>
        <v>20840300</v>
      </c>
      <c r="BD268" s="79">
        <f t="shared" si="82"/>
        <v>14996600</v>
      </c>
      <c r="BE268" s="79">
        <f t="shared" si="83"/>
        <v>10329900</v>
      </c>
      <c r="BF268" s="79">
        <f t="shared" si="84"/>
        <v>12351000</v>
      </c>
    </row>
    <row r="269" spans="1:58" x14ac:dyDescent="0.25">
      <c r="A269" s="138" t="s">
        <v>1182</v>
      </c>
      <c r="B269" t="s">
        <v>545</v>
      </c>
      <c r="C269" t="s">
        <v>546</v>
      </c>
      <c r="D269" s="78">
        <f>INDEX('Population Data by Age'!$B$7:$H$10366,MATCH(CONCATENATE('Tabular Pop Data by Age'!$C269,'Tabular Pop Data by Age'!D$7),'Population Data by Age'!$B$7:$B$10366,0),MATCH('Tabular Pop Data by Age'!$C$6,'Population Data by Age'!$B$6:$H$6,0))</f>
        <v>24228500</v>
      </c>
      <c r="E269" s="78">
        <f>INDEX('Population Data by Age'!$B$7:$H$10366,MATCH(CONCATENATE('Tabular Pop Data by Age'!$C269,'Tabular Pop Data by Age'!E$7),'Population Data by Age'!$B$7:$B$10366,0),MATCH('Tabular Pop Data by Age'!$C$6,'Population Data by Age'!$B$6:$H$6,0))</f>
        <v>25338000</v>
      </c>
      <c r="F269" s="78">
        <f>INDEX('Population Data by Age'!$B$7:$H$10366,MATCH(CONCATENATE('Tabular Pop Data by Age'!$C269,'Tabular Pop Data by Age'!F$7),'Population Data by Age'!$B$7:$B$10366,0),MATCH('Tabular Pop Data by Age'!$C$6,'Population Data by Age'!$B$6:$H$6,0))</f>
        <v>24427000</v>
      </c>
      <c r="G269" s="78">
        <f>INDEX('Population Data by Age'!$B$7:$H$10366,MATCH(CONCATENATE('Tabular Pop Data by Age'!$C269,'Tabular Pop Data by Age'!G$7),'Population Data by Age'!$B$7:$B$10366,0),MATCH('Tabular Pop Data by Age'!$C$6,'Population Data by Age'!$B$6:$H$6,0))</f>
        <v>25474400</v>
      </c>
      <c r="H269" s="78">
        <f>INDEX('Population Data by Age'!$B$7:$H$10366,MATCH(CONCATENATE('Tabular Pop Data by Age'!$C269,'Tabular Pop Data by Age'!H$7),'Population Data by Age'!$B$7:$B$10366,0),MATCH('Tabular Pop Data by Age'!$C$6,'Population Data by Age'!$B$6:$H$6,0))</f>
        <v>24538800</v>
      </c>
      <c r="I269" s="78">
        <f>INDEX('Population Data by Age'!$B$7:$H$10366,MATCH(CONCATENATE('Tabular Pop Data by Age'!$C269,'Tabular Pop Data by Age'!I$7),'Population Data by Age'!$B$7:$B$10366,0),MATCH('Tabular Pop Data by Age'!$C$6,'Population Data by Age'!$B$6:$H$6,0))</f>
        <v>25491200</v>
      </c>
      <c r="J269" s="78">
        <f>INDEX('Population Data by Age'!$B$7:$H$10366,MATCH(CONCATENATE('Tabular Pop Data by Age'!$C269,'Tabular Pop Data by Age'!J$7),'Population Data by Age'!$B$7:$B$10366,0),MATCH('Tabular Pop Data by Age'!$C$6,'Population Data by Age'!$B$6:$H$6,0))</f>
        <v>25220700</v>
      </c>
      <c r="K269" s="78">
        <f>INDEX('Population Data by Age'!$B$7:$H$10366,MATCH(CONCATENATE('Tabular Pop Data by Age'!$C269,'Tabular Pop Data by Age'!K$7),'Population Data by Age'!$B$7:$B$10366,0),MATCH('Tabular Pop Data by Age'!$C$6,'Population Data by Age'!$B$6:$H$6,0))</f>
        <v>26022100</v>
      </c>
      <c r="L269" s="78">
        <f>INDEX('Population Data by Age'!$B$7:$H$10366,MATCH(CONCATENATE('Tabular Pop Data by Age'!$C269,'Tabular Pop Data by Age'!L$7),'Population Data by Age'!$B$7:$B$10366,0),MATCH('Tabular Pop Data by Age'!$C$6,'Population Data by Age'!$B$6:$H$6,0))</f>
        <v>25621800</v>
      </c>
      <c r="M269" s="78">
        <f>INDEX('Population Data by Age'!$B$7:$H$10366,MATCH(CONCATENATE('Tabular Pop Data by Age'!$C269,'Tabular Pop Data by Age'!M$7),'Population Data by Age'!$B$7:$B$10366,0),MATCH('Tabular Pop Data by Age'!$C$6,'Population Data by Age'!$B$6:$H$6,0))</f>
        <v>25998000</v>
      </c>
      <c r="N269" s="78">
        <f>INDEX('Population Data by Age'!$B$7:$H$10366,MATCH(CONCATENATE('Tabular Pop Data by Age'!$C269,'Tabular Pop Data by Age'!N$7),'Population Data by Age'!$B$7:$B$10366,0),MATCH('Tabular Pop Data by Age'!$C$6,'Population Data by Age'!$B$6:$H$6,0))</f>
        <v>25288300</v>
      </c>
      <c r="O269" s="78">
        <f>INDEX('Population Data by Age'!$B$7:$H$10366,MATCH(CONCATENATE('Tabular Pop Data by Age'!$C269,'Tabular Pop Data by Age'!O$7),'Population Data by Age'!$B$7:$B$10366,0),MATCH('Tabular Pop Data by Age'!$C$6,'Population Data by Age'!$B$6:$H$6,0))</f>
        <v>25439500</v>
      </c>
      <c r="P269" s="78">
        <f>INDEX('Population Data by Age'!$B$7:$H$10366,MATCH(CONCATENATE('Tabular Pop Data by Age'!$C269,'Tabular Pop Data by Age'!P$7),'Population Data by Age'!$B$7:$B$10366,0),MATCH('Tabular Pop Data by Age'!$C$6,'Population Data by Age'!$B$6:$H$6,0))</f>
        <v>24384800</v>
      </c>
      <c r="Q269" s="78">
        <f>INDEX('Population Data by Age'!$B$7:$H$10366,MATCH(CONCATENATE('Tabular Pop Data by Age'!$C269,'Tabular Pop Data by Age'!Q$7),'Population Data by Age'!$B$7:$B$10366,0),MATCH('Tabular Pop Data by Age'!$C$6,'Population Data by Age'!$B$6:$H$6,0))</f>
        <v>24058800</v>
      </c>
      <c r="R269" s="78">
        <f>INDEX('Population Data by Age'!$B$7:$H$10366,MATCH(CONCATENATE('Tabular Pop Data by Age'!$C269,'Tabular Pop Data by Age'!R$7),'Population Data by Age'!$B$7:$B$10366,0),MATCH('Tabular Pop Data by Age'!$C$6,'Population Data by Age'!$B$6:$H$6,0))</f>
        <v>23400700</v>
      </c>
      <c r="S269" s="78">
        <f>INDEX('Population Data by Age'!$B$7:$H$10366,MATCH(CONCATENATE('Tabular Pop Data by Age'!$C269,'Tabular Pop Data by Age'!S$7),'Population Data by Age'!$B$7:$B$10366,0),MATCH('Tabular Pop Data by Age'!$C$6,'Population Data by Age'!$B$6:$H$6,0))</f>
        <v>22702000</v>
      </c>
      <c r="T269" s="78">
        <f>INDEX('Population Data by Age'!$B$7:$H$10366,MATCH(CONCATENATE('Tabular Pop Data by Age'!$C269,'Tabular Pop Data by Age'!T$7),'Population Data by Age'!$B$7:$B$10366,0),MATCH('Tabular Pop Data by Age'!$C$6,'Population Data by Age'!$B$6:$H$6,0))</f>
        <v>21523600</v>
      </c>
      <c r="U269" s="78">
        <f>INDEX('Population Data by Age'!$B$7:$H$10366,MATCH(CONCATENATE('Tabular Pop Data by Age'!$C269,'Tabular Pop Data by Age'!U$7),'Population Data by Age'!$B$7:$B$10366,0),MATCH('Tabular Pop Data by Age'!$C$6,'Population Data by Age'!$B$6:$H$6,0))</f>
        <v>20443400</v>
      </c>
      <c r="V269" s="78">
        <f>INDEX('Population Data by Age'!$B$7:$H$10366,MATCH(CONCATENATE('Tabular Pop Data by Age'!$C269,'Tabular Pop Data by Age'!V$7),'Population Data by Age'!$B$7:$B$10366,0),MATCH('Tabular Pop Data by Age'!$C$6,'Population Data by Age'!$B$6:$H$6,0))</f>
        <v>19472900</v>
      </c>
      <c r="W269" s="78">
        <f>INDEX('Population Data by Age'!$B$7:$H$10366,MATCH(CONCATENATE('Tabular Pop Data by Age'!$C269,'Tabular Pop Data by Age'!W$7),'Population Data by Age'!$B$7:$B$10366,0),MATCH('Tabular Pop Data by Age'!$C$6,'Population Data by Age'!$B$6:$H$6,0))</f>
        <v>18178900</v>
      </c>
      <c r="X269" s="78">
        <f>INDEX('Population Data by Age'!$B$7:$H$10366,MATCH(CONCATENATE('Tabular Pop Data by Age'!$C269,'Tabular Pop Data by Age'!X$7),'Population Data by Age'!$B$7:$B$10366,0),MATCH('Tabular Pop Data by Age'!$C$6,'Population Data by Age'!$B$6:$H$6,0))</f>
        <v>17780500</v>
      </c>
      <c r="Y269" s="78">
        <f>INDEX('Population Data by Age'!$B$7:$H$10366,MATCH(CONCATENATE('Tabular Pop Data by Age'!$C269,'Tabular Pop Data by Age'!Y$7),'Population Data by Age'!$B$7:$B$10366,0),MATCH('Tabular Pop Data by Age'!$C$6,'Population Data by Age'!$B$6:$H$6,0))</f>
        <v>16308200</v>
      </c>
      <c r="Z269" s="78">
        <f>INDEX('Population Data by Age'!$B$7:$H$10366,MATCH(CONCATENATE('Tabular Pop Data by Age'!$C269,'Tabular Pop Data by Age'!Z$7),'Population Data by Age'!$B$7:$B$10366,0),MATCH('Tabular Pop Data by Age'!$C$6,'Population Data by Age'!$B$6:$H$6,0))</f>
        <v>15822300</v>
      </c>
      <c r="AA269" s="78">
        <f>INDEX('Population Data by Age'!$B$7:$H$10366,MATCH(CONCATENATE('Tabular Pop Data by Age'!$C269,'Tabular Pop Data by Age'!AA$7),'Population Data by Age'!$B$7:$B$10366,0),MATCH('Tabular Pop Data by Age'!$C$6,'Population Data by Age'!$B$6:$H$6,0))</f>
        <v>14325100</v>
      </c>
      <c r="AB269" s="78">
        <f>INDEX('Population Data by Age'!$B$7:$H$10366,MATCH(CONCATENATE('Tabular Pop Data by Age'!$C269,'Tabular Pop Data by Age'!AB$7),'Population Data by Age'!$B$7:$B$10366,0),MATCH('Tabular Pop Data by Age'!$C$6,'Population Data by Age'!$B$6:$H$6,0))</f>
        <v>13006100</v>
      </c>
      <c r="AC269" s="78">
        <f>INDEX('Population Data by Age'!$B$7:$H$10366,MATCH(CONCATENATE('Tabular Pop Data by Age'!$C269,'Tabular Pop Data by Age'!AC$7),'Population Data by Age'!$B$7:$B$10366,0),MATCH('Tabular Pop Data by Age'!$C$6,'Population Data by Age'!$B$6:$H$6,0))</f>
        <v>11474800</v>
      </c>
      <c r="AD269" s="78">
        <f>INDEX('Population Data by Age'!$B$7:$H$10366,MATCH(CONCATENATE('Tabular Pop Data by Age'!$C269,'Tabular Pop Data by Age'!AD$7),'Population Data by Age'!$B$7:$B$10366,0),MATCH('Tabular Pop Data by Age'!$C$6,'Population Data by Age'!$B$6:$H$6,0))</f>
        <v>10482900</v>
      </c>
      <c r="AE269" s="78">
        <f>INDEX('Population Data by Age'!$B$7:$H$10366,MATCH(CONCATENATE('Tabular Pop Data by Age'!$C269,'Tabular Pop Data by Age'!AE$7),'Population Data by Age'!$B$7:$B$10366,0),MATCH('Tabular Pop Data by Age'!$C$6,'Population Data by Age'!$B$6:$H$6,0))</f>
        <v>8978000</v>
      </c>
      <c r="AF269" s="78">
        <f>INDEX('Population Data by Age'!$B$7:$H$10366,MATCH(CONCATENATE('Tabular Pop Data by Age'!$C269,'Tabular Pop Data by Age'!AF$7),'Population Data by Age'!$B$7:$B$10366,0),MATCH('Tabular Pop Data by Age'!$C$6,'Population Data by Age'!$B$6:$H$6,0))</f>
        <v>7653100</v>
      </c>
      <c r="AG269" s="78">
        <f>INDEX('Population Data by Age'!$B$7:$H$10366,MATCH(CONCATENATE('Tabular Pop Data by Age'!$C269,'Tabular Pop Data by Age'!AG$7),'Population Data by Age'!$B$7:$B$10366,0),MATCH('Tabular Pop Data by Age'!$C$6,'Population Data by Age'!$B$6:$H$6,0))</f>
        <v>6288600</v>
      </c>
      <c r="AH269" s="78">
        <f>INDEX('Population Data by Age'!$B$7:$H$10366,MATCH(CONCATENATE('Tabular Pop Data by Age'!$C269,'Tabular Pop Data by Age'!AH$7),'Population Data by Age'!$B$7:$B$10366,0),MATCH('Tabular Pop Data by Age'!$C$6,'Population Data by Age'!$B$6:$H$6,0))</f>
        <v>5401400</v>
      </c>
      <c r="AI269" s="78">
        <f>INDEX('Population Data by Age'!$B$7:$H$10366,MATCH(CONCATENATE('Tabular Pop Data by Age'!$C269,'Tabular Pop Data by Age'!AI$7),'Population Data by Age'!$B$7:$B$10366,0),MATCH('Tabular Pop Data by Age'!$C$6,'Population Data by Age'!$B$6:$H$6,0))</f>
        <v>4165400</v>
      </c>
      <c r="AJ269" s="78">
        <f>INDEX('Population Data by Age'!$B$7:$H$10366,MATCH(CONCATENATE('Tabular Pop Data by Age'!$C269,'Tabular Pop Data by Age'!AJ$7),'Population Data by Age'!$B$7:$B$10366,0),MATCH('Tabular Pop Data by Age'!$C$6,'Population Data by Age'!$B$6:$H$6,0))</f>
        <v>6903500</v>
      </c>
      <c r="AK269" s="78">
        <f>INDEX('Population Data by Age'!$B$7:$H$10366,MATCH(CONCATENATE('Tabular Pop Data by Age'!$C269,'Tabular Pop Data by Age'!AK$7),'Population Data by Age'!$B$7:$B$10366,0),MATCH('Tabular Pop Data by Age'!$C$6,'Population Data by Age'!$B$6:$H$6,0))</f>
        <v>4432100</v>
      </c>
      <c r="AL269" s="78">
        <f>INDEX('Population Data by Age'!$B$7:$H$10366,MATCH(CONCATENATE('Tabular Pop Data by Age'!$C269,'Tabular Pop Data by Age'!AL$7),'Population Data by Age'!$B$7:$B$10366,0),MATCH('Tabular Pop Data by Age'!$C$6,'Population Data by Age'!$B$6:$H$6,0))</f>
        <v>315162000</v>
      </c>
      <c r="AM269" s="78">
        <f>INDEX('Population Data by Age'!$B$7:$H$10366,MATCH(CONCATENATE('Tabular Pop Data by Age'!$C269,'Tabular Pop Data by Age'!AM$7),'Population Data by Age'!$B$7:$B$10366,0),MATCH('Tabular Pop Data by Age'!$C$6,'Population Data by Age'!$B$6:$H$6,0))</f>
        <v>305115000</v>
      </c>
      <c r="AN269" s="78">
        <f>INDEX('Population Data by Age'!$B$7:$H$10366,MATCH(CONCATENATE('Tabular Pop Data by Age'!$C269,'Tabular Pop Data by Age'!AN$7),'Population Data by Age'!$B$7:$B$10366,0),MATCH('Tabular Pop Data by Age'!$C$6,'Population Data by Age'!$B$6:$H$6,0))</f>
        <v>620352000</v>
      </c>
      <c r="AO269" s="78">
        <f>INDEX('Population Data by Age'!$B$7:$H$10366,MATCH(CONCATENATE('Tabular Pop Data by Age'!$C269,'Tabular Pop Data by Age'!AO$7),'Population Data by Age'!$B$7:$B$10366,0),MATCH('Tabular Pop Data by Age'!$C$6,'Population Data by Age'!$B$6:$H$6,0))</f>
        <v>0.91717449090144498</v>
      </c>
      <c r="AP269" s="79">
        <f t="shared" si="68"/>
        <v>49566500</v>
      </c>
      <c r="AQ269" s="79">
        <f t="shared" si="69"/>
        <v>49901400</v>
      </c>
      <c r="AR269" s="79">
        <f t="shared" si="70"/>
        <v>50030000</v>
      </c>
      <c r="AS269" s="79">
        <f t="shared" si="71"/>
        <v>51242800</v>
      </c>
      <c r="AT269" s="79">
        <f t="shared" si="72"/>
        <v>51619800</v>
      </c>
      <c r="AU269" s="79">
        <f t="shared" si="73"/>
        <v>50727800</v>
      </c>
      <c r="AV269" s="79">
        <f t="shared" si="74"/>
        <v>48443600</v>
      </c>
      <c r="AW269" s="79">
        <f t="shared" si="75"/>
        <v>46102700</v>
      </c>
      <c r="AX269" s="79">
        <f t="shared" si="76"/>
        <v>41967000</v>
      </c>
      <c r="AY269" s="79">
        <f t="shared" si="77"/>
        <v>37651800</v>
      </c>
      <c r="AZ269" s="79">
        <f t="shared" si="78"/>
        <v>34088700</v>
      </c>
      <c r="BA269" s="79">
        <f t="shared" si="79"/>
        <v>30147400</v>
      </c>
      <c r="BB269" s="79">
        <f t="shared" si="80"/>
        <v>24480900</v>
      </c>
      <c r="BC269" s="79">
        <f t="shared" si="81"/>
        <v>19460900</v>
      </c>
      <c r="BD269" s="79">
        <f t="shared" si="82"/>
        <v>13941700</v>
      </c>
      <c r="BE269" s="79">
        <f t="shared" si="83"/>
        <v>9566800</v>
      </c>
      <c r="BF269" s="79">
        <f t="shared" si="84"/>
        <v>11335600</v>
      </c>
    </row>
    <row r="270" spans="1:58" x14ac:dyDescent="0.25">
      <c r="A270" s="138" t="s">
        <v>1182</v>
      </c>
      <c r="B270" t="s">
        <v>547</v>
      </c>
      <c r="C270" t="s">
        <v>548</v>
      </c>
      <c r="D270" s="78">
        <f>INDEX('Population Data by Age'!$B$7:$H$10366,MATCH(CONCATENATE('Tabular Pop Data by Age'!$C270,'Tabular Pop Data by Age'!D$7),'Population Data by Age'!$B$7:$B$10366,0),MATCH('Tabular Pop Data by Age'!$C$6,'Population Data by Age'!$B$6:$H$6,0))</f>
        <v>24873100</v>
      </c>
      <c r="E270" s="78">
        <f>INDEX('Population Data by Age'!$B$7:$H$10366,MATCH(CONCATENATE('Tabular Pop Data by Age'!$C270,'Tabular Pop Data by Age'!E$7),'Population Data by Age'!$B$7:$B$10366,0),MATCH('Tabular Pop Data by Age'!$C$6,'Population Data by Age'!$B$6:$H$6,0))</f>
        <v>26004700</v>
      </c>
      <c r="F270" s="78">
        <f>INDEX('Population Data by Age'!$B$7:$H$10366,MATCH(CONCATENATE('Tabular Pop Data by Age'!$C270,'Tabular Pop Data by Age'!F$7),'Population Data by Age'!$B$7:$B$10366,0),MATCH('Tabular Pop Data by Age'!$C$6,'Population Data by Age'!$B$6:$H$6,0))</f>
        <v>25098600</v>
      </c>
      <c r="G270" s="78">
        <f>INDEX('Population Data by Age'!$B$7:$H$10366,MATCH(CONCATENATE('Tabular Pop Data by Age'!$C270,'Tabular Pop Data by Age'!G$7),'Population Data by Age'!$B$7:$B$10366,0),MATCH('Tabular Pop Data by Age'!$C$6,'Population Data by Age'!$B$6:$H$6,0))</f>
        <v>26165100</v>
      </c>
      <c r="H270" s="78">
        <f>INDEX('Population Data by Age'!$B$7:$H$10366,MATCH(CONCATENATE('Tabular Pop Data by Age'!$C270,'Tabular Pop Data by Age'!H$7),'Population Data by Age'!$B$7:$B$10366,0),MATCH('Tabular Pop Data by Age'!$C$6,'Population Data by Age'!$B$6:$H$6,0))</f>
        <v>25205200</v>
      </c>
      <c r="I270" s="78">
        <f>INDEX('Population Data by Age'!$B$7:$H$10366,MATCH(CONCATENATE('Tabular Pop Data by Age'!$C270,'Tabular Pop Data by Age'!I$7),'Population Data by Age'!$B$7:$B$10366,0),MATCH('Tabular Pop Data by Age'!$C$6,'Population Data by Age'!$B$6:$H$6,0))</f>
        <v>26177600</v>
      </c>
      <c r="J270" s="78">
        <f>INDEX('Population Data by Age'!$B$7:$H$10366,MATCH(CONCATENATE('Tabular Pop Data by Age'!$C270,'Tabular Pop Data by Age'!J$7),'Population Data by Age'!$B$7:$B$10366,0),MATCH('Tabular Pop Data by Age'!$C$6,'Population Data by Age'!$B$6:$H$6,0))</f>
        <v>25863200</v>
      </c>
      <c r="K270" s="78">
        <f>INDEX('Population Data by Age'!$B$7:$H$10366,MATCH(CONCATENATE('Tabular Pop Data by Age'!$C270,'Tabular Pop Data by Age'!K$7),'Population Data by Age'!$B$7:$B$10366,0),MATCH('Tabular Pop Data by Age'!$C$6,'Population Data by Age'!$B$6:$H$6,0))</f>
        <v>26678700</v>
      </c>
      <c r="L270" s="78">
        <f>INDEX('Population Data by Age'!$B$7:$H$10366,MATCH(CONCATENATE('Tabular Pop Data by Age'!$C270,'Tabular Pop Data by Age'!L$7),'Population Data by Age'!$B$7:$B$10366,0),MATCH('Tabular Pop Data by Age'!$C$6,'Population Data by Age'!$B$6:$H$6,0))</f>
        <v>26314600</v>
      </c>
      <c r="M270" s="78">
        <f>INDEX('Population Data by Age'!$B$7:$H$10366,MATCH(CONCATENATE('Tabular Pop Data by Age'!$C270,'Tabular Pop Data by Age'!M$7),'Population Data by Age'!$B$7:$B$10366,0),MATCH('Tabular Pop Data by Age'!$C$6,'Population Data by Age'!$B$6:$H$6,0))</f>
        <v>26702800</v>
      </c>
      <c r="N270" s="78">
        <f>INDEX('Population Data by Age'!$B$7:$H$10366,MATCH(CONCATENATE('Tabular Pop Data by Age'!$C270,'Tabular Pop Data by Age'!N$7),'Population Data by Age'!$B$7:$B$10366,0),MATCH('Tabular Pop Data by Age'!$C$6,'Population Data by Age'!$B$6:$H$6,0))</f>
        <v>26067000</v>
      </c>
      <c r="O270" s="78">
        <f>INDEX('Population Data by Age'!$B$7:$H$10366,MATCH(CONCATENATE('Tabular Pop Data by Age'!$C270,'Tabular Pop Data by Age'!O$7),'Population Data by Age'!$B$7:$B$10366,0),MATCH('Tabular Pop Data by Age'!$C$6,'Population Data by Age'!$B$6:$H$6,0))</f>
        <v>26226100</v>
      </c>
      <c r="P270" s="78">
        <f>INDEX('Population Data by Age'!$B$7:$H$10366,MATCH(CONCATENATE('Tabular Pop Data by Age'!$C270,'Tabular Pop Data by Age'!P$7),'Population Data by Age'!$B$7:$B$10366,0),MATCH('Tabular Pop Data by Age'!$C$6,'Population Data by Age'!$B$6:$H$6,0))</f>
        <v>25076500</v>
      </c>
      <c r="Q270" s="78">
        <f>INDEX('Population Data by Age'!$B$7:$H$10366,MATCH(CONCATENATE('Tabular Pop Data by Age'!$C270,'Tabular Pop Data by Age'!Q$7),'Population Data by Age'!$B$7:$B$10366,0),MATCH('Tabular Pop Data by Age'!$C$6,'Population Data by Age'!$B$6:$H$6,0))</f>
        <v>24763200</v>
      </c>
      <c r="R270" s="78">
        <f>INDEX('Population Data by Age'!$B$7:$H$10366,MATCH(CONCATENATE('Tabular Pop Data by Age'!$C270,'Tabular Pop Data by Age'!R$7),'Population Data by Age'!$B$7:$B$10366,0),MATCH('Tabular Pop Data by Age'!$C$6,'Population Data by Age'!$B$6:$H$6,0))</f>
        <v>24081400</v>
      </c>
      <c r="S270" s="78">
        <f>INDEX('Population Data by Age'!$B$7:$H$10366,MATCH(CONCATENATE('Tabular Pop Data by Age'!$C270,'Tabular Pop Data by Age'!S$7),'Population Data by Age'!$B$7:$B$10366,0),MATCH('Tabular Pop Data by Age'!$C$6,'Population Data by Age'!$B$6:$H$6,0))</f>
        <v>23386300</v>
      </c>
      <c r="T270" s="78">
        <f>INDEX('Population Data by Age'!$B$7:$H$10366,MATCH(CONCATENATE('Tabular Pop Data by Age'!$C270,'Tabular Pop Data by Age'!T$7),'Population Data by Age'!$B$7:$B$10366,0),MATCH('Tabular Pop Data by Age'!$C$6,'Population Data by Age'!$B$6:$H$6,0))</f>
        <v>22196300</v>
      </c>
      <c r="U270" s="78">
        <f>INDEX('Population Data by Age'!$B$7:$H$10366,MATCH(CONCATENATE('Tabular Pop Data by Age'!$C270,'Tabular Pop Data by Age'!U$7),'Population Data by Age'!$B$7:$B$10366,0),MATCH('Tabular Pop Data by Age'!$C$6,'Population Data by Age'!$B$6:$H$6,0))</f>
        <v>21106600</v>
      </c>
      <c r="V270" s="78">
        <f>INDEX('Population Data by Age'!$B$7:$H$10366,MATCH(CONCATENATE('Tabular Pop Data by Age'!$C270,'Tabular Pop Data by Age'!V$7),'Population Data by Age'!$B$7:$B$10366,0),MATCH('Tabular Pop Data by Age'!$C$6,'Population Data by Age'!$B$6:$H$6,0))</f>
        <v>19931700</v>
      </c>
      <c r="W270" s="78">
        <f>INDEX('Population Data by Age'!$B$7:$H$10366,MATCH(CONCATENATE('Tabular Pop Data by Age'!$C270,'Tabular Pop Data by Age'!W$7),'Population Data by Age'!$B$7:$B$10366,0),MATCH('Tabular Pop Data by Age'!$C$6,'Population Data by Age'!$B$6:$H$6,0))</f>
        <v>18617100</v>
      </c>
      <c r="X270" s="78">
        <f>INDEX('Population Data by Age'!$B$7:$H$10366,MATCH(CONCATENATE('Tabular Pop Data by Age'!$C270,'Tabular Pop Data by Age'!X$7),'Population Data by Age'!$B$7:$B$10366,0),MATCH('Tabular Pop Data by Age'!$C$6,'Population Data by Age'!$B$6:$H$6,0))</f>
        <v>18156100</v>
      </c>
      <c r="Y270" s="78">
        <f>INDEX('Population Data by Age'!$B$7:$H$10366,MATCH(CONCATENATE('Tabular Pop Data by Age'!$C270,'Tabular Pop Data by Age'!Y$7),'Population Data by Age'!$B$7:$B$10366,0),MATCH('Tabular Pop Data by Age'!$C$6,'Population Data by Age'!$B$6:$H$6,0))</f>
        <v>16669400</v>
      </c>
      <c r="Z270" s="78">
        <f>INDEX('Population Data by Age'!$B$7:$H$10366,MATCH(CONCATENATE('Tabular Pop Data by Age'!$C270,'Tabular Pop Data by Age'!Z$7),'Population Data by Age'!$B$7:$B$10366,0),MATCH('Tabular Pop Data by Age'!$C$6,'Population Data by Age'!$B$6:$H$6,0))</f>
        <v>16165500</v>
      </c>
      <c r="AA270" s="78">
        <f>INDEX('Population Data by Age'!$B$7:$H$10366,MATCH(CONCATENATE('Tabular Pop Data by Age'!$C270,'Tabular Pop Data by Age'!AA$7),'Population Data by Age'!$B$7:$B$10366,0),MATCH('Tabular Pop Data by Age'!$C$6,'Population Data by Age'!$B$6:$H$6,0))</f>
        <v>14643900</v>
      </c>
      <c r="AB270" s="78">
        <f>INDEX('Population Data by Age'!$B$7:$H$10366,MATCH(CONCATENATE('Tabular Pop Data by Age'!$C270,'Tabular Pop Data by Age'!AB$7),'Population Data by Age'!$B$7:$B$10366,0),MATCH('Tabular Pop Data by Age'!$C$6,'Population Data by Age'!$B$6:$H$6,0))</f>
        <v>13425600</v>
      </c>
      <c r="AC270" s="78">
        <f>INDEX('Population Data by Age'!$B$7:$H$10366,MATCH(CONCATENATE('Tabular Pop Data by Age'!$C270,'Tabular Pop Data by Age'!AC$7),'Population Data by Age'!$B$7:$B$10366,0),MATCH('Tabular Pop Data by Age'!$C$6,'Population Data by Age'!$B$6:$H$6,0))</f>
        <v>11850000</v>
      </c>
      <c r="AD270" s="78">
        <f>INDEX('Population Data by Age'!$B$7:$H$10366,MATCH(CONCATENATE('Tabular Pop Data by Age'!$C270,'Tabular Pop Data by Age'!AD$7),'Population Data by Age'!$B$7:$B$10366,0),MATCH('Tabular Pop Data by Age'!$C$6,'Population Data by Age'!$B$6:$H$6,0))</f>
        <v>10793700</v>
      </c>
      <c r="AE270" s="78">
        <f>INDEX('Population Data by Age'!$B$7:$H$10366,MATCH(CONCATENATE('Tabular Pop Data by Age'!$C270,'Tabular Pop Data by Age'!AE$7),'Population Data by Age'!$B$7:$B$10366,0),MATCH('Tabular Pop Data by Age'!$C$6,'Population Data by Age'!$B$6:$H$6,0))</f>
        <v>9246600</v>
      </c>
      <c r="AF270" s="78">
        <f>INDEX('Population Data by Age'!$B$7:$H$10366,MATCH(CONCATENATE('Tabular Pop Data by Age'!$C270,'Tabular Pop Data by Age'!AF$7),'Population Data by Age'!$B$7:$B$10366,0),MATCH('Tabular Pop Data by Age'!$C$6,'Population Data by Age'!$B$6:$H$6,0))</f>
        <v>7875400</v>
      </c>
      <c r="AG270" s="78">
        <f>INDEX('Population Data by Age'!$B$7:$H$10366,MATCH(CONCATENATE('Tabular Pop Data by Age'!$C270,'Tabular Pop Data by Age'!AG$7),'Population Data by Age'!$B$7:$B$10366,0),MATCH('Tabular Pop Data by Age'!$C$6,'Population Data by Age'!$B$6:$H$6,0))</f>
        <v>6458800</v>
      </c>
      <c r="AH270" s="78">
        <f>INDEX('Population Data by Age'!$B$7:$H$10366,MATCH(CONCATENATE('Tabular Pop Data by Age'!$C270,'Tabular Pop Data by Age'!AH$7),'Population Data by Age'!$B$7:$B$10366,0),MATCH('Tabular Pop Data by Age'!$C$6,'Population Data by Age'!$B$6:$H$6,0))</f>
        <v>5556300</v>
      </c>
      <c r="AI270" s="78">
        <f>INDEX('Population Data by Age'!$B$7:$H$10366,MATCH(CONCATENATE('Tabular Pop Data by Age'!$C270,'Tabular Pop Data by Age'!AI$7),'Population Data by Age'!$B$7:$B$10366,0),MATCH('Tabular Pop Data by Age'!$C$6,'Population Data by Age'!$B$6:$H$6,0))</f>
        <v>4263100</v>
      </c>
      <c r="AJ270" s="78">
        <f>INDEX('Population Data by Age'!$B$7:$H$10366,MATCH(CONCATENATE('Tabular Pop Data by Age'!$C270,'Tabular Pop Data by Age'!AJ$7),'Population Data by Age'!$B$7:$B$10366,0),MATCH('Tabular Pop Data by Age'!$C$6,'Population Data by Age'!$B$6:$H$6,0))</f>
        <v>7175400</v>
      </c>
      <c r="AK270" s="78">
        <f>INDEX('Population Data by Age'!$B$7:$H$10366,MATCH(CONCATENATE('Tabular Pop Data by Age'!$C270,'Tabular Pop Data by Age'!AK$7),'Population Data by Age'!$B$7:$B$10366,0),MATCH('Tabular Pop Data by Age'!$C$6,'Population Data by Age'!$B$6:$H$6,0))</f>
        <v>4540800</v>
      </c>
      <c r="AL270" s="78">
        <f>INDEX('Population Data by Age'!$B$7:$H$10366,MATCH(CONCATENATE('Tabular Pop Data by Age'!$C270,'Tabular Pop Data by Age'!AL$7),'Population Data by Age'!$B$7:$B$10366,0),MATCH('Tabular Pop Data by Age'!$C$6,'Population Data by Age'!$B$6:$H$6,0))</f>
        <v>323860000</v>
      </c>
      <c r="AM270" s="78">
        <f>INDEX('Population Data by Age'!$B$7:$H$10366,MATCH(CONCATENATE('Tabular Pop Data by Age'!$C270,'Tabular Pop Data by Age'!AM$7),'Population Data by Age'!$B$7:$B$10366,0),MATCH('Tabular Pop Data by Age'!$C$6,'Population Data by Age'!$B$6:$H$6,0))</f>
        <v>313494000</v>
      </c>
      <c r="AN270" s="78">
        <f>INDEX('Population Data by Age'!$B$7:$H$10366,MATCH(CONCATENATE('Tabular Pop Data by Age'!$C270,'Tabular Pop Data by Age'!AN$7),'Population Data by Age'!$B$7:$B$10366,0),MATCH('Tabular Pop Data by Age'!$C$6,'Population Data by Age'!$B$6:$H$6,0))</f>
        <v>637480000</v>
      </c>
      <c r="AO270" s="78">
        <f>INDEX('Population Data by Age'!$B$7:$H$10366,MATCH(CONCATENATE('Tabular Pop Data by Age'!$C270,'Tabular Pop Data by Age'!AO$7),'Population Data by Age'!$B$7:$B$10366,0),MATCH('Tabular Pop Data by Age'!$C$6,'Population Data by Age'!$B$6:$H$6,0))</f>
        <v>0.93320624586358747</v>
      </c>
      <c r="AP270" s="79">
        <f t="shared" si="68"/>
        <v>50877800</v>
      </c>
      <c r="AQ270" s="79">
        <f t="shared" si="69"/>
        <v>51263700</v>
      </c>
      <c r="AR270" s="79">
        <f t="shared" si="70"/>
        <v>51382800</v>
      </c>
      <c r="AS270" s="79">
        <f t="shared" si="71"/>
        <v>52541900</v>
      </c>
      <c r="AT270" s="79">
        <f t="shared" si="72"/>
        <v>53017400</v>
      </c>
      <c r="AU270" s="79">
        <f t="shared" si="73"/>
        <v>52293100</v>
      </c>
      <c r="AV270" s="79">
        <f t="shared" si="74"/>
        <v>49839700</v>
      </c>
      <c r="AW270" s="79">
        <f t="shared" si="75"/>
        <v>47467700</v>
      </c>
      <c r="AX270" s="79">
        <f t="shared" si="76"/>
        <v>43302900</v>
      </c>
      <c r="AY270" s="79">
        <f t="shared" si="77"/>
        <v>38548800</v>
      </c>
      <c r="AZ270" s="79">
        <f t="shared" si="78"/>
        <v>34825500</v>
      </c>
      <c r="BA270" s="79">
        <f t="shared" si="79"/>
        <v>30809400</v>
      </c>
      <c r="BB270" s="79">
        <f t="shared" si="80"/>
        <v>25275600</v>
      </c>
      <c r="BC270" s="79">
        <f t="shared" si="81"/>
        <v>20040300</v>
      </c>
      <c r="BD270" s="79">
        <f t="shared" si="82"/>
        <v>14334200</v>
      </c>
      <c r="BE270" s="79">
        <f t="shared" si="83"/>
        <v>9819400</v>
      </c>
      <c r="BF270" s="79">
        <f t="shared" si="84"/>
        <v>11716200</v>
      </c>
    </row>
    <row r="271" spans="1:58" x14ac:dyDescent="0.25">
      <c r="A271" s="138" t="s">
        <v>1182</v>
      </c>
      <c r="B271" t="s">
        <v>550</v>
      </c>
      <c r="C271" t="s">
        <v>551</v>
      </c>
      <c r="D271" s="78">
        <f>INDEX('Population Data by Age'!$B$7:$H$10366,MATCH(CONCATENATE('Tabular Pop Data by Age'!$C271,'Tabular Pop Data by Age'!D$7),'Population Data by Age'!$B$7:$B$10366,0),MATCH('Tabular Pop Data by Age'!$C$6,'Population Data by Age'!$B$6:$H$6,0))</f>
        <v>73543400</v>
      </c>
      <c r="E271" s="78">
        <f>INDEX('Population Data by Age'!$B$7:$H$10366,MATCH(CONCATENATE('Tabular Pop Data by Age'!$C271,'Tabular Pop Data by Age'!E$7),'Population Data by Age'!$B$7:$B$10366,0),MATCH('Tabular Pop Data by Age'!$C$6,'Population Data by Age'!$B$6:$H$6,0))</f>
        <v>75613800</v>
      </c>
      <c r="F271" s="78">
        <f>INDEX('Population Data by Age'!$B$7:$H$10366,MATCH(CONCATENATE('Tabular Pop Data by Age'!$C271,'Tabular Pop Data by Age'!F$7),'Population Data by Age'!$B$7:$B$10366,0),MATCH('Tabular Pop Data by Age'!$C$6,'Population Data by Age'!$B$6:$H$6,0))</f>
        <v>67354800</v>
      </c>
      <c r="G271" s="78">
        <f>INDEX('Population Data by Age'!$B$7:$H$10366,MATCH(CONCATENATE('Tabular Pop Data by Age'!$C271,'Tabular Pop Data by Age'!G$7),'Population Data by Age'!$B$7:$B$10366,0),MATCH('Tabular Pop Data by Age'!$C$6,'Population Data by Age'!$B$6:$H$6,0))</f>
        <v>69045500</v>
      </c>
      <c r="H271" s="78">
        <f>INDEX('Population Data by Age'!$B$7:$H$10366,MATCH(CONCATENATE('Tabular Pop Data by Age'!$C271,'Tabular Pop Data by Age'!H$7),'Population Data by Age'!$B$7:$B$10366,0),MATCH('Tabular Pop Data by Age'!$C$6,'Population Data by Age'!$B$6:$H$6,0))</f>
        <v>61763600</v>
      </c>
      <c r="I271" s="78">
        <f>INDEX('Population Data by Age'!$B$7:$H$10366,MATCH(CONCATENATE('Tabular Pop Data by Age'!$C271,'Tabular Pop Data by Age'!I$7),'Population Data by Age'!$B$7:$B$10366,0),MATCH('Tabular Pop Data by Age'!$C$6,'Population Data by Age'!$B$6:$H$6,0))</f>
        <v>63135800</v>
      </c>
      <c r="J271" s="78">
        <f>INDEX('Population Data by Age'!$B$7:$H$10366,MATCH(CONCATENATE('Tabular Pop Data by Age'!$C271,'Tabular Pop Data by Age'!J$7),'Population Data by Age'!$B$7:$B$10366,0),MATCH('Tabular Pop Data by Age'!$C$6,'Population Data by Age'!$B$6:$H$6,0))</f>
        <v>55716000</v>
      </c>
      <c r="K271" s="78">
        <f>INDEX('Population Data by Age'!$B$7:$H$10366,MATCH(CONCATENATE('Tabular Pop Data by Age'!$C271,'Tabular Pop Data by Age'!K$7),'Population Data by Age'!$B$7:$B$10366,0),MATCH('Tabular Pop Data by Age'!$C$6,'Population Data by Age'!$B$6:$H$6,0))</f>
        <v>56786200</v>
      </c>
      <c r="L271" s="78">
        <f>INDEX('Population Data by Age'!$B$7:$H$10366,MATCH(CONCATENATE('Tabular Pop Data by Age'!$C271,'Tabular Pop Data by Age'!L$7),'Population Data by Age'!$B$7:$B$10366,0),MATCH('Tabular Pop Data by Age'!$C$6,'Population Data by Age'!$B$6:$H$6,0))</f>
        <v>49292600</v>
      </c>
      <c r="M271" s="78">
        <f>INDEX('Population Data by Age'!$B$7:$H$10366,MATCH(CONCATENATE('Tabular Pop Data by Age'!$C271,'Tabular Pop Data by Age'!M$7),'Population Data by Age'!$B$7:$B$10366,0),MATCH('Tabular Pop Data by Age'!$C$6,'Population Data by Age'!$B$6:$H$6,0))</f>
        <v>49676000</v>
      </c>
      <c r="N271" s="78">
        <f>INDEX('Population Data by Age'!$B$7:$H$10366,MATCH(CONCATENATE('Tabular Pop Data by Age'!$C271,'Tabular Pop Data by Age'!N$7),'Population Data by Age'!$B$7:$B$10366,0),MATCH('Tabular Pop Data by Age'!$C$6,'Population Data by Age'!$B$6:$H$6,0))</f>
        <v>42931200</v>
      </c>
      <c r="O271" s="78">
        <f>INDEX('Population Data by Age'!$B$7:$H$10366,MATCH(CONCATENATE('Tabular Pop Data by Age'!$C271,'Tabular Pop Data by Age'!O$7),'Population Data by Age'!$B$7:$B$10366,0),MATCH('Tabular Pop Data by Age'!$C$6,'Population Data by Age'!$B$6:$H$6,0))</f>
        <v>42510400</v>
      </c>
      <c r="P271" s="78">
        <f>INDEX('Population Data by Age'!$B$7:$H$10366,MATCH(CONCATENATE('Tabular Pop Data by Age'!$C271,'Tabular Pop Data by Age'!P$7),'Population Data by Age'!$B$7:$B$10366,0),MATCH('Tabular Pop Data by Age'!$C$6,'Population Data by Age'!$B$6:$H$6,0))</f>
        <v>36757700</v>
      </c>
      <c r="Q271" s="78">
        <f>INDEX('Population Data by Age'!$B$7:$H$10366,MATCH(CONCATENATE('Tabular Pop Data by Age'!$C271,'Tabular Pop Data by Age'!Q$7),'Population Data by Age'!$B$7:$B$10366,0),MATCH('Tabular Pop Data by Age'!$C$6,'Population Data by Age'!$B$6:$H$6,0))</f>
        <v>35621500</v>
      </c>
      <c r="R271" s="78">
        <f>INDEX('Population Data by Age'!$B$7:$H$10366,MATCH(CONCATENATE('Tabular Pop Data by Age'!$C271,'Tabular Pop Data by Age'!R$7),'Population Data by Age'!$B$7:$B$10366,0),MATCH('Tabular Pop Data by Age'!$C$6,'Population Data by Age'!$B$6:$H$6,0))</f>
        <v>31879300</v>
      </c>
      <c r="S271" s="78">
        <f>INDEX('Population Data by Age'!$B$7:$H$10366,MATCH(CONCATENATE('Tabular Pop Data by Age'!$C271,'Tabular Pop Data by Age'!S$7),'Population Data by Age'!$B$7:$B$10366,0),MATCH('Tabular Pop Data by Age'!$C$6,'Population Data by Age'!$B$6:$H$6,0))</f>
        <v>30348800</v>
      </c>
      <c r="T271" s="78">
        <f>INDEX('Population Data by Age'!$B$7:$H$10366,MATCH(CONCATENATE('Tabular Pop Data by Age'!$C271,'Tabular Pop Data by Age'!T$7),'Population Data by Age'!$B$7:$B$10366,0),MATCH('Tabular Pop Data by Age'!$C$6,'Population Data by Age'!$B$6:$H$6,0))</f>
        <v>26179800</v>
      </c>
      <c r="U271" s="78">
        <f>INDEX('Population Data by Age'!$B$7:$H$10366,MATCH(CONCATENATE('Tabular Pop Data by Age'!$C271,'Tabular Pop Data by Age'!U$7),'Population Data by Age'!$B$7:$B$10366,0),MATCH('Tabular Pop Data by Age'!$C$6,'Population Data by Age'!$B$6:$H$6,0))</f>
        <v>24909600</v>
      </c>
      <c r="V271" s="78">
        <f>INDEX('Population Data by Age'!$B$7:$H$10366,MATCH(CONCATENATE('Tabular Pop Data by Age'!$C271,'Tabular Pop Data by Age'!V$7),'Population Data by Age'!$B$7:$B$10366,0),MATCH('Tabular Pop Data by Age'!$C$6,'Population Data by Age'!$B$6:$H$6,0))</f>
        <v>21669000</v>
      </c>
      <c r="W271" s="78">
        <f>INDEX('Population Data by Age'!$B$7:$H$10366,MATCH(CONCATENATE('Tabular Pop Data by Age'!$C271,'Tabular Pop Data by Age'!W$7),'Population Data by Age'!$B$7:$B$10366,0),MATCH('Tabular Pop Data by Age'!$C$6,'Population Data by Age'!$B$6:$H$6,0))</f>
        <v>20682700</v>
      </c>
      <c r="X271" s="78">
        <f>INDEX('Population Data by Age'!$B$7:$H$10366,MATCH(CONCATENATE('Tabular Pop Data by Age'!$C271,'Tabular Pop Data by Age'!X$7),'Population Data by Age'!$B$7:$B$10366,0),MATCH('Tabular Pop Data by Age'!$C$6,'Population Data by Age'!$B$6:$H$6,0))</f>
        <v>17932200</v>
      </c>
      <c r="Y271" s="78">
        <f>INDEX('Population Data by Age'!$B$7:$H$10366,MATCH(CONCATENATE('Tabular Pop Data by Age'!$C271,'Tabular Pop Data by Age'!Y$7),'Population Data by Age'!$B$7:$B$10366,0),MATCH('Tabular Pop Data by Age'!$C$6,'Population Data by Age'!$B$6:$H$6,0))</f>
        <v>16973100</v>
      </c>
      <c r="Z271" s="78">
        <f>INDEX('Population Data by Age'!$B$7:$H$10366,MATCH(CONCATENATE('Tabular Pop Data by Age'!$C271,'Tabular Pop Data by Age'!Z$7),'Population Data by Age'!$B$7:$B$10366,0),MATCH('Tabular Pop Data by Age'!$C$6,'Population Data by Age'!$B$6:$H$6,0))</f>
        <v>14507600</v>
      </c>
      <c r="AA271" s="78">
        <f>INDEX('Population Data by Age'!$B$7:$H$10366,MATCH(CONCATENATE('Tabular Pop Data by Age'!$C271,'Tabular Pop Data by Age'!AA$7),'Population Data by Age'!$B$7:$B$10366,0),MATCH('Tabular Pop Data by Age'!$C$6,'Population Data by Age'!$B$6:$H$6,0))</f>
        <v>13541200</v>
      </c>
      <c r="AB271" s="78">
        <f>INDEX('Population Data by Age'!$B$7:$H$10366,MATCH(CONCATENATE('Tabular Pop Data by Age'!$C271,'Tabular Pop Data by Age'!AB$7),'Population Data by Age'!$B$7:$B$10366,0),MATCH('Tabular Pop Data by Age'!$C$6,'Population Data by Age'!$B$6:$H$6,0))</f>
        <v>11073100</v>
      </c>
      <c r="AC271" s="78">
        <f>INDEX('Population Data by Age'!$B$7:$H$10366,MATCH(CONCATENATE('Tabular Pop Data by Age'!$C271,'Tabular Pop Data by Age'!AC$7),'Population Data by Age'!$B$7:$B$10366,0),MATCH('Tabular Pop Data by Age'!$C$6,'Population Data by Age'!$B$6:$H$6,0))</f>
        <v>10011200</v>
      </c>
      <c r="AD271" s="78">
        <f>INDEX('Population Data by Age'!$B$7:$H$10366,MATCH(CONCATENATE('Tabular Pop Data by Age'!$C271,'Tabular Pop Data by Age'!AD$7),'Population Data by Age'!$B$7:$B$10366,0),MATCH('Tabular Pop Data by Age'!$C$6,'Population Data by Age'!$B$6:$H$6,0))</f>
        <v>8080500</v>
      </c>
      <c r="AE271" s="78">
        <f>INDEX('Population Data by Age'!$B$7:$H$10366,MATCH(CONCATENATE('Tabular Pop Data by Age'!$C271,'Tabular Pop Data by Age'!AE$7),'Population Data by Age'!$B$7:$B$10366,0),MATCH('Tabular Pop Data by Age'!$C$6,'Population Data by Age'!$B$6:$H$6,0))</f>
        <v>7081000</v>
      </c>
      <c r="AF271" s="78">
        <f>INDEX('Population Data by Age'!$B$7:$H$10366,MATCH(CONCATENATE('Tabular Pop Data by Age'!$C271,'Tabular Pop Data by Age'!AF$7),'Population Data by Age'!$B$7:$B$10366,0),MATCH('Tabular Pop Data by Age'!$C$6,'Population Data by Age'!$B$6:$H$6,0))</f>
        <v>5848600</v>
      </c>
      <c r="AG271" s="78">
        <f>INDEX('Population Data by Age'!$B$7:$H$10366,MATCH(CONCATENATE('Tabular Pop Data by Age'!$C271,'Tabular Pop Data by Age'!AG$7),'Population Data by Age'!$B$7:$B$10366,0),MATCH('Tabular Pop Data by Age'!$C$6,'Population Data by Age'!$B$6:$H$6,0))</f>
        <v>4849500</v>
      </c>
      <c r="AH271" s="78">
        <f>INDEX('Population Data by Age'!$B$7:$H$10366,MATCH(CONCATENATE('Tabular Pop Data by Age'!$C271,'Tabular Pop Data by Age'!AH$7),'Population Data by Age'!$B$7:$B$10366,0),MATCH('Tabular Pop Data by Age'!$C$6,'Population Data by Age'!$B$6:$H$6,0))</f>
        <v>3801100</v>
      </c>
      <c r="AI271" s="78">
        <f>INDEX('Population Data by Age'!$B$7:$H$10366,MATCH(CONCATENATE('Tabular Pop Data by Age'!$C271,'Tabular Pop Data by Age'!AI$7),'Population Data by Age'!$B$7:$B$10366,0),MATCH('Tabular Pop Data by Age'!$C$6,'Population Data by Age'!$B$6:$H$6,0))</f>
        <v>3010000</v>
      </c>
      <c r="AJ271" s="78">
        <f>INDEX('Population Data by Age'!$B$7:$H$10366,MATCH(CONCATENATE('Tabular Pop Data by Age'!$C271,'Tabular Pop Data by Age'!AJ$7),'Population Data by Age'!$B$7:$B$10366,0),MATCH('Tabular Pop Data by Age'!$C$6,'Population Data by Age'!$B$6:$H$6,0))</f>
        <v>3076700</v>
      </c>
      <c r="AK271" s="78">
        <f>INDEX('Population Data by Age'!$B$7:$H$10366,MATCH(CONCATENATE('Tabular Pop Data by Age'!$C271,'Tabular Pop Data by Age'!AK$7),'Population Data by Age'!$B$7:$B$10366,0),MATCH('Tabular Pop Data by Age'!$C$6,'Population Data by Age'!$B$6:$H$6,0))</f>
        <v>2212200</v>
      </c>
      <c r="AL271" s="78">
        <f>INDEX('Population Data by Age'!$B$7:$H$10366,MATCH(CONCATENATE('Tabular Pop Data by Age'!$C271,'Tabular Pop Data by Age'!AL$7),'Population Data by Age'!$B$7:$B$10366,0),MATCH('Tabular Pop Data by Age'!$C$6,'Population Data by Age'!$B$6:$H$6,0))</f>
        <v>531416000</v>
      </c>
      <c r="AM271" s="78">
        <f>INDEX('Population Data by Age'!$B$7:$H$10366,MATCH(CONCATENATE('Tabular Pop Data by Age'!$C271,'Tabular Pop Data by Age'!AM$7),'Population Data by Age'!$B$7:$B$10366,0),MATCH('Tabular Pop Data by Age'!$C$6,'Population Data by Age'!$B$6:$H$6,0))</f>
        <v>526010000</v>
      </c>
      <c r="AN271" s="78">
        <f>INDEX('Population Data by Age'!$B$7:$H$10366,MATCH(CONCATENATE('Tabular Pop Data by Age'!$C271,'Tabular Pop Data by Age'!AN$7),'Population Data by Age'!$B$7:$B$10366,0),MATCH('Tabular Pop Data by Age'!$C$6,'Population Data by Age'!$B$6:$H$6,0))</f>
        <v>1057439000</v>
      </c>
      <c r="AO271" s="78">
        <f>INDEX('Population Data by Age'!$B$7:$H$10366,MATCH(CONCATENATE('Tabular Pop Data by Age'!$C271,'Tabular Pop Data by Age'!AO$7),'Population Data by Age'!$B$7:$B$10366,0),MATCH('Tabular Pop Data by Age'!$C$6,'Population Data by Age'!$B$6:$H$6,0))</f>
        <v>2.3272939812597286</v>
      </c>
      <c r="AP271" s="79">
        <f t="shared" si="68"/>
        <v>149157200</v>
      </c>
      <c r="AQ271" s="79">
        <f t="shared" si="69"/>
        <v>136400300</v>
      </c>
      <c r="AR271" s="79">
        <f t="shared" si="70"/>
        <v>124899400</v>
      </c>
      <c r="AS271" s="79">
        <f t="shared" si="71"/>
        <v>112502200</v>
      </c>
      <c r="AT271" s="79">
        <f t="shared" si="72"/>
        <v>98968600</v>
      </c>
      <c r="AU271" s="79">
        <f t="shared" si="73"/>
        <v>85441600</v>
      </c>
      <c r="AV271" s="79">
        <f t="shared" si="74"/>
        <v>72379200</v>
      </c>
      <c r="AW271" s="79">
        <f t="shared" si="75"/>
        <v>62228100</v>
      </c>
      <c r="AX271" s="79">
        <f t="shared" si="76"/>
        <v>51089400</v>
      </c>
      <c r="AY271" s="79">
        <f t="shared" si="77"/>
        <v>42351700</v>
      </c>
      <c r="AZ271" s="79">
        <f t="shared" si="78"/>
        <v>34905300</v>
      </c>
      <c r="BA271" s="79">
        <f t="shared" si="79"/>
        <v>28048800</v>
      </c>
      <c r="BB271" s="79">
        <f t="shared" si="80"/>
        <v>21084300</v>
      </c>
      <c r="BC271" s="79">
        <f t="shared" si="81"/>
        <v>15161500</v>
      </c>
      <c r="BD271" s="79">
        <f t="shared" si="82"/>
        <v>10698100</v>
      </c>
      <c r="BE271" s="79">
        <f t="shared" si="83"/>
        <v>6811100</v>
      </c>
      <c r="BF271" s="79">
        <f t="shared" si="84"/>
        <v>5288900</v>
      </c>
    </row>
  </sheetData>
  <sheetProtection algorithmName="SHA-512" hashValue="Zn/pYrWvuBZiQ6QX/Htj+UhKhPiYUs3eEPA5fGU+Yn0hcPJmDHxFdqbq0uZvqZOSEl3TEKS+88sWmVb6UM1CIg==" saltValue="iwhNd9X53ABDcNCwpbEGHQ==" spinCount="100000" sheet="1" objects="1" scenarios="1"/>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B2:H10371"/>
  <sheetViews>
    <sheetView showGridLines="0" zoomScale="85" zoomScaleNormal="85" workbookViewId="0">
      <selection activeCell="G18" sqref="G18"/>
    </sheetView>
  </sheetViews>
  <sheetFormatPr defaultColWidth="8.5703125" defaultRowHeight="15" x14ac:dyDescent="0.25"/>
  <cols>
    <col min="1" max="1" width="3" customWidth="1"/>
    <col min="3" max="3" width="53.42578125" bestFit="1" customWidth="1"/>
    <col min="5" max="5" width="35.42578125" bestFit="1" customWidth="1"/>
    <col min="6" max="6" width="18.5703125" bestFit="1" customWidth="1"/>
    <col min="7" max="8" width="13.42578125" bestFit="1" customWidth="1"/>
  </cols>
  <sheetData>
    <row r="2" spans="2:8" s="73" customFormat="1" ht="18.75" x14ac:dyDescent="0.3">
      <c r="B2" s="73" t="s">
        <v>679</v>
      </c>
      <c r="E2" s="74"/>
      <c r="F2" s="74"/>
      <c r="G2" s="74"/>
    </row>
    <row r="3" spans="2:8" s="75" customFormat="1" x14ac:dyDescent="0.25">
      <c r="B3" s="75" t="s">
        <v>680</v>
      </c>
      <c r="E3" s="76"/>
      <c r="F3" s="76"/>
      <c r="G3" s="76"/>
    </row>
    <row r="4" spans="2:8" s="16" customFormat="1" x14ac:dyDescent="0.25">
      <c r="B4" s="16" t="s">
        <v>681</v>
      </c>
    </row>
    <row r="6" spans="2:8" x14ac:dyDescent="0.25">
      <c r="B6" t="s">
        <v>682</v>
      </c>
      <c r="C6" t="s">
        <v>683</v>
      </c>
      <c r="D6" t="s">
        <v>684</v>
      </c>
      <c r="E6" t="s">
        <v>685</v>
      </c>
      <c r="F6" t="s">
        <v>686</v>
      </c>
      <c r="G6">
        <v>2019</v>
      </c>
      <c r="H6">
        <v>2020</v>
      </c>
    </row>
    <row r="7" spans="2:8" x14ac:dyDescent="0.25">
      <c r="B7" t="str">
        <f t="shared" ref="B7:B70" si="0">CONCATENATE(D7,E7)</f>
        <v>AFGPopulation ages 0-14, female</v>
      </c>
      <c r="C7" t="s">
        <v>230</v>
      </c>
      <c r="D7" t="s">
        <v>0</v>
      </c>
      <c r="E7" t="s">
        <v>687</v>
      </c>
      <c r="F7" t="s">
        <v>688</v>
      </c>
      <c r="G7">
        <v>7886000</v>
      </c>
      <c r="H7">
        <v>7947000</v>
      </c>
    </row>
    <row r="8" spans="2:8" x14ac:dyDescent="0.25">
      <c r="B8" t="str">
        <f t="shared" si="0"/>
        <v>AFGPopulation ages 0-14, male</v>
      </c>
      <c r="C8" t="s">
        <v>230</v>
      </c>
      <c r="D8" t="s">
        <v>0</v>
      </c>
      <c r="E8" t="s">
        <v>689</v>
      </c>
      <c r="F8" t="s">
        <v>690</v>
      </c>
      <c r="G8">
        <v>8272000</v>
      </c>
      <c r="H8">
        <v>8334000</v>
      </c>
    </row>
    <row r="9" spans="2:8" x14ac:dyDescent="0.25">
      <c r="B9" t="str">
        <f t="shared" si="0"/>
        <v>AFGPopulation ages 00-04, female</v>
      </c>
      <c r="C9" t="s">
        <v>230</v>
      </c>
      <c r="D9" t="s">
        <v>0</v>
      </c>
      <c r="E9" t="s">
        <v>362</v>
      </c>
      <c r="F9" t="s">
        <v>691</v>
      </c>
      <c r="G9">
        <v>2747000</v>
      </c>
      <c r="H9">
        <v>2765000</v>
      </c>
    </row>
    <row r="10" spans="2:8" x14ac:dyDescent="0.25">
      <c r="B10" t="str">
        <f t="shared" si="0"/>
        <v>AFGPopulation ages 00-04, male</v>
      </c>
      <c r="C10" t="s">
        <v>230</v>
      </c>
      <c r="D10" t="s">
        <v>0</v>
      </c>
      <c r="E10" t="s">
        <v>363</v>
      </c>
      <c r="F10" t="s">
        <v>692</v>
      </c>
      <c r="G10">
        <v>2891000</v>
      </c>
      <c r="H10">
        <v>2907000</v>
      </c>
    </row>
    <row r="11" spans="2:8" x14ac:dyDescent="0.25">
      <c r="B11" t="str">
        <f t="shared" si="0"/>
        <v>AFGPopulation ages 05-09, female</v>
      </c>
      <c r="C11" t="s">
        <v>230</v>
      </c>
      <c r="D11" t="s">
        <v>0</v>
      </c>
      <c r="E11" t="s">
        <v>364</v>
      </c>
      <c r="F11" t="s">
        <v>693</v>
      </c>
      <c r="G11">
        <v>2637000</v>
      </c>
      <c r="H11">
        <v>2642000</v>
      </c>
    </row>
    <row r="12" spans="2:8" x14ac:dyDescent="0.25">
      <c r="B12" t="str">
        <f t="shared" si="0"/>
        <v>AFGPopulation ages 05-09, male</v>
      </c>
      <c r="C12" t="s">
        <v>230</v>
      </c>
      <c r="D12" t="s">
        <v>0</v>
      </c>
      <c r="E12" t="s">
        <v>365</v>
      </c>
      <c r="F12" t="s">
        <v>694</v>
      </c>
      <c r="G12">
        <v>2765000</v>
      </c>
      <c r="H12">
        <v>2775000</v>
      </c>
    </row>
    <row r="13" spans="2:8" x14ac:dyDescent="0.25">
      <c r="B13" t="str">
        <f t="shared" si="0"/>
        <v>AFGPopulation ages 10-14, female</v>
      </c>
      <c r="C13" t="s">
        <v>230</v>
      </c>
      <c r="D13" t="s">
        <v>0</v>
      </c>
      <c r="E13" t="s">
        <v>366</v>
      </c>
      <c r="F13" t="s">
        <v>695</v>
      </c>
      <c r="G13">
        <v>2502000</v>
      </c>
      <c r="H13">
        <v>2540000</v>
      </c>
    </row>
    <row r="14" spans="2:8" x14ac:dyDescent="0.25">
      <c r="B14" t="str">
        <f t="shared" si="0"/>
        <v>AFGPopulation ages 10-14, male</v>
      </c>
      <c r="C14" t="s">
        <v>230</v>
      </c>
      <c r="D14" t="s">
        <v>0</v>
      </c>
      <c r="E14" t="s">
        <v>367</v>
      </c>
      <c r="F14" t="s">
        <v>696</v>
      </c>
      <c r="G14">
        <v>2615000</v>
      </c>
      <c r="H14">
        <v>2652000</v>
      </c>
    </row>
    <row r="15" spans="2:8" x14ac:dyDescent="0.25">
      <c r="B15" t="str">
        <f t="shared" si="0"/>
        <v>AFGPopulation ages 15-19, female</v>
      </c>
      <c r="C15" t="s">
        <v>230</v>
      </c>
      <c r="D15" t="s">
        <v>0</v>
      </c>
      <c r="E15" t="s">
        <v>368</v>
      </c>
      <c r="F15" t="s">
        <v>697</v>
      </c>
      <c r="G15">
        <v>2198000</v>
      </c>
      <c r="H15">
        <v>2252000</v>
      </c>
    </row>
    <row r="16" spans="2:8" x14ac:dyDescent="0.25">
      <c r="B16" t="str">
        <f t="shared" si="0"/>
        <v>AFGPopulation ages 15-19, male</v>
      </c>
      <c r="C16" t="s">
        <v>230</v>
      </c>
      <c r="D16" t="s">
        <v>0</v>
      </c>
      <c r="E16" t="s">
        <v>369</v>
      </c>
      <c r="F16" t="s">
        <v>698</v>
      </c>
      <c r="G16">
        <v>2322000</v>
      </c>
      <c r="H16">
        <v>2378000</v>
      </c>
    </row>
    <row r="17" spans="2:8" x14ac:dyDescent="0.25">
      <c r="B17" t="str">
        <f t="shared" si="0"/>
        <v>AFGPopulation ages 20-24, female</v>
      </c>
      <c r="C17" t="s">
        <v>230</v>
      </c>
      <c r="D17" t="s">
        <v>0</v>
      </c>
      <c r="E17" t="s">
        <v>370</v>
      </c>
      <c r="F17" t="s">
        <v>699</v>
      </c>
      <c r="G17">
        <v>1844000</v>
      </c>
      <c r="H17">
        <v>1909000</v>
      </c>
    </row>
    <row r="18" spans="2:8" x14ac:dyDescent="0.25">
      <c r="B18" t="str">
        <f t="shared" si="0"/>
        <v>AFGPopulation ages 20-24, male</v>
      </c>
      <c r="C18" t="s">
        <v>230</v>
      </c>
      <c r="D18" t="s">
        <v>0</v>
      </c>
      <c r="E18" t="s">
        <v>371</v>
      </c>
      <c r="F18" t="s">
        <v>700</v>
      </c>
      <c r="G18">
        <v>1951000</v>
      </c>
      <c r="H18">
        <v>2017000</v>
      </c>
    </row>
    <row r="19" spans="2:8" x14ac:dyDescent="0.25">
      <c r="B19" t="str">
        <f t="shared" si="0"/>
        <v>AFGPopulation ages 25-29, female</v>
      </c>
      <c r="C19" t="s">
        <v>230</v>
      </c>
      <c r="D19" t="s">
        <v>0</v>
      </c>
      <c r="E19" t="s">
        <v>372</v>
      </c>
      <c r="F19" t="s">
        <v>701</v>
      </c>
      <c r="G19">
        <v>1433000</v>
      </c>
      <c r="H19">
        <v>1499000</v>
      </c>
    </row>
    <row r="20" spans="2:8" x14ac:dyDescent="0.25">
      <c r="B20" t="str">
        <f t="shared" si="0"/>
        <v>AFGPopulation ages 25-29, male</v>
      </c>
      <c r="C20" t="s">
        <v>230</v>
      </c>
      <c r="D20" t="s">
        <v>0</v>
      </c>
      <c r="E20" t="s">
        <v>373</v>
      </c>
      <c r="F20" t="s">
        <v>702</v>
      </c>
      <c r="G20">
        <v>1551000</v>
      </c>
      <c r="H20">
        <v>1611000</v>
      </c>
    </row>
    <row r="21" spans="2:8" x14ac:dyDescent="0.25">
      <c r="B21" t="str">
        <f t="shared" si="0"/>
        <v>AFGPopulation ages 30-34, female</v>
      </c>
      <c r="C21" t="s">
        <v>230</v>
      </c>
      <c r="D21" t="s">
        <v>0</v>
      </c>
      <c r="E21" t="s">
        <v>374</v>
      </c>
      <c r="F21" t="s">
        <v>703</v>
      </c>
      <c r="G21">
        <v>1138000</v>
      </c>
      <c r="H21">
        <v>1179000</v>
      </c>
    </row>
    <row r="22" spans="2:8" x14ac:dyDescent="0.25">
      <c r="B22" t="str">
        <f t="shared" si="0"/>
        <v>AFGPopulation ages 30-34, male</v>
      </c>
      <c r="C22" t="s">
        <v>230</v>
      </c>
      <c r="D22" t="s">
        <v>0</v>
      </c>
      <c r="E22" t="s">
        <v>375</v>
      </c>
      <c r="F22" t="s">
        <v>704</v>
      </c>
      <c r="G22">
        <v>1256000</v>
      </c>
      <c r="H22">
        <v>1299000</v>
      </c>
    </row>
    <row r="23" spans="2:8" x14ac:dyDescent="0.25">
      <c r="B23" t="str">
        <f t="shared" si="0"/>
        <v>AFGPopulation ages 35-39, female</v>
      </c>
      <c r="C23" t="s">
        <v>230</v>
      </c>
      <c r="D23" t="s">
        <v>0</v>
      </c>
      <c r="E23" t="s">
        <v>376</v>
      </c>
      <c r="F23" t="s">
        <v>705</v>
      </c>
      <c r="G23">
        <v>954000</v>
      </c>
      <c r="H23">
        <v>988000</v>
      </c>
    </row>
    <row r="24" spans="2:8" x14ac:dyDescent="0.25">
      <c r="B24" t="str">
        <f t="shared" si="0"/>
        <v>AFGPopulation ages 35-39, male</v>
      </c>
      <c r="C24" t="s">
        <v>230</v>
      </c>
      <c r="D24" t="s">
        <v>0</v>
      </c>
      <c r="E24" t="s">
        <v>377</v>
      </c>
      <c r="F24" t="s">
        <v>706</v>
      </c>
      <c r="G24">
        <v>1033000</v>
      </c>
      <c r="H24">
        <v>1068000</v>
      </c>
    </row>
    <row r="25" spans="2:8" x14ac:dyDescent="0.25">
      <c r="B25" t="str">
        <f t="shared" si="0"/>
        <v>AFGPopulation ages 40-44, female</v>
      </c>
      <c r="C25" t="s">
        <v>230</v>
      </c>
      <c r="D25" t="s">
        <v>0</v>
      </c>
      <c r="E25" t="s">
        <v>378</v>
      </c>
      <c r="F25" t="s">
        <v>707</v>
      </c>
      <c r="G25">
        <v>759000</v>
      </c>
      <c r="H25">
        <v>791000</v>
      </c>
    </row>
    <row r="26" spans="2:8" x14ac:dyDescent="0.25">
      <c r="B26" t="str">
        <f t="shared" si="0"/>
        <v>AFGPopulation ages 40-44, male</v>
      </c>
      <c r="C26" t="s">
        <v>230</v>
      </c>
      <c r="D26" t="s">
        <v>0</v>
      </c>
      <c r="E26" t="s">
        <v>379</v>
      </c>
      <c r="F26" t="s">
        <v>708</v>
      </c>
      <c r="G26">
        <v>834000</v>
      </c>
      <c r="H26">
        <v>868000</v>
      </c>
    </row>
    <row r="27" spans="2:8" x14ac:dyDescent="0.25">
      <c r="B27" t="str">
        <f t="shared" si="0"/>
        <v>AFGPopulation ages 45-49, female</v>
      </c>
      <c r="C27" t="s">
        <v>230</v>
      </c>
      <c r="D27" t="s">
        <v>0</v>
      </c>
      <c r="E27" t="s">
        <v>380</v>
      </c>
      <c r="F27" t="s">
        <v>709</v>
      </c>
      <c r="G27">
        <v>604000</v>
      </c>
      <c r="H27">
        <v>628000</v>
      </c>
    </row>
    <row r="28" spans="2:8" x14ac:dyDescent="0.25">
      <c r="B28" t="str">
        <f t="shared" si="0"/>
        <v>AFGPopulation ages 45-49, male</v>
      </c>
      <c r="C28" t="s">
        <v>230</v>
      </c>
      <c r="D28" t="s">
        <v>0</v>
      </c>
      <c r="E28" t="s">
        <v>381</v>
      </c>
      <c r="F28" t="s">
        <v>710</v>
      </c>
      <c r="G28">
        <v>650000</v>
      </c>
      <c r="H28">
        <v>677000</v>
      </c>
    </row>
    <row r="29" spans="2:8" x14ac:dyDescent="0.25">
      <c r="B29" t="str">
        <f t="shared" si="0"/>
        <v>AFGPopulation ages 50-54, female</v>
      </c>
      <c r="C29" t="s">
        <v>230</v>
      </c>
      <c r="D29" t="s">
        <v>0</v>
      </c>
      <c r="E29" t="s">
        <v>382</v>
      </c>
      <c r="F29" t="s">
        <v>711</v>
      </c>
      <c r="G29">
        <v>485000</v>
      </c>
      <c r="H29">
        <v>503000</v>
      </c>
    </row>
    <row r="30" spans="2:8" x14ac:dyDescent="0.25">
      <c r="B30" t="str">
        <f t="shared" si="0"/>
        <v>AFGPopulation ages 50-54, male</v>
      </c>
      <c r="C30" t="s">
        <v>230</v>
      </c>
      <c r="D30" t="s">
        <v>0</v>
      </c>
      <c r="E30" t="s">
        <v>383</v>
      </c>
      <c r="F30" t="s">
        <v>712</v>
      </c>
      <c r="G30">
        <v>510000</v>
      </c>
      <c r="H30">
        <v>529000</v>
      </c>
    </row>
    <row r="31" spans="2:8" x14ac:dyDescent="0.25">
      <c r="B31" t="str">
        <f t="shared" si="0"/>
        <v>AFGPopulation ages 55-59, male</v>
      </c>
      <c r="C31" t="s">
        <v>230</v>
      </c>
      <c r="D31" t="s">
        <v>0</v>
      </c>
      <c r="E31" t="s">
        <v>385</v>
      </c>
      <c r="F31" t="s">
        <v>713</v>
      </c>
      <c r="G31">
        <v>396000</v>
      </c>
      <c r="H31">
        <v>411000</v>
      </c>
    </row>
    <row r="32" spans="2:8" x14ac:dyDescent="0.25">
      <c r="B32" t="str">
        <f t="shared" si="0"/>
        <v>AFGPopulation ages 55-59, female</v>
      </c>
      <c r="C32" t="s">
        <v>230</v>
      </c>
      <c r="D32" t="s">
        <v>0</v>
      </c>
      <c r="E32" t="s">
        <v>384</v>
      </c>
      <c r="F32" t="s">
        <v>714</v>
      </c>
      <c r="G32">
        <v>382000</v>
      </c>
      <c r="H32">
        <v>396000</v>
      </c>
    </row>
    <row r="33" spans="2:8" x14ac:dyDescent="0.25">
      <c r="B33" t="str">
        <f t="shared" si="0"/>
        <v>AFGPopulation ages 65-69, male</v>
      </c>
      <c r="C33" t="s">
        <v>230</v>
      </c>
      <c r="D33" t="s">
        <v>0</v>
      </c>
      <c r="E33" t="s">
        <v>389</v>
      </c>
      <c r="F33" t="s">
        <v>715</v>
      </c>
      <c r="G33">
        <v>208000</v>
      </c>
      <c r="H33">
        <v>216000</v>
      </c>
    </row>
    <row r="34" spans="2:8" x14ac:dyDescent="0.25">
      <c r="B34" t="str">
        <f t="shared" si="0"/>
        <v>AFGPopulation ages 65-69, female</v>
      </c>
      <c r="C34" t="s">
        <v>230</v>
      </c>
      <c r="D34" t="s">
        <v>0</v>
      </c>
      <c r="E34" t="s">
        <v>388</v>
      </c>
      <c r="F34" t="s">
        <v>716</v>
      </c>
      <c r="G34">
        <v>224000</v>
      </c>
      <c r="H34">
        <v>229000</v>
      </c>
    </row>
    <row r="35" spans="2:8" x14ac:dyDescent="0.25">
      <c r="B35" t="str">
        <f t="shared" si="0"/>
        <v>AFGPopulation ages 60-64, female</v>
      </c>
      <c r="C35" t="s">
        <v>230</v>
      </c>
      <c r="D35" t="s">
        <v>0</v>
      </c>
      <c r="E35" t="s">
        <v>386</v>
      </c>
      <c r="F35" t="s">
        <v>717</v>
      </c>
      <c r="G35">
        <v>296000</v>
      </c>
      <c r="H35">
        <v>308000</v>
      </c>
    </row>
    <row r="36" spans="2:8" x14ac:dyDescent="0.25">
      <c r="B36" t="str">
        <f t="shared" si="0"/>
        <v>AFGPopulation ages 60-64, male</v>
      </c>
      <c r="C36" t="s">
        <v>230</v>
      </c>
      <c r="D36" t="s">
        <v>0</v>
      </c>
      <c r="E36" t="s">
        <v>387</v>
      </c>
      <c r="F36" t="s">
        <v>718</v>
      </c>
      <c r="G36">
        <v>293000</v>
      </c>
      <c r="H36">
        <v>305000</v>
      </c>
    </row>
    <row r="37" spans="2:8" x14ac:dyDescent="0.25">
      <c r="B37" t="str">
        <f t="shared" si="0"/>
        <v>AFGPopulation ages 70-74, female</v>
      </c>
      <c r="C37" t="s">
        <v>230</v>
      </c>
      <c r="D37" t="s">
        <v>0</v>
      </c>
      <c r="E37" t="s">
        <v>390</v>
      </c>
      <c r="F37" t="s">
        <v>719</v>
      </c>
      <c r="G37">
        <v>165000</v>
      </c>
      <c r="H37">
        <v>172000</v>
      </c>
    </row>
    <row r="38" spans="2:8" x14ac:dyDescent="0.25">
      <c r="B38" t="str">
        <f t="shared" si="0"/>
        <v>AFGPopulation ages 70-74, male</v>
      </c>
      <c r="C38" t="s">
        <v>230</v>
      </c>
      <c r="D38" t="s">
        <v>0</v>
      </c>
      <c r="E38" t="s">
        <v>391</v>
      </c>
      <c r="F38" t="s">
        <v>720</v>
      </c>
      <c r="G38">
        <v>135000</v>
      </c>
      <c r="H38">
        <v>140000</v>
      </c>
    </row>
    <row r="39" spans="2:8" x14ac:dyDescent="0.25">
      <c r="B39" t="str">
        <f t="shared" si="0"/>
        <v>AFGPopulation ages 75-79, female</v>
      </c>
      <c r="C39" t="s">
        <v>230</v>
      </c>
      <c r="D39" t="s">
        <v>0</v>
      </c>
      <c r="E39" t="s">
        <v>392</v>
      </c>
      <c r="F39" t="s">
        <v>721</v>
      </c>
      <c r="G39">
        <v>85000</v>
      </c>
      <c r="H39">
        <v>91000</v>
      </c>
    </row>
    <row r="40" spans="2:8" x14ac:dyDescent="0.25">
      <c r="B40" t="str">
        <f t="shared" si="0"/>
        <v>AFGPopulation ages 75-79, male</v>
      </c>
      <c r="C40" t="s">
        <v>230</v>
      </c>
      <c r="D40" t="s">
        <v>0</v>
      </c>
      <c r="E40" t="s">
        <v>393</v>
      </c>
      <c r="F40" t="s">
        <v>722</v>
      </c>
      <c r="G40">
        <v>74000</v>
      </c>
      <c r="H40">
        <v>77000</v>
      </c>
    </row>
    <row r="41" spans="2:8" x14ac:dyDescent="0.25">
      <c r="B41" t="str">
        <f t="shared" si="0"/>
        <v>AFGPopulation ages 80 and above, female</v>
      </c>
      <c r="C41" t="s">
        <v>230</v>
      </c>
      <c r="D41" t="s">
        <v>0</v>
      </c>
      <c r="E41" t="s">
        <v>394</v>
      </c>
      <c r="F41" t="s">
        <v>723</v>
      </c>
      <c r="G41">
        <v>60000</v>
      </c>
      <c r="H41">
        <v>60000</v>
      </c>
    </row>
    <row r="42" spans="2:8" x14ac:dyDescent="0.25">
      <c r="B42" t="str">
        <f t="shared" si="0"/>
        <v>AFGPopulation ages 80 and above, male</v>
      </c>
      <c r="C42" t="s">
        <v>230</v>
      </c>
      <c r="D42" t="s">
        <v>0</v>
      </c>
      <c r="E42" t="s">
        <v>395</v>
      </c>
      <c r="F42" t="s">
        <v>724</v>
      </c>
      <c r="G42">
        <v>45000</v>
      </c>
      <c r="H42">
        <v>46000</v>
      </c>
    </row>
    <row r="43" spans="2:8" x14ac:dyDescent="0.25">
      <c r="B43" t="str">
        <f t="shared" si="0"/>
        <v>AFGPopulation, male</v>
      </c>
      <c r="C43" t="s">
        <v>230</v>
      </c>
      <c r="D43" t="s">
        <v>0</v>
      </c>
      <c r="E43" t="s">
        <v>397</v>
      </c>
      <c r="F43" t="s">
        <v>725</v>
      </c>
      <c r="G43">
        <v>19530000</v>
      </c>
      <c r="H43">
        <v>19976000</v>
      </c>
    </row>
    <row r="44" spans="2:8" x14ac:dyDescent="0.25">
      <c r="B44" t="str">
        <f t="shared" si="0"/>
        <v>AFGPopulation, total</v>
      </c>
      <c r="C44" t="s">
        <v>230</v>
      </c>
      <c r="D44" t="s">
        <v>0</v>
      </c>
      <c r="E44" t="s">
        <v>398</v>
      </c>
      <c r="F44" t="s">
        <v>726</v>
      </c>
      <c r="G44">
        <v>38042000</v>
      </c>
      <c r="H44">
        <v>38928000</v>
      </c>
    </row>
    <row r="45" spans="2:8" x14ac:dyDescent="0.25">
      <c r="B45" t="str">
        <f t="shared" si="0"/>
        <v>AFGPopulation, female</v>
      </c>
      <c r="C45" t="s">
        <v>230</v>
      </c>
      <c r="D45" t="s">
        <v>0</v>
      </c>
      <c r="E45" t="s">
        <v>396</v>
      </c>
      <c r="F45" t="s">
        <v>727</v>
      </c>
      <c r="G45">
        <v>18512000</v>
      </c>
      <c r="H45">
        <v>18952000</v>
      </c>
    </row>
    <row r="46" spans="2:8" x14ac:dyDescent="0.25">
      <c r="B46" t="str">
        <f t="shared" si="0"/>
        <v>AFGPopulation growth (annual %)</v>
      </c>
      <c r="C46" t="s">
        <v>230</v>
      </c>
      <c r="D46" t="s">
        <v>0</v>
      </c>
      <c r="E46" t="s">
        <v>399</v>
      </c>
      <c r="F46" t="s">
        <v>728</v>
      </c>
      <c r="G46">
        <v>0</v>
      </c>
      <c r="H46">
        <v>0</v>
      </c>
    </row>
    <row r="47" spans="2:8" x14ac:dyDescent="0.25">
      <c r="B47" t="str">
        <f t="shared" si="0"/>
        <v>ALBPopulation ages 0-14, female</v>
      </c>
      <c r="C47" t="s">
        <v>418</v>
      </c>
      <c r="D47" t="s">
        <v>419</v>
      </c>
      <c r="E47" t="s">
        <v>687</v>
      </c>
      <c r="F47" t="s">
        <v>688</v>
      </c>
      <c r="G47">
        <v>235000</v>
      </c>
      <c r="H47">
        <v>234000</v>
      </c>
    </row>
    <row r="48" spans="2:8" x14ac:dyDescent="0.25">
      <c r="B48" t="str">
        <f t="shared" si="0"/>
        <v>ALBPopulation ages 0-14, male</v>
      </c>
      <c r="C48" t="s">
        <v>418</v>
      </c>
      <c r="D48" t="s">
        <v>419</v>
      </c>
      <c r="E48" t="s">
        <v>689</v>
      </c>
      <c r="F48" t="s">
        <v>690</v>
      </c>
      <c r="G48">
        <v>263000</v>
      </c>
      <c r="H48">
        <v>260000</v>
      </c>
    </row>
    <row r="49" spans="2:8" x14ac:dyDescent="0.25">
      <c r="B49" t="str">
        <f t="shared" si="0"/>
        <v>ALBPopulation ages 00-04, female</v>
      </c>
      <c r="C49" t="s">
        <v>418</v>
      </c>
      <c r="D49" t="s">
        <v>419</v>
      </c>
      <c r="E49" t="s">
        <v>362</v>
      </c>
      <c r="F49" t="s">
        <v>691</v>
      </c>
      <c r="G49">
        <v>81000</v>
      </c>
      <c r="H49">
        <v>79000</v>
      </c>
    </row>
    <row r="50" spans="2:8" x14ac:dyDescent="0.25">
      <c r="B50" t="str">
        <f t="shared" si="0"/>
        <v>ALBPopulation ages 00-04, male</v>
      </c>
      <c r="C50" t="s">
        <v>418</v>
      </c>
      <c r="D50" t="s">
        <v>419</v>
      </c>
      <c r="E50" t="s">
        <v>363</v>
      </c>
      <c r="F50" t="s">
        <v>692</v>
      </c>
      <c r="G50">
        <v>88000</v>
      </c>
      <c r="H50">
        <v>86000</v>
      </c>
    </row>
    <row r="51" spans="2:8" x14ac:dyDescent="0.25">
      <c r="B51" t="str">
        <f t="shared" si="0"/>
        <v>ALBPopulation ages 05-09, female</v>
      </c>
      <c r="C51" t="s">
        <v>418</v>
      </c>
      <c r="D51" t="s">
        <v>419</v>
      </c>
      <c r="E51" t="s">
        <v>364</v>
      </c>
      <c r="F51" t="s">
        <v>693</v>
      </c>
      <c r="G51">
        <v>78000</v>
      </c>
      <c r="H51">
        <v>80000</v>
      </c>
    </row>
    <row r="52" spans="2:8" x14ac:dyDescent="0.25">
      <c r="B52" t="str">
        <f t="shared" si="0"/>
        <v>ALBPopulation ages 05-09, male</v>
      </c>
      <c r="C52" t="s">
        <v>418</v>
      </c>
      <c r="D52" t="s">
        <v>419</v>
      </c>
      <c r="E52" t="s">
        <v>365</v>
      </c>
      <c r="F52" t="s">
        <v>694</v>
      </c>
      <c r="G52">
        <v>86000</v>
      </c>
      <c r="H52">
        <v>87000</v>
      </c>
    </row>
    <row r="53" spans="2:8" x14ac:dyDescent="0.25">
      <c r="B53" t="str">
        <f t="shared" si="0"/>
        <v>ALBPopulation ages 10-14, female</v>
      </c>
      <c r="C53" t="s">
        <v>418</v>
      </c>
      <c r="D53" t="s">
        <v>419</v>
      </c>
      <c r="E53" t="s">
        <v>366</v>
      </c>
      <c r="F53" t="s">
        <v>695</v>
      </c>
      <c r="G53">
        <v>77000</v>
      </c>
      <c r="H53">
        <v>75000</v>
      </c>
    </row>
    <row r="54" spans="2:8" x14ac:dyDescent="0.25">
      <c r="B54" t="str">
        <f t="shared" si="0"/>
        <v>ALBPopulation ages 10-14, male</v>
      </c>
      <c r="C54" t="s">
        <v>418</v>
      </c>
      <c r="D54" t="s">
        <v>419</v>
      </c>
      <c r="E54" t="s">
        <v>367</v>
      </c>
      <c r="F54" t="s">
        <v>696</v>
      </c>
      <c r="G54">
        <v>89000</v>
      </c>
      <c r="H54">
        <v>87000</v>
      </c>
    </row>
    <row r="55" spans="2:8" x14ac:dyDescent="0.25">
      <c r="B55" t="str">
        <f t="shared" si="0"/>
        <v>ALBPopulation ages 15-19, female</v>
      </c>
      <c r="C55" t="s">
        <v>418</v>
      </c>
      <c r="D55" t="s">
        <v>419</v>
      </c>
      <c r="E55" t="s">
        <v>368</v>
      </c>
      <c r="F55" t="s">
        <v>697</v>
      </c>
      <c r="G55">
        <v>98000</v>
      </c>
      <c r="H55">
        <v>93000</v>
      </c>
    </row>
    <row r="56" spans="2:8" x14ac:dyDescent="0.25">
      <c r="B56" t="str">
        <f t="shared" si="0"/>
        <v>ALBPopulation ages 15-19, male</v>
      </c>
      <c r="C56" t="s">
        <v>418</v>
      </c>
      <c r="D56" t="s">
        <v>419</v>
      </c>
      <c r="E56" t="s">
        <v>369</v>
      </c>
      <c r="F56" t="s">
        <v>698</v>
      </c>
      <c r="G56">
        <v>109000</v>
      </c>
      <c r="H56">
        <v>106000</v>
      </c>
    </row>
    <row r="57" spans="2:8" x14ac:dyDescent="0.25">
      <c r="B57" t="str">
        <f t="shared" si="0"/>
        <v>ALBPopulation ages 20-24, female</v>
      </c>
      <c r="C57" t="s">
        <v>418</v>
      </c>
      <c r="D57" t="s">
        <v>419</v>
      </c>
      <c r="E57" t="s">
        <v>370</v>
      </c>
      <c r="F57" t="s">
        <v>699</v>
      </c>
      <c r="G57">
        <v>114000</v>
      </c>
      <c r="H57">
        <v>111000</v>
      </c>
    </row>
    <row r="58" spans="2:8" x14ac:dyDescent="0.25">
      <c r="B58" t="str">
        <f t="shared" si="0"/>
        <v>ALBPopulation ages 20-24, male</v>
      </c>
      <c r="C58" t="s">
        <v>418</v>
      </c>
      <c r="D58" t="s">
        <v>419</v>
      </c>
      <c r="E58" t="s">
        <v>371</v>
      </c>
      <c r="F58" t="s">
        <v>700</v>
      </c>
      <c r="G58">
        <v>121000</v>
      </c>
      <c r="H58">
        <v>117000</v>
      </c>
    </row>
    <row r="59" spans="2:8" x14ac:dyDescent="0.25">
      <c r="B59" t="str">
        <f t="shared" si="0"/>
        <v>ALBPopulation ages 25-29, female</v>
      </c>
      <c r="C59" t="s">
        <v>418</v>
      </c>
      <c r="D59" t="s">
        <v>419</v>
      </c>
      <c r="E59" t="s">
        <v>372</v>
      </c>
      <c r="F59" t="s">
        <v>701</v>
      </c>
      <c r="G59">
        <v>114000</v>
      </c>
      <c r="H59">
        <v>115000</v>
      </c>
    </row>
    <row r="60" spans="2:8" x14ac:dyDescent="0.25">
      <c r="B60" t="str">
        <f t="shared" si="0"/>
        <v>ALBPopulation ages 25-29, male</v>
      </c>
      <c r="C60" t="s">
        <v>418</v>
      </c>
      <c r="D60" t="s">
        <v>419</v>
      </c>
      <c r="E60" t="s">
        <v>373</v>
      </c>
      <c r="F60" t="s">
        <v>702</v>
      </c>
      <c r="G60">
        <v>131000</v>
      </c>
      <c r="H60">
        <v>129000</v>
      </c>
    </row>
    <row r="61" spans="2:8" x14ac:dyDescent="0.25">
      <c r="B61" t="str">
        <f t="shared" si="0"/>
        <v>ALBPopulation ages 30-34, female</v>
      </c>
      <c r="C61" t="s">
        <v>418</v>
      </c>
      <c r="D61" t="s">
        <v>419</v>
      </c>
      <c r="E61" t="s">
        <v>374</v>
      </c>
      <c r="F61" t="s">
        <v>703</v>
      </c>
      <c r="G61">
        <v>97000</v>
      </c>
      <c r="H61">
        <v>101000</v>
      </c>
    </row>
    <row r="62" spans="2:8" x14ac:dyDescent="0.25">
      <c r="B62" t="str">
        <f t="shared" si="0"/>
        <v>ALBPopulation ages 30-34, male</v>
      </c>
      <c r="C62" t="s">
        <v>418</v>
      </c>
      <c r="D62" t="s">
        <v>419</v>
      </c>
      <c r="E62" t="s">
        <v>375</v>
      </c>
      <c r="F62" t="s">
        <v>704</v>
      </c>
      <c r="G62">
        <v>118000</v>
      </c>
      <c r="H62">
        <v>122000</v>
      </c>
    </row>
    <row r="63" spans="2:8" x14ac:dyDescent="0.25">
      <c r="B63" t="str">
        <f t="shared" si="0"/>
        <v>ALBPopulation ages 35-39, female</v>
      </c>
      <c r="C63" t="s">
        <v>418</v>
      </c>
      <c r="D63" t="s">
        <v>419</v>
      </c>
      <c r="E63" t="s">
        <v>376</v>
      </c>
      <c r="F63" t="s">
        <v>705</v>
      </c>
      <c r="G63">
        <v>74000</v>
      </c>
      <c r="H63">
        <v>76000</v>
      </c>
    </row>
    <row r="64" spans="2:8" x14ac:dyDescent="0.25">
      <c r="B64" t="str">
        <f t="shared" si="0"/>
        <v>ALBPopulation ages 35-39, male</v>
      </c>
      <c r="C64" t="s">
        <v>418</v>
      </c>
      <c r="D64" t="s">
        <v>419</v>
      </c>
      <c r="E64" t="s">
        <v>377</v>
      </c>
      <c r="F64" t="s">
        <v>706</v>
      </c>
      <c r="G64">
        <v>86000</v>
      </c>
      <c r="H64">
        <v>90000</v>
      </c>
    </row>
    <row r="65" spans="2:8" x14ac:dyDescent="0.25">
      <c r="B65" t="str">
        <f t="shared" si="0"/>
        <v>ALBPopulation ages 40-44, female</v>
      </c>
      <c r="C65" t="s">
        <v>418</v>
      </c>
      <c r="D65" t="s">
        <v>419</v>
      </c>
      <c r="E65" t="s">
        <v>378</v>
      </c>
      <c r="F65" t="s">
        <v>707</v>
      </c>
      <c r="G65">
        <v>79000</v>
      </c>
      <c r="H65">
        <v>76000</v>
      </c>
    </row>
    <row r="66" spans="2:8" x14ac:dyDescent="0.25">
      <c r="B66" t="str">
        <f t="shared" si="0"/>
        <v>ALBPopulation ages 40-44, male</v>
      </c>
      <c r="C66" t="s">
        <v>418</v>
      </c>
      <c r="D66" t="s">
        <v>419</v>
      </c>
      <c r="E66" t="s">
        <v>379</v>
      </c>
      <c r="F66" t="s">
        <v>708</v>
      </c>
      <c r="G66">
        <v>76000</v>
      </c>
      <c r="H66">
        <v>76000</v>
      </c>
    </row>
    <row r="67" spans="2:8" x14ac:dyDescent="0.25">
      <c r="B67" t="str">
        <f t="shared" si="0"/>
        <v>ALBPopulation ages 45-49, female</v>
      </c>
      <c r="C67" t="s">
        <v>418</v>
      </c>
      <c r="D67" t="s">
        <v>419</v>
      </c>
      <c r="E67" t="s">
        <v>380</v>
      </c>
      <c r="F67" t="s">
        <v>709</v>
      </c>
      <c r="G67">
        <v>92000</v>
      </c>
      <c r="H67">
        <v>90000</v>
      </c>
    </row>
    <row r="68" spans="2:8" x14ac:dyDescent="0.25">
      <c r="B68" t="str">
        <f t="shared" si="0"/>
        <v>ALBPopulation ages 45-49, male</v>
      </c>
      <c r="C68" t="s">
        <v>418</v>
      </c>
      <c r="D68" t="s">
        <v>419</v>
      </c>
      <c r="E68" t="s">
        <v>381</v>
      </c>
      <c r="F68" t="s">
        <v>710</v>
      </c>
      <c r="G68">
        <v>82000</v>
      </c>
      <c r="H68">
        <v>80000</v>
      </c>
    </row>
    <row r="69" spans="2:8" x14ac:dyDescent="0.25">
      <c r="B69" t="str">
        <f t="shared" si="0"/>
        <v>ALBPopulation ages 50-54, female</v>
      </c>
      <c r="C69" t="s">
        <v>418</v>
      </c>
      <c r="D69" t="s">
        <v>419</v>
      </c>
      <c r="E69" t="s">
        <v>382</v>
      </c>
      <c r="F69" t="s">
        <v>711</v>
      </c>
      <c r="G69">
        <v>97000</v>
      </c>
      <c r="H69">
        <v>95000</v>
      </c>
    </row>
    <row r="70" spans="2:8" x14ac:dyDescent="0.25">
      <c r="B70" t="str">
        <f t="shared" si="0"/>
        <v>ALBPopulation ages 50-54, male</v>
      </c>
      <c r="C70" t="s">
        <v>418</v>
      </c>
      <c r="D70" t="s">
        <v>419</v>
      </c>
      <c r="E70" t="s">
        <v>383</v>
      </c>
      <c r="F70" t="s">
        <v>712</v>
      </c>
      <c r="G70">
        <v>91000</v>
      </c>
      <c r="H70">
        <v>88000</v>
      </c>
    </row>
    <row r="71" spans="2:8" x14ac:dyDescent="0.25">
      <c r="B71" t="str">
        <f t="shared" ref="B71:B134" si="1">CONCATENATE(D71,E71)</f>
        <v>ALBPopulation ages 55-59, male</v>
      </c>
      <c r="C71" t="s">
        <v>418</v>
      </c>
      <c r="D71" t="s">
        <v>419</v>
      </c>
      <c r="E71" t="s">
        <v>385</v>
      </c>
      <c r="F71" t="s">
        <v>713</v>
      </c>
      <c r="G71">
        <v>99000</v>
      </c>
      <c r="H71">
        <v>98000</v>
      </c>
    </row>
    <row r="72" spans="2:8" x14ac:dyDescent="0.25">
      <c r="B72" t="str">
        <f t="shared" si="1"/>
        <v>ALBPopulation ages 55-59, female</v>
      </c>
      <c r="C72" t="s">
        <v>418</v>
      </c>
      <c r="D72" t="s">
        <v>419</v>
      </c>
      <c r="E72" t="s">
        <v>384</v>
      </c>
      <c r="F72" t="s">
        <v>714</v>
      </c>
      <c r="G72">
        <v>103000</v>
      </c>
      <c r="H72">
        <v>103000</v>
      </c>
    </row>
    <row r="73" spans="2:8" x14ac:dyDescent="0.25">
      <c r="B73" t="str">
        <f t="shared" si="1"/>
        <v>ALBPopulation ages 65-69, male</v>
      </c>
      <c r="C73" t="s">
        <v>418</v>
      </c>
      <c r="D73" t="s">
        <v>419</v>
      </c>
      <c r="E73" t="s">
        <v>389</v>
      </c>
      <c r="F73" t="s">
        <v>715</v>
      </c>
      <c r="G73">
        <v>67000</v>
      </c>
      <c r="H73">
        <v>70000</v>
      </c>
    </row>
    <row r="74" spans="2:8" x14ac:dyDescent="0.25">
      <c r="B74" t="str">
        <f t="shared" si="1"/>
        <v>ALBPopulation ages 65-69, female</v>
      </c>
      <c r="C74" t="s">
        <v>418</v>
      </c>
      <c r="D74" t="s">
        <v>419</v>
      </c>
      <c r="E74" t="s">
        <v>388</v>
      </c>
      <c r="F74" t="s">
        <v>716</v>
      </c>
      <c r="G74">
        <v>70000</v>
      </c>
      <c r="H74">
        <v>74000</v>
      </c>
    </row>
    <row r="75" spans="2:8" x14ac:dyDescent="0.25">
      <c r="B75" t="str">
        <f t="shared" si="1"/>
        <v>ALBPopulation ages 60-64, female</v>
      </c>
      <c r="C75" t="s">
        <v>418</v>
      </c>
      <c r="D75" t="s">
        <v>419</v>
      </c>
      <c r="E75" t="s">
        <v>386</v>
      </c>
      <c r="F75" t="s">
        <v>717</v>
      </c>
      <c r="G75">
        <v>92000</v>
      </c>
      <c r="H75">
        <v>95000</v>
      </c>
    </row>
    <row r="76" spans="2:8" x14ac:dyDescent="0.25">
      <c r="B76" t="str">
        <f t="shared" si="1"/>
        <v>ALBPopulation ages 60-64, male</v>
      </c>
      <c r="C76" t="s">
        <v>418</v>
      </c>
      <c r="D76" t="s">
        <v>419</v>
      </c>
      <c r="E76" t="s">
        <v>387</v>
      </c>
      <c r="F76" t="s">
        <v>718</v>
      </c>
      <c r="G76">
        <v>88000</v>
      </c>
      <c r="H76">
        <v>91000</v>
      </c>
    </row>
    <row r="77" spans="2:8" x14ac:dyDescent="0.25">
      <c r="B77" t="str">
        <f t="shared" si="1"/>
        <v>ALBPopulation ages 70-74, female</v>
      </c>
      <c r="C77" t="s">
        <v>418</v>
      </c>
      <c r="D77" t="s">
        <v>419</v>
      </c>
      <c r="E77" t="s">
        <v>390</v>
      </c>
      <c r="F77" t="s">
        <v>719</v>
      </c>
      <c r="G77">
        <v>54000</v>
      </c>
      <c r="H77">
        <v>55000</v>
      </c>
    </row>
    <row r="78" spans="2:8" x14ac:dyDescent="0.25">
      <c r="B78" t="str">
        <f t="shared" si="1"/>
        <v>ALBPopulation ages 70-74, male</v>
      </c>
      <c r="C78" t="s">
        <v>418</v>
      </c>
      <c r="D78" t="s">
        <v>419</v>
      </c>
      <c r="E78" t="s">
        <v>391</v>
      </c>
      <c r="F78" t="s">
        <v>720</v>
      </c>
      <c r="G78">
        <v>51000</v>
      </c>
      <c r="H78">
        <v>52000</v>
      </c>
    </row>
    <row r="79" spans="2:8" x14ac:dyDescent="0.25">
      <c r="B79" t="str">
        <f t="shared" si="1"/>
        <v>ALBPopulation ages 75-79, female</v>
      </c>
      <c r="C79" t="s">
        <v>418</v>
      </c>
      <c r="D79" t="s">
        <v>419</v>
      </c>
      <c r="E79" t="s">
        <v>392</v>
      </c>
      <c r="F79" t="s">
        <v>721</v>
      </c>
      <c r="G79">
        <v>44000</v>
      </c>
      <c r="H79">
        <v>45000</v>
      </c>
    </row>
    <row r="80" spans="2:8" x14ac:dyDescent="0.25">
      <c r="B80" t="str">
        <f t="shared" si="1"/>
        <v>ALBPopulation ages 75-79, male</v>
      </c>
      <c r="C80" t="s">
        <v>418</v>
      </c>
      <c r="D80" t="s">
        <v>419</v>
      </c>
      <c r="E80" t="s">
        <v>393</v>
      </c>
      <c r="F80" t="s">
        <v>722</v>
      </c>
      <c r="G80">
        <v>40000</v>
      </c>
      <c r="H80">
        <v>41000</v>
      </c>
    </row>
    <row r="81" spans="2:8" x14ac:dyDescent="0.25">
      <c r="B81" t="str">
        <f t="shared" si="1"/>
        <v>ALBPopulation ages 80 and above, female</v>
      </c>
      <c r="C81" t="s">
        <v>418</v>
      </c>
      <c r="D81" t="s">
        <v>419</v>
      </c>
      <c r="E81" t="s">
        <v>394</v>
      </c>
      <c r="F81" t="s">
        <v>723</v>
      </c>
      <c r="G81">
        <v>44000</v>
      </c>
      <c r="H81">
        <v>45000</v>
      </c>
    </row>
    <row r="82" spans="2:8" x14ac:dyDescent="0.25">
      <c r="B82" t="str">
        <f t="shared" si="1"/>
        <v>ALBPopulation ages 80 and above, male</v>
      </c>
      <c r="C82" t="s">
        <v>418</v>
      </c>
      <c r="D82" t="s">
        <v>419</v>
      </c>
      <c r="E82" t="s">
        <v>395</v>
      </c>
      <c r="F82" t="s">
        <v>724</v>
      </c>
      <c r="G82">
        <v>37000</v>
      </c>
      <c r="H82">
        <v>39000</v>
      </c>
    </row>
    <row r="83" spans="2:8" x14ac:dyDescent="0.25">
      <c r="B83" t="str">
        <f t="shared" si="1"/>
        <v>ALBPopulation, male</v>
      </c>
      <c r="C83" t="s">
        <v>418</v>
      </c>
      <c r="D83" t="s">
        <v>419</v>
      </c>
      <c r="E83" t="s">
        <v>397</v>
      </c>
      <c r="F83" t="s">
        <v>725</v>
      </c>
      <c r="G83">
        <v>1460000</v>
      </c>
      <c r="H83">
        <v>1459000</v>
      </c>
    </row>
    <row r="84" spans="2:8" x14ac:dyDescent="0.25">
      <c r="B84" t="str">
        <f t="shared" si="1"/>
        <v>ALBPopulation, total</v>
      </c>
      <c r="C84" t="s">
        <v>418</v>
      </c>
      <c r="D84" t="s">
        <v>419</v>
      </c>
      <c r="E84" t="s">
        <v>398</v>
      </c>
      <c r="F84" t="s">
        <v>726</v>
      </c>
      <c r="G84">
        <v>2867000</v>
      </c>
      <c r="H84">
        <v>2867000</v>
      </c>
    </row>
    <row r="85" spans="2:8" x14ac:dyDescent="0.25">
      <c r="B85" t="str">
        <f t="shared" si="1"/>
        <v>ALBPopulation, female</v>
      </c>
      <c r="C85" t="s">
        <v>418</v>
      </c>
      <c r="D85" t="s">
        <v>419</v>
      </c>
      <c r="E85" t="s">
        <v>396</v>
      </c>
      <c r="F85" t="s">
        <v>727</v>
      </c>
      <c r="G85">
        <v>1407000</v>
      </c>
      <c r="H85">
        <v>1408000</v>
      </c>
    </row>
    <row r="86" spans="2:8" x14ac:dyDescent="0.25">
      <c r="B86" t="str">
        <f t="shared" si="1"/>
        <v>ALBPopulation growth (annual %)</v>
      </c>
      <c r="C86" t="s">
        <v>418</v>
      </c>
      <c r="D86" t="s">
        <v>419</v>
      </c>
      <c r="E86" t="s">
        <v>399</v>
      </c>
      <c r="F86" t="s">
        <v>728</v>
      </c>
      <c r="G86">
        <v>0</v>
      </c>
      <c r="H86">
        <v>0</v>
      </c>
    </row>
    <row r="87" spans="2:8" x14ac:dyDescent="0.25">
      <c r="B87" t="str">
        <f t="shared" si="1"/>
        <v>DZAPopulation ages 0-14, female</v>
      </c>
      <c r="C87" t="s">
        <v>420</v>
      </c>
      <c r="D87" t="s">
        <v>37</v>
      </c>
      <c r="E87" t="s">
        <v>687</v>
      </c>
      <c r="F87" t="s">
        <v>688</v>
      </c>
      <c r="G87">
        <v>6439000</v>
      </c>
      <c r="H87">
        <v>6609000</v>
      </c>
    </row>
    <row r="88" spans="2:8" x14ac:dyDescent="0.25">
      <c r="B88" t="str">
        <f t="shared" si="1"/>
        <v>DZAPopulation ages 0-14, male</v>
      </c>
      <c r="C88" t="s">
        <v>420</v>
      </c>
      <c r="D88" t="s">
        <v>37</v>
      </c>
      <c r="E88" t="s">
        <v>689</v>
      </c>
      <c r="F88" t="s">
        <v>690</v>
      </c>
      <c r="G88">
        <v>6713000</v>
      </c>
      <c r="H88">
        <v>6890000</v>
      </c>
    </row>
    <row r="89" spans="2:8" x14ac:dyDescent="0.25">
      <c r="B89" t="str">
        <f t="shared" si="1"/>
        <v>DZAPopulation ages 00-04, female</v>
      </c>
      <c r="C89" t="s">
        <v>420</v>
      </c>
      <c r="D89" t="s">
        <v>37</v>
      </c>
      <c r="E89" t="s">
        <v>362</v>
      </c>
      <c r="F89" t="s">
        <v>691</v>
      </c>
      <c r="G89">
        <v>2459000</v>
      </c>
      <c r="H89">
        <v>2467000</v>
      </c>
    </row>
    <row r="90" spans="2:8" x14ac:dyDescent="0.25">
      <c r="B90" t="str">
        <f t="shared" si="1"/>
        <v>DZAPopulation ages 00-04, male</v>
      </c>
      <c r="C90" t="s">
        <v>420</v>
      </c>
      <c r="D90" t="s">
        <v>37</v>
      </c>
      <c r="E90" t="s">
        <v>363</v>
      </c>
      <c r="F90" t="s">
        <v>692</v>
      </c>
      <c r="G90">
        <v>2566000</v>
      </c>
      <c r="H90">
        <v>2574000</v>
      </c>
    </row>
    <row r="91" spans="2:8" x14ac:dyDescent="0.25">
      <c r="B91" t="str">
        <f t="shared" si="1"/>
        <v>DZAPopulation ages 05-09, female</v>
      </c>
      <c r="C91" t="s">
        <v>420</v>
      </c>
      <c r="D91" t="s">
        <v>37</v>
      </c>
      <c r="E91" t="s">
        <v>364</v>
      </c>
      <c r="F91" t="s">
        <v>693</v>
      </c>
      <c r="G91">
        <v>2207000</v>
      </c>
      <c r="H91">
        <v>2269000</v>
      </c>
    </row>
    <row r="92" spans="2:8" x14ac:dyDescent="0.25">
      <c r="B92" t="str">
        <f t="shared" si="1"/>
        <v>DZAPopulation ages 05-09, male</v>
      </c>
      <c r="C92" t="s">
        <v>420</v>
      </c>
      <c r="D92" t="s">
        <v>37</v>
      </c>
      <c r="E92" t="s">
        <v>365</v>
      </c>
      <c r="F92" t="s">
        <v>694</v>
      </c>
      <c r="G92">
        <v>2301000</v>
      </c>
      <c r="H92">
        <v>2367000</v>
      </c>
    </row>
    <row r="93" spans="2:8" x14ac:dyDescent="0.25">
      <c r="B93" t="str">
        <f t="shared" si="1"/>
        <v>DZAPopulation ages 10-14, female</v>
      </c>
      <c r="C93" t="s">
        <v>420</v>
      </c>
      <c r="D93" t="s">
        <v>37</v>
      </c>
      <c r="E93" t="s">
        <v>366</v>
      </c>
      <c r="F93" t="s">
        <v>695</v>
      </c>
      <c r="G93">
        <v>1773000</v>
      </c>
      <c r="H93">
        <v>1872000</v>
      </c>
    </row>
    <row r="94" spans="2:8" x14ac:dyDescent="0.25">
      <c r="B94" t="str">
        <f t="shared" si="1"/>
        <v>DZAPopulation ages 10-14, male</v>
      </c>
      <c r="C94" t="s">
        <v>420</v>
      </c>
      <c r="D94" t="s">
        <v>37</v>
      </c>
      <c r="E94" t="s">
        <v>367</v>
      </c>
      <c r="F94" t="s">
        <v>696</v>
      </c>
      <c r="G94">
        <v>1846000</v>
      </c>
      <c r="H94">
        <v>1949000</v>
      </c>
    </row>
    <row r="95" spans="2:8" x14ac:dyDescent="0.25">
      <c r="B95" t="str">
        <f t="shared" si="1"/>
        <v>DZAPopulation ages 15-19, female</v>
      </c>
      <c r="C95" t="s">
        <v>420</v>
      </c>
      <c r="D95" t="s">
        <v>37</v>
      </c>
      <c r="E95" t="s">
        <v>368</v>
      </c>
      <c r="F95" t="s">
        <v>697</v>
      </c>
      <c r="G95">
        <v>1394000</v>
      </c>
      <c r="H95">
        <v>1426000</v>
      </c>
    </row>
    <row r="96" spans="2:8" x14ac:dyDescent="0.25">
      <c r="B96" t="str">
        <f t="shared" si="1"/>
        <v>DZAPopulation ages 15-19, male</v>
      </c>
      <c r="C96" t="s">
        <v>420</v>
      </c>
      <c r="D96" t="s">
        <v>37</v>
      </c>
      <c r="E96" t="s">
        <v>369</v>
      </c>
      <c r="F96" t="s">
        <v>698</v>
      </c>
      <c r="G96">
        <v>1452000</v>
      </c>
      <c r="H96">
        <v>1484000</v>
      </c>
    </row>
    <row r="97" spans="2:8" x14ac:dyDescent="0.25">
      <c r="B97" t="str">
        <f t="shared" si="1"/>
        <v>DZAPopulation ages 20-24, female</v>
      </c>
      <c r="C97" t="s">
        <v>420</v>
      </c>
      <c r="D97" t="s">
        <v>37</v>
      </c>
      <c r="E97" t="s">
        <v>370</v>
      </c>
      <c r="F97" t="s">
        <v>699</v>
      </c>
      <c r="G97">
        <v>1522000</v>
      </c>
      <c r="H97">
        <v>1469000</v>
      </c>
    </row>
    <row r="98" spans="2:8" x14ac:dyDescent="0.25">
      <c r="B98" t="str">
        <f t="shared" si="1"/>
        <v>DZAPopulation ages 20-24, male</v>
      </c>
      <c r="C98" t="s">
        <v>420</v>
      </c>
      <c r="D98" t="s">
        <v>37</v>
      </c>
      <c r="E98" t="s">
        <v>371</v>
      </c>
      <c r="F98" t="s">
        <v>700</v>
      </c>
      <c r="G98">
        <v>1584000</v>
      </c>
      <c r="H98">
        <v>1531000</v>
      </c>
    </row>
    <row r="99" spans="2:8" x14ac:dyDescent="0.25">
      <c r="B99" t="str">
        <f t="shared" si="1"/>
        <v>DZAPopulation ages 25-29, female</v>
      </c>
      <c r="C99" t="s">
        <v>420</v>
      </c>
      <c r="D99" t="s">
        <v>37</v>
      </c>
      <c r="E99" t="s">
        <v>372</v>
      </c>
      <c r="F99" t="s">
        <v>701</v>
      </c>
      <c r="G99">
        <v>1804000</v>
      </c>
      <c r="H99">
        <v>1762000</v>
      </c>
    </row>
    <row r="100" spans="2:8" x14ac:dyDescent="0.25">
      <c r="B100" t="str">
        <f t="shared" si="1"/>
        <v>DZAPopulation ages 25-29, male</v>
      </c>
      <c r="C100" t="s">
        <v>420</v>
      </c>
      <c r="D100" t="s">
        <v>37</v>
      </c>
      <c r="E100" t="s">
        <v>373</v>
      </c>
      <c r="F100" t="s">
        <v>702</v>
      </c>
      <c r="G100">
        <v>1850000</v>
      </c>
      <c r="H100">
        <v>1812000</v>
      </c>
    </row>
    <row r="101" spans="2:8" x14ac:dyDescent="0.25">
      <c r="B101" t="str">
        <f t="shared" si="1"/>
        <v>DZAPopulation ages 30-34, female</v>
      </c>
      <c r="C101" t="s">
        <v>420</v>
      </c>
      <c r="D101" t="s">
        <v>37</v>
      </c>
      <c r="E101" t="s">
        <v>374</v>
      </c>
      <c r="F101" t="s">
        <v>703</v>
      </c>
      <c r="G101">
        <v>1850000</v>
      </c>
      <c r="H101">
        <v>1850000</v>
      </c>
    </row>
    <row r="102" spans="2:8" x14ac:dyDescent="0.25">
      <c r="B102" t="str">
        <f t="shared" si="1"/>
        <v>DZAPopulation ages 30-34, male</v>
      </c>
      <c r="C102" t="s">
        <v>420</v>
      </c>
      <c r="D102" t="s">
        <v>37</v>
      </c>
      <c r="E102" t="s">
        <v>375</v>
      </c>
      <c r="F102" t="s">
        <v>704</v>
      </c>
      <c r="G102">
        <v>1875000</v>
      </c>
      <c r="H102">
        <v>1878000</v>
      </c>
    </row>
    <row r="103" spans="2:8" x14ac:dyDescent="0.25">
      <c r="B103" t="str">
        <f t="shared" si="1"/>
        <v>DZAPopulation ages 35-39, female</v>
      </c>
      <c r="C103" t="s">
        <v>420</v>
      </c>
      <c r="D103" t="s">
        <v>37</v>
      </c>
      <c r="E103" t="s">
        <v>376</v>
      </c>
      <c r="F103" t="s">
        <v>705</v>
      </c>
      <c r="G103">
        <v>1726000</v>
      </c>
      <c r="H103">
        <v>1765000</v>
      </c>
    </row>
    <row r="104" spans="2:8" x14ac:dyDescent="0.25">
      <c r="B104" t="str">
        <f t="shared" si="1"/>
        <v>DZAPopulation ages 35-39, male</v>
      </c>
      <c r="C104" t="s">
        <v>420</v>
      </c>
      <c r="D104" t="s">
        <v>37</v>
      </c>
      <c r="E104" t="s">
        <v>377</v>
      </c>
      <c r="F104" t="s">
        <v>706</v>
      </c>
      <c r="G104">
        <v>1743000</v>
      </c>
      <c r="H104">
        <v>1783000</v>
      </c>
    </row>
    <row r="105" spans="2:8" x14ac:dyDescent="0.25">
      <c r="B105" t="str">
        <f t="shared" si="1"/>
        <v>DZAPopulation ages 40-44, female</v>
      </c>
      <c r="C105" t="s">
        <v>420</v>
      </c>
      <c r="D105" t="s">
        <v>37</v>
      </c>
      <c r="E105" t="s">
        <v>378</v>
      </c>
      <c r="F105" t="s">
        <v>707</v>
      </c>
      <c r="G105">
        <v>1446000</v>
      </c>
      <c r="H105">
        <v>1503000</v>
      </c>
    </row>
    <row r="106" spans="2:8" x14ac:dyDescent="0.25">
      <c r="B106" t="str">
        <f t="shared" si="1"/>
        <v>DZAPopulation ages 40-44, male</v>
      </c>
      <c r="C106" t="s">
        <v>420</v>
      </c>
      <c r="D106" t="s">
        <v>37</v>
      </c>
      <c r="E106" t="s">
        <v>379</v>
      </c>
      <c r="F106" t="s">
        <v>708</v>
      </c>
      <c r="G106">
        <v>1452000</v>
      </c>
      <c r="H106">
        <v>1511000</v>
      </c>
    </row>
    <row r="107" spans="2:8" x14ac:dyDescent="0.25">
      <c r="B107" t="str">
        <f t="shared" si="1"/>
        <v>DZAPopulation ages 45-49, female</v>
      </c>
      <c r="C107" t="s">
        <v>420</v>
      </c>
      <c r="D107" t="s">
        <v>37</v>
      </c>
      <c r="E107" t="s">
        <v>380</v>
      </c>
      <c r="F107" t="s">
        <v>709</v>
      </c>
      <c r="G107">
        <v>1179000</v>
      </c>
      <c r="H107">
        <v>1220000</v>
      </c>
    </row>
    <row r="108" spans="2:8" x14ac:dyDescent="0.25">
      <c r="B108" t="str">
        <f t="shared" si="1"/>
        <v>DZAPopulation ages 45-49, male</v>
      </c>
      <c r="C108" t="s">
        <v>420</v>
      </c>
      <c r="D108" t="s">
        <v>37</v>
      </c>
      <c r="E108" t="s">
        <v>381</v>
      </c>
      <c r="F108" t="s">
        <v>710</v>
      </c>
      <c r="G108">
        <v>1171000</v>
      </c>
      <c r="H108">
        <v>1214000</v>
      </c>
    </row>
    <row r="109" spans="2:8" x14ac:dyDescent="0.25">
      <c r="B109" t="str">
        <f t="shared" si="1"/>
        <v>DZAPopulation ages 50-54, female</v>
      </c>
      <c r="C109" t="s">
        <v>420</v>
      </c>
      <c r="D109" t="s">
        <v>37</v>
      </c>
      <c r="E109" t="s">
        <v>382</v>
      </c>
      <c r="F109" t="s">
        <v>711</v>
      </c>
      <c r="G109">
        <v>1006000</v>
      </c>
      <c r="H109">
        <v>1035000</v>
      </c>
    </row>
    <row r="110" spans="2:8" x14ac:dyDescent="0.25">
      <c r="B110" t="str">
        <f t="shared" si="1"/>
        <v>DZAPopulation ages 50-54, male</v>
      </c>
      <c r="C110" t="s">
        <v>420</v>
      </c>
      <c r="D110" t="s">
        <v>37</v>
      </c>
      <c r="E110" t="s">
        <v>383</v>
      </c>
      <c r="F110" t="s">
        <v>712</v>
      </c>
      <c r="G110">
        <v>999000</v>
      </c>
      <c r="H110">
        <v>1027000</v>
      </c>
    </row>
    <row r="111" spans="2:8" x14ac:dyDescent="0.25">
      <c r="B111" t="str">
        <f t="shared" si="1"/>
        <v>DZAPopulation ages 55-59, male</v>
      </c>
      <c r="C111" t="s">
        <v>420</v>
      </c>
      <c r="D111" t="s">
        <v>37</v>
      </c>
      <c r="E111" t="s">
        <v>385</v>
      </c>
      <c r="F111" t="s">
        <v>713</v>
      </c>
      <c r="G111">
        <v>840000</v>
      </c>
      <c r="H111">
        <v>868000</v>
      </c>
    </row>
    <row r="112" spans="2:8" x14ac:dyDescent="0.25">
      <c r="B112" t="str">
        <f t="shared" si="1"/>
        <v>DZAPopulation ages 55-59, female</v>
      </c>
      <c r="C112" t="s">
        <v>420</v>
      </c>
      <c r="D112" t="s">
        <v>37</v>
      </c>
      <c r="E112" t="s">
        <v>384</v>
      </c>
      <c r="F112" t="s">
        <v>714</v>
      </c>
      <c r="G112">
        <v>838000</v>
      </c>
      <c r="H112">
        <v>870000</v>
      </c>
    </row>
    <row r="113" spans="2:8" x14ac:dyDescent="0.25">
      <c r="B113" t="str">
        <f t="shared" si="1"/>
        <v>DZAPopulation ages 65-69, male</v>
      </c>
      <c r="C113" t="s">
        <v>420</v>
      </c>
      <c r="D113" t="s">
        <v>37</v>
      </c>
      <c r="E113" t="s">
        <v>389</v>
      </c>
      <c r="F113" t="s">
        <v>715</v>
      </c>
      <c r="G113">
        <v>553000</v>
      </c>
      <c r="H113">
        <v>583000</v>
      </c>
    </row>
    <row r="114" spans="2:8" x14ac:dyDescent="0.25">
      <c r="B114" t="str">
        <f t="shared" si="1"/>
        <v>DZAPopulation ages 65-69, female</v>
      </c>
      <c r="C114" t="s">
        <v>420</v>
      </c>
      <c r="D114" t="s">
        <v>37</v>
      </c>
      <c r="E114" t="s">
        <v>388</v>
      </c>
      <c r="F114" t="s">
        <v>716</v>
      </c>
      <c r="G114">
        <v>531000</v>
      </c>
      <c r="H114">
        <v>560000</v>
      </c>
    </row>
    <row r="115" spans="2:8" x14ac:dyDescent="0.25">
      <c r="B115" t="str">
        <f t="shared" si="1"/>
        <v>DZAPopulation ages 60-64, female</v>
      </c>
      <c r="C115" t="s">
        <v>420</v>
      </c>
      <c r="D115" t="s">
        <v>37</v>
      </c>
      <c r="E115" t="s">
        <v>386</v>
      </c>
      <c r="F115" t="s">
        <v>717</v>
      </c>
      <c r="G115">
        <v>661000</v>
      </c>
      <c r="H115">
        <v>684000</v>
      </c>
    </row>
    <row r="116" spans="2:8" x14ac:dyDescent="0.25">
      <c r="B116" t="str">
        <f t="shared" si="1"/>
        <v>DZAPopulation ages 60-64, male</v>
      </c>
      <c r="C116" t="s">
        <v>420</v>
      </c>
      <c r="D116" t="s">
        <v>37</v>
      </c>
      <c r="E116" t="s">
        <v>387</v>
      </c>
      <c r="F116" t="s">
        <v>718</v>
      </c>
      <c r="G116">
        <v>686000</v>
      </c>
      <c r="H116">
        <v>703000</v>
      </c>
    </row>
    <row r="117" spans="2:8" x14ac:dyDescent="0.25">
      <c r="B117" t="str">
        <f t="shared" si="1"/>
        <v>DZAPopulation ages 70-74, female</v>
      </c>
      <c r="C117" t="s">
        <v>420</v>
      </c>
      <c r="D117" t="s">
        <v>37</v>
      </c>
      <c r="E117" t="s">
        <v>390</v>
      </c>
      <c r="F117" t="s">
        <v>719</v>
      </c>
      <c r="G117">
        <v>344000</v>
      </c>
      <c r="H117">
        <v>364000</v>
      </c>
    </row>
    <row r="118" spans="2:8" x14ac:dyDescent="0.25">
      <c r="B118" t="str">
        <f t="shared" si="1"/>
        <v>DZAPopulation ages 70-74, male</v>
      </c>
      <c r="C118" t="s">
        <v>420</v>
      </c>
      <c r="D118" t="s">
        <v>37</v>
      </c>
      <c r="E118" t="s">
        <v>391</v>
      </c>
      <c r="F118" t="s">
        <v>720</v>
      </c>
      <c r="G118">
        <v>335000</v>
      </c>
      <c r="H118">
        <v>360000</v>
      </c>
    </row>
    <row r="119" spans="2:8" x14ac:dyDescent="0.25">
      <c r="B119" t="str">
        <f t="shared" si="1"/>
        <v>DZAPopulation ages 75-79, female</v>
      </c>
      <c r="C119" t="s">
        <v>420</v>
      </c>
      <c r="D119" t="s">
        <v>37</v>
      </c>
      <c r="E119" t="s">
        <v>392</v>
      </c>
      <c r="F119" t="s">
        <v>721</v>
      </c>
      <c r="G119">
        <v>266000</v>
      </c>
      <c r="H119">
        <v>272000</v>
      </c>
    </row>
    <row r="120" spans="2:8" x14ac:dyDescent="0.25">
      <c r="B120" t="str">
        <f t="shared" si="1"/>
        <v>DZAPopulation ages 75-79, male</v>
      </c>
      <c r="C120" t="s">
        <v>420</v>
      </c>
      <c r="D120" t="s">
        <v>37</v>
      </c>
      <c r="E120" t="s">
        <v>393</v>
      </c>
      <c r="F120" t="s">
        <v>722</v>
      </c>
      <c r="G120">
        <v>234000</v>
      </c>
      <c r="H120">
        <v>242000</v>
      </c>
    </row>
    <row r="121" spans="2:8" x14ac:dyDescent="0.25">
      <c r="B121" t="str">
        <f t="shared" si="1"/>
        <v>DZAPopulation ages 80 and above, female</v>
      </c>
      <c r="C121" t="s">
        <v>420</v>
      </c>
      <c r="D121" t="s">
        <v>37</v>
      </c>
      <c r="E121" t="s">
        <v>394</v>
      </c>
      <c r="F121" t="s">
        <v>723</v>
      </c>
      <c r="G121">
        <v>297000</v>
      </c>
      <c r="H121">
        <v>308000</v>
      </c>
    </row>
    <row r="122" spans="2:8" x14ac:dyDescent="0.25">
      <c r="B122" t="str">
        <f t="shared" si="1"/>
        <v>DZAPopulation ages 80 and above, male</v>
      </c>
      <c r="C122" t="s">
        <v>420</v>
      </c>
      <c r="D122" t="s">
        <v>37</v>
      </c>
      <c r="E122" t="s">
        <v>395</v>
      </c>
      <c r="F122" t="s">
        <v>724</v>
      </c>
      <c r="G122">
        <v>261000</v>
      </c>
      <c r="H122">
        <v>268000</v>
      </c>
    </row>
    <row r="123" spans="2:8" x14ac:dyDescent="0.25">
      <c r="B123" t="str">
        <f t="shared" si="1"/>
        <v>DZAPopulation, male</v>
      </c>
      <c r="C123" t="s">
        <v>420</v>
      </c>
      <c r="D123" t="s">
        <v>37</v>
      </c>
      <c r="E123" t="s">
        <v>397</v>
      </c>
      <c r="F123" t="s">
        <v>725</v>
      </c>
      <c r="G123">
        <v>21750000</v>
      </c>
      <c r="H123">
        <v>22154000</v>
      </c>
    </row>
    <row r="124" spans="2:8" x14ac:dyDescent="0.25">
      <c r="B124" t="str">
        <f t="shared" si="1"/>
        <v>DZAPopulation, total</v>
      </c>
      <c r="C124" t="s">
        <v>420</v>
      </c>
      <c r="D124" t="s">
        <v>37</v>
      </c>
      <c r="E124" t="s">
        <v>398</v>
      </c>
      <c r="F124" t="s">
        <v>726</v>
      </c>
      <c r="G124">
        <v>43053000</v>
      </c>
      <c r="H124">
        <v>43851000</v>
      </c>
    </row>
    <row r="125" spans="2:8" x14ac:dyDescent="0.25">
      <c r="B125" t="str">
        <f t="shared" si="1"/>
        <v>DZAPopulation, female</v>
      </c>
      <c r="C125" t="s">
        <v>420</v>
      </c>
      <c r="D125" t="s">
        <v>37</v>
      </c>
      <c r="E125" t="s">
        <v>396</v>
      </c>
      <c r="F125" t="s">
        <v>727</v>
      </c>
      <c r="G125">
        <v>21303000</v>
      </c>
      <c r="H125">
        <v>21697000</v>
      </c>
    </row>
    <row r="126" spans="2:8" x14ac:dyDescent="0.25">
      <c r="B126" t="str">
        <f t="shared" si="1"/>
        <v>DZAPopulation growth (annual %)</v>
      </c>
      <c r="C126" t="s">
        <v>420</v>
      </c>
      <c r="D126" t="s">
        <v>37</v>
      </c>
      <c r="E126" t="s">
        <v>399</v>
      </c>
      <c r="F126" t="s">
        <v>728</v>
      </c>
      <c r="G126">
        <v>0</v>
      </c>
      <c r="H126">
        <v>0</v>
      </c>
    </row>
    <row r="127" spans="2:8" x14ac:dyDescent="0.25">
      <c r="B127" t="str">
        <f t="shared" si="1"/>
        <v>ASMPopulation ages 0-14, female</v>
      </c>
      <c r="C127" t="s">
        <v>421</v>
      </c>
      <c r="D127" t="s">
        <v>193</v>
      </c>
      <c r="E127" t="s">
        <v>687</v>
      </c>
      <c r="F127" t="s">
        <v>688</v>
      </c>
      <c r="G127">
        <v>0</v>
      </c>
      <c r="H127">
        <v>0</v>
      </c>
    </row>
    <row r="128" spans="2:8" x14ac:dyDescent="0.25">
      <c r="B128" t="str">
        <f t="shared" si="1"/>
        <v>ASMPopulation ages 0-14, male</v>
      </c>
      <c r="C128" t="s">
        <v>421</v>
      </c>
      <c r="D128" t="s">
        <v>193</v>
      </c>
      <c r="E128" t="s">
        <v>689</v>
      </c>
      <c r="F128" t="s">
        <v>690</v>
      </c>
      <c r="G128">
        <v>0</v>
      </c>
      <c r="H128">
        <v>0</v>
      </c>
    </row>
    <row r="129" spans="2:8" x14ac:dyDescent="0.25">
      <c r="B129" t="str">
        <f t="shared" si="1"/>
        <v>ASMPopulation ages 00-04, female</v>
      </c>
      <c r="C129" t="s">
        <v>421</v>
      </c>
      <c r="D129" t="s">
        <v>193</v>
      </c>
      <c r="E129" t="s">
        <v>362</v>
      </c>
      <c r="F129" t="s">
        <v>691</v>
      </c>
      <c r="G129">
        <v>0</v>
      </c>
      <c r="H129">
        <v>0</v>
      </c>
    </row>
    <row r="130" spans="2:8" x14ac:dyDescent="0.25">
      <c r="B130" t="str">
        <f t="shared" si="1"/>
        <v>ASMPopulation ages 00-04, male</v>
      </c>
      <c r="C130" t="s">
        <v>421</v>
      </c>
      <c r="D130" t="s">
        <v>193</v>
      </c>
      <c r="E130" t="s">
        <v>363</v>
      </c>
      <c r="F130" t="s">
        <v>692</v>
      </c>
      <c r="G130">
        <v>0</v>
      </c>
      <c r="H130">
        <v>0</v>
      </c>
    </row>
    <row r="131" spans="2:8" x14ac:dyDescent="0.25">
      <c r="B131" t="str">
        <f t="shared" si="1"/>
        <v>ASMPopulation ages 05-09, female</v>
      </c>
      <c r="C131" t="s">
        <v>421</v>
      </c>
      <c r="D131" t="s">
        <v>193</v>
      </c>
      <c r="E131" t="s">
        <v>364</v>
      </c>
      <c r="F131" t="s">
        <v>693</v>
      </c>
      <c r="G131">
        <v>0</v>
      </c>
      <c r="H131">
        <v>0</v>
      </c>
    </row>
    <row r="132" spans="2:8" x14ac:dyDescent="0.25">
      <c r="B132" t="str">
        <f t="shared" si="1"/>
        <v>ASMPopulation ages 05-09, male</v>
      </c>
      <c r="C132" t="s">
        <v>421</v>
      </c>
      <c r="D132" t="s">
        <v>193</v>
      </c>
      <c r="E132" t="s">
        <v>365</v>
      </c>
      <c r="F132" t="s">
        <v>694</v>
      </c>
      <c r="G132">
        <v>0</v>
      </c>
      <c r="H132">
        <v>0</v>
      </c>
    </row>
    <row r="133" spans="2:8" x14ac:dyDescent="0.25">
      <c r="B133" t="str">
        <f t="shared" si="1"/>
        <v>ASMPopulation ages 10-14, female</v>
      </c>
      <c r="C133" t="s">
        <v>421</v>
      </c>
      <c r="D133" t="s">
        <v>193</v>
      </c>
      <c r="E133" t="s">
        <v>366</v>
      </c>
      <c r="F133" t="s">
        <v>695</v>
      </c>
      <c r="G133">
        <v>0</v>
      </c>
      <c r="H133">
        <v>0</v>
      </c>
    </row>
    <row r="134" spans="2:8" x14ac:dyDescent="0.25">
      <c r="B134" t="str">
        <f t="shared" si="1"/>
        <v>ASMPopulation ages 10-14, male</v>
      </c>
      <c r="C134" t="s">
        <v>421</v>
      </c>
      <c r="D134" t="s">
        <v>193</v>
      </c>
      <c r="E134" t="s">
        <v>367</v>
      </c>
      <c r="F134" t="s">
        <v>696</v>
      </c>
      <c r="G134">
        <v>0</v>
      </c>
      <c r="H134">
        <v>0</v>
      </c>
    </row>
    <row r="135" spans="2:8" x14ac:dyDescent="0.25">
      <c r="B135" t="str">
        <f t="shared" ref="B135:B198" si="2">CONCATENATE(D135,E135)</f>
        <v>ASMPopulation ages 15-19, female</v>
      </c>
      <c r="C135" t="s">
        <v>421</v>
      </c>
      <c r="D135" t="s">
        <v>193</v>
      </c>
      <c r="E135" t="s">
        <v>368</v>
      </c>
      <c r="F135" t="s">
        <v>697</v>
      </c>
      <c r="G135">
        <v>0</v>
      </c>
      <c r="H135">
        <v>0</v>
      </c>
    </row>
    <row r="136" spans="2:8" x14ac:dyDescent="0.25">
      <c r="B136" t="str">
        <f t="shared" si="2"/>
        <v>ASMPopulation ages 15-19, male</v>
      </c>
      <c r="C136" t="s">
        <v>421</v>
      </c>
      <c r="D136" t="s">
        <v>193</v>
      </c>
      <c r="E136" t="s">
        <v>369</v>
      </c>
      <c r="F136" t="s">
        <v>698</v>
      </c>
      <c r="G136">
        <v>0</v>
      </c>
      <c r="H136">
        <v>0</v>
      </c>
    </row>
    <row r="137" spans="2:8" x14ac:dyDescent="0.25">
      <c r="B137" t="str">
        <f t="shared" si="2"/>
        <v>ASMPopulation ages 20-24, female</v>
      </c>
      <c r="C137" t="s">
        <v>421</v>
      </c>
      <c r="D137" t="s">
        <v>193</v>
      </c>
      <c r="E137" t="s">
        <v>370</v>
      </c>
      <c r="F137" t="s">
        <v>699</v>
      </c>
      <c r="G137">
        <v>0</v>
      </c>
      <c r="H137">
        <v>0</v>
      </c>
    </row>
    <row r="138" spans="2:8" x14ac:dyDescent="0.25">
      <c r="B138" t="str">
        <f t="shared" si="2"/>
        <v>ASMPopulation ages 20-24, male</v>
      </c>
      <c r="C138" t="s">
        <v>421</v>
      </c>
      <c r="D138" t="s">
        <v>193</v>
      </c>
      <c r="E138" t="s">
        <v>371</v>
      </c>
      <c r="F138" t="s">
        <v>700</v>
      </c>
      <c r="G138">
        <v>0</v>
      </c>
      <c r="H138">
        <v>0</v>
      </c>
    </row>
    <row r="139" spans="2:8" x14ac:dyDescent="0.25">
      <c r="B139" t="str">
        <f t="shared" si="2"/>
        <v>ASMPopulation ages 25-29, female</v>
      </c>
      <c r="C139" t="s">
        <v>421</v>
      </c>
      <c r="D139" t="s">
        <v>193</v>
      </c>
      <c r="E139" t="s">
        <v>372</v>
      </c>
      <c r="F139" t="s">
        <v>701</v>
      </c>
      <c r="G139">
        <v>0</v>
      </c>
      <c r="H139">
        <v>0</v>
      </c>
    </row>
    <row r="140" spans="2:8" x14ac:dyDescent="0.25">
      <c r="B140" t="str">
        <f t="shared" si="2"/>
        <v>ASMPopulation ages 25-29, male</v>
      </c>
      <c r="C140" t="s">
        <v>421</v>
      </c>
      <c r="D140" t="s">
        <v>193</v>
      </c>
      <c r="E140" t="s">
        <v>373</v>
      </c>
      <c r="F140" t="s">
        <v>702</v>
      </c>
      <c r="G140">
        <v>0</v>
      </c>
      <c r="H140">
        <v>0</v>
      </c>
    </row>
    <row r="141" spans="2:8" x14ac:dyDescent="0.25">
      <c r="B141" t="str">
        <f t="shared" si="2"/>
        <v>ASMPopulation ages 30-34, female</v>
      </c>
      <c r="C141" t="s">
        <v>421</v>
      </c>
      <c r="D141" t="s">
        <v>193</v>
      </c>
      <c r="E141" t="s">
        <v>374</v>
      </c>
      <c r="F141" t="s">
        <v>703</v>
      </c>
      <c r="G141">
        <v>0</v>
      </c>
      <c r="H141">
        <v>0</v>
      </c>
    </row>
    <row r="142" spans="2:8" x14ac:dyDescent="0.25">
      <c r="B142" t="str">
        <f t="shared" si="2"/>
        <v>ASMPopulation ages 30-34, male</v>
      </c>
      <c r="C142" t="s">
        <v>421</v>
      </c>
      <c r="D142" t="s">
        <v>193</v>
      </c>
      <c r="E142" t="s">
        <v>375</v>
      </c>
      <c r="F142" t="s">
        <v>704</v>
      </c>
      <c r="G142">
        <v>0</v>
      </c>
      <c r="H142">
        <v>0</v>
      </c>
    </row>
    <row r="143" spans="2:8" x14ac:dyDescent="0.25">
      <c r="B143" t="str">
        <f t="shared" si="2"/>
        <v>ASMPopulation ages 35-39, female</v>
      </c>
      <c r="C143" t="s">
        <v>421</v>
      </c>
      <c r="D143" t="s">
        <v>193</v>
      </c>
      <c r="E143" t="s">
        <v>376</v>
      </c>
      <c r="F143" t="s">
        <v>705</v>
      </c>
      <c r="G143">
        <v>0</v>
      </c>
      <c r="H143">
        <v>0</v>
      </c>
    </row>
    <row r="144" spans="2:8" x14ac:dyDescent="0.25">
      <c r="B144" t="str">
        <f t="shared" si="2"/>
        <v>ASMPopulation ages 35-39, male</v>
      </c>
      <c r="C144" t="s">
        <v>421</v>
      </c>
      <c r="D144" t="s">
        <v>193</v>
      </c>
      <c r="E144" t="s">
        <v>377</v>
      </c>
      <c r="F144" t="s">
        <v>706</v>
      </c>
      <c r="G144">
        <v>0</v>
      </c>
      <c r="H144">
        <v>0</v>
      </c>
    </row>
    <row r="145" spans="2:8" x14ac:dyDescent="0.25">
      <c r="B145" t="str">
        <f t="shared" si="2"/>
        <v>ASMPopulation ages 40-44, female</v>
      </c>
      <c r="C145" t="s">
        <v>421</v>
      </c>
      <c r="D145" t="s">
        <v>193</v>
      </c>
      <c r="E145" t="s">
        <v>378</v>
      </c>
      <c r="F145" t="s">
        <v>707</v>
      </c>
      <c r="G145">
        <v>0</v>
      </c>
      <c r="H145">
        <v>0</v>
      </c>
    </row>
    <row r="146" spans="2:8" x14ac:dyDescent="0.25">
      <c r="B146" t="str">
        <f t="shared" si="2"/>
        <v>ASMPopulation ages 40-44, male</v>
      </c>
      <c r="C146" t="s">
        <v>421</v>
      </c>
      <c r="D146" t="s">
        <v>193</v>
      </c>
      <c r="E146" t="s">
        <v>379</v>
      </c>
      <c r="F146" t="s">
        <v>708</v>
      </c>
      <c r="G146">
        <v>0</v>
      </c>
      <c r="H146">
        <v>0</v>
      </c>
    </row>
    <row r="147" spans="2:8" x14ac:dyDescent="0.25">
      <c r="B147" t="str">
        <f t="shared" si="2"/>
        <v>ASMPopulation ages 45-49, female</v>
      </c>
      <c r="C147" t="s">
        <v>421</v>
      </c>
      <c r="D147" t="s">
        <v>193</v>
      </c>
      <c r="E147" t="s">
        <v>380</v>
      </c>
      <c r="F147" t="s">
        <v>709</v>
      </c>
      <c r="G147">
        <v>0</v>
      </c>
      <c r="H147">
        <v>0</v>
      </c>
    </row>
    <row r="148" spans="2:8" x14ac:dyDescent="0.25">
      <c r="B148" t="str">
        <f t="shared" si="2"/>
        <v>ASMPopulation ages 45-49, male</v>
      </c>
      <c r="C148" t="s">
        <v>421</v>
      </c>
      <c r="D148" t="s">
        <v>193</v>
      </c>
      <c r="E148" t="s">
        <v>381</v>
      </c>
      <c r="F148" t="s">
        <v>710</v>
      </c>
      <c r="G148">
        <v>0</v>
      </c>
      <c r="H148">
        <v>0</v>
      </c>
    </row>
    <row r="149" spans="2:8" x14ac:dyDescent="0.25">
      <c r="B149" t="str">
        <f t="shared" si="2"/>
        <v>ASMPopulation ages 50-54, female</v>
      </c>
      <c r="C149" t="s">
        <v>421</v>
      </c>
      <c r="D149" t="s">
        <v>193</v>
      </c>
      <c r="E149" t="s">
        <v>382</v>
      </c>
      <c r="F149" t="s">
        <v>711</v>
      </c>
      <c r="G149">
        <v>0</v>
      </c>
      <c r="H149">
        <v>0</v>
      </c>
    </row>
    <row r="150" spans="2:8" x14ac:dyDescent="0.25">
      <c r="B150" t="str">
        <f t="shared" si="2"/>
        <v>ASMPopulation ages 50-54, male</v>
      </c>
      <c r="C150" t="s">
        <v>421</v>
      </c>
      <c r="D150" t="s">
        <v>193</v>
      </c>
      <c r="E150" t="s">
        <v>383</v>
      </c>
      <c r="F150" t="s">
        <v>712</v>
      </c>
      <c r="G150">
        <v>0</v>
      </c>
      <c r="H150">
        <v>0</v>
      </c>
    </row>
    <row r="151" spans="2:8" x14ac:dyDescent="0.25">
      <c r="B151" t="str">
        <f t="shared" si="2"/>
        <v>ASMPopulation ages 55-59, male</v>
      </c>
      <c r="C151" t="s">
        <v>421</v>
      </c>
      <c r="D151" t="s">
        <v>193</v>
      </c>
      <c r="E151" t="s">
        <v>385</v>
      </c>
      <c r="F151" t="s">
        <v>713</v>
      </c>
      <c r="G151">
        <v>0</v>
      </c>
      <c r="H151">
        <v>0</v>
      </c>
    </row>
    <row r="152" spans="2:8" x14ac:dyDescent="0.25">
      <c r="B152" t="str">
        <f t="shared" si="2"/>
        <v>ASMPopulation ages 55-59, female</v>
      </c>
      <c r="C152" t="s">
        <v>421</v>
      </c>
      <c r="D152" t="s">
        <v>193</v>
      </c>
      <c r="E152" t="s">
        <v>384</v>
      </c>
      <c r="F152" t="s">
        <v>714</v>
      </c>
      <c r="G152">
        <v>0</v>
      </c>
      <c r="H152">
        <v>0</v>
      </c>
    </row>
    <row r="153" spans="2:8" x14ac:dyDescent="0.25">
      <c r="B153" t="str">
        <f t="shared" si="2"/>
        <v>ASMPopulation ages 65-69, male</v>
      </c>
      <c r="C153" t="s">
        <v>421</v>
      </c>
      <c r="D153" t="s">
        <v>193</v>
      </c>
      <c r="E153" t="s">
        <v>389</v>
      </c>
      <c r="F153" t="s">
        <v>715</v>
      </c>
      <c r="G153">
        <v>0</v>
      </c>
      <c r="H153">
        <v>0</v>
      </c>
    </row>
    <row r="154" spans="2:8" x14ac:dyDescent="0.25">
      <c r="B154" t="str">
        <f t="shared" si="2"/>
        <v>ASMPopulation ages 65-69, female</v>
      </c>
      <c r="C154" t="s">
        <v>421</v>
      </c>
      <c r="D154" t="s">
        <v>193</v>
      </c>
      <c r="E154" t="s">
        <v>388</v>
      </c>
      <c r="F154" t="s">
        <v>716</v>
      </c>
      <c r="G154">
        <v>0</v>
      </c>
      <c r="H154">
        <v>0</v>
      </c>
    </row>
    <row r="155" spans="2:8" x14ac:dyDescent="0.25">
      <c r="B155" t="str">
        <f t="shared" si="2"/>
        <v>ASMPopulation ages 60-64, female</v>
      </c>
      <c r="C155" t="s">
        <v>421</v>
      </c>
      <c r="D155" t="s">
        <v>193</v>
      </c>
      <c r="E155" t="s">
        <v>386</v>
      </c>
      <c r="F155" t="s">
        <v>717</v>
      </c>
      <c r="G155">
        <v>0</v>
      </c>
      <c r="H155">
        <v>0</v>
      </c>
    </row>
    <row r="156" spans="2:8" x14ac:dyDescent="0.25">
      <c r="B156" t="str">
        <f t="shared" si="2"/>
        <v>ASMPopulation ages 60-64, male</v>
      </c>
      <c r="C156" t="s">
        <v>421</v>
      </c>
      <c r="D156" t="s">
        <v>193</v>
      </c>
      <c r="E156" t="s">
        <v>387</v>
      </c>
      <c r="F156" t="s">
        <v>718</v>
      </c>
      <c r="G156">
        <v>0</v>
      </c>
      <c r="H156">
        <v>0</v>
      </c>
    </row>
    <row r="157" spans="2:8" x14ac:dyDescent="0.25">
      <c r="B157" t="str">
        <f t="shared" si="2"/>
        <v>ASMPopulation ages 70-74, female</v>
      </c>
      <c r="C157" t="s">
        <v>421</v>
      </c>
      <c r="D157" t="s">
        <v>193</v>
      </c>
      <c r="E157" t="s">
        <v>390</v>
      </c>
      <c r="F157" t="s">
        <v>719</v>
      </c>
      <c r="G157">
        <v>0</v>
      </c>
      <c r="H157">
        <v>0</v>
      </c>
    </row>
    <row r="158" spans="2:8" x14ac:dyDescent="0.25">
      <c r="B158" t="str">
        <f t="shared" si="2"/>
        <v>ASMPopulation ages 70-74, male</v>
      </c>
      <c r="C158" t="s">
        <v>421</v>
      </c>
      <c r="D158" t="s">
        <v>193</v>
      </c>
      <c r="E158" t="s">
        <v>391</v>
      </c>
      <c r="F158" t="s">
        <v>720</v>
      </c>
      <c r="G158">
        <v>0</v>
      </c>
      <c r="H158">
        <v>0</v>
      </c>
    </row>
    <row r="159" spans="2:8" x14ac:dyDescent="0.25">
      <c r="B159" t="str">
        <f t="shared" si="2"/>
        <v>ASMPopulation ages 75-79, female</v>
      </c>
      <c r="C159" t="s">
        <v>421</v>
      </c>
      <c r="D159" t="s">
        <v>193</v>
      </c>
      <c r="E159" t="s">
        <v>392</v>
      </c>
      <c r="F159" t="s">
        <v>721</v>
      </c>
      <c r="G159">
        <v>0</v>
      </c>
      <c r="H159">
        <v>0</v>
      </c>
    </row>
    <row r="160" spans="2:8" x14ac:dyDescent="0.25">
      <c r="B160" t="str">
        <f t="shared" si="2"/>
        <v>ASMPopulation ages 75-79, male</v>
      </c>
      <c r="C160" t="s">
        <v>421</v>
      </c>
      <c r="D160" t="s">
        <v>193</v>
      </c>
      <c r="E160" t="s">
        <v>393</v>
      </c>
      <c r="F160" t="s">
        <v>722</v>
      </c>
      <c r="G160">
        <v>0</v>
      </c>
      <c r="H160">
        <v>0</v>
      </c>
    </row>
    <row r="161" spans="2:8" x14ac:dyDescent="0.25">
      <c r="B161" t="str">
        <f t="shared" si="2"/>
        <v>ASMPopulation ages 80 and above, female</v>
      </c>
      <c r="C161" t="s">
        <v>421</v>
      </c>
      <c r="D161" t="s">
        <v>193</v>
      </c>
      <c r="E161" t="s">
        <v>394</v>
      </c>
      <c r="F161" t="s">
        <v>723</v>
      </c>
      <c r="G161">
        <v>0</v>
      </c>
      <c r="H161">
        <v>0</v>
      </c>
    </row>
    <row r="162" spans="2:8" x14ac:dyDescent="0.25">
      <c r="B162" t="str">
        <f t="shared" si="2"/>
        <v>ASMPopulation ages 80 and above, male</v>
      </c>
      <c r="C162" t="s">
        <v>421</v>
      </c>
      <c r="D162" t="s">
        <v>193</v>
      </c>
      <c r="E162" t="s">
        <v>395</v>
      </c>
      <c r="F162" t="s">
        <v>724</v>
      </c>
      <c r="G162">
        <v>0</v>
      </c>
      <c r="H162">
        <v>0</v>
      </c>
    </row>
    <row r="163" spans="2:8" x14ac:dyDescent="0.25">
      <c r="B163" t="str">
        <f t="shared" si="2"/>
        <v>ASMPopulation, male</v>
      </c>
      <c r="C163" t="s">
        <v>421</v>
      </c>
      <c r="D163" t="s">
        <v>193</v>
      </c>
      <c r="E163" t="s">
        <v>397</v>
      </c>
      <c r="F163" t="s">
        <v>725</v>
      </c>
      <c r="G163">
        <v>0</v>
      </c>
      <c r="H163">
        <v>0</v>
      </c>
    </row>
    <row r="164" spans="2:8" x14ac:dyDescent="0.25">
      <c r="B164" t="str">
        <f t="shared" si="2"/>
        <v>ASMPopulation, total</v>
      </c>
      <c r="C164" t="s">
        <v>421</v>
      </c>
      <c r="D164" t="s">
        <v>193</v>
      </c>
      <c r="E164" t="s">
        <v>398</v>
      </c>
      <c r="F164" t="s">
        <v>726</v>
      </c>
      <c r="G164">
        <v>55000</v>
      </c>
      <c r="H164">
        <v>55000</v>
      </c>
    </row>
    <row r="165" spans="2:8" x14ac:dyDescent="0.25">
      <c r="B165" t="str">
        <f t="shared" si="2"/>
        <v>ASMPopulation, female</v>
      </c>
      <c r="C165" t="s">
        <v>421</v>
      </c>
      <c r="D165" t="s">
        <v>193</v>
      </c>
      <c r="E165" t="s">
        <v>396</v>
      </c>
      <c r="F165" t="s">
        <v>727</v>
      </c>
      <c r="G165">
        <v>0</v>
      </c>
      <c r="H165">
        <v>0</v>
      </c>
    </row>
    <row r="166" spans="2:8" x14ac:dyDescent="0.25">
      <c r="B166" t="str">
        <f t="shared" si="2"/>
        <v>ASMPopulation growth (annual %)</v>
      </c>
      <c r="C166" t="s">
        <v>421</v>
      </c>
      <c r="D166" t="s">
        <v>193</v>
      </c>
      <c r="E166" t="s">
        <v>399</v>
      </c>
      <c r="F166" t="s">
        <v>728</v>
      </c>
      <c r="G166">
        <v>0</v>
      </c>
      <c r="H166">
        <v>0</v>
      </c>
    </row>
    <row r="167" spans="2:8" x14ac:dyDescent="0.25">
      <c r="B167" t="str">
        <f t="shared" si="2"/>
        <v>ANDPopulation ages 0-14, female</v>
      </c>
      <c r="C167" t="s">
        <v>422</v>
      </c>
      <c r="D167" t="s">
        <v>1</v>
      </c>
      <c r="E167" t="s">
        <v>687</v>
      </c>
      <c r="F167" t="s">
        <v>688</v>
      </c>
      <c r="G167">
        <v>0</v>
      </c>
      <c r="H167">
        <v>0</v>
      </c>
    </row>
    <row r="168" spans="2:8" x14ac:dyDescent="0.25">
      <c r="B168" t="str">
        <f t="shared" si="2"/>
        <v>ANDPopulation ages 0-14, male</v>
      </c>
      <c r="C168" t="s">
        <v>422</v>
      </c>
      <c r="D168" t="s">
        <v>1</v>
      </c>
      <c r="E168" t="s">
        <v>689</v>
      </c>
      <c r="F168" t="s">
        <v>690</v>
      </c>
      <c r="G168">
        <v>0</v>
      </c>
      <c r="H168">
        <v>0</v>
      </c>
    </row>
    <row r="169" spans="2:8" x14ac:dyDescent="0.25">
      <c r="B169" t="str">
        <f t="shared" si="2"/>
        <v>ANDPopulation ages 00-04, female</v>
      </c>
      <c r="C169" t="s">
        <v>422</v>
      </c>
      <c r="D169" t="s">
        <v>1</v>
      </c>
      <c r="E169" t="s">
        <v>362</v>
      </c>
      <c r="F169" t="s">
        <v>691</v>
      </c>
      <c r="G169">
        <v>0</v>
      </c>
      <c r="H169">
        <v>0</v>
      </c>
    </row>
    <row r="170" spans="2:8" x14ac:dyDescent="0.25">
      <c r="B170" t="str">
        <f t="shared" si="2"/>
        <v>ANDPopulation ages 00-04, male</v>
      </c>
      <c r="C170" t="s">
        <v>422</v>
      </c>
      <c r="D170" t="s">
        <v>1</v>
      </c>
      <c r="E170" t="s">
        <v>363</v>
      </c>
      <c r="F170" t="s">
        <v>692</v>
      </c>
      <c r="G170">
        <v>0</v>
      </c>
      <c r="H170">
        <v>0</v>
      </c>
    </row>
    <row r="171" spans="2:8" x14ac:dyDescent="0.25">
      <c r="B171" t="str">
        <f t="shared" si="2"/>
        <v>ANDPopulation ages 05-09, female</v>
      </c>
      <c r="C171" t="s">
        <v>422</v>
      </c>
      <c r="D171" t="s">
        <v>1</v>
      </c>
      <c r="E171" t="s">
        <v>364</v>
      </c>
      <c r="F171" t="s">
        <v>693</v>
      </c>
      <c r="G171">
        <v>0</v>
      </c>
      <c r="H171">
        <v>0</v>
      </c>
    </row>
    <row r="172" spans="2:8" x14ac:dyDescent="0.25">
      <c r="B172" t="str">
        <f t="shared" si="2"/>
        <v>ANDPopulation ages 05-09, male</v>
      </c>
      <c r="C172" t="s">
        <v>422</v>
      </c>
      <c r="D172" t="s">
        <v>1</v>
      </c>
      <c r="E172" t="s">
        <v>365</v>
      </c>
      <c r="F172" t="s">
        <v>694</v>
      </c>
      <c r="G172">
        <v>0</v>
      </c>
      <c r="H172">
        <v>0</v>
      </c>
    </row>
    <row r="173" spans="2:8" x14ac:dyDescent="0.25">
      <c r="B173" t="str">
        <f t="shared" si="2"/>
        <v>ANDPopulation ages 10-14, female</v>
      </c>
      <c r="C173" t="s">
        <v>422</v>
      </c>
      <c r="D173" t="s">
        <v>1</v>
      </c>
      <c r="E173" t="s">
        <v>366</v>
      </c>
      <c r="F173" t="s">
        <v>695</v>
      </c>
      <c r="G173">
        <v>0</v>
      </c>
      <c r="H173">
        <v>0</v>
      </c>
    </row>
    <row r="174" spans="2:8" x14ac:dyDescent="0.25">
      <c r="B174" t="str">
        <f t="shared" si="2"/>
        <v>ANDPopulation ages 10-14, male</v>
      </c>
      <c r="C174" t="s">
        <v>422</v>
      </c>
      <c r="D174" t="s">
        <v>1</v>
      </c>
      <c r="E174" t="s">
        <v>367</v>
      </c>
      <c r="F174" t="s">
        <v>696</v>
      </c>
      <c r="G174">
        <v>0</v>
      </c>
      <c r="H174">
        <v>0</v>
      </c>
    </row>
    <row r="175" spans="2:8" x14ac:dyDescent="0.25">
      <c r="B175" t="str">
        <f t="shared" si="2"/>
        <v>ANDPopulation ages 15-19, female</v>
      </c>
      <c r="C175" t="s">
        <v>422</v>
      </c>
      <c r="D175" t="s">
        <v>1</v>
      </c>
      <c r="E175" t="s">
        <v>368</v>
      </c>
      <c r="F175" t="s">
        <v>697</v>
      </c>
      <c r="G175">
        <v>0</v>
      </c>
      <c r="H175">
        <v>0</v>
      </c>
    </row>
    <row r="176" spans="2:8" x14ac:dyDescent="0.25">
      <c r="B176" t="str">
        <f t="shared" si="2"/>
        <v>ANDPopulation ages 15-19, male</v>
      </c>
      <c r="C176" t="s">
        <v>422</v>
      </c>
      <c r="D176" t="s">
        <v>1</v>
      </c>
      <c r="E176" t="s">
        <v>369</v>
      </c>
      <c r="F176" t="s">
        <v>698</v>
      </c>
      <c r="G176">
        <v>0</v>
      </c>
      <c r="H176">
        <v>0</v>
      </c>
    </row>
    <row r="177" spans="2:8" x14ac:dyDescent="0.25">
      <c r="B177" t="str">
        <f t="shared" si="2"/>
        <v>ANDPopulation ages 20-24, female</v>
      </c>
      <c r="C177" t="s">
        <v>422</v>
      </c>
      <c r="D177" t="s">
        <v>1</v>
      </c>
      <c r="E177" t="s">
        <v>370</v>
      </c>
      <c r="F177" t="s">
        <v>699</v>
      </c>
      <c r="G177">
        <v>0</v>
      </c>
      <c r="H177">
        <v>0</v>
      </c>
    </row>
    <row r="178" spans="2:8" x14ac:dyDescent="0.25">
      <c r="B178" t="str">
        <f t="shared" si="2"/>
        <v>ANDPopulation ages 20-24, male</v>
      </c>
      <c r="C178" t="s">
        <v>422</v>
      </c>
      <c r="D178" t="s">
        <v>1</v>
      </c>
      <c r="E178" t="s">
        <v>371</v>
      </c>
      <c r="F178" t="s">
        <v>700</v>
      </c>
      <c r="G178">
        <v>0</v>
      </c>
      <c r="H178">
        <v>0</v>
      </c>
    </row>
    <row r="179" spans="2:8" x14ac:dyDescent="0.25">
      <c r="B179" t="str">
        <f t="shared" si="2"/>
        <v>ANDPopulation ages 25-29, female</v>
      </c>
      <c r="C179" t="s">
        <v>422</v>
      </c>
      <c r="D179" t="s">
        <v>1</v>
      </c>
      <c r="E179" t="s">
        <v>372</v>
      </c>
      <c r="F179" t="s">
        <v>701</v>
      </c>
      <c r="G179">
        <v>0</v>
      </c>
      <c r="H179">
        <v>0</v>
      </c>
    </row>
    <row r="180" spans="2:8" x14ac:dyDescent="0.25">
      <c r="B180" t="str">
        <f t="shared" si="2"/>
        <v>ANDPopulation ages 25-29, male</v>
      </c>
      <c r="C180" t="s">
        <v>422</v>
      </c>
      <c r="D180" t="s">
        <v>1</v>
      </c>
      <c r="E180" t="s">
        <v>373</v>
      </c>
      <c r="F180" t="s">
        <v>702</v>
      </c>
      <c r="G180">
        <v>0</v>
      </c>
      <c r="H180">
        <v>0</v>
      </c>
    </row>
    <row r="181" spans="2:8" x14ac:dyDescent="0.25">
      <c r="B181" t="str">
        <f t="shared" si="2"/>
        <v>ANDPopulation ages 30-34, female</v>
      </c>
      <c r="C181" t="s">
        <v>422</v>
      </c>
      <c r="D181" t="s">
        <v>1</v>
      </c>
      <c r="E181" t="s">
        <v>374</v>
      </c>
      <c r="F181" t="s">
        <v>703</v>
      </c>
      <c r="G181">
        <v>0</v>
      </c>
      <c r="H181">
        <v>0</v>
      </c>
    </row>
    <row r="182" spans="2:8" x14ac:dyDescent="0.25">
      <c r="B182" t="str">
        <f t="shared" si="2"/>
        <v>ANDPopulation ages 30-34, male</v>
      </c>
      <c r="C182" t="s">
        <v>422</v>
      </c>
      <c r="D182" t="s">
        <v>1</v>
      </c>
      <c r="E182" t="s">
        <v>375</v>
      </c>
      <c r="F182" t="s">
        <v>704</v>
      </c>
      <c r="G182">
        <v>0</v>
      </c>
      <c r="H182">
        <v>0</v>
      </c>
    </row>
    <row r="183" spans="2:8" x14ac:dyDescent="0.25">
      <c r="B183" t="str">
        <f t="shared" si="2"/>
        <v>ANDPopulation ages 35-39, female</v>
      </c>
      <c r="C183" t="s">
        <v>422</v>
      </c>
      <c r="D183" t="s">
        <v>1</v>
      </c>
      <c r="E183" t="s">
        <v>376</v>
      </c>
      <c r="F183" t="s">
        <v>705</v>
      </c>
      <c r="G183">
        <v>0</v>
      </c>
      <c r="H183">
        <v>0</v>
      </c>
    </row>
    <row r="184" spans="2:8" x14ac:dyDescent="0.25">
      <c r="B184" t="str">
        <f t="shared" si="2"/>
        <v>ANDPopulation ages 35-39, male</v>
      </c>
      <c r="C184" t="s">
        <v>422</v>
      </c>
      <c r="D184" t="s">
        <v>1</v>
      </c>
      <c r="E184" t="s">
        <v>377</v>
      </c>
      <c r="F184" t="s">
        <v>706</v>
      </c>
      <c r="G184">
        <v>0</v>
      </c>
      <c r="H184">
        <v>0</v>
      </c>
    </row>
    <row r="185" spans="2:8" x14ac:dyDescent="0.25">
      <c r="B185" t="str">
        <f t="shared" si="2"/>
        <v>ANDPopulation ages 40-44, female</v>
      </c>
      <c r="C185" t="s">
        <v>422</v>
      </c>
      <c r="D185" t="s">
        <v>1</v>
      </c>
      <c r="E185" t="s">
        <v>378</v>
      </c>
      <c r="F185" t="s">
        <v>707</v>
      </c>
      <c r="G185">
        <v>0</v>
      </c>
      <c r="H185">
        <v>0</v>
      </c>
    </row>
    <row r="186" spans="2:8" x14ac:dyDescent="0.25">
      <c r="B186" t="str">
        <f t="shared" si="2"/>
        <v>ANDPopulation ages 40-44, male</v>
      </c>
      <c r="C186" t="s">
        <v>422</v>
      </c>
      <c r="D186" t="s">
        <v>1</v>
      </c>
      <c r="E186" t="s">
        <v>379</v>
      </c>
      <c r="F186" t="s">
        <v>708</v>
      </c>
      <c r="G186">
        <v>0</v>
      </c>
      <c r="H186">
        <v>0</v>
      </c>
    </row>
    <row r="187" spans="2:8" x14ac:dyDescent="0.25">
      <c r="B187" t="str">
        <f t="shared" si="2"/>
        <v>ANDPopulation ages 45-49, female</v>
      </c>
      <c r="C187" t="s">
        <v>422</v>
      </c>
      <c r="D187" t="s">
        <v>1</v>
      </c>
      <c r="E187" t="s">
        <v>380</v>
      </c>
      <c r="F187" t="s">
        <v>709</v>
      </c>
      <c r="G187">
        <v>0</v>
      </c>
      <c r="H187">
        <v>0</v>
      </c>
    </row>
    <row r="188" spans="2:8" x14ac:dyDescent="0.25">
      <c r="B188" t="str">
        <f t="shared" si="2"/>
        <v>ANDPopulation ages 45-49, male</v>
      </c>
      <c r="C188" t="s">
        <v>422</v>
      </c>
      <c r="D188" t="s">
        <v>1</v>
      </c>
      <c r="E188" t="s">
        <v>381</v>
      </c>
      <c r="F188" t="s">
        <v>710</v>
      </c>
      <c r="G188">
        <v>0</v>
      </c>
      <c r="H188">
        <v>0</v>
      </c>
    </row>
    <row r="189" spans="2:8" x14ac:dyDescent="0.25">
      <c r="B189" t="str">
        <f t="shared" si="2"/>
        <v>ANDPopulation ages 50-54, female</v>
      </c>
      <c r="C189" t="s">
        <v>422</v>
      </c>
      <c r="D189" t="s">
        <v>1</v>
      </c>
      <c r="E189" t="s">
        <v>382</v>
      </c>
      <c r="F189" t="s">
        <v>711</v>
      </c>
      <c r="G189">
        <v>0</v>
      </c>
      <c r="H189">
        <v>0</v>
      </c>
    </row>
    <row r="190" spans="2:8" x14ac:dyDescent="0.25">
      <c r="B190" t="str">
        <f t="shared" si="2"/>
        <v>ANDPopulation ages 50-54, male</v>
      </c>
      <c r="C190" t="s">
        <v>422</v>
      </c>
      <c r="D190" t="s">
        <v>1</v>
      </c>
      <c r="E190" t="s">
        <v>383</v>
      </c>
      <c r="F190" t="s">
        <v>712</v>
      </c>
      <c r="G190">
        <v>0</v>
      </c>
      <c r="H190">
        <v>0</v>
      </c>
    </row>
    <row r="191" spans="2:8" x14ac:dyDescent="0.25">
      <c r="B191" t="str">
        <f t="shared" si="2"/>
        <v>ANDPopulation ages 55-59, male</v>
      </c>
      <c r="C191" t="s">
        <v>422</v>
      </c>
      <c r="D191" t="s">
        <v>1</v>
      </c>
      <c r="E191" t="s">
        <v>385</v>
      </c>
      <c r="F191" t="s">
        <v>713</v>
      </c>
      <c r="G191">
        <v>0</v>
      </c>
      <c r="H191">
        <v>0</v>
      </c>
    </row>
    <row r="192" spans="2:8" x14ac:dyDescent="0.25">
      <c r="B192" t="str">
        <f t="shared" si="2"/>
        <v>ANDPopulation ages 55-59, female</v>
      </c>
      <c r="C192" t="s">
        <v>422</v>
      </c>
      <c r="D192" t="s">
        <v>1</v>
      </c>
      <c r="E192" t="s">
        <v>384</v>
      </c>
      <c r="F192" t="s">
        <v>714</v>
      </c>
      <c r="G192">
        <v>0</v>
      </c>
      <c r="H192">
        <v>0</v>
      </c>
    </row>
    <row r="193" spans="2:8" x14ac:dyDescent="0.25">
      <c r="B193" t="str">
        <f t="shared" si="2"/>
        <v>ANDPopulation ages 65-69, male</v>
      </c>
      <c r="C193" t="s">
        <v>422</v>
      </c>
      <c r="D193" t="s">
        <v>1</v>
      </c>
      <c r="E193" t="s">
        <v>389</v>
      </c>
      <c r="F193" t="s">
        <v>715</v>
      </c>
      <c r="G193">
        <v>0</v>
      </c>
      <c r="H193">
        <v>0</v>
      </c>
    </row>
    <row r="194" spans="2:8" x14ac:dyDescent="0.25">
      <c r="B194" t="str">
        <f t="shared" si="2"/>
        <v>ANDPopulation ages 65-69, female</v>
      </c>
      <c r="C194" t="s">
        <v>422</v>
      </c>
      <c r="D194" t="s">
        <v>1</v>
      </c>
      <c r="E194" t="s">
        <v>388</v>
      </c>
      <c r="F194" t="s">
        <v>716</v>
      </c>
      <c r="G194">
        <v>0</v>
      </c>
      <c r="H194">
        <v>0</v>
      </c>
    </row>
    <row r="195" spans="2:8" x14ac:dyDescent="0.25">
      <c r="B195" t="str">
        <f t="shared" si="2"/>
        <v>ANDPopulation ages 60-64, female</v>
      </c>
      <c r="C195" t="s">
        <v>422</v>
      </c>
      <c r="D195" t="s">
        <v>1</v>
      </c>
      <c r="E195" t="s">
        <v>386</v>
      </c>
      <c r="F195" t="s">
        <v>717</v>
      </c>
      <c r="G195">
        <v>0</v>
      </c>
      <c r="H195">
        <v>0</v>
      </c>
    </row>
    <row r="196" spans="2:8" x14ac:dyDescent="0.25">
      <c r="B196" t="str">
        <f t="shared" si="2"/>
        <v>ANDPopulation ages 60-64, male</v>
      </c>
      <c r="C196" t="s">
        <v>422</v>
      </c>
      <c r="D196" t="s">
        <v>1</v>
      </c>
      <c r="E196" t="s">
        <v>387</v>
      </c>
      <c r="F196" t="s">
        <v>718</v>
      </c>
      <c r="G196">
        <v>0</v>
      </c>
      <c r="H196">
        <v>0</v>
      </c>
    </row>
    <row r="197" spans="2:8" x14ac:dyDescent="0.25">
      <c r="B197" t="str">
        <f t="shared" si="2"/>
        <v>ANDPopulation ages 70-74, female</v>
      </c>
      <c r="C197" t="s">
        <v>422</v>
      </c>
      <c r="D197" t="s">
        <v>1</v>
      </c>
      <c r="E197" t="s">
        <v>390</v>
      </c>
      <c r="F197" t="s">
        <v>719</v>
      </c>
      <c r="G197">
        <v>0</v>
      </c>
      <c r="H197">
        <v>0</v>
      </c>
    </row>
    <row r="198" spans="2:8" x14ac:dyDescent="0.25">
      <c r="B198" t="str">
        <f t="shared" si="2"/>
        <v>ANDPopulation ages 70-74, male</v>
      </c>
      <c r="C198" t="s">
        <v>422</v>
      </c>
      <c r="D198" t="s">
        <v>1</v>
      </c>
      <c r="E198" t="s">
        <v>391</v>
      </c>
      <c r="F198" t="s">
        <v>720</v>
      </c>
      <c r="G198">
        <v>0</v>
      </c>
      <c r="H198">
        <v>0</v>
      </c>
    </row>
    <row r="199" spans="2:8" x14ac:dyDescent="0.25">
      <c r="B199" t="str">
        <f t="shared" ref="B199:B262" si="3">CONCATENATE(D199,E199)</f>
        <v>ANDPopulation ages 75-79, female</v>
      </c>
      <c r="C199" t="s">
        <v>422</v>
      </c>
      <c r="D199" t="s">
        <v>1</v>
      </c>
      <c r="E199" t="s">
        <v>392</v>
      </c>
      <c r="F199" t="s">
        <v>721</v>
      </c>
      <c r="G199">
        <v>0</v>
      </c>
      <c r="H199">
        <v>0</v>
      </c>
    </row>
    <row r="200" spans="2:8" x14ac:dyDescent="0.25">
      <c r="B200" t="str">
        <f t="shared" si="3"/>
        <v>ANDPopulation ages 75-79, male</v>
      </c>
      <c r="C200" t="s">
        <v>422</v>
      </c>
      <c r="D200" t="s">
        <v>1</v>
      </c>
      <c r="E200" t="s">
        <v>393</v>
      </c>
      <c r="F200" t="s">
        <v>722</v>
      </c>
      <c r="G200">
        <v>0</v>
      </c>
      <c r="H200">
        <v>0</v>
      </c>
    </row>
    <row r="201" spans="2:8" x14ac:dyDescent="0.25">
      <c r="B201" t="str">
        <f t="shared" si="3"/>
        <v>ANDPopulation ages 80 and above, female</v>
      </c>
      <c r="C201" t="s">
        <v>422</v>
      </c>
      <c r="D201" t="s">
        <v>1</v>
      </c>
      <c r="E201" t="s">
        <v>394</v>
      </c>
      <c r="F201" t="s">
        <v>723</v>
      </c>
      <c r="G201">
        <v>0</v>
      </c>
      <c r="H201">
        <v>0</v>
      </c>
    </row>
    <row r="202" spans="2:8" x14ac:dyDescent="0.25">
      <c r="B202" t="str">
        <f t="shared" si="3"/>
        <v>ANDPopulation ages 80 and above, male</v>
      </c>
      <c r="C202" t="s">
        <v>422</v>
      </c>
      <c r="D202" t="s">
        <v>1</v>
      </c>
      <c r="E202" t="s">
        <v>395</v>
      </c>
      <c r="F202" t="s">
        <v>724</v>
      </c>
      <c r="G202">
        <v>0</v>
      </c>
      <c r="H202">
        <v>0</v>
      </c>
    </row>
    <row r="203" spans="2:8" x14ac:dyDescent="0.25">
      <c r="B203" t="str">
        <f t="shared" si="3"/>
        <v>ANDPopulation, male</v>
      </c>
      <c r="C203" t="s">
        <v>422</v>
      </c>
      <c r="D203" t="s">
        <v>1</v>
      </c>
      <c r="E203" t="s">
        <v>397</v>
      </c>
      <c r="F203" t="s">
        <v>725</v>
      </c>
      <c r="G203">
        <v>0</v>
      </c>
      <c r="H203">
        <v>0</v>
      </c>
    </row>
    <row r="204" spans="2:8" x14ac:dyDescent="0.25">
      <c r="B204" t="str">
        <f t="shared" si="3"/>
        <v>ANDPopulation, total</v>
      </c>
      <c r="C204" t="s">
        <v>422</v>
      </c>
      <c r="D204" t="s">
        <v>1</v>
      </c>
      <c r="E204" t="s">
        <v>398</v>
      </c>
      <c r="F204" t="s">
        <v>726</v>
      </c>
      <c r="G204">
        <v>77000</v>
      </c>
      <c r="H204">
        <v>77000</v>
      </c>
    </row>
    <row r="205" spans="2:8" x14ac:dyDescent="0.25">
      <c r="B205" t="str">
        <f t="shared" si="3"/>
        <v>ANDPopulation, female</v>
      </c>
      <c r="C205" t="s">
        <v>422</v>
      </c>
      <c r="D205" t="s">
        <v>1</v>
      </c>
      <c r="E205" t="s">
        <v>396</v>
      </c>
      <c r="F205" t="s">
        <v>727</v>
      </c>
      <c r="G205">
        <v>0</v>
      </c>
      <c r="H205">
        <v>0</v>
      </c>
    </row>
    <row r="206" spans="2:8" x14ac:dyDescent="0.25">
      <c r="B206" t="str">
        <f t="shared" si="3"/>
        <v>ANDPopulation growth (annual %)</v>
      </c>
      <c r="C206" t="s">
        <v>422</v>
      </c>
      <c r="D206" t="s">
        <v>1</v>
      </c>
      <c r="E206" t="s">
        <v>399</v>
      </c>
      <c r="F206" t="s">
        <v>728</v>
      </c>
      <c r="G206">
        <v>0</v>
      </c>
      <c r="H206">
        <v>0</v>
      </c>
    </row>
    <row r="207" spans="2:8" x14ac:dyDescent="0.25">
      <c r="B207" t="str">
        <f t="shared" si="3"/>
        <v>AGOPopulation ages 0-14, female</v>
      </c>
      <c r="C207" t="s">
        <v>182</v>
      </c>
      <c r="D207" t="s">
        <v>165</v>
      </c>
      <c r="E207" t="s">
        <v>687</v>
      </c>
      <c r="F207" t="s">
        <v>688</v>
      </c>
      <c r="G207">
        <v>7392000</v>
      </c>
      <c r="H207">
        <v>7590000</v>
      </c>
    </row>
    <row r="208" spans="2:8" x14ac:dyDescent="0.25">
      <c r="B208" t="str">
        <f t="shared" si="3"/>
        <v>AGOPopulation ages 0-14, male</v>
      </c>
      <c r="C208" t="s">
        <v>182</v>
      </c>
      <c r="D208" t="s">
        <v>165</v>
      </c>
      <c r="E208" t="s">
        <v>689</v>
      </c>
      <c r="F208" t="s">
        <v>690</v>
      </c>
      <c r="G208">
        <v>7446000</v>
      </c>
      <c r="H208">
        <v>7658000</v>
      </c>
    </row>
    <row r="209" spans="2:8" x14ac:dyDescent="0.25">
      <c r="B209" t="str">
        <f t="shared" si="3"/>
        <v>AGOPopulation ages 00-04, female</v>
      </c>
      <c r="C209" t="s">
        <v>182</v>
      </c>
      <c r="D209" t="s">
        <v>165</v>
      </c>
      <c r="E209" t="s">
        <v>362</v>
      </c>
      <c r="F209" t="s">
        <v>691</v>
      </c>
      <c r="G209">
        <v>2809000</v>
      </c>
      <c r="H209">
        <v>2871000</v>
      </c>
    </row>
    <row r="210" spans="2:8" x14ac:dyDescent="0.25">
      <c r="B210" t="str">
        <f t="shared" si="3"/>
        <v>AGOPopulation ages 00-04, male</v>
      </c>
      <c r="C210" t="s">
        <v>182</v>
      </c>
      <c r="D210" t="s">
        <v>165</v>
      </c>
      <c r="E210" t="s">
        <v>363</v>
      </c>
      <c r="F210" t="s">
        <v>692</v>
      </c>
      <c r="G210">
        <v>2861000</v>
      </c>
      <c r="H210">
        <v>2924000</v>
      </c>
    </row>
    <row r="211" spans="2:8" x14ac:dyDescent="0.25">
      <c r="B211" t="str">
        <f t="shared" si="3"/>
        <v>AGOPopulation ages 05-09, female</v>
      </c>
      <c r="C211" t="s">
        <v>182</v>
      </c>
      <c r="D211" t="s">
        <v>165</v>
      </c>
      <c r="E211" t="s">
        <v>364</v>
      </c>
      <c r="F211" t="s">
        <v>693</v>
      </c>
      <c r="G211">
        <v>2476000</v>
      </c>
      <c r="H211">
        <v>2536000</v>
      </c>
    </row>
    <row r="212" spans="2:8" x14ac:dyDescent="0.25">
      <c r="B212" t="str">
        <f t="shared" si="3"/>
        <v>AGOPopulation ages 05-09, male</v>
      </c>
      <c r="C212" t="s">
        <v>182</v>
      </c>
      <c r="D212" t="s">
        <v>165</v>
      </c>
      <c r="E212" t="s">
        <v>365</v>
      </c>
      <c r="F212" t="s">
        <v>694</v>
      </c>
      <c r="G212">
        <v>2499000</v>
      </c>
      <c r="H212">
        <v>2568000</v>
      </c>
    </row>
    <row r="213" spans="2:8" x14ac:dyDescent="0.25">
      <c r="B213" t="str">
        <f t="shared" si="3"/>
        <v>AGOPopulation ages 10-14, female</v>
      </c>
      <c r="C213" t="s">
        <v>182</v>
      </c>
      <c r="D213" t="s">
        <v>165</v>
      </c>
      <c r="E213" t="s">
        <v>366</v>
      </c>
      <c r="F213" t="s">
        <v>695</v>
      </c>
      <c r="G213">
        <v>2106000</v>
      </c>
      <c r="H213">
        <v>2183000</v>
      </c>
    </row>
    <row r="214" spans="2:8" x14ac:dyDescent="0.25">
      <c r="B214" t="str">
        <f t="shared" si="3"/>
        <v>AGOPopulation ages 10-14, male</v>
      </c>
      <c r="C214" t="s">
        <v>182</v>
      </c>
      <c r="D214" t="s">
        <v>165</v>
      </c>
      <c r="E214" t="s">
        <v>367</v>
      </c>
      <c r="F214" t="s">
        <v>696</v>
      </c>
      <c r="G214">
        <v>2086000</v>
      </c>
      <c r="H214">
        <v>2167000</v>
      </c>
    </row>
    <row r="215" spans="2:8" x14ac:dyDescent="0.25">
      <c r="B215" t="str">
        <f t="shared" si="3"/>
        <v>AGOPopulation ages 15-19, female</v>
      </c>
      <c r="C215" t="s">
        <v>182</v>
      </c>
      <c r="D215" t="s">
        <v>165</v>
      </c>
      <c r="E215" t="s">
        <v>368</v>
      </c>
      <c r="F215" t="s">
        <v>697</v>
      </c>
      <c r="G215">
        <v>1711000</v>
      </c>
      <c r="H215">
        <v>1781000</v>
      </c>
    </row>
    <row r="216" spans="2:8" x14ac:dyDescent="0.25">
      <c r="B216" t="str">
        <f t="shared" si="3"/>
        <v>AGOPopulation ages 15-19, male</v>
      </c>
      <c r="C216" t="s">
        <v>182</v>
      </c>
      <c r="D216" t="s">
        <v>165</v>
      </c>
      <c r="E216" t="s">
        <v>369</v>
      </c>
      <c r="F216" t="s">
        <v>698</v>
      </c>
      <c r="G216">
        <v>1682000</v>
      </c>
      <c r="H216">
        <v>1752000</v>
      </c>
    </row>
    <row r="217" spans="2:8" x14ac:dyDescent="0.25">
      <c r="B217" t="str">
        <f t="shared" si="3"/>
        <v>AGOPopulation ages 20-24, female</v>
      </c>
      <c r="C217" t="s">
        <v>182</v>
      </c>
      <c r="D217" t="s">
        <v>165</v>
      </c>
      <c r="E217" t="s">
        <v>370</v>
      </c>
      <c r="F217" t="s">
        <v>699</v>
      </c>
      <c r="G217">
        <v>1409000</v>
      </c>
      <c r="H217">
        <v>1458000</v>
      </c>
    </row>
    <row r="218" spans="2:8" x14ac:dyDescent="0.25">
      <c r="B218" t="str">
        <f t="shared" si="3"/>
        <v>AGOPopulation ages 20-24, male</v>
      </c>
      <c r="C218" t="s">
        <v>182</v>
      </c>
      <c r="D218" t="s">
        <v>165</v>
      </c>
      <c r="E218" t="s">
        <v>371</v>
      </c>
      <c r="F218" t="s">
        <v>700</v>
      </c>
      <c r="G218">
        <v>1376000</v>
      </c>
      <c r="H218">
        <v>1424000</v>
      </c>
    </row>
    <row r="219" spans="2:8" x14ac:dyDescent="0.25">
      <c r="B219" t="str">
        <f t="shared" si="3"/>
        <v>AGOPopulation ages 25-29, female</v>
      </c>
      <c r="C219" t="s">
        <v>182</v>
      </c>
      <c r="D219" t="s">
        <v>165</v>
      </c>
      <c r="E219" t="s">
        <v>372</v>
      </c>
      <c r="F219" t="s">
        <v>701</v>
      </c>
      <c r="G219">
        <v>1195000</v>
      </c>
      <c r="H219">
        <v>1231000</v>
      </c>
    </row>
    <row r="220" spans="2:8" x14ac:dyDescent="0.25">
      <c r="B220" t="str">
        <f t="shared" si="3"/>
        <v>AGOPopulation ages 25-29, male</v>
      </c>
      <c r="C220" t="s">
        <v>182</v>
      </c>
      <c r="D220" t="s">
        <v>165</v>
      </c>
      <c r="E220" t="s">
        <v>373</v>
      </c>
      <c r="F220" t="s">
        <v>702</v>
      </c>
      <c r="G220">
        <v>1157000</v>
      </c>
      <c r="H220">
        <v>1192000</v>
      </c>
    </row>
    <row r="221" spans="2:8" x14ac:dyDescent="0.25">
      <c r="B221" t="str">
        <f t="shared" si="3"/>
        <v>AGOPopulation ages 30-34, female</v>
      </c>
      <c r="C221" t="s">
        <v>182</v>
      </c>
      <c r="D221" t="s">
        <v>165</v>
      </c>
      <c r="E221" t="s">
        <v>374</v>
      </c>
      <c r="F221" t="s">
        <v>703</v>
      </c>
      <c r="G221">
        <v>1006000</v>
      </c>
      <c r="H221">
        <v>1041000</v>
      </c>
    </row>
    <row r="222" spans="2:8" x14ac:dyDescent="0.25">
      <c r="B222" t="str">
        <f t="shared" si="3"/>
        <v>AGOPopulation ages 30-34, male</v>
      </c>
      <c r="C222" t="s">
        <v>182</v>
      </c>
      <c r="D222" t="s">
        <v>165</v>
      </c>
      <c r="E222" t="s">
        <v>375</v>
      </c>
      <c r="F222" t="s">
        <v>704</v>
      </c>
      <c r="G222">
        <v>966000</v>
      </c>
      <c r="H222">
        <v>999000</v>
      </c>
    </row>
    <row r="223" spans="2:8" x14ac:dyDescent="0.25">
      <c r="B223" t="str">
        <f t="shared" si="3"/>
        <v>AGOPopulation ages 35-39, female</v>
      </c>
      <c r="C223" t="s">
        <v>182</v>
      </c>
      <c r="D223" t="s">
        <v>165</v>
      </c>
      <c r="E223" t="s">
        <v>376</v>
      </c>
      <c r="F223" t="s">
        <v>705</v>
      </c>
      <c r="G223">
        <v>817000</v>
      </c>
      <c r="H223">
        <v>850000</v>
      </c>
    </row>
    <row r="224" spans="2:8" x14ac:dyDescent="0.25">
      <c r="B224" t="str">
        <f t="shared" si="3"/>
        <v>AGOPopulation ages 35-39, male</v>
      </c>
      <c r="C224" t="s">
        <v>182</v>
      </c>
      <c r="D224" t="s">
        <v>165</v>
      </c>
      <c r="E224" t="s">
        <v>377</v>
      </c>
      <c r="F224" t="s">
        <v>706</v>
      </c>
      <c r="G224">
        <v>778000</v>
      </c>
      <c r="H224">
        <v>809000</v>
      </c>
    </row>
    <row r="225" spans="2:8" x14ac:dyDescent="0.25">
      <c r="B225" t="str">
        <f t="shared" si="3"/>
        <v>AGOPopulation ages 40-44, female</v>
      </c>
      <c r="C225" t="s">
        <v>182</v>
      </c>
      <c r="D225" t="s">
        <v>165</v>
      </c>
      <c r="E225" t="s">
        <v>378</v>
      </c>
      <c r="F225" t="s">
        <v>707</v>
      </c>
      <c r="G225">
        <v>662000</v>
      </c>
      <c r="H225">
        <v>685000</v>
      </c>
    </row>
    <row r="226" spans="2:8" x14ac:dyDescent="0.25">
      <c r="B226" t="str">
        <f t="shared" si="3"/>
        <v>AGOPopulation ages 40-44, male</v>
      </c>
      <c r="C226" t="s">
        <v>182</v>
      </c>
      <c r="D226" t="s">
        <v>165</v>
      </c>
      <c r="E226" t="s">
        <v>379</v>
      </c>
      <c r="F226" t="s">
        <v>708</v>
      </c>
      <c r="G226">
        <v>624000</v>
      </c>
      <c r="H226">
        <v>646000</v>
      </c>
    </row>
    <row r="227" spans="2:8" x14ac:dyDescent="0.25">
      <c r="B227" t="str">
        <f t="shared" si="3"/>
        <v>AGOPopulation ages 45-49, female</v>
      </c>
      <c r="C227" t="s">
        <v>182</v>
      </c>
      <c r="D227" t="s">
        <v>165</v>
      </c>
      <c r="E227" t="s">
        <v>380</v>
      </c>
      <c r="F227" t="s">
        <v>709</v>
      </c>
      <c r="G227">
        <v>535000</v>
      </c>
      <c r="H227">
        <v>561000</v>
      </c>
    </row>
    <row r="228" spans="2:8" x14ac:dyDescent="0.25">
      <c r="B228" t="str">
        <f t="shared" si="3"/>
        <v>AGOPopulation ages 45-49, male</v>
      </c>
      <c r="C228" t="s">
        <v>182</v>
      </c>
      <c r="D228" t="s">
        <v>165</v>
      </c>
      <c r="E228" t="s">
        <v>381</v>
      </c>
      <c r="F228" t="s">
        <v>710</v>
      </c>
      <c r="G228">
        <v>497000</v>
      </c>
      <c r="H228">
        <v>521000</v>
      </c>
    </row>
    <row r="229" spans="2:8" x14ac:dyDescent="0.25">
      <c r="B229" t="str">
        <f t="shared" si="3"/>
        <v>AGOPopulation ages 50-54, female</v>
      </c>
      <c r="C229" t="s">
        <v>182</v>
      </c>
      <c r="D229" t="s">
        <v>165</v>
      </c>
      <c r="E229" t="s">
        <v>382</v>
      </c>
      <c r="F229" t="s">
        <v>711</v>
      </c>
      <c r="G229">
        <v>395000</v>
      </c>
      <c r="H229">
        <v>411000</v>
      </c>
    </row>
    <row r="230" spans="2:8" x14ac:dyDescent="0.25">
      <c r="B230" t="str">
        <f t="shared" si="3"/>
        <v>AGOPopulation ages 50-54, male</v>
      </c>
      <c r="C230" t="s">
        <v>182</v>
      </c>
      <c r="D230" t="s">
        <v>165</v>
      </c>
      <c r="E230" t="s">
        <v>383</v>
      </c>
      <c r="F230" t="s">
        <v>712</v>
      </c>
      <c r="G230">
        <v>367000</v>
      </c>
      <c r="H230">
        <v>376000</v>
      </c>
    </row>
    <row r="231" spans="2:8" x14ac:dyDescent="0.25">
      <c r="B231" t="str">
        <f t="shared" si="3"/>
        <v>AGOPopulation ages 55-59, male</v>
      </c>
      <c r="C231" t="s">
        <v>182</v>
      </c>
      <c r="D231" t="s">
        <v>165</v>
      </c>
      <c r="E231" t="s">
        <v>385</v>
      </c>
      <c r="F231" t="s">
        <v>713</v>
      </c>
      <c r="G231">
        <v>324000</v>
      </c>
      <c r="H231">
        <v>333000</v>
      </c>
    </row>
    <row r="232" spans="2:8" x14ac:dyDescent="0.25">
      <c r="B232" t="str">
        <f t="shared" si="3"/>
        <v>AGOPopulation ages 55-59, female</v>
      </c>
      <c r="C232" t="s">
        <v>182</v>
      </c>
      <c r="D232" t="s">
        <v>165</v>
      </c>
      <c r="E232" t="s">
        <v>384</v>
      </c>
      <c r="F232" t="s">
        <v>714</v>
      </c>
      <c r="G232">
        <v>334000</v>
      </c>
      <c r="H232">
        <v>345000</v>
      </c>
    </row>
    <row r="233" spans="2:8" x14ac:dyDescent="0.25">
      <c r="B233" t="str">
        <f t="shared" si="3"/>
        <v>AGOPopulation ages 65-69, male</v>
      </c>
      <c r="C233" t="s">
        <v>182</v>
      </c>
      <c r="D233" t="s">
        <v>165</v>
      </c>
      <c r="E233" t="s">
        <v>389</v>
      </c>
      <c r="F233" t="s">
        <v>715</v>
      </c>
      <c r="G233">
        <v>140000</v>
      </c>
      <c r="H233">
        <v>145000</v>
      </c>
    </row>
    <row r="234" spans="2:8" x14ac:dyDescent="0.25">
      <c r="B234" t="str">
        <f t="shared" si="3"/>
        <v>AGOPopulation ages 65-69, female</v>
      </c>
      <c r="C234" t="s">
        <v>182</v>
      </c>
      <c r="D234" t="s">
        <v>165</v>
      </c>
      <c r="E234" t="s">
        <v>388</v>
      </c>
      <c r="F234" t="s">
        <v>716</v>
      </c>
      <c r="G234">
        <v>152000</v>
      </c>
      <c r="H234">
        <v>159000</v>
      </c>
    </row>
    <row r="235" spans="2:8" x14ac:dyDescent="0.25">
      <c r="B235" t="str">
        <f t="shared" si="3"/>
        <v>AGOPopulation ages 60-64, female</v>
      </c>
      <c r="C235" t="s">
        <v>182</v>
      </c>
      <c r="D235" t="s">
        <v>165</v>
      </c>
      <c r="E235" t="s">
        <v>386</v>
      </c>
      <c r="F235" t="s">
        <v>717</v>
      </c>
      <c r="G235">
        <v>237000</v>
      </c>
      <c r="H235">
        <v>253000</v>
      </c>
    </row>
    <row r="236" spans="2:8" x14ac:dyDescent="0.25">
      <c r="B236" t="str">
        <f t="shared" si="3"/>
        <v>AGOPopulation ages 60-64, male</v>
      </c>
      <c r="C236" t="s">
        <v>182</v>
      </c>
      <c r="D236" t="s">
        <v>165</v>
      </c>
      <c r="E236" t="s">
        <v>387</v>
      </c>
      <c r="F236" t="s">
        <v>718</v>
      </c>
      <c r="G236">
        <v>216000</v>
      </c>
      <c r="H236">
        <v>229000</v>
      </c>
    </row>
    <row r="237" spans="2:8" x14ac:dyDescent="0.25">
      <c r="B237" t="str">
        <f t="shared" si="3"/>
        <v>AGOPopulation ages 70-74, female</v>
      </c>
      <c r="C237" t="s">
        <v>182</v>
      </c>
      <c r="D237" t="s">
        <v>165</v>
      </c>
      <c r="E237" t="s">
        <v>390</v>
      </c>
      <c r="F237" t="s">
        <v>719</v>
      </c>
      <c r="G237">
        <v>114000</v>
      </c>
      <c r="H237">
        <v>117000</v>
      </c>
    </row>
    <row r="238" spans="2:8" x14ac:dyDescent="0.25">
      <c r="B238" t="str">
        <f t="shared" si="3"/>
        <v>AGOPopulation ages 70-74, male</v>
      </c>
      <c r="C238" t="s">
        <v>182</v>
      </c>
      <c r="D238" t="s">
        <v>165</v>
      </c>
      <c r="E238" t="s">
        <v>391</v>
      </c>
      <c r="F238" t="s">
        <v>720</v>
      </c>
      <c r="G238">
        <v>93000</v>
      </c>
      <c r="H238">
        <v>95000</v>
      </c>
    </row>
    <row r="239" spans="2:8" x14ac:dyDescent="0.25">
      <c r="B239" t="str">
        <f t="shared" si="3"/>
        <v>AGOPopulation ages 75-79, female</v>
      </c>
      <c r="C239" t="s">
        <v>182</v>
      </c>
      <c r="D239" t="s">
        <v>165</v>
      </c>
      <c r="E239" t="s">
        <v>392</v>
      </c>
      <c r="F239" t="s">
        <v>721</v>
      </c>
      <c r="G239">
        <v>68000</v>
      </c>
      <c r="H239">
        <v>69000</v>
      </c>
    </row>
    <row r="240" spans="2:8" x14ac:dyDescent="0.25">
      <c r="B240" t="str">
        <f t="shared" si="3"/>
        <v>AGOPopulation ages 75-79, male</v>
      </c>
      <c r="C240" t="s">
        <v>182</v>
      </c>
      <c r="D240" t="s">
        <v>165</v>
      </c>
      <c r="E240" t="s">
        <v>393</v>
      </c>
      <c r="F240" t="s">
        <v>722</v>
      </c>
      <c r="G240">
        <v>48000</v>
      </c>
      <c r="H240">
        <v>50000</v>
      </c>
    </row>
    <row r="241" spans="2:8" x14ac:dyDescent="0.25">
      <c r="B241" t="str">
        <f t="shared" si="3"/>
        <v>AGOPopulation ages 80 and above, female</v>
      </c>
      <c r="C241" t="s">
        <v>182</v>
      </c>
      <c r="D241" t="s">
        <v>165</v>
      </c>
      <c r="E241" t="s">
        <v>394</v>
      </c>
      <c r="F241" t="s">
        <v>723</v>
      </c>
      <c r="G241">
        <v>54000</v>
      </c>
      <c r="H241">
        <v>54000</v>
      </c>
    </row>
    <row r="242" spans="2:8" x14ac:dyDescent="0.25">
      <c r="B242" t="str">
        <f t="shared" si="3"/>
        <v>AGOPopulation ages 80 and above, male</v>
      </c>
      <c r="C242" t="s">
        <v>182</v>
      </c>
      <c r="D242" t="s">
        <v>165</v>
      </c>
      <c r="E242" t="s">
        <v>395</v>
      </c>
      <c r="F242" t="s">
        <v>724</v>
      </c>
      <c r="G242">
        <v>32000</v>
      </c>
      <c r="H242">
        <v>31000</v>
      </c>
    </row>
    <row r="243" spans="2:8" x14ac:dyDescent="0.25">
      <c r="B243" t="str">
        <f t="shared" si="3"/>
        <v>AGOPopulation, male</v>
      </c>
      <c r="C243" t="s">
        <v>182</v>
      </c>
      <c r="D243" t="s">
        <v>165</v>
      </c>
      <c r="E243" t="s">
        <v>397</v>
      </c>
      <c r="F243" t="s">
        <v>725</v>
      </c>
      <c r="G243">
        <v>15745000</v>
      </c>
      <c r="H243">
        <v>16261000</v>
      </c>
    </row>
    <row r="244" spans="2:8" x14ac:dyDescent="0.25">
      <c r="B244" t="str">
        <f t="shared" si="3"/>
        <v>AGOPopulation, total</v>
      </c>
      <c r="C244" t="s">
        <v>182</v>
      </c>
      <c r="D244" t="s">
        <v>165</v>
      </c>
      <c r="E244" t="s">
        <v>398</v>
      </c>
      <c r="F244" t="s">
        <v>726</v>
      </c>
      <c r="G244">
        <v>31825000</v>
      </c>
      <c r="H244">
        <v>32866000</v>
      </c>
    </row>
    <row r="245" spans="2:8" x14ac:dyDescent="0.25">
      <c r="B245" t="str">
        <f t="shared" si="3"/>
        <v>AGOPopulation, female</v>
      </c>
      <c r="C245" t="s">
        <v>182</v>
      </c>
      <c r="D245" t="s">
        <v>165</v>
      </c>
      <c r="E245" t="s">
        <v>396</v>
      </c>
      <c r="F245" t="s">
        <v>727</v>
      </c>
      <c r="G245">
        <v>16081000</v>
      </c>
      <c r="H245">
        <v>16605000</v>
      </c>
    </row>
    <row r="246" spans="2:8" x14ac:dyDescent="0.25">
      <c r="B246" t="str">
        <f t="shared" si="3"/>
        <v>AGOPopulation growth (annual %)</v>
      </c>
      <c r="C246" t="s">
        <v>182</v>
      </c>
      <c r="D246" t="s">
        <v>165</v>
      </c>
      <c r="E246" t="s">
        <v>399</v>
      </c>
      <c r="F246" t="s">
        <v>728</v>
      </c>
      <c r="G246">
        <v>0</v>
      </c>
      <c r="H246">
        <v>0</v>
      </c>
    </row>
    <row r="247" spans="2:8" x14ac:dyDescent="0.25">
      <c r="B247" t="str">
        <f t="shared" si="3"/>
        <v>ATGPopulation ages 0-14, female</v>
      </c>
      <c r="C247" t="s">
        <v>423</v>
      </c>
      <c r="D247" t="s">
        <v>424</v>
      </c>
      <c r="E247" t="s">
        <v>687</v>
      </c>
      <c r="F247" t="s">
        <v>688</v>
      </c>
      <c r="G247">
        <v>11000</v>
      </c>
      <c r="H247">
        <v>11000</v>
      </c>
    </row>
    <row r="248" spans="2:8" x14ac:dyDescent="0.25">
      <c r="B248" t="str">
        <f t="shared" si="3"/>
        <v>ATGPopulation ages 0-14, male</v>
      </c>
      <c r="C248" t="s">
        <v>423</v>
      </c>
      <c r="D248" t="s">
        <v>424</v>
      </c>
      <c r="E248" t="s">
        <v>689</v>
      </c>
      <c r="F248" t="s">
        <v>690</v>
      </c>
      <c r="G248">
        <v>11000</v>
      </c>
      <c r="H248">
        <v>11000</v>
      </c>
    </row>
    <row r="249" spans="2:8" x14ac:dyDescent="0.25">
      <c r="B249" t="str">
        <f t="shared" si="3"/>
        <v>ATGPopulation ages 00-04, female</v>
      </c>
      <c r="C249" t="s">
        <v>423</v>
      </c>
      <c r="D249" t="s">
        <v>424</v>
      </c>
      <c r="E249" t="s">
        <v>362</v>
      </c>
      <c r="F249" t="s">
        <v>691</v>
      </c>
      <c r="G249">
        <v>3600</v>
      </c>
      <c r="H249">
        <v>3600</v>
      </c>
    </row>
    <row r="250" spans="2:8" x14ac:dyDescent="0.25">
      <c r="B250" t="str">
        <f t="shared" si="3"/>
        <v>ATGPopulation ages 00-04, male</v>
      </c>
      <c r="C250" t="s">
        <v>423</v>
      </c>
      <c r="D250" t="s">
        <v>424</v>
      </c>
      <c r="E250" t="s">
        <v>363</v>
      </c>
      <c r="F250" t="s">
        <v>692</v>
      </c>
      <c r="G250">
        <v>3700</v>
      </c>
      <c r="H250">
        <v>3700</v>
      </c>
    </row>
    <row r="251" spans="2:8" x14ac:dyDescent="0.25">
      <c r="B251" t="str">
        <f t="shared" si="3"/>
        <v>ATGPopulation ages 05-09, female</v>
      </c>
      <c r="C251" t="s">
        <v>423</v>
      </c>
      <c r="D251" t="s">
        <v>424</v>
      </c>
      <c r="E251" t="s">
        <v>364</v>
      </c>
      <c r="F251" t="s">
        <v>693</v>
      </c>
      <c r="G251">
        <v>3500</v>
      </c>
      <c r="H251">
        <v>3600</v>
      </c>
    </row>
    <row r="252" spans="2:8" x14ac:dyDescent="0.25">
      <c r="B252" t="str">
        <f t="shared" si="3"/>
        <v>ATGPopulation ages 05-09, male</v>
      </c>
      <c r="C252" t="s">
        <v>423</v>
      </c>
      <c r="D252" t="s">
        <v>424</v>
      </c>
      <c r="E252" t="s">
        <v>365</v>
      </c>
      <c r="F252" t="s">
        <v>694</v>
      </c>
      <c r="G252">
        <v>3600</v>
      </c>
      <c r="H252">
        <v>3700</v>
      </c>
    </row>
    <row r="253" spans="2:8" x14ac:dyDescent="0.25">
      <c r="B253" t="str">
        <f t="shared" si="3"/>
        <v>ATGPopulation ages 10-14, female</v>
      </c>
      <c r="C253" t="s">
        <v>423</v>
      </c>
      <c r="D253" t="s">
        <v>424</v>
      </c>
      <c r="E253" t="s">
        <v>366</v>
      </c>
      <c r="F253" t="s">
        <v>695</v>
      </c>
      <c r="G253">
        <v>3400</v>
      </c>
      <c r="H253">
        <v>3400</v>
      </c>
    </row>
    <row r="254" spans="2:8" x14ac:dyDescent="0.25">
      <c r="B254" t="str">
        <f t="shared" si="3"/>
        <v>ATGPopulation ages 10-14, male</v>
      </c>
      <c r="C254" t="s">
        <v>423</v>
      </c>
      <c r="D254" t="s">
        <v>424</v>
      </c>
      <c r="E254" t="s">
        <v>367</v>
      </c>
      <c r="F254" t="s">
        <v>696</v>
      </c>
      <c r="G254">
        <v>3400</v>
      </c>
      <c r="H254">
        <v>3400</v>
      </c>
    </row>
    <row r="255" spans="2:8" x14ac:dyDescent="0.25">
      <c r="B255" t="str">
        <f t="shared" si="3"/>
        <v>ATGPopulation ages 15-19, female</v>
      </c>
      <c r="C255" t="s">
        <v>423</v>
      </c>
      <c r="D255" t="s">
        <v>424</v>
      </c>
      <c r="E255" t="s">
        <v>368</v>
      </c>
      <c r="F255" t="s">
        <v>697</v>
      </c>
      <c r="G255">
        <v>3500</v>
      </c>
      <c r="H255">
        <v>3500</v>
      </c>
    </row>
    <row r="256" spans="2:8" x14ac:dyDescent="0.25">
      <c r="B256" t="str">
        <f t="shared" si="3"/>
        <v>ATGPopulation ages 15-19, male</v>
      </c>
      <c r="C256" t="s">
        <v>423</v>
      </c>
      <c r="D256" t="s">
        <v>424</v>
      </c>
      <c r="E256" t="s">
        <v>369</v>
      </c>
      <c r="F256" t="s">
        <v>698</v>
      </c>
      <c r="G256">
        <v>3600</v>
      </c>
      <c r="H256">
        <v>3600</v>
      </c>
    </row>
    <row r="257" spans="2:8" x14ac:dyDescent="0.25">
      <c r="B257" t="str">
        <f t="shared" si="3"/>
        <v>ATGPopulation ages 20-24, female</v>
      </c>
      <c r="C257" t="s">
        <v>423</v>
      </c>
      <c r="D257" t="s">
        <v>424</v>
      </c>
      <c r="E257" t="s">
        <v>370</v>
      </c>
      <c r="F257" t="s">
        <v>699</v>
      </c>
      <c r="G257">
        <v>3800</v>
      </c>
      <c r="H257">
        <v>3800</v>
      </c>
    </row>
    <row r="258" spans="2:8" x14ac:dyDescent="0.25">
      <c r="B258" t="str">
        <f t="shared" si="3"/>
        <v>ATGPopulation ages 20-24, male</v>
      </c>
      <c r="C258" t="s">
        <v>423</v>
      </c>
      <c r="D258" t="s">
        <v>424</v>
      </c>
      <c r="E258" t="s">
        <v>371</v>
      </c>
      <c r="F258" t="s">
        <v>700</v>
      </c>
      <c r="G258">
        <v>3800</v>
      </c>
      <c r="H258">
        <v>3800</v>
      </c>
    </row>
    <row r="259" spans="2:8" x14ac:dyDescent="0.25">
      <c r="B259" t="str">
        <f t="shared" si="3"/>
        <v>ATGPopulation ages 25-29, female</v>
      </c>
      <c r="C259" t="s">
        <v>423</v>
      </c>
      <c r="D259" t="s">
        <v>424</v>
      </c>
      <c r="E259" t="s">
        <v>372</v>
      </c>
      <c r="F259" t="s">
        <v>701</v>
      </c>
      <c r="G259">
        <v>3700</v>
      </c>
      <c r="H259">
        <v>3700</v>
      </c>
    </row>
    <row r="260" spans="2:8" x14ac:dyDescent="0.25">
      <c r="B260" t="str">
        <f t="shared" si="3"/>
        <v>ATGPopulation ages 25-29, male</v>
      </c>
      <c r="C260" t="s">
        <v>423</v>
      </c>
      <c r="D260" t="s">
        <v>424</v>
      </c>
      <c r="E260" t="s">
        <v>373</v>
      </c>
      <c r="F260" t="s">
        <v>702</v>
      </c>
      <c r="G260">
        <v>3600</v>
      </c>
      <c r="H260">
        <v>3600</v>
      </c>
    </row>
    <row r="261" spans="2:8" x14ac:dyDescent="0.25">
      <c r="B261" t="str">
        <f t="shared" si="3"/>
        <v>ATGPopulation ages 30-34, female</v>
      </c>
      <c r="C261" t="s">
        <v>423</v>
      </c>
      <c r="D261" t="s">
        <v>424</v>
      </c>
      <c r="E261" t="s">
        <v>374</v>
      </c>
      <c r="F261" t="s">
        <v>703</v>
      </c>
      <c r="G261">
        <v>3700</v>
      </c>
      <c r="H261">
        <v>3700</v>
      </c>
    </row>
    <row r="262" spans="2:8" x14ac:dyDescent="0.25">
      <c r="B262" t="str">
        <f t="shared" si="3"/>
        <v>ATGPopulation ages 30-34, male</v>
      </c>
      <c r="C262" t="s">
        <v>423</v>
      </c>
      <c r="D262" t="s">
        <v>424</v>
      </c>
      <c r="E262" t="s">
        <v>375</v>
      </c>
      <c r="F262" t="s">
        <v>704</v>
      </c>
      <c r="G262">
        <v>3400</v>
      </c>
      <c r="H262">
        <v>3400</v>
      </c>
    </row>
    <row r="263" spans="2:8" x14ac:dyDescent="0.25">
      <c r="B263" t="str">
        <f t="shared" ref="B263:B326" si="4">CONCATENATE(D263,E263)</f>
        <v>ATGPopulation ages 35-39, female</v>
      </c>
      <c r="C263" t="s">
        <v>423</v>
      </c>
      <c r="D263" t="s">
        <v>424</v>
      </c>
      <c r="E263" t="s">
        <v>376</v>
      </c>
      <c r="F263" t="s">
        <v>705</v>
      </c>
      <c r="G263">
        <v>3700</v>
      </c>
      <c r="H263">
        <v>3700</v>
      </c>
    </row>
    <row r="264" spans="2:8" x14ac:dyDescent="0.25">
      <c r="B264" t="str">
        <f t="shared" si="4"/>
        <v>ATGPopulation ages 35-39, male</v>
      </c>
      <c r="C264" t="s">
        <v>423</v>
      </c>
      <c r="D264" t="s">
        <v>424</v>
      </c>
      <c r="E264" t="s">
        <v>377</v>
      </c>
      <c r="F264" t="s">
        <v>706</v>
      </c>
      <c r="G264">
        <v>3300</v>
      </c>
      <c r="H264">
        <v>3300</v>
      </c>
    </row>
    <row r="265" spans="2:8" x14ac:dyDescent="0.25">
      <c r="B265" t="str">
        <f t="shared" si="4"/>
        <v>ATGPopulation ages 40-44, female</v>
      </c>
      <c r="C265" t="s">
        <v>423</v>
      </c>
      <c r="D265" t="s">
        <v>424</v>
      </c>
      <c r="E265" t="s">
        <v>378</v>
      </c>
      <c r="F265" t="s">
        <v>707</v>
      </c>
      <c r="G265">
        <v>3700</v>
      </c>
      <c r="H265">
        <v>3700</v>
      </c>
    </row>
    <row r="266" spans="2:8" x14ac:dyDescent="0.25">
      <c r="B266" t="str">
        <f t="shared" si="4"/>
        <v>ATGPopulation ages 40-44, male</v>
      </c>
      <c r="C266" t="s">
        <v>423</v>
      </c>
      <c r="D266" t="s">
        <v>424</v>
      </c>
      <c r="E266" t="s">
        <v>379</v>
      </c>
      <c r="F266" t="s">
        <v>708</v>
      </c>
      <c r="G266">
        <v>3200</v>
      </c>
      <c r="H266">
        <v>3200</v>
      </c>
    </row>
    <row r="267" spans="2:8" x14ac:dyDescent="0.25">
      <c r="B267" t="str">
        <f t="shared" si="4"/>
        <v>ATGPopulation ages 45-49, female</v>
      </c>
      <c r="C267" t="s">
        <v>423</v>
      </c>
      <c r="D267" t="s">
        <v>424</v>
      </c>
      <c r="E267" t="s">
        <v>380</v>
      </c>
      <c r="F267" t="s">
        <v>709</v>
      </c>
      <c r="G267">
        <v>3800</v>
      </c>
      <c r="H267">
        <v>3800</v>
      </c>
    </row>
    <row r="268" spans="2:8" x14ac:dyDescent="0.25">
      <c r="B268" t="str">
        <f t="shared" si="4"/>
        <v>ATGPopulation ages 45-49, male</v>
      </c>
      <c r="C268" t="s">
        <v>423</v>
      </c>
      <c r="D268" t="s">
        <v>424</v>
      </c>
      <c r="E268" t="s">
        <v>381</v>
      </c>
      <c r="F268" t="s">
        <v>710</v>
      </c>
      <c r="G268">
        <v>3200</v>
      </c>
      <c r="H268">
        <v>3200</v>
      </c>
    </row>
    <row r="269" spans="2:8" x14ac:dyDescent="0.25">
      <c r="B269" t="str">
        <f t="shared" si="4"/>
        <v>ATGPopulation ages 50-54, female</v>
      </c>
      <c r="C269" t="s">
        <v>423</v>
      </c>
      <c r="D269" t="s">
        <v>424</v>
      </c>
      <c r="E269" t="s">
        <v>382</v>
      </c>
      <c r="F269" t="s">
        <v>711</v>
      </c>
      <c r="G269">
        <v>3600</v>
      </c>
      <c r="H269">
        <v>3600</v>
      </c>
    </row>
    <row r="270" spans="2:8" x14ac:dyDescent="0.25">
      <c r="B270" t="str">
        <f t="shared" si="4"/>
        <v>ATGPopulation ages 50-54, male</v>
      </c>
      <c r="C270" t="s">
        <v>423</v>
      </c>
      <c r="D270" t="s">
        <v>424</v>
      </c>
      <c r="E270" t="s">
        <v>383</v>
      </c>
      <c r="F270" t="s">
        <v>712</v>
      </c>
      <c r="G270">
        <v>3100</v>
      </c>
      <c r="H270">
        <v>3200</v>
      </c>
    </row>
    <row r="271" spans="2:8" x14ac:dyDescent="0.25">
      <c r="B271" t="str">
        <f t="shared" si="4"/>
        <v>ATGPopulation ages 55-59, male</v>
      </c>
      <c r="C271" t="s">
        <v>423</v>
      </c>
      <c r="D271" t="s">
        <v>424</v>
      </c>
      <c r="E271" t="s">
        <v>385</v>
      </c>
      <c r="F271" t="s">
        <v>713</v>
      </c>
      <c r="G271">
        <v>2700</v>
      </c>
      <c r="H271">
        <v>2800</v>
      </c>
    </row>
    <row r="272" spans="2:8" x14ac:dyDescent="0.25">
      <c r="B272" t="str">
        <f t="shared" si="4"/>
        <v>ATGPopulation ages 55-59, female</v>
      </c>
      <c r="C272" t="s">
        <v>423</v>
      </c>
      <c r="D272" t="s">
        <v>424</v>
      </c>
      <c r="E272" t="s">
        <v>384</v>
      </c>
      <c r="F272" t="s">
        <v>714</v>
      </c>
      <c r="G272">
        <v>3100</v>
      </c>
      <c r="H272">
        <v>3200</v>
      </c>
    </row>
    <row r="273" spans="2:8" x14ac:dyDescent="0.25">
      <c r="B273" t="str">
        <f t="shared" si="4"/>
        <v>ATGPopulation ages 65-69, male</v>
      </c>
      <c r="C273" t="s">
        <v>423</v>
      </c>
      <c r="D273" t="s">
        <v>424</v>
      </c>
      <c r="E273" t="s">
        <v>389</v>
      </c>
      <c r="F273" t="s">
        <v>715</v>
      </c>
      <c r="G273">
        <v>1500</v>
      </c>
      <c r="H273">
        <v>1600</v>
      </c>
    </row>
    <row r="274" spans="2:8" x14ac:dyDescent="0.25">
      <c r="B274" t="str">
        <f t="shared" si="4"/>
        <v>ATGPopulation ages 65-69, female</v>
      </c>
      <c r="C274" t="s">
        <v>423</v>
      </c>
      <c r="D274" t="s">
        <v>424</v>
      </c>
      <c r="E274" t="s">
        <v>388</v>
      </c>
      <c r="F274" t="s">
        <v>716</v>
      </c>
      <c r="G274">
        <v>1700</v>
      </c>
      <c r="H274">
        <v>1800</v>
      </c>
    </row>
    <row r="275" spans="2:8" x14ac:dyDescent="0.25">
      <c r="B275" t="str">
        <f t="shared" si="4"/>
        <v>ATGPopulation ages 60-64, female</v>
      </c>
      <c r="C275" t="s">
        <v>423</v>
      </c>
      <c r="D275" t="s">
        <v>424</v>
      </c>
      <c r="E275" t="s">
        <v>386</v>
      </c>
      <c r="F275" t="s">
        <v>717</v>
      </c>
      <c r="G275">
        <v>2400</v>
      </c>
      <c r="H275">
        <v>2500</v>
      </c>
    </row>
    <row r="276" spans="2:8" x14ac:dyDescent="0.25">
      <c r="B276" t="str">
        <f t="shared" si="4"/>
        <v>ATGPopulation ages 60-64, male</v>
      </c>
      <c r="C276" t="s">
        <v>423</v>
      </c>
      <c r="D276" t="s">
        <v>424</v>
      </c>
      <c r="E276" t="s">
        <v>387</v>
      </c>
      <c r="F276" t="s">
        <v>718</v>
      </c>
      <c r="G276">
        <v>2100</v>
      </c>
      <c r="H276">
        <v>2200</v>
      </c>
    </row>
    <row r="277" spans="2:8" x14ac:dyDescent="0.25">
      <c r="B277" t="str">
        <f t="shared" si="4"/>
        <v>ATGPopulation ages 70-74, female</v>
      </c>
      <c r="C277" t="s">
        <v>423</v>
      </c>
      <c r="D277" t="s">
        <v>424</v>
      </c>
      <c r="E277" t="s">
        <v>390</v>
      </c>
      <c r="F277" t="s">
        <v>719</v>
      </c>
      <c r="G277">
        <v>1300</v>
      </c>
      <c r="H277">
        <v>1300</v>
      </c>
    </row>
    <row r="278" spans="2:8" x14ac:dyDescent="0.25">
      <c r="B278" t="str">
        <f t="shared" si="4"/>
        <v>ATGPopulation ages 70-74, male</v>
      </c>
      <c r="C278" t="s">
        <v>423</v>
      </c>
      <c r="D278" t="s">
        <v>424</v>
      </c>
      <c r="E278" t="s">
        <v>391</v>
      </c>
      <c r="F278" t="s">
        <v>720</v>
      </c>
      <c r="G278">
        <v>1100</v>
      </c>
      <c r="H278">
        <v>1200</v>
      </c>
    </row>
    <row r="279" spans="2:8" x14ac:dyDescent="0.25">
      <c r="B279" t="str">
        <f t="shared" si="4"/>
        <v>ATGPopulation ages 75-79, female</v>
      </c>
      <c r="C279" t="s">
        <v>423</v>
      </c>
      <c r="D279" t="s">
        <v>424</v>
      </c>
      <c r="E279" t="s">
        <v>392</v>
      </c>
      <c r="F279" t="s">
        <v>721</v>
      </c>
      <c r="G279">
        <v>800</v>
      </c>
      <c r="H279">
        <v>900</v>
      </c>
    </row>
    <row r="280" spans="2:8" x14ac:dyDescent="0.25">
      <c r="B280" t="str">
        <f t="shared" si="4"/>
        <v>ATGPopulation ages 75-79, male</v>
      </c>
      <c r="C280" t="s">
        <v>423</v>
      </c>
      <c r="D280" t="s">
        <v>424</v>
      </c>
      <c r="E280" t="s">
        <v>393</v>
      </c>
      <c r="F280" t="s">
        <v>722</v>
      </c>
      <c r="G280">
        <v>700</v>
      </c>
      <c r="H280">
        <v>700</v>
      </c>
    </row>
    <row r="281" spans="2:8" x14ac:dyDescent="0.25">
      <c r="B281" t="str">
        <f t="shared" si="4"/>
        <v>ATGPopulation ages 80 and above, female</v>
      </c>
      <c r="C281" t="s">
        <v>423</v>
      </c>
      <c r="D281" t="s">
        <v>424</v>
      </c>
      <c r="E281" t="s">
        <v>394</v>
      </c>
      <c r="F281" t="s">
        <v>723</v>
      </c>
      <c r="G281">
        <v>900</v>
      </c>
      <c r="H281">
        <v>900</v>
      </c>
    </row>
    <row r="282" spans="2:8" x14ac:dyDescent="0.25">
      <c r="B282" t="str">
        <f t="shared" si="4"/>
        <v>ATGPopulation ages 80 and above, male</v>
      </c>
      <c r="C282" t="s">
        <v>423</v>
      </c>
      <c r="D282" t="s">
        <v>424</v>
      </c>
      <c r="E282" t="s">
        <v>395</v>
      </c>
      <c r="F282" t="s">
        <v>724</v>
      </c>
      <c r="G282">
        <v>700</v>
      </c>
      <c r="H282">
        <v>700</v>
      </c>
    </row>
    <row r="283" spans="2:8" x14ac:dyDescent="0.25">
      <c r="B283" t="str">
        <f t="shared" si="4"/>
        <v>ATGPopulation, male</v>
      </c>
      <c r="C283" t="s">
        <v>423</v>
      </c>
      <c r="D283" t="s">
        <v>424</v>
      </c>
      <c r="E283" t="s">
        <v>397</v>
      </c>
      <c r="F283" t="s">
        <v>725</v>
      </c>
      <c r="G283">
        <v>47000</v>
      </c>
      <c r="H283">
        <v>47000</v>
      </c>
    </row>
    <row r="284" spans="2:8" x14ac:dyDescent="0.25">
      <c r="B284" t="str">
        <f t="shared" si="4"/>
        <v>ATGPopulation, total</v>
      </c>
      <c r="C284" t="s">
        <v>423</v>
      </c>
      <c r="D284" t="s">
        <v>424</v>
      </c>
      <c r="E284" t="s">
        <v>398</v>
      </c>
      <c r="F284" t="s">
        <v>726</v>
      </c>
      <c r="G284">
        <v>97000</v>
      </c>
      <c r="H284">
        <v>98000</v>
      </c>
    </row>
    <row r="285" spans="2:8" x14ac:dyDescent="0.25">
      <c r="B285" t="str">
        <f t="shared" si="4"/>
        <v>ATGPopulation, female</v>
      </c>
      <c r="C285" t="s">
        <v>423</v>
      </c>
      <c r="D285" t="s">
        <v>424</v>
      </c>
      <c r="E285" t="s">
        <v>396</v>
      </c>
      <c r="F285" t="s">
        <v>727</v>
      </c>
      <c r="G285">
        <v>50000</v>
      </c>
      <c r="H285">
        <v>51000</v>
      </c>
    </row>
    <row r="286" spans="2:8" x14ac:dyDescent="0.25">
      <c r="B286" t="str">
        <f t="shared" si="4"/>
        <v>ATGPopulation growth (annual %)</v>
      </c>
      <c r="C286" t="s">
        <v>423</v>
      </c>
      <c r="D286" t="s">
        <v>424</v>
      </c>
      <c r="E286" t="s">
        <v>399</v>
      </c>
      <c r="F286" t="s">
        <v>728</v>
      </c>
      <c r="G286">
        <v>0</v>
      </c>
      <c r="H286">
        <v>0</v>
      </c>
    </row>
    <row r="287" spans="2:8" x14ac:dyDescent="0.25">
      <c r="B287" t="str">
        <f t="shared" si="4"/>
        <v>ARBPopulation ages 0-14, female</v>
      </c>
      <c r="C287" t="s">
        <v>425</v>
      </c>
      <c r="D287" t="s">
        <v>426</v>
      </c>
      <c r="E287" t="s">
        <v>687</v>
      </c>
      <c r="F287" t="s">
        <v>688</v>
      </c>
      <c r="G287">
        <v>68286000</v>
      </c>
      <c r="H287">
        <v>69381000</v>
      </c>
    </row>
    <row r="288" spans="2:8" x14ac:dyDescent="0.25">
      <c r="B288" t="str">
        <f t="shared" si="4"/>
        <v>ARBPopulation ages 0-14, male</v>
      </c>
      <c r="C288" t="s">
        <v>425</v>
      </c>
      <c r="D288" t="s">
        <v>426</v>
      </c>
      <c r="E288" t="s">
        <v>689</v>
      </c>
      <c r="F288" t="s">
        <v>690</v>
      </c>
      <c r="G288">
        <v>71495000</v>
      </c>
      <c r="H288">
        <v>72628000</v>
      </c>
    </row>
    <row r="289" spans="2:8" x14ac:dyDescent="0.25">
      <c r="B289" t="str">
        <f t="shared" si="4"/>
        <v>ARBPopulation ages 00-04, female</v>
      </c>
      <c r="C289" t="s">
        <v>425</v>
      </c>
      <c r="D289" t="s">
        <v>426</v>
      </c>
      <c r="E289" t="s">
        <v>362</v>
      </c>
      <c r="F289" t="s">
        <v>691</v>
      </c>
      <c r="G289">
        <v>24854000</v>
      </c>
      <c r="H289">
        <v>24895000</v>
      </c>
    </row>
    <row r="290" spans="2:8" x14ac:dyDescent="0.25">
      <c r="B290" t="str">
        <f t="shared" si="4"/>
        <v>ARBPopulation ages 00-04, male</v>
      </c>
      <c r="C290" t="s">
        <v>425</v>
      </c>
      <c r="D290" t="s">
        <v>426</v>
      </c>
      <c r="E290" t="s">
        <v>363</v>
      </c>
      <c r="F290" t="s">
        <v>692</v>
      </c>
      <c r="G290">
        <v>26008000</v>
      </c>
      <c r="H290">
        <v>26033000</v>
      </c>
    </row>
    <row r="291" spans="2:8" x14ac:dyDescent="0.25">
      <c r="B291" t="str">
        <f t="shared" si="4"/>
        <v>ARBPopulation ages 05-09, female</v>
      </c>
      <c r="C291" t="s">
        <v>425</v>
      </c>
      <c r="D291" t="s">
        <v>426</v>
      </c>
      <c r="E291" t="s">
        <v>364</v>
      </c>
      <c r="F291" t="s">
        <v>693</v>
      </c>
      <c r="G291">
        <v>23287000</v>
      </c>
      <c r="H291">
        <v>23809000</v>
      </c>
    </row>
    <row r="292" spans="2:8" x14ac:dyDescent="0.25">
      <c r="B292" t="str">
        <f t="shared" si="4"/>
        <v>ARBPopulation ages 05-09, male</v>
      </c>
      <c r="C292" t="s">
        <v>425</v>
      </c>
      <c r="D292" t="s">
        <v>426</v>
      </c>
      <c r="E292" t="s">
        <v>365</v>
      </c>
      <c r="F292" t="s">
        <v>694</v>
      </c>
      <c r="G292">
        <v>24399000</v>
      </c>
      <c r="H292">
        <v>24943000</v>
      </c>
    </row>
    <row r="293" spans="2:8" x14ac:dyDescent="0.25">
      <c r="B293" t="str">
        <f t="shared" si="4"/>
        <v>ARBPopulation ages 10-14, female</v>
      </c>
      <c r="C293" t="s">
        <v>425</v>
      </c>
      <c r="D293" t="s">
        <v>426</v>
      </c>
      <c r="E293" t="s">
        <v>366</v>
      </c>
      <c r="F293" t="s">
        <v>695</v>
      </c>
      <c r="G293">
        <v>20148000</v>
      </c>
      <c r="H293">
        <v>20673000</v>
      </c>
    </row>
    <row r="294" spans="2:8" x14ac:dyDescent="0.25">
      <c r="B294" t="str">
        <f t="shared" si="4"/>
        <v>ARBPopulation ages 10-14, male</v>
      </c>
      <c r="C294" t="s">
        <v>425</v>
      </c>
      <c r="D294" t="s">
        <v>426</v>
      </c>
      <c r="E294" t="s">
        <v>367</v>
      </c>
      <c r="F294" t="s">
        <v>696</v>
      </c>
      <c r="G294">
        <v>21082000</v>
      </c>
      <c r="H294">
        <v>21655000</v>
      </c>
    </row>
    <row r="295" spans="2:8" x14ac:dyDescent="0.25">
      <c r="B295" t="str">
        <f t="shared" si="4"/>
        <v>ARBPopulation ages 15-19, female</v>
      </c>
      <c r="C295" t="s">
        <v>425</v>
      </c>
      <c r="D295" t="s">
        <v>426</v>
      </c>
      <c r="E295" t="s">
        <v>368</v>
      </c>
      <c r="F295" t="s">
        <v>697</v>
      </c>
      <c r="G295">
        <v>18116000</v>
      </c>
      <c r="H295">
        <v>18347000</v>
      </c>
    </row>
    <row r="296" spans="2:8" x14ac:dyDescent="0.25">
      <c r="B296" t="str">
        <f t="shared" si="4"/>
        <v>ARBPopulation ages 15-19, male</v>
      </c>
      <c r="C296" t="s">
        <v>425</v>
      </c>
      <c r="D296" t="s">
        <v>426</v>
      </c>
      <c r="E296" t="s">
        <v>369</v>
      </c>
      <c r="F296" t="s">
        <v>698</v>
      </c>
      <c r="G296">
        <v>18930000</v>
      </c>
      <c r="H296">
        <v>19132000</v>
      </c>
    </row>
    <row r="297" spans="2:8" x14ac:dyDescent="0.25">
      <c r="B297" t="str">
        <f t="shared" si="4"/>
        <v>ARBPopulation ages 20-24, female</v>
      </c>
      <c r="C297" t="s">
        <v>425</v>
      </c>
      <c r="D297" t="s">
        <v>426</v>
      </c>
      <c r="E297" t="s">
        <v>370</v>
      </c>
      <c r="F297" t="s">
        <v>699</v>
      </c>
      <c r="G297">
        <v>17451000</v>
      </c>
      <c r="H297">
        <v>17480000</v>
      </c>
    </row>
    <row r="298" spans="2:8" x14ac:dyDescent="0.25">
      <c r="B298" t="str">
        <f t="shared" si="4"/>
        <v>ARBPopulation ages 20-24, male</v>
      </c>
      <c r="C298" t="s">
        <v>425</v>
      </c>
      <c r="D298" t="s">
        <v>426</v>
      </c>
      <c r="E298" t="s">
        <v>371</v>
      </c>
      <c r="F298" t="s">
        <v>700</v>
      </c>
      <c r="G298">
        <v>18740000</v>
      </c>
      <c r="H298">
        <v>18697000</v>
      </c>
    </row>
    <row r="299" spans="2:8" x14ac:dyDescent="0.25">
      <c r="B299" t="str">
        <f t="shared" si="4"/>
        <v>ARBPopulation ages 25-29, female</v>
      </c>
      <c r="C299" t="s">
        <v>425</v>
      </c>
      <c r="D299" t="s">
        <v>426</v>
      </c>
      <c r="E299" t="s">
        <v>372</v>
      </c>
      <c r="F299" t="s">
        <v>701</v>
      </c>
      <c r="G299">
        <v>17274000</v>
      </c>
      <c r="H299">
        <v>17358000</v>
      </c>
    </row>
    <row r="300" spans="2:8" x14ac:dyDescent="0.25">
      <c r="B300" t="str">
        <f t="shared" si="4"/>
        <v>ARBPopulation ages 25-29, male</v>
      </c>
      <c r="C300" t="s">
        <v>425</v>
      </c>
      <c r="D300" t="s">
        <v>426</v>
      </c>
      <c r="E300" t="s">
        <v>373</v>
      </c>
      <c r="F300" t="s">
        <v>702</v>
      </c>
      <c r="G300">
        <v>19455000</v>
      </c>
      <c r="H300">
        <v>19632000</v>
      </c>
    </row>
    <row r="301" spans="2:8" x14ac:dyDescent="0.25">
      <c r="B301" t="str">
        <f t="shared" si="4"/>
        <v>ARBPopulation ages 30-34, female</v>
      </c>
      <c r="C301" t="s">
        <v>425</v>
      </c>
      <c r="D301" t="s">
        <v>426</v>
      </c>
      <c r="E301" t="s">
        <v>374</v>
      </c>
      <c r="F301" t="s">
        <v>703</v>
      </c>
      <c r="G301">
        <v>16467000</v>
      </c>
      <c r="H301">
        <v>16719000</v>
      </c>
    </row>
    <row r="302" spans="2:8" x14ac:dyDescent="0.25">
      <c r="B302" t="str">
        <f t="shared" si="4"/>
        <v>ARBPopulation ages 30-34, male</v>
      </c>
      <c r="C302" t="s">
        <v>425</v>
      </c>
      <c r="D302" t="s">
        <v>426</v>
      </c>
      <c r="E302" t="s">
        <v>375</v>
      </c>
      <c r="F302" t="s">
        <v>704</v>
      </c>
      <c r="G302">
        <v>18889000</v>
      </c>
      <c r="H302">
        <v>19282000</v>
      </c>
    </row>
    <row r="303" spans="2:8" x14ac:dyDescent="0.25">
      <c r="B303" t="str">
        <f t="shared" si="4"/>
        <v>ARBPopulation ages 35-39, female</v>
      </c>
      <c r="C303" t="s">
        <v>425</v>
      </c>
      <c r="D303" t="s">
        <v>426</v>
      </c>
      <c r="E303" t="s">
        <v>376</v>
      </c>
      <c r="F303" t="s">
        <v>705</v>
      </c>
      <c r="G303">
        <v>14682000</v>
      </c>
      <c r="H303">
        <v>15054000</v>
      </c>
    </row>
    <row r="304" spans="2:8" x14ac:dyDescent="0.25">
      <c r="B304" t="str">
        <f t="shared" si="4"/>
        <v>ARBPopulation ages 35-39, male</v>
      </c>
      <c r="C304" t="s">
        <v>425</v>
      </c>
      <c r="D304" t="s">
        <v>426</v>
      </c>
      <c r="E304" t="s">
        <v>377</v>
      </c>
      <c r="F304" t="s">
        <v>706</v>
      </c>
      <c r="G304">
        <v>16745000</v>
      </c>
      <c r="H304">
        <v>17138000</v>
      </c>
    </row>
    <row r="305" spans="2:8" x14ac:dyDescent="0.25">
      <c r="B305" t="str">
        <f t="shared" si="4"/>
        <v>ARBPopulation ages 40-44, female</v>
      </c>
      <c r="C305" t="s">
        <v>425</v>
      </c>
      <c r="D305" t="s">
        <v>426</v>
      </c>
      <c r="E305" t="s">
        <v>378</v>
      </c>
      <c r="F305" t="s">
        <v>707</v>
      </c>
      <c r="G305">
        <v>12393000</v>
      </c>
      <c r="H305">
        <v>12799000</v>
      </c>
    </row>
    <row r="306" spans="2:8" x14ac:dyDescent="0.25">
      <c r="B306" t="str">
        <f t="shared" si="4"/>
        <v>ARBPopulation ages 40-44, male</v>
      </c>
      <c r="C306" t="s">
        <v>425</v>
      </c>
      <c r="D306" t="s">
        <v>426</v>
      </c>
      <c r="E306" t="s">
        <v>379</v>
      </c>
      <c r="F306" t="s">
        <v>708</v>
      </c>
      <c r="G306">
        <v>14242000</v>
      </c>
      <c r="H306">
        <v>14668000</v>
      </c>
    </row>
    <row r="307" spans="2:8" x14ac:dyDescent="0.25">
      <c r="B307" t="str">
        <f t="shared" si="4"/>
        <v>ARBPopulation ages 45-49, female</v>
      </c>
      <c r="C307" t="s">
        <v>425</v>
      </c>
      <c r="D307" t="s">
        <v>426</v>
      </c>
      <c r="E307" t="s">
        <v>380</v>
      </c>
      <c r="F307" t="s">
        <v>709</v>
      </c>
      <c r="G307">
        <v>10184000</v>
      </c>
      <c r="H307">
        <v>10508000</v>
      </c>
    </row>
    <row r="308" spans="2:8" x14ac:dyDescent="0.25">
      <c r="B308" t="str">
        <f t="shared" si="4"/>
        <v>ARBPopulation ages 45-49, male</v>
      </c>
      <c r="C308" t="s">
        <v>425</v>
      </c>
      <c r="D308" t="s">
        <v>426</v>
      </c>
      <c r="E308" t="s">
        <v>381</v>
      </c>
      <c r="F308" t="s">
        <v>710</v>
      </c>
      <c r="G308">
        <v>11542000</v>
      </c>
      <c r="H308">
        <v>11934000</v>
      </c>
    </row>
    <row r="309" spans="2:8" x14ac:dyDescent="0.25">
      <c r="B309" t="str">
        <f t="shared" si="4"/>
        <v>ARBPopulation ages 50-54, female</v>
      </c>
      <c r="C309" t="s">
        <v>425</v>
      </c>
      <c r="D309" t="s">
        <v>426</v>
      </c>
      <c r="E309" t="s">
        <v>382</v>
      </c>
      <c r="F309" t="s">
        <v>711</v>
      </c>
      <c r="G309">
        <v>8456000</v>
      </c>
      <c r="H309">
        <v>8719000</v>
      </c>
    </row>
    <row r="310" spans="2:8" x14ac:dyDescent="0.25">
      <c r="B310" t="str">
        <f t="shared" si="4"/>
        <v>ARBPopulation ages 50-54, male</v>
      </c>
      <c r="C310" t="s">
        <v>425</v>
      </c>
      <c r="D310" t="s">
        <v>426</v>
      </c>
      <c r="E310" t="s">
        <v>383</v>
      </c>
      <c r="F310" t="s">
        <v>712</v>
      </c>
      <c r="G310">
        <v>9299000</v>
      </c>
      <c r="H310">
        <v>9592000</v>
      </c>
    </row>
    <row r="311" spans="2:8" x14ac:dyDescent="0.25">
      <c r="B311" t="str">
        <f t="shared" si="4"/>
        <v>ARBPopulation ages 55-59, male</v>
      </c>
      <c r="C311" t="s">
        <v>425</v>
      </c>
      <c r="D311" t="s">
        <v>426</v>
      </c>
      <c r="E311" t="s">
        <v>385</v>
      </c>
      <c r="F311" t="s">
        <v>713</v>
      </c>
      <c r="G311">
        <v>7482000</v>
      </c>
      <c r="H311">
        <v>7747000</v>
      </c>
    </row>
    <row r="312" spans="2:8" x14ac:dyDescent="0.25">
      <c r="B312" t="str">
        <f t="shared" si="4"/>
        <v>ARBPopulation ages 55-59, female</v>
      </c>
      <c r="C312" t="s">
        <v>425</v>
      </c>
      <c r="D312" t="s">
        <v>426</v>
      </c>
      <c r="E312" t="s">
        <v>384</v>
      </c>
      <c r="F312" t="s">
        <v>714</v>
      </c>
      <c r="G312">
        <v>6836000</v>
      </c>
      <c r="H312">
        <v>7087000</v>
      </c>
    </row>
    <row r="313" spans="2:8" x14ac:dyDescent="0.25">
      <c r="B313" t="str">
        <f t="shared" si="4"/>
        <v>ARBPopulation ages 65-69, male</v>
      </c>
      <c r="C313" t="s">
        <v>425</v>
      </c>
      <c r="D313" t="s">
        <v>426</v>
      </c>
      <c r="E313" t="s">
        <v>389</v>
      </c>
      <c r="F313" t="s">
        <v>715</v>
      </c>
      <c r="G313">
        <v>3995900</v>
      </c>
      <c r="H313">
        <v>4196500</v>
      </c>
    </row>
    <row r="314" spans="2:8" x14ac:dyDescent="0.25">
      <c r="B314" t="str">
        <f t="shared" si="4"/>
        <v>ARBPopulation ages 65-69, female</v>
      </c>
      <c r="C314" t="s">
        <v>425</v>
      </c>
      <c r="D314" t="s">
        <v>426</v>
      </c>
      <c r="E314" t="s">
        <v>388</v>
      </c>
      <c r="F314" t="s">
        <v>716</v>
      </c>
      <c r="G314">
        <v>4114200</v>
      </c>
      <c r="H314">
        <v>4318400</v>
      </c>
    </row>
    <row r="315" spans="2:8" x14ac:dyDescent="0.25">
      <c r="B315" t="str">
        <f t="shared" si="4"/>
        <v>ARBPopulation ages 60-64, female</v>
      </c>
      <c r="C315" t="s">
        <v>425</v>
      </c>
      <c r="D315" t="s">
        <v>426</v>
      </c>
      <c r="E315" t="s">
        <v>386</v>
      </c>
      <c r="F315" t="s">
        <v>717</v>
      </c>
      <c r="G315">
        <v>5379200</v>
      </c>
      <c r="H315">
        <v>5582100</v>
      </c>
    </row>
    <row r="316" spans="2:8" x14ac:dyDescent="0.25">
      <c r="B316" t="str">
        <f t="shared" si="4"/>
        <v>ARBPopulation ages 60-64, male</v>
      </c>
      <c r="C316" t="s">
        <v>425</v>
      </c>
      <c r="D316" t="s">
        <v>426</v>
      </c>
      <c r="E316" t="s">
        <v>387</v>
      </c>
      <c r="F316" t="s">
        <v>718</v>
      </c>
      <c r="G316">
        <v>5611100</v>
      </c>
      <c r="H316">
        <v>5841500</v>
      </c>
    </row>
    <row r="317" spans="2:8" x14ac:dyDescent="0.25">
      <c r="B317" t="str">
        <f t="shared" si="4"/>
        <v>ARBPopulation ages 70-74, female</v>
      </c>
      <c r="C317" t="s">
        <v>425</v>
      </c>
      <c r="D317" t="s">
        <v>426</v>
      </c>
      <c r="E317" t="s">
        <v>390</v>
      </c>
      <c r="F317" t="s">
        <v>719</v>
      </c>
      <c r="G317">
        <v>2770600</v>
      </c>
      <c r="H317">
        <v>2916500</v>
      </c>
    </row>
    <row r="318" spans="2:8" x14ac:dyDescent="0.25">
      <c r="B318" t="str">
        <f t="shared" si="4"/>
        <v>ARBPopulation ages 70-74, male</v>
      </c>
      <c r="C318" t="s">
        <v>425</v>
      </c>
      <c r="D318" t="s">
        <v>426</v>
      </c>
      <c r="E318" t="s">
        <v>391</v>
      </c>
      <c r="F318" t="s">
        <v>720</v>
      </c>
      <c r="G318">
        <v>2504000</v>
      </c>
      <c r="H318">
        <v>2640300</v>
      </c>
    </row>
    <row r="319" spans="2:8" x14ac:dyDescent="0.25">
      <c r="B319" t="str">
        <f t="shared" si="4"/>
        <v>ARBPopulation ages 75-79, female</v>
      </c>
      <c r="C319" t="s">
        <v>425</v>
      </c>
      <c r="D319" t="s">
        <v>426</v>
      </c>
      <c r="E319" t="s">
        <v>392</v>
      </c>
      <c r="F319" t="s">
        <v>721</v>
      </c>
      <c r="G319">
        <v>1868600</v>
      </c>
      <c r="H319">
        <v>1925900</v>
      </c>
    </row>
    <row r="320" spans="2:8" x14ac:dyDescent="0.25">
      <c r="B320" t="str">
        <f t="shared" si="4"/>
        <v>ARBPopulation ages 75-79, male</v>
      </c>
      <c r="C320" t="s">
        <v>425</v>
      </c>
      <c r="D320" t="s">
        <v>426</v>
      </c>
      <c r="E320" t="s">
        <v>393</v>
      </c>
      <c r="F320" t="s">
        <v>722</v>
      </c>
      <c r="G320">
        <v>1529100</v>
      </c>
      <c r="H320">
        <v>1586000</v>
      </c>
    </row>
    <row r="321" spans="2:8" x14ac:dyDescent="0.25">
      <c r="B321" t="str">
        <f t="shared" si="4"/>
        <v>ARBPopulation ages 80 and above, female</v>
      </c>
      <c r="C321" t="s">
        <v>425</v>
      </c>
      <c r="D321" t="s">
        <v>426</v>
      </c>
      <c r="E321" t="s">
        <v>394</v>
      </c>
      <c r="F321" t="s">
        <v>723</v>
      </c>
      <c r="G321">
        <v>1840700</v>
      </c>
      <c r="H321">
        <v>1863200</v>
      </c>
    </row>
    <row r="322" spans="2:8" x14ac:dyDescent="0.25">
      <c r="B322" t="str">
        <f t="shared" si="4"/>
        <v>ARBPopulation ages 80 and above, male</v>
      </c>
      <c r="C322" t="s">
        <v>425</v>
      </c>
      <c r="D322" t="s">
        <v>426</v>
      </c>
      <c r="E322" t="s">
        <v>395</v>
      </c>
      <c r="F322" t="s">
        <v>724</v>
      </c>
      <c r="G322">
        <v>1307200</v>
      </c>
      <c r="H322">
        <v>1310300</v>
      </c>
    </row>
    <row r="323" spans="2:8" x14ac:dyDescent="0.25">
      <c r="B323" t="str">
        <f t="shared" si="4"/>
        <v>ARBPopulation, male</v>
      </c>
      <c r="C323" t="s">
        <v>425</v>
      </c>
      <c r="D323" t="s">
        <v>426</v>
      </c>
      <c r="E323" t="s">
        <v>397</v>
      </c>
      <c r="F323" t="s">
        <v>725</v>
      </c>
      <c r="G323">
        <v>221755000</v>
      </c>
      <c r="H323">
        <v>226030000</v>
      </c>
    </row>
    <row r="324" spans="2:8" x14ac:dyDescent="0.25">
      <c r="B324" t="str">
        <f t="shared" si="4"/>
        <v>ARBPopulation, total</v>
      </c>
      <c r="C324" t="s">
        <v>425</v>
      </c>
      <c r="D324" t="s">
        <v>426</v>
      </c>
      <c r="E324" t="s">
        <v>398</v>
      </c>
      <c r="F324" t="s">
        <v>726</v>
      </c>
      <c r="G324">
        <v>427877000</v>
      </c>
      <c r="H324">
        <v>436091000</v>
      </c>
    </row>
    <row r="325" spans="2:8" x14ac:dyDescent="0.25">
      <c r="B325" t="str">
        <f t="shared" si="4"/>
        <v>ARBPopulation, female</v>
      </c>
      <c r="C325" t="s">
        <v>425</v>
      </c>
      <c r="D325" t="s">
        <v>426</v>
      </c>
      <c r="E325" t="s">
        <v>396</v>
      </c>
      <c r="F325" t="s">
        <v>727</v>
      </c>
      <c r="G325">
        <v>206124000</v>
      </c>
      <c r="H325">
        <v>210062000</v>
      </c>
    </row>
    <row r="326" spans="2:8" x14ac:dyDescent="0.25">
      <c r="B326" t="str">
        <f t="shared" si="4"/>
        <v>ARBPopulation growth (annual %)</v>
      </c>
      <c r="C326" t="s">
        <v>425</v>
      </c>
      <c r="D326" t="s">
        <v>426</v>
      </c>
      <c r="E326" t="s">
        <v>399</v>
      </c>
      <c r="F326" t="s">
        <v>728</v>
      </c>
      <c r="G326">
        <v>1.9262966419818781</v>
      </c>
      <c r="H326">
        <v>1.9197105710286024</v>
      </c>
    </row>
    <row r="327" spans="2:8" x14ac:dyDescent="0.25">
      <c r="B327" t="str">
        <f t="shared" ref="B327:B390" si="5">CONCATENATE(D327,E327)</f>
        <v>ARGPopulation ages 0-14, female</v>
      </c>
      <c r="C327" t="s">
        <v>427</v>
      </c>
      <c r="D327" t="s">
        <v>428</v>
      </c>
      <c r="E327" t="s">
        <v>687</v>
      </c>
      <c r="F327" t="s">
        <v>688</v>
      </c>
      <c r="G327">
        <v>5420000</v>
      </c>
      <c r="H327">
        <v>5433000</v>
      </c>
    </row>
    <row r="328" spans="2:8" x14ac:dyDescent="0.25">
      <c r="B328" t="str">
        <f t="shared" si="5"/>
        <v>ARGPopulation ages 0-14, male</v>
      </c>
      <c r="C328" t="s">
        <v>427</v>
      </c>
      <c r="D328" t="s">
        <v>428</v>
      </c>
      <c r="E328" t="s">
        <v>689</v>
      </c>
      <c r="F328" t="s">
        <v>690</v>
      </c>
      <c r="G328">
        <v>5623000</v>
      </c>
      <c r="H328">
        <v>5637000</v>
      </c>
    </row>
    <row r="329" spans="2:8" x14ac:dyDescent="0.25">
      <c r="B329" t="str">
        <f t="shared" si="5"/>
        <v>ARGPopulation ages 00-04, female</v>
      </c>
      <c r="C329" t="s">
        <v>427</v>
      </c>
      <c r="D329" t="s">
        <v>428</v>
      </c>
      <c r="E329" t="s">
        <v>362</v>
      </c>
      <c r="F329" t="s">
        <v>691</v>
      </c>
      <c r="G329">
        <v>1841000</v>
      </c>
      <c r="H329">
        <v>1838000</v>
      </c>
    </row>
    <row r="330" spans="2:8" x14ac:dyDescent="0.25">
      <c r="B330" t="str">
        <f t="shared" si="5"/>
        <v>ARGPopulation ages 00-04, male</v>
      </c>
      <c r="C330" t="s">
        <v>427</v>
      </c>
      <c r="D330" t="s">
        <v>428</v>
      </c>
      <c r="E330" t="s">
        <v>363</v>
      </c>
      <c r="F330" t="s">
        <v>692</v>
      </c>
      <c r="G330">
        <v>1911000</v>
      </c>
      <c r="H330">
        <v>1908000</v>
      </c>
    </row>
    <row r="331" spans="2:8" x14ac:dyDescent="0.25">
      <c r="B331" t="str">
        <f t="shared" si="5"/>
        <v>ARGPopulation ages 05-09, female</v>
      </c>
      <c r="C331" t="s">
        <v>427</v>
      </c>
      <c r="D331" t="s">
        <v>428</v>
      </c>
      <c r="E331" t="s">
        <v>364</v>
      </c>
      <c r="F331" t="s">
        <v>693</v>
      </c>
      <c r="G331">
        <v>1816000</v>
      </c>
      <c r="H331">
        <v>1825000</v>
      </c>
    </row>
    <row r="332" spans="2:8" x14ac:dyDescent="0.25">
      <c r="B332" t="str">
        <f t="shared" si="5"/>
        <v>ARGPopulation ages 05-09, male</v>
      </c>
      <c r="C332" t="s">
        <v>427</v>
      </c>
      <c r="D332" t="s">
        <v>428</v>
      </c>
      <c r="E332" t="s">
        <v>365</v>
      </c>
      <c r="F332" t="s">
        <v>694</v>
      </c>
      <c r="G332">
        <v>1884000</v>
      </c>
      <c r="H332">
        <v>1894000</v>
      </c>
    </row>
    <row r="333" spans="2:8" x14ac:dyDescent="0.25">
      <c r="B333" t="str">
        <f t="shared" si="5"/>
        <v>ARGPopulation ages 10-14, female</v>
      </c>
      <c r="C333" t="s">
        <v>427</v>
      </c>
      <c r="D333" t="s">
        <v>428</v>
      </c>
      <c r="E333" t="s">
        <v>366</v>
      </c>
      <c r="F333" t="s">
        <v>695</v>
      </c>
      <c r="G333">
        <v>1764000</v>
      </c>
      <c r="H333">
        <v>1770000</v>
      </c>
    </row>
    <row r="334" spans="2:8" x14ac:dyDescent="0.25">
      <c r="B334" t="str">
        <f t="shared" si="5"/>
        <v>ARGPopulation ages 10-14, male</v>
      </c>
      <c r="C334" t="s">
        <v>427</v>
      </c>
      <c r="D334" t="s">
        <v>428</v>
      </c>
      <c r="E334" t="s">
        <v>367</v>
      </c>
      <c r="F334" t="s">
        <v>696</v>
      </c>
      <c r="G334">
        <v>1829000</v>
      </c>
      <c r="H334">
        <v>1836000</v>
      </c>
    </row>
    <row r="335" spans="2:8" x14ac:dyDescent="0.25">
      <c r="B335" t="str">
        <f t="shared" si="5"/>
        <v>ARGPopulation ages 15-19, female</v>
      </c>
      <c r="C335" t="s">
        <v>427</v>
      </c>
      <c r="D335" t="s">
        <v>428</v>
      </c>
      <c r="E335" t="s">
        <v>368</v>
      </c>
      <c r="F335" t="s">
        <v>697</v>
      </c>
      <c r="G335">
        <v>1739000</v>
      </c>
      <c r="H335">
        <v>1744000</v>
      </c>
    </row>
    <row r="336" spans="2:8" x14ac:dyDescent="0.25">
      <c r="B336" t="str">
        <f t="shared" si="5"/>
        <v>ARGPopulation ages 15-19, male</v>
      </c>
      <c r="C336" t="s">
        <v>427</v>
      </c>
      <c r="D336" t="s">
        <v>428</v>
      </c>
      <c r="E336" t="s">
        <v>369</v>
      </c>
      <c r="F336" t="s">
        <v>698</v>
      </c>
      <c r="G336">
        <v>1798000</v>
      </c>
      <c r="H336">
        <v>1804000</v>
      </c>
    </row>
    <row r="337" spans="2:8" x14ac:dyDescent="0.25">
      <c r="B337" t="str">
        <f t="shared" si="5"/>
        <v>ARGPopulation ages 20-24, female</v>
      </c>
      <c r="C337" t="s">
        <v>427</v>
      </c>
      <c r="D337" t="s">
        <v>428</v>
      </c>
      <c r="E337" t="s">
        <v>370</v>
      </c>
      <c r="F337" t="s">
        <v>699</v>
      </c>
      <c r="G337">
        <v>1725000</v>
      </c>
      <c r="H337">
        <v>1719000</v>
      </c>
    </row>
    <row r="338" spans="2:8" x14ac:dyDescent="0.25">
      <c r="B338" t="str">
        <f t="shared" si="5"/>
        <v>ARGPopulation ages 20-24, male</v>
      </c>
      <c r="C338" t="s">
        <v>427</v>
      </c>
      <c r="D338" t="s">
        <v>428</v>
      </c>
      <c r="E338" t="s">
        <v>371</v>
      </c>
      <c r="F338" t="s">
        <v>700</v>
      </c>
      <c r="G338">
        <v>1772000</v>
      </c>
      <c r="H338">
        <v>1767000</v>
      </c>
    </row>
    <row r="339" spans="2:8" x14ac:dyDescent="0.25">
      <c r="B339" t="str">
        <f t="shared" si="5"/>
        <v>ARGPopulation ages 25-29, female</v>
      </c>
      <c r="C339" t="s">
        <v>427</v>
      </c>
      <c r="D339" t="s">
        <v>428</v>
      </c>
      <c r="E339" t="s">
        <v>372</v>
      </c>
      <c r="F339" t="s">
        <v>701</v>
      </c>
      <c r="G339">
        <v>1743000</v>
      </c>
      <c r="H339">
        <v>1749000</v>
      </c>
    </row>
    <row r="340" spans="2:8" x14ac:dyDescent="0.25">
      <c r="B340" t="str">
        <f t="shared" si="5"/>
        <v>ARGPopulation ages 25-29, male</v>
      </c>
      <c r="C340" t="s">
        <v>427</v>
      </c>
      <c r="D340" t="s">
        <v>428</v>
      </c>
      <c r="E340" t="s">
        <v>373</v>
      </c>
      <c r="F340" t="s">
        <v>702</v>
      </c>
      <c r="G340">
        <v>1769000</v>
      </c>
      <c r="H340">
        <v>1779000</v>
      </c>
    </row>
    <row r="341" spans="2:8" x14ac:dyDescent="0.25">
      <c r="B341" t="str">
        <f t="shared" si="5"/>
        <v>ARGPopulation ages 30-34, female</v>
      </c>
      <c r="C341" t="s">
        <v>427</v>
      </c>
      <c r="D341" t="s">
        <v>428</v>
      </c>
      <c r="E341" t="s">
        <v>374</v>
      </c>
      <c r="F341" t="s">
        <v>703</v>
      </c>
      <c r="G341">
        <v>1645000</v>
      </c>
      <c r="H341">
        <v>1664000</v>
      </c>
    </row>
    <row r="342" spans="2:8" x14ac:dyDescent="0.25">
      <c r="B342" t="str">
        <f t="shared" si="5"/>
        <v>ARGPopulation ages 30-34, male</v>
      </c>
      <c r="C342" t="s">
        <v>427</v>
      </c>
      <c r="D342" t="s">
        <v>428</v>
      </c>
      <c r="E342" t="s">
        <v>375</v>
      </c>
      <c r="F342" t="s">
        <v>704</v>
      </c>
      <c r="G342">
        <v>1640000</v>
      </c>
      <c r="H342">
        <v>1663000</v>
      </c>
    </row>
    <row r="343" spans="2:8" x14ac:dyDescent="0.25">
      <c r="B343" t="str">
        <f t="shared" si="5"/>
        <v>ARGPopulation ages 35-39, female</v>
      </c>
      <c r="C343" t="s">
        <v>427</v>
      </c>
      <c r="D343" t="s">
        <v>428</v>
      </c>
      <c r="E343" t="s">
        <v>376</v>
      </c>
      <c r="F343" t="s">
        <v>705</v>
      </c>
      <c r="G343">
        <v>1576000</v>
      </c>
      <c r="H343">
        <v>1576000</v>
      </c>
    </row>
    <row r="344" spans="2:8" x14ac:dyDescent="0.25">
      <c r="B344" t="str">
        <f t="shared" si="5"/>
        <v>ARGPopulation ages 35-39, male</v>
      </c>
      <c r="C344" t="s">
        <v>427</v>
      </c>
      <c r="D344" t="s">
        <v>428</v>
      </c>
      <c r="E344" t="s">
        <v>377</v>
      </c>
      <c r="F344" t="s">
        <v>706</v>
      </c>
      <c r="G344">
        <v>1550000</v>
      </c>
      <c r="H344">
        <v>1554000</v>
      </c>
    </row>
    <row r="345" spans="2:8" x14ac:dyDescent="0.25">
      <c r="B345" t="str">
        <f t="shared" si="5"/>
        <v>ARGPopulation ages 40-44, female</v>
      </c>
      <c r="C345" t="s">
        <v>427</v>
      </c>
      <c r="D345" t="s">
        <v>428</v>
      </c>
      <c r="E345" t="s">
        <v>378</v>
      </c>
      <c r="F345" t="s">
        <v>707</v>
      </c>
      <c r="G345">
        <v>1551000</v>
      </c>
      <c r="H345">
        <v>1575000</v>
      </c>
    </row>
    <row r="346" spans="2:8" x14ac:dyDescent="0.25">
      <c r="B346" t="str">
        <f t="shared" si="5"/>
        <v>ARGPopulation ages 40-44, male</v>
      </c>
      <c r="C346" t="s">
        <v>427</v>
      </c>
      <c r="D346" t="s">
        <v>428</v>
      </c>
      <c r="E346" t="s">
        <v>379</v>
      </c>
      <c r="F346" t="s">
        <v>708</v>
      </c>
      <c r="G346">
        <v>1492000</v>
      </c>
      <c r="H346">
        <v>1522000</v>
      </c>
    </row>
    <row r="347" spans="2:8" x14ac:dyDescent="0.25">
      <c r="B347" t="str">
        <f t="shared" si="5"/>
        <v>ARGPopulation ages 45-49, female</v>
      </c>
      <c r="C347" t="s">
        <v>427</v>
      </c>
      <c r="D347" t="s">
        <v>428</v>
      </c>
      <c r="E347" t="s">
        <v>380</v>
      </c>
      <c r="F347" t="s">
        <v>709</v>
      </c>
      <c r="G347">
        <v>1326000</v>
      </c>
      <c r="H347">
        <v>1363000</v>
      </c>
    </row>
    <row r="348" spans="2:8" x14ac:dyDescent="0.25">
      <c r="B348" t="str">
        <f t="shared" si="5"/>
        <v>ARGPopulation ages 45-49, male</v>
      </c>
      <c r="C348" t="s">
        <v>427</v>
      </c>
      <c r="D348" t="s">
        <v>428</v>
      </c>
      <c r="E348" t="s">
        <v>381</v>
      </c>
      <c r="F348" t="s">
        <v>710</v>
      </c>
      <c r="G348">
        <v>1242000</v>
      </c>
      <c r="H348">
        <v>1281000</v>
      </c>
    </row>
    <row r="349" spans="2:8" x14ac:dyDescent="0.25">
      <c r="B349" t="str">
        <f t="shared" si="5"/>
        <v>ARGPopulation ages 50-54, female</v>
      </c>
      <c r="C349" t="s">
        <v>427</v>
      </c>
      <c r="D349" t="s">
        <v>428</v>
      </c>
      <c r="E349" t="s">
        <v>382</v>
      </c>
      <c r="F349" t="s">
        <v>711</v>
      </c>
      <c r="G349">
        <v>1186000</v>
      </c>
      <c r="H349">
        <v>1201000</v>
      </c>
    </row>
    <row r="350" spans="2:8" x14ac:dyDescent="0.25">
      <c r="B350" t="str">
        <f t="shared" si="5"/>
        <v>ARGPopulation ages 50-54, male</v>
      </c>
      <c r="C350" t="s">
        <v>427</v>
      </c>
      <c r="D350" t="s">
        <v>428</v>
      </c>
      <c r="E350" t="s">
        <v>383</v>
      </c>
      <c r="F350" t="s">
        <v>712</v>
      </c>
      <c r="G350">
        <v>1089000</v>
      </c>
      <c r="H350">
        <v>1106000</v>
      </c>
    </row>
    <row r="351" spans="2:8" x14ac:dyDescent="0.25">
      <c r="B351" t="str">
        <f t="shared" si="5"/>
        <v>ARGPopulation ages 55-59, male</v>
      </c>
      <c r="C351" t="s">
        <v>427</v>
      </c>
      <c r="D351" t="s">
        <v>428</v>
      </c>
      <c r="E351" t="s">
        <v>385</v>
      </c>
      <c r="F351" t="s">
        <v>713</v>
      </c>
      <c r="G351">
        <v>994000</v>
      </c>
      <c r="H351">
        <v>1006000</v>
      </c>
    </row>
    <row r="352" spans="2:8" x14ac:dyDescent="0.25">
      <c r="B352" t="str">
        <f t="shared" si="5"/>
        <v>ARGPopulation ages 55-59, female</v>
      </c>
      <c r="C352" t="s">
        <v>427</v>
      </c>
      <c r="D352" t="s">
        <v>428</v>
      </c>
      <c r="E352" t="s">
        <v>384</v>
      </c>
      <c r="F352" t="s">
        <v>714</v>
      </c>
      <c r="G352">
        <v>1110000</v>
      </c>
      <c r="H352">
        <v>1122000</v>
      </c>
    </row>
    <row r="353" spans="2:8" x14ac:dyDescent="0.25">
      <c r="B353" t="str">
        <f t="shared" si="5"/>
        <v>ARGPopulation ages 65-69, male</v>
      </c>
      <c r="C353" t="s">
        <v>427</v>
      </c>
      <c r="D353" t="s">
        <v>428</v>
      </c>
      <c r="E353" t="s">
        <v>389</v>
      </c>
      <c r="F353" t="s">
        <v>715</v>
      </c>
      <c r="G353">
        <v>736000</v>
      </c>
      <c r="H353">
        <v>748000</v>
      </c>
    </row>
    <row r="354" spans="2:8" x14ac:dyDescent="0.25">
      <c r="B354" t="str">
        <f t="shared" si="5"/>
        <v>ARGPopulation ages 65-69, female</v>
      </c>
      <c r="C354" t="s">
        <v>427</v>
      </c>
      <c r="D354" t="s">
        <v>428</v>
      </c>
      <c r="E354" t="s">
        <v>388</v>
      </c>
      <c r="F354" t="s">
        <v>716</v>
      </c>
      <c r="G354">
        <v>888000</v>
      </c>
      <c r="H354">
        <v>901000</v>
      </c>
    </row>
    <row r="355" spans="2:8" x14ac:dyDescent="0.25">
      <c r="B355" t="str">
        <f t="shared" si="5"/>
        <v>ARGPopulation ages 60-64, female</v>
      </c>
      <c r="C355" t="s">
        <v>427</v>
      </c>
      <c r="D355" t="s">
        <v>428</v>
      </c>
      <c r="E355" t="s">
        <v>386</v>
      </c>
      <c r="F355" t="s">
        <v>717</v>
      </c>
      <c r="G355">
        <v>996000</v>
      </c>
      <c r="H355">
        <v>1009000</v>
      </c>
    </row>
    <row r="356" spans="2:8" x14ac:dyDescent="0.25">
      <c r="B356" t="str">
        <f t="shared" si="5"/>
        <v>ARGPopulation ages 60-64, male</v>
      </c>
      <c r="C356" t="s">
        <v>427</v>
      </c>
      <c r="D356" t="s">
        <v>428</v>
      </c>
      <c r="E356" t="s">
        <v>387</v>
      </c>
      <c r="F356" t="s">
        <v>718</v>
      </c>
      <c r="G356">
        <v>868000</v>
      </c>
      <c r="H356">
        <v>879000</v>
      </c>
    </row>
    <row r="357" spans="2:8" x14ac:dyDescent="0.25">
      <c r="B357" t="str">
        <f t="shared" si="5"/>
        <v>ARGPopulation ages 70-74, female</v>
      </c>
      <c r="C357" t="s">
        <v>427</v>
      </c>
      <c r="D357" t="s">
        <v>428</v>
      </c>
      <c r="E357" t="s">
        <v>390</v>
      </c>
      <c r="F357" t="s">
        <v>719</v>
      </c>
      <c r="G357">
        <v>740000</v>
      </c>
      <c r="H357">
        <v>760000</v>
      </c>
    </row>
    <row r="358" spans="2:8" x14ac:dyDescent="0.25">
      <c r="B358" t="str">
        <f t="shared" si="5"/>
        <v>ARGPopulation ages 70-74, male</v>
      </c>
      <c r="C358" t="s">
        <v>427</v>
      </c>
      <c r="D358" t="s">
        <v>428</v>
      </c>
      <c r="E358" t="s">
        <v>391</v>
      </c>
      <c r="F358" t="s">
        <v>720</v>
      </c>
      <c r="G358">
        <v>564000</v>
      </c>
      <c r="H358">
        <v>580000</v>
      </c>
    </row>
    <row r="359" spans="2:8" x14ac:dyDescent="0.25">
      <c r="B359" t="str">
        <f t="shared" si="5"/>
        <v>ARGPopulation ages 75-79, female</v>
      </c>
      <c r="C359" t="s">
        <v>427</v>
      </c>
      <c r="D359" t="s">
        <v>428</v>
      </c>
      <c r="E359" t="s">
        <v>392</v>
      </c>
      <c r="F359" t="s">
        <v>721</v>
      </c>
      <c r="G359">
        <v>561000</v>
      </c>
      <c r="H359">
        <v>579000</v>
      </c>
    </row>
    <row r="360" spans="2:8" x14ac:dyDescent="0.25">
      <c r="B360" t="str">
        <f t="shared" si="5"/>
        <v>ARGPopulation ages 75-79, male</v>
      </c>
      <c r="C360" t="s">
        <v>427</v>
      </c>
      <c r="D360" t="s">
        <v>428</v>
      </c>
      <c r="E360" t="s">
        <v>393</v>
      </c>
      <c r="F360" t="s">
        <v>722</v>
      </c>
      <c r="G360">
        <v>374000</v>
      </c>
      <c r="H360">
        <v>387000</v>
      </c>
    </row>
    <row r="361" spans="2:8" x14ac:dyDescent="0.25">
      <c r="B361" t="str">
        <f t="shared" si="5"/>
        <v>ARGPopulation ages 80 and above, female</v>
      </c>
      <c r="C361" t="s">
        <v>427</v>
      </c>
      <c r="D361" t="s">
        <v>428</v>
      </c>
      <c r="E361" t="s">
        <v>394</v>
      </c>
      <c r="F361" t="s">
        <v>723</v>
      </c>
      <c r="G361">
        <v>796000</v>
      </c>
      <c r="H361">
        <v>806000</v>
      </c>
    </row>
    <row r="362" spans="2:8" x14ac:dyDescent="0.25">
      <c r="B362" t="str">
        <f t="shared" si="5"/>
        <v>ARGPopulation ages 80 and above, male</v>
      </c>
      <c r="C362" t="s">
        <v>427</v>
      </c>
      <c r="D362" t="s">
        <v>428</v>
      </c>
      <c r="E362" t="s">
        <v>395</v>
      </c>
      <c r="F362" t="s">
        <v>724</v>
      </c>
      <c r="G362">
        <v>388000</v>
      </c>
      <c r="H362">
        <v>389000</v>
      </c>
    </row>
    <row r="363" spans="2:8" x14ac:dyDescent="0.25">
      <c r="B363" t="str">
        <f t="shared" si="5"/>
        <v>ARGPopulation, male</v>
      </c>
      <c r="C363" t="s">
        <v>427</v>
      </c>
      <c r="D363" t="s">
        <v>428</v>
      </c>
      <c r="E363" t="s">
        <v>397</v>
      </c>
      <c r="F363" t="s">
        <v>725</v>
      </c>
      <c r="G363">
        <v>21900000</v>
      </c>
      <c r="H363">
        <v>22102000</v>
      </c>
    </row>
    <row r="364" spans="2:8" x14ac:dyDescent="0.25">
      <c r="B364" t="str">
        <f t="shared" si="5"/>
        <v>ARGPopulation, total</v>
      </c>
      <c r="C364" t="s">
        <v>427</v>
      </c>
      <c r="D364" t="s">
        <v>428</v>
      </c>
      <c r="E364" t="s">
        <v>398</v>
      </c>
      <c r="F364" t="s">
        <v>726</v>
      </c>
      <c r="G364">
        <v>44901000</v>
      </c>
      <c r="H364">
        <v>45303000</v>
      </c>
    </row>
    <row r="365" spans="2:8" x14ac:dyDescent="0.25">
      <c r="B365" t="str">
        <f t="shared" si="5"/>
        <v>ARGPopulation, female</v>
      </c>
      <c r="C365" t="s">
        <v>427</v>
      </c>
      <c r="D365" t="s">
        <v>428</v>
      </c>
      <c r="E365" t="s">
        <v>396</v>
      </c>
      <c r="F365" t="s">
        <v>727</v>
      </c>
      <c r="G365">
        <v>23001000</v>
      </c>
      <c r="H365">
        <v>23202000</v>
      </c>
    </row>
    <row r="366" spans="2:8" x14ac:dyDescent="0.25">
      <c r="B366" t="str">
        <f t="shared" si="5"/>
        <v>ARGPopulation growth (annual %)</v>
      </c>
      <c r="C366" t="s">
        <v>427</v>
      </c>
      <c r="D366" t="s">
        <v>428</v>
      </c>
      <c r="E366" t="s">
        <v>399</v>
      </c>
      <c r="F366" t="s">
        <v>728</v>
      </c>
      <c r="G366">
        <v>0</v>
      </c>
      <c r="H366">
        <v>0</v>
      </c>
    </row>
    <row r="367" spans="2:8" x14ac:dyDescent="0.25">
      <c r="B367" t="str">
        <f t="shared" si="5"/>
        <v>ARMPopulation ages 0-14, female</v>
      </c>
      <c r="C367" t="s">
        <v>234</v>
      </c>
      <c r="D367" t="s">
        <v>3</v>
      </c>
      <c r="E367" t="s">
        <v>687</v>
      </c>
      <c r="F367" t="s">
        <v>688</v>
      </c>
      <c r="G367">
        <v>288000</v>
      </c>
      <c r="H367">
        <v>290000</v>
      </c>
    </row>
    <row r="368" spans="2:8" x14ac:dyDescent="0.25">
      <c r="B368" t="str">
        <f t="shared" si="5"/>
        <v>ARMPopulation ages 0-14, male</v>
      </c>
      <c r="C368" t="s">
        <v>234</v>
      </c>
      <c r="D368" t="s">
        <v>3</v>
      </c>
      <c r="E368" t="s">
        <v>689</v>
      </c>
      <c r="F368" t="s">
        <v>690</v>
      </c>
      <c r="G368">
        <v>326000</v>
      </c>
      <c r="H368">
        <v>327000</v>
      </c>
    </row>
    <row r="369" spans="2:8" x14ac:dyDescent="0.25">
      <c r="B369" t="str">
        <f t="shared" si="5"/>
        <v>ARMPopulation ages 00-04, female</v>
      </c>
      <c r="C369" t="s">
        <v>234</v>
      </c>
      <c r="D369" t="s">
        <v>3</v>
      </c>
      <c r="E369" t="s">
        <v>362</v>
      </c>
      <c r="F369" t="s">
        <v>691</v>
      </c>
      <c r="G369">
        <v>98000</v>
      </c>
      <c r="H369">
        <v>97000</v>
      </c>
    </row>
    <row r="370" spans="2:8" x14ac:dyDescent="0.25">
      <c r="B370" t="str">
        <f t="shared" si="5"/>
        <v>ARMPopulation ages 00-04, male</v>
      </c>
      <c r="C370" t="s">
        <v>234</v>
      </c>
      <c r="D370" t="s">
        <v>3</v>
      </c>
      <c r="E370" t="s">
        <v>363</v>
      </c>
      <c r="F370" t="s">
        <v>692</v>
      </c>
      <c r="G370">
        <v>110000</v>
      </c>
      <c r="H370">
        <v>108000</v>
      </c>
    </row>
    <row r="371" spans="2:8" x14ac:dyDescent="0.25">
      <c r="B371" t="str">
        <f t="shared" si="5"/>
        <v>ARMPopulation ages 05-09, female</v>
      </c>
      <c r="C371" t="s">
        <v>234</v>
      </c>
      <c r="D371" t="s">
        <v>3</v>
      </c>
      <c r="E371" t="s">
        <v>364</v>
      </c>
      <c r="F371" t="s">
        <v>693</v>
      </c>
      <c r="G371">
        <v>100000</v>
      </c>
      <c r="H371">
        <v>100000</v>
      </c>
    </row>
    <row r="372" spans="2:8" x14ac:dyDescent="0.25">
      <c r="B372" t="str">
        <f t="shared" si="5"/>
        <v>ARMPopulation ages 05-09, male</v>
      </c>
      <c r="C372" t="s">
        <v>234</v>
      </c>
      <c r="D372" t="s">
        <v>3</v>
      </c>
      <c r="E372" t="s">
        <v>365</v>
      </c>
      <c r="F372" t="s">
        <v>694</v>
      </c>
      <c r="G372">
        <v>113000</v>
      </c>
      <c r="H372">
        <v>114000</v>
      </c>
    </row>
    <row r="373" spans="2:8" x14ac:dyDescent="0.25">
      <c r="B373" t="str">
        <f t="shared" si="5"/>
        <v>ARMPopulation ages 10-14, female</v>
      </c>
      <c r="C373" t="s">
        <v>234</v>
      </c>
      <c r="D373" t="s">
        <v>3</v>
      </c>
      <c r="E373" t="s">
        <v>366</v>
      </c>
      <c r="F373" t="s">
        <v>695</v>
      </c>
      <c r="G373">
        <v>90000</v>
      </c>
      <c r="H373">
        <v>93000</v>
      </c>
    </row>
    <row r="374" spans="2:8" x14ac:dyDescent="0.25">
      <c r="B374" t="str">
        <f t="shared" si="5"/>
        <v>ARMPopulation ages 10-14, male</v>
      </c>
      <c r="C374" t="s">
        <v>234</v>
      </c>
      <c r="D374" t="s">
        <v>3</v>
      </c>
      <c r="E374" t="s">
        <v>367</v>
      </c>
      <c r="F374" t="s">
        <v>696</v>
      </c>
      <c r="G374">
        <v>103000</v>
      </c>
      <c r="H374">
        <v>106000</v>
      </c>
    </row>
    <row r="375" spans="2:8" x14ac:dyDescent="0.25">
      <c r="B375" t="str">
        <f t="shared" si="5"/>
        <v>ARMPopulation ages 15-19, female</v>
      </c>
      <c r="C375" t="s">
        <v>234</v>
      </c>
      <c r="D375" t="s">
        <v>3</v>
      </c>
      <c r="E375" t="s">
        <v>368</v>
      </c>
      <c r="F375" t="s">
        <v>697</v>
      </c>
      <c r="G375">
        <v>78000</v>
      </c>
      <c r="H375">
        <v>79000</v>
      </c>
    </row>
    <row r="376" spans="2:8" x14ac:dyDescent="0.25">
      <c r="B376" t="str">
        <f t="shared" si="5"/>
        <v>ARMPopulation ages 15-19, male</v>
      </c>
      <c r="C376" t="s">
        <v>234</v>
      </c>
      <c r="D376" t="s">
        <v>3</v>
      </c>
      <c r="E376" t="s">
        <v>369</v>
      </c>
      <c r="F376" t="s">
        <v>698</v>
      </c>
      <c r="G376">
        <v>90000</v>
      </c>
      <c r="H376">
        <v>91000</v>
      </c>
    </row>
    <row r="377" spans="2:8" x14ac:dyDescent="0.25">
      <c r="B377" t="str">
        <f t="shared" si="5"/>
        <v>ARMPopulation ages 20-24, female</v>
      </c>
      <c r="C377" t="s">
        <v>234</v>
      </c>
      <c r="D377" t="s">
        <v>3</v>
      </c>
      <c r="E377" t="s">
        <v>370</v>
      </c>
      <c r="F377" t="s">
        <v>699</v>
      </c>
      <c r="G377">
        <v>90000</v>
      </c>
      <c r="H377">
        <v>84000</v>
      </c>
    </row>
    <row r="378" spans="2:8" x14ac:dyDescent="0.25">
      <c r="B378" t="str">
        <f t="shared" si="5"/>
        <v>ARMPopulation ages 20-24, male</v>
      </c>
      <c r="C378" t="s">
        <v>234</v>
      </c>
      <c r="D378" t="s">
        <v>3</v>
      </c>
      <c r="E378" t="s">
        <v>371</v>
      </c>
      <c r="F378" t="s">
        <v>700</v>
      </c>
      <c r="G378">
        <v>96000</v>
      </c>
      <c r="H378">
        <v>93000</v>
      </c>
    </row>
    <row r="379" spans="2:8" x14ac:dyDescent="0.25">
      <c r="B379" t="str">
        <f t="shared" si="5"/>
        <v>ARMPopulation ages 25-29, female</v>
      </c>
      <c r="C379" t="s">
        <v>234</v>
      </c>
      <c r="D379" t="s">
        <v>3</v>
      </c>
      <c r="E379" t="s">
        <v>372</v>
      </c>
      <c r="F379" t="s">
        <v>701</v>
      </c>
      <c r="G379">
        <v>128000</v>
      </c>
      <c r="H379">
        <v>121000</v>
      </c>
    </row>
    <row r="380" spans="2:8" x14ac:dyDescent="0.25">
      <c r="B380" t="str">
        <f t="shared" si="5"/>
        <v>ARMPopulation ages 25-29, male</v>
      </c>
      <c r="C380" t="s">
        <v>234</v>
      </c>
      <c r="D380" t="s">
        <v>3</v>
      </c>
      <c r="E380" t="s">
        <v>373</v>
      </c>
      <c r="F380" t="s">
        <v>702</v>
      </c>
      <c r="G380">
        <v>116000</v>
      </c>
      <c r="H380">
        <v>111000</v>
      </c>
    </row>
    <row r="381" spans="2:8" x14ac:dyDescent="0.25">
      <c r="B381" t="str">
        <f t="shared" si="5"/>
        <v>ARMPopulation ages 30-34, female</v>
      </c>
      <c r="C381" t="s">
        <v>234</v>
      </c>
      <c r="D381" t="s">
        <v>3</v>
      </c>
      <c r="E381" t="s">
        <v>374</v>
      </c>
      <c r="F381" t="s">
        <v>703</v>
      </c>
      <c r="G381">
        <v>141000</v>
      </c>
      <c r="H381">
        <v>141000</v>
      </c>
    </row>
    <row r="382" spans="2:8" x14ac:dyDescent="0.25">
      <c r="B382" t="str">
        <f t="shared" si="5"/>
        <v>ARMPopulation ages 30-34, male</v>
      </c>
      <c r="C382" t="s">
        <v>234</v>
      </c>
      <c r="D382" t="s">
        <v>3</v>
      </c>
      <c r="E382" t="s">
        <v>375</v>
      </c>
      <c r="F382" t="s">
        <v>704</v>
      </c>
      <c r="G382">
        <v>126000</v>
      </c>
      <c r="H382">
        <v>126000</v>
      </c>
    </row>
    <row r="383" spans="2:8" x14ac:dyDescent="0.25">
      <c r="B383" t="str">
        <f t="shared" si="5"/>
        <v>ARMPopulation ages 35-39, female</v>
      </c>
      <c r="C383" t="s">
        <v>234</v>
      </c>
      <c r="D383" t="s">
        <v>3</v>
      </c>
      <c r="E383" t="s">
        <v>376</v>
      </c>
      <c r="F383" t="s">
        <v>705</v>
      </c>
      <c r="G383">
        <v>124000</v>
      </c>
      <c r="H383">
        <v>128000</v>
      </c>
    </row>
    <row r="384" spans="2:8" x14ac:dyDescent="0.25">
      <c r="B384" t="str">
        <f t="shared" si="5"/>
        <v>ARMPopulation ages 35-39, male</v>
      </c>
      <c r="C384" t="s">
        <v>234</v>
      </c>
      <c r="D384" t="s">
        <v>3</v>
      </c>
      <c r="E384" t="s">
        <v>377</v>
      </c>
      <c r="F384" t="s">
        <v>706</v>
      </c>
      <c r="G384">
        <v>104000</v>
      </c>
      <c r="H384">
        <v>108000</v>
      </c>
    </row>
    <row r="385" spans="2:8" x14ac:dyDescent="0.25">
      <c r="B385" t="str">
        <f t="shared" si="5"/>
        <v>ARMPopulation ages 40-44, female</v>
      </c>
      <c r="C385" t="s">
        <v>234</v>
      </c>
      <c r="D385" t="s">
        <v>3</v>
      </c>
      <c r="E385" t="s">
        <v>378</v>
      </c>
      <c r="F385" t="s">
        <v>707</v>
      </c>
      <c r="G385">
        <v>100000</v>
      </c>
      <c r="H385">
        <v>104000</v>
      </c>
    </row>
    <row r="386" spans="2:8" x14ac:dyDescent="0.25">
      <c r="B386" t="str">
        <f t="shared" si="5"/>
        <v>ARMPopulation ages 40-44, male</v>
      </c>
      <c r="C386" t="s">
        <v>234</v>
      </c>
      <c r="D386" t="s">
        <v>3</v>
      </c>
      <c r="E386" t="s">
        <v>379</v>
      </c>
      <c r="F386" t="s">
        <v>708</v>
      </c>
      <c r="G386">
        <v>84000</v>
      </c>
      <c r="H386">
        <v>87000</v>
      </c>
    </row>
    <row r="387" spans="2:8" x14ac:dyDescent="0.25">
      <c r="B387" t="str">
        <f t="shared" si="5"/>
        <v>ARMPopulation ages 45-49, female</v>
      </c>
      <c r="C387" t="s">
        <v>234</v>
      </c>
      <c r="D387" t="s">
        <v>3</v>
      </c>
      <c r="E387" t="s">
        <v>380</v>
      </c>
      <c r="F387" t="s">
        <v>709</v>
      </c>
      <c r="G387">
        <v>89000</v>
      </c>
      <c r="H387">
        <v>89000</v>
      </c>
    </row>
    <row r="388" spans="2:8" x14ac:dyDescent="0.25">
      <c r="B388" t="str">
        <f t="shared" si="5"/>
        <v>ARMPopulation ages 45-49, male</v>
      </c>
      <c r="C388" t="s">
        <v>234</v>
      </c>
      <c r="D388" t="s">
        <v>3</v>
      </c>
      <c r="E388" t="s">
        <v>381</v>
      </c>
      <c r="F388" t="s">
        <v>710</v>
      </c>
      <c r="G388">
        <v>72000</v>
      </c>
      <c r="H388">
        <v>73000</v>
      </c>
    </row>
    <row r="389" spans="2:8" x14ac:dyDescent="0.25">
      <c r="B389" t="str">
        <f t="shared" si="5"/>
        <v>ARMPopulation ages 50-54, female</v>
      </c>
      <c r="C389" t="s">
        <v>234</v>
      </c>
      <c r="D389" t="s">
        <v>3</v>
      </c>
      <c r="E389" t="s">
        <v>382</v>
      </c>
      <c r="F389" t="s">
        <v>711</v>
      </c>
      <c r="G389">
        <v>97000</v>
      </c>
      <c r="H389">
        <v>93000</v>
      </c>
    </row>
    <row r="390" spans="2:8" x14ac:dyDescent="0.25">
      <c r="B390" t="str">
        <f t="shared" si="5"/>
        <v>ARMPopulation ages 50-54, male</v>
      </c>
      <c r="C390" t="s">
        <v>234</v>
      </c>
      <c r="D390" t="s">
        <v>3</v>
      </c>
      <c r="E390" t="s">
        <v>383</v>
      </c>
      <c r="F390" t="s">
        <v>712</v>
      </c>
      <c r="G390">
        <v>73000</v>
      </c>
      <c r="H390">
        <v>70000</v>
      </c>
    </row>
    <row r="391" spans="2:8" x14ac:dyDescent="0.25">
      <c r="B391" t="str">
        <f t="shared" ref="B391:B454" si="6">CONCATENATE(D391,E391)</f>
        <v>ARMPopulation ages 55-59, male</v>
      </c>
      <c r="C391" t="s">
        <v>234</v>
      </c>
      <c r="D391" t="s">
        <v>3</v>
      </c>
      <c r="E391" t="s">
        <v>385</v>
      </c>
      <c r="F391" t="s">
        <v>713</v>
      </c>
      <c r="G391">
        <v>88000</v>
      </c>
      <c r="H391">
        <v>85000</v>
      </c>
    </row>
    <row r="392" spans="2:8" x14ac:dyDescent="0.25">
      <c r="B392" t="str">
        <f t="shared" si="6"/>
        <v>ARMPopulation ages 55-59, female</v>
      </c>
      <c r="C392" t="s">
        <v>234</v>
      </c>
      <c r="D392" t="s">
        <v>3</v>
      </c>
      <c r="E392" t="s">
        <v>384</v>
      </c>
      <c r="F392" t="s">
        <v>714</v>
      </c>
      <c r="G392">
        <v>117000</v>
      </c>
      <c r="H392">
        <v>114000</v>
      </c>
    </row>
    <row r="393" spans="2:8" x14ac:dyDescent="0.25">
      <c r="B393" t="str">
        <f t="shared" si="6"/>
        <v>ARMPopulation ages 65-69, male</v>
      </c>
      <c r="C393" t="s">
        <v>234</v>
      </c>
      <c r="D393" t="s">
        <v>3</v>
      </c>
      <c r="E393" t="s">
        <v>389</v>
      </c>
      <c r="F393" t="s">
        <v>715</v>
      </c>
      <c r="G393">
        <v>51000</v>
      </c>
      <c r="H393">
        <v>55000</v>
      </c>
    </row>
    <row r="394" spans="2:8" x14ac:dyDescent="0.25">
      <c r="B394" t="str">
        <f t="shared" si="6"/>
        <v>ARMPopulation ages 65-69, female</v>
      </c>
      <c r="C394" t="s">
        <v>234</v>
      </c>
      <c r="D394" t="s">
        <v>3</v>
      </c>
      <c r="E394" t="s">
        <v>388</v>
      </c>
      <c r="F394" t="s">
        <v>716</v>
      </c>
      <c r="G394">
        <v>71000</v>
      </c>
      <c r="H394">
        <v>77000</v>
      </c>
    </row>
    <row r="395" spans="2:8" x14ac:dyDescent="0.25">
      <c r="B395" t="str">
        <f t="shared" si="6"/>
        <v>ARMPopulation ages 60-64, female</v>
      </c>
      <c r="C395" t="s">
        <v>234</v>
      </c>
      <c r="D395" t="s">
        <v>3</v>
      </c>
      <c r="E395" t="s">
        <v>386</v>
      </c>
      <c r="F395" t="s">
        <v>717</v>
      </c>
      <c r="G395">
        <v>109000</v>
      </c>
      <c r="H395">
        <v>113000</v>
      </c>
    </row>
    <row r="396" spans="2:8" x14ac:dyDescent="0.25">
      <c r="B396" t="str">
        <f t="shared" si="6"/>
        <v>ARMPopulation ages 60-64, male</v>
      </c>
      <c r="C396" t="s">
        <v>234</v>
      </c>
      <c r="D396" t="s">
        <v>3</v>
      </c>
      <c r="E396" t="s">
        <v>387</v>
      </c>
      <c r="F396" t="s">
        <v>718</v>
      </c>
      <c r="G396">
        <v>82000</v>
      </c>
      <c r="H396">
        <v>84000</v>
      </c>
    </row>
    <row r="397" spans="2:8" x14ac:dyDescent="0.25">
      <c r="B397" t="str">
        <f t="shared" si="6"/>
        <v>ARMPopulation ages 70-74, female</v>
      </c>
      <c r="C397" t="s">
        <v>234</v>
      </c>
      <c r="D397" t="s">
        <v>3</v>
      </c>
      <c r="E397" t="s">
        <v>390</v>
      </c>
      <c r="F397" t="s">
        <v>719</v>
      </c>
      <c r="G397">
        <v>46000</v>
      </c>
      <c r="H397">
        <v>51000</v>
      </c>
    </row>
    <row r="398" spans="2:8" x14ac:dyDescent="0.25">
      <c r="B398" t="str">
        <f t="shared" si="6"/>
        <v>ARMPopulation ages 70-74, male</v>
      </c>
      <c r="C398" t="s">
        <v>234</v>
      </c>
      <c r="D398" t="s">
        <v>3</v>
      </c>
      <c r="E398" t="s">
        <v>391</v>
      </c>
      <c r="F398" t="s">
        <v>720</v>
      </c>
      <c r="G398">
        <v>31000</v>
      </c>
      <c r="H398">
        <v>34000</v>
      </c>
    </row>
    <row r="399" spans="2:8" x14ac:dyDescent="0.25">
      <c r="B399" t="str">
        <f t="shared" si="6"/>
        <v>ARMPopulation ages 75-79, female</v>
      </c>
      <c r="C399" t="s">
        <v>234</v>
      </c>
      <c r="D399" t="s">
        <v>3</v>
      </c>
      <c r="E399" t="s">
        <v>392</v>
      </c>
      <c r="F399" t="s">
        <v>721</v>
      </c>
      <c r="G399">
        <v>29000</v>
      </c>
      <c r="H399">
        <v>26000</v>
      </c>
    </row>
    <row r="400" spans="2:8" x14ac:dyDescent="0.25">
      <c r="B400" t="str">
        <f t="shared" si="6"/>
        <v>ARMPopulation ages 75-79, male</v>
      </c>
      <c r="C400" t="s">
        <v>234</v>
      </c>
      <c r="D400" t="s">
        <v>3</v>
      </c>
      <c r="E400" t="s">
        <v>393</v>
      </c>
      <c r="F400" t="s">
        <v>722</v>
      </c>
      <c r="G400">
        <v>17000</v>
      </c>
      <c r="H400">
        <v>16000</v>
      </c>
    </row>
    <row r="401" spans="2:8" x14ac:dyDescent="0.25">
      <c r="B401" t="str">
        <f t="shared" si="6"/>
        <v>ARMPopulation ages 80 and above, female</v>
      </c>
      <c r="C401" t="s">
        <v>234</v>
      </c>
      <c r="D401" t="s">
        <v>3</v>
      </c>
      <c r="E401" t="s">
        <v>394</v>
      </c>
      <c r="F401" t="s">
        <v>723</v>
      </c>
      <c r="G401">
        <v>61000</v>
      </c>
      <c r="H401">
        <v>59000</v>
      </c>
    </row>
    <row r="402" spans="2:8" x14ac:dyDescent="0.25">
      <c r="B402" t="str">
        <f t="shared" si="6"/>
        <v>ARMPopulation ages 80 and above, male</v>
      </c>
      <c r="C402" t="s">
        <v>234</v>
      </c>
      <c r="D402" t="s">
        <v>3</v>
      </c>
      <c r="E402" t="s">
        <v>395</v>
      </c>
      <c r="F402" t="s">
        <v>724</v>
      </c>
      <c r="G402">
        <v>34000</v>
      </c>
      <c r="H402">
        <v>32000</v>
      </c>
    </row>
    <row r="403" spans="2:8" x14ac:dyDescent="0.25">
      <c r="B403" t="str">
        <f t="shared" si="6"/>
        <v>ARMPopulation, male</v>
      </c>
      <c r="C403" t="s">
        <v>234</v>
      </c>
      <c r="D403" t="s">
        <v>3</v>
      </c>
      <c r="E403" t="s">
        <v>397</v>
      </c>
      <c r="F403" t="s">
        <v>725</v>
      </c>
      <c r="G403">
        <v>1391000</v>
      </c>
      <c r="H403">
        <v>1394000</v>
      </c>
    </row>
    <row r="404" spans="2:8" x14ac:dyDescent="0.25">
      <c r="B404" t="str">
        <f t="shared" si="6"/>
        <v>ARMPopulation, total</v>
      </c>
      <c r="C404" t="s">
        <v>234</v>
      </c>
      <c r="D404" t="s">
        <v>3</v>
      </c>
      <c r="E404" t="s">
        <v>398</v>
      </c>
      <c r="F404" t="s">
        <v>726</v>
      </c>
      <c r="G404">
        <v>2958000</v>
      </c>
      <c r="H404">
        <v>2963000</v>
      </c>
    </row>
    <row r="405" spans="2:8" x14ac:dyDescent="0.25">
      <c r="B405" t="str">
        <f t="shared" si="6"/>
        <v>ARMPopulation, female</v>
      </c>
      <c r="C405" t="s">
        <v>234</v>
      </c>
      <c r="D405" t="s">
        <v>3</v>
      </c>
      <c r="E405" t="s">
        <v>396</v>
      </c>
      <c r="F405" t="s">
        <v>727</v>
      </c>
      <c r="G405">
        <v>1566000</v>
      </c>
      <c r="H405">
        <v>1569000</v>
      </c>
    </row>
    <row r="406" spans="2:8" x14ac:dyDescent="0.25">
      <c r="B406" t="str">
        <f t="shared" si="6"/>
        <v>ARMPopulation growth (annual %)</v>
      </c>
      <c r="C406" t="s">
        <v>234</v>
      </c>
      <c r="D406" t="s">
        <v>3</v>
      </c>
      <c r="E406" t="s">
        <v>399</v>
      </c>
      <c r="F406" t="s">
        <v>728</v>
      </c>
      <c r="G406">
        <v>0</v>
      </c>
      <c r="H406">
        <v>0</v>
      </c>
    </row>
    <row r="407" spans="2:8" x14ac:dyDescent="0.25">
      <c r="B407" t="str">
        <f t="shared" si="6"/>
        <v>ABWPopulation ages 0-14, female</v>
      </c>
      <c r="C407" t="s">
        <v>429</v>
      </c>
      <c r="D407" t="s">
        <v>430</v>
      </c>
      <c r="E407" t="s">
        <v>687</v>
      </c>
      <c r="F407" t="s">
        <v>688</v>
      </c>
      <c r="G407">
        <v>9200</v>
      </c>
      <c r="H407">
        <v>9100</v>
      </c>
    </row>
    <row r="408" spans="2:8" x14ac:dyDescent="0.25">
      <c r="B408" t="str">
        <f t="shared" si="6"/>
        <v>ABWPopulation ages 0-14, male</v>
      </c>
      <c r="C408" t="s">
        <v>429</v>
      </c>
      <c r="D408" t="s">
        <v>430</v>
      </c>
      <c r="E408" t="s">
        <v>689</v>
      </c>
      <c r="F408" t="s">
        <v>690</v>
      </c>
      <c r="G408">
        <v>9500</v>
      </c>
      <c r="H408">
        <v>9400</v>
      </c>
    </row>
    <row r="409" spans="2:8" x14ac:dyDescent="0.25">
      <c r="B409" t="str">
        <f t="shared" si="6"/>
        <v>ABWPopulation ages 00-04, female</v>
      </c>
      <c r="C409" t="s">
        <v>429</v>
      </c>
      <c r="D409" t="s">
        <v>430</v>
      </c>
      <c r="E409" t="s">
        <v>362</v>
      </c>
      <c r="F409" t="s">
        <v>691</v>
      </c>
      <c r="G409">
        <v>2900</v>
      </c>
      <c r="H409">
        <v>3000</v>
      </c>
    </row>
    <row r="410" spans="2:8" x14ac:dyDescent="0.25">
      <c r="B410" t="str">
        <f t="shared" si="6"/>
        <v>ABWPopulation ages 00-04, male</v>
      </c>
      <c r="C410" t="s">
        <v>429</v>
      </c>
      <c r="D410" t="s">
        <v>430</v>
      </c>
      <c r="E410" t="s">
        <v>363</v>
      </c>
      <c r="F410" t="s">
        <v>692</v>
      </c>
      <c r="G410">
        <v>3000</v>
      </c>
      <c r="H410">
        <v>3100</v>
      </c>
    </row>
    <row r="411" spans="2:8" x14ac:dyDescent="0.25">
      <c r="B411" t="str">
        <f t="shared" si="6"/>
        <v>ABWPopulation ages 05-09, female</v>
      </c>
      <c r="C411" t="s">
        <v>429</v>
      </c>
      <c r="D411" t="s">
        <v>430</v>
      </c>
      <c r="E411" t="s">
        <v>364</v>
      </c>
      <c r="F411" t="s">
        <v>693</v>
      </c>
      <c r="G411">
        <v>2900</v>
      </c>
      <c r="H411">
        <v>2800</v>
      </c>
    </row>
    <row r="412" spans="2:8" x14ac:dyDescent="0.25">
      <c r="B412" t="str">
        <f t="shared" si="6"/>
        <v>ABWPopulation ages 05-09, male</v>
      </c>
      <c r="C412" t="s">
        <v>429</v>
      </c>
      <c r="D412" t="s">
        <v>430</v>
      </c>
      <c r="E412" t="s">
        <v>365</v>
      </c>
      <c r="F412" t="s">
        <v>694</v>
      </c>
      <c r="G412">
        <v>3000</v>
      </c>
      <c r="H412">
        <v>2900</v>
      </c>
    </row>
    <row r="413" spans="2:8" x14ac:dyDescent="0.25">
      <c r="B413" t="str">
        <f t="shared" si="6"/>
        <v>ABWPopulation ages 10-14, female</v>
      </c>
      <c r="C413" t="s">
        <v>429</v>
      </c>
      <c r="D413" t="s">
        <v>430</v>
      </c>
      <c r="E413" t="s">
        <v>366</v>
      </c>
      <c r="F413" t="s">
        <v>695</v>
      </c>
      <c r="G413">
        <v>3400</v>
      </c>
      <c r="H413">
        <v>3400</v>
      </c>
    </row>
    <row r="414" spans="2:8" x14ac:dyDescent="0.25">
      <c r="B414" t="str">
        <f t="shared" si="6"/>
        <v>ABWPopulation ages 10-14, male</v>
      </c>
      <c r="C414" t="s">
        <v>429</v>
      </c>
      <c r="D414" t="s">
        <v>430</v>
      </c>
      <c r="E414" t="s">
        <v>367</v>
      </c>
      <c r="F414" t="s">
        <v>696</v>
      </c>
      <c r="G414">
        <v>3500</v>
      </c>
      <c r="H414">
        <v>3400</v>
      </c>
    </row>
    <row r="415" spans="2:8" x14ac:dyDescent="0.25">
      <c r="B415" t="str">
        <f t="shared" si="6"/>
        <v>ABWPopulation ages 15-19, female</v>
      </c>
      <c r="C415" t="s">
        <v>429</v>
      </c>
      <c r="D415" t="s">
        <v>430</v>
      </c>
      <c r="E415" t="s">
        <v>368</v>
      </c>
      <c r="F415" t="s">
        <v>697</v>
      </c>
      <c r="G415">
        <v>3600</v>
      </c>
      <c r="H415">
        <v>3600</v>
      </c>
    </row>
    <row r="416" spans="2:8" x14ac:dyDescent="0.25">
      <c r="B416" t="str">
        <f t="shared" si="6"/>
        <v>ABWPopulation ages 15-19, male</v>
      </c>
      <c r="C416" t="s">
        <v>429</v>
      </c>
      <c r="D416" t="s">
        <v>430</v>
      </c>
      <c r="E416" t="s">
        <v>369</v>
      </c>
      <c r="F416" t="s">
        <v>698</v>
      </c>
      <c r="G416">
        <v>3700</v>
      </c>
      <c r="H416">
        <v>3700</v>
      </c>
    </row>
    <row r="417" spans="2:8" x14ac:dyDescent="0.25">
      <c r="B417" t="str">
        <f t="shared" si="6"/>
        <v>ABWPopulation ages 20-24, female</v>
      </c>
      <c r="C417" t="s">
        <v>429</v>
      </c>
      <c r="D417" t="s">
        <v>430</v>
      </c>
      <c r="E417" t="s">
        <v>370</v>
      </c>
      <c r="F417" t="s">
        <v>699</v>
      </c>
      <c r="G417">
        <v>3800</v>
      </c>
      <c r="H417">
        <v>3800</v>
      </c>
    </row>
    <row r="418" spans="2:8" x14ac:dyDescent="0.25">
      <c r="B418" t="str">
        <f t="shared" si="6"/>
        <v>ABWPopulation ages 20-24, male</v>
      </c>
      <c r="C418" t="s">
        <v>429</v>
      </c>
      <c r="D418" t="s">
        <v>430</v>
      </c>
      <c r="E418" t="s">
        <v>371</v>
      </c>
      <c r="F418" t="s">
        <v>700</v>
      </c>
      <c r="G418">
        <v>3800</v>
      </c>
      <c r="H418">
        <v>3800</v>
      </c>
    </row>
    <row r="419" spans="2:8" x14ac:dyDescent="0.25">
      <c r="B419" t="str">
        <f t="shared" si="6"/>
        <v>ABWPopulation ages 25-29, female</v>
      </c>
      <c r="C419" t="s">
        <v>429</v>
      </c>
      <c r="D419" t="s">
        <v>430</v>
      </c>
      <c r="E419" t="s">
        <v>372</v>
      </c>
      <c r="F419" t="s">
        <v>701</v>
      </c>
      <c r="G419">
        <v>3400</v>
      </c>
      <c r="H419">
        <v>3600</v>
      </c>
    </row>
    <row r="420" spans="2:8" x14ac:dyDescent="0.25">
      <c r="B420" t="str">
        <f t="shared" si="6"/>
        <v>ABWPopulation ages 25-29, male</v>
      </c>
      <c r="C420" t="s">
        <v>429</v>
      </c>
      <c r="D420" t="s">
        <v>430</v>
      </c>
      <c r="E420" t="s">
        <v>373</v>
      </c>
      <c r="F420" t="s">
        <v>702</v>
      </c>
      <c r="G420">
        <v>3600</v>
      </c>
      <c r="H420">
        <v>3800</v>
      </c>
    </row>
    <row r="421" spans="2:8" x14ac:dyDescent="0.25">
      <c r="B421" t="str">
        <f t="shared" si="6"/>
        <v>ABWPopulation ages 30-34, female</v>
      </c>
      <c r="C421" t="s">
        <v>429</v>
      </c>
      <c r="D421" t="s">
        <v>430</v>
      </c>
      <c r="E421" t="s">
        <v>374</v>
      </c>
      <c r="F421" t="s">
        <v>703</v>
      </c>
      <c r="G421">
        <v>2600</v>
      </c>
      <c r="H421">
        <v>2700</v>
      </c>
    </row>
    <row r="422" spans="2:8" x14ac:dyDescent="0.25">
      <c r="B422" t="str">
        <f t="shared" si="6"/>
        <v>ABWPopulation ages 30-34, male</v>
      </c>
      <c r="C422" t="s">
        <v>429</v>
      </c>
      <c r="D422" t="s">
        <v>430</v>
      </c>
      <c r="E422" t="s">
        <v>375</v>
      </c>
      <c r="F422" t="s">
        <v>704</v>
      </c>
      <c r="G422">
        <v>2600</v>
      </c>
      <c r="H422">
        <v>2700</v>
      </c>
    </row>
    <row r="423" spans="2:8" x14ac:dyDescent="0.25">
      <c r="B423" t="str">
        <f t="shared" si="6"/>
        <v>ABWPopulation ages 35-39, female</v>
      </c>
      <c r="C423" t="s">
        <v>429</v>
      </c>
      <c r="D423" t="s">
        <v>430</v>
      </c>
      <c r="E423" t="s">
        <v>376</v>
      </c>
      <c r="F423" t="s">
        <v>705</v>
      </c>
      <c r="G423">
        <v>3200</v>
      </c>
      <c r="H423">
        <v>3100</v>
      </c>
    </row>
    <row r="424" spans="2:8" x14ac:dyDescent="0.25">
      <c r="B424" t="str">
        <f t="shared" si="6"/>
        <v>ABWPopulation ages 35-39, male</v>
      </c>
      <c r="C424" t="s">
        <v>429</v>
      </c>
      <c r="D424" t="s">
        <v>430</v>
      </c>
      <c r="E424" t="s">
        <v>377</v>
      </c>
      <c r="F424" t="s">
        <v>706</v>
      </c>
      <c r="G424">
        <v>2700</v>
      </c>
      <c r="H424">
        <v>2700</v>
      </c>
    </row>
    <row r="425" spans="2:8" x14ac:dyDescent="0.25">
      <c r="B425" t="str">
        <f t="shared" si="6"/>
        <v>ABWPopulation ages 40-44, female</v>
      </c>
      <c r="C425" t="s">
        <v>429</v>
      </c>
      <c r="D425" t="s">
        <v>430</v>
      </c>
      <c r="E425" t="s">
        <v>378</v>
      </c>
      <c r="F425" t="s">
        <v>707</v>
      </c>
      <c r="G425">
        <v>3800</v>
      </c>
      <c r="H425">
        <v>3700</v>
      </c>
    </row>
    <row r="426" spans="2:8" x14ac:dyDescent="0.25">
      <c r="B426" t="str">
        <f t="shared" si="6"/>
        <v>ABWPopulation ages 40-44, male</v>
      </c>
      <c r="C426" t="s">
        <v>429</v>
      </c>
      <c r="D426" t="s">
        <v>430</v>
      </c>
      <c r="E426" t="s">
        <v>379</v>
      </c>
      <c r="F426" t="s">
        <v>708</v>
      </c>
      <c r="G426">
        <v>3100</v>
      </c>
      <c r="H426">
        <v>3000</v>
      </c>
    </row>
    <row r="427" spans="2:8" x14ac:dyDescent="0.25">
      <c r="B427" t="str">
        <f t="shared" si="6"/>
        <v>ABWPopulation ages 45-49, female</v>
      </c>
      <c r="C427" t="s">
        <v>429</v>
      </c>
      <c r="D427" t="s">
        <v>430</v>
      </c>
      <c r="E427" t="s">
        <v>380</v>
      </c>
      <c r="F427" t="s">
        <v>709</v>
      </c>
      <c r="G427">
        <v>4100</v>
      </c>
      <c r="H427">
        <v>4100</v>
      </c>
    </row>
    <row r="428" spans="2:8" x14ac:dyDescent="0.25">
      <c r="B428" t="str">
        <f t="shared" si="6"/>
        <v>ABWPopulation ages 45-49, male</v>
      </c>
      <c r="C428" t="s">
        <v>429</v>
      </c>
      <c r="D428" t="s">
        <v>430</v>
      </c>
      <c r="E428" t="s">
        <v>381</v>
      </c>
      <c r="F428" t="s">
        <v>710</v>
      </c>
      <c r="G428">
        <v>3500</v>
      </c>
      <c r="H428">
        <v>3500</v>
      </c>
    </row>
    <row r="429" spans="2:8" x14ac:dyDescent="0.25">
      <c r="B429" t="str">
        <f t="shared" si="6"/>
        <v>ABWPopulation ages 50-54, female</v>
      </c>
      <c r="C429" t="s">
        <v>429</v>
      </c>
      <c r="D429" t="s">
        <v>430</v>
      </c>
      <c r="E429" t="s">
        <v>382</v>
      </c>
      <c r="F429" t="s">
        <v>711</v>
      </c>
      <c r="G429">
        <v>4500</v>
      </c>
      <c r="H429">
        <v>4400</v>
      </c>
    </row>
    <row r="430" spans="2:8" x14ac:dyDescent="0.25">
      <c r="B430" t="str">
        <f t="shared" si="6"/>
        <v>ABWPopulation ages 50-54, male</v>
      </c>
      <c r="C430" t="s">
        <v>429</v>
      </c>
      <c r="D430" t="s">
        <v>430</v>
      </c>
      <c r="E430" t="s">
        <v>383</v>
      </c>
      <c r="F430" t="s">
        <v>712</v>
      </c>
      <c r="G430">
        <v>3900</v>
      </c>
      <c r="H430">
        <v>3700</v>
      </c>
    </row>
    <row r="431" spans="2:8" x14ac:dyDescent="0.25">
      <c r="B431" t="str">
        <f t="shared" si="6"/>
        <v>ABWPopulation ages 55-59, male</v>
      </c>
      <c r="C431" t="s">
        <v>429</v>
      </c>
      <c r="D431" t="s">
        <v>430</v>
      </c>
      <c r="E431" t="s">
        <v>385</v>
      </c>
      <c r="F431" t="s">
        <v>713</v>
      </c>
      <c r="G431">
        <v>4200</v>
      </c>
      <c r="H431">
        <v>4200</v>
      </c>
    </row>
    <row r="432" spans="2:8" x14ac:dyDescent="0.25">
      <c r="B432" t="str">
        <f t="shared" si="6"/>
        <v>ABWPopulation ages 55-59, female</v>
      </c>
      <c r="C432" t="s">
        <v>429</v>
      </c>
      <c r="D432" t="s">
        <v>430</v>
      </c>
      <c r="E432" t="s">
        <v>384</v>
      </c>
      <c r="F432" t="s">
        <v>714</v>
      </c>
      <c r="G432">
        <v>4900</v>
      </c>
      <c r="H432">
        <v>4900</v>
      </c>
    </row>
    <row r="433" spans="2:8" x14ac:dyDescent="0.25">
      <c r="B433" t="str">
        <f t="shared" si="6"/>
        <v>ABWPopulation ages 65-69, male</v>
      </c>
      <c r="C433" t="s">
        <v>429</v>
      </c>
      <c r="D433" t="s">
        <v>430</v>
      </c>
      <c r="E433" t="s">
        <v>389</v>
      </c>
      <c r="F433" t="s">
        <v>715</v>
      </c>
      <c r="G433">
        <v>2600</v>
      </c>
      <c r="H433">
        <v>2700</v>
      </c>
    </row>
    <row r="434" spans="2:8" x14ac:dyDescent="0.25">
      <c r="B434" t="str">
        <f t="shared" si="6"/>
        <v>ABWPopulation ages 65-69, female</v>
      </c>
      <c r="C434" t="s">
        <v>429</v>
      </c>
      <c r="D434" t="s">
        <v>430</v>
      </c>
      <c r="E434" t="s">
        <v>388</v>
      </c>
      <c r="F434" t="s">
        <v>716</v>
      </c>
      <c r="G434">
        <v>3200</v>
      </c>
      <c r="H434">
        <v>3400</v>
      </c>
    </row>
    <row r="435" spans="2:8" x14ac:dyDescent="0.25">
      <c r="B435" t="str">
        <f t="shared" si="6"/>
        <v>ABWPopulation ages 60-64, female</v>
      </c>
      <c r="C435" t="s">
        <v>429</v>
      </c>
      <c r="D435" t="s">
        <v>430</v>
      </c>
      <c r="E435" t="s">
        <v>386</v>
      </c>
      <c r="F435" t="s">
        <v>717</v>
      </c>
      <c r="G435">
        <v>4100</v>
      </c>
      <c r="H435">
        <v>4200</v>
      </c>
    </row>
    <row r="436" spans="2:8" x14ac:dyDescent="0.25">
      <c r="B436" t="str">
        <f t="shared" si="6"/>
        <v>ABWPopulation ages 60-64, male</v>
      </c>
      <c r="C436" t="s">
        <v>429</v>
      </c>
      <c r="D436" t="s">
        <v>430</v>
      </c>
      <c r="E436" t="s">
        <v>387</v>
      </c>
      <c r="F436" t="s">
        <v>718</v>
      </c>
      <c r="G436">
        <v>3400</v>
      </c>
      <c r="H436">
        <v>3500</v>
      </c>
    </row>
    <row r="437" spans="2:8" x14ac:dyDescent="0.25">
      <c r="B437" t="str">
        <f t="shared" si="6"/>
        <v>ABWPopulation ages 70-74, female</v>
      </c>
      <c r="C437" t="s">
        <v>429</v>
      </c>
      <c r="D437" t="s">
        <v>430</v>
      </c>
      <c r="E437" t="s">
        <v>390</v>
      </c>
      <c r="F437" t="s">
        <v>719</v>
      </c>
      <c r="G437">
        <v>2300</v>
      </c>
      <c r="H437">
        <v>2400</v>
      </c>
    </row>
    <row r="438" spans="2:8" x14ac:dyDescent="0.25">
      <c r="B438" t="str">
        <f t="shared" si="6"/>
        <v>ABWPopulation ages 70-74, male</v>
      </c>
      <c r="C438" t="s">
        <v>429</v>
      </c>
      <c r="D438" t="s">
        <v>430</v>
      </c>
      <c r="E438" t="s">
        <v>391</v>
      </c>
      <c r="F438" t="s">
        <v>720</v>
      </c>
      <c r="G438">
        <v>1800</v>
      </c>
      <c r="H438">
        <v>1900</v>
      </c>
    </row>
    <row r="439" spans="2:8" x14ac:dyDescent="0.25">
      <c r="B439" t="str">
        <f t="shared" si="6"/>
        <v>ABWPopulation ages 75-79, female</v>
      </c>
      <c r="C439" t="s">
        <v>429</v>
      </c>
      <c r="D439" t="s">
        <v>430</v>
      </c>
      <c r="E439" t="s">
        <v>392</v>
      </c>
      <c r="F439" t="s">
        <v>721</v>
      </c>
      <c r="G439">
        <v>1500</v>
      </c>
      <c r="H439">
        <v>1500</v>
      </c>
    </row>
    <row r="440" spans="2:8" x14ac:dyDescent="0.25">
      <c r="B440" t="str">
        <f t="shared" si="6"/>
        <v>ABWPopulation ages 75-79, male</v>
      </c>
      <c r="C440" t="s">
        <v>429</v>
      </c>
      <c r="D440" t="s">
        <v>430</v>
      </c>
      <c r="E440" t="s">
        <v>393</v>
      </c>
      <c r="F440" t="s">
        <v>722</v>
      </c>
      <c r="G440">
        <v>1100</v>
      </c>
      <c r="H440">
        <v>1100</v>
      </c>
    </row>
    <row r="441" spans="2:8" x14ac:dyDescent="0.25">
      <c r="B441" t="str">
        <f t="shared" si="6"/>
        <v>ABWPopulation ages 80 and above, female</v>
      </c>
      <c r="C441" t="s">
        <v>429</v>
      </c>
      <c r="D441" t="s">
        <v>430</v>
      </c>
      <c r="E441" t="s">
        <v>394</v>
      </c>
      <c r="F441" t="s">
        <v>723</v>
      </c>
      <c r="G441">
        <v>1600</v>
      </c>
      <c r="H441">
        <v>1700</v>
      </c>
    </row>
    <row r="442" spans="2:8" x14ac:dyDescent="0.25">
      <c r="B442" t="str">
        <f t="shared" si="6"/>
        <v>ABWPopulation ages 80 and above, male</v>
      </c>
      <c r="C442" t="s">
        <v>429</v>
      </c>
      <c r="D442" t="s">
        <v>430</v>
      </c>
      <c r="E442" t="s">
        <v>395</v>
      </c>
      <c r="F442" t="s">
        <v>724</v>
      </c>
      <c r="G442">
        <v>900</v>
      </c>
      <c r="H442">
        <v>900</v>
      </c>
    </row>
    <row r="443" spans="2:8" x14ac:dyDescent="0.25">
      <c r="B443" t="str">
        <f t="shared" si="6"/>
        <v>ABWPopulation, male</v>
      </c>
      <c r="C443" t="s">
        <v>429</v>
      </c>
      <c r="D443" t="s">
        <v>430</v>
      </c>
      <c r="E443" t="s">
        <v>397</v>
      </c>
      <c r="F443" t="s">
        <v>725</v>
      </c>
      <c r="G443">
        <v>50000</v>
      </c>
      <c r="H443">
        <v>51000</v>
      </c>
    </row>
    <row r="444" spans="2:8" x14ac:dyDescent="0.25">
      <c r="B444" t="str">
        <f t="shared" si="6"/>
        <v>ABWPopulation, total</v>
      </c>
      <c r="C444" t="s">
        <v>429</v>
      </c>
      <c r="D444" t="s">
        <v>430</v>
      </c>
      <c r="E444" t="s">
        <v>398</v>
      </c>
      <c r="F444" t="s">
        <v>726</v>
      </c>
      <c r="G444">
        <v>106000</v>
      </c>
      <c r="H444">
        <v>107000</v>
      </c>
    </row>
    <row r="445" spans="2:8" x14ac:dyDescent="0.25">
      <c r="B445" t="str">
        <f t="shared" si="6"/>
        <v>ABWPopulation, female</v>
      </c>
      <c r="C445" t="s">
        <v>429</v>
      </c>
      <c r="D445" t="s">
        <v>430</v>
      </c>
      <c r="E445" t="s">
        <v>396</v>
      </c>
      <c r="F445" t="s">
        <v>727</v>
      </c>
      <c r="G445">
        <v>56000</v>
      </c>
      <c r="H445">
        <v>56000</v>
      </c>
    </row>
    <row r="446" spans="2:8" x14ac:dyDescent="0.25">
      <c r="B446" t="str">
        <f t="shared" si="6"/>
        <v>ABWPopulation growth (annual %)</v>
      </c>
      <c r="C446" t="s">
        <v>429</v>
      </c>
      <c r="D446" t="s">
        <v>430</v>
      </c>
      <c r="E446" t="s">
        <v>399</v>
      </c>
      <c r="F446" t="s">
        <v>728</v>
      </c>
      <c r="G446">
        <v>0</v>
      </c>
      <c r="H446">
        <v>0</v>
      </c>
    </row>
    <row r="447" spans="2:8" x14ac:dyDescent="0.25">
      <c r="B447" t="str">
        <f t="shared" si="6"/>
        <v>AUSPopulation ages 0-14, female</v>
      </c>
      <c r="C447" t="s">
        <v>431</v>
      </c>
      <c r="D447" t="s">
        <v>4</v>
      </c>
      <c r="E447" t="s">
        <v>687</v>
      </c>
      <c r="F447" t="s">
        <v>688</v>
      </c>
      <c r="G447">
        <v>2375000</v>
      </c>
      <c r="H447">
        <v>2405000</v>
      </c>
    </row>
    <row r="448" spans="2:8" x14ac:dyDescent="0.25">
      <c r="B448" t="str">
        <f t="shared" si="6"/>
        <v>AUSPopulation ages 0-14, male</v>
      </c>
      <c r="C448" t="s">
        <v>431</v>
      </c>
      <c r="D448" t="s">
        <v>4</v>
      </c>
      <c r="E448" t="s">
        <v>689</v>
      </c>
      <c r="F448" t="s">
        <v>690</v>
      </c>
      <c r="G448">
        <v>2503000</v>
      </c>
      <c r="H448">
        <v>2535000</v>
      </c>
    </row>
    <row r="449" spans="2:8" x14ac:dyDescent="0.25">
      <c r="B449" t="str">
        <f t="shared" si="6"/>
        <v>AUSPopulation ages 00-04, female</v>
      </c>
      <c r="C449" t="s">
        <v>431</v>
      </c>
      <c r="D449" t="s">
        <v>4</v>
      </c>
      <c r="E449" t="s">
        <v>362</v>
      </c>
      <c r="F449" t="s">
        <v>691</v>
      </c>
      <c r="G449">
        <v>808000</v>
      </c>
      <c r="H449">
        <v>816000</v>
      </c>
    </row>
    <row r="450" spans="2:8" x14ac:dyDescent="0.25">
      <c r="B450" t="str">
        <f t="shared" si="6"/>
        <v>AUSPopulation ages 00-04, male</v>
      </c>
      <c r="C450" t="s">
        <v>431</v>
      </c>
      <c r="D450" t="s">
        <v>4</v>
      </c>
      <c r="E450" t="s">
        <v>363</v>
      </c>
      <c r="F450" t="s">
        <v>692</v>
      </c>
      <c r="G450">
        <v>853000</v>
      </c>
      <c r="H450">
        <v>861000</v>
      </c>
    </row>
    <row r="451" spans="2:8" x14ac:dyDescent="0.25">
      <c r="B451" t="str">
        <f t="shared" si="6"/>
        <v>AUSPopulation ages 05-09, female</v>
      </c>
      <c r="C451" t="s">
        <v>431</v>
      </c>
      <c r="D451" t="s">
        <v>4</v>
      </c>
      <c r="E451" t="s">
        <v>364</v>
      </c>
      <c r="F451" t="s">
        <v>693</v>
      </c>
      <c r="G451">
        <v>795000</v>
      </c>
      <c r="H451">
        <v>802000</v>
      </c>
    </row>
    <row r="452" spans="2:8" x14ac:dyDescent="0.25">
      <c r="B452" t="str">
        <f t="shared" si="6"/>
        <v>AUSPopulation ages 05-09, male</v>
      </c>
      <c r="C452" t="s">
        <v>431</v>
      </c>
      <c r="D452" t="s">
        <v>4</v>
      </c>
      <c r="E452" t="s">
        <v>365</v>
      </c>
      <c r="F452" t="s">
        <v>694</v>
      </c>
      <c r="G452">
        <v>837000</v>
      </c>
      <c r="H452">
        <v>845000</v>
      </c>
    </row>
    <row r="453" spans="2:8" x14ac:dyDescent="0.25">
      <c r="B453" t="str">
        <f t="shared" si="6"/>
        <v>AUSPopulation ages 10-14, female</v>
      </c>
      <c r="C453" t="s">
        <v>431</v>
      </c>
      <c r="D453" t="s">
        <v>4</v>
      </c>
      <c r="E453" t="s">
        <v>366</v>
      </c>
      <c r="F453" t="s">
        <v>695</v>
      </c>
      <c r="G453">
        <v>772000</v>
      </c>
      <c r="H453">
        <v>788000</v>
      </c>
    </row>
    <row r="454" spans="2:8" x14ac:dyDescent="0.25">
      <c r="B454" t="str">
        <f t="shared" si="6"/>
        <v>AUSPopulation ages 10-14, male</v>
      </c>
      <c r="C454" t="s">
        <v>431</v>
      </c>
      <c r="D454" t="s">
        <v>4</v>
      </c>
      <c r="E454" t="s">
        <v>367</v>
      </c>
      <c r="F454" t="s">
        <v>696</v>
      </c>
      <c r="G454">
        <v>812000</v>
      </c>
      <c r="H454">
        <v>829000</v>
      </c>
    </row>
    <row r="455" spans="2:8" x14ac:dyDescent="0.25">
      <c r="B455" t="str">
        <f t="shared" ref="B455:B518" si="7">CONCATENATE(D455,E455)</f>
        <v>AUSPopulation ages 15-19, female</v>
      </c>
      <c r="C455" t="s">
        <v>431</v>
      </c>
      <c r="D455" t="s">
        <v>4</v>
      </c>
      <c r="E455" t="s">
        <v>368</v>
      </c>
      <c r="F455" t="s">
        <v>697</v>
      </c>
      <c r="G455">
        <v>737000</v>
      </c>
      <c r="H455">
        <v>746000</v>
      </c>
    </row>
    <row r="456" spans="2:8" x14ac:dyDescent="0.25">
      <c r="B456" t="str">
        <f t="shared" si="7"/>
        <v>AUSPopulation ages 15-19, male</v>
      </c>
      <c r="C456" t="s">
        <v>431</v>
      </c>
      <c r="D456" t="s">
        <v>4</v>
      </c>
      <c r="E456" t="s">
        <v>369</v>
      </c>
      <c r="F456" t="s">
        <v>698</v>
      </c>
      <c r="G456">
        <v>771000</v>
      </c>
      <c r="H456">
        <v>781000</v>
      </c>
    </row>
    <row r="457" spans="2:8" x14ac:dyDescent="0.25">
      <c r="B457" t="str">
        <f t="shared" si="7"/>
        <v>AUSPopulation ages 20-24, female</v>
      </c>
      <c r="C457" t="s">
        <v>431</v>
      </c>
      <c r="D457" t="s">
        <v>4</v>
      </c>
      <c r="E457" t="s">
        <v>370</v>
      </c>
      <c r="F457" t="s">
        <v>699</v>
      </c>
      <c r="G457">
        <v>792000</v>
      </c>
      <c r="H457">
        <v>787000</v>
      </c>
    </row>
    <row r="458" spans="2:8" x14ac:dyDescent="0.25">
      <c r="B458" t="str">
        <f t="shared" si="7"/>
        <v>AUSPopulation ages 20-24, male</v>
      </c>
      <c r="C458" t="s">
        <v>431</v>
      </c>
      <c r="D458" t="s">
        <v>4</v>
      </c>
      <c r="E458" t="s">
        <v>371</v>
      </c>
      <c r="F458" t="s">
        <v>700</v>
      </c>
      <c r="G458">
        <v>823000</v>
      </c>
      <c r="H458">
        <v>815000</v>
      </c>
    </row>
    <row r="459" spans="2:8" x14ac:dyDescent="0.25">
      <c r="B459" t="str">
        <f t="shared" si="7"/>
        <v>AUSPopulation ages 25-29, female</v>
      </c>
      <c r="C459" t="s">
        <v>431</v>
      </c>
      <c r="D459" t="s">
        <v>4</v>
      </c>
      <c r="E459" t="s">
        <v>372</v>
      </c>
      <c r="F459" t="s">
        <v>701</v>
      </c>
      <c r="G459">
        <v>882000</v>
      </c>
      <c r="H459">
        <v>875000</v>
      </c>
    </row>
    <row r="460" spans="2:8" x14ac:dyDescent="0.25">
      <c r="B460" t="str">
        <f t="shared" si="7"/>
        <v>AUSPopulation ages 25-29, male</v>
      </c>
      <c r="C460" t="s">
        <v>431</v>
      </c>
      <c r="D460" t="s">
        <v>4</v>
      </c>
      <c r="E460" t="s">
        <v>373</v>
      </c>
      <c r="F460" t="s">
        <v>702</v>
      </c>
      <c r="G460">
        <v>918000</v>
      </c>
      <c r="H460">
        <v>914000</v>
      </c>
    </row>
    <row r="461" spans="2:8" x14ac:dyDescent="0.25">
      <c r="B461" t="str">
        <f t="shared" si="7"/>
        <v>AUSPopulation ages 30-34, female</v>
      </c>
      <c r="C461" t="s">
        <v>431</v>
      </c>
      <c r="D461" t="s">
        <v>4</v>
      </c>
      <c r="E461" t="s">
        <v>374</v>
      </c>
      <c r="F461" t="s">
        <v>703</v>
      </c>
      <c r="G461">
        <v>936000</v>
      </c>
      <c r="H461">
        <v>940000</v>
      </c>
    </row>
    <row r="462" spans="2:8" x14ac:dyDescent="0.25">
      <c r="B462" t="str">
        <f t="shared" si="7"/>
        <v>AUSPopulation ages 30-34, male</v>
      </c>
      <c r="C462" t="s">
        <v>431</v>
      </c>
      <c r="D462" t="s">
        <v>4</v>
      </c>
      <c r="E462" t="s">
        <v>375</v>
      </c>
      <c r="F462" t="s">
        <v>704</v>
      </c>
      <c r="G462">
        <v>938000</v>
      </c>
      <c r="H462">
        <v>944000</v>
      </c>
    </row>
    <row r="463" spans="2:8" x14ac:dyDescent="0.25">
      <c r="B463" t="str">
        <f t="shared" si="7"/>
        <v>AUSPopulation ages 35-39, female</v>
      </c>
      <c r="C463" t="s">
        <v>431</v>
      </c>
      <c r="D463" t="s">
        <v>4</v>
      </c>
      <c r="E463" t="s">
        <v>376</v>
      </c>
      <c r="F463" t="s">
        <v>705</v>
      </c>
      <c r="G463">
        <v>901000</v>
      </c>
      <c r="H463">
        <v>925000</v>
      </c>
    </row>
    <row r="464" spans="2:8" x14ac:dyDescent="0.25">
      <c r="B464" t="str">
        <f t="shared" si="7"/>
        <v>AUSPopulation ages 35-39, male</v>
      </c>
      <c r="C464" t="s">
        <v>431</v>
      </c>
      <c r="D464" t="s">
        <v>4</v>
      </c>
      <c r="E464" t="s">
        <v>377</v>
      </c>
      <c r="F464" t="s">
        <v>706</v>
      </c>
      <c r="G464">
        <v>901000</v>
      </c>
      <c r="H464">
        <v>926000</v>
      </c>
    </row>
    <row r="465" spans="2:8" x14ac:dyDescent="0.25">
      <c r="B465" t="str">
        <f t="shared" si="7"/>
        <v>AUSPopulation ages 40-44, female</v>
      </c>
      <c r="C465" t="s">
        <v>431</v>
      </c>
      <c r="D465" t="s">
        <v>4</v>
      </c>
      <c r="E465" t="s">
        <v>378</v>
      </c>
      <c r="F465" t="s">
        <v>707</v>
      </c>
      <c r="G465">
        <v>816000</v>
      </c>
      <c r="H465">
        <v>822000</v>
      </c>
    </row>
    <row r="466" spans="2:8" x14ac:dyDescent="0.25">
      <c r="B466" t="str">
        <f t="shared" si="7"/>
        <v>AUSPopulation ages 40-44, male</v>
      </c>
      <c r="C466" t="s">
        <v>431</v>
      </c>
      <c r="D466" t="s">
        <v>4</v>
      </c>
      <c r="E466" t="s">
        <v>379</v>
      </c>
      <c r="F466" t="s">
        <v>708</v>
      </c>
      <c r="G466">
        <v>807000</v>
      </c>
      <c r="H466">
        <v>814000</v>
      </c>
    </row>
    <row r="467" spans="2:8" x14ac:dyDescent="0.25">
      <c r="B467" t="str">
        <f t="shared" si="7"/>
        <v>AUSPopulation ages 45-49, female</v>
      </c>
      <c r="C467" t="s">
        <v>431</v>
      </c>
      <c r="D467" t="s">
        <v>4</v>
      </c>
      <c r="E467" t="s">
        <v>380</v>
      </c>
      <c r="F467" t="s">
        <v>709</v>
      </c>
      <c r="G467">
        <v>844000</v>
      </c>
      <c r="H467">
        <v>849000</v>
      </c>
    </row>
    <row r="468" spans="2:8" x14ac:dyDescent="0.25">
      <c r="B468" t="str">
        <f t="shared" si="7"/>
        <v>AUSPopulation ages 45-49, male</v>
      </c>
      <c r="C468" t="s">
        <v>431</v>
      </c>
      <c r="D468" t="s">
        <v>4</v>
      </c>
      <c r="E468" t="s">
        <v>381</v>
      </c>
      <c r="F468" t="s">
        <v>710</v>
      </c>
      <c r="G468">
        <v>829000</v>
      </c>
      <c r="H468">
        <v>835000</v>
      </c>
    </row>
    <row r="469" spans="2:8" x14ac:dyDescent="0.25">
      <c r="B469" t="str">
        <f t="shared" si="7"/>
        <v>AUSPopulation ages 50-54, female</v>
      </c>
      <c r="C469" t="s">
        <v>431</v>
      </c>
      <c r="D469" t="s">
        <v>4</v>
      </c>
      <c r="E469" t="s">
        <v>382</v>
      </c>
      <c r="F469" t="s">
        <v>711</v>
      </c>
      <c r="G469">
        <v>789000</v>
      </c>
      <c r="H469">
        <v>793000</v>
      </c>
    </row>
    <row r="470" spans="2:8" x14ac:dyDescent="0.25">
      <c r="B470" t="str">
        <f t="shared" si="7"/>
        <v>AUSPopulation ages 50-54, male</v>
      </c>
      <c r="C470" t="s">
        <v>431</v>
      </c>
      <c r="D470" t="s">
        <v>4</v>
      </c>
      <c r="E470" t="s">
        <v>383</v>
      </c>
      <c r="F470" t="s">
        <v>712</v>
      </c>
      <c r="G470">
        <v>770000</v>
      </c>
      <c r="H470">
        <v>772000</v>
      </c>
    </row>
    <row r="471" spans="2:8" x14ac:dyDescent="0.25">
      <c r="B471" t="str">
        <f t="shared" si="7"/>
        <v>AUSPopulation ages 55-59, male</v>
      </c>
      <c r="C471" t="s">
        <v>431</v>
      </c>
      <c r="D471" t="s">
        <v>4</v>
      </c>
      <c r="E471" t="s">
        <v>385</v>
      </c>
      <c r="F471" t="s">
        <v>713</v>
      </c>
      <c r="G471">
        <v>766000</v>
      </c>
      <c r="H471">
        <v>771000</v>
      </c>
    </row>
    <row r="472" spans="2:8" x14ac:dyDescent="0.25">
      <c r="B472" t="str">
        <f t="shared" si="7"/>
        <v>AUSPopulation ages 55-59, female</v>
      </c>
      <c r="C472" t="s">
        <v>431</v>
      </c>
      <c r="D472" t="s">
        <v>4</v>
      </c>
      <c r="E472" t="s">
        <v>384</v>
      </c>
      <c r="F472" t="s">
        <v>714</v>
      </c>
      <c r="G472">
        <v>781000</v>
      </c>
      <c r="H472">
        <v>785000</v>
      </c>
    </row>
    <row r="473" spans="2:8" x14ac:dyDescent="0.25">
      <c r="B473" t="str">
        <f t="shared" si="7"/>
        <v>AUSPopulation ages 65-69, male</v>
      </c>
      <c r="C473" t="s">
        <v>431</v>
      </c>
      <c r="D473" t="s">
        <v>4</v>
      </c>
      <c r="E473" t="s">
        <v>389</v>
      </c>
      <c r="F473" t="s">
        <v>715</v>
      </c>
      <c r="G473">
        <v>596000</v>
      </c>
      <c r="H473">
        <v>604000</v>
      </c>
    </row>
    <row r="474" spans="2:8" x14ac:dyDescent="0.25">
      <c r="B474" t="str">
        <f t="shared" si="7"/>
        <v>AUSPopulation ages 65-69, female</v>
      </c>
      <c r="C474" t="s">
        <v>431</v>
      </c>
      <c r="D474" t="s">
        <v>4</v>
      </c>
      <c r="E474" t="s">
        <v>388</v>
      </c>
      <c r="F474" t="s">
        <v>716</v>
      </c>
      <c r="G474">
        <v>623000</v>
      </c>
      <c r="H474">
        <v>634000</v>
      </c>
    </row>
    <row r="475" spans="2:8" x14ac:dyDescent="0.25">
      <c r="B475" t="str">
        <f t="shared" si="7"/>
        <v>AUSPopulation ages 60-64, female</v>
      </c>
      <c r="C475" t="s">
        <v>431</v>
      </c>
      <c r="D475" t="s">
        <v>4</v>
      </c>
      <c r="E475" t="s">
        <v>386</v>
      </c>
      <c r="F475" t="s">
        <v>717</v>
      </c>
      <c r="G475">
        <v>714000</v>
      </c>
      <c r="H475">
        <v>728000</v>
      </c>
    </row>
    <row r="476" spans="2:8" x14ac:dyDescent="0.25">
      <c r="B476" t="str">
        <f t="shared" si="7"/>
        <v>AUSPopulation ages 60-64, male</v>
      </c>
      <c r="C476" t="s">
        <v>431</v>
      </c>
      <c r="D476" t="s">
        <v>4</v>
      </c>
      <c r="E476" t="s">
        <v>387</v>
      </c>
      <c r="F476" t="s">
        <v>718</v>
      </c>
      <c r="G476">
        <v>683000</v>
      </c>
      <c r="H476">
        <v>697000</v>
      </c>
    </row>
    <row r="477" spans="2:8" x14ac:dyDescent="0.25">
      <c r="B477" t="str">
        <f t="shared" si="7"/>
        <v>AUSPopulation ages 70-74, female</v>
      </c>
      <c r="C477" t="s">
        <v>431</v>
      </c>
      <c r="D477" t="s">
        <v>4</v>
      </c>
      <c r="E477" t="s">
        <v>390</v>
      </c>
      <c r="F477" t="s">
        <v>719</v>
      </c>
      <c r="G477">
        <v>537000</v>
      </c>
      <c r="H477">
        <v>558000</v>
      </c>
    </row>
    <row r="478" spans="2:8" x14ac:dyDescent="0.25">
      <c r="B478" t="str">
        <f t="shared" si="7"/>
        <v>AUSPopulation ages 70-74, male</v>
      </c>
      <c r="C478" t="s">
        <v>431</v>
      </c>
      <c r="D478" t="s">
        <v>4</v>
      </c>
      <c r="E478" t="s">
        <v>391</v>
      </c>
      <c r="F478" t="s">
        <v>720</v>
      </c>
      <c r="G478">
        <v>512000</v>
      </c>
      <c r="H478">
        <v>530000</v>
      </c>
    </row>
    <row r="479" spans="2:8" x14ac:dyDescent="0.25">
      <c r="B479" t="str">
        <f t="shared" si="7"/>
        <v>AUSPopulation ages 75-79, female</v>
      </c>
      <c r="C479" t="s">
        <v>431</v>
      </c>
      <c r="D479" t="s">
        <v>4</v>
      </c>
      <c r="E479" t="s">
        <v>392</v>
      </c>
      <c r="F479" t="s">
        <v>721</v>
      </c>
      <c r="G479">
        <v>378000</v>
      </c>
      <c r="H479">
        <v>399000</v>
      </c>
    </row>
    <row r="480" spans="2:8" x14ac:dyDescent="0.25">
      <c r="B480" t="str">
        <f t="shared" si="7"/>
        <v>AUSPopulation ages 75-79, male</v>
      </c>
      <c r="C480" t="s">
        <v>431</v>
      </c>
      <c r="D480" t="s">
        <v>4</v>
      </c>
      <c r="E480" t="s">
        <v>393</v>
      </c>
      <c r="F480" t="s">
        <v>722</v>
      </c>
      <c r="G480">
        <v>348000</v>
      </c>
      <c r="H480">
        <v>367000</v>
      </c>
    </row>
    <row r="481" spans="2:8" x14ac:dyDescent="0.25">
      <c r="B481" t="str">
        <f t="shared" si="7"/>
        <v>AUSPopulation ages 80 and above, female</v>
      </c>
      <c r="C481" t="s">
        <v>431</v>
      </c>
      <c r="D481" t="s">
        <v>4</v>
      </c>
      <c r="E481" t="s">
        <v>394</v>
      </c>
      <c r="F481" t="s">
        <v>723</v>
      </c>
      <c r="G481">
        <v>597000</v>
      </c>
      <c r="H481">
        <v>610000</v>
      </c>
    </row>
    <row r="482" spans="2:8" x14ac:dyDescent="0.25">
      <c r="B482" t="str">
        <f t="shared" si="7"/>
        <v>AUSPopulation ages 80 and above, male</v>
      </c>
      <c r="C482" t="s">
        <v>431</v>
      </c>
      <c r="D482" t="s">
        <v>4</v>
      </c>
      <c r="E482" t="s">
        <v>395</v>
      </c>
      <c r="F482" t="s">
        <v>724</v>
      </c>
      <c r="G482">
        <v>437000</v>
      </c>
      <c r="H482">
        <v>449000</v>
      </c>
    </row>
    <row r="483" spans="2:8" x14ac:dyDescent="0.25">
      <c r="B483" t="str">
        <f t="shared" si="7"/>
        <v>AUSPopulation, male</v>
      </c>
      <c r="C483" t="s">
        <v>431</v>
      </c>
      <c r="D483" t="s">
        <v>4</v>
      </c>
      <c r="E483" t="s">
        <v>397</v>
      </c>
      <c r="F483" t="s">
        <v>725</v>
      </c>
      <c r="G483">
        <v>12601000</v>
      </c>
      <c r="H483">
        <v>12753000</v>
      </c>
    </row>
    <row r="484" spans="2:8" x14ac:dyDescent="0.25">
      <c r="B484" t="str">
        <f t="shared" si="7"/>
        <v>AUSPopulation, total</v>
      </c>
      <c r="C484" t="s">
        <v>431</v>
      </c>
      <c r="D484" t="s">
        <v>4</v>
      </c>
      <c r="E484" t="s">
        <v>398</v>
      </c>
      <c r="F484" t="s">
        <v>726</v>
      </c>
      <c r="G484">
        <v>25303000</v>
      </c>
      <c r="H484">
        <v>25608000</v>
      </c>
    </row>
    <row r="485" spans="2:8" x14ac:dyDescent="0.25">
      <c r="B485" t="str">
        <f t="shared" si="7"/>
        <v>AUSPopulation, female</v>
      </c>
      <c r="C485" t="s">
        <v>431</v>
      </c>
      <c r="D485" t="s">
        <v>4</v>
      </c>
      <c r="E485" t="s">
        <v>396</v>
      </c>
      <c r="F485" t="s">
        <v>727</v>
      </c>
      <c r="G485">
        <v>12702000</v>
      </c>
      <c r="H485">
        <v>12856000</v>
      </c>
    </row>
    <row r="486" spans="2:8" x14ac:dyDescent="0.25">
      <c r="B486" t="str">
        <f t="shared" si="7"/>
        <v>AUSPopulation growth (annual %)</v>
      </c>
      <c r="C486" t="s">
        <v>431</v>
      </c>
      <c r="D486" t="s">
        <v>4</v>
      </c>
      <c r="E486" t="s">
        <v>399</v>
      </c>
      <c r="F486" t="s">
        <v>728</v>
      </c>
      <c r="G486">
        <v>0</v>
      </c>
      <c r="H486">
        <v>0</v>
      </c>
    </row>
    <row r="487" spans="2:8" x14ac:dyDescent="0.25">
      <c r="B487" t="str">
        <f t="shared" si="7"/>
        <v>AUTPopulation ages 0-14, female</v>
      </c>
      <c r="C487" t="s">
        <v>432</v>
      </c>
      <c r="D487" t="s">
        <v>5</v>
      </c>
      <c r="E487" t="s">
        <v>687</v>
      </c>
      <c r="F487" t="s">
        <v>688</v>
      </c>
      <c r="G487">
        <v>617000</v>
      </c>
      <c r="H487">
        <v>620000</v>
      </c>
    </row>
    <row r="488" spans="2:8" x14ac:dyDescent="0.25">
      <c r="B488" t="str">
        <f t="shared" si="7"/>
        <v>AUTPopulation ages 0-14, male</v>
      </c>
      <c r="C488" t="s">
        <v>432</v>
      </c>
      <c r="D488" t="s">
        <v>5</v>
      </c>
      <c r="E488" t="s">
        <v>689</v>
      </c>
      <c r="F488" t="s">
        <v>690</v>
      </c>
      <c r="G488">
        <v>656000</v>
      </c>
      <c r="H488">
        <v>660000</v>
      </c>
    </row>
    <row r="489" spans="2:8" x14ac:dyDescent="0.25">
      <c r="B489" t="str">
        <f t="shared" si="7"/>
        <v>AUTPopulation ages 00-04, female</v>
      </c>
      <c r="C489" t="s">
        <v>432</v>
      </c>
      <c r="D489" t="s">
        <v>5</v>
      </c>
      <c r="E489" t="s">
        <v>362</v>
      </c>
      <c r="F489" t="s">
        <v>691</v>
      </c>
      <c r="G489">
        <v>213000</v>
      </c>
      <c r="H489">
        <v>215000</v>
      </c>
    </row>
    <row r="490" spans="2:8" x14ac:dyDescent="0.25">
      <c r="B490" t="str">
        <f t="shared" si="7"/>
        <v>AUTPopulation ages 00-04, male</v>
      </c>
      <c r="C490" t="s">
        <v>432</v>
      </c>
      <c r="D490" t="s">
        <v>5</v>
      </c>
      <c r="E490" t="s">
        <v>363</v>
      </c>
      <c r="F490" t="s">
        <v>692</v>
      </c>
      <c r="G490">
        <v>225000</v>
      </c>
      <c r="H490">
        <v>227000</v>
      </c>
    </row>
    <row r="491" spans="2:8" x14ac:dyDescent="0.25">
      <c r="B491" t="str">
        <f t="shared" si="7"/>
        <v>AUTPopulation ages 05-09, female</v>
      </c>
      <c r="C491" t="s">
        <v>432</v>
      </c>
      <c r="D491" t="s">
        <v>5</v>
      </c>
      <c r="E491" t="s">
        <v>364</v>
      </c>
      <c r="F491" t="s">
        <v>693</v>
      </c>
      <c r="G491">
        <v>201000</v>
      </c>
      <c r="H491">
        <v>203000</v>
      </c>
    </row>
    <row r="492" spans="2:8" x14ac:dyDescent="0.25">
      <c r="B492" t="str">
        <f t="shared" si="7"/>
        <v>AUTPopulation ages 05-09, male</v>
      </c>
      <c r="C492" t="s">
        <v>432</v>
      </c>
      <c r="D492" t="s">
        <v>5</v>
      </c>
      <c r="E492" t="s">
        <v>365</v>
      </c>
      <c r="F492" t="s">
        <v>694</v>
      </c>
      <c r="G492">
        <v>215000</v>
      </c>
      <c r="H492">
        <v>217000</v>
      </c>
    </row>
    <row r="493" spans="2:8" x14ac:dyDescent="0.25">
      <c r="B493" t="str">
        <f t="shared" si="7"/>
        <v>AUTPopulation ages 10-14, female</v>
      </c>
      <c r="C493" t="s">
        <v>432</v>
      </c>
      <c r="D493" t="s">
        <v>5</v>
      </c>
      <c r="E493" t="s">
        <v>366</v>
      </c>
      <c r="F493" t="s">
        <v>695</v>
      </c>
      <c r="G493">
        <v>203000</v>
      </c>
      <c r="H493">
        <v>202000</v>
      </c>
    </row>
    <row r="494" spans="2:8" x14ac:dyDescent="0.25">
      <c r="B494" t="str">
        <f t="shared" si="7"/>
        <v>AUTPopulation ages 10-14, male</v>
      </c>
      <c r="C494" t="s">
        <v>432</v>
      </c>
      <c r="D494" t="s">
        <v>5</v>
      </c>
      <c r="E494" t="s">
        <v>367</v>
      </c>
      <c r="F494" t="s">
        <v>696</v>
      </c>
      <c r="G494">
        <v>216000</v>
      </c>
      <c r="H494">
        <v>216000</v>
      </c>
    </row>
    <row r="495" spans="2:8" x14ac:dyDescent="0.25">
      <c r="B495" t="str">
        <f t="shared" si="7"/>
        <v>AUTPopulation ages 15-19, female</v>
      </c>
      <c r="C495" t="s">
        <v>432</v>
      </c>
      <c r="D495" t="s">
        <v>5</v>
      </c>
      <c r="E495" t="s">
        <v>368</v>
      </c>
      <c r="F495" t="s">
        <v>697</v>
      </c>
      <c r="G495">
        <v>218000</v>
      </c>
      <c r="H495">
        <v>216000</v>
      </c>
    </row>
    <row r="496" spans="2:8" x14ac:dyDescent="0.25">
      <c r="B496" t="str">
        <f t="shared" si="7"/>
        <v>AUTPopulation ages 15-19, male</v>
      </c>
      <c r="C496" t="s">
        <v>432</v>
      </c>
      <c r="D496" t="s">
        <v>5</v>
      </c>
      <c r="E496" t="s">
        <v>369</v>
      </c>
      <c r="F496" t="s">
        <v>698</v>
      </c>
      <c r="G496">
        <v>232000</v>
      </c>
      <c r="H496">
        <v>230000</v>
      </c>
    </row>
    <row r="497" spans="2:8" x14ac:dyDescent="0.25">
      <c r="B497" t="str">
        <f t="shared" si="7"/>
        <v>AUTPopulation ages 20-24, female</v>
      </c>
      <c r="C497" t="s">
        <v>432</v>
      </c>
      <c r="D497" t="s">
        <v>5</v>
      </c>
      <c r="E497" t="s">
        <v>370</v>
      </c>
      <c r="F497" t="s">
        <v>699</v>
      </c>
      <c r="G497">
        <v>248000</v>
      </c>
      <c r="H497">
        <v>242000</v>
      </c>
    </row>
    <row r="498" spans="2:8" x14ac:dyDescent="0.25">
      <c r="B498" t="str">
        <f t="shared" si="7"/>
        <v>AUTPopulation ages 20-24, male</v>
      </c>
      <c r="C498" t="s">
        <v>432</v>
      </c>
      <c r="D498" t="s">
        <v>5</v>
      </c>
      <c r="E498" t="s">
        <v>371</v>
      </c>
      <c r="F498" t="s">
        <v>700</v>
      </c>
      <c r="G498">
        <v>265000</v>
      </c>
      <c r="H498">
        <v>260000</v>
      </c>
    </row>
    <row r="499" spans="2:8" x14ac:dyDescent="0.25">
      <c r="B499" t="str">
        <f t="shared" si="7"/>
        <v>AUTPopulation ages 25-29, female</v>
      </c>
      <c r="C499" t="s">
        <v>432</v>
      </c>
      <c r="D499" t="s">
        <v>5</v>
      </c>
      <c r="E499" t="s">
        <v>372</v>
      </c>
      <c r="F499" t="s">
        <v>701</v>
      </c>
      <c r="G499">
        <v>292000</v>
      </c>
      <c r="H499">
        <v>291000</v>
      </c>
    </row>
    <row r="500" spans="2:8" x14ac:dyDescent="0.25">
      <c r="B500" t="str">
        <f t="shared" si="7"/>
        <v>AUTPopulation ages 25-29, male</v>
      </c>
      <c r="C500" t="s">
        <v>432</v>
      </c>
      <c r="D500" t="s">
        <v>5</v>
      </c>
      <c r="E500" t="s">
        <v>373</v>
      </c>
      <c r="F500" t="s">
        <v>702</v>
      </c>
      <c r="G500">
        <v>308000</v>
      </c>
      <c r="H500">
        <v>308000</v>
      </c>
    </row>
    <row r="501" spans="2:8" x14ac:dyDescent="0.25">
      <c r="B501" t="str">
        <f t="shared" si="7"/>
        <v>AUTPopulation ages 30-34, female</v>
      </c>
      <c r="C501" t="s">
        <v>432</v>
      </c>
      <c r="D501" t="s">
        <v>5</v>
      </c>
      <c r="E501" t="s">
        <v>374</v>
      </c>
      <c r="F501" t="s">
        <v>703</v>
      </c>
      <c r="G501">
        <v>300000</v>
      </c>
      <c r="H501">
        <v>300000</v>
      </c>
    </row>
    <row r="502" spans="2:8" x14ac:dyDescent="0.25">
      <c r="B502" t="str">
        <f t="shared" si="7"/>
        <v>AUTPopulation ages 30-34, male</v>
      </c>
      <c r="C502" t="s">
        <v>432</v>
      </c>
      <c r="D502" t="s">
        <v>5</v>
      </c>
      <c r="E502" t="s">
        <v>375</v>
      </c>
      <c r="F502" t="s">
        <v>704</v>
      </c>
      <c r="G502">
        <v>309000</v>
      </c>
      <c r="H502">
        <v>311000</v>
      </c>
    </row>
    <row r="503" spans="2:8" x14ac:dyDescent="0.25">
      <c r="B503" t="str">
        <f t="shared" si="7"/>
        <v>AUTPopulation ages 35-39, female</v>
      </c>
      <c r="C503" t="s">
        <v>432</v>
      </c>
      <c r="D503" t="s">
        <v>5</v>
      </c>
      <c r="E503" t="s">
        <v>376</v>
      </c>
      <c r="F503" t="s">
        <v>705</v>
      </c>
      <c r="G503">
        <v>299000</v>
      </c>
      <c r="H503">
        <v>304000</v>
      </c>
    </row>
    <row r="504" spans="2:8" x14ac:dyDescent="0.25">
      <c r="B504" t="str">
        <f t="shared" si="7"/>
        <v>AUTPopulation ages 35-39, male</v>
      </c>
      <c r="C504" t="s">
        <v>432</v>
      </c>
      <c r="D504" t="s">
        <v>5</v>
      </c>
      <c r="E504" t="s">
        <v>377</v>
      </c>
      <c r="F504" t="s">
        <v>706</v>
      </c>
      <c r="G504">
        <v>304000</v>
      </c>
      <c r="H504">
        <v>310000</v>
      </c>
    </row>
    <row r="505" spans="2:8" x14ac:dyDescent="0.25">
      <c r="B505" t="str">
        <f t="shared" si="7"/>
        <v>AUTPopulation ages 40-44, female</v>
      </c>
      <c r="C505" t="s">
        <v>432</v>
      </c>
      <c r="D505" t="s">
        <v>5</v>
      </c>
      <c r="E505" t="s">
        <v>378</v>
      </c>
      <c r="F505" t="s">
        <v>707</v>
      </c>
      <c r="G505">
        <v>278000</v>
      </c>
      <c r="H505">
        <v>277000</v>
      </c>
    </row>
    <row r="506" spans="2:8" x14ac:dyDescent="0.25">
      <c r="B506" t="str">
        <f t="shared" si="7"/>
        <v>AUTPopulation ages 40-44, male</v>
      </c>
      <c r="C506" t="s">
        <v>432</v>
      </c>
      <c r="D506" t="s">
        <v>5</v>
      </c>
      <c r="E506" t="s">
        <v>379</v>
      </c>
      <c r="F506" t="s">
        <v>708</v>
      </c>
      <c r="G506">
        <v>280000</v>
      </c>
      <c r="H506">
        <v>281000</v>
      </c>
    </row>
    <row r="507" spans="2:8" x14ac:dyDescent="0.25">
      <c r="B507" t="str">
        <f t="shared" si="7"/>
        <v>AUTPopulation ages 45-49, female</v>
      </c>
      <c r="C507" t="s">
        <v>432</v>
      </c>
      <c r="D507" t="s">
        <v>5</v>
      </c>
      <c r="E507" t="s">
        <v>380</v>
      </c>
      <c r="F507" t="s">
        <v>709</v>
      </c>
      <c r="G507">
        <v>314000</v>
      </c>
      <c r="H507">
        <v>303000</v>
      </c>
    </row>
    <row r="508" spans="2:8" x14ac:dyDescent="0.25">
      <c r="B508" t="str">
        <f t="shared" si="7"/>
        <v>AUTPopulation ages 45-49, male</v>
      </c>
      <c r="C508" t="s">
        <v>432</v>
      </c>
      <c r="D508" t="s">
        <v>5</v>
      </c>
      <c r="E508" t="s">
        <v>381</v>
      </c>
      <c r="F508" t="s">
        <v>710</v>
      </c>
      <c r="G508">
        <v>312000</v>
      </c>
      <c r="H508">
        <v>301000</v>
      </c>
    </row>
    <row r="509" spans="2:8" x14ac:dyDescent="0.25">
      <c r="B509" t="str">
        <f t="shared" si="7"/>
        <v>AUTPopulation ages 50-54, female</v>
      </c>
      <c r="C509" t="s">
        <v>432</v>
      </c>
      <c r="D509" t="s">
        <v>5</v>
      </c>
      <c r="E509" t="s">
        <v>382</v>
      </c>
      <c r="F509" t="s">
        <v>711</v>
      </c>
      <c r="G509">
        <v>357000</v>
      </c>
      <c r="H509">
        <v>351000</v>
      </c>
    </row>
    <row r="510" spans="2:8" x14ac:dyDescent="0.25">
      <c r="B510" t="str">
        <f t="shared" si="7"/>
        <v>AUTPopulation ages 50-54, male</v>
      </c>
      <c r="C510" t="s">
        <v>432</v>
      </c>
      <c r="D510" t="s">
        <v>5</v>
      </c>
      <c r="E510" t="s">
        <v>383</v>
      </c>
      <c r="F510" t="s">
        <v>712</v>
      </c>
      <c r="G510">
        <v>359000</v>
      </c>
      <c r="H510">
        <v>352000</v>
      </c>
    </row>
    <row r="511" spans="2:8" x14ac:dyDescent="0.25">
      <c r="B511" t="str">
        <f t="shared" si="7"/>
        <v>AUTPopulation ages 55-59, male</v>
      </c>
      <c r="C511" t="s">
        <v>432</v>
      </c>
      <c r="D511" t="s">
        <v>5</v>
      </c>
      <c r="E511" t="s">
        <v>385</v>
      </c>
      <c r="F511" t="s">
        <v>713</v>
      </c>
      <c r="G511">
        <v>336000</v>
      </c>
      <c r="H511">
        <v>342000</v>
      </c>
    </row>
    <row r="512" spans="2:8" x14ac:dyDescent="0.25">
      <c r="B512" t="str">
        <f t="shared" si="7"/>
        <v>AUTPopulation ages 55-59, female</v>
      </c>
      <c r="C512" t="s">
        <v>432</v>
      </c>
      <c r="D512" t="s">
        <v>5</v>
      </c>
      <c r="E512" t="s">
        <v>384</v>
      </c>
      <c r="F512" t="s">
        <v>714</v>
      </c>
      <c r="G512">
        <v>337000</v>
      </c>
      <c r="H512">
        <v>342000</v>
      </c>
    </row>
    <row r="513" spans="2:8" x14ac:dyDescent="0.25">
      <c r="B513" t="str">
        <f t="shared" si="7"/>
        <v>AUTPopulation ages 65-69, male</v>
      </c>
      <c r="C513" t="s">
        <v>432</v>
      </c>
      <c r="D513" t="s">
        <v>5</v>
      </c>
      <c r="E513" t="s">
        <v>389</v>
      </c>
      <c r="F513" t="s">
        <v>715</v>
      </c>
      <c r="G513">
        <v>207000</v>
      </c>
      <c r="H513">
        <v>211000</v>
      </c>
    </row>
    <row r="514" spans="2:8" x14ac:dyDescent="0.25">
      <c r="B514" t="str">
        <f t="shared" si="7"/>
        <v>AUTPopulation ages 65-69, female</v>
      </c>
      <c r="C514" t="s">
        <v>432</v>
      </c>
      <c r="D514" t="s">
        <v>5</v>
      </c>
      <c r="E514" t="s">
        <v>388</v>
      </c>
      <c r="F514" t="s">
        <v>716</v>
      </c>
      <c r="G514">
        <v>230000</v>
      </c>
      <c r="H514">
        <v>234000</v>
      </c>
    </row>
    <row r="515" spans="2:8" x14ac:dyDescent="0.25">
      <c r="B515" t="str">
        <f t="shared" si="7"/>
        <v>AUTPopulation ages 60-64, female</v>
      </c>
      <c r="C515" t="s">
        <v>432</v>
      </c>
      <c r="D515" t="s">
        <v>5</v>
      </c>
      <c r="E515" t="s">
        <v>386</v>
      </c>
      <c r="F515" t="s">
        <v>717</v>
      </c>
      <c r="G515">
        <v>284000</v>
      </c>
      <c r="H515">
        <v>294000</v>
      </c>
    </row>
    <row r="516" spans="2:8" x14ac:dyDescent="0.25">
      <c r="B516" t="str">
        <f t="shared" si="7"/>
        <v>AUTPopulation ages 60-64, male</v>
      </c>
      <c r="C516" t="s">
        <v>432</v>
      </c>
      <c r="D516" t="s">
        <v>5</v>
      </c>
      <c r="E516" t="s">
        <v>387</v>
      </c>
      <c r="F516" t="s">
        <v>718</v>
      </c>
      <c r="G516">
        <v>270000</v>
      </c>
      <c r="H516">
        <v>281000</v>
      </c>
    </row>
    <row r="517" spans="2:8" x14ac:dyDescent="0.25">
      <c r="B517" t="str">
        <f t="shared" si="7"/>
        <v>AUTPopulation ages 70-74, female</v>
      </c>
      <c r="C517" t="s">
        <v>432</v>
      </c>
      <c r="D517" t="s">
        <v>5</v>
      </c>
      <c r="E517" t="s">
        <v>390</v>
      </c>
      <c r="F517" t="s">
        <v>719</v>
      </c>
      <c r="G517">
        <v>221000</v>
      </c>
      <c r="H517">
        <v>217000</v>
      </c>
    </row>
    <row r="518" spans="2:8" x14ac:dyDescent="0.25">
      <c r="B518" t="str">
        <f t="shared" si="7"/>
        <v>AUTPopulation ages 70-74, male</v>
      </c>
      <c r="C518" t="s">
        <v>432</v>
      </c>
      <c r="D518" t="s">
        <v>5</v>
      </c>
      <c r="E518" t="s">
        <v>391</v>
      </c>
      <c r="F518" t="s">
        <v>720</v>
      </c>
      <c r="G518">
        <v>188000</v>
      </c>
      <c r="H518">
        <v>185000</v>
      </c>
    </row>
    <row r="519" spans="2:8" x14ac:dyDescent="0.25">
      <c r="B519" t="str">
        <f t="shared" ref="B519:B582" si="8">CONCATENATE(D519,E519)</f>
        <v>AUTPopulation ages 75-79, female</v>
      </c>
      <c r="C519" t="s">
        <v>432</v>
      </c>
      <c r="D519" t="s">
        <v>5</v>
      </c>
      <c r="E519" t="s">
        <v>392</v>
      </c>
      <c r="F519" t="s">
        <v>721</v>
      </c>
      <c r="G519">
        <v>209000</v>
      </c>
      <c r="H519">
        <v>212000</v>
      </c>
    </row>
    <row r="520" spans="2:8" x14ac:dyDescent="0.25">
      <c r="B520" t="str">
        <f t="shared" si="8"/>
        <v>AUTPopulation ages 75-79, male</v>
      </c>
      <c r="C520" t="s">
        <v>432</v>
      </c>
      <c r="D520" t="s">
        <v>5</v>
      </c>
      <c r="E520" t="s">
        <v>393</v>
      </c>
      <c r="F520" t="s">
        <v>722</v>
      </c>
      <c r="G520">
        <v>164000</v>
      </c>
      <c r="H520">
        <v>166000</v>
      </c>
    </row>
    <row r="521" spans="2:8" x14ac:dyDescent="0.25">
      <c r="B521" t="str">
        <f t="shared" si="8"/>
        <v>AUTPopulation ages 80 and above, female</v>
      </c>
      <c r="C521" t="s">
        <v>432</v>
      </c>
      <c r="D521" t="s">
        <v>5</v>
      </c>
      <c r="E521" t="s">
        <v>394</v>
      </c>
      <c r="F521" t="s">
        <v>723</v>
      </c>
      <c r="G521">
        <v>297000</v>
      </c>
      <c r="H521">
        <v>301000</v>
      </c>
    </row>
    <row r="522" spans="2:8" x14ac:dyDescent="0.25">
      <c r="B522" t="str">
        <f t="shared" si="8"/>
        <v>AUTPopulation ages 80 and above, male</v>
      </c>
      <c r="C522" t="s">
        <v>432</v>
      </c>
      <c r="D522" t="s">
        <v>5</v>
      </c>
      <c r="E522" t="s">
        <v>395</v>
      </c>
      <c r="F522" t="s">
        <v>724</v>
      </c>
      <c r="G522">
        <v>175000</v>
      </c>
      <c r="H522">
        <v>180000</v>
      </c>
    </row>
    <row r="523" spans="2:8" x14ac:dyDescent="0.25">
      <c r="B523" t="str">
        <f t="shared" si="8"/>
        <v>AUTPopulation, male</v>
      </c>
      <c r="C523" t="s">
        <v>432</v>
      </c>
      <c r="D523" t="s">
        <v>5</v>
      </c>
      <c r="E523" t="s">
        <v>397</v>
      </c>
      <c r="F523" t="s">
        <v>725</v>
      </c>
      <c r="G523">
        <v>4365000</v>
      </c>
      <c r="H523">
        <v>4379000</v>
      </c>
    </row>
    <row r="524" spans="2:8" x14ac:dyDescent="0.25">
      <c r="B524" t="str">
        <f t="shared" si="8"/>
        <v>AUTPopulation, total</v>
      </c>
      <c r="C524" t="s">
        <v>432</v>
      </c>
      <c r="D524" t="s">
        <v>5</v>
      </c>
      <c r="E524" t="s">
        <v>398</v>
      </c>
      <c r="F524" t="s">
        <v>726</v>
      </c>
      <c r="G524">
        <v>8865000</v>
      </c>
      <c r="H524">
        <v>8883000</v>
      </c>
    </row>
    <row r="525" spans="2:8" x14ac:dyDescent="0.25">
      <c r="B525" t="str">
        <f t="shared" si="8"/>
        <v>AUTPopulation, female</v>
      </c>
      <c r="C525" t="s">
        <v>432</v>
      </c>
      <c r="D525" t="s">
        <v>5</v>
      </c>
      <c r="E525" t="s">
        <v>396</v>
      </c>
      <c r="F525" t="s">
        <v>727</v>
      </c>
      <c r="G525">
        <v>4500000</v>
      </c>
      <c r="H525">
        <v>4504000</v>
      </c>
    </row>
    <row r="526" spans="2:8" x14ac:dyDescent="0.25">
      <c r="B526" t="str">
        <f t="shared" si="8"/>
        <v>AUTPopulation growth (annual %)</v>
      </c>
      <c r="C526" t="s">
        <v>432</v>
      </c>
      <c r="D526" t="s">
        <v>5</v>
      </c>
      <c r="E526" t="s">
        <v>399</v>
      </c>
      <c r="F526" t="s">
        <v>728</v>
      </c>
      <c r="G526">
        <v>0</v>
      </c>
      <c r="H526">
        <v>0</v>
      </c>
    </row>
    <row r="527" spans="2:8" x14ac:dyDescent="0.25">
      <c r="B527" t="str">
        <f t="shared" si="8"/>
        <v>AZEPopulation ages 0-14, female</v>
      </c>
      <c r="C527" t="s">
        <v>235</v>
      </c>
      <c r="D527" t="s">
        <v>6</v>
      </c>
      <c r="E527" t="s">
        <v>687</v>
      </c>
      <c r="F527" t="s">
        <v>688</v>
      </c>
      <c r="G527">
        <v>1097000</v>
      </c>
      <c r="H527">
        <v>1111000</v>
      </c>
    </row>
    <row r="528" spans="2:8" x14ac:dyDescent="0.25">
      <c r="B528" t="str">
        <f t="shared" si="8"/>
        <v>AZEPopulation ages 0-14, male</v>
      </c>
      <c r="C528" t="s">
        <v>235</v>
      </c>
      <c r="D528" t="s">
        <v>6</v>
      </c>
      <c r="E528" t="s">
        <v>689</v>
      </c>
      <c r="F528" t="s">
        <v>690</v>
      </c>
      <c r="G528">
        <v>1255000</v>
      </c>
      <c r="H528">
        <v>1267000</v>
      </c>
    </row>
    <row r="529" spans="2:8" x14ac:dyDescent="0.25">
      <c r="B529" t="str">
        <f t="shared" si="8"/>
        <v>AZEPopulation ages 00-04, female</v>
      </c>
      <c r="C529" t="s">
        <v>235</v>
      </c>
      <c r="D529" t="s">
        <v>6</v>
      </c>
      <c r="E529" t="s">
        <v>362</v>
      </c>
      <c r="F529" t="s">
        <v>691</v>
      </c>
      <c r="G529">
        <v>398000</v>
      </c>
      <c r="H529">
        <v>389000</v>
      </c>
    </row>
    <row r="530" spans="2:8" x14ac:dyDescent="0.25">
      <c r="B530" t="str">
        <f t="shared" si="8"/>
        <v>AZEPopulation ages 00-04, male</v>
      </c>
      <c r="C530" t="s">
        <v>235</v>
      </c>
      <c r="D530" t="s">
        <v>6</v>
      </c>
      <c r="E530" t="s">
        <v>363</v>
      </c>
      <c r="F530" t="s">
        <v>692</v>
      </c>
      <c r="G530">
        <v>449000</v>
      </c>
      <c r="H530">
        <v>435000</v>
      </c>
    </row>
    <row r="531" spans="2:8" x14ac:dyDescent="0.25">
      <c r="B531" t="str">
        <f t="shared" si="8"/>
        <v>AZEPopulation ages 05-09, female</v>
      </c>
      <c r="C531" t="s">
        <v>235</v>
      </c>
      <c r="D531" t="s">
        <v>6</v>
      </c>
      <c r="E531" t="s">
        <v>364</v>
      </c>
      <c r="F531" t="s">
        <v>693</v>
      </c>
      <c r="G531">
        <v>386000</v>
      </c>
      <c r="H531">
        <v>399000</v>
      </c>
    </row>
    <row r="532" spans="2:8" x14ac:dyDescent="0.25">
      <c r="B532" t="str">
        <f t="shared" si="8"/>
        <v>AZEPopulation ages 05-09, male</v>
      </c>
      <c r="C532" t="s">
        <v>235</v>
      </c>
      <c r="D532" t="s">
        <v>6</v>
      </c>
      <c r="E532" t="s">
        <v>365</v>
      </c>
      <c r="F532" t="s">
        <v>694</v>
      </c>
      <c r="G532">
        <v>445000</v>
      </c>
      <c r="H532">
        <v>459000</v>
      </c>
    </row>
    <row r="533" spans="2:8" x14ac:dyDescent="0.25">
      <c r="B533" t="str">
        <f t="shared" si="8"/>
        <v>AZEPopulation ages 10-14, female</v>
      </c>
      <c r="C533" t="s">
        <v>235</v>
      </c>
      <c r="D533" t="s">
        <v>6</v>
      </c>
      <c r="E533" t="s">
        <v>366</v>
      </c>
      <c r="F533" t="s">
        <v>695</v>
      </c>
      <c r="G533">
        <v>312000</v>
      </c>
      <c r="H533">
        <v>323000</v>
      </c>
    </row>
    <row r="534" spans="2:8" x14ac:dyDescent="0.25">
      <c r="B534" t="str">
        <f t="shared" si="8"/>
        <v>AZEPopulation ages 10-14, male</v>
      </c>
      <c r="C534" t="s">
        <v>235</v>
      </c>
      <c r="D534" t="s">
        <v>6</v>
      </c>
      <c r="E534" t="s">
        <v>367</v>
      </c>
      <c r="F534" t="s">
        <v>696</v>
      </c>
      <c r="G534">
        <v>361000</v>
      </c>
      <c r="H534">
        <v>373000</v>
      </c>
    </row>
    <row r="535" spans="2:8" x14ac:dyDescent="0.25">
      <c r="B535" t="str">
        <f t="shared" si="8"/>
        <v>AZEPopulation ages 15-19, female</v>
      </c>
      <c r="C535" t="s">
        <v>235</v>
      </c>
      <c r="D535" t="s">
        <v>6</v>
      </c>
      <c r="E535" t="s">
        <v>368</v>
      </c>
      <c r="F535" t="s">
        <v>697</v>
      </c>
      <c r="G535">
        <v>299000</v>
      </c>
      <c r="H535">
        <v>295000</v>
      </c>
    </row>
    <row r="536" spans="2:8" x14ac:dyDescent="0.25">
      <c r="B536" t="str">
        <f t="shared" si="8"/>
        <v>AZEPopulation ages 15-19, male</v>
      </c>
      <c r="C536" t="s">
        <v>235</v>
      </c>
      <c r="D536" t="s">
        <v>6</v>
      </c>
      <c r="E536" t="s">
        <v>369</v>
      </c>
      <c r="F536" t="s">
        <v>698</v>
      </c>
      <c r="G536">
        <v>343000</v>
      </c>
      <c r="H536">
        <v>341000</v>
      </c>
    </row>
    <row r="537" spans="2:8" x14ac:dyDescent="0.25">
      <c r="B537" t="str">
        <f t="shared" si="8"/>
        <v>AZEPopulation ages 20-24, female</v>
      </c>
      <c r="C537" t="s">
        <v>235</v>
      </c>
      <c r="D537" t="s">
        <v>6</v>
      </c>
      <c r="E537" t="s">
        <v>370</v>
      </c>
      <c r="F537" t="s">
        <v>699</v>
      </c>
      <c r="G537">
        <v>359000</v>
      </c>
      <c r="H537">
        <v>340000</v>
      </c>
    </row>
    <row r="538" spans="2:8" x14ac:dyDescent="0.25">
      <c r="B538" t="str">
        <f t="shared" si="8"/>
        <v>AZEPopulation ages 20-24, male</v>
      </c>
      <c r="C538" t="s">
        <v>235</v>
      </c>
      <c r="D538" t="s">
        <v>6</v>
      </c>
      <c r="E538" t="s">
        <v>371</v>
      </c>
      <c r="F538" t="s">
        <v>700</v>
      </c>
      <c r="G538">
        <v>392000</v>
      </c>
      <c r="H538">
        <v>377000</v>
      </c>
    </row>
    <row r="539" spans="2:8" x14ac:dyDescent="0.25">
      <c r="B539" t="str">
        <f t="shared" si="8"/>
        <v>AZEPopulation ages 25-29, female</v>
      </c>
      <c r="C539" t="s">
        <v>235</v>
      </c>
      <c r="D539" t="s">
        <v>6</v>
      </c>
      <c r="E539" t="s">
        <v>372</v>
      </c>
      <c r="F539" t="s">
        <v>701</v>
      </c>
      <c r="G539">
        <v>453000</v>
      </c>
      <c r="H539">
        <v>438000</v>
      </c>
    </row>
    <row r="540" spans="2:8" x14ac:dyDescent="0.25">
      <c r="B540" t="str">
        <f t="shared" si="8"/>
        <v>AZEPopulation ages 25-29, male</v>
      </c>
      <c r="C540" t="s">
        <v>235</v>
      </c>
      <c r="D540" t="s">
        <v>6</v>
      </c>
      <c r="E540" t="s">
        <v>373</v>
      </c>
      <c r="F540" t="s">
        <v>702</v>
      </c>
      <c r="G540">
        <v>460000</v>
      </c>
      <c r="H540">
        <v>450000</v>
      </c>
    </row>
    <row r="541" spans="2:8" x14ac:dyDescent="0.25">
      <c r="B541" t="str">
        <f t="shared" si="8"/>
        <v>AZEPopulation ages 30-34, female</v>
      </c>
      <c r="C541" t="s">
        <v>235</v>
      </c>
      <c r="D541" t="s">
        <v>6</v>
      </c>
      <c r="E541" t="s">
        <v>374</v>
      </c>
      <c r="F541" t="s">
        <v>703</v>
      </c>
      <c r="G541">
        <v>470000</v>
      </c>
      <c r="H541">
        <v>475000</v>
      </c>
    </row>
    <row r="542" spans="2:8" x14ac:dyDescent="0.25">
      <c r="B542" t="str">
        <f t="shared" si="8"/>
        <v>AZEPopulation ages 30-34, male</v>
      </c>
      <c r="C542" t="s">
        <v>235</v>
      </c>
      <c r="D542" t="s">
        <v>6</v>
      </c>
      <c r="E542" t="s">
        <v>375</v>
      </c>
      <c r="F542" t="s">
        <v>704</v>
      </c>
      <c r="G542">
        <v>460000</v>
      </c>
      <c r="H542">
        <v>464000</v>
      </c>
    </row>
    <row r="543" spans="2:8" x14ac:dyDescent="0.25">
      <c r="B543" t="str">
        <f t="shared" si="8"/>
        <v>AZEPopulation ages 35-39, female</v>
      </c>
      <c r="C543" t="s">
        <v>235</v>
      </c>
      <c r="D543" t="s">
        <v>6</v>
      </c>
      <c r="E543" t="s">
        <v>376</v>
      </c>
      <c r="F543" t="s">
        <v>705</v>
      </c>
      <c r="G543">
        <v>396000</v>
      </c>
      <c r="H543">
        <v>412000</v>
      </c>
    </row>
    <row r="544" spans="2:8" x14ac:dyDescent="0.25">
      <c r="B544" t="str">
        <f t="shared" si="8"/>
        <v>AZEPopulation ages 35-39, male</v>
      </c>
      <c r="C544" t="s">
        <v>235</v>
      </c>
      <c r="D544" t="s">
        <v>6</v>
      </c>
      <c r="E544" t="s">
        <v>377</v>
      </c>
      <c r="F544" t="s">
        <v>706</v>
      </c>
      <c r="G544">
        <v>396000</v>
      </c>
      <c r="H544">
        <v>411000</v>
      </c>
    </row>
    <row r="545" spans="2:8" x14ac:dyDescent="0.25">
      <c r="B545" t="str">
        <f t="shared" si="8"/>
        <v>AZEPopulation ages 40-44, female</v>
      </c>
      <c r="C545" t="s">
        <v>235</v>
      </c>
      <c r="D545" t="s">
        <v>6</v>
      </c>
      <c r="E545" t="s">
        <v>378</v>
      </c>
      <c r="F545" t="s">
        <v>707</v>
      </c>
      <c r="G545">
        <v>328000</v>
      </c>
      <c r="H545">
        <v>336000</v>
      </c>
    </row>
    <row r="546" spans="2:8" x14ac:dyDescent="0.25">
      <c r="B546" t="str">
        <f t="shared" si="8"/>
        <v>AZEPopulation ages 40-44, male</v>
      </c>
      <c r="C546" t="s">
        <v>235</v>
      </c>
      <c r="D546" t="s">
        <v>6</v>
      </c>
      <c r="E546" t="s">
        <v>379</v>
      </c>
      <c r="F546" t="s">
        <v>708</v>
      </c>
      <c r="G546">
        <v>317000</v>
      </c>
      <c r="H546">
        <v>327000</v>
      </c>
    </row>
    <row r="547" spans="2:8" x14ac:dyDescent="0.25">
      <c r="B547" t="str">
        <f t="shared" si="8"/>
        <v>AZEPopulation ages 45-49, female</v>
      </c>
      <c r="C547" t="s">
        <v>235</v>
      </c>
      <c r="D547" t="s">
        <v>6</v>
      </c>
      <c r="E547" t="s">
        <v>380</v>
      </c>
      <c r="F547" t="s">
        <v>709</v>
      </c>
      <c r="G547">
        <v>322000</v>
      </c>
      <c r="H547">
        <v>320000</v>
      </c>
    </row>
    <row r="548" spans="2:8" x14ac:dyDescent="0.25">
      <c r="B548" t="str">
        <f t="shared" si="8"/>
        <v>AZEPopulation ages 45-49, male</v>
      </c>
      <c r="C548" t="s">
        <v>235</v>
      </c>
      <c r="D548" t="s">
        <v>6</v>
      </c>
      <c r="E548" t="s">
        <v>381</v>
      </c>
      <c r="F548" t="s">
        <v>710</v>
      </c>
      <c r="G548">
        <v>295000</v>
      </c>
      <c r="H548">
        <v>295000</v>
      </c>
    </row>
    <row r="549" spans="2:8" x14ac:dyDescent="0.25">
      <c r="B549" t="str">
        <f t="shared" si="8"/>
        <v>AZEPopulation ages 50-54, female</v>
      </c>
      <c r="C549" t="s">
        <v>235</v>
      </c>
      <c r="D549" t="s">
        <v>6</v>
      </c>
      <c r="E549" t="s">
        <v>382</v>
      </c>
      <c r="F549" t="s">
        <v>711</v>
      </c>
      <c r="G549">
        <v>337000</v>
      </c>
      <c r="H549">
        <v>330000</v>
      </c>
    </row>
    <row r="550" spans="2:8" x14ac:dyDescent="0.25">
      <c r="B550" t="str">
        <f t="shared" si="8"/>
        <v>AZEPopulation ages 50-54, male</v>
      </c>
      <c r="C550" t="s">
        <v>235</v>
      </c>
      <c r="D550" t="s">
        <v>6</v>
      </c>
      <c r="E550" t="s">
        <v>383</v>
      </c>
      <c r="F550" t="s">
        <v>712</v>
      </c>
      <c r="G550">
        <v>303000</v>
      </c>
      <c r="H550">
        <v>296000</v>
      </c>
    </row>
    <row r="551" spans="2:8" x14ac:dyDescent="0.25">
      <c r="B551" t="str">
        <f t="shared" si="8"/>
        <v>AZEPopulation ages 55-59, male</v>
      </c>
      <c r="C551" t="s">
        <v>235</v>
      </c>
      <c r="D551" t="s">
        <v>6</v>
      </c>
      <c r="E551" t="s">
        <v>385</v>
      </c>
      <c r="F551" t="s">
        <v>713</v>
      </c>
      <c r="G551">
        <v>302000</v>
      </c>
      <c r="H551">
        <v>307000</v>
      </c>
    </row>
    <row r="552" spans="2:8" x14ac:dyDescent="0.25">
      <c r="B552" t="str">
        <f t="shared" si="8"/>
        <v>AZEPopulation ages 55-59, female</v>
      </c>
      <c r="C552" t="s">
        <v>235</v>
      </c>
      <c r="D552" t="s">
        <v>6</v>
      </c>
      <c r="E552" t="s">
        <v>384</v>
      </c>
      <c r="F552" t="s">
        <v>714</v>
      </c>
      <c r="G552">
        <v>338000</v>
      </c>
      <c r="H552">
        <v>344000</v>
      </c>
    </row>
    <row r="553" spans="2:8" x14ac:dyDescent="0.25">
      <c r="B553" t="str">
        <f t="shared" si="8"/>
        <v>AZEPopulation ages 65-69, male</v>
      </c>
      <c r="C553" t="s">
        <v>235</v>
      </c>
      <c r="D553" t="s">
        <v>6</v>
      </c>
      <c r="E553" t="s">
        <v>389</v>
      </c>
      <c r="F553" t="s">
        <v>715</v>
      </c>
      <c r="G553">
        <v>125000</v>
      </c>
      <c r="H553">
        <v>138000</v>
      </c>
    </row>
    <row r="554" spans="2:8" x14ac:dyDescent="0.25">
      <c r="B554" t="str">
        <f t="shared" si="8"/>
        <v>AZEPopulation ages 65-69, female</v>
      </c>
      <c r="C554" t="s">
        <v>235</v>
      </c>
      <c r="D554" t="s">
        <v>6</v>
      </c>
      <c r="E554" t="s">
        <v>388</v>
      </c>
      <c r="F554" t="s">
        <v>716</v>
      </c>
      <c r="G554">
        <v>153000</v>
      </c>
      <c r="H554">
        <v>169000</v>
      </c>
    </row>
    <row r="555" spans="2:8" x14ac:dyDescent="0.25">
      <c r="B555" t="str">
        <f t="shared" si="8"/>
        <v>AZEPopulation ages 60-64, female</v>
      </c>
      <c r="C555" t="s">
        <v>235</v>
      </c>
      <c r="D555" t="s">
        <v>6</v>
      </c>
      <c r="E555" t="s">
        <v>386</v>
      </c>
      <c r="F555" t="s">
        <v>717</v>
      </c>
      <c r="G555">
        <v>249000</v>
      </c>
      <c r="H555">
        <v>265000</v>
      </c>
    </row>
    <row r="556" spans="2:8" x14ac:dyDescent="0.25">
      <c r="B556" t="str">
        <f t="shared" si="8"/>
        <v>AZEPopulation ages 60-64, male</v>
      </c>
      <c r="C556" t="s">
        <v>235</v>
      </c>
      <c r="D556" t="s">
        <v>6</v>
      </c>
      <c r="E556" t="s">
        <v>387</v>
      </c>
      <c r="F556" t="s">
        <v>718</v>
      </c>
      <c r="G556">
        <v>216000</v>
      </c>
      <c r="H556">
        <v>230000</v>
      </c>
    </row>
    <row r="557" spans="2:8" x14ac:dyDescent="0.25">
      <c r="B557" t="str">
        <f t="shared" si="8"/>
        <v>AZEPopulation ages 70-74, female</v>
      </c>
      <c r="C557" t="s">
        <v>235</v>
      </c>
      <c r="D557" t="s">
        <v>6</v>
      </c>
      <c r="E557" t="s">
        <v>390</v>
      </c>
      <c r="F557" t="s">
        <v>719</v>
      </c>
      <c r="G557">
        <v>79000</v>
      </c>
      <c r="H557">
        <v>87000</v>
      </c>
    </row>
    <row r="558" spans="2:8" x14ac:dyDescent="0.25">
      <c r="B558" t="str">
        <f t="shared" si="8"/>
        <v>AZEPopulation ages 70-74, male</v>
      </c>
      <c r="C558" t="s">
        <v>235</v>
      </c>
      <c r="D558" t="s">
        <v>6</v>
      </c>
      <c r="E558" t="s">
        <v>391</v>
      </c>
      <c r="F558" t="s">
        <v>720</v>
      </c>
      <c r="G558">
        <v>58000</v>
      </c>
      <c r="H558">
        <v>64000</v>
      </c>
    </row>
    <row r="559" spans="2:8" x14ac:dyDescent="0.25">
      <c r="B559" t="str">
        <f t="shared" si="8"/>
        <v>AZEPopulation ages 75-79, female</v>
      </c>
      <c r="C559" t="s">
        <v>235</v>
      </c>
      <c r="D559" t="s">
        <v>6</v>
      </c>
      <c r="E559" t="s">
        <v>392</v>
      </c>
      <c r="F559" t="s">
        <v>721</v>
      </c>
      <c r="G559">
        <v>57000</v>
      </c>
      <c r="H559">
        <v>54000</v>
      </c>
    </row>
    <row r="560" spans="2:8" x14ac:dyDescent="0.25">
      <c r="B560" t="str">
        <f t="shared" si="8"/>
        <v>AZEPopulation ages 75-79, male</v>
      </c>
      <c r="C560" t="s">
        <v>235</v>
      </c>
      <c r="D560" t="s">
        <v>6</v>
      </c>
      <c r="E560" t="s">
        <v>393</v>
      </c>
      <c r="F560" t="s">
        <v>722</v>
      </c>
      <c r="G560">
        <v>38000</v>
      </c>
      <c r="H560">
        <v>36000</v>
      </c>
    </row>
    <row r="561" spans="2:8" x14ac:dyDescent="0.25">
      <c r="B561" t="str">
        <f t="shared" si="8"/>
        <v>AZEPopulation ages 80 and above, female</v>
      </c>
      <c r="C561" t="s">
        <v>235</v>
      </c>
      <c r="D561" t="s">
        <v>6</v>
      </c>
      <c r="E561" t="s">
        <v>394</v>
      </c>
      <c r="F561" t="s">
        <v>723</v>
      </c>
      <c r="G561">
        <v>88000</v>
      </c>
      <c r="H561">
        <v>86000</v>
      </c>
    </row>
    <row r="562" spans="2:8" x14ac:dyDescent="0.25">
      <c r="B562" t="str">
        <f t="shared" si="8"/>
        <v>AZEPopulation ages 80 and above, male</v>
      </c>
      <c r="C562" t="s">
        <v>235</v>
      </c>
      <c r="D562" t="s">
        <v>6</v>
      </c>
      <c r="E562" t="s">
        <v>395</v>
      </c>
      <c r="F562" t="s">
        <v>724</v>
      </c>
      <c r="G562">
        <v>49000</v>
      </c>
      <c r="H562">
        <v>47000</v>
      </c>
    </row>
    <row r="563" spans="2:8" x14ac:dyDescent="0.25">
      <c r="B563" t="str">
        <f t="shared" si="8"/>
        <v>AZEPopulation, male</v>
      </c>
      <c r="C563" t="s">
        <v>235</v>
      </c>
      <c r="D563" t="s">
        <v>6</v>
      </c>
      <c r="E563" t="s">
        <v>397</v>
      </c>
      <c r="F563" t="s">
        <v>725</v>
      </c>
      <c r="G563">
        <v>5008000</v>
      </c>
      <c r="H563">
        <v>5053000</v>
      </c>
    </row>
    <row r="564" spans="2:8" x14ac:dyDescent="0.25">
      <c r="B564" t="str">
        <f t="shared" si="8"/>
        <v>AZEPopulation, total</v>
      </c>
      <c r="C564" t="s">
        <v>235</v>
      </c>
      <c r="D564" t="s">
        <v>6</v>
      </c>
      <c r="E564" t="s">
        <v>398</v>
      </c>
      <c r="F564" t="s">
        <v>726</v>
      </c>
      <c r="G564">
        <v>10032000</v>
      </c>
      <c r="H564">
        <v>10115000</v>
      </c>
    </row>
    <row r="565" spans="2:8" x14ac:dyDescent="0.25">
      <c r="B565" t="str">
        <f t="shared" si="8"/>
        <v>AZEPopulation, female</v>
      </c>
      <c r="C565" t="s">
        <v>235</v>
      </c>
      <c r="D565" t="s">
        <v>6</v>
      </c>
      <c r="E565" t="s">
        <v>396</v>
      </c>
      <c r="F565" t="s">
        <v>727</v>
      </c>
      <c r="G565">
        <v>5024000</v>
      </c>
      <c r="H565">
        <v>5063000</v>
      </c>
    </row>
    <row r="566" spans="2:8" x14ac:dyDescent="0.25">
      <c r="B566" t="str">
        <f t="shared" si="8"/>
        <v>AZEPopulation growth (annual %)</v>
      </c>
      <c r="C566" t="s">
        <v>235</v>
      </c>
      <c r="D566" t="s">
        <v>6</v>
      </c>
      <c r="E566" t="s">
        <v>399</v>
      </c>
      <c r="F566" t="s">
        <v>728</v>
      </c>
      <c r="G566">
        <v>0</v>
      </c>
      <c r="H566">
        <v>0</v>
      </c>
    </row>
    <row r="567" spans="2:8" x14ac:dyDescent="0.25">
      <c r="B567" t="str">
        <f t="shared" si="8"/>
        <v>BHSPopulation ages 0-14, female</v>
      </c>
      <c r="C567" t="s">
        <v>433</v>
      </c>
      <c r="D567" t="s">
        <v>14</v>
      </c>
      <c r="E567" t="s">
        <v>687</v>
      </c>
      <c r="F567" t="s">
        <v>688</v>
      </c>
      <c r="G567">
        <v>42000</v>
      </c>
      <c r="H567">
        <v>42000</v>
      </c>
    </row>
    <row r="568" spans="2:8" x14ac:dyDescent="0.25">
      <c r="B568" t="str">
        <f t="shared" si="8"/>
        <v>BHSPopulation ages 0-14, male</v>
      </c>
      <c r="C568" t="s">
        <v>433</v>
      </c>
      <c r="D568" t="s">
        <v>14</v>
      </c>
      <c r="E568" t="s">
        <v>689</v>
      </c>
      <c r="F568" t="s">
        <v>690</v>
      </c>
      <c r="G568">
        <v>44000</v>
      </c>
      <c r="H568">
        <v>43000</v>
      </c>
    </row>
    <row r="569" spans="2:8" x14ac:dyDescent="0.25">
      <c r="B569" t="str">
        <f t="shared" si="8"/>
        <v>BHSPopulation ages 00-04, female</v>
      </c>
      <c r="C569" t="s">
        <v>433</v>
      </c>
      <c r="D569" t="s">
        <v>14</v>
      </c>
      <c r="E569" t="s">
        <v>362</v>
      </c>
      <c r="F569" t="s">
        <v>691</v>
      </c>
      <c r="G569">
        <v>13000</v>
      </c>
      <c r="H569">
        <v>13000</v>
      </c>
    </row>
    <row r="570" spans="2:8" x14ac:dyDescent="0.25">
      <c r="B570" t="str">
        <f t="shared" si="8"/>
        <v>BHSPopulation ages 00-04, male</v>
      </c>
      <c r="C570" t="s">
        <v>433</v>
      </c>
      <c r="D570" t="s">
        <v>14</v>
      </c>
      <c r="E570" t="s">
        <v>363</v>
      </c>
      <c r="F570" t="s">
        <v>692</v>
      </c>
      <c r="G570">
        <v>14000</v>
      </c>
      <c r="H570">
        <v>14000</v>
      </c>
    </row>
    <row r="571" spans="2:8" x14ac:dyDescent="0.25">
      <c r="B571" t="str">
        <f t="shared" si="8"/>
        <v>BHSPopulation ages 05-09, female</v>
      </c>
      <c r="C571" t="s">
        <v>433</v>
      </c>
      <c r="D571" t="s">
        <v>14</v>
      </c>
      <c r="E571" t="s">
        <v>364</v>
      </c>
      <c r="F571" t="s">
        <v>693</v>
      </c>
      <c r="G571">
        <v>13000</v>
      </c>
      <c r="H571">
        <v>13000</v>
      </c>
    </row>
    <row r="572" spans="2:8" x14ac:dyDescent="0.25">
      <c r="B572" t="str">
        <f t="shared" si="8"/>
        <v>BHSPopulation ages 05-09, male</v>
      </c>
      <c r="C572" t="s">
        <v>433</v>
      </c>
      <c r="D572" t="s">
        <v>14</v>
      </c>
      <c r="E572" t="s">
        <v>365</v>
      </c>
      <c r="F572" t="s">
        <v>694</v>
      </c>
      <c r="G572">
        <v>14000</v>
      </c>
      <c r="H572">
        <v>14000</v>
      </c>
    </row>
    <row r="573" spans="2:8" x14ac:dyDescent="0.25">
      <c r="B573" t="str">
        <f t="shared" si="8"/>
        <v>BHSPopulation ages 10-14, female</v>
      </c>
      <c r="C573" t="s">
        <v>433</v>
      </c>
      <c r="D573" t="s">
        <v>14</v>
      </c>
      <c r="E573" t="s">
        <v>366</v>
      </c>
      <c r="F573" t="s">
        <v>695</v>
      </c>
      <c r="G573">
        <v>16000</v>
      </c>
      <c r="H573">
        <v>16000</v>
      </c>
    </row>
    <row r="574" spans="2:8" x14ac:dyDescent="0.25">
      <c r="B574" t="str">
        <f t="shared" si="8"/>
        <v>BHSPopulation ages 10-14, male</v>
      </c>
      <c r="C574" t="s">
        <v>433</v>
      </c>
      <c r="D574" t="s">
        <v>14</v>
      </c>
      <c r="E574" t="s">
        <v>367</v>
      </c>
      <c r="F574" t="s">
        <v>696</v>
      </c>
      <c r="G574">
        <v>16000</v>
      </c>
      <c r="H574">
        <v>16000</v>
      </c>
    </row>
    <row r="575" spans="2:8" x14ac:dyDescent="0.25">
      <c r="B575" t="str">
        <f t="shared" si="8"/>
        <v>BHSPopulation ages 15-19, female</v>
      </c>
      <c r="C575" t="s">
        <v>433</v>
      </c>
      <c r="D575" t="s">
        <v>14</v>
      </c>
      <c r="E575" t="s">
        <v>368</v>
      </c>
      <c r="F575" t="s">
        <v>697</v>
      </c>
      <c r="G575">
        <v>16000</v>
      </c>
      <c r="H575">
        <v>16000</v>
      </c>
    </row>
    <row r="576" spans="2:8" x14ac:dyDescent="0.25">
      <c r="B576" t="str">
        <f t="shared" si="8"/>
        <v>BHSPopulation ages 15-19, male</v>
      </c>
      <c r="C576" t="s">
        <v>433</v>
      </c>
      <c r="D576" t="s">
        <v>14</v>
      </c>
      <c r="E576" t="s">
        <v>369</v>
      </c>
      <c r="F576" t="s">
        <v>698</v>
      </c>
      <c r="G576">
        <v>16000</v>
      </c>
      <c r="H576">
        <v>16000</v>
      </c>
    </row>
    <row r="577" spans="2:8" x14ac:dyDescent="0.25">
      <c r="B577" t="str">
        <f t="shared" si="8"/>
        <v>BHSPopulation ages 20-24, female</v>
      </c>
      <c r="C577" t="s">
        <v>433</v>
      </c>
      <c r="D577" t="s">
        <v>14</v>
      </c>
      <c r="E577" t="s">
        <v>370</v>
      </c>
      <c r="F577" t="s">
        <v>699</v>
      </c>
      <c r="G577">
        <v>17000</v>
      </c>
      <c r="H577">
        <v>17000</v>
      </c>
    </row>
    <row r="578" spans="2:8" x14ac:dyDescent="0.25">
      <c r="B578" t="str">
        <f t="shared" si="8"/>
        <v>BHSPopulation ages 20-24, male</v>
      </c>
      <c r="C578" t="s">
        <v>433</v>
      </c>
      <c r="D578" t="s">
        <v>14</v>
      </c>
      <c r="E578" t="s">
        <v>371</v>
      </c>
      <c r="F578" t="s">
        <v>700</v>
      </c>
      <c r="G578">
        <v>17000</v>
      </c>
      <c r="H578">
        <v>17000</v>
      </c>
    </row>
    <row r="579" spans="2:8" x14ac:dyDescent="0.25">
      <c r="B579" t="str">
        <f t="shared" si="8"/>
        <v>BHSPopulation ages 25-29, female</v>
      </c>
      <c r="C579" t="s">
        <v>433</v>
      </c>
      <c r="D579" t="s">
        <v>14</v>
      </c>
      <c r="E579" t="s">
        <v>372</v>
      </c>
      <c r="F579" t="s">
        <v>701</v>
      </c>
      <c r="G579">
        <v>16000</v>
      </c>
      <c r="H579">
        <v>17000</v>
      </c>
    </row>
    <row r="580" spans="2:8" x14ac:dyDescent="0.25">
      <c r="B580" t="str">
        <f t="shared" si="8"/>
        <v>BHSPopulation ages 25-29, male</v>
      </c>
      <c r="C580" t="s">
        <v>433</v>
      </c>
      <c r="D580" t="s">
        <v>14</v>
      </c>
      <c r="E580" t="s">
        <v>373</v>
      </c>
      <c r="F580" t="s">
        <v>702</v>
      </c>
      <c r="G580">
        <v>16000</v>
      </c>
      <c r="H580">
        <v>17000</v>
      </c>
    </row>
    <row r="581" spans="2:8" x14ac:dyDescent="0.25">
      <c r="B581" t="str">
        <f t="shared" si="8"/>
        <v>BHSPopulation ages 30-34, female</v>
      </c>
      <c r="C581" t="s">
        <v>433</v>
      </c>
      <c r="D581" t="s">
        <v>14</v>
      </c>
      <c r="E581" t="s">
        <v>374</v>
      </c>
      <c r="F581" t="s">
        <v>703</v>
      </c>
      <c r="G581">
        <v>14000</v>
      </c>
      <c r="H581">
        <v>14000</v>
      </c>
    </row>
    <row r="582" spans="2:8" x14ac:dyDescent="0.25">
      <c r="B582" t="str">
        <f t="shared" si="8"/>
        <v>BHSPopulation ages 30-34, male</v>
      </c>
      <c r="C582" t="s">
        <v>433</v>
      </c>
      <c r="D582" t="s">
        <v>14</v>
      </c>
      <c r="E582" t="s">
        <v>375</v>
      </c>
      <c r="F582" t="s">
        <v>704</v>
      </c>
      <c r="G582">
        <v>13000</v>
      </c>
      <c r="H582">
        <v>14000</v>
      </c>
    </row>
    <row r="583" spans="2:8" x14ac:dyDescent="0.25">
      <c r="B583" t="str">
        <f t="shared" ref="B583:B646" si="9">CONCATENATE(D583,E583)</f>
        <v>BHSPopulation ages 35-39, female</v>
      </c>
      <c r="C583" t="s">
        <v>433</v>
      </c>
      <c r="D583" t="s">
        <v>14</v>
      </c>
      <c r="E583" t="s">
        <v>376</v>
      </c>
      <c r="F583" t="s">
        <v>705</v>
      </c>
      <c r="G583">
        <v>14000</v>
      </c>
      <c r="H583">
        <v>14000</v>
      </c>
    </row>
    <row r="584" spans="2:8" x14ac:dyDescent="0.25">
      <c r="B584" t="str">
        <f t="shared" si="9"/>
        <v>BHSPopulation ages 35-39, male</v>
      </c>
      <c r="C584" t="s">
        <v>433</v>
      </c>
      <c r="D584" t="s">
        <v>14</v>
      </c>
      <c r="E584" t="s">
        <v>377</v>
      </c>
      <c r="F584" t="s">
        <v>706</v>
      </c>
      <c r="G584">
        <v>13000</v>
      </c>
      <c r="H584">
        <v>13000</v>
      </c>
    </row>
    <row r="585" spans="2:8" x14ac:dyDescent="0.25">
      <c r="B585" t="str">
        <f t="shared" si="9"/>
        <v>BHSPopulation ages 40-44, female</v>
      </c>
      <c r="C585" t="s">
        <v>433</v>
      </c>
      <c r="D585" t="s">
        <v>14</v>
      </c>
      <c r="E585" t="s">
        <v>378</v>
      </c>
      <c r="F585" t="s">
        <v>707</v>
      </c>
      <c r="G585">
        <v>15000</v>
      </c>
      <c r="H585">
        <v>14000</v>
      </c>
    </row>
    <row r="586" spans="2:8" x14ac:dyDescent="0.25">
      <c r="B586" t="str">
        <f t="shared" si="9"/>
        <v>BHSPopulation ages 40-44, male</v>
      </c>
      <c r="C586" t="s">
        <v>433</v>
      </c>
      <c r="D586" t="s">
        <v>14</v>
      </c>
      <c r="E586" t="s">
        <v>379</v>
      </c>
      <c r="F586" t="s">
        <v>708</v>
      </c>
      <c r="G586">
        <v>13000</v>
      </c>
      <c r="H586">
        <v>13000</v>
      </c>
    </row>
    <row r="587" spans="2:8" x14ac:dyDescent="0.25">
      <c r="B587" t="str">
        <f t="shared" si="9"/>
        <v>BHSPopulation ages 45-49, female</v>
      </c>
      <c r="C587" t="s">
        <v>433</v>
      </c>
      <c r="D587" t="s">
        <v>14</v>
      </c>
      <c r="E587" t="s">
        <v>380</v>
      </c>
      <c r="F587" t="s">
        <v>709</v>
      </c>
      <c r="G587">
        <v>15000</v>
      </c>
      <c r="H587">
        <v>15000</v>
      </c>
    </row>
    <row r="588" spans="2:8" x14ac:dyDescent="0.25">
      <c r="B588" t="str">
        <f t="shared" si="9"/>
        <v>BHSPopulation ages 45-49, male</v>
      </c>
      <c r="C588" t="s">
        <v>433</v>
      </c>
      <c r="D588" t="s">
        <v>14</v>
      </c>
      <c r="E588" t="s">
        <v>381</v>
      </c>
      <c r="F588" t="s">
        <v>710</v>
      </c>
      <c r="G588">
        <v>14000</v>
      </c>
      <c r="H588">
        <v>14000</v>
      </c>
    </row>
    <row r="589" spans="2:8" x14ac:dyDescent="0.25">
      <c r="B589" t="str">
        <f t="shared" si="9"/>
        <v>BHSPopulation ages 50-54, female</v>
      </c>
      <c r="C589" t="s">
        <v>433</v>
      </c>
      <c r="D589" t="s">
        <v>14</v>
      </c>
      <c r="E589" t="s">
        <v>382</v>
      </c>
      <c r="F589" t="s">
        <v>711</v>
      </c>
      <c r="G589">
        <v>13000</v>
      </c>
      <c r="H589">
        <v>13000</v>
      </c>
    </row>
    <row r="590" spans="2:8" x14ac:dyDescent="0.25">
      <c r="B590" t="str">
        <f t="shared" si="9"/>
        <v>BHSPopulation ages 50-54, male</v>
      </c>
      <c r="C590" t="s">
        <v>433</v>
      </c>
      <c r="D590" t="s">
        <v>14</v>
      </c>
      <c r="E590" t="s">
        <v>383</v>
      </c>
      <c r="F590" t="s">
        <v>712</v>
      </c>
      <c r="G590">
        <v>12000</v>
      </c>
      <c r="H590">
        <v>12000</v>
      </c>
    </row>
    <row r="591" spans="2:8" x14ac:dyDescent="0.25">
      <c r="B591" t="str">
        <f t="shared" si="9"/>
        <v>BHSPopulation ages 55-59, male</v>
      </c>
      <c r="C591" t="s">
        <v>433</v>
      </c>
      <c r="D591" t="s">
        <v>14</v>
      </c>
      <c r="E591" t="s">
        <v>385</v>
      </c>
      <c r="F591" t="s">
        <v>713</v>
      </c>
      <c r="G591">
        <v>11000</v>
      </c>
      <c r="H591">
        <v>11000</v>
      </c>
    </row>
    <row r="592" spans="2:8" x14ac:dyDescent="0.25">
      <c r="B592" t="str">
        <f t="shared" si="9"/>
        <v>BHSPopulation ages 55-59, female</v>
      </c>
      <c r="C592" t="s">
        <v>433</v>
      </c>
      <c r="D592" t="s">
        <v>14</v>
      </c>
      <c r="E592" t="s">
        <v>384</v>
      </c>
      <c r="F592" t="s">
        <v>714</v>
      </c>
      <c r="G592">
        <v>12000</v>
      </c>
      <c r="H592">
        <v>13000</v>
      </c>
    </row>
    <row r="593" spans="2:8" x14ac:dyDescent="0.25">
      <c r="B593" t="str">
        <f t="shared" si="9"/>
        <v>BHSPopulation ages 65-69, male</v>
      </c>
      <c r="C593" t="s">
        <v>433</v>
      </c>
      <c r="D593" t="s">
        <v>14</v>
      </c>
      <c r="E593" t="s">
        <v>389</v>
      </c>
      <c r="F593" t="s">
        <v>715</v>
      </c>
      <c r="G593">
        <v>5100</v>
      </c>
      <c r="H593">
        <v>5400</v>
      </c>
    </row>
    <row r="594" spans="2:8" x14ac:dyDescent="0.25">
      <c r="B594" t="str">
        <f t="shared" si="9"/>
        <v>BHSPopulation ages 65-69, female</v>
      </c>
      <c r="C594" t="s">
        <v>433</v>
      </c>
      <c r="D594" t="s">
        <v>14</v>
      </c>
      <c r="E594" t="s">
        <v>388</v>
      </c>
      <c r="F594" t="s">
        <v>716</v>
      </c>
      <c r="G594">
        <v>6100</v>
      </c>
      <c r="H594">
        <v>6500</v>
      </c>
    </row>
    <row r="595" spans="2:8" x14ac:dyDescent="0.25">
      <c r="B595" t="str">
        <f t="shared" si="9"/>
        <v>BHSPopulation ages 60-64, female</v>
      </c>
      <c r="C595" t="s">
        <v>433</v>
      </c>
      <c r="D595" t="s">
        <v>14</v>
      </c>
      <c r="E595" t="s">
        <v>386</v>
      </c>
      <c r="F595" t="s">
        <v>717</v>
      </c>
      <c r="G595">
        <v>9100</v>
      </c>
      <c r="H595">
        <v>9600</v>
      </c>
    </row>
    <row r="596" spans="2:8" x14ac:dyDescent="0.25">
      <c r="B596" t="str">
        <f t="shared" si="9"/>
        <v>BHSPopulation ages 60-64, male</v>
      </c>
      <c r="C596" t="s">
        <v>433</v>
      </c>
      <c r="D596" t="s">
        <v>14</v>
      </c>
      <c r="E596" t="s">
        <v>387</v>
      </c>
      <c r="F596" t="s">
        <v>718</v>
      </c>
      <c r="G596">
        <v>7500</v>
      </c>
      <c r="H596">
        <v>8000</v>
      </c>
    </row>
    <row r="597" spans="2:8" x14ac:dyDescent="0.25">
      <c r="B597" t="str">
        <f t="shared" si="9"/>
        <v>BHSPopulation ages 70-74, female</v>
      </c>
      <c r="C597" t="s">
        <v>433</v>
      </c>
      <c r="D597" t="s">
        <v>14</v>
      </c>
      <c r="E597" t="s">
        <v>390</v>
      </c>
      <c r="F597" t="s">
        <v>719</v>
      </c>
      <c r="G597">
        <v>4300</v>
      </c>
      <c r="H597">
        <v>4500</v>
      </c>
    </row>
    <row r="598" spans="2:8" x14ac:dyDescent="0.25">
      <c r="B598" t="str">
        <f t="shared" si="9"/>
        <v>BHSPopulation ages 70-74, male</v>
      </c>
      <c r="C598" t="s">
        <v>433</v>
      </c>
      <c r="D598" t="s">
        <v>14</v>
      </c>
      <c r="E598" t="s">
        <v>391</v>
      </c>
      <c r="F598" t="s">
        <v>720</v>
      </c>
      <c r="G598">
        <v>3400</v>
      </c>
      <c r="H598">
        <v>3500</v>
      </c>
    </row>
    <row r="599" spans="2:8" x14ac:dyDescent="0.25">
      <c r="B599" t="str">
        <f t="shared" si="9"/>
        <v>BHSPopulation ages 75-79, female</v>
      </c>
      <c r="C599" t="s">
        <v>433</v>
      </c>
      <c r="D599" t="s">
        <v>14</v>
      </c>
      <c r="E599" t="s">
        <v>392</v>
      </c>
      <c r="F599" t="s">
        <v>721</v>
      </c>
      <c r="G599">
        <v>3200</v>
      </c>
      <c r="H599">
        <v>3300</v>
      </c>
    </row>
    <row r="600" spans="2:8" x14ac:dyDescent="0.25">
      <c r="B600" t="str">
        <f t="shared" si="9"/>
        <v>BHSPopulation ages 75-79, male</v>
      </c>
      <c r="C600" t="s">
        <v>433</v>
      </c>
      <c r="D600" t="s">
        <v>14</v>
      </c>
      <c r="E600" t="s">
        <v>393</v>
      </c>
      <c r="F600" t="s">
        <v>722</v>
      </c>
      <c r="G600">
        <v>2300</v>
      </c>
      <c r="H600">
        <v>2400</v>
      </c>
    </row>
    <row r="601" spans="2:8" x14ac:dyDescent="0.25">
      <c r="B601" t="str">
        <f t="shared" si="9"/>
        <v>BHSPopulation ages 80 and above, female</v>
      </c>
      <c r="C601" t="s">
        <v>433</v>
      </c>
      <c r="D601" t="s">
        <v>14</v>
      </c>
      <c r="E601" t="s">
        <v>394</v>
      </c>
      <c r="F601" t="s">
        <v>723</v>
      </c>
      <c r="G601">
        <v>2900</v>
      </c>
      <c r="H601">
        <v>3000</v>
      </c>
    </row>
    <row r="602" spans="2:8" x14ac:dyDescent="0.25">
      <c r="B602" t="str">
        <f t="shared" si="9"/>
        <v>BHSPopulation ages 80 and above, male</v>
      </c>
      <c r="C602" t="s">
        <v>433</v>
      </c>
      <c r="D602" t="s">
        <v>14</v>
      </c>
      <c r="E602" t="s">
        <v>395</v>
      </c>
      <c r="F602" t="s">
        <v>724</v>
      </c>
      <c r="G602">
        <v>2000</v>
      </c>
      <c r="H602">
        <v>2000</v>
      </c>
    </row>
    <row r="603" spans="2:8" x14ac:dyDescent="0.25">
      <c r="B603" t="str">
        <f t="shared" si="9"/>
        <v>BHSPopulation, male</v>
      </c>
      <c r="C603" t="s">
        <v>433</v>
      </c>
      <c r="D603" t="s">
        <v>14</v>
      </c>
      <c r="E603" t="s">
        <v>397</v>
      </c>
      <c r="F603" t="s">
        <v>725</v>
      </c>
      <c r="G603">
        <v>189000</v>
      </c>
      <c r="H603">
        <v>191000</v>
      </c>
    </row>
    <row r="604" spans="2:8" x14ac:dyDescent="0.25">
      <c r="B604" t="str">
        <f t="shared" si="9"/>
        <v>BHSPopulation, total</v>
      </c>
      <c r="C604" t="s">
        <v>433</v>
      </c>
      <c r="D604" t="s">
        <v>14</v>
      </c>
      <c r="E604" t="s">
        <v>398</v>
      </c>
      <c r="F604" t="s">
        <v>726</v>
      </c>
      <c r="G604">
        <v>389000</v>
      </c>
      <c r="H604">
        <v>393000</v>
      </c>
    </row>
    <row r="605" spans="2:8" x14ac:dyDescent="0.25">
      <c r="B605" t="str">
        <f t="shared" si="9"/>
        <v>BHSPopulation, female</v>
      </c>
      <c r="C605" t="s">
        <v>433</v>
      </c>
      <c r="D605" t="s">
        <v>14</v>
      </c>
      <c r="E605" t="s">
        <v>396</v>
      </c>
      <c r="F605" t="s">
        <v>727</v>
      </c>
      <c r="G605">
        <v>200000</v>
      </c>
      <c r="H605">
        <v>202000</v>
      </c>
    </row>
    <row r="606" spans="2:8" x14ac:dyDescent="0.25">
      <c r="B606" t="str">
        <f t="shared" si="9"/>
        <v>BHSPopulation growth (annual %)</v>
      </c>
      <c r="C606" t="s">
        <v>433</v>
      </c>
      <c r="D606" t="s">
        <v>14</v>
      </c>
      <c r="E606" t="s">
        <v>399</v>
      </c>
      <c r="F606" t="s">
        <v>728</v>
      </c>
      <c r="G606">
        <v>0</v>
      </c>
      <c r="H606">
        <v>0</v>
      </c>
    </row>
    <row r="607" spans="2:8" x14ac:dyDescent="0.25">
      <c r="B607" t="str">
        <f t="shared" si="9"/>
        <v>BHRPopulation ages 0-14, female</v>
      </c>
      <c r="C607" t="s">
        <v>434</v>
      </c>
      <c r="D607" t="s">
        <v>13</v>
      </c>
      <c r="E607" t="s">
        <v>687</v>
      </c>
      <c r="F607" t="s">
        <v>688</v>
      </c>
      <c r="G607">
        <v>150000</v>
      </c>
      <c r="H607">
        <v>152000</v>
      </c>
    </row>
    <row r="608" spans="2:8" x14ac:dyDescent="0.25">
      <c r="B608" t="str">
        <f t="shared" si="9"/>
        <v>BHRPopulation ages 0-14, male</v>
      </c>
      <c r="C608" t="s">
        <v>434</v>
      </c>
      <c r="D608" t="s">
        <v>13</v>
      </c>
      <c r="E608" t="s">
        <v>689</v>
      </c>
      <c r="F608" t="s">
        <v>690</v>
      </c>
      <c r="G608">
        <v>157000</v>
      </c>
      <c r="H608">
        <v>159000</v>
      </c>
    </row>
    <row r="609" spans="2:8" x14ac:dyDescent="0.25">
      <c r="B609" t="str">
        <f t="shared" si="9"/>
        <v>BHRPopulation ages 00-04, female</v>
      </c>
      <c r="C609" t="s">
        <v>434</v>
      </c>
      <c r="D609" t="s">
        <v>13</v>
      </c>
      <c r="E609" t="s">
        <v>362</v>
      </c>
      <c r="F609" t="s">
        <v>691</v>
      </c>
      <c r="G609">
        <v>53000</v>
      </c>
      <c r="H609">
        <v>53000</v>
      </c>
    </row>
    <row r="610" spans="2:8" x14ac:dyDescent="0.25">
      <c r="B610" t="str">
        <f t="shared" si="9"/>
        <v>BHRPopulation ages 00-04, male</v>
      </c>
      <c r="C610" t="s">
        <v>434</v>
      </c>
      <c r="D610" t="s">
        <v>13</v>
      </c>
      <c r="E610" t="s">
        <v>363</v>
      </c>
      <c r="F610" t="s">
        <v>692</v>
      </c>
      <c r="G610">
        <v>55000</v>
      </c>
      <c r="H610">
        <v>55000</v>
      </c>
    </row>
    <row r="611" spans="2:8" x14ac:dyDescent="0.25">
      <c r="B611" t="str">
        <f t="shared" si="9"/>
        <v>BHRPopulation ages 05-09, female</v>
      </c>
      <c r="C611" t="s">
        <v>434</v>
      </c>
      <c r="D611" t="s">
        <v>13</v>
      </c>
      <c r="E611" t="s">
        <v>364</v>
      </c>
      <c r="F611" t="s">
        <v>693</v>
      </c>
      <c r="G611">
        <v>51000</v>
      </c>
      <c r="H611">
        <v>52000</v>
      </c>
    </row>
    <row r="612" spans="2:8" x14ac:dyDescent="0.25">
      <c r="B612" t="str">
        <f t="shared" si="9"/>
        <v>BHRPopulation ages 05-09, male</v>
      </c>
      <c r="C612" t="s">
        <v>434</v>
      </c>
      <c r="D612" t="s">
        <v>13</v>
      </c>
      <c r="E612" t="s">
        <v>365</v>
      </c>
      <c r="F612" t="s">
        <v>694</v>
      </c>
      <c r="G612">
        <v>56000</v>
      </c>
      <c r="H612">
        <v>59000</v>
      </c>
    </row>
    <row r="613" spans="2:8" x14ac:dyDescent="0.25">
      <c r="B613" t="str">
        <f t="shared" si="9"/>
        <v>BHRPopulation ages 10-14, female</v>
      </c>
      <c r="C613" t="s">
        <v>434</v>
      </c>
      <c r="D613" t="s">
        <v>13</v>
      </c>
      <c r="E613" t="s">
        <v>366</v>
      </c>
      <c r="F613" t="s">
        <v>695</v>
      </c>
      <c r="G613">
        <v>46000</v>
      </c>
      <c r="H613">
        <v>47000</v>
      </c>
    </row>
    <row r="614" spans="2:8" x14ac:dyDescent="0.25">
      <c r="B614" t="str">
        <f t="shared" si="9"/>
        <v>BHRPopulation ages 10-14, male</v>
      </c>
      <c r="C614" t="s">
        <v>434</v>
      </c>
      <c r="D614" t="s">
        <v>13</v>
      </c>
      <c r="E614" t="s">
        <v>367</v>
      </c>
      <c r="F614" t="s">
        <v>696</v>
      </c>
      <c r="G614">
        <v>46000</v>
      </c>
      <c r="H614">
        <v>46000</v>
      </c>
    </row>
    <row r="615" spans="2:8" x14ac:dyDescent="0.25">
      <c r="B615" t="str">
        <f t="shared" si="9"/>
        <v>BHRPopulation ages 15-19, female</v>
      </c>
      <c r="C615" t="s">
        <v>434</v>
      </c>
      <c r="D615" t="s">
        <v>13</v>
      </c>
      <c r="E615" t="s">
        <v>368</v>
      </c>
      <c r="F615" t="s">
        <v>697</v>
      </c>
      <c r="G615">
        <v>39000</v>
      </c>
      <c r="H615">
        <v>40000</v>
      </c>
    </row>
    <row r="616" spans="2:8" x14ac:dyDescent="0.25">
      <c r="B616" t="str">
        <f t="shared" si="9"/>
        <v>BHRPopulation ages 15-19, male</v>
      </c>
      <c r="C616" t="s">
        <v>434</v>
      </c>
      <c r="D616" t="s">
        <v>13</v>
      </c>
      <c r="E616" t="s">
        <v>369</v>
      </c>
      <c r="F616" t="s">
        <v>698</v>
      </c>
      <c r="G616">
        <v>47000</v>
      </c>
      <c r="H616">
        <v>49000</v>
      </c>
    </row>
    <row r="617" spans="2:8" x14ac:dyDescent="0.25">
      <c r="B617" t="str">
        <f t="shared" si="9"/>
        <v>BHRPopulation ages 20-24, female</v>
      </c>
      <c r="C617" t="s">
        <v>434</v>
      </c>
      <c r="D617" t="s">
        <v>13</v>
      </c>
      <c r="E617" t="s">
        <v>370</v>
      </c>
      <c r="F617" t="s">
        <v>699</v>
      </c>
      <c r="G617">
        <v>42000</v>
      </c>
      <c r="H617">
        <v>39000</v>
      </c>
    </row>
    <row r="618" spans="2:8" x14ac:dyDescent="0.25">
      <c r="B618" t="str">
        <f t="shared" si="9"/>
        <v>BHRPopulation ages 20-24, male</v>
      </c>
      <c r="C618" t="s">
        <v>434</v>
      </c>
      <c r="D618" t="s">
        <v>13</v>
      </c>
      <c r="E618" t="s">
        <v>371</v>
      </c>
      <c r="F618" t="s">
        <v>700</v>
      </c>
      <c r="G618">
        <v>61000</v>
      </c>
      <c r="H618">
        <v>53000</v>
      </c>
    </row>
    <row r="619" spans="2:8" x14ac:dyDescent="0.25">
      <c r="B619" t="str">
        <f t="shared" si="9"/>
        <v>BHRPopulation ages 25-29, female</v>
      </c>
      <c r="C619" t="s">
        <v>434</v>
      </c>
      <c r="D619" t="s">
        <v>13</v>
      </c>
      <c r="E619" t="s">
        <v>372</v>
      </c>
      <c r="F619" t="s">
        <v>701</v>
      </c>
      <c r="G619">
        <v>67000</v>
      </c>
      <c r="H619">
        <v>69000</v>
      </c>
    </row>
    <row r="620" spans="2:8" x14ac:dyDescent="0.25">
      <c r="B620" t="str">
        <f t="shared" si="9"/>
        <v>BHRPopulation ages 25-29, male</v>
      </c>
      <c r="C620" t="s">
        <v>434</v>
      </c>
      <c r="D620" t="s">
        <v>13</v>
      </c>
      <c r="E620" t="s">
        <v>373</v>
      </c>
      <c r="F620" t="s">
        <v>702</v>
      </c>
      <c r="G620">
        <v>149000</v>
      </c>
      <c r="H620">
        <v>146000</v>
      </c>
    </row>
    <row r="621" spans="2:8" x14ac:dyDescent="0.25">
      <c r="B621" t="str">
        <f t="shared" si="9"/>
        <v>BHRPopulation ages 30-34, female</v>
      </c>
      <c r="C621" t="s">
        <v>434</v>
      </c>
      <c r="D621" t="s">
        <v>13</v>
      </c>
      <c r="E621" t="s">
        <v>374</v>
      </c>
      <c r="F621" t="s">
        <v>703</v>
      </c>
      <c r="G621">
        <v>68000</v>
      </c>
      <c r="H621">
        <v>73000</v>
      </c>
    </row>
    <row r="622" spans="2:8" x14ac:dyDescent="0.25">
      <c r="B622" t="str">
        <f t="shared" si="9"/>
        <v>BHRPopulation ages 30-34, male</v>
      </c>
      <c r="C622" t="s">
        <v>434</v>
      </c>
      <c r="D622" t="s">
        <v>13</v>
      </c>
      <c r="E622" t="s">
        <v>375</v>
      </c>
      <c r="F622" t="s">
        <v>704</v>
      </c>
      <c r="G622">
        <v>201000</v>
      </c>
      <c r="H622">
        <v>220000</v>
      </c>
    </row>
    <row r="623" spans="2:8" x14ac:dyDescent="0.25">
      <c r="B623" t="str">
        <f t="shared" si="9"/>
        <v>BHRPopulation ages 35-39, female</v>
      </c>
      <c r="C623" t="s">
        <v>434</v>
      </c>
      <c r="D623" t="s">
        <v>13</v>
      </c>
      <c r="E623" t="s">
        <v>376</v>
      </c>
      <c r="F623" t="s">
        <v>705</v>
      </c>
      <c r="G623">
        <v>53000</v>
      </c>
      <c r="H623">
        <v>54000</v>
      </c>
    </row>
    <row r="624" spans="2:8" x14ac:dyDescent="0.25">
      <c r="B624" t="str">
        <f t="shared" si="9"/>
        <v>BHRPopulation ages 35-39, male</v>
      </c>
      <c r="C624" t="s">
        <v>434</v>
      </c>
      <c r="D624" t="s">
        <v>13</v>
      </c>
      <c r="E624" t="s">
        <v>377</v>
      </c>
      <c r="F624" t="s">
        <v>706</v>
      </c>
      <c r="G624">
        <v>143000</v>
      </c>
      <c r="H624">
        <v>160000</v>
      </c>
    </row>
    <row r="625" spans="2:8" x14ac:dyDescent="0.25">
      <c r="B625" t="str">
        <f t="shared" si="9"/>
        <v>BHRPopulation ages 40-44, female</v>
      </c>
      <c r="C625" t="s">
        <v>434</v>
      </c>
      <c r="D625" t="s">
        <v>13</v>
      </c>
      <c r="E625" t="s">
        <v>378</v>
      </c>
      <c r="F625" t="s">
        <v>707</v>
      </c>
      <c r="G625">
        <v>45000</v>
      </c>
      <c r="H625">
        <v>47000</v>
      </c>
    </row>
    <row r="626" spans="2:8" x14ac:dyDescent="0.25">
      <c r="B626" t="str">
        <f t="shared" si="9"/>
        <v>BHRPopulation ages 40-44, male</v>
      </c>
      <c r="C626" t="s">
        <v>434</v>
      </c>
      <c r="D626" t="s">
        <v>13</v>
      </c>
      <c r="E626" t="s">
        <v>379</v>
      </c>
      <c r="F626" t="s">
        <v>708</v>
      </c>
      <c r="G626">
        <v>94000</v>
      </c>
      <c r="H626">
        <v>101000</v>
      </c>
    </row>
    <row r="627" spans="2:8" x14ac:dyDescent="0.25">
      <c r="B627" t="str">
        <f t="shared" si="9"/>
        <v>BHRPopulation ages 45-49, female</v>
      </c>
      <c r="C627" t="s">
        <v>434</v>
      </c>
      <c r="D627" t="s">
        <v>13</v>
      </c>
      <c r="E627" t="s">
        <v>380</v>
      </c>
      <c r="F627" t="s">
        <v>709</v>
      </c>
      <c r="G627">
        <v>34000</v>
      </c>
      <c r="H627">
        <v>35000</v>
      </c>
    </row>
    <row r="628" spans="2:8" x14ac:dyDescent="0.25">
      <c r="B628" t="str">
        <f t="shared" si="9"/>
        <v>BHRPopulation ages 45-49, male</v>
      </c>
      <c r="C628" t="s">
        <v>434</v>
      </c>
      <c r="D628" t="s">
        <v>13</v>
      </c>
      <c r="E628" t="s">
        <v>381</v>
      </c>
      <c r="F628" t="s">
        <v>710</v>
      </c>
      <c r="G628">
        <v>71000</v>
      </c>
      <c r="H628">
        <v>73000</v>
      </c>
    </row>
    <row r="629" spans="2:8" x14ac:dyDescent="0.25">
      <c r="B629" t="str">
        <f t="shared" si="9"/>
        <v>BHRPopulation ages 50-54, female</v>
      </c>
      <c r="C629" t="s">
        <v>434</v>
      </c>
      <c r="D629" t="s">
        <v>13</v>
      </c>
      <c r="E629" t="s">
        <v>382</v>
      </c>
      <c r="F629" t="s">
        <v>711</v>
      </c>
      <c r="G629">
        <v>29000</v>
      </c>
      <c r="H629">
        <v>29000</v>
      </c>
    </row>
    <row r="630" spans="2:8" x14ac:dyDescent="0.25">
      <c r="B630" t="str">
        <f t="shared" si="9"/>
        <v>BHRPopulation ages 50-54, male</v>
      </c>
      <c r="C630" t="s">
        <v>434</v>
      </c>
      <c r="D630" t="s">
        <v>13</v>
      </c>
      <c r="E630" t="s">
        <v>383</v>
      </c>
      <c r="F630" t="s">
        <v>712</v>
      </c>
      <c r="G630">
        <v>50000</v>
      </c>
      <c r="H630">
        <v>52000</v>
      </c>
    </row>
    <row r="631" spans="2:8" x14ac:dyDescent="0.25">
      <c r="B631" t="str">
        <f t="shared" si="9"/>
        <v>BHRPopulation ages 55-59, male</v>
      </c>
      <c r="C631" t="s">
        <v>434</v>
      </c>
      <c r="D631" t="s">
        <v>13</v>
      </c>
      <c r="E631" t="s">
        <v>385</v>
      </c>
      <c r="F631" t="s">
        <v>713</v>
      </c>
      <c r="G631">
        <v>34000</v>
      </c>
      <c r="H631">
        <v>34000</v>
      </c>
    </row>
    <row r="632" spans="2:8" x14ac:dyDescent="0.25">
      <c r="B632" t="str">
        <f t="shared" si="9"/>
        <v>BHRPopulation ages 55-59, female</v>
      </c>
      <c r="C632" t="s">
        <v>434</v>
      </c>
      <c r="D632" t="s">
        <v>13</v>
      </c>
      <c r="E632" t="s">
        <v>384</v>
      </c>
      <c r="F632" t="s">
        <v>714</v>
      </c>
      <c r="G632">
        <v>24000</v>
      </c>
      <c r="H632">
        <v>25000</v>
      </c>
    </row>
    <row r="633" spans="2:8" x14ac:dyDescent="0.25">
      <c r="B633" t="str">
        <f t="shared" si="9"/>
        <v>BHRPopulation ages 65-69, male</v>
      </c>
      <c r="C633" t="s">
        <v>434</v>
      </c>
      <c r="D633" t="s">
        <v>13</v>
      </c>
      <c r="E633" t="s">
        <v>389</v>
      </c>
      <c r="F633" t="s">
        <v>715</v>
      </c>
      <c r="G633">
        <v>11000</v>
      </c>
      <c r="H633">
        <v>13000</v>
      </c>
    </row>
    <row r="634" spans="2:8" x14ac:dyDescent="0.25">
      <c r="B634" t="str">
        <f t="shared" si="9"/>
        <v>BHRPopulation ages 65-69, female</v>
      </c>
      <c r="C634" t="s">
        <v>434</v>
      </c>
      <c r="D634" t="s">
        <v>13</v>
      </c>
      <c r="E634" t="s">
        <v>388</v>
      </c>
      <c r="F634" t="s">
        <v>716</v>
      </c>
      <c r="G634">
        <v>7900</v>
      </c>
      <c r="H634">
        <v>8900</v>
      </c>
    </row>
    <row r="635" spans="2:8" x14ac:dyDescent="0.25">
      <c r="B635" t="str">
        <f t="shared" si="9"/>
        <v>BHRPopulation ages 60-64, female</v>
      </c>
      <c r="C635" t="s">
        <v>434</v>
      </c>
      <c r="D635" t="s">
        <v>13</v>
      </c>
      <c r="E635" t="s">
        <v>386</v>
      </c>
      <c r="F635" t="s">
        <v>717</v>
      </c>
      <c r="G635">
        <v>16000</v>
      </c>
      <c r="H635">
        <v>17000</v>
      </c>
    </row>
    <row r="636" spans="2:8" x14ac:dyDescent="0.25">
      <c r="B636" t="str">
        <f t="shared" si="9"/>
        <v>BHRPopulation ages 60-64, male</v>
      </c>
      <c r="C636" t="s">
        <v>434</v>
      </c>
      <c r="D636" t="s">
        <v>13</v>
      </c>
      <c r="E636" t="s">
        <v>387</v>
      </c>
      <c r="F636" t="s">
        <v>718</v>
      </c>
      <c r="G636">
        <v>27000</v>
      </c>
      <c r="H636">
        <v>28000</v>
      </c>
    </row>
    <row r="637" spans="2:8" x14ac:dyDescent="0.25">
      <c r="B637" t="str">
        <f t="shared" si="9"/>
        <v>BHRPopulation ages 70-74, female</v>
      </c>
      <c r="C637" t="s">
        <v>434</v>
      </c>
      <c r="D637" t="s">
        <v>13</v>
      </c>
      <c r="E637" t="s">
        <v>390</v>
      </c>
      <c r="F637" t="s">
        <v>719</v>
      </c>
      <c r="G637">
        <v>4500</v>
      </c>
      <c r="H637">
        <v>4800</v>
      </c>
    </row>
    <row r="638" spans="2:8" x14ac:dyDescent="0.25">
      <c r="B638" t="str">
        <f t="shared" si="9"/>
        <v>BHRPopulation ages 70-74, male</v>
      </c>
      <c r="C638" t="s">
        <v>434</v>
      </c>
      <c r="D638" t="s">
        <v>13</v>
      </c>
      <c r="E638" t="s">
        <v>391</v>
      </c>
      <c r="F638" t="s">
        <v>720</v>
      </c>
      <c r="G638">
        <v>5700</v>
      </c>
      <c r="H638">
        <v>6100</v>
      </c>
    </row>
    <row r="639" spans="2:8" x14ac:dyDescent="0.25">
      <c r="B639" t="str">
        <f t="shared" si="9"/>
        <v>BHRPopulation ages 75-79, female</v>
      </c>
      <c r="C639" t="s">
        <v>434</v>
      </c>
      <c r="D639" t="s">
        <v>13</v>
      </c>
      <c r="E639" t="s">
        <v>392</v>
      </c>
      <c r="F639" t="s">
        <v>721</v>
      </c>
      <c r="G639">
        <v>3400</v>
      </c>
      <c r="H639">
        <v>3400</v>
      </c>
    </row>
    <row r="640" spans="2:8" x14ac:dyDescent="0.25">
      <c r="B640" t="str">
        <f t="shared" si="9"/>
        <v>BHRPopulation ages 75-79, male</v>
      </c>
      <c r="C640" t="s">
        <v>434</v>
      </c>
      <c r="D640" t="s">
        <v>13</v>
      </c>
      <c r="E640" t="s">
        <v>393</v>
      </c>
      <c r="F640" t="s">
        <v>722</v>
      </c>
      <c r="G640">
        <v>3300</v>
      </c>
      <c r="H640">
        <v>3400</v>
      </c>
    </row>
    <row r="641" spans="2:8" x14ac:dyDescent="0.25">
      <c r="B641" t="str">
        <f t="shared" si="9"/>
        <v>BHRPopulation ages 80 and above, female</v>
      </c>
      <c r="C641" t="s">
        <v>434</v>
      </c>
      <c r="D641" t="s">
        <v>13</v>
      </c>
      <c r="E641" t="s">
        <v>394</v>
      </c>
      <c r="F641" t="s">
        <v>723</v>
      </c>
      <c r="G641">
        <v>3100</v>
      </c>
      <c r="H641">
        <v>3200</v>
      </c>
    </row>
    <row r="642" spans="2:8" x14ac:dyDescent="0.25">
      <c r="B642" t="str">
        <f t="shared" si="9"/>
        <v>BHRPopulation ages 80 and above, male</v>
      </c>
      <c r="C642" t="s">
        <v>434</v>
      </c>
      <c r="D642" t="s">
        <v>13</v>
      </c>
      <c r="E642" t="s">
        <v>395</v>
      </c>
      <c r="F642" t="s">
        <v>724</v>
      </c>
      <c r="G642">
        <v>2600</v>
      </c>
      <c r="H642">
        <v>2600</v>
      </c>
    </row>
    <row r="643" spans="2:8" x14ac:dyDescent="0.25">
      <c r="B643" t="str">
        <f t="shared" si="9"/>
        <v>BHRPopulation, male</v>
      </c>
      <c r="C643" t="s">
        <v>434</v>
      </c>
      <c r="D643" t="s">
        <v>13</v>
      </c>
      <c r="E643" t="s">
        <v>397</v>
      </c>
      <c r="F643" t="s">
        <v>725</v>
      </c>
      <c r="G643">
        <v>1055000</v>
      </c>
      <c r="H643">
        <v>1100000</v>
      </c>
    </row>
    <row r="644" spans="2:8" x14ac:dyDescent="0.25">
      <c r="B644" t="str">
        <f t="shared" si="9"/>
        <v>BHRPopulation, total</v>
      </c>
      <c r="C644" t="s">
        <v>434</v>
      </c>
      <c r="D644" t="s">
        <v>13</v>
      </c>
      <c r="E644" t="s">
        <v>398</v>
      </c>
      <c r="F644" t="s">
        <v>726</v>
      </c>
      <c r="G644">
        <v>1641000</v>
      </c>
      <c r="H644">
        <v>1702000</v>
      </c>
    </row>
    <row r="645" spans="2:8" x14ac:dyDescent="0.25">
      <c r="B645" t="str">
        <f t="shared" si="9"/>
        <v>BHRPopulation, female</v>
      </c>
      <c r="C645" t="s">
        <v>434</v>
      </c>
      <c r="D645" t="s">
        <v>13</v>
      </c>
      <c r="E645" t="s">
        <v>396</v>
      </c>
      <c r="F645" t="s">
        <v>727</v>
      </c>
      <c r="G645">
        <v>586000</v>
      </c>
      <c r="H645">
        <v>601000</v>
      </c>
    </row>
    <row r="646" spans="2:8" x14ac:dyDescent="0.25">
      <c r="B646" t="str">
        <f t="shared" si="9"/>
        <v>BHRPopulation growth (annual %)</v>
      </c>
      <c r="C646" t="s">
        <v>434</v>
      </c>
      <c r="D646" t="s">
        <v>13</v>
      </c>
      <c r="E646" t="s">
        <v>399</v>
      </c>
      <c r="F646" t="s">
        <v>728</v>
      </c>
      <c r="G646">
        <v>0</v>
      </c>
      <c r="H646">
        <v>0</v>
      </c>
    </row>
    <row r="647" spans="2:8" x14ac:dyDescent="0.25">
      <c r="B647" t="str">
        <f t="shared" ref="B647:B710" si="10">CONCATENATE(D647,E647)</f>
        <v>BGDPopulation ages 0-14, female</v>
      </c>
      <c r="C647" t="s">
        <v>240</v>
      </c>
      <c r="D647" t="s">
        <v>11</v>
      </c>
      <c r="E647" t="s">
        <v>687</v>
      </c>
      <c r="F647" t="s">
        <v>688</v>
      </c>
      <c r="G647">
        <v>21708000</v>
      </c>
      <c r="H647">
        <v>21557000</v>
      </c>
    </row>
    <row r="648" spans="2:8" x14ac:dyDescent="0.25">
      <c r="B648" t="str">
        <f t="shared" si="10"/>
        <v>BGDPopulation ages 0-14, male</v>
      </c>
      <c r="C648" t="s">
        <v>240</v>
      </c>
      <c r="D648" t="s">
        <v>11</v>
      </c>
      <c r="E648" t="s">
        <v>689</v>
      </c>
      <c r="F648" t="s">
        <v>690</v>
      </c>
      <c r="G648">
        <v>22664000</v>
      </c>
      <c r="H648">
        <v>22505000</v>
      </c>
    </row>
    <row r="649" spans="2:8" x14ac:dyDescent="0.25">
      <c r="B649" t="str">
        <f t="shared" si="10"/>
        <v>BGDPopulation ages 00-04, female</v>
      </c>
      <c r="C649" t="s">
        <v>240</v>
      </c>
      <c r="D649" t="s">
        <v>11</v>
      </c>
      <c r="E649" t="s">
        <v>362</v>
      </c>
      <c r="F649" t="s">
        <v>691</v>
      </c>
      <c r="G649">
        <v>7052000</v>
      </c>
      <c r="H649">
        <v>7008000</v>
      </c>
    </row>
    <row r="650" spans="2:8" x14ac:dyDescent="0.25">
      <c r="B650" t="str">
        <f t="shared" si="10"/>
        <v>BGDPopulation ages 00-04, male</v>
      </c>
      <c r="C650" t="s">
        <v>240</v>
      </c>
      <c r="D650" t="s">
        <v>11</v>
      </c>
      <c r="E650" t="s">
        <v>363</v>
      </c>
      <c r="F650" t="s">
        <v>692</v>
      </c>
      <c r="G650">
        <v>7366000</v>
      </c>
      <c r="H650">
        <v>7320000</v>
      </c>
    </row>
    <row r="651" spans="2:8" x14ac:dyDescent="0.25">
      <c r="B651" t="str">
        <f t="shared" si="10"/>
        <v>BGDPopulation ages 05-09, female</v>
      </c>
      <c r="C651" t="s">
        <v>240</v>
      </c>
      <c r="D651" t="s">
        <v>11</v>
      </c>
      <c r="E651" t="s">
        <v>364</v>
      </c>
      <c r="F651" t="s">
        <v>693</v>
      </c>
      <c r="G651">
        <v>7205000</v>
      </c>
      <c r="H651">
        <v>7167000</v>
      </c>
    </row>
    <row r="652" spans="2:8" x14ac:dyDescent="0.25">
      <c r="B652" t="str">
        <f t="shared" si="10"/>
        <v>BGDPopulation ages 05-09, male</v>
      </c>
      <c r="C652" t="s">
        <v>240</v>
      </c>
      <c r="D652" t="s">
        <v>11</v>
      </c>
      <c r="E652" t="s">
        <v>365</v>
      </c>
      <c r="F652" t="s">
        <v>694</v>
      </c>
      <c r="G652">
        <v>7517000</v>
      </c>
      <c r="H652">
        <v>7477000</v>
      </c>
    </row>
    <row r="653" spans="2:8" x14ac:dyDescent="0.25">
      <c r="B653" t="str">
        <f t="shared" si="10"/>
        <v>BGDPopulation ages 10-14, female</v>
      </c>
      <c r="C653" t="s">
        <v>240</v>
      </c>
      <c r="D653" t="s">
        <v>11</v>
      </c>
      <c r="E653" t="s">
        <v>366</v>
      </c>
      <c r="F653" t="s">
        <v>695</v>
      </c>
      <c r="G653">
        <v>7450000</v>
      </c>
      <c r="H653">
        <v>7382000</v>
      </c>
    </row>
    <row r="654" spans="2:8" x14ac:dyDescent="0.25">
      <c r="B654" t="str">
        <f t="shared" si="10"/>
        <v>BGDPopulation ages 10-14, male</v>
      </c>
      <c r="C654" t="s">
        <v>240</v>
      </c>
      <c r="D654" t="s">
        <v>11</v>
      </c>
      <c r="E654" t="s">
        <v>367</v>
      </c>
      <c r="F654" t="s">
        <v>696</v>
      </c>
      <c r="G654">
        <v>7781000</v>
      </c>
      <c r="H654">
        <v>7707000</v>
      </c>
    </row>
    <row r="655" spans="2:8" x14ac:dyDescent="0.25">
      <c r="B655" t="str">
        <f t="shared" si="10"/>
        <v>BGDPopulation ages 15-19, female</v>
      </c>
      <c r="C655" t="s">
        <v>240</v>
      </c>
      <c r="D655" t="s">
        <v>11</v>
      </c>
      <c r="E655" t="s">
        <v>368</v>
      </c>
      <c r="F655" t="s">
        <v>697</v>
      </c>
      <c r="G655">
        <v>7649000</v>
      </c>
      <c r="H655">
        <v>7610000</v>
      </c>
    </row>
    <row r="656" spans="2:8" x14ac:dyDescent="0.25">
      <c r="B656" t="str">
        <f t="shared" si="10"/>
        <v>BGDPopulation ages 15-19, male</v>
      </c>
      <c r="C656" t="s">
        <v>240</v>
      </c>
      <c r="D656" t="s">
        <v>11</v>
      </c>
      <c r="E656" t="s">
        <v>369</v>
      </c>
      <c r="F656" t="s">
        <v>698</v>
      </c>
      <c r="G656">
        <v>8002000</v>
      </c>
      <c r="H656">
        <v>7975000</v>
      </c>
    </row>
    <row r="657" spans="2:8" x14ac:dyDescent="0.25">
      <c r="B657" t="str">
        <f t="shared" si="10"/>
        <v>BGDPopulation ages 20-24, female</v>
      </c>
      <c r="C657" t="s">
        <v>240</v>
      </c>
      <c r="D657" t="s">
        <v>11</v>
      </c>
      <c r="E657" t="s">
        <v>370</v>
      </c>
      <c r="F657" t="s">
        <v>699</v>
      </c>
      <c r="G657">
        <v>7477000</v>
      </c>
      <c r="H657">
        <v>7497000</v>
      </c>
    </row>
    <row r="658" spans="2:8" x14ac:dyDescent="0.25">
      <c r="B658" t="str">
        <f t="shared" si="10"/>
        <v>BGDPopulation ages 20-24, male</v>
      </c>
      <c r="C658" t="s">
        <v>240</v>
      </c>
      <c r="D658" t="s">
        <v>11</v>
      </c>
      <c r="E658" t="s">
        <v>371</v>
      </c>
      <c r="F658" t="s">
        <v>700</v>
      </c>
      <c r="G658">
        <v>7706000</v>
      </c>
      <c r="H658">
        <v>7742000</v>
      </c>
    </row>
    <row r="659" spans="2:8" x14ac:dyDescent="0.25">
      <c r="B659" t="str">
        <f t="shared" si="10"/>
        <v>BGDPopulation ages 25-29, female</v>
      </c>
      <c r="C659" t="s">
        <v>240</v>
      </c>
      <c r="D659" t="s">
        <v>11</v>
      </c>
      <c r="E659" t="s">
        <v>372</v>
      </c>
      <c r="F659" t="s">
        <v>701</v>
      </c>
      <c r="G659">
        <v>7220000</v>
      </c>
      <c r="H659">
        <v>7268000</v>
      </c>
    </row>
    <row r="660" spans="2:8" x14ac:dyDescent="0.25">
      <c r="B660" t="str">
        <f t="shared" si="10"/>
        <v>BGDPopulation ages 25-29, male</v>
      </c>
      <c r="C660" t="s">
        <v>240</v>
      </c>
      <c r="D660" t="s">
        <v>11</v>
      </c>
      <c r="E660" t="s">
        <v>373</v>
      </c>
      <c r="F660" t="s">
        <v>702</v>
      </c>
      <c r="G660">
        <v>7197000</v>
      </c>
      <c r="H660">
        <v>7258000</v>
      </c>
    </row>
    <row r="661" spans="2:8" x14ac:dyDescent="0.25">
      <c r="B661" t="str">
        <f t="shared" si="10"/>
        <v>BGDPopulation ages 30-34, female</v>
      </c>
      <c r="C661" t="s">
        <v>240</v>
      </c>
      <c r="D661" t="s">
        <v>11</v>
      </c>
      <c r="E661" t="s">
        <v>374</v>
      </c>
      <c r="F661" t="s">
        <v>703</v>
      </c>
      <c r="G661">
        <v>6923000</v>
      </c>
      <c r="H661">
        <v>6984000</v>
      </c>
    </row>
    <row r="662" spans="2:8" x14ac:dyDescent="0.25">
      <c r="B662" t="str">
        <f t="shared" si="10"/>
        <v>BGDPopulation ages 30-34, male</v>
      </c>
      <c r="C662" t="s">
        <v>240</v>
      </c>
      <c r="D662" t="s">
        <v>11</v>
      </c>
      <c r="E662" t="s">
        <v>375</v>
      </c>
      <c r="F662" t="s">
        <v>704</v>
      </c>
      <c r="G662">
        <v>6714000</v>
      </c>
      <c r="H662">
        <v>6779000</v>
      </c>
    </row>
    <row r="663" spans="2:8" x14ac:dyDescent="0.25">
      <c r="B663" t="str">
        <f t="shared" si="10"/>
        <v>BGDPopulation ages 35-39, female</v>
      </c>
      <c r="C663" t="s">
        <v>240</v>
      </c>
      <c r="D663" t="s">
        <v>11</v>
      </c>
      <c r="E663" t="s">
        <v>376</v>
      </c>
      <c r="F663" t="s">
        <v>705</v>
      </c>
      <c r="G663">
        <v>6366000</v>
      </c>
      <c r="H663">
        <v>6477000</v>
      </c>
    </row>
    <row r="664" spans="2:8" x14ac:dyDescent="0.25">
      <c r="B664" t="str">
        <f t="shared" si="10"/>
        <v>BGDPopulation ages 35-39, male</v>
      </c>
      <c r="C664" t="s">
        <v>240</v>
      </c>
      <c r="D664" t="s">
        <v>11</v>
      </c>
      <c r="E664" t="s">
        <v>377</v>
      </c>
      <c r="F664" t="s">
        <v>706</v>
      </c>
      <c r="G664">
        <v>6175000</v>
      </c>
      <c r="H664">
        <v>6271000</v>
      </c>
    </row>
    <row r="665" spans="2:8" x14ac:dyDescent="0.25">
      <c r="B665" t="str">
        <f t="shared" si="10"/>
        <v>BGDPopulation ages 40-44, female</v>
      </c>
      <c r="C665" t="s">
        <v>240</v>
      </c>
      <c r="D665" t="s">
        <v>11</v>
      </c>
      <c r="E665" t="s">
        <v>378</v>
      </c>
      <c r="F665" t="s">
        <v>707</v>
      </c>
      <c r="G665">
        <v>5508000</v>
      </c>
      <c r="H665">
        <v>5672000</v>
      </c>
    </row>
    <row r="666" spans="2:8" x14ac:dyDescent="0.25">
      <c r="B666" t="str">
        <f t="shared" si="10"/>
        <v>BGDPopulation ages 40-44, male</v>
      </c>
      <c r="C666" t="s">
        <v>240</v>
      </c>
      <c r="D666" t="s">
        <v>11</v>
      </c>
      <c r="E666" t="s">
        <v>379</v>
      </c>
      <c r="F666" t="s">
        <v>708</v>
      </c>
      <c r="G666">
        <v>5408000</v>
      </c>
      <c r="H666">
        <v>5554000</v>
      </c>
    </row>
    <row r="667" spans="2:8" x14ac:dyDescent="0.25">
      <c r="B667" t="str">
        <f t="shared" si="10"/>
        <v>BGDPopulation ages 45-49, female</v>
      </c>
      <c r="C667" t="s">
        <v>240</v>
      </c>
      <c r="D667" t="s">
        <v>11</v>
      </c>
      <c r="E667" t="s">
        <v>380</v>
      </c>
      <c r="F667" t="s">
        <v>709</v>
      </c>
      <c r="G667">
        <v>4590000</v>
      </c>
      <c r="H667">
        <v>4708000</v>
      </c>
    </row>
    <row r="668" spans="2:8" x14ac:dyDescent="0.25">
      <c r="B668" t="str">
        <f t="shared" si="10"/>
        <v>BGDPopulation ages 45-49, male</v>
      </c>
      <c r="C668" t="s">
        <v>240</v>
      </c>
      <c r="D668" t="s">
        <v>11</v>
      </c>
      <c r="E668" t="s">
        <v>381</v>
      </c>
      <c r="F668" t="s">
        <v>710</v>
      </c>
      <c r="G668">
        <v>4637000</v>
      </c>
      <c r="H668">
        <v>4718000</v>
      </c>
    </row>
    <row r="669" spans="2:8" x14ac:dyDescent="0.25">
      <c r="B669" t="str">
        <f t="shared" si="10"/>
        <v>BGDPopulation ages 50-54, female</v>
      </c>
      <c r="C669" t="s">
        <v>240</v>
      </c>
      <c r="D669" t="s">
        <v>11</v>
      </c>
      <c r="E669" t="s">
        <v>382</v>
      </c>
      <c r="F669" t="s">
        <v>711</v>
      </c>
      <c r="G669">
        <v>3932000</v>
      </c>
      <c r="H669">
        <v>4040000</v>
      </c>
    </row>
    <row r="670" spans="2:8" x14ac:dyDescent="0.25">
      <c r="B670" t="str">
        <f t="shared" si="10"/>
        <v>BGDPopulation ages 50-54, male</v>
      </c>
      <c r="C670" t="s">
        <v>240</v>
      </c>
      <c r="D670" t="s">
        <v>11</v>
      </c>
      <c r="E670" t="s">
        <v>383</v>
      </c>
      <c r="F670" t="s">
        <v>712</v>
      </c>
      <c r="G670">
        <v>4181000</v>
      </c>
      <c r="H670">
        <v>4265000</v>
      </c>
    </row>
    <row r="671" spans="2:8" x14ac:dyDescent="0.25">
      <c r="B671" t="str">
        <f t="shared" si="10"/>
        <v>BGDPopulation ages 55-59, male</v>
      </c>
      <c r="C671" t="s">
        <v>240</v>
      </c>
      <c r="D671" t="s">
        <v>11</v>
      </c>
      <c r="E671" t="s">
        <v>385</v>
      </c>
      <c r="F671" t="s">
        <v>713</v>
      </c>
      <c r="G671">
        <v>3316000</v>
      </c>
      <c r="H671">
        <v>3479000</v>
      </c>
    </row>
    <row r="672" spans="2:8" x14ac:dyDescent="0.25">
      <c r="B672" t="str">
        <f t="shared" si="10"/>
        <v>BGDPopulation ages 55-59, female</v>
      </c>
      <c r="C672" t="s">
        <v>240</v>
      </c>
      <c r="D672" t="s">
        <v>11</v>
      </c>
      <c r="E672" t="s">
        <v>384</v>
      </c>
      <c r="F672" t="s">
        <v>714</v>
      </c>
      <c r="G672">
        <v>3050000</v>
      </c>
      <c r="H672">
        <v>3221000</v>
      </c>
    </row>
    <row r="673" spans="2:8" x14ac:dyDescent="0.25">
      <c r="B673" t="str">
        <f t="shared" si="10"/>
        <v>BGDPopulation ages 65-69, male</v>
      </c>
      <c r="C673" t="s">
        <v>240</v>
      </c>
      <c r="D673" t="s">
        <v>11</v>
      </c>
      <c r="E673" t="s">
        <v>389</v>
      </c>
      <c r="F673" t="s">
        <v>715</v>
      </c>
      <c r="G673">
        <v>1442000</v>
      </c>
      <c r="H673">
        <v>1490000</v>
      </c>
    </row>
    <row r="674" spans="2:8" x14ac:dyDescent="0.25">
      <c r="B674" t="str">
        <f t="shared" si="10"/>
        <v>BGDPopulation ages 65-69, female</v>
      </c>
      <c r="C674" t="s">
        <v>240</v>
      </c>
      <c r="D674" t="s">
        <v>11</v>
      </c>
      <c r="E674" t="s">
        <v>388</v>
      </c>
      <c r="F674" t="s">
        <v>716</v>
      </c>
      <c r="G674">
        <v>1274000</v>
      </c>
      <c r="H674">
        <v>1307000</v>
      </c>
    </row>
    <row r="675" spans="2:8" x14ac:dyDescent="0.25">
      <c r="B675" t="str">
        <f t="shared" si="10"/>
        <v>BGDPopulation ages 60-64, female</v>
      </c>
      <c r="C675" t="s">
        <v>240</v>
      </c>
      <c r="D675" t="s">
        <v>11</v>
      </c>
      <c r="E675" t="s">
        <v>386</v>
      </c>
      <c r="F675" t="s">
        <v>717</v>
      </c>
      <c r="G675">
        <v>1966000</v>
      </c>
      <c r="H675">
        <v>2129000</v>
      </c>
    </row>
    <row r="676" spans="2:8" x14ac:dyDescent="0.25">
      <c r="B676" t="str">
        <f t="shared" si="10"/>
        <v>BGDPopulation ages 60-64, male</v>
      </c>
      <c r="C676" t="s">
        <v>240</v>
      </c>
      <c r="D676" t="s">
        <v>11</v>
      </c>
      <c r="E676" t="s">
        <v>387</v>
      </c>
      <c r="F676" t="s">
        <v>718</v>
      </c>
      <c r="G676">
        <v>2210000</v>
      </c>
      <c r="H676">
        <v>2372000</v>
      </c>
    </row>
    <row r="677" spans="2:8" x14ac:dyDescent="0.25">
      <c r="B677" t="str">
        <f t="shared" si="10"/>
        <v>BGDPopulation ages 70-74, female</v>
      </c>
      <c r="C677" t="s">
        <v>240</v>
      </c>
      <c r="D677" t="s">
        <v>11</v>
      </c>
      <c r="E677" t="s">
        <v>390</v>
      </c>
      <c r="F677" t="s">
        <v>719</v>
      </c>
      <c r="G677">
        <v>1160000</v>
      </c>
      <c r="H677">
        <v>1150000</v>
      </c>
    </row>
    <row r="678" spans="2:8" x14ac:dyDescent="0.25">
      <c r="B678" t="str">
        <f t="shared" si="10"/>
        <v>BGDPopulation ages 70-74, male</v>
      </c>
      <c r="C678" t="s">
        <v>240</v>
      </c>
      <c r="D678" t="s">
        <v>11</v>
      </c>
      <c r="E678" t="s">
        <v>391</v>
      </c>
      <c r="F678" t="s">
        <v>720</v>
      </c>
      <c r="G678">
        <v>1206000</v>
      </c>
      <c r="H678">
        <v>1207000</v>
      </c>
    </row>
    <row r="679" spans="2:8" x14ac:dyDescent="0.25">
      <c r="B679" t="str">
        <f t="shared" si="10"/>
        <v>BGDPopulation ages 75-79, female</v>
      </c>
      <c r="C679" t="s">
        <v>240</v>
      </c>
      <c r="D679" t="s">
        <v>11</v>
      </c>
      <c r="E679" t="s">
        <v>392</v>
      </c>
      <c r="F679" t="s">
        <v>721</v>
      </c>
      <c r="G679">
        <v>860000</v>
      </c>
      <c r="H679">
        <v>884000</v>
      </c>
    </row>
    <row r="680" spans="2:8" x14ac:dyDescent="0.25">
      <c r="B680" t="str">
        <f t="shared" si="10"/>
        <v>BGDPopulation ages 75-79, male</v>
      </c>
      <c r="C680" t="s">
        <v>240</v>
      </c>
      <c r="D680" t="s">
        <v>11</v>
      </c>
      <c r="E680" t="s">
        <v>393</v>
      </c>
      <c r="F680" t="s">
        <v>722</v>
      </c>
      <c r="G680">
        <v>839000</v>
      </c>
      <c r="H680">
        <v>855000</v>
      </c>
    </row>
    <row r="681" spans="2:8" x14ac:dyDescent="0.25">
      <c r="B681" t="str">
        <f t="shared" si="10"/>
        <v>BGDPopulation ages 80 and above, female</v>
      </c>
      <c r="C681" t="s">
        <v>240</v>
      </c>
      <c r="D681" t="s">
        <v>11</v>
      </c>
      <c r="E681" t="s">
        <v>394</v>
      </c>
      <c r="F681" t="s">
        <v>723</v>
      </c>
      <c r="G681">
        <v>889000</v>
      </c>
      <c r="H681">
        <v>927000</v>
      </c>
    </row>
    <row r="682" spans="2:8" x14ac:dyDescent="0.25">
      <c r="B682" t="str">
        <f t="shared" si="10"/>
        <v>BGDPopulation ages 80 and above, male</v>
      </c>
      <c r="C682" t="s">
        <v>240</v>
      </c>
      <c r="D682" t="s">
        <v>11</v>
      </c>
      <c r="E682" t="s">
        <v>395</v>
      </c>
      <c r="F682" t="s">
        <v>724</v>
      </c>
      <c r="G682">
        <v>776000</v>
      </c>
      <c r="H682">
        <v>789000</v>
      </c>
    </row>
    <row r="683" spans="2:8" x14ac:dyDescent="0.25">
      <c r="B683" t="str">
        <f t="shared" si="10"/>
        <v>BGDPopulation, male</v>
      </c>
      <c r="C683" t="s">
        <v>240</v>
      </c>
      <c r="D683" t="s">
        <v>11</v>
      </c>
      <c r="E683" t="s">
        <v>397</v>
      </c>
      <c r="F683" t="s">
        <v>725</v>
      </c>
      <c r="G683">
        <v>82474000</v>
      </c>
      <c r="H683">
        <v>83259000</v>
      </c>
    </row>
    <row r="684" spans="2:8" x14ac:dyDescent="0.25">
      <c r="B684" t="str">
        <f t="shared" si="10"/>
        <v>BGDPopulation, total</v>
      </c>
      <c r="C684" t="s">
        <v>240</v>
      </c>
      <c r="D684" t="s">
        <v>11</v>
      </c>
      <c r="E684" t="s">
        <v>398</v>
      </c>
      <c r="F684" t="s">
        <v>726</v>
      </c>
      <c r="G684">
        <v>163046000</v>
      </c>
      <c r="H684">
        <v>164689000</v>
      </c>
    </row>
    <row r="685" spans="2:8" x14ac:dyDescent="0.25">
      <c r="B685" t="str">
        <f t="shared" si="10"/>
        <v>BGDPopulation, female</v>
      </c>
      <c r="C685" t="s">
        <v>240</v>
      </c>
      <c r="D685" t="s">
        <v>11</v>
      </c>
      <c r="E685" t="s">
        <v>396</v>
      </c>
      <c r="F685" t="s">
        <v>727</v>
      </c>
      <c r="G685">
        <v>80572000</v>
      </c>
      <c r="H685">
        <v>81430000</v>
      </c>
    </row>
    <row r="686" spans="2:8" x14ac:dyDescent="0.25">
      <c r="B686" t="str">
        <f t="shared" si="10"/>
        <v>BGDPopulation growth (annual %)</v>
      </c>
      <c r="C686" t="s">
        <v>240</v>
      </c>
      <c r="D686" t="s">
        <v>11</v>
      </c>
      <c r="E686" t="s">
        <v>399</v>
      </c>
      <c r="F686" t="s">
        <v>728</v>
      </c>
      <c r="G686">
        <v>0</v>
      </c>
      <c r="H686">
        <v>0</v>
      </c>
    </row>
    <row r="687" spans="2:8" x14ac:dyDescent="0.25">
      <c r="B687" t="str">
        <f t="shared" si="10"/>
        <v>BRBPopulation ages 0-14, female</v>
      </c>
      <c r="C687" t="s">
        <v>435</v>
      </c>
      <c r="D687" t="s">
        <v>436</v>
      </c>
      <c r="E687" t="s">
        <v>687</v>
      </c>
      <c r="F687" t="s">
        <v>688</v>
      </c>
      <c r="G687">
        <v>24000</v>
      </c>
      <c r="H687">
        <v>24000</v>
      </c>
    </row>
    <row r="688" spans="2:8" x14ac:dyDescent="0.25">
      <c r="B688" t="str">
        <f t="shared" si="10"/>
        <v>BRBPopulation ages 0-14, male</v>
      </c>
      <c r="C688" t="s">
        <v>435</v>
      </c>
      <c r="D688" t="s">
        <v>436</v>
      </c>
      <c r="E688" t="s">
        <v>689</v>
      </c>
      <c r="F688" t="s">
        <v>690</v>
      </c>
      <c r="G688">
        <v>25000</v>
      </c>
      <c r="H688">
        <v>24000</v>
      </c>
    </row>
    <row r="689" spans="2:8" x14ac:dyDescent="0.25">
      <c r="B689" t="str">
        <f t="shared" si="10"/>
        <v>BRBPopulation ages 00-04, female</v>
      </c>
      <c r="C689" t="s">
        <v>435</v>
      </c>
      <c r="D689" t="s">
        <v>436</v>
      </c>
      <c r="E689" t="s">
        <v>362</v>
      </c>
      <c r="F689" t="s">
        <v>691</v>
      </c>
      <c r="G689">
        <v>7400</v>
      </c>
      <c r="H689">
        <v>7400</v>
      </c>
    </row>
    <row r="690" spans="2:8" x14ac:dyDescent="0.25">
      <c r="B690" t="str">
        <f t="shared" si="10"/>
        <v>BRBPopulation ages 00-04, male</v>
      </c>
      <c r="C690" t="s">
        <v>435</v>
      </c>
      <c r="D690" t="s">
        <v>436</v>
      </c>
      <c r="E690" t="s">
        <v>363</v>
      </c>
      <c r="F690" t="s">
        <v>692</v>
      </c>
      <c r="G690">
        <v>7700</v>
      </c>
      <c r="H690">
        <v>7700</v>
      </c>
    </row>
    <row r="691" spans="2:8" x14ac:dyDescent="0.25">
      <c r="B691" t="str">
        <f t="shared" si="10"/>
        <v>BRBPopulation ages 05-09, female</v>
      </c>
      <c r="C691" t="s">
        <v>435</v>
      </c>
      <c r="D691" t="s">
        <v>436</v>
      </c>
      <c r="E691" t="s">
        <v>364</v>
      </c>
      <c r="F691" t="s">
        <v>693</v>
      </c>
      <c r="G691">
        <v>7800</v>
      </c>
      <c r="H691">
        <v>7600</v>
      </c>
    </row>
    <row r="692" spans="2:8" x14ac:dyDescent="0.25">
      <c r="B692" t="str">
        <f t="shared" si="10"/>
        <v>BRBPopulation ages 05-09, male</v>
      </c>
      <c r="C692" t="s">
        <v>435</v>
      </c>
      <c r="D692" t="s">
        <v>436</v>
      </c>
      <c r="E692" t="s">
        <v>365</v>
      </c>
      <c r="F692" t="s">
        <v>694</v>
      </c>
      <c r="G692">
        <v>8100</v>
      </c>
      <c r="H692">
        <v>7900</v>
      </c>
    </row>
    <row r="693" spans="2:8" x14ac:dyDescent="0.25">
      <c r="B693" t="str">
        <f t="shared" si="10"/>
        <v>BRBPopulation ages 10-14, female</v>
      </c>
      <c r="C693" t="s">
        <v>435</v>
      </c>
      <c r="D693" t="s">
        <v>436</v>
      </c>
      <c r="E693" t="s">
        <v>366</v>
      </c>
      <c r="F693" t="s">
        <v>695</v>
      </c>
      <c r="G693">
        <v>8800</v>
      </c>
      <c r="H693">
        <v>8600</v>
      </c>
    </row>
    <row r="694" spans="2:8" x14ac:dyDescent="0.25">
      <c r="B694" t="str">
        <f t="shared" si="10"/>
        <v>BRBPopulation ages 10-14, male</v>
      </c>
      <c r="C694" t="s">
        <v>435</v>
      </c>
      <c r="D694" t="s">
        <v>436</v>
      </c>
      <c r="E694" t="s">
        <v>367</v>
      </c>
      <c r="F694" t="s">
        <v>696</v>
      </c>
      <c r="G694">
        <v>9100</v>
      </c>
      <c r="H694">
        <v>8900</v>
      </c>
    </row>
    <row r="695" spans="2:8" x14ac:dyDescent="0.25">
      <c r="B695" t="str">
        <f t="shared" si="10"/>
        <v>BRBPopulation ages 15-19, female</v>
      </c>
      <c r="C695" t="s">
        <v>435</v>
      </c>
      <c r="D695" t="s">
        <v>436</v>
      </c>
      <c r="E695" t="s">
        <v>368</v>
      </c>
      <c r="F695" t="s">
        <v>697</v>
      </c>
      <c r="G695">
        <v>9300</v>
      </c>
      <c r="H695">
        <v>9200</v>
      </c>
    </row>
    <row r="696" spans="2:8" x14ac:dyDescent="0.25">
      <c r="B696" t="str">
        <f t="shared" si="10"/>
        <v>BRBPopulation ages 15-19, male</v>
      </c>
      <c r="C696" t="s">
        <v>435</v>
      </c>
      <c r="D696" t="s">
        <v>436</v>
      </c>
      <c r="E696" t="s">
        <v>369</v>
      </c>
      <c r="F696" t="s">
        <v>698</v>
      </c>
      <c r="G696">
        <v>9800</v>
      </c>
      <c r="H696">
        <v>9700</v>
      </c>
    </row>
    <row r="697" spans="2:8" x14ac:dyDescent="0.25">
      <c r="B697" t="str">
        <f t="shared" si="10"/>
        <v>BRBPopulation ages 20-24, female</v>
      </c>
      <c r="C697" t="s">
        <v>435</v>
      </c>
      <c r="D697" t="s">
        <v>436</v>
      </c>
      <c r="E697" t="s">
        <v>370</v>
      </c>
      <c r="F697" t="s">
        <v>699</v>
      </c>
      <c r="G697">
        <v>9300</v>
      </c>
      <c r="H697">
        <v>9200</v>
      </c>
    </row>
    <row r="698" spans="2:8" x14ac:dyDescent="0.25">
      <c r="B698" t="str">
        <f t="shared" si="10"/>
        <v>BRBPopulation ages 20-24, male</v>
      </c>
      <c r="C698" t="s">
        <v>435</v>
      </c>
      <c r="D698" t="s">
        <v>436</v>
      </c>
      <c r="E698" t="s">
        <v>371</v>
      </c>
      <c r="F698" t="s">
        <v>700</v>
      </c>
      <c r="G698">
        <v>9500</v>
      </c>
      <c r="H698">
        <v>9500</v>
      </c>
    </row>
    <row r="699" spans="2:8" x14ac:dyDescent="0.25">
      <c r="B699" t="str">
        <f t="shared" si="10"/>
        <v>BRBPopulation ages 25-29, female</v>
      </c>
      <c r="C699" t="s">
        <v>435</v>
      </c>
      <c r="D699" t="s">
        <v>436</v>
      </c>
      <c r="E699" t="s">
        <v>372</v>
      </c>
      <c r="F699" t="s">
        <v>701</v>
      </c>
      <c r="G699">
        <v>9400</v>
      </c>
      <c r="H699">
        <v>9400</v>
      </c>
    </row>
    <row r="700" spans="2:8" x14ac:dyDescent="0.25">
      <c r="B700" t="str">
        <f t="shared" si="10"/>
        <v>BRBPopulation ages 25-29, male</v>
      </c>
      <c r="C700" t="s">
        <v>435</v>
      </c>
      <c r="D700" t="s">
        <v>436</v>
      </c>
      <c r="E700" t="s">
        <v>373</v>
      </c>
      <c r="F700" t="s">
        <v>702</v>
      </c>
      <c r="G700">
        <v>9400</v>
      </c>
      <c r="H700">
        <v>9400</v>
      </c>
    </row>
    <row r="701" spans="2:8" x14ac:dyDescent="0.25">
      <c r="B701" t="str">
        <f t="shared" si="10"/>
        <v>BRBPopulation ages 30-34, female</v>
      </c>
      <c r="C701" t="s">
        <v>435</v>
      </c>
      <c r="D701" t="s">
        <v>436</v>
      </c>
      <c r="E701" t="s">
        <v>374</v>
      </c>
      <c r="F701" t="s">
        <v>703</v>
      </c>
      <c r="G701">
        <v>9200</v>
      </c>
      <c r="H701">
        <v>9100</v>
      </c>
    </row>
    <row r="702" spans="2:8" x14ac:dyDescent="0.25">
      <c r="B702" t="str">
        <f t="shared" si="10"/>
        <v>BRBPopulation ages 30-34, male</v>
      </c>
      <c r="C702" t="s">
        <v>435</v>
      </c>
      <c r="D702" t="s">
        <v>436</v>
      </c>
      <c r="E702" t="s">
        <v>375</v>
      </c>
      <c r="F702" t="s">
        <v>704</v>
      </c>
      <c r="G702">
        <v>9000</v>
      </c>
      <c r="H702">
        <v>9000</v>
      </c>
    </row>
    <row r="703" spans="2:8" x14ac:dyDescent="0.25">
      <c r="B703" t="str">
        <f t="shared" si="10"/>
        <v>BRBPopulation ages 35-39, female</v>
      </c>
      <c r="C703" t="s">
        <v>435</v>
      </c>
      <c r="D703" t="s">
        <v>436</v>
      </c>
      <c r="E703" t="s">
        <v>376</v>
      </c>
      <c r="F703" t="s">
        <v>705</v>
      </c>
      <c r="G703">
        <v>9800</v>
      </c>
      <c r="H703">
        <v>9700</v>
      </c>
    </row>
    <row r="704" spans="2:8" x14ac:dyDescent="0.25">
      <c r="B704" t="str">
        <f t="shared" si="10"/>
        <v>BRBPopulation ages 35-39, male</v>
      </c>
      <c r="C704" t="s">
        <v>435</v>
      </c>
      <c r="D704" t="s">
        <v>436</v>
      </c>
      <c r="E704" t="s">
        <v>377</v>
      </c>
      <c r="F704" t="s">
        <v>706</v>
      </c>
      <c r="G704">
        <v>9300</v>
      </c>
      <c r="H704">
        <v>9300</v>
      </c>
    </row>
    <row r="705" spans="2:8" x14ac:dyDescent="0.25">
      <c r="B705" t="str">
        <f t="shared" si="10"/>
        <v>BRBPopulation ages 40-44, female</v>
      </c>
      <c r="C705" t="s">
        <v>435</v>
      </c>
      <c r="D705" t="s">
        <v>436</v>
      </c>
      <c r="E705" t="s">
        <v>378</v>
      </c>
      <c r="F705" t="s">
        <v>707</v>
      </c>
      <c r="G705">
        <v>9700</v>
      </c>
      <c r="H705">
        <v>9600</v>
      </c>
    </row>
    <row r="706" spans="2:8" x14ac:dyDescent="0.25">
      <c r="B706" t="str">
        <f t="shared" si="10"/>
        <v>BRBPopulation ages 40-44, male</v>
      </c>
      <c r="C706" t="s">
        <v>435</v>
      </c>
      <c r="D706" t="s">
        <v>436</v>
      </c>
      <c r="E706" t="s">
        <v>379</v>
      </c>
      <c r="F706" t="s">
        <v>708</v>
      </c>
      <c r="G706">
        <v>9300</v>
      </c>
      <c r="H706">
        <v>9200</v>
      </c>
    </row>
    <row r="707" spans="2:8" x14ac:dyDescent="0.25">
      <c r="B707" t="str">
        <f t="shared" si="10"/>
        <v>BRBPopulation ages 45-49, female</v>
      </c>
      <c r="C707" t="s">
        <v>435</v>
      </c>
      <c r="D707" t="s">
        <v>436</v>
      </c>
      <c r="E707" t="s">
        <v>380</v>
      </c>
      <c r="F707" t="s">
        <v>709</v>
      </c>
      <c r="G707">
        <v>11000</v>
      </c>
      <c r="H707">
        <v>11000</v>
      </c>
    </row>
    <row r="708" spans="2:8" x14ac:dyDescent="0.25">
      <c r="B708" t="str">
        <f t="shared" si="10"/>
        <v>BRBPopulation ages 45-49, male</v>
      </c>
      <c r="C708" t="s">
        <v>435</v>
      </c>
      <c r="D708" t="s">
        <v>436</v>
      </c>
      <c r="E708" t="s">
        <v>381</v>
      </c>
      <c r="F708" t="s">
        <v>710</v>
      </c>
      <c r="G708">
        <v>9800</v>
      </c>
      <c r="H708">
        <v>9700</v>
      </c>
    </row>
    <row r="709" spans="2:8" x14ac:dyDescent="0.25">
      <c r="B709" t="str">
        <f t="shared" si="10"/>
        <v>BRBPopulation ages 50-54, female</v>
      </c>
      <c r="C709" t="s">
        <v>435</v>
      </c>
      <c r="D709" t="s">
        <v>436</v>
      </c>
      <c r="E709" t="s">
        <v>382</v>
      </c>
      <c r="F709" t="s">
        <v>711</v>
      </c>
      <c r="G709">
        <v>10000</v>
      </c>
      <c r="H709">
        <v>10000</v>
      </c>
    </row>
    <row r="710" spans="2:8" x14ac:dyDescent="0.25">
      <c r="B710" t="str">
        <f t="shared" si="10"/>
        <v>BRBPopulation ages 50-54, male</v>
      </c>
      <c r="C710" t="s">
        <v>435</v>
      </c>
      <c r="D710" t="s">
        <v>436</v>
      </c>
      <c r="E710" t="s">
        <v>383</v>
      </c>
      <c r="F710" t="s">
        <v>712</v>
      </c>
      <c r="G710">
        <v>9400</v>
      </c>
      <c r="H710">
        <v>9400</v>
      </c>
    </row>
    <row r="711" spans="2:8" x14ac:dyDescent="0.25">
      <c r="B711" t="str">
        <f t="shared" ref="B711:B774" si="11">CONCATENATE(D711,E711)</f>
        <v>BRBPopulation ages 55-59, male</v>
      </c>
      <c r="C711" t="s">
        <v>435</v>
      </c>
      <c r="D711" t="s">
        <v>436</v>
      </c>
      <c r="E711" t="s">
        <v>385</v>
      </c>
      <c r="F711" t="s">
        <v>713</v>
      </c>
      <c r="G711">
        <v>9500</v>
      </c>
      <c r="H711">
        <v>9500</v>
      </c>
    </row>
    <row r="712" spans="2:8" x14ac:dyDescent="0.25">
      <c r="B712" t="str">
        <f t="shared" si="11"/>
        <v>BRBPopulation ages 55-59, female</v>
      </c>
      <c r="C712" t="s">
        <v>435</v>
      </c>
      <c r="D712" t="s">
        <v>436</v>
      </c>
      <c r="E712" t="s">
        <v>384</v>
      </c>
      <c r="F712" t="s">
        <v>714</v>
      </c>
      <c r="G712">
        <v>11000</v>
      </c>
      <c r="H712">
        <v>11000</v>
      </c>
    </row>
    <row r="713" spans="2:8" x14ac:dyDescent="0.25">
      <c r="B713" t="str">
        <f t="shared" si="11"/>
        <v>BRBPopulation ages 65-69, male</v>
      </c>
      <c r="C713" t="s">
        <v>435</v>
      </c>
      <c r="D713" t="s">
        <v>436</v>
      </c>
      <c r="E713" t="s">
        <v>389</v>
      </c>
      <c r="F713" t="s">
        <v>715</v>
      </c>
      <c r="G713">
        <v>6700</v>
      </c>
      <c r="H713">
        <v>6900</v>
      </c>
    </row>
    <row r="714" spans="2:8" x14ac:dyDescent="0.25">
      <c r="B714" t="str">
        <f t="shared" si="11"/>
        <v>BRBPopulation ages 65-69, female</v>
      </c>
      <c r="C714" t="s">
        <v>435</v>
      </c>
      <c r="D714" t="s">
        <v>436</v>
      </c>
      <c r="E714" t="s">
        <v>388</v>
      </c>
      <c r="F714" t="s">
        <v>716</v>
      </c>
      <c r="G714">
        <v>7800</v>
      </c>
      <c r="H714">
        <v>8100</v>
      </c>
    </row>
    <row r="715" spans="2:8" x14ac:dyDescent="0.25">
      <c r="B715" t="str">
        <f t="shared" si="11"/>
        <v>BRBPopulation ages 60-64, female</v>
      </c>
      <c r="C715" t="s">
        <v>435</v>
      </c>
      <c r="D715" t="s">
        <v>436</v>
      </c>
      <c r="E715" t="s">
        <v>386</v>
      </c>
      <c r="F715" t="s">
        <v>717</v>
      </c>
      <c r="G715">
        <v>9800</v>
      </c>
      <c r="H715">
        <v>10000</v>
      </c>
    </row>
    <row r="716" spans="2:8" x14ac:dyDescent="0.25">
      <c r="B716" t="str">
        <f t="shared" si="11"/>
        <v>BRBPopulation ages 60-64, male</v>
      </c>
      <c r="C716" t="s">
        <v>435</v>
      </c>
      <c r="D716" t="s">
        <v>436</v>
      </c>
      <c r="E716" t="s">
        <v>387</v>
      </c>
      <c r="F716" t="s">
        <v>718</v>
      </c>
      <c r="G716">
        <v>8400</v>
      </c>
      <c r="H716">
        <v>8500</v>
      </c>
    </row>
    <row r="717" spans="2:8" x14ac:dyDescent="0.25">
      <c r="B717" t="str">
        <f t="shared" si="11"/>
        <v>BRBPopulation ages 70-74, female</v>
      </c>
      <c r="C717" t="s">
        <v>435</v>
      </c>
      <c r="D717" t="s">
        <v>436</v>
      </c>
      <c r="E717" t="s">
        <v>390</v>
      </c>
      <c r="F717" t="s">
        <v>719</v>
      </c>
      <c r="G717">
        <v>6200</v>
      </c>
      <c r="H717">
        <v>6400</v>
      </c>
    </row>
    <row r="718" spans="2:8" x14ac:dyDescent="0.25">
      <c r="B718" t="str">
        <f t="shared" si="11"/>
        <v>BRBPopulation ages 70-74, male</v>
      </c>
      <c r="C718" t="s">
        <v>435</v>
      </c>
      <c r="D718" t="s">
        <v>436</v>
      </c>
      <c r="E718" t="s">
        <v>391</v>
      </c>
      <c r="F718" t="s">
        <v>720</v>
      </c>
      <c r="G718">
        <v>5200</v>
      </c>
      <c r="H718">
        <v>5500</v>
      </c>
    </row>
    <row r="719" spans="2:8" x14ac:dyDescent="0.25">
      <c r="B719" t="str">
        <f t="shared" si="11"/>
        <v>BRBPopulation ages 75-79, female</v>
      </c>
      <c r="C719" t="s">
        <v>435</v>
      </c>
      <c r="D719" t="s">
        <v>436</v>
      </c>
      <c r="E719" t="s">
        <v>392</v>
      </c>
      <c r="F719" t="s">
        <v>721</v>
      </c>
      <c r="G719">
        <v>4500</v>
      </c>
      <c r="H719">
        <v>4700</v>
      </c>
    </row>
    <row r="720" spans="2:8" x14ac:dyDescent="0.25">
      <c r="B720" t="str">
        <f t="shared" si="11"/>
        <v>BRBPopulation ages 75-79, male</v>
      </c>
      <c r="C720" t="s">
        <v>435</v>
      </c>
      <c r="D720" t="s">
        <v>436</v>
      </c>
      <c r="E720" t="s">
        <v>393</v>
      </c>
      <c r="F720" t="s">
        <v>722</v>
      </c>
      <c r="G720">
        <v>3400</v>
      </c>
      <c r="H720">
        <v>3600</v>
      </c>
    </row>
    <row r="721" spans="2:8" x14ac:dyDescent="0.25">
      <c r="B721" t="str">
        <f t="shared" si="11"/>
        <v>BRBPopulation ages 80 and above, female</v>
      </c>
      <c r="C721" t="s">
        <v>435</v>
      </c>
      <c r="D721" t="s">
        <v>436</v>
      </c>
      <c r="E721" t="s">
        <v>394</v>
      </c>
      <c r="F721" t="s">
        <v>723</v>
      </c>
      <c r="G721">
        <v>7500</v>
      </c>
      <c r="H721">
        <v>7500</v>
      </c>
    </row>
    <row r="722" spans="2:8" x14ac:dyDescent="0.25">
      <c r="B722" t="str">
        <f t="shared" si="11"/>
        <v>BRBPopulation ages 80 and above, male</v>
      </c>
      <c r="C722" t="s">
        <v>435</v>
      </c>
      <c r="D722" t="s">
        <v>436</v>
      </c>
      <c r="E722" t="s">
        <v>395</v>
      </c>
      <c r="F722" t="s">
        <v>724</v>
      </c>
      <c r="G722">
        <v>5200</v>
      </c>
      <c r="H722">
        <v>5300</v>
      </c>
    </row>
    <row r="723" spans="2:8" x14ac:dyDescent="0.25">
      <c r="B723" t="str">
        <f t="shared" si="11"/>
        <v>BRBPopulation, male</v>
      </c>
      <c r="C723" t="s">
        <v>435</v>
      </c>
      <c r="D723" t="s">
        <v>436</v>
      </c>
      <c r="E723" t="s">
        <v>397</v>
      </c>
      <c r="F723" t="s">
        <v>725</v>
      </c>
      <c r="G723">
        <v>139000</v>
      </c>
      <c r="H723">
        <v>139000</v>
      </c>
    </row>
    <row r="724" spans="2:8" x14ac:dyDescent="0.25">
      <c r="B724" t="str">
        <f t="shared" si="11"/>
        <v>BRBPopulation, total</v>
      </c>
      <c r="C724" t="s">
        <v>435</v>
      </c>
      <c r="D724" t="s">
        <v>436</v>
      </c>
      <c r="E724" t="s">
        <v>398</v>
      </c>
      <c r="F724" t="s">
        <v>726</v>
      </c>
      <c r="G724">
        <v>287000</v>
      </c>
      <c r="H724">
        <v>287000</v>
      </c>
    </row>
    <row r="725" spans="2:8" x14ac:dyDescent="0.25">
      <c r="B725" t="str">
        <f t="shared" si="11"/>
        <v>BRBPopulation, female</v>
      </c>
      <c r="C725" t="s">
        <v>435</v>
      </c>
      <c r="D725" t="s">
        <v>436</v>
      </c>
      <c r="E725" t="s">
        <v>396</v>
      </c>
      <c r="F725" t="s">
        <v>727</v>
      </c>
      <c r="G725">
        <v>148000</v>
      </c>
      <c r="H725">
        <v>148000</v>
      </c>
    </row>
    <row r="726" spans="2:8" x14ac:dyDescent="0.25">
      <c r="B726" t="str">
        <f t="shared" si="11"/>
        <v>BRBPopulation growth (annual %)</v>
      </c>
      <c r="C726" t="s">
        <v>435</v>
      </c>
      <c r="D726" t="s">
        <v>436</v>
      </c>
      <c r="E726" t="s">
        <v>399</v>
      </c>
      <c r="F726" t="s">
        <v>728</v>
      </c>
      <c r="G726">
        <v>0</v>
      </c>
      <c r="H726">
        <v>0</v>
      </c>
    </row>
    <row r="727" spans="2:8" x14ac:dyDescent="0.25">
      <c r="B727" t="str">
        <f t="shared" si="11"/>
        <v>BLRPopulation ages 0-14, female</v>
      </c>
      <c r="C727" t="s">
        <v>437</v>
      </c>
      <c r="D727" t="s">
        <v>16</v>
      </c>
      <c r="E727" t="s">
        <v>687</v>
      </c>
      <c r="F727" t="s">
        <v>688</v>
      </c>
      <c r="G727">
        <v>787000</v>
      </c>
      <c r="H727">
        <v>796000</v>
      </c>
    </row>
    <row r="728" spans="2:8" x14ac:dyDescent="0.25">
      <c r="B728" t="str">
        <f t="shared" si="11"/>
        <v>BLRPopulation ages 0-14, male</v>
      </c>
      <c r="C728" t="s">
        <v>437</v>
      </c>
      <c r="D728" t="s">
        <v>16</v>
      </c>
      <c r="E728" t="s">
        <v>689</v>
      </c>
      <c r="F728" t="s">
        <v>690</v>
      </c>
      <c r="G728">
        <v>825000</v>
      </c>
      <c r="H728">
        <v>833000</v>
      </c>
    </row>
    <row r="729" spans="2:8" x14ac:dyDescent="0.25">
      <c r="B729" t="str">
        <f t="shared" si="11"/>
        <v>BLRPopulation ages 00-04, female</v>
      </c>
      <c r="C729" t="s">
        <v>437</v>
      </c>
      <c r="D729" t="s">
        <v>16</v>
      </c>
      <c r="E729" t="s">
        <v>362</v>
      </c>
      <c r="F729" t="s">
        <v>691</v>
      </c>
      <c r="G729">
        <v>275000</v>
      </c>
      <c r="H729">
        <v>271000</v>
      </c>
    </row>
    <row r="730" spans="2:8" x14ac:dyDescent="0.25">
      <c r="B730" t="str">
        <f t="shared" si="11"/>
        <v>BLRPopulation ages 00-04, male</v>
      </c>
      <c r="C730" t="s">
        <v>437</v>
      </c>
      <c r="D730" t="s">
        <v>16</v>
      </c>
      <c r="E730" t="s">
        <v>363</v>
      </c>
      <c r="F730" t="s">
        <v>692</v>
      </c>
      <c r="G730">
        <v>283000</v>
      </c>
      <c r="H730">
        <v>277000</v>
      </c>
    </row>
    <row r="731" spans="2:8" x14ac:dyDescent="0.25">
      <c r="B731" t="str">
        <f t="shared" si="11"/>
        <v>BLRPopulation ages 05-09, female</v>
      </c>
      <c r="C731" t="s">
        <v>437</v>
      </c>
      <c r="D731" t="s">
        <v>16</v>
      </c>
      <c r="E731" t="s">
        <v>364</v>
      </c>
      <c r="F731" t="s">
        <v>693</v>
      </c>
      <c r="G731">
        <v>281000</v>
      </c>
      <c r="H731">
        <v>289000</v>
      </c>
    </row>
    <row r="732" spans="2:8" x14ac:dyDescent="0.25">
      <c r="B732" t="str">
        <f t="shared" si="11"/>
        <v>BLRPopulation ages 05-09, male</v>
      </c>
      <c r="C732" t="s">
        <v>437</v>
      </c>
      <c r="D732" t="s">
        <v>16</v>
      </c>
      <c r="E732" t="s">
        <v>365</v>
      </c>
      <c r="F732" t="s">
        <v>694</v>
      </c>
      <c r="G732">
        <v>298000</v>
      </c>
      <c r="H732">
        <v>307000</v>
      </c>
    </row>
    <row r="733" spans="2:8" x14ac:dyDescent="0.25">
      <c r="B733" t="str">
        <f t="shared" si="11"/>
        <v>BLRPopulation ages 10-14, female</v>
      </c>
      <c r="C733" t="s">
        <v>437</v>
      </c>
      <c r="D733" t="s">
        <v>16</v>
      </c>
      <c r="E733" t="s">
        <v>366</v>
      </c>
      <c r="F733" t="s">
        <v>695</v>
      </c>
      <c r="G733">
        <v>232000</v>
      </c>
      <c r="H733">
        <v>236000</v>
      </c>
    </row>
    <row r="734" spans="2:8" x14ac:dyDescent="0.25">
      <c r="B734" t="str">
        <f t="shared" si="11"/>
        <v>BLRPopulation ages 10-14, male</v>
      </c>
      <c r="C734" t="s">
        <v>437</v>
      </c>
      <c r="D734" t="s">
        <v>16</v>
      </c>
      <c r="E734" t="s">
        <v>367</v>
      </c>
      <c r="F734" t="s">
        <v>696</v>
      </c>
      <c r="G734">
        <v>245000</v>
      </c>
      <c r="H734">
        <v>249000</v>
      </c>
    </row>
    <row r="735" spans="2:8" x14ac:dyDescent="0.25">
      <c r="B735" t="str">
        <f t="shared" si="11"/>
        <v>BLRPopulation ages 15-19, female</v>
      </c>
      <c r="C735" t="s">
        <v>437</v>
      </c>
      <c r="D735" t="s">
        <v>16</v>
      </c>
      <c r="E735" t="s">
        <v>368</v>
      </c>
      <c r="F735" t="s">
        <v>697</v>
      </c>
      <c r="G735">
        <v>211000</v>
      </c>
      <c r="H735">
        <v>216000</v>
      </c>
    </row>
    <row r="736" spans="2:8" x14ac:dyDescent="0.25">
      <c r="B736" t="str">
        <f t="shared" si="11"/>
        <v>BLRPopulation ages 15-19, male</v>
      </c>
      <c r="C736" t="s">
        <v>437</v>
      </c>
      <c r="D736" t="s">
        <v>16</v>
      </c>
      <c r="E736" t="s">
        <v>369</v>
      </c>
      <c r="F736" t="s">
        <v>698</v>
      </c>
      <c r="G736">
        <v>224000</v>
      </c>
      <c r="H736">
        <v>228000</v>
      </c>
    </row>
    <row r="737" spans="2:8" x14ac:dyDescent="0.25">
      <c r="B737" t="str">
        <f t="shared" si="11"/>
        <v>BLRPopulation ages 20-24, female</v>
      </c>
      <c r="C737" t="s">
        <v>437</v>
      </c>
      <c r="D737" t="s">
        <v>16</v>
      </c>
      <c r="E737" t="s">
        <v>370</v>
      </c>
      <c r="F737" t="s">
        <v>699</v>
      </c>
      <c r="G737">
        <v>224000</v>
      </c>
      <c r="H737">
        <v>207000</v>
      </c>
    </row>
    <row r="738" spans="2:8" x14ac:dyDescent="0.25">
      <c r="B738" t="str">
        <f t="shared" si="11"/>
        <v>BLRPopulation ages 20-24, male</v>
      </c>
      <c r="C738" t="s">
        <v>437</v>
      </c>
      <c r="D738" t="s">
        <v>16</v>
      </c>
      <c r="E738" t="s">
        <v>371</v>
      </c>
      <c r="F738" t="s">
        <v>700</v>
      </c>
      <c r="G738">
        <v>236000</v>
      </c>
      <c r="H738">
        <v>219000</v>
      </c>
    </row>
    <row r="739" spans="2:8" x14ac:dyDescent="0.25">
      <c r="B739" t="str">
        <f t="shared" si="11"/>
        <v>BLRPopulation ages 25-29, female</v>
      </c>
      <c r="C739" t="s">
        <v>437</v>
      </c>
      <c r="D739" t="s">
        <v>16</v>
      </c>
      <c r="E739" t="s">
        <v>372</v>
      </c>
      <c r="F739" t="s">
        <v>701</v>
      </c>
      <c r="G739">
        <v>336000</v>
      </c>
      <c r="H739">
        <v>319000</v>
      </c>
    </row>
    <row r="740" spans="2:8" x14ac:dyDescent="0.25">
      <c r="B740" t="str">
        <f t="shared" si="11"/>
        <v>BLRPopulation ages 25-29, male</v>
      </c>
      <c r="C740" t="s">
        <v>437</v>
      </c>
      <c r="D740" t="s">
        <v>16</v>
      </c>
      <c r="E740" t="s">
        <v>373</v>
      </c>
      <c r="F740" t="s">
        <v>702</v>
      </c>
      <c r="G740">
        <v>353000</v>
      </c>
      <c r="H740">
        <v>334000</v>
      </c>
    </row>
    <row r="741" spans="2:8" x14ac:dyDescent="0.25">
      <c r="B741" t="str">
        <f t="shared" si="11"/>
        <v>BLRPopulation ages 30-34, female</v>
      </c>
      <c r="C741" t="s">
        <v>437</v>
      </c>
      <c r="D741" t="s">
        <v>16</v>
      </c>
      <c r="E741" t="s">
        <v>374</v>
      </c>
      <c r="F741" t="s">
        <v>703</v>
      </c>
      <c r="G741">
        <v>395000</v>
      </c>
      <c r="H741">
        <v>397000</v>
      </c>
    </row>
    <row r="742" spans="2:8" x14ac:dyDescent="0.25">
      <c r="B742" t="str">
        <f t="shared" si="11"/>
        <v>BLRPopulation ages 30-34, male</v>
      </c>
      <c r="C742" t="s">
        <v>437</v>
      </c>
      <c r="D742" t="s">
        <v>16</v>
      </c>
      <c r="E742" t="s">
        <v>375</v>
      </c>
      <c r="F742" t="s">
        <v>704</v>
      </c>
      <c r="G742">
        <v>413000</v>
      </c>
      <c r="H742">
        <v>417000</v>
      </c>
    </row>
    <row r="743" spans="2:8" x14ac:dyDescent="0.25">
      <c r="B743" t="str">
        <f t="shared" si="11"/>
        <v>BLRPopulation ages 35-39, female</v>
      </c>
      <c r="C743" t="s">
        <v>437</v>
      </c>
      <c r="D743" t="s">
        <v>16</v>
      </c>
      <c r="E743" t="s">
        <v>376</v>
      </c>
      <c r="F743" t="s">
        <v>705</v>
      </c>
      <c r="G743">
        <v>351000</v>
      </c>
      <c r="H743">
        <v>356000</v>
      </c>
    </row>
    <row r="744" spans="2:8" x14ac:dyDescent="0.25">
      <c r="B744" t="str">
        <f t="shared" si="11"/>
        <v>BLRPopulation ages 35-39, male</v>
      </c>
      <c r="C744" t="s">
        <v>437</v>
      </c>
      <c r="D744" t="s">
        <v>16</v>
      </c>
      <c r="E744" t="s">
        <v>377</v>
      </c>
      <c r="F744" t="s">
        <v>706</v>
      </c>
      <c r="G744">
        <v>354000</v>
      </c>
      <c r="H744">
        <v>361000</v>
      </c>
    </row>
    <row r="745" spans="2:8" x14ac:dyDescent="0.25">
      <c r="B745" t="str">
        <f t="shared" si="11"/>
        <v>BLRPopulation ages 40-44, female</v>
      </c>
      <c r="C745" t="s">
        <v>437</v>
      </c>
      <c r="D745" t="s">
        <v>16</v>
      </c>
      <c r="E745" t="s">
        <v>378</v>
      </c>
      <c r="F745" t="s">
        <v>707</v>
      </c>
      <c r="G745">
        <v>333000</v>
      </c>
      <c r="H745">
        <v>332000</v>
      </c>
    </row>
    <row r="746" spans="2:8" x14ac:dyDescent="0.25">
      <c r="B746" t="str">
        <f t="shared" si="11"/>
        <v>BLRPopulation ages 40-44, male</v>
      </c>
      <c r="C746" t="s">
        <v>437</v>
      </c>
      <c r="D746" t="s">
        <v>16</v>
      </c>
      <c r="E746" t="s">
        <v>379</v>
      </c>
      <c r="F746" t="s">
        <v>708</v>
      </c>
      <c r="G746">
        <v>320000</v>
      </c>
      <c r="H746">
        <v>321000</v>
      </c>
    </row>
    <row r="747" spans="2:8" x14ac:dyDescent="0.25">
      <c r="B747" t="str">
        <f t="shared" si="11"/>
        <v>BLRPopulation ages 45-49, female</v>
      </c>
      <c r="C747" t="s">
        <v>437</v>
      </c>
      <c r="D747" t="s">
        <v>16</v>
      </c>
      <c r="E747" t="s">
        <v>380</v>
      </c>
      <c r="F747" t="s">
        <v>709</v>
      </c>
      <c r="G747">
        <v>329000</v>
      </c>
      <c r="H747">
        <v>331000</v>
      </c>
    </row>
    <row r="748" spans="2:8" x14ac:dyDescent="0.25">
      <c r="B748" t="str">
        <f t="shared" si="11"/>
        <v>BLRPopulation ages 45-49, male</v>
      </c>
      <c r="C748" t="s">
        <v>437</v>
      </c>
      <c r="D748" t="s">
        <v>16</v>
      </c>
      <c r="E748" t="s">
        <v>381</v>
      </c>
      <c r="F748" t="s">
        <v>710</v>
      </c>
      <c r="G748">
        <v>299000</v>
      </c>
      <c r="H748">
        <v>302000</v>
      </c>
    </row>
    <row r="749" spans="2:8" x14ac:dyDescent="0.25">
      <c r="B749" t="str">
        <f t="shared" si="11"/>
        <v>BLRPopulation ages 50-54, female</v>
      </c>
      <c r="C749" t="s">
        <v>437</v>
      </c>
      <c r="D749" t="s">
        <v>16</v>
      </c>
      <c r="E749" t="s">
        <v>382</v>
      </c>
      <c r="F749" t="s">
        <v>711</v>
      </c>
      <c r="G749">
        <v>333000</v>
      </c>
      <c r="H749">
        <v>317000</v>
      </c>
    </row>
    <row r="750" spans="2:8" x14ac:dyDescent="0.25">
      <c r="B750" t="str">
        <f t="shared" si="11"/>
        <v>BLRPopulation ages 50-54, male</v>
      </c>
      <c r="C750" t="s">
        <v>437</v>
      </c>
      <c r="D750" t="s">
        <v>16</v>
      </c>
      <c r="E750" t="s">
        <v>383</v>
      </c>
      <c r="F750" t="s">
        <v>712</v>
      </c>
      <c r="G750">
        <v>290000</v>
      </c>
      <c r="H750">
        <v>275000</v>
      </c>
    </row>
    <row r="751" spans="2:8" x14ac:dyDescent="0.25">
      <c r="B751" t="str">
        <f t="shared" si="11"/>
        <v>BLRPopulation ages 55-59, male</v>
      </c>
      <c r="C751" t="s">
        <v>437</v>
      </c>
      <c r="D751" t="s">
        <v>16</v>
      </c>
      <c r="E751" t="s">
        <v>385</v>
      </c>
      <c r="F751" t="s">
        <v>713</v>
      </c>
      <c r="G751">
        <v>343000</v>
      </c>
      <c r="H751">
        <v>343000</v>
      </c>
    </row>
    <row r="752" spans="2:8" x14ac:dyDescent="0.25">
      <c r="B752" t="str">
        <f t="shared" si="11"/>
        <v>BLRPopulation ages 55-59, female</v>
      </c>
      <c r="C752" t="s">
        <v>437</v>
      </c>
      <c r="D752" t="s">
        <v>16</v>
      </c>
      <c r="E752" t="s">
        <v>384</v>
      </c>
      <c r="F752" t="s">
        <v>714</v>
      </c>
      <c r="G752">
        <v>411000</v>
      </c>
      <c r="H752">
        <v>410000</v>
      </c>
    </row>
    <row r="753" spans="2:8" x14ac:dyDescent="0.25">
      <c r="B753" t="str">
        <f t="shared" si="11"/>
        <v>BLRPopulation ages 65-69, male</v>
      </c>
      <c r="C753" t="s">
        <v>437</v>
      </c>
      <c r="D753" t="s">
        <v>16</v>
      </c>
      <c r="E753" t="s">
        <v>389</v>
      </c>
      <c r="F753" t="s">
        <v>715</v>
      </c>
      <c r="G753">
        <v>208000</v>
      </c>
      <c r="H753">
        <v>226000</v>
      </c>
    </row>
    <row r="754" spans="2:8" x14ac:dyDescent="0.25">
      <c r="B754" t="str">
        <f t="shared" si="11"/>
        <v>BLRPopulation ages 65-69, female</v>
      </c>
      <c r="C754" t="s">
        <v>437</v>
      </c>
      <c r="D754" t="s">
        <v>16</v>
      </c>
      <c r="E754" t="s">
        <v>388</v>
      </c>
      <c r="F754" t="s">
        <v>716</v>
      </c>
      <c r="G754">
        <v>323000</v>
      </c>
      <c r="H754">
        <v>353000</v>
      </c>
    </row>
    <row r="755" spans="2:8" x14ac:dyDescent="0.25">
      <c r="B755" t="str">
        <f t="shared" si="11"/>
        <v>BLRPopulation ages 60-64, female</v>
      </c>
      <c r="C755" t="s">
        <v>437</v>
      </c>
      <c r="D755" t="s">
        <v>16</v>
      </c>
      <c r="E755" t="s">
        <v>386</v>
      </c>
      <c r="F755" t="s">
        <v>717</v>
      </c>
      <c r="G755">
        <v>380000</v>
      </c>
      <c r="H755">
        <v>380000</v>
      </c>
    </row>
    <row r="756" spans="2:8" x14ac:dyDescent="0.25">
      <c r="B756" t="str">
        <f t="shared" si="11"/>
        <v>BLRPopulation ages 60-64, male</v>
      </c>
      <c r="C756" t="s">
        <v>437</v>
      </c>
      <c r="D756" t="s">
        <v>16</v>
      </c>
      <c r="E756" t="s">
        <v>387</v>
      </c>
      <c r="F756" t="s">
        <v>718</v>
      </c>
      <c r="G756">
        <v>281000</v>
      </c>
      <c r="H756">
        <v>285000</v>
      </c>
    </row>
    <row r="757" spans="2:8" x14ac:dyDescent="0.25">
      <c r="B757" t="str">
        <f t="shared" si="11"/>
        <v>BLRPopulation ages 70-74, female</v>
      </c>
      <c r="C757" t="s">
        <v>437</v>
      </c>
      <c r="D757" t="s">
        <v>16</v>
      </c>
      <c r="E757" t="s">
        <v>390</v>
      </c>
      <c r="F757" t="s">
        <v>719</v>
      </c>
      <c r="G757">
        <v>175000</v>
      </c>
      <c r="H757">
        <v>170000</v>
      </c>
    </row>
    <row r="758" spans="2:8" x14ac:dyDescent="0.25">
      <c r="B758" t="str">
        <f t="shared" si="11"/>
        <v>BLRPopulation ages 70-74, male</v>
      </c>
      <c r="C758" t="s">
        <v>437</v>
      </c>
      <c r="D758" t="s">
        <v>16</v>
      </c>
      <c r="E758" t="s">
        <v>391</v>
      </c>
      <c r="F758" t="s">
        <v>720</v>
      </c>
      <c r="G758">
        <v>100000</v>
      </c>
      <c r="H758">
        <v>99000</v>
      </c>
    </row>
    <row r="759" spans="2:8" x14ac:dyDescent="0.25">
      <c r="B759" t="str">
        <f t="shared" si="11"/>
        <v>BLRPopulation ages 75-79, female</v>
      </c>
      <c r="C759" t="s">
        <v>437</v>
      </c>
      <c r="D759" t="s">
        <v>16</v>
      </c>
      <c r="E759" t="s">
        <v>392</v>
      </c>
      <c r="F759" t="s">
        <v>721</v>
      </c>
      <c r="G759">
        <v>184000</v>
      </c>
      <c r="H759">
        <v>181000</v>
      </c>
    </row>
    <row r="760" spans="2:8" x14ac:dyDescent="0.25">
      <c r="B760" t="str">
        <f t="shared" si="11"/>
        <v>BLRPopulation ages 75-79, male</v>
      </c>
      <c r="C760" t="s">
        <v>437</v>
      </c>
      <c r="D760" t="s">
        <v>16</v>
      </c>
      <c r="E760" t="s">
        <v>393</v>
      </c>
      <c r="F760" t="s">
        <v>722</v>
      </c>
      <c r="G760">
        <v>76000</v>
      </c>
      <c r="H760">
        <v>75000</v>
      </c>
    </row>
    <row r="761" spans="2:8" x14ac:dyDescent="0.25">
      <c r="B761" t="str">
        <f t="shared" si="11"/>
        <v>BLRPopulation ages 80 and above, female</v>
      </c>
      <c r="C761" t="s">
        <v>437</v>
      </c>
      <c r="D761" t="s">
        <v>16</v>
      </c>
      <c r="E761" t="s">
        <v>394</v>
      </c>
      <c r="F761" t="s">
        <v>723</v>
      </c>
      <c r="G761">
        <v>288000</v>
      </c>
      <c r="H761">
        <v>286000</v>
      </c>
    </row>
    <row r="762" spans="2:8" x14ac:dyDescent="0.25">
      <c r="B762" t="str">
        <f t="shared" si="11"/>
        <v>BLRPopulation ages 80 and above, male</v>
      </c>
      <c r="C762" t="s">
        <v>437</v>
      </c>
      <c r="D762" t="s">
        <v>16</v>
      </c>
      <c r="E762" t="s">
        <v>395</v>
      </c>
      <c r="F762" t="s">
        <v>724</v>
      </c>
      <c r="G762">
        <v>86000</v>
      </c>
      <c r="H762">
        <v>82000</v>
      </c>
    </row>
    <row r="763" spans="2:8" x14ac:dyDescent="0.25">
      <c r="B763" t="str">
        <f t="shared" si="11"/>
        <v>BLRPopulation, male</v>
      </c>
      <c r="C763" t="s">
        <v>437</v>
      </c>
      <c r="D763" t="s">
        <v>16</v>
      </c>
      <c r="E763" t="s">
        <v>397</v>
      </c>
      <c r="F763" t="s">
        <v>725</v>
      </c>
      <c r="G763">
        <v>4407000</v>
      </c>
      <c r="H763">
        <v>4399000</v>
      </c>
    </row>
    <row r="764" spans="2:8" x14ac:dyDescent="0.25">
      <c r="B764" t="str">
        <f t="shared" si="11"/>
        <v>BLRPopulation, total</v>
      </c>
      <c r="C764" t="s">
        <v>437</v>
      </c>
      <c r="D764" t="s">
        <v>16</v>
      </c>
      <c r="E764" t="s">
        <v>398</v>
      </c>
      <c r="F764" t="s">
        <v>726</v>
      </c>
      <c r="G764">
        <v>9467000</v>
      </c>
      <c r="H764">
        <v>9448000</v>
      </c>
    </row>
    <row r="765" spans="2:8" x14ac:dyDescent="0.25">
      <c r="B765" t="str">
        <f t="shared" si="11"/>
        <v>BLRPopulation, female</v>
      </c>
      <c r="C765" t="s">
        <v>437</v>
      </c>
      <c r="D765" t="s">
        <v>16</v>
      </c>
      <c r="E765" t="s">
        <v>396</v>
      </c>
      <c r="F765" t="s">
        <v>727</v>
      </c>
      <c r="G765">
        <v>5060000</v>
      </c>
      <c r="H765">
        <v>5049000</v>
      </c>
    </row>
    <row r="766" spans="2:8" x14ac:dyDescent="0.25">
      <c r="B766" t="str">
        <f t="shared" si="11"/>
        <v>BLRPopulation growth (annual %)</v>
      </c>
      <c r="C766" t="s">
        <v>437</v>
      </c>
      <c r="D766" t="s">
        <v>16</v>
      </c>
      <c r="E766" t="s">
        <v>399</v>
      </c>
      <c r="F766" t="s">
        <v>728</v>
      </c>
      <c r="G766">
        <v>0</v>
      </c>
      <c r="H766">
        <v>0</v>
      </c>
    </row>
    <row r="767" spans="2:8" x14ac:dyDescent="0.25">
      <c r="B767" t="str">
        <f t="shared" si="11"/>
        <v>BELPopulation ages 0-14, female</v>
      </c>
      <c r="C767" t="s">
        <v>438</v>
      </c>
      <c r="D767" t="s">
        <v>8</v>
      </c>
      <c r="E767" t="s">
        <v>687</v>
      </c>
      <c r="F767" t="s">
        <v>688</v>
      </c>
      <c r="G767">
        <v>951000</v>
      </c>
      <c r="H767">
        <v>952000</v>
      </c>
    </row>
    <row r="768" spans="2:8" x14ac:dyDescent="0.25">
      <c r="B768" t="str">
        <f t="shared" si="11"/>
        <v>BELPopulation ages 0-14, male</v>
      </c>
      <c r="C768" t="s">
        <v>438</v>
      </c>
      <c r="D768" t="s">
        <v>8</v>
      </c>
      <c r="E768" t="s">
        <v>689</v>
      </c>
      <c r="F768" t="s">
        <v>690</v>
      </c>
      <c r="G768">
        <v>1008000</v>
      </c>
      <c r="H768">
        <v>1013000</v>
      </c>
    </row>
    <row r="769" spans="2:8" x14ac:dyDescent="0.25">
      <c r="B769" t="str">
        <f t="shared" si="11"/>
        <v>BELPopulation ages 00-04, female</v>
      </c>
      <c r="C769" t="s">
        <v>438</v>
      </c>
      <c r="D769" t="s">
        <v>8</v>
      </c>
      <c r="E769" t="s">
        <v>362</v>
      </c>
      <c r="F769" t="s">
        <v>691</v>
      </c>
      <c r="G769">
        <v>307000</v>
      </c>
      <c r="H769">
        <v>306000</v>
      </c>
    </row>
    <row r="770" spans="2:8" x14ac:dyDescent="0.25">
      <c r="B770" t="str">
        <f t="shared" si="11"/>
        <v>BELPopulation ages 00-04, male</v>
      </c>
      <c r="C770" t="s">
        <v>438</v>
      </c>
      <c r="D770" t="s">
        <v>8</v>
      </c>
      <c r="E770" t="s">
        <v>363</v>
      </c>
      <c r="F770" t="s">
        <v>692</v>
      </c>
      <c r="G770">
        <v>326000</v>
      </c>
      <c r="H770">
        <v>325000</v>
      </c>
    </row>
    <row r="771" spans="2:8" x14ac:dyDescent="0.25">
      <c r="B771" t="str">
        <f t="shared" si="11"/>
        <v>BELPopulation ages 05-09, female</v>
      </c>
      <c r="C771" t="s">
        <v>438</v>
      </c>
      <c r="D771" t="s">
        <v>8</v>
      </c>
      <c r="E771" t="s">
        <v>364</v>
      </c>
      <c r="F771" t="s">
        <v>693</v>
      </c>
      <c r="G771">
        <v>323000</v>
      </c>
      <c r="H771">
        <v>322000</v>
      </c>
    </row>
    <row r="772" spans="2:8" x14ac:dyDescent="0.25">
      <c r="B772" t="str">
        <f t="shared" si="11"/>
        <v>BELPopulation ages 05-09, male</v>
      </c>
      <c r="C772" t="s">
        <v>438</v>
      </c>
      <c r="D772" t="s">
        <v>8</v>
      </c>
      <c r="E772" t="s">
        <v>365</v>
      </c>
      <c r="F772" t="s">
        <v>694</v>
      </c>
      <c r="G772">
        <v>343000</v>
      </c>
      <c r="H772">
        <v>344000</v>
      </c>
    </row>
    <row r="773" spans="2:8" x14ac:dyDescent="0.25">
      <c r="B773" t="str">
        <f t="shared" si="11"/>
        <v>BELPopulation ages 10-14, female</v>
      </c>
      <c r="C773" t="s">
        <v>438</v>
      </c>
      <c r="D773" t="s">
        <v>8</v>
      </c>
      <c r="E773" t="s">
        <v>366</v>
      </c>
      <c r="F773" t="s">
        <v>695</v>
      </c>
      <c r="G773">
        <v>321000</v>
      </c>
      <c r="H773">
        <v>324000</v>
      </c>
    </row>
    <row r="774" spans="2:8" x14ac:dyDescent="0.25">
      <c r="B774" t="str">
        <f t="shared" si="11"/>
        <v>BELPopulation ages 10-14, male</v>
      </c>
      <c r="C774" t="s">
        <v>438</v>
      </c>
      <c r="D774" t="s">
        <v>8</v>
      </c>
      <c r="E774" t="s">
        <v>367</v>
      </c>
      <c r="F774" t="s">
        <v>696</v>
      </c>
      <c r="G774">
        <v>339000</v>
      </c>
      <c r="H774">
        <v>344000</v>
      </c>
    </row>
    <row r="775" spans="2:8" x14ac:dyDescent="0.25">
      <c r="B775" t="str">
        <f t="shared" ref="B775:B838" si="12">CONCATENATE(D775,E775)</f>
        <v>BELPopulation ages 15-19, female</v>
      </c>
      <c r="C775" t="s">
        <v>438</v>
      </c>
      <c r="D775" t="s">
        <v>8</v>
      </c>
      <c r="E775" t="s">
        <v>368</v>
      </c>
      <c r="F775" t="s">
        <v>697</v>
      </c>
      <c r="G775">
        <v>308000</v>
      </c>
      <c r="H775">
        <v>310000</v>
      </c>
    </row>
    <row r="776" spans="2:8" x14ac:dyDescent="0.25">
      <c r="B776" t="str">
        <f t="shared" si="12"/>
        <v>BELPopulation ages 15-19, male</v>
      </c>
      <c r="C776" t="s">
        <v>438</v>
      </c>
      <c r="D776" t="s">
        <v>8</v>
      </c>
      <c r="E776" t="s">
        <v>369</v>
      </c>
      <c r="F776" t="s">
        <v>698</v>
      </c>
      <c r="G776">
        <v>325000</v>
      </c>
      <c r="H776">
        <v>328000</v>
      </c>
    </row>
    <row r="777" spans="2:8" x14ac:dyDescent="0.25">
      <c r="B777" t="str">
        <f t="shared" si="12"/>
        <v>BELPopulation ages 20-24, female</v>
      </c>
      <c r="C777" t="s">
        <v>438</v>
      </c>
      <c r="D777" t="s">
        <v>8</v>
      </c>
      <c r="E777" t="s">
        <v>370</v>
      </c>
      <c r="F777" t="s">
        <v>699</v>
      </c>
      <c r="G777">
        <v>322000</v>
      </c>
      <c r="H777">
        <v>319000</v>
      </c>
    </row>
    <row r="778" spans="2:8" x14ac:dyDescent="0.25">
      <c r="B778" t="str">
        <f t="shared" si="12"/>
        <v>BELPopulation ages 20-24, male</v>
      </c>
      <c r="C778" t="s">
        <v>438</v>
      </c>
      <c r="D778" t="s">
        <v>8</v>
      </c>
      <c r="E778" t="s">
        <v>371</v>
      </c>
      <c r="F778" t="s">
        <v>700</v>
      </c>
      <c r="G778">
        <v>339000</v>
      </c>
      <c r="H778">
        <v>336000</v>
      </c>
    </row>
    <row r="779" spans="2:8" x14ac:dyDescent="0.25">
      <c r="B779" t="str">
        <f t="shared" si="12"/>
        <v>BELPopulation ages 25-29, female</v>
      </c>
      <c r="C779" t="s">
        <v>438</v>
      </c>
      <c r="D779" t="s">
        <v>8</v>
      </c>
      <c r="E779" t="s">
        <v>372</v>
      </c>
      <c r="F779" t="s">
        <v>701</v>
      </c>
      <c r="G779">
        <v>357000</v>
      </c>
      <c r="H779">
        <v>355000</v>
      </c>
    </row>
    <row r="780" spans="2:8" x14ac:dyDescent="0.25">
      <c r="B780" t="str">
        <f t="shared" si="12"/>
        <v>BELPopulation ages 25-29, male</v>
      </c>
      <c r="C780" t="s">
        <v>438</v>
      </c>
      <c r="D780" t="s">
        <v>8</v>
      </c>
      <c r="E780" t="s">
        <v>373</v>
      </c>
      <c r="F780" t="s">
        <v>702</v>
      </c>
      <c r="G780">
        <v>370000</v>
      </c>
      <c r="H780">
        <v>370000</v>
      </c>
    </row>
    <row r="781" spans="2:8" x14ac:dyDescent="0.25">
      <c r="B781" t="str">
        <f t="shared" si="12"/>
        <v>BELPopulation ages 30-34, female</v>
      </c>
      <c r="C781" t="s">
        <v>438</v>
      </c>
      <c r="D781" t="s">
        <v>8</v>
      </c>
      <c r="E781" t="s">
        <v>374</v>
      </c>
      <c r="F781" t="s">
        <v>703</v>
      </c>
      <c r="G781">
        <v>370000</v>
      </c>
      <c r="H781">
        <v>369000</v>
      </c>
    </row>
    <row r="782" spans="2:8" x14ac:dyDescent="0.25">
      <c r="B782" t="str">
        <f t="shared" si="12"/>
        <v>BELPopulation ages 30-34, male</v>
      </c>
      <c r="C782" t="s">
        <v>438</v>
      </c>
      <c r="D782" t="s">
        <v>8</v>
      </c>
      <c r="E782" t="s">
        <v>375</v>
      </c>
      <c r="F782" t="s">
        <v>704</v>
      </c>
      <c r="G782">
        <v>371000</v>
      </c>
      <c r="H782">
        <v>374000</v>
      </c>
    </row>
    <row r="783" spans="2:8" x14ac:dyDescent="0.25">
      <c r="B783" t="str">
        <f t="shared" si="12"/>
        <v>BELPopulation ages 35-39, female</v>
      </c>
      <c r="C783" t="s">
        <v>438</v>
      </c>
      <c r="D783" t="s">
        <v>8</v>
      </c>
      <c r="E783" t="s">
        <v>376</v>
      </c>
      <c r="F783" t="s">
        <v>705</v>
      </c>
      <c r="G783">
        <v>375000</v>
      </c>
      <c r="H783">
        <v>377000</v>
      </c>
    </row>
    <row r="784" spans="2:8" x14ac:dyDescent="0.25">
      <c r="B784" t="str">
        <f t="shared" si="12"/>
        <v>BELPopulation ages 35-39, male</v>
      </c>
      <c r="C784" t="s">
        <v>438</v>
      </c>
      <c r="D784" t="s">
        <v>8</v>
      </c>
      <c r="E784" t="s">
        <v>377</v>
      </c>
      <c r="F784" t="s">
        <v>706</v>
      </c>
      <c r="G784">
        <v>375000</v>
      </c>
      <c r="H784">
        <v>377000</v>
      </c>
    </row>
    <row r="785" spans="2:8" x14ac:dyDescent="0.25">
      <c r="B785" t="str">
        <f t="shared" si="12"/>
        <v>BELPopulation ages 40-44, female</v>
      </c>
      <c r="C785" t="s">
        <v>438</v>
      </c>
      <c r="D785" t="s">
        <v>8</v>
      </c>
      <c r="E785" t="s">
        <v>378</v>
      </c>
      <c r="F785" t="s">
        <v>707</v>
      </c>
      <c r="G785">
        <v>367000</v>
      </c>
      <c r="H785">
        <v>368000</v>
      </c>
    </row>
    <row r="786" spans="2:8" x14ac:dyDescent="0.25">
      <c r="B786" t="str">
        <f t="shared" si="12"/>
        <v>BELPopulation ages 40-44, male</v>
      </c>
      <c r="C786" t="s">
        <v>438</v>
      </c>
      <c r="D786" t="s">
        <v>8</v>
      </c>
      <c r="E786" t="s">
        <v>379</v>
      </c>
      <c r="F786" t="s">
        <v>708</v>
      </c>
      <c r="G786">
        <v>380000</v>
      </c>
      <c r="H786">
        <v>380000</v>
      </c>
    </row>
    <row r="787" spans="2:8" x14ac:dyDescent="0.25">
      <c r="B787" t="str">
        <f t="shared" si="12"/>
        <v>BELPopulation ages 45-49, female</v>
      </c>
      <c r="C787" t="s">
        <v>438</v>
      </c>
      <c r="D787" t="s">
        <v>8</v>
      </c>
      <c r="E787" t="s">
        <v>380</v>
      </c>
      <c r="F787" t="s">
        <v>709</v>
      </c>
      <c r="G787">
        <v>375000</v>
      </c>
      <c r="H787">
        <v>373000</v>
      </c>
    </row>
    <row r="788" spans="2:8" x14ac:dyDescent="0.25">
      <c r="B788" t="str">
        <f t="shared" si="12"/>
        <v>BELPopulation ages 45-49, male</v>
      </c>
      <c r="C788" t="s">
        <v>438</v>
      </c>
      <c r="D788" t="s">
        <v>8</v>
      </c>
      <c r="E788" t="s">
        <v>381</v>
      </c>
      <c r="F788" t="s">
        <v>710</v>
      </c>
      <c r="G788">
        <v>393000</v>
      </c>
      <c r="H788">
        <v>391000</v>
      </c>
    </row>
    <row r="789" spans="2:8" x14ac:dyDescent="0.25">
      <c r="B789" t="str">
        <f t="shared" si="12"/>
        <v>BELPopulation ages 50-54, female</v>
      </c>
      <c r="C789" t="s">
        <v>438</v>
      </c>
      <c r="D789" t="s">
        <v>8</v>
      </c>
      <c r="E789" t="s">
        <v>382</v>
      </c>
      <c r="F789" t="s">
        <v>711</v>
      </c>
      <c r="G789">
        <v>392000</v>
      </c>
      <c r="H789">
        <v>389000</v>
      </c>
    </row>
    <row r="790" spans="2:8" x14ac:dyDescent="0.25">
      <c r="B790" t="str">
        <f t="shared" si="12"/>
        <v>BELPopulation ages 50-54, male</v>
      </c>
      <c r="C790" t="s">
        <v>438</v>
      </c>
      <c r="D790" t="s">
        <v>8</v>
      </c>
      <c r="E790" t="s">
        <v>383</v>
      </c>
      <c r="F790" t="s">
        <v>712</v>
      </c>
      <c r="G790">
        <v>406000</v>
      </c>
      <c r="H790">
        <v>403000</v>
      </c>
    </row>
    <row r="791" spans="2:8" x14ac:dyDescent="0.25">
      <c r="B791" t="str">
        <f t="shared" si="12"/>
        <v>BELPopulation ages 55-59, male</v>
      </c>
      <c r="C791" t="s">
        <v>438</v>
      </c>
      <c r="D791" t="s">
        <v>8</v>
      </c>
      <c r="E791" t="s">
        <v>385</v>
      </c>
      <c r="F791" t="s">
        <v>713</v>
      </c>
      <c r="G791">
        <v>402000</v>
      </c>
      <c r="H791">
        <v>405000</v>
      </c>
    </row>
    <row r="792" spans="2:8" x14ac:dyDescent="0.25">
      <c r="B792" t="str">
        <f t="shared" si="12"/>
        <v>BELPopulation ages 55-59, female</v>
      </c>
      <c r="C792" t="s">
        <v>438</v>
      </c>
      <c r="D792" t="s">
        <v>8</v>
      </c>
      <c r="E792" t="s">
        <v>384</v>
      </c>
      <c r="F792" t="s">
        <v>714</v>
      </c>
      <c r="G792">
        <v>394000</v>
      </c>
      <c r="H792">
        <v>395000</v>
      </c>
    </row>
    <row r="793" spans="2:8" x14ac:dyDescent="0.25">
      <c r="B793" t="str">
        <f t="shared" si="12"/>
        <v>BELPopulation ages 65-69, male</v>
      </c>
      <c r="C793" t="s">
        <v>438</v>
      </c>
      <c r="D793" t="s">
        <v>8</v>
      </c>
      <c r="E793" t="s">
        <v>389</v>
      </c>
      <c r="F793" t="s">
        <v>715</v>
      </c>
      <c r="G793">
        <v>300000</v>
      </c>
      <c r="H793">
        <v>305000</v>
      </c>
    </row>
    <row r="794" spans="2:8" x14ac:dyDescent="0.25">
      <c r="B794" t="str">
        <f t="shared" si="12"/>
        <v>BELPopulation ages 65-69, female</v>
      </c>
      <c r="C794" t="s">
        <v>438</v>
      </c>
      <c r="D794" t="s">
        <v>8</v>
      </c>
      <c r="E794" t="s">
        <v>388</v>
      </c>
      <c r="F794" t="s">
        <v>716</v>
      </c>
      <c r="G794">
        <v>322000</v>
      </c>
      <c r="H794">
        <v>326000</v>
      </c>
    </row>
    <row r="795" spans="2:8" x14ac:dyDescent="0.25">
      <c r="B795" t="str">
        <f t="shared" si="12"/>
        <v>BELPopulation ages 60-64, female</v>
      </c>
      <c r="C795" t="s">
        <v>438</v>
      </c>
      <c r="D795" t="s">
        <v>8</v>
      </c>
      <c r="E795" t="s">
        <v>386</v>
      </c>
      <c r="F795" t="s">
        <v>717</v>
      </c>
      <c r="G795">
        <v>363000</v>
      </c>
      <c r="H795">
        <v>369000</v>
      </c>
    </row>
    <row r="796" spans="2:8" x14ac:dyDescent="0.25">
      <c r="B796" t="str">
        <f t="shared" si="12"/>
        <v>BELPopulation ages 60-64, male</v>
      </c>
      <c r="C796" t="s">
        <v>438</v>
      </c>
      <c r="D796" t="s">
        <v>8</v>
      </c>
      <c r="E796" t="s">
        <v>387</v>
      </c>
      <c r="F796" t="s">
        <v>718</v>
      </c>
      <c r="G796">
        <v>356000</v>
      </c>
      <c r="H796">
        <v>364000</v>
      </c>
    </row>
    <row r="797" spans="2:8" x14ac:dyDescent="0.25">
      <c r="B797" t="str">
        <f t="shared" si="12"/>
        <v>BELPopulation ages 70-74, female</v>
      </c>
      <c r="C797" t="s">
        <v>438</v>
      </c>
      <c r="D797" t="s">
        <v>8</v>
      </c>
      <c r="E797" t="s">
        <v>390</v>
      </c>
      <c r="F797" t="s">
        <v>719</v>
      </c>
      <c r="G797">
        <v>283000</v>
      </c>
      <c r="H797">
        <v>294000</v>
      </c>
    </row>
    <row r="798" spans="2:8" x14ac:dyDescent="0.25">
      <c r="B798" t="str">
        <f t="shared" si="12"/>
        <v>BELPopulation ages 70-74, male</v>
      </c>
      <c r="C798" t="s">
        <v>438</v>
      </c>
      <c r="D798" t="s">
        <v>8</v>
      </c>
      <c r="E798" t="s">
        <v>391</v>
      </c>
      <c r="F798" t="s">
        <v>720</v>
      </c>
      <c r="G798">
        <v>249000</v>
      </c>
      <c r="H798">
        <v>259000</v>
      </c>
    </row>
    <row r="799" spans="2:8" x14ac:dyDescent="0.25">
      <c r="B799" t="str">
        <f t="shared" si="12"/>
        <v>BELPopulation ages 75-79, female</v>
      </c>
      <c r="C799" t="s">
        <v>438</v>
      </c>
      <c r="D799" t="s">
        <v>8</v>
      </c>
      <c r="E799" t="s">
        <v>392</v>
      </c>
      <c r="F799" t="s">
        <v>721</v>
      </c>
      <c r="G799">
        <v>207000</v>
      </c>
      <c r="H799">
        <v>211000</v>
      </c>
    </row>
    <row r="800" spans="2:8" x14ac:dyDescent="0.25">
      <c r="B800" t="str">
        <f t="shared" si="12"/>
        <v>BELPopulation ages 75-79, male</v>
      </c>
      <c r="C800" t="s">
        <v>438</v>
      </c>
      <c r="D800" t="s">
        <v>8</v>
      </c>
      <c r="E800" t="s">
        <v>393</v>
      </c>
      <c r="F800" t="s">
        <v>722</v>
      </c>
      <c r="G800">
        <v>165000</v>
      </c>
      <c r="H800">
        <v>171000</v>
      </c>
    </row>
    <row r="801" spans="2:8" x14ac:dyDescent="0.25">
      <c r="B801" t="str">
        <f t="shared" si="12"/>
        <v>BELPopulation ages 80 and above, female</v>
      </c>
      <c r="C801" t="s">
        <v>438</v>
      </c>
      <c r="D801" t="s">
        <v>8</v>
      </c>
      <c r="E801" t="s">
        <v>394</v>
      </c>
      <c r="F801" t="s">
        <v>723</v>
      </c>
      <c r="G801">
        <v>412000</v>
      </c>
      <c r="H801">
        <v>411000</v>
      </c>
    </row>
    <row r="802" spans="2:8" x14ac:dyDescent="0.25">
      <c r="B802" t="str">
        <f t="shared" si="12"/>
        <v>BELPopulation ages 80 and above, male</v>
      </c>
      <c r="C802" t="s">
        <v>438</v>
      </c>
      <c r="D802" t="s">
        <v>8</v>
      </c>
      <c r="E802" t="s">
        <v>395</v>
      </c>
      <c r="F802" t="s">
        <v>724</v>
      </c>
      <c r="G802">
        <v>243000</v>
      </c>
      <c r="H802">
        <v>244000</v>
      </c>
    </row>
    <row r="803" spans="2:8" x14ac:dyDescent="0.25">
      <c r="B803" t="str">
        <f t="shared" si="12"/>
        <v>BELPopulation, male</v>
      </c>
      <c r="C803" t="s">
        <v>438</v>
      </c>
      <c r="D803" t="s">
        <v>8</v>
      </c>
      <c r="E803" t="s">
        <v>397</v>
      </c>
      <c r="F803" t="s">
        <v>725</v>
      </c>
      <c r="G803">
        <v>5683000</v>
      </c>
      <c r="H803">
        <v>5719000</v>
      </c>
    </row>
    <row r="804" spans="2:8" x14ac:dyDescent="0.25">
      <c r="B804" t="str">
        <f t="shared" si="12"/>
        <v>BELPopulation, total</v>
      </c>
      <c r="C804" t="s">
        <v>438</v>
      </c>
      <c r="D804" t="s">
        <v>8</v>
      </c>
      <c r="E804" t="s">
        <v>398</v>
      </c>
      <c r="F804" t="s">
        <v>726</v>
      </c>
      <c r="G804">
        <v>11483000</v>
      </c>
      <c r="H804">
        <v>11538000</v>
      </c>
    </row>
    <row r="805" spans="2:8" x14ac:dyDescent="0.25">
      <c r="B805" t="str">
        <f t="shared" si="12"/>
        <v>BELPopulation, female</v>
      </c>
      <c r="C805" t="s">
        <v>438</v>
      </c>
      <c r="D805" t="s">
        <v>8</v>
      </c>
      <c r="E805" t="s">
        <v>396</v>
      </c>
      <c r="F805" t="s">
        <v>727</v>
      </c>
      <c r="G805">
        <v>5799000</v>
      </c>
      <c r="H805">
        <v>5819000</v>
      </c>
    </row>
    <row r="806" spans="2:8" x14ac:dyDescent="0.25">
      <c r="B806" t="str">
        <f t="shared" si="12"/>
        <v>BELPopulation growth (annual %)</v>
      </c>
      <c r="C806" t="s">
        <v>438</v>
      </c>
      <c r="D806" t="s">
        <v>8</v>
      </c>
      <c r="E806" t="s">
        <v>399</v>
      </c>
      <c r="F806" t="s">
        <v>728</v>
      </c>
      <c r="G806">
        <v>0</v>
      </c>
      <c r="H806">
        <v>0</v>
      </c>
    </row>
    <row r="807" spans="2:8" x14ac:dyDescent="0.25">
      <c r="B807" t="str">
        <f t="shared" si="12"/>
        <v>BLZPopulation ages 0-14, female</v>
      </c>
      <c r="C807" t="s">
        <v>439</v>
      </c>
      <c r="D807" t="s">
        <v>17</v>
      </c>
      <c r="E807" t="s">
        <v>687</v>
      </c>
      <c r="F807" t="s">
        <v>688</v>
      </c>
      <c r="G807">
        <v>57000</v>
      </c>
      <c r="H807">
        <v>57000</v>
      </c>
    </row>
    <row r="808" spans="2:8" x14ac:dyDescent="0.25">
      <c r="B808" t="str">
        <f t="shared" si="12"/>
        <v>BLZPopulation ages 0-14, male</v>
      </c>
      <c r="C808" t="s">
        <v>439</v>
      </c>
      <c r="D808" t="s">
        <v>17</v>
      </c>
      <c r="E808" t="s">
        <v>689</v>
      </c>
      <c r="F808" t="s">
        <v>690</v>
      </c>
      <c r="G808">
        <v>59000</v>
      </c>
      <c r="H808">
        <v>59000</v>
      </c>
    </row>
    <row r="809" spans="2:8" x14ac:dyDescent="0.25">
      <c r="B809" t="str">
        <f t="shared" si="12"/>
        <v>BLZPopulation ages 00-04, female</v>
      </c>
      <c r="C809" t="s">
        <v>439</v>
      </c>
      <c r="D809" t="s">
        <v>17</v>
      </c>
      <c r="E809" t="s">
        <v>362</v>
      </c>
      <c r="F809" t="s">
        <v>691</v>
      </c>
      <c r="G809">
        <v>19000</v>
      </c>
      <c r="H809">
        <v>19000</v>
      </c>
    </row>
    <row r="810" spans="2:8" x14ac:dyDescent="0.25">
      <c r="B810" t="str">
        <f t="shared" si="12"/>
        <v>BLZPopulation ages 00-04, male</v>
      </c>
      <c r="C810" t="s">
        <v>439</v>
      </c>
      <c r="D810" t="s">
        <v>17</v>
      </c>
      <c r="E810" t="s">
        <v>363</v>
      </c>
      <c r="F810" t="s">
        <v>692</v>
      </c>
      <c r="G810">
        <v>20000</v>
      </c>
      <c r="H810">
        <v>20000</v>
      </c>
    </row>
    <row r="811" spans="2:8" x14ac:dyDescent="0.25">
      <c r="B811" t="str">
        <f t="shared" si="12"/>
        <v>BLZPopulation ages 05-09, female</v>
      </c>
      <c r="C811" t="s">
        <v>439</v>
      </c>
      <c r="D811" t="s">
        <v>17</v>
      </c>
      <c r="E811" t="s">
        <v>364</v>
      </c>
      <c r="F811" t="s">
        <v>693</v>
      </c>
      <c r="G811">
        <v>19000</v>
      </c>
      <c r="H811">
        <v>19000</v>
      </c>
    </row>
    <row r="812" spans="2:8" x14ac:dyDescent="0.25">
      <c r="B812" t="str">
        <f t="shared" si="12"/>
        <v>BLZPopulation ages 05-09, male</v>
      </c>
      <c r="C812" t="s">
        <v>439</v>
      </c>
      <c r="D812" t="s">
        <v>17</v>
      </c>
      <c r="E812" t="s">
        <v>365</v>
      </c>
      <c r="F812" t="s">
        <v>694</v>
      </c>
      <c r="G812">
        <v>19000</v>
      </c>
      <c r="H812">
        <v>20000</v>
      </c>
    </row>
    <row r="813" spans="2:8" x14ac:dyDescent="0.25">
      <c r="B813" t="str">
        <f t="shared" si="12"/>
        <v>BLZPopulation ages 10-14, female</v>
      </c>
      <c r="C813" t="s">
        <v>439</v>
      </c>
      <c r="D813" t="s">
        <v>17</v>
      </c>
      <c r="E813" t="s">
        <v>366</v>
      </c>
      <c r="F813" t="s">
        <v>695</v>
      </c>
      <c r="G813">
        <v>19000</v>
      </c>
      <c r="H813">
        <v>19000</v>
      </c>
    </row>
    <row r="814" spans="2:8" x14ac:dyDescent="0.25">
      <c r="B814" t="str">
        <f t="shared" si="12"/>
        <v>BLZPopulation ages 10-14, male</v>
      </c>
      <c r="C814" t="s">
        <v>439</v>
      </c>
      <c r="D814" t="s">
        <v>17</v>
      </c>
      <c r="E814" t="s">
        <v>367</v>
      </c>
      <c r="F814" t="s">
        <v>696</v>
      </c>
      <c r="G814">
        <v>19000</v>
      </c>
      <c r="H814">
        <v>19000</v>
      </c>
    </row>
    <row r="815" spans="2:8" x14ac:dyDescent="0.25">
      <c r="B815" t="str">
        <f t="shared" si="12"/>
        <v>BLZPopulation ages 15-19, female</v>
      </c>
      <c r="C815" t="s">
        <v>439</v>
      </c>
      <c r="D815" t="s">
        <v>17</v>
      </c>
      <c r="E815" t="s">
        <v>368</v>
      </c>
      <c r="F815" t="s">
        <v>697</v>
      </c>
      <c r="G815">
        <v>20000</v>
      </c>
      <c r="H815">
        <v>20000</v>
      </c>
    </row>
    <row r="816" spans="2:8" x14ac:dyDescent="0.25">
      <c r="B816" t="str">
        <f t="shared" si="12"/>
        <v>BLZPopulation ages 15-19, male</v>
      </c>
      <c r="C816" t="s">
        <v>439</v>
      </c>
      <c r="D816" t="s">
        <v>17</v>
      </c>
      <c r="E816" t="s">
        <v>369</v>
      </c>
      <c r="F816" t="s">
        <v>698</v>
      </c>
      <c r="G816">
        <v>20000</v>
      </c>
      <c r="H816">
        <v>20000</v>
      </c>
    </row>
    <row r="817" spans="2:8" x14ac:dyDescent="0.25">
      <c r="B817" t="str">
        <f t="shared" si="12"/>
        <v>BLZPopulation ages 20-24, female</v>
      </c>
      <c r="C817" t="s">
        <v>439</v>
      </c>
      <c r="D817" t="s">
        <v>17</v>
      </c>
      <c r="E817" t="s">
        <v>370</v>
      </c>
      <c r="F817" t="s">
        <v>699</v>
      </c>
      <c r="G817">
        <v>19000</v>
      </c>
      <c r="H817">
        <v>20000</v>
      </c>
    </row>
    <row r="818" spans="2:8" x14ac:dyDescent="0.25">
      <c r="B818" t="str">
        <f t="shared" si="12"/>
        <v>BLZPopulation ages 20-24, male</v>
      </c>
      <c r="C818" t="s">
        <v>439</v>
      </c>
      <c r="D818" t="s">
        <v>17</v>
      </c>
      <c r="E818" t="s">
        <v>371</v>
      </c>
      <c r="F818" t="s">
        <v>700</v>
      </c>
      <c r="G818">
        <v>19000</v>
      </c>
      <c r="H818">
        <v>20000</v>
      </c>
    </row>
    <row r="819" spans="2:8" x14ac:dyDescent="0.25">
      <c r="B819" t="str">
        <f t="shared" si="12"/>
        <v>BLZPopulation ages 25-29, female</v>
      </c>
      <c r="C819" t="s">
        <v>439</v>
      </c>
      <c r="D819" t="s">
        <v>17</v>
      </c>
      <c r="E819" t="s">
        <v>372</v>
      </c>
      <c r="F819" t="s">
        <v>701</v>
      </c>
      <c r="G819">
        <v>18000</v>
      </c>
      <c r="H819">
        <v>18000</v>
      </c>
    </row>
    <row r="820" spans="2:8" x14ac:dyDescent="0.25">
      <c r="B820" t="str">
        <f t="shared" si="12"/>
        <v>BLZPopulation ages 25-29, male</v>
      </c>
      <c r="C820" t="s">
        <v>439</v>
      </c>
      <c r="D820" t="s">
        <v>17</v>
      </c>
      <c r="E820" t="s">
        <v>373</v>
      </c>
      <c r="F820" t="s">
        <v>702</v>
      </c>
      <c r="G820">
        <v>18000</v>
      </c>
      <c r="H820">
        <v>18000</v>
      </c>
    </row>
    <row r="821" spans="2:8" x14ac:dyDescent="0.25">
      <c r="B821" t="str">
        <f t="shared" si="12"/>
        <v>BLZPopulation ages 30-34, female</v>
      </c>
      <c r="C821" t="s">
        <v>439</v>
      </c>
      <c r="D821" t="s">
        <v>17</v>
      </c>
      <c r="E821" t="s">
        <v>374</v>
      </c>
      <c r="F821" t="s">
        <v>703</v>
      </c>
      <c r="G821">
        <v>16000</v>
      </c>
      <c r="H821">
        <v>16000</v>
      </c>
    </row>
    <row r="822" spans="2:8" x14ac:dyDescent="0.25">
      <c r="B822" t="str">
        <f t="shared" si="12"/>
        <v>BLZPopulation ages 30-34, male</v>
      </c>
      <c r="C822" t="s">
        <v>439</v>
      </c>
      <c r="D822" t="s">
        <v>17</v>
      </c>
      <c r="E822" t="s">
        <v>375</v>
      </c>
      <c r="F822" t="s">
        <v>704</v>
      </c>
      <c r="G822">
        <v>15000</v>
      </c>
      <c r="H822">
        <v>16000</v>
      </c>
    </row>
    <row r="823" spans="2:8" x14ac:dyDescent="0.25">
      <c r="B823" t="str">
        <f t="shared" si="12"/>
        <v>BLZPopulation ages 35-39, female</v>
      </c>
      <c r="C823" t="s">
        <v>439</v>
      </c>
      <c r="D823" t="s">
        <v>17</v>
      </c>
      <c r="E823" t="s">
        <v>376</v>
      </c>
      <c r="F823" t="s">
        <v>705</v>
      </c>
      <c r="G823">
        <v>14000</v>
      </c>
      <c r="H823">
        <v>14000</v>
      </c>
    </row>
    <row r="824" spans="2:8" x14ac:dyDescent="0.25">
      <c r="B824" t="str">
        <f t="shared" si="12"/>
        <v>BLZPopulation ages 35-39, male</v>
      </c>
      <c r="C824" t="s">
        <v>439</v>
      </c>
      <c r="D824" t="s">
        <v>17</v>
      </c>
      <c r="E824" t="s">
        <v>377</v>
      </c>
      <c r="F824" t="s">
        <v>706</v>
      </c>
      <c r="G824">
        <v>13000</v>
      </c>
      <c r="H824">
        <v>13000</v>
      </c>
    </row>
    <row r="825" spans="2:8" x14ac:dyDescent="0.25">
      <c r="B825" t="str">
        <f t="shared" si="12"/>
        <v>BLZPopulation ages 40-44, female</v>
      </c>
      <c r="C825" t="s">
        <v>439</v>
      </c>
      <c r="D825" t="s">
        <v>17</v>
      </c>
      <c r="E825" t="s">
        <v>378</v>
      </c>
      <c r="F825" t="s">
        <v>707</v>
      </c>
      <c r="G825">
        <v>12000</v>
      </c>
      <c r="H825">
        <v>12000</v>
      </c>
    </row>
    <row r="826" spans="2:8" x14ac:dyDescent="0.25">
      <c r="B826" t="str">
        <f t="shared" si="12"/>
        <v>BLZPopulation ages 40-44, male</v>
      </c>
      <c r="C826" t="s">
        <v>439</v>
      </c>
      <c r="D826" t="s">
        <v>17</v>
      </c>
      <c r="E826" t="s">
        <v>379</v>
      </c>
      <c r="F826" t="s">
        <v>708</v>
      </c>
      <c r="G826">
        <v>11000</v>
      </c>
      <c r="H826">
        <v>11000</v>
      </c>
    </row>
    <row r="827" spans="2:8" x14ac:dyDescent="0.25">
      <c r="B827" t="str">
        <f t="shared" si="12"/>
        <v>BLZPopulation ages 45-49, female</v>
      </c>
      <c r="C827" t="s">
        <v>439</v>
      </c>
      <c r="D827" t="s">
        <v>17</v>
      </c>
      <c r="E827" t="s">
        <v>380</v>
      </c>
      <c r="F827" t="s">
        <v>709</v>
      </c>
      <c r="G827">
        <v>11000</v>
      </c>
      <c r="H827">
        <v>11000</v>
      </c>
    </row>
    <row r="828" spans="2:8" x14ac:dyDescent="0.25">
      <c r="B828" t="str">
        <f t="shared" si="12"/>
        <v>BLZPopulation ages 45-49, male</v>
      </c>
      <c r="C828" t="s">
        <v>439</v>
      </c>
      <c r="D828" t="s">
        <v>17</v>
      </c>
      <c r="E828" t="s">
        <v>381</v>
      </c>
      <c r="F828" t="s">
        <v>710</v>
      </c>
      <c r="G828">
        <v>9900</v>
      </c>
      <c r="H828">
        <v>10000</v>
      </c>
    </row>
    <row r="829" spans="2:8" x14ac:dyDescent="0.25">
      <c r="B829" t="str">
        <f t="shared" si="12"/>
        <v>BLZPopulation ages 50-54, female</v>
      </c>
      <c r="C829" t="s">
        <v>439</v>
      </c>
      <c r="D829" t="s">
        <v>17</v>
      </c>
      <c r="E829" t="s">
        <v>382</v>
      </c>
      <c r="F829" t="s">
        <v>711</v>
      </c>
      <c r="G829">
        <v>8600</v>
      </c>
      <c r="H829">
        <v>8900</v>
      </c>
    </row>
    <row r="830" spans="2:8" x14ac:dyDescent="0.25">
      <c r="B830" t="str">
        <f t="shared" si="12"/>
        <v>BLZPopulation ages 50-54, male</v>
      </c>
      <c r="C830" t="s">
        <v>439</v>
      </c>
      <c r="D830" t="s">
        <v>17</v>
      </c>
      <c r="E830" t="s">
        <v>383</v>
      </c>
      <c r="F830" t="s">
        <v>712</v>
      </c>
      <c r="G830">
        <v>8400</v>
      </c>
      <c r="H830">
        <v>8600</v>
      </c>
    </row>
    <row r="831" spans="2:8" x14ac:dyDescent="0.25">
      <c r="B831" t="str">
        <f t="shared" si="12"/>
        <v>BLZPopulation ages 55-59, male</v>
      </c>
      <c r="C831" t="s">
        <v>439</v>
      </c>
      <c r="D831" t="s">
        <v>17</v>
      </c>
      <c r="E831" t="s">
        <v>385</v>
      </c>
      <c r="F831" t="s">
        <v>713</v>
      </c>
      <c r="G831">
        <v>6900</v>
      </c>
      <c r="H831">
        <v>7200</v>
      </c>
    </row>
    <row r="832" spans="2:8" x14ac:dyDescent="0.25">
      <c r="B832" t="str">
        <f t="shared" si="12"/>
        <v>BLZPopulation ages 55-59, female</v>
      </c>
      <c r="C832" t="s">
        <v>439</v>
      </c>
      <c r="D832" t="s">
        <v>17</v>
      </c>
      <c r="E832" t="s">
        <v>384</v>
      </c>
      <c r="F832" t="s">
        <v>714</v>
      </c>
      <c r="G832">
        <v>6800</v>
      </c>
      <c r="H832">
        <v>7200</v>
      </c>
    </row>
    <row r="833" spans="2:8" x14ac:dyDescent="0.25">
      <c r="B833" t="str">
        <f t="shared" si="12"/>
        <v>BLZPopulation ages 65-69, male</v>
      </c>
      <c r="C833" t="s">
        <v>439</v>
      </c>
      <c r="D833" t="s">
        <v>17</v>
      </c>
      <c r="E833" t="s">
        <v>389</v>
      </c>
      <c r="F833" t="s">
        <v>715</v>
      </c>
      <c r="G833">
        <v>3600</v>
      </c>
      <c r="H833">
        <v>3700</v>
      </c>
    </row>
    <row r="834" spans="2:8" x14ac:dyDescent="0.25">
      <c r="B834" t="str">
        <f t="shared" si="12"/>
        <v>BLZPopulation ages 65-69, female</v>
      </c>
      <c r="C834" t="s">
        <v>439</v>
      </c>
      <c r="D834" t="s">
        <v>17</v>
      </c>
      <c r="E834" t="s">
        <v>388</v>
      </c>
      <c r="F834" t="s">
        <v>716</v>
      </c>
      <c r="G834">
        <v>3400</v>
      </c>
      <c r="H834">
        <v>3600</v>
      </c>
    </row>
    <row r="835" spans="2:8" x14ac:dyDescent="0.25">
      <c r="B835" t="str">
        <f t="shared" si="12"/>
        <v>BLZPopulation ages 60-64, female</v>
      </c>
      <c r="C835" t="s">
        <v>439</v>
      </c>
      <c r="D835" t="s">
        <v>17</v>
      </c>
      <c r="E835" t="s">
        <v>386</v>
      </c>
      <c r="F835" t="s">
        <v>717</v>
      </c>
      <c r="G835">
        <v>5000</v>
      </c>
      <c r="H835">
        <v>5300</v>
      </c>
    </row>
    <row r="836" spans="2:8" x14ac:dyDescent="0.25">
      <c r="B836" t="str">
        <f t="shared" si="12"/>
        <v>BLZPopulation ages 60-64, male</v>
      </c>
      <c r="C836" t="s">
        <v>439</v>
      </c>
      <c r="D836" t="s">
        <v>17</v>
      </c>
      <c r="E836" t="s">
        <v>387</v>
      </c>
      <c r="F836" t="s">
        <v>718</v>
      </c>
      <c r="G836">
        <v>4900</v>
      </c>
      <c r="H836">
        <v>5200</v>
      </c>
    </row>
    <row r="837" spans="2:8" x14ac:dyDescent="0.25">
      <c r="B837" t="str">
        <f t="shared" si="12"/>
        <v>BLZPopulation ages 70-74, female</v>
      </c>
      <c r="C837" t="s">
        <v>439</v>
      </c>
      <c r="D837" t="s">
        <v>17</v>
      </c>
      <c r="E837" t="s">
        <v>390</v>
      </c>
      <c r="F837" t="s">
        <v>719</v>
      </c>
      <c r="G837">
        <v>2300</v>
      </c>
      <c r="H837">
        <v>2400</v>
      </c>
    </row>
    <row r="838" spans="2:8" x14ac:dyDescent="0.25">
      <c r="B838" t="str">
        <f t="shared" si="12"/>
        <v>BLZPopulation ages 70-74, male</v>
      </c>
      <c r="C838" t="s">
        <v>439</v>
      </c>
      <c r="D838" t="s">
        <v>17</v>
      </c>
      <c r="E838" t="s">
        <v>391</v>
      </c>
      <c r="F838" t="s">
        <v>720</v>
      </c>
      <c r="G838">
        <v>2500</v>
      </c>
      <c r="H838">
        <v>2600</v>
      </c>
    </row>
    <row r="839" spans="2:8" x14ac:dyDescent="0.25">
      <c r="B839" t="str">
        <f t="shared" ref="B839:B902" si="13">CONCATENATE(D839,E839)</f>
        <v>BLZPopulation ages 75-79, female</v>
      </c>
      <c r="C839" t="s">
        <v>439</v>
      </c>
      <c r="D839" t="s">
        <v>17</v>
      </c>
      <c r="E839" t="s">
        <v>392</v>
      </c>
      <c r="F839" t="s">
        <v>721</v>
      </c>
      <c r="G839">
        <v>1600</v>
      </c>
      <c r="H839">
        <v>1600</v>
      </c>
    </row>
    <row r="840" spans="2:8" x14ac:dyDescent="0.25">
      <c r="B840" t="str">
        <f t="shared" si="13"/>
        <v>BLZPopulation ages 75-79, male</v>
      </c>
      <c r="C840" t="s">
        <v>439</v>
      </c>
      <c r="D840" t="s">
        <v>17</v>
      </c>
      <c r="E840" t="s">
        <v>393</v>
      </c>
      <c r="F840" t="s">
        <v>722</v>
      </c>
      <c r="G840">
        <v>1600</v>
      </c>
      <c r="H840">
        <v>1700</v>
      </c>
    </row>
    <row r="841" spans="2:8" x14ac:dyDescent="0.25">
      <c r="B841" t="str">
        <f t="shared" si="13"/>
        <v>BLZPopulation ages 80 and above, female</v>
      </c>
      <c r="C841" t="s">
        <v>439</v>
      </c>
      <c r="D841" t="s">
        <v>17</v>
      </c>
      <c r="E841" t="s">
        <v>394</v>
      </c>
      <c r="F841" t="s">
        <v>723</v>
      </c>
      <c r="G841">
        <v>2100</v>
      </c>
      <c r="H841">
        <v>2200</v>
      </c>
    </row>
    <row r="842" spans="2:8" x14ac:dyDescent="0.25">
      <c r="B842" t="str">
        <f t="shared" si="13"/>
        <v>BLZPopulation ages 80 and above, male</v>
      </c>
      <c r="C842" t="s">
        <v>439</v>
      </c>
      <c r="D842" t="s">
        <v>17</v>
      </c>
      <c r="E842" t="s">
        <v>395</v>
      </c>
      <c r="F842" t="s">
        <v>724</v>
      </c>
      <c r="G842">
        <v>2100</v>
      </c>
      <c r="H842">
        <v>2100</v>
      </c>
    </row>
    <row r="843" spans="2:8" x14ac:dyDescent="0.25">
      <c r="B843" t="str">
        <f t="shared" si="13"/>
        <v>BLZPopulation, male</v>
      </c>
      <c r="C843" t="s">
        <v>439</v>
      </c>
      <c r="D843" t="s">
        <v>17</v>
      </c>
      <c r="E843" t="s">
        <v>397</v>
      </c>
      <c r="F843" t="s">
        <v>725</v>
      </c>
      <c r="G843">
        <v>194000</v>
      </c>
      <c r="H843">
        <v>198000</v>
      </c>
    </row>
    <row r="844" spans="2:8" x14ac:dyDescent="0.25">
      <c r="B844" t="str">
        <f t="shared" si="13"/>
        <v>BLZPopulation, total</v>
      </c>
      <c r="C844" t="s">
        <v>439</v>
      </c>
      <c r="D844" t="s">
        <v>17</v>
      </c>
      <c r="E844" t="s">
        <v>398</v>
      </c>
      <c r="F844" t="s">
        <v>726</v>
      </c>
      <c r="G844">
        <v>390000</v>
      </c>
      <c r="H844">
        <v>398000</v>
      </c>
    </row>
    <row r="845" spans="2:8" x14ac:dyDescent="0.25">
      <c r="B845" t="str">
        <f t="shared" si="13"/>
        <v>BLZPopulation, female</v>
      </c>
      <c r="C845" t="s">
        <v>439</v>
      </c>
      <c r="D845" t="s">
        <v>17</v>
      </c>
      <c r="E845" t="s">
        <v>396</v>
      </c>
      <c r="F845" t="s">
        <v>727</v>
      </c>
      <c r="G845">
        <v>196000</v>
      </c>
      <c r="H845">
        <v>200000</v>
      </c>
    </row>
    <row r="846" spans="2:8" x14ac:dyDescent="0.25">
      <c r="B846" t="str">
        <f t="shared" si="13"/>
        <v>BLZPopulation growth (annual %)</v>
      </c>
      <c r="C846" t="s">
        <v>439</v>
      </c>
      <c r="D846" t="s">
        <v>17</v>
      </c>
      <c r="E846" t="s">
        <v>399</v>
      </c>
      <c r="F846" t="s">
        <v>728</v>
      </c>
      <c r="G846">
        <v>0</v>
      </c>
      <c r="H846">
        <v>0</v>
      </c>
    </row>
    <row r="847" spans="2:8" x14ac:dyDescent="0.25">
      <c r="B847" t="str">
        <f t="shared" si="13"/>
        <v>BENPopulation ages 0-14, female</v>
      </c>
      <c r="C847" t="s">
        <v>183</v>
      </c>
      <c r="D847" t="s">
        <v>9</v>
      </c>
      <c r="E847" t="s">
        <v>687</v>
      </c>
      <c r="F847" t="s">
        <v>688</v>
      </c>
      <c r="G847">
        <v>2454000</v>
      </c>
      <c r="H847">
        <v>2506000</v>
      </c>
    </row>
    <row r="848" spans="2:8" x14ac:dyDescent="0.25">
      <c r="B848" t="str">
        <f t="shared" si="13"/>
        <v>BENPopulation ages 0-14, male</v>
      </c>
      <c r="C848" t="s">
        <v>183</v>
      </c>
      <c r="D848" t="s">
        <v>9</v>
      </c>
      <c r="E848" t="s">
        <v>689</v>
      </c>
      <c r="F848" t="s">
        <v>690</v>
      </c>
      <c r="G848">
        <v>2526000</v>
      </c>
      <c r="H848">
        <v>2579000</v>
      </c>
    </row>
    <row r="849" spans="2:8" x14ac:dyDescent="0.25">
      <c r="B849" t="str">
        <f t="shared" si="13"/>
        <v>BENPopulation ages 00-04, female</v>
      </c>
      <c r="C849" t="s">
        <v>183</v>
      </c>
      <c r="D849" t="s">
        <v>9</v>
      </c>
      <c r="E849" t="s">
        <v>362</v>
      </c>
      <c r="F849" t="s">
        <v>691</v>
      </c>
      <c r="G849">
        <v>923000</v>
      </c>
      <c r="H849">
        <v>940000</v>
      </c>
    </row>
    <row r="850" spans="2:8" x14ac:dyDescent="0.25">
      <c r="B850" t="str">
        <f t="shared" si="13"/>
        <v>BENPopulation ages 00-04, male</v>
      </c>
      <c r="C850" t="s">
        <v>183</v>
      </c>
      <c r="D850" t="s">
        <v>9</v>
      </c>
      <c r="E850" t="s">
        <v>363</v>
      </c>
      <c r="F850" t="s">
        <v>692</v>
      </c>
      <c r="G850">
        <v>951000</v>
      </c>
      <c r="H850">
        <v>969000</v>
      </c>
    </row>
    <row r="851" spans="2:8" x14ac:dyDescent="0.25">
      <c r="B851" t="str">
        <f t="shared" si="13"/>
        <v>BENPopulation ages 05-09, female</v>
      </c>
      <c r="C851" t="s">
        <v>183</v>
      </c>
      <c r="D851" t="s">
        <v>9</v>
      </c>
      <c r="E851" t="s">
        <v>364</v>
      </c>
      <c r="F851" t="s">
        <v>693</v>
      </c>
      <c r="G851">
        <v>816000</v>
      </c>
      <c r="H851">
        <v>832000</v>
      </c>
    </row>
    <row r="852" spans="2:8" x14ac:dyDescent="0.25">
      <c r="B852" t="str">
        <f t="shared" si="13"/>
        <v>BENPopulation ages 05-09, male</v>
      </c>
      <c r="C852" t="s">
        <v>183</v>
      </c>
      <c r="D852" t="s">
        <v>9</v>
      </c>
      <c r="E852" t="s">
        <v>365</v>
      </c>
      <c r="F852" t="s">
        <v>694</v>
      </c>
      <c r="G852">
        <v>840000</v>
      </c>
      <c r="H852">
        <v>856000</v>
      </c>
    </row>
    <row r="853" spans="2:8" x14ac:dyDescent="0.25">
      <c r="B853" t="str">
        <f t="shared" si="13"/>
        <v>BENPopulation ages 10-14, female</v>
      </c>
      <c r="C853" t="s">
        <v>183</v>
      </c>
      <c r="D853" t="s">
        <v>9</v>
      </c>
      <c r="E853" t="s">
        <v>366</v>
      </c>
      <c r="F853" t="s">
        <v>695</v>
      </c>
      <c r="G853">
        <v>716000</v>
      </c>
      <c r="H853">
        <v>734000</v>
      </c>
    </row>
    <row r="854" spans="2:8" x14ac:dyDescent="0.25">
      <c r="B854" t="str">
        <f t="shared" si="13"/>
        <v>BENPopulation ages 10-14, male</v>
      </c>
      <c r="C854" t="s">
        <v>183</v>
      </c>
      <c r="D854" t="s">
        <v>9</v>
      </c>
      <c r="E854" t="s">
        <v>367</v>
      </c>
      <c r="F854" t="s">
        <v>696</v>
      </c>
      <c r="G854">
        <v>735000</v>
      </c>
      <c r="H854">
        <v>754000</v>
      </c>
    </row>
    <row r="855" spans="2:8" x14ac:dyDescent="0.25">
      <c r="B855" t="str">
        <f t="shared" si="13"/>
        <v>BENPopulation ages 15-19, female</v>
      </c>
      <c r="C855" t="s">
        <v>183</v>
      </c>
      <c r="D855" t="s">
        <v>9</v>
      </c>
      <c r="E855" t="s">
        <v>368</v>
      </c>
      <c r="F855" t="s">
        <v>697</v>
      </c>
      <c r="G855">
        <v>621000</v>
      </c>
      <c r="H855">
        <v>638000</v>
      </c>
    </row>
    <row r="856" spans="2:8" x14ac:dyDescent="0.25">
      <c r="B856" t="str">
        <f t="shared" si="13"/>
        <v>BENPopulation ages 15-19, male</v>
      </c>
      <c r="C856" t="s">
        <v>183</v>
      </c>
      <c r="D856" t="s">
        <v>9</v>
      </c>
      <c r="E856" t="s">
        <v>369</v>
      </c>
      <c r="F856" t="s">
        <v>698</v>
      </c>
      <c r="G856">
        <v>636000</v>
      </c>
      <c r="H856">
        <v>654000</v>
      </c>
    </row>
    <row r="857" spans="2:8" x14ac:dyDescent="0.25">
      <c r="B857" t="str">
        <f t="shared" si="13"/>
        <v>BENPopulation ages 20-24, female</v>
      </c>
      <c r="C857" t="s">
        <v>183</v>
      </c>
      <c r="D857" t="s">
        <v>9</v>
      </c>
      <c r="E857" t="s">
        <v>370</v>
      </c>
      <c r="F857" t="s">
        <v>699</v>
      </c>
      <c r="G857">
        <v>537000</v>
      </c>
      <c r="H857">
        <v>553000</v>
      </c>
    </row>
    <row r="858" spans="2:8" x14ac:dyDescent="0.25">
      <c r="B858" t="str">
        <f t="shared" si="13"/>
        <v>BENPopulation ages 20-24, male</v>
      </c>
      <c r="C858" t="s">
        <v>183</v>
      </c>
      <c r="D858" t="s">
        <v>9</v>
      </c>
      <c r="E858" t="s">
        <v>371</v>
      </c>
      <c r="F858" t="s">
        <v>700</v>
      </c>
      <c r="G858">
        <v>548000</v>
      </c>
      <c r="H858">
        <v>563000</v>
      </c>
    </row>
    <row r="859" spans="2:8" x14ac:dyDescent="0.25">
      <c r="B859" t="str">
        <f t="shared" si="13"/>
        <v>BENPopulation ages 25-29, female</v>
      </c>
      <c r="C859" t="s">
        <v>183</v>
      </c>
      <c r="D859" t="s">
        <v>9</v>
      </c>
      <c r="E859" t="s">
        <v>372</v>
      </c>
      <c r="F859" t="s">
        <v>701</v>
      </c>
      <c r="G859">
        <v>456000</v>
      </c>
      <c r="H859">
        <v>471000</v>
      </c>
    </row>
    <row r="860" spans="2:8" x14ac:dyDescent="0.25">
      <c r="B860" t="str">
        <f t="shared" si="13"/>
        <v>BENPopulation ages 25-29, male</v>
      </c>
      <c r="C860" t="s">
        <v>183</v>
      </c>
      <c r="D860" t="s">
        <v>9</v>
      </c>
      <c r="E860" t="s">
        <v>373</v>
      </c>
      <c r="F860" t="s">
        <v>702</v>
      </c>
      <c r="G860">
        <v>460000</v>
      </c>
      <c r="H860">
        <v>475000</v>
      </c>
    </row>
    <row r="861" spans="2:8" x14ac:dyDescent="0.25">
      <c r="B861" t="str">
        <f t="shared" si="13"/>
        <v>BENPopulation ages 30-34, female</v>
      </c>
      <c r="C861" t="s">
        <v>183</v>
      </c>
      <c r="D861" t="s">
        <v>9</v>
      </c>
      <c r="E861" t="s">
        <v>374</v>
      </c>
      <c r="F861" t="s">
        <v>703</v>
      </c>
      <c r="G861">
        <v>381000</v>
      </c>
      <c r="H861">
        <v>393000</v>
      </c>
    </row>
    <row r="862" spans="2:8" x14ac:dyDescent="0.25">
      <c r="B862" t="str">
        <f t="shared" si="13"/>
        <v>BENPopulation ages 30-34, male</v>
      </c>
      <c r="C862" t="s">
        <v>183</v>
      </c>
      <c r="D862" t="s">
        <v>9</v>
      </c>
      <c r="E862" t="s">
        <v>375</v>
      </c>
      <c r="F862" t="s">
        <v>704</v>
      </c>
      <c r="G862">
        <v>379000</v>
      </c>
      <c r="H862">
        <v>392000</v>
      </c>
    </row>
    <row r="863" spans="2:8" x14ac:dyDescent="0.25">
      <c r="B863" t="str">
        <f t="shared" si="13"/>
        <v>BENPopulation ages 35-39, female</v>
      </c>
      <c r="C863" t="s">
        <v>183</v>
      </c>
      <c r="D863" t="s">
        <v>9</v>
      </c>
      <c r="E863" t="s">
        <v>376</v>
      </c>
      <c r="F863" t="s">
        <v>705</v>
      </c>
      <c r="G863">
        <v>318000</v>
      </c>
      <c r="H863">
        <v>328000</v>
      </c>
    </row>
    <row r="864" spans="2:8" x14ac:dyDescent="0.25">
      <c r="B864" t="str">
        <f t="shared" si="13"/>
        <v>BENPopulation ages 35-39, male</v>
      </c>
      <c r="C864" t="s">
        <v>183</v>
      </c>
      <c r="D864" t="s">
        <v>9</v>
      </c>
      <c r="E864" t="s">
        <v>377</v>
      </c>
      <c r="F864" t="s">
        <v>706</v>
      </c>
      <c r="G864">
        <v>312000</v>
      </c>
      <c r="H864">
        <v>323000</v>
      </c>
    </row>
    <row r="865" spans="2:8" x14ac:dyDescent="0.25">
      <c r="B865" t="str">
        <f t="shared" si="13"/>
        <v>BENPopulation ages 40-44, female</v>
      </c>
      <c r="C865" t="s">
        <v>183</v>
      </c>
      <c r="D865" t="s">
        <v>9</v>
      </c>
      <c r="E865" t="s">
        <v>378</v>
      </c>
      <c r="F865" t="s">
        <v>707</v>
      </c>
      <c r="G865">
        <v>265000</v>
      </c>
      <c r="H865">
        <v>274000</v>
      </c>
    </row>
    <row r="866" spans="2:8" x14ac:dyDescent="0.25">
      <c r="B866" t="str">
        <f t="shared" si="13"/>
        <v>BENPopulation ages 40-44, male</v>
      </c>
      <c r="C866" t="s">
        <v>183</v>
      </c>
      <c r="D866" t="s">
        <v>9</v>
      </c>
      <c r="E866" t="s">
        <v>379</v>
      </c>
      <c r="F866" t="s">
        <v>708</v>
      </c>
      <c r="G866">
        <v>256000</v>
      </c>
      <c r="H866">
        <v>265000</v>
      </c>
    </row>
    <row r="867" spans="2:8" x14ac:dyDescent="0.25">
      <c r="B867" t="str">
        <f t="shared" si="13"/>
        <v>BENPopulation ages 45-49, female</v>
      </c>
      <c r="C867" t="s">
        <v>183</v>
      </c>
      <c r="D867" t="s">
        <v>9</v>
      </c>
      <c r="E867" t="s">
        <v>380</v>
      </c>
      <c r="F867" t="s">
        <v>709</v>
      </c>
      <c r="G867">
        <v>220000</v>
      </c>
      <c r="H867">
        <v>227000</v>
      </c>
    </row>
    <row r="868" spans="2:8" x14ac:dyDescent="0.25">
      <c r="B868" t="str">
        <f t="shared" si="13"/>
        <v>BENPopulation ages 45-49, male</v>
      </c>
      <c r="C868" t="s">
        <v>183</v>
      </c>
      <c r="D868" t="s">
        <v>9</v>
      </c>
      <c r="E868" t="s">
        <v>381</v>
      </c>
      <c r="F868" t="s">
        <v>710</v>
      </c>
      <c r="G868">
        <v>209000</v>
      </c>
      <c r="H868">
        <v>216000</v>
      </c>
    </row>
    <row r="869" spans="2:8" x14ac:dyDescent="0.25">
      <c r="B869" t="str">
        <f t="shared" si="13"/>
        <v>BENPopulation ages 50-54, female</v>
      </c>
      <c r="C869" t="s">
        <v>183</v>
      </c>
      <c r="D869" t="s">
        <v>9</v>
      </c>
      <c r="E869" t="s">
        <v>382</v>
      </c>
      <c r="F869" t="s">
        <v>711</v>
      </c>
      <c r="G869">
        <v>181000</v>
      </c>
      <c r="H869">
        <v>187000</v>
      </c>
    </row>
    <row r="870" spans="2:8" x14ac:dyDescent="0.25">
      <c r="B870" t="str">
        <f t="shared" si="13"/>
        <v>BENPopulation ages 50-54, male</v>
      </c>
      <c r="C870" t="s">
        <v>183</v>
      </c>
      <c r="D870" t="s">
        <v>9</v>
      </c>
      <c r="E870" t="s">
        <v>383</v>
      </c>
      <c r="F870" t="s">
        <v>712</v>
      </c>
      <c r="G870">
        <v>170000</v>
      </c>
      <c r="H870">
        <v>176000</v>
      </c>
    </row>
    <row r="871" spans="2:8" x14ac:dyDescent="0.25">
      <c r="B871" t="str">
        <f t="shared" si="13"/>
        <v>BENPopulation ages 55-59, male</v>
      </c>
      <c r="C871" t="s">
        <v>183</v>
      </c>
      <c r="D871" t="s">
        <v>9</v>
      </c>
      <c r="E871" t="s">
        <v>385</v>
      </c>
      <c r="F871" t="s">
        <v>713</v>
      </c>
      <c r="G871">
        <v>132000</v>
      </c>
      <c r="H871">
        <v>137000</v>
      </c>
    </row>
    <row r="872" spans="2:8" x14ac:dyDescent="0.25">
      <c r="B872" t="str">
        <f t="shared" si="13"/>
        <v>BENPopulation ages 55-59, female</v>
      </c>
      <c r="C872" t="s">
        <v>183</v>
      </c>
      <c r="D872" t="s">
        <v>9</v>
      </c>
      <c r="E872" t="s">
        <v>384</v>
      </c>
      <c r="F872" t="s">
        <v>714</v>
      </c>
      <c r="G872">
        <v>145000</v>
      </c>
      <c r="H872">
        <v>150000</v>
      </c>
    </row>
    <row r="873" spans="2:8" x14ac:dyDescent="0.25">
      <c r="B873" t="str">
        <f t="shared" si="13"/>
        <v>BENPopulation ages 65-69, male</v>
      </c>
      <c r="C873" t="s">
        <v>183</v>
      </c>
      <c r="D873" t="s">
        <v>9</v>
      </c>
      <c r="E873" t="s">
        <v>389</v>
      </c>
      <c r="F873" t="s">
        <v>715</v>
      </c>
      <c r="G873">
        <v>71000</v>
      </c>
      <c r="H873">
        <v>74000</v>
      </c>
    </row>
    <row r="874" spans="2:8" x14ac:dyDescent="0.25">
      <c r="B874" t="str">
        <f t="shared" si="13"/>
        <v>BENPopulation ages 65-69, female</v>
      </c>
      <c r="C874" t="s">
        <v>183</v>
      </c>
      <c r="D874" t="s">
        <v>9</v>
      </c>
      <c r="E874" t="s">
        <v>388</v>
      </c>
      <c r="F874" t="s">
        <v>716</v>
      </c>
      <c r="G874">
        <v>84000</v>
      </c>
      <c r="H874">
        <v>86000</v>
      </c>
    </row>
    <row r="875" spans="2:8" x14ac:dyDescent="0.25">
      <c r="B875" t="str">
        <f t="shared" si="13"/>
        <v>BENPopulation ages 60-64, female</v>
      </c>
      <c r="C875" t="s">
        <v>183</v>
      </c>
      <c r="D875" t="s">
        <v>9</v>
      </c>
      <c r="E875" t="s">
        <v>386</v>
      </c>
      <c r="F875" t="s">
        <v>717</v>
      </c>
      <c r="G875">
        <v>111000</v>
      </c>
      <c r="H875">
        <v>116000</v>
      </c>
    </row>
    <row r="876" spans="2:8" x14ac:dyDescent="0.25">
      <c r="B876" t="str">
        <f t="shared" si="13"/>
        <v>BENPopulation ages 60-64, male</v>
      </c>
      <c r="C876" t="s">
        <v>183</v>
      </c>
      <c r="D876" t="s">
        <v>9</v>
      </c>
      <c r="E876" t="s">
        <v>387</v>
      </c>
      <c r="F876" t="s">
        <v>718</v>
      </c>
      <c r="G876">
        <v>99000</v>
      </c>
      <c r="H876">
        <v>103000</v>
      </c>
    </row>
    <row r="877" spans="2:8" x14ac:dyDescent="0.25">
      <c r="B877" t="str">
        <f t="shared" si="13"/>
        <v>BENPopulation ages 70-74, female</v>
      </c>
      <c r="C877" t="s">
        <v>183</v>
      </c>
      <c r="D877" t="s">
        <v>9</v>
      </c>
      <c r="E877" t="s">
        <v>390</v>
      </c>
      <c r="F877" t="s">
        <v>719</v>
      </c>
      <c r="G877">
        <v>63000</v>
      </c>
      <c r="H877">
        <v>65000</v>
      </c>
    </row>
    <row r="878" spans="2:8" x14ac:dyDescent="0.25">
      <c r="B878" t="str">
        <f t="shared" si="13"/>
        <v>BENPopulation ages 70-74, male</v>
      </c>
      <c r="C878" t="s">
        <v>183</v>
      </c>
      <c r="D878" t="s">
        <v>9</v>
      </c>
      <c r="E878" t="s">
        <v>391</v>
      </c>
      <c r="F878" t="s">
        <v>720</v>
      </c>
      <c r="G878">
        <v>45000</v>
      </c>
      <c r="H878">
        <v>46000</v>
      </c>
    </row>
    <row r="879" spans="2:8" x14ac:dyDescent="0.25">
      <c r="B879" t="str">
        <f t="shared" si="13"/>
        <v>BENPopulation ages 75-79, female</v>
      </c>
      <c r="C879" t="s">
        <v>183</v>
      </c>
      <c r="D879" t="s">
        <v>9</v>
      </c>
      <c r="E879" t="s">
        <v>392</v>
      </c>
      <c r="F879" t="s">
        <v>721</v>
      </c>
      <c r="G879">
        <v>42000</v>
      </c>
      <c r="H879">
        <v>43000</v>
      </c>
    </row>
    <row r="880" spans="2:8" x14ac:dyDescent="0.25">
      <c r="B880" t="str">
        <f t="shared" si="13"/>
        <v>BENPopulation ages 75-79, male</v>
      </c>
      <c r="C880" t="s">
        <v>183</v>
      </c>
      <c r="D880" t="s">
        <v>9</v>
      </c>
      <c r="E880" t="s">
        <v>393</v>
      </c>
      <c r="F880" t="s">
        <v>722</v>
      </c>
      <c r="G880">
        <v>30000</v>
      </c>
      <c r="H880">
        <v>30000</v>
      </c>
    </row>
    <row r="881" spans="2:8" x14ac:dyDescent="0.25">
      <c r="B881" t="str">
        <f t="shared" si="13"/>
        <v>BENPopulation ages 80 and above, female</v>
      </c>
      <c r="C881" t="s">
        <v>183</v>
      </c>
      <c r="D881" t="s">
        <v>9</v>
      </c>
      <c r="E881" t="s">
        <v>394</v>
      </c>
      <c r="F881" t="s">
        <v>723</v>
      </c>
      <c r="G881">
        <v>32000</v>
      </c>
      <c r="H881">
        <v>32000</v>
      </c>
    </row>
    <row r="882" spans="2:8" x14ac:dyDescent="0.25">
      <c r="B882" t="str">
        <f t="shared" si="13"/>
        <v>BENPopulation ages 80 and above, male</v>
      </c>
      <c r="C882" t="s">
        <v>183</v>
      </c>
      <c r="D882" t="s">
        <v>9</v>
      </c>
      <c r="E882" t="s">
        <v>395</v>
      </c>
      <c r="F882" t="s">
        <v>724</v>
      </c>
      <c r="G882">
        <v>20000</v>
      </c>
      <c r="H882">
        <v>20000</v>
      </c>
    </row>
    <row r="883" spans="2:8" x14ac:dyDescent="0.25">
      <c r="B883" t="str">
        <f t="shared" si="13"/>
        <v>BENPopulation, male</v>
      </c>
      <c r="C883" t="s">
        <v>183</v>
      </c>
      <c r="D883" t="s">
        <v>9</v>
      </c>
      <c r="E883" t="s">
        <v>397</v>
      </c>
      <c r="F883" t="s">
        <v>725</v>
      </c>
      <c r="G883">
        <v>5891000</v>
      </c>
      <c r="H883">
        <v>6054000</v>
      </c>
    </row>
    <row r="884" spans="2:8" x14ac:dyDescent="0.25">
      <c r="B884" t="str">
        <f t="shared" si="13"/>
        <v>BENPopulation, total</v>
      </c>
      <c r="C884" t="s">
        <v>183</v>
      </c>
      <c r="D884" t="s">
        <v>9</v>
      </c>
      <c r="E884" t="s">
        <v>398</v>
      </c>
      <c r="F884" t="s">
        <v>726</v>
      </c>
      <c r="G884">
        <v>11801000</v>
      </c>
      <c r="H884">
        <v>12123000</v>
      </c>
    </row>
    <row r="885" spans="2:8" x14ac:dyDescent="0.25">
      <c r="B885" t="str">
        <f t="shared" si="13"/>
        <v>BENPopulation, female</v>
      </c>
      <c r="C885" t="s">
        <v>183</v>
      </c>
      <c r="D885" t="s">
        <v>9</v>
      </c>
      <c r="E885" t="s">
        <v>396</v>
      </c>
      <c r="F885" t="s">
        <v>727</v>
      </c>
      <c r="G885">
        <v>5910000</v>
      </c>
      <c r="H885">
        <v>6069000</v>
      </c>
    </row>
    <row r="886" spans="2:8" x14ac:dyDescent="0.25">
      <c r="B886" t="str">
        <f t="shared" si="13"/>
        <v>BENPopulation growth (annual %)</v>
      </c>
      <c r="C886" t="s">
        <v>183</v>
      </c>
      <c r="D886" t="s">
        <v>9</v>
      </c>
      <c r="E886" t="s">
        <v>399</v>
      </c>
      <c r="F886" t="s">
        <v>728</v>
      </c>
      <c r="G886">
        <v>0</v>
      </c>
      <c r="H886">
        <v>0</v>
      </c>
    </row>
    <row r="887" spans="2:8" x14ac:dyDescent="0.25">
      <c r="B887" t="str">
        <f t="shared" si="13"/>
        <v>BMUPopulation ages 0-14, female</v>
      </c>
      <c r="C887" t="s">
        <v>440</v>
      </c>
      <c r="D887" t="s">
        <v>441</v>
      </c>
      <c r="E887" t="s">
        <v>687</v>
      </c>
      <c r="F887" t="s">
        <v>688</v>
      </c>
      <c r="G887">
        <v>0</v>
      </c>
      <c r="H887">
        <v>0</v>
      </c>
    </row>
    <row r="888" spans="2:8" x14ac:dyDescent="0.25">
      <c r="B888" t="str">
        <f t="shared" si="13"/>
        <v>BMUPopulation ages 0-14, male</v>
      </c>
      <c r="C888" t="s">
        <v>440</v>
      </c>
      <c r="D888" t="s">
        <v>441</v>
      </c>
      <c r="E888" t="s">
        <v>689</v>
      </c>
      <c r="F888" t="s">
        <v>690</v>
      </c>
      <c r="G888">
        <v>0</v>
      </c>
      <c r="H888">
        <v>0</v>
      </c>
    </row>
    <row r="889" spans="2:8" x14ac:dyDescent="0.25">
      <c r="B889" t="str">
        <f t="shared" si="13"/>
        <v>BMUPopulation ages 00-04, female</v>
      </c>
      <c r="C889" t="s">
        <v>440</v>
      </c>
      <c r="D889" t="s">
        <v>441</v>
      </c>
      <c r="E889" t="s">
        <v>362</v>
      </c>
      <c r="F889" t="s">
        <v>691</v>
      </c>
      <c r="G889">
        <v>0</v>
      </c>
      <c r="H889">
        <v>0</v>
      </c>
    </row>
    <row r="890" spans="2:8" x14ac:dyDescent="0.25">
      <c r="B890" t="str">
        <f t="shared" si="13"/>
        <v>BMUPopulation ages 00-04, male</v>
      </c>
      <c r="C890" t="s">
        <v>440</v>
      </c>
      <c r="D890" t="s">
        <v>441</v>
      </c>
      <c r="E890" t="s">
        <v>363</v>
      </c>
      <c r="F890" t="s">
        <v>692</v>
      </c>
      <c r="G890">
        <v>0</v>
      </c>
      <c r="H890">
        <v>0</v>
      </c>
    </row>
    <row r="891" spans="2:8" x14ac:dyDescent="0.25">
      <c r="B891" t="str">
        <f t="shared" si="13"/>
        <v>BMUPopulation ages 05-09, female</v>
      </c>
      <c r="C891" t="s">
        <v>440</v>
      </c>
      <c r="D891" t="s">
        <v>441</v>
      </c>
      <c r="E891" t="s">
        <v>364</v>
      </c>
      <c r="F891" t="s">
        <v>693</v>
      </c>
      <c r="G891">
        <v>0</v>
      </c>
      <c r="H891">
        <v>0</v>
      </c>
    </row>
    <row r="892" spans="2:8" x14ac:dyDescent="0.25">
      <c r="B892" t="str">
        <f t="shared" si="13"/>
        <v>BMUPopulation ages 05-09, male</v>
      </c>
      <c r="C892" t="s">
        <v>440</v>
      </c>
      <c r="D892" t="s">
        <v>441</v>
      </c>
      <c r="E892" t="s">
        <v>365</v>
      </c>
      <c r="F892" t="s">
        <v>694</v>
      </c>
      <c r="G892">
        <v>0</v>
      </c>
      <c r="H892">
        <v>0</v>
      </c>
    </row>
    <row r="893" spans="2:8" x14ac:dyDescent="0.25">
      <c r="B893" t="str">
        <f t="shared" si="13"/>
        <v>BMUPopulation ages 10-14, female</v>
      </c>
      <c r="C893" t="s">
        <v>440</v>
      </c>
      <c r="D893" t="s">
        <v>441</v>
      </c>
      <c r="E893" t="s">
        <v>366</v>
      </c>
      <c r="F893" t="s">
        <v>695</v>
      </c>
      <c r="G893">
        <v>0</v>
      </c>
      <c r="H893">
        <v>0</v>
      </c>
    </row>
    <row r="894" spans="2:8" x14ac:dyDescent="0.25">
      <c r="B894" t="str">
        <f t="shared" si="13"/>
        <v>BMUPopulation ages 10-14, male</v>
      </c>
      <c r="C894" t="s">
        <v>440</v>
      </c>
      <c r="D894" t="s">
        <v>441</v>
      </c>
      <c r="E894" t="s">
        <v>367</v>
      </c>
      <c r="F894" t="s">
        <v>696</v>
      </c>
      <c r="G894">
        <v>0</v>
      </c>
      <c r="H894">
        <v>0</v>
      </c>
    </row>
    <row r="895" spans="2:8" x14ac:dyDescent="0.25">
      <c r="B895" t="str">
        <f t="shared" si="13"/>
        <v>BMUPopulation ages 15-19, female</v>
      </c>
      <c r="C895" t="s">
        <v>440</v>
      </c>
      <c r="D895" t="s">
        <v>441</v>
      </c>
      <c r="E895" t="s">
        <v>368</v>
      </c>
      <c r="F895" t="s">
        <v>697</v>
      </c>
      <c r="G895">
        <v>0</v>
      </c>
      <c r="H895">
        <v>0</v>
      </c>
    </row>
    <row r="896" spans="2:8" x14ac:dyDescent="0.25">
      <c r="B896" t="str">
        <f t="shared" si="13"/>
        <v>BMUPopulation ages 15-19, male</v>
      </c>
      <c r="C896" t="s">
        <v>440</v>
      </c>
      <c r="D896" t="s">
        <v>441</v>
      </c>
      <c r="E896" t="s">
        <v>369</v>
      </c>
      <c r="F896" t="s">
        <v>698</v>
      </c>
      <c r="G896">
        <v>0</v>
      </c>
      <c r="H896">
        <v>0</v>
      </c>
    </row>
    <row r="897" spans="2:8" x14ac:dyDescent="0.25">
      <c r="B897" t="str">
        <f t="shared" si="13"/>
        <v>BMUPopulation ages 20-24, female</v>
      </c>
      <c r="C897" t="s">
        <v>440</v>
      </c>
      <c r="D897" t="s">
        <v>441</v>
      </c>
      <c r="E897" t="s">
        <v>370</v>
      </c>
      <c r="F897" t="s">
        <v>699</v>
      </c>
      <c r="G897">
        <v>0</v>
      </c>
      <c r="H897">
        <v>0</v>
      </c>
    </row>
    <row r="898" spans="2:8" x14ac:dyDescent="0.25">
      <c r="B898" t="str">
        <f t="shared" si="13"/>
        <v>BMUPopulation ages 20-24, male</v>
      </c>
      <c r="C898" t="s">
        <v>440</v>
      </c>
      <c r="D898" t="s">
        <v>441</v>
      </c>
      <c r="E898" t="s">
        <v>371</v>
      </c>
      <c r="F898" t="s">
        <v>700</v>
      </c>
      <c r="G898">
        <v>0</v>
      </c>
      <c r="H898">
        <v>0</v>
      </c>
    </row>
    <row r="899" spans="2:8" x14ac:dyDescent="0.25">
      <c r="B899" t="str">
        <f t="shared" si="13"/>
        <v>BMUPopulation ages 25-29, female</v>
      </c>
      <c r="C899" t="s">
        <v>440</v>
      </c>
      <c r="D899" t="s">
        <v>441</v>
      </c>
      <c r="E899" t="s">
        <v>372</v>
      </c>
      <c r="F899" t="s">
        <v>701</v>
      </c>
      <c r="G899">
        <v>0</v>
      </c>
      <c r="H899">
        <v>0</v>
      </c>
    </row>
    <row r="900" spans="2:8" x14ac:dyDescent="0.25">
      <c r="B900" t="str">
        <f t="shared" si="13"/>
        <v>BMUPopulation ages 25-29, male</v>
      </c>
      <c r="C900" t="s">
        <v>440</v>
      </c>
      <c r="D900" t="s">
        <v>441</v>
      </c>
      <c r="E900" t="s">
        <v>373</v>
      </c>
      <c r="F900" t="s">
        <v>702</v>
      </c>
      <c r="G900">
        <v>0</v>
      </c>
      <c r="H900">
        <v>0</v>
      </c>
    </row>
    <row r="901" spans="2:8" x14ac:dyDescent="0.25">
      <c r="B901" t="str">
        <f t="shared" si="13"/>
        <v>BMUPopulation ages 30-34, female</v>
      </c>
      <c r="C901" t="s">
        <v>440</v>
      </c>
      <c r="D901" t="s">
        <v>441</v>
      </c>
      <c r="E901" t="s">
        <v>374</v>
      </c>
      <c r="F901" t="s">
        <v>703</v>
      </c>
      <c r="G901">
        <v>0</v>
      </c>
      <c r="H901">
        <v>0</v>
      </c>
    </row>
    <row r="902" spans="2:8" x14ac:dyDescent="0.25">
      <c r="B902" t="str">
        <f t="shared" si="13"/>
        <v>BMUPopulation ages 30-34, male</v>
      </c>
      <c r="C902" t="s">
        <v>440</v>
      </c>
      <c r="D902" t="s">
        <v>441</v>
      </c>
      <c r="E902" t="s">
        <v>375</v>
      </c>
      <c r="F902" t="s">
        <v>704</v>
      </c>
      <c r="G902">
        <v>0</v>
      </c>
      <c r="H902">
        <v>0</v>
      </c>
    </row>
    <row r="903" spans="2:8" x14ac:dyDescent="0.25">
      <c r="B903" t="str">
        <f t="shared" ref="B903:B966" si="14">CONCATENATE(D903,E903)</f>
        <v>BMUPopulation ages 35-39, female</v>
      </c>
      <c r="C903" t="s">
        <v>440</v>
      </c>
      <c r="D903" t="s">
        <v>441</v>
      </c>
      <c r="E903" t="s">
        <v>376</v>
      </c>
      <c r="F903" t="s">
        <v>705</v>
      </c>
      <c r="G903">
        <v>0</v>
      </c>
      <c r="H903">
        <v>0</v>
      </c>
    </row>
    <row r="904" spans="2:8" x14ac:dyDescent="0.25">
      <c r="B904" t="str">
        <f t="shared" si="14"/>
        <v>BMUPopulation ages 35-39, male</v>
      </c>
      <c r="C904" t="s">
        <v>440</v>
      </c>
      <c r="D904" t="s">
        <v>441</v>
      </c>
      <c r="E904" t="s">
        <v>377</v>
      </c>
      <c r="F904" t="s">
        <v>706</v>
      </c>
      <c r="G904">
        <v>0</v>
      </c>
      <c r="H904">
        <v>0</v>
      </c>
    </row>
    <row r="905" spans="2:8" x14ac:dyDescent="0.25">
      <c r="B905" t="str">
        <f t="shared" si="14"/>
        <v>BMUPopulation ages 40-44, female</v>
      </c>
      <c r="C905" t="s">
        <v>440</v>
      </c>
      <c r="D905" t="s">
        <v>441</v>
      </c>
      <c r="E905" t="s">
        <v>378</v>
      </c>
      <c r="F905" t="s">
        <v>707</v>
      </c>
      <c r="G905">
        <v>0</v>
      </c>
      <c r="H905">
        <v>0</v>
      </c>
    </row>
    <row r="906" spans="2:8" x14ac:dyDescent="0.25">
      <c r="B906" t="str">
        <f t="shared" si="14"/>
        <v>BMUPopulation ages 40-44, male</v>
      </c>
      <c r="C906" t="s">
        <v>440</v>
      </c>
      <c r="D906" t="s">
        <v>441</v>
      </c>
      <c r="E906" t="s">
        <v>379</v>
      </c>
      <c r="F906" t="s">
        <v>708</v>
      </c>
      <c r="G906">
        <v>0</v>
      </c>
      <c r="H906">
        <v>0</v>
      </c>
    </row>
    <row r="907" spans="2:8" x14ac:dyDescent="0.25">
      <c r="B907" t="str">
        <f t="shared" si="14"/>
        <v>BMUPopulation ages 45-49, female</v>
      </c>
      <c r="C907" t="s">
        <v>440</v>
      </c>
      <c r="D907" t="s">
        <v>441</v>
      </c>
      <c r="E907" t="s">
        <v>380</v>
      </c>
      <c r="F907" t="s">
        <v>709</v>
      </c>
      <c r="G907">
        <v>0</v>
      </c>
      <c r="H907">
        <v>0</v>
      </c>
    </row>
    <row r="908" spans="2:8" x14ac:dyDescent="0.25">
      <c r="B908" t="str">
        <f t="shared" si="14"/>
        <v>BMUPopulation ages 45-49, male</v>
      </c>
      <c r="C908" t="s">
        <v>440</v>
      </c>
      <c r="D908" t="s">
        <v>441</v>
      </c>
      <c r="E908" t="s">
        <v>381</v>
      </c>
      <c r="F908" t="s">
        <v>710</v>
      </c>
      <c r="G908">
        <v>0</v>
      </c>
      <c r="H908">
        <v>0</v>
      </c>
    </row>
    <row r="909" spans="2:8" x14ac:dyDescent="0.25">
      <c r="B909" t="str">
        <f t="shared" si="14"/>
        <v>BMUPopulation ages 50-54, female</v>
      </c>
      <c r="C909" t="s">
        <v>440</v>
      </c>
      <c r="D909" t="s">
        <v>441</v>
      </c>
      <c r="E909" t="s">
        <v>382</v>
      </c>
      <c r="F909" t="s">
        <v>711</v>
      </c>
      <c r="G909">
        <v>0</v>
      </c>
      <c r="H909">
        <v>0</v>
      </c>
    </row>
    <row r="910" spans="2:8" x14ac:dyDescent="0.25">
      <c r="B910" t="str">
        <f t="shared" si="14"/>
        <v>BMUPopulation ages 50-54, male</v>
      </c>
      <c r="C910" t="s">
        <v>440</v>
      </c>
      <c r="D910" t="s">
        <v>441</v>
      </c>
      <c r="E910" t="s">
        <v>383</v>
      </c>
      <c r="F910" t="s">
        <v>712</v>
      </c>
      <c r="G910">
        <v>0</v>
      </c>
      <c r="H910">
        <v>0</v>
      </c>
    </row>
    <row r="911" spans="2:8" x14ac:dyDescent="0.25">
      <c r="B911" t="str">
        <f t="shared" si="14"/>
        <v>BMUPopulation ages 55-59, male</v>
      </c>
      <c r="C911" t="s">
        <v>440</v>
      </c>
      <c r="D911" t="s">
        <v>441</v>
      </c>
      <c r="E911" t="s">
        <v>385</v>
      </c>
      <c r="F911" t="s">
        <v>713</v>
      </c>
      <c r="G911">
        <v>0</v>
      </c>
      <c r="H911">
        <v>0</v>
      </c>
    </row>
    <row r="912" spans="2:8" x14ac:dyDescent="0.25">
      <c r="B912" t="str">
        <f t="shared" si="14"/>
        <v>BMUPopulation ages 55-59, female</v>
      </c>
      <c r="C912" t="s">
        <v>440</v>
      </c>
      <c r="D912" t="s">
        <v>441</v>
      </c>
      <c r="E912" t="s">
        <v>384</v>
      </c>
      <c r="F912" t="s">
        <v>714</v>
      </c>
      <c r="G912">
        <v>0</v>
      </c>
      <c r="H912">
        <v>0</v>
      </c>
    </row>
    <row r="913" spans="2:8" x14ac:dyDescent="0.25">
      <c r="B913" t="str">
        <f t="shared" si="14"/>
        <v>BMUPopulation ages 65-69, male</v>
      </c>
      <c r="C913" t="s">
        <v>440</v>
      </c>
      <c r="D913" t="s">
        <v>441</v>
      </c>
      <c r="E913" t="s">
        <v>389</v>
      </c>
      <c r="F913" t="s">
        <v>715</v>
      </c>
      <c r="G913">
        <v>0</v>
      </c>
      <c r="H913">
        <v>0</v>
      </c>
    </row>
    <row r="914" spans="2:8" x14ac:dyDescent="0.25">
      <c r="B914" t="str">
        <f t="shared" si="14"/>
        <v>BMUPopulation ages 65-69, female</v>
      </c>
      <c r="C914" t="s">
        <v>440</v>
      </c>
      <c r="D914" t="s">
        <v>441</v>
      </c>
      <c r="E914" t="s">
        <v>388</v>
      </c>
      <c r="F914" t="s">
        <v>716</v>
      </c>
      <c r="G914">
        <v>0</v>
      </c>
      <c r="H914">
        <v>0</v>
      </c>
    </row>
    <row r="915" spans="2:8" x14ac:dyDescent="0.25">
      <c r="B915" t="str">
        <f t="shared" si="14"/>
        <v>BMUPopulation ages 60-64, female</v>
      </c>
      <c r="C915" t="s">
        <v>440</v>
      </c>
      <c r="D915" t="s">
        <v>441</v>
      </c>
      <c r="E915" t="s">
        <v>386</v>
      </c>
      <c r="F915" t="s">
        <v>717</v>
      </c>
      <c r="G915">
        <v>0</v>
      </c>
      <c r="H915">
        <v>0</v>
      </c>
    </row>
    <row r="916" spans="2:8" x14ac:dyDescent="0.25">
      <c r="B916" t="str">
        <f t="shared" si="14"/>
        <v>BMUPopulation ages 60-64, male</v>
      </c>
      <c r="C916" t="s">
        <v>440</v>
      </c>
      <c r="D916" t="s">
        <v>441</v>
      </c>
      <c r="E916" t="s">
        <v>387</v>
      </c>
      <c r="F916" t="s">
        <v>718</v>
      </c>
      <c r="G916">
        <v>0</v>
      </c>
      <c r="H916">
        <v>0</v>
      </c>
    </row>
    <row r="917" spans="2:8" x14ac:dyDescent="0.25">
      <c r="B917" t="str">
        <f t="shared" si="14"/>
        <v>BMUPopulation ages 70-74, female</v>
      </c>
      <c r="C917" t="s">
        <v>440</v>
      </c>
      <c r="D917" t="s">
        <v>441</v>
      </c>
      <c r="E917" t="s">
        <v>390</v>
      </c>
      <c r="F917" t="s">
        <v>719</v>
      </c>
      <c r="G917">
        <v>0</v>
      </c>
      <c r="H917">
        <v>0</v>
      </c>
    </row>
    <row r="918" spans="2:8" x14ac:dyDescent="0.25">
      <c r="B918" t="str">
        <f t="shared" si="14"/>
        <v>BMUPopulation ages 70-74, male</v>
      </c>
      <c r="C918" t="s">
        <v>440</v>
      </c>
      <c r="D918" t="s">
        <v>441</v>
      </c>
      <c r="E918" t="s">
        <v>391</v>
      </c>
      <c r="F918" t="s">
        <v>720</v>
      </c>
      <c r="G918">
        <v>0</v>
      </c>
      <c r="H918">
        <v>0</v>
      </c>
    </row>
    <row r="919" spans="2:8" x14ac:dyDescent="0.25">
      <c r="B919" t="str">
        <f t="shared" si="14"/>
        <v>BMUPopulation ages 75-79, female</v>
      </c>
      <c r="C919" t="s">
        <v>440</v>
      </c>
      <c r="D919" t="s">
        <v>441</v>
      </c>
      <c r="E919" t="s">
        <v>392</v>
      </c>
      <c r="F919" t="s">
        <v>721</v>
      </c>
      <c r="G919">
        <v>0</v>
      </c>
      <c r="H919">
        <v>0</v>
      </c>
    </row>
    <row r="920" spans="2:8" x14ac:dyDescent="0.25">
      <c r="B920" t="str">
        <f t="shared" si="14"/>
        <v>BMUPopulation ages 75-79, male</v>
      </c>
      <c r="C920" t="s">
        <v>440</v>
      </c>
      <c r="D920" t="s">
        <v>441</v>
      </c>
      <c r="E920" t="s">
        <v>393</v>
      </c>
      <c r="F920" t="s">
        <v>722</v>
      </c>
      <c r="G920">
        <v>0</v>
      </c>
      <c r="H920">
        <v>0</v>
      </c>
    </row>
    <row r="921" spans="2:8" x14ac:dyDescent="0.25">
      <c r="B921" t="str">
        <f t="shared" si="14"/>
        <v>BMUPopulation ages 80 and above, female</v>
      </c>
      <c r="C921" t="s">
        <v>440</v>
      </c>
      <c r="D921" t="s">
        <v>441</v>
      </c>
      <c r="E921" t="s">
        <v>394</v>
      </c>
      <c r="F921" t="s">
        <v>723</v>
      </c>
      <c r="G921">
        <v>0</v>
      </c>
      <c r="H921">
        <v>0</v>
      </c>
    </row>
    <row r="922" spans="2:8" x14ac:dyDescent="0.25">
      <c r="B922" t="str">
        <f t="shared" si="14"/>
        <v>BMUPopulation ages 80 and above, male</v>
      </c>
      <c r="C922" t="s">
        <v>440</v>
      </c>
      <c r="D922" t="s">
        <v>441</v>
      </c>
      <c r="E922" t="s">
        <v>395</v>
      </c>
      <c r="F922" t="s">
        <v>724</v>
      </c>
      <c r="G922">
        <v>0</v>
      </c>
      <c r="H922">
        <v>0</v>
      </c>
    </row>
    <row r="923" spans="2:8" x14ac:dyDescent="0.25">
      <c r="B923" t="str">
        <f t="shared" si="14"/>
        <v>BMUPopulation, male</v>
      </c>
      <c r="C923" t="s">
        <v>440</v>
      </c>
      <c r="D923" t="s">
        <v>441</v>
      </c>
      <c r="E923" t="s">
        <v>397</v>
      </c>
      <c r="F923" t="s">
        <v>725</v>
      </c>
      <c r="G923">
        <v>0</v>
      </c>
      <c r="H923">
        <v>0</v>
      </c>
    </row>
    <row r="924" spans="2:8" x14ac:dyDescent="0.25">
      <c r="B924" t="str">
        <f t="shared" si="14"/>
        <v>BMUPopulation, total</v>
      </c>
      <c r="C924" t="s">
        <v>440</v>
      </c>
      <c r="D924" t="s">
        <v>441</v>
      </c>
      <c r="E924" t="s">
        <v>398</v>
      </c>
      <c r="F924" t="s">
        <v>726</v>
      </c>
      <c r="G924">
        <v>0</v>
      </c>
      <c r="H924">
        <v>0</v>
      </c>
    </row>
    <row r="925" spans="2:8" x14ac:dyDescent="0.25">
      <c r="B925" t="str">
        <f t="shared" si="14"/>
        <v>BMUPopulation, female</v>
      </c>
      <c r="C925" t="s">
        <v>440</v>
      </c>
      <c r="D925" t="s">
        <v>441</v>
      </c>
      <c r="E925" t="s">
        <v>396</v>
      </c>
      <c r="F925" t="s">
        <v>727</v>
      </c>
      <c r="G925">
        <v>0</v>
      </c>
      <c r="H925">
        <v>0</v>
      </c>
    </row>
    <row r="926" spans="2:8" x14ac:dyDescent="0.25">
      <c r="B926" t="str">
        <f t="shared" si="14"/>
        <v>BMUPopulation growth (annual %)</v>
      </c>
      <c r="C926" t="s">
        <v>440</v>
      </c>
      <c r="D926" t="s">
        <v>441</v>
      </c>
      <c r="E926" t="s">
        <v>399</v>
      </c>
      <c r="F926" t="s">
        <v>728</v>
      </c>
      <c r="G926">
        <v>0</v>
      </c>
      <c r="H926">
        <v>0</v>
      </c>
    </row>
    <row r="927" spans="2:8" x14ac:dyDescent="0.25">
      <c r="B927" t="str">
        <f t="shared" si="14"/>
        <v>BTNPopulation ages 0-14, female</v>
      </c>
      <c r="C927" t="s">
        <v>241</v>
      </c>
      <c r="D927" t="s">
        <v>21</v>
      </c>
      <c r="E927" t="s">
        <v>687</v>
      </c>
      <c r="F927" t="s">
        <v>688</v>
      </c>
      <c r="G927">
        <v>95000</v>
      </c>
      <c r="H927">
        <v>95000</v>
      </c>
    </row>
    <row r="928" spans="2:8" x14ac:dyDescent="0.25">
      <c r="B928" t="str">
        <f t="shared" si="14"/>
        <v>BTNPopulation ages 0-14, male</v>
      </c>
      <c r="C928" t="s">
        <v>241</v>
      </c>
      <c r="D928" t="s">
        <v>21</v>
      </c>
      <c r="E928" t="s">
        <v>689</v>
      </c>
      <c r="F928" t="s">
        <v>690</v>
      </c>
      <c r="G928">
        <v>98000</v>
      </c>
      <c r="H928">
        <v>98000</v>
      </c>
    </row>
    <row r="929" spans="2:8" x14ac:dyDescent="0.25">
      <c r="B929" t="str">
        <f t="shared" si="14"/>
        <v>BTNPopulation ages 00-04, female</v>
      </c>
      <c r="C929" t="s">
        <v>241</v>
      </c>
      <c r="D929" t="s">
        <v>21</v>
      </c>
      <c r="E929" t="s">
        <v>362</v>
      </c>
      <c r="F929" t="s">
        <v>691</v>
      </c>
      <c r="G929">
        <v>31000</v>
      </c>
      <c r="H929">
        <v>31000</v>
      </c>
    </row>
    <row r="930" spans="2:8" x14ac:dyDescent="0.25">
      <c r="B930" t="str">
        <f t="shared" si="14"/>
        <v>BTNPopulation ages 00-04, male</v>
      </c>
      <c r="C930" t="s">
        <v>241</v>
      </c>
      <c r="D930" t="s">
        <v>21</v>
      </c>
      <c r="E930" t="s">
        <v>363</v>
      </c>
      <c r="F930" t="s">
        <v>692</v>
      </c>
      <c r="G930">
        <v>32000</v>
      </c>
      <c r="H930">
        <v>32000</v>
      </c>
    </row>
    <row r="931" spans="2:8" x14ac:dyDescent="0.25">
      <c r="B931" t="str">
        <f t="shared" si="14"/>
        <v>BTNPopulation ages 05-09, female</v>
      </c>
      <c r="C931" t="s">
        <v>241</v>
      </c>
      <c r="D931" t="s">
        <v>21</v>
      </c>
      <c r="E931" t="s">
        <v>364</v>
      </c>
      <c r="F931" t="s">
        <v>693</v>
      </c>
      <c r="G931">
        <v>31000</v>
      </c>
      <c r="H931">
        <v>30000</v>
      </c>
    </row>
    <row r="932" spans="2:8" x14ac:dyDescent="0.25">
      <c r="B932" t="str">
        <f t="shared" si="14"/>
        <v>BTNPopulation ages 05-09, male</v>
      </c>
      <c r="C932" t="s">
        <v>241</v>
      </c>
      <c r="D932" t="s">
        <v>21</v>
      </c>
      <c r="E932" t="s">
        <v>365</v>
      </c>
      <c r="F932" t="s">
        <v>694</v>
      </c>
      <c r="G932">
        <v>32000</v>
      </c>
      <c r="H932">
        <v>31000</v>
      </c>
    </row>
    <row r="933" spans="2:8" x14ac:dyDescent="0.25">
      <c r="B933" t="str">
        <f t="shared" si="14"/>
        <v>BTNPopulation ages 10-14, female</v>
      </c>
      <c r="C933" t="s">
        <v>241</v>
      </c>
      <c r="D933" t="s">
        <v>21</v>
      </c>
      <c r="E933" t="s">
        <v>366</v>
      </c>
      <c r="F933" t="s">
        <v>695</v>
      </c>
      <c r="G933">
        <v>33000</v>
      </c>
      <c r="H933">
        <v>33000</v>
      </c>
    </row>
    <row r="934" spans="2:8" x14ac:dyDescent="0.25">
      <c r="B934" t="str">
        <f t="shared" si="14"/>
        <v>BTNPopulation ages 10-14, male</v>
      </c>
      <c r="C934" t="s">
        <v>241</v>
      </c>
      <c r="D934" t="s">
        <v>21</v>
      </c>
      <c r="E934" t="s">
        <v>367</v>
      </c>
      <c r="F934" t="s">
        <v>696</v>
      </c>
      <c r="G934">
        <v>34000</v>
      </c>
      <c r="H934">
        <v>34000</v>
      </c>
    </row>
    <row r="935" spans="2:8" x14ac:dyDescent="0.25">
      <c r="B935" t="str">
        <f t="shared" si="14"/>
        <v>BTNPopulation ages 15-19, female</v>
      </c>
      <c r="C935" t="s">
        <v>241</v>
      </c>
      <c r="D935" t="s">
        <v>21</v>
      </c>
      <c r="E935" t="s">
        <v>368</v>
      </c>
      <c r="F935" t="s">
        <v>697</v>
      </c>
      <c r="G935">
        <v>34000</v>
      </c>
      <c r="H935">
        <v>34000</v>
      </c>
    </row>
    <row r="936" spans="2:8" x14ac:dyDescent="0.25">
      <c r="B936" t="str">
        <f t="shared" si="14"/>
        <v>BTNPopulation ages 15-19, male</v>
      </c>
      <c r="C936" t="s">
        <v>241</v>
      </c>
      <c r="D936" t="s">
        <v>21</v>
      </c>
      <c r="E936" t="s">
        <v>369</v>
      </c>
      <c r="F936" t="s">
        <v>698</v>
      </c>
      <c r="G936">
        <v>36000</v>
      </c>
      <c r="H936">
        <v>36000</v>
      </c>
    </row>
    <row r="937" spans="2:8" x14ac:dyDescent="0.25">
      <c r="B937" t="str">
        <f t="shared" si="14"/>
        <v>BTNPopulation ages 20-24, female</v>
      </c>
      <c r="C937" t="s">
        <v>241</v>
      </c>
      <c r="D937" t="s">
        <v>21</v>
      </c>
      <c r="E937" t="s">
        <v>370</v>
      </c>
      <c r="F937" t="s">
        <v>699</v>
      </c>
      <c r="G937">
        <v>35000</v>
      </c>
      <c r="H937">
        <v>35000</v>
      </c>
    </row>
    <row r="938" spans="2:8" x14ac:dyDescent="0.25">
      <c r="B938" t="str">
        <f t="shared" si="14"/>
        <v>BTNPopulation ages 20-24, male</v>
      </c>
      <c r="C938" t="s">
        <v>241</v>
      </c>
      <c r="D938" t="s">
        <v>21</v>
      </c>
      <c r="E938" t="s">
        <v>371</v>
      </c>
      <c r="F938" t="s">
        <v>700</v>
      </c>
      <c r="G938">
        <v>40000</v>
      </c>
      <c r="H938">
        <v>40000</v>
      </c>
    </row>
    <row r="939" spans="2:8" x14ac:dyDescent="0.25">
      <c r="B939" t="str">
        <f t="shared" si="14"/>
        <v>BTNPopulation ages 25-29, female</v>
      </c>
      <c r="C939" t="s">
        <v>241</v>
      </c>
      <c r="D939" t="s">
        <v>21</v>
      </c>
      <c r="E939" t="s">
        <v>372</v>
      </c>
      <c r="F939" t="s">
        <v>701</v>
      </c>
      <c r="G939">
        <v>36000</v>
      </c>
      <c r="H939">
        <v>35000</v>
      </c>
    </row>
    <row r="940" spans="2:8" x14ac:dyDescent="0.25">
      <c r="B940" t="str">
        <f t="shared" si="14"/>
        <v>BTNPopulation ages 25-29, male</v>
      </c>
      <c r="C940" t="s">
        <v>241</v>
      </c>
      <c r="D940" t="s">
        <v>21</v>
      </c>
      <c r="E940" t="s">
        <v>373</v>
      </c>
      <c r="F940" t="s">
        <v>702</v>
      </c>
      <c r="G940">
        <v>43000</v>
      </c>
      <c r="H940">
        <v>44000</v>
      </c>
    </row>
    <row r="941" spans="2:8" x14ac:dyDescent="0.25">
      <c r="B941" t="str">
        <f t="shared" si="14"/>
        <v>BTNPopulation ages 30-34, female</v>
      </c>
      <c r="C941" t="s">
        <v>241</v>
      </c>
      <c r="D941" t="s">
        <v>21</v>
      </c>
      <c r="E941" t="s">
        <v>374</v>
      </c>
      <c r="F941" t="s">
        <v>703</v>
      </c>
      <c r="G941">
        <v>34000</v>
      </c>
      <c r="H941">
        <v>35000</v>
      </c>
    </row>
    <row r="942" spans="2:8" x14ac:dyDescent="0.25">
      <c r="B942" t="str">
        <f t="shared" si="14"/>
        <v>BTNPopulation ages 30-34, male</v>
      </c>
      <c r="C942" t="s">
        <v>241</v>
      </c>
      <c r="D942" t="s">
        <v>21</v>
      </c>
      <c r="E942" t="s">
        <v>375</v>
      </c>
      <c r="F942" t="s">
        <v>704</v>
      </c>
      <c r="G942">
        <v>40000</v>
      </c>
      <c r="H942">
        <v>41000</v>
      </c>
    </row>
    <row r="943" spans="2:8" x14ac:dyDescent="0.25">
      <c r="B943" t="str">
        <f t="shared" si="14"/>
        <v>BTNPopulation ages 35-39, female</v>
      </c>
      <c r="C943" t="s">
        <v>241</v>
      </c>
      <c r="D943" t="s">
        <v>21</v>
      </c>
      <c r="E943" t="s">
        <v>376</v>
      </c>
      <c r="F943" t="s">
        <v>705</v>
      </c>
      <c r="G943">
        <v>27000</v>
      </c>
      <c r="H943">
        <v>29000</v>
      </c>
    </row>
    <row r="944" spans="2:8" x14ac:dyDescent="0.25">
      <c r="B944" t="str">
        <f t="shared" si="14"/>
        <v>BTNPopulation ages 35-39, male</v>
      </c>
      <c r="C944" t="s">
        <v>241</v>
      </c>
      <c r="D944" t="s">
        <v>21</v>
      </c>
      <c r="E944" t="s">
        <v>377</v>
      </c>
      <c r="F944" t="s">
        <v>706</v>
      </c>
      <c r="G944">
        <v>33000</v>
      </c>
      <c r="H944">
        <v>34000</v>
      </c>
    </row>
    <row r="945" spans="2:8" x14ac:dyDescent="0.25">
      <c r="B945" t="str">
        <f t="shared" si="14"/>
        <v>BTNPopulation ages 40-44, female</v>
      </c>
      <c r="C945" t="s">
        <v>241</v>
      </c>
      <c r="D945" t="s">
        <v>21</v>
      </c>
      <c r="E945" t="s">
        <v>378</v>
      </c>
      <c r="F945" t="s">
        <v>707</v>
      </c>
      <c r="G945">
        <v>21000</v>
      </c>
      <c r="H945">
        <v>22000</v>
      </c>
    </row>
    <row r="946" spans="2:8" x14ac:dyDescent="0.25">
      <c r="B946" t="str">
        <f t="shared" si="14"/>
        <v>BTNPopulation ages 40-44, male</v>
      </c>
      <c r="C946" t="s">
        <v>241</v>
      </c>
      <c r="D946" t="s">
        <v>21</v>
      </c>
      <c r="E946" t="s">
        <v>379</v>
      </c>
      <c r="F946" t="s">
        <v>708</v>
      </c>
      <c r="G946">
        <v>27000</v>
      </c>
      <c r="H946">
        <v>28000</v>
      </c>
    </row>
    <row r="947" spans="2:8" x14ac:dyDescent="0.25">
      <c r="B947" t="str">
        <f t="shared" si="14"/>
        <v>BTNPopulation ages 45-49, female</v>
      </c>
      <c r="C947" t="s">
        <v>241</v>
      </c>
      <c r="D947" t="s">
        <v>21</v>
      </c>
      <c r="E947" t="s">
        <v>380</v>
      </c>
      <c r="F947" t="s">
        <v>709</v>
      </c>
      <c r="G947">
        <v>17000</v>
      </c>
      <c r="H947">
        <v>18000</v>
      </c>
    </row>
    <row r="948" spans="2:8" x14ac:dyDescent="0.25">
      <c r="B948" t="str">
        <f t="shared" si="14"/>
        <v>BTNPopulation ages 45-49, male</v>
      </c>
      <c r="C948" t="s">
        <v>241</v>
      </c>
      <c r="D948" t="s">
        <v>21</v>
      </c>
      <c r="E948" t="s">
        <v>381</v>
      </c>
      <c r="F948" t="s">
        <v>710</v>
      </c>
      <c r="G948">
        <v>21000</v>
      </c>
      <c r="H948">
        <v>21000</v>
      </c>
    </row>
    <row r="949" spans="2:8" x14ac:dyDescent="0.25">
      <c r="B949" t="str">
        <f t="shared" si="14"/>
        <v>BTNPopulation ages 50-54, female</v>
      </c>
      <c r="C949" t="s">
        <v>241</v>
      </c>
      <c r="D949" t="s">
        <v>21</v>
      </c>
      <c r="E949" t="s">
        <v>382</v>
      </c>
      <c r="F949" t="s">
        <v>711</v>
      </c>
      <c r="G949">
        <v>15000</v>
      </c>
      <c r="H949">
        <v>15000</v>
      </c>
    </row>
    <row r="950" spans="2:8" x14ac:dyDescent="0.25">
      <c r="B950" t="str">
        <f t="shared" si="14"/>
        <v>BTNPopulation ages 50-54, male</v>
      </c>
      <c r="C950" t="s">
        <v>241</v>
      </c>
      <c r="D950" t="s">
        <v>21</v>
      </c>
      <c r="E950" t="s">
        <v>383</v>
      </c>
      <c r="F950" t="s">
        <v>712</v>
      </c>
      <c r="G950">
        <v>17000</v>
      </c>
      <c r="H950">
        <v>18000</v>
      </c>
    </row>
    <row r="951" spans="2:8" x14ac:dyDescent="0.25">
      <c r="B951" t="str">
        <f t="shared" si="14"/>
        <v>BTNPopulation ages 55-59, male</v>
      </c>
      <c r="C951" t="s">
        <v>241</v>
      </c>
      <c r="D951" t="s">
        <v>21</v>
      </c>
      <c r="E951" t="s">
        <v>385</v>
      </c>
      <c r="F951" t="s">
        <v>713</v>
      </c>
      <c r="G951">
        <v>13000</v>
      </c>
      <c r="H951">
        <v>14000</v>
      </c>
    </row>
    <row r="952" spans="2:8" x14ac:dyDescent="0.25">
      <c r="B952" t="str">
        <f t="shared" si="14"/>
        <v>BTNPopulation ages 55-59, female</v>
      </c>
      <c r="C952" t="s">
        <v>241</v>
      </c>
      <c r="D952" t="s">
        <v>21</v>
      </c>
      <c r="E952" t="s">
        <v>384</v>
      </c>
      <c r="F952" t="s">
        <v>714</v>
      </c>
      <c r="G952">
        <v>12000</v>
      </c>
      <c r="H952">
        <v>12000</v>
      </c>
    </row>
    <row r="953" spans="2:8" x14ac:dyDescent="0.25">
      <c r="B953" t="str">
        <f t="shared" si="14"/>
        <v>BTNPopulation ages 65-69, male</v>
      </c>
      <c r="C953" t="s">
        <v>241</v>
      </c>
      <c r="D953" t="s">
        <v>21</v>
      </c>
      <c r="E953" t="s">
        <v>389</v>
      </c>
      <c r="F953" t="s">
        <v>715</v>
      </c>
      <c r="G953">
        <v>8300</v>
      </c>
      <c r="H953">
        <v>8500</v>
      </c>
    </row>
    <row r="954" spans="2:8" x14ac:dyDescent="0.25">
      <c r="B954" t="str">
        <f t="shared" si="14"/>
        <v>BTNPopulation ages 65-69, female</v>
      </c>
      <c r="C954" t="s">
        <v>241</v>
      </c>
      <c r="D954" t="s">
        <v>21</v>
      </c>
      <c r="E954" t="s">
        <v>388</v>
      </c>
      <c r="F954" t="s">
        <v>716</v>
      </c>
      <c r="G954">
        <v>6900</v>
      </c>
      <c r="H954">
        <v>7100</v>
      </c>
    </row>
    <row r="955" spans="2:8" x14ac:dyDescent="0.25">
      <c r="B955" t="str">
        <f t="shared" si="14"/>
        <v>BTNPopulation ages 60-64, female</v>
      </c>
      <c r="C955" t="s">
        <v>241</v>
      </c>
      <c r="D955" t="s">
        <v>21</v>
      </c>
      <c r="E955" t="s">
        <v>386</v>
      </c>
      <c r="F955" t="s">
        <v>717</v>
      </c>
      <c r="G955">
        <v>9800</v>
      </c>
      <c r="H955">
        <v>10000</v>
      </c>
    </row>
    <row r="956" spans="2:8" x14ac:dyDescent="0.25">
      <c r="B956" t="str">
        <f t="shared" si="14"/>
        <v>BTNPopulation ages 60-64, male</v>
      </c>
      <c r="C956" t="s">
        <v>241</v>
      </c>
      <c r="D956" t="s">
        <v>21</v>
      </c>
      <c r="E956" t="s">
        <v>387</v>
      </c>
      <c r="F956" t="s">
        <v>718</v>
      </c>
      <c r="G956">
        <v>11000</v>
      </c>
      <c r="H956">
        <v>11000</v>
      </c>
    </row>
    <row r="957" spans="2:8" x14ac:dyDescent="0.25">
      <c r="B957" t="str">
        <f t="shared" si="14"/>
        <v>BTNPopulation ages 70-74, female</v>
      </c>
      <c r="C957" t="s">
        <v>241</v>
      </c>
      <c r="D957" t="s">
        <v>21</v>
      </c>
      <c r="E957" t="s">
        <v>390</v>
      </c>
      <c r="F957" t="s">
        <v>719</v>
      </c>
      <c r="G957">
        <v>5500</v>
      </c>
      <c r="H957">
        <v>5600</v>
      </c>
    </row>
    <row r="958" spans="2:8" x14ac:dyDescent="0.25">
      <c r="B958" t="str">
        <f t="shared" si="14"/>
        <v>BTNPopulation ages 70-74, male</v>
      </c>
      <c r="C958" t="s">
        <v>241</v>
      </c>
      <c r="D958" t="s">
        <v>21</v>
      </c>
      <c r="E958" t="s">
        <v>391</v>
      </c>
      <c r="F958" t="s">
        <v>720</v>
      </c>
      <c r="G958">
        <v>7100</v>
      </c>
      <c r="H958">
        <v>7200</v>
      </c>
    </row>
    <row r="959" spans="2:8" x14ac:dyDescent="0.25">
      <c r="B959" t="str">
        <f t="shared" si="14"/>
        <v>BTNPopulation ages 75-79, female</v>
      </c>
      <c r="C959" t="s">
        <v>241</v>
      </c>
      <c r="D959" t="s">
        <v>21</v>
      </c>
      <c r="E959" t="s">
        <v>392</v>
      </c>
      <c r="F959" t="s">
        <v>721</v>
      </c>
      <c r="G959">
        <v>4100</v>
      </c>
      <c r="H959">
        <v>4200</v>
      </c>
    </row>
    <row r="960" spans="2:8" x14ac:dyDescent="0.25">
      <c r="B960" t="str">
        <f t="shared" si="14"/>
        <v>BTNPopulation ages 75-79, male</v>
      </c>
      <c r="C960" t="s">
        <v>241</v>
      </c>
      <c r="D960" t="s">
        <v>21</v>
      </c>
      <c r="E960" t="s">
        <v>393</v>
      </c>
      <c r="F960" t="s">
        <v>722</v>
      </c>
      <c r="G960">
        <v>5100</v>
      </c>
      <c r="H960">
        <v>5300</v>
      </c>
    </row>
    <row r="961" spans="2:8" x14ac:dyDescent="0.25">
      <c r="B961" t="str">
        <f t="shared" si="14"/>
        <v>BTNPopulation ages 80 and above, female</v>
      </c>
      <c r="C961" t="s">
        <v>241</v>
      </c>
      <c r="D961" t="s">
        <v>21</v>
      </c>
      <c r="E961" t="s">
        <v>394</v>
      </c>
      <c r="F961" t="s">
        <v>723</v>
      </c>
      <c r="G961">
        <v>4500</v>
      </c>
      <c r="H961">
        <v>4700</v>
      </c>
    </row>
    <row r="962" spans="2:8" x14ac:dyDescent="0.25">
      <c r="B962" t="str">
        <f t="shared" si="14"/>
        <v>BTNPopulation ages 80 and above, male</v>
      </c>
      <c r="C962" t="s">
        <v>241</v>
      </c>
      <c r="D962" t="s">
        <v>21</v>
      </c>
      <c r="E962" t="s">
        <v>395</v>
      </c>
      <c r="F962" t="s">
        <v>724</v>
      </c>
      <c r="G962">
        <v>5100</v>
      </c>
      <c r="H962">
        <v>5300</v>
      </c>
    </row>
    <row r="963" spans="2:8" x14ac:dyDescent="0.25">
      <c r="B963" t="str">
        <f t="shared" si="14"/>
        <v>BTNPopulation, male</v>
      </c>
      <c r="C963" t="s">
        <v>241</v>
      </c>
      <c r="D963" t="s">
        <v>21</v>
      </c>
      <c r="E963" t="s">
        <v>397</v>
      </c>
      <c r="F963" t="s">
        <v>725</v>
      </c>
      <c r="G963">
        <v>405000</v>
      </c>
      <c r="H963">
        <v>410000</v>
      </c>
    </row>
    <row r="964" spans="2:8" x14ac:dyDescent="0.25">
      <c r="B964" t="str">
        <f t="shared" si="14"/>
        <v>BTNPopulation, total</v>
      </c>
      <c r="C964" t="s">
        <v>241</v>
      </c>
      <c r="D964" t="s">
        <v>21</v>
      </c>
      <c r="E964" t="s">
        <v>398</v>
      </c>
      <c r="F964" t="s">
        <v>726</v>
      </c>
      <c r="G964">
        <v>763000</v>
      </c>
      <c r="H964">
        <v>772000</v>
      </c>
    </row>
    <row r="965" spans="2:8" x14ac:dyDescent="0.25">
      <c r="B965" t="str">
        <f t="shared" si="14"/>
        <v>BTNPopulation, female</v>
      </c>
      <c r="C965" t="s">
        <v>241</v>
      </c>
      <c r="D965" t="s">
        <v>21</v>
      </c>
      <c r="E965" t="s">
        <v>396</v>
      </c>
      <c r="F965" t="s">
        <v>727</v>
      </c>
      <c r="G965">
        <v>358000</v>
      </c>
      <c r="H965">
        <v>362000</v>
      </c>
    </row>
    <row r="966" spans="2:8" x14ac:dyDescent="0.25">
      <c r="B966" t="str">
        <f t="shared" si="14"/>
        <v>BTNPopulation growth (annual %)</v>
      </c>
      <c r="C966" t="s">
        <v>241</v>
      </c>
      <c r="D966" t="s">
        <v>21</v>
      </c>
      <c r="E966" t="s">
        <v>399</v>
      </c>
      <c r="F966" t="s">
        <v>728</v>
      </c>
      <c r="G966">
        <v>0</v>
      </c>
      <c r="H966">
        <v>0</v>
      </c>
    </row>
    <row r="967" spans="2:8" x14ac:dyDescent="0.25">
      <c r="B967" t="str">
        <f t="shared" ref="B967:B1030" si="15">CONCATENATE(D967,E967)</f>
        <v>BOLPopulation ages 0-14, female</v>
      </c>
      <c r="C967" t="s">
        <v>219</v>
      </c>
      <c r="D967" t="s">
        <v>18</v>
      </c>
      <c r="E967" t="s">
        <v>687</v>
      </c>
      <c r="F967" t="s">
        <v>688</v>
      </c>
      <c r="G967">
        <v>1725000</v>
      </c>
      <c r="H967">
        <v>1725000</v>
      </c>
    </row>
    <row r="968" spans="2:8" x14ac:dyDescent="0.25">
      <c r="B968" t="str">
        <f t="shared" si="15"/>
        <v>BOLPopulation ages 0-14, male</v>
      </c>
      <c r="C968" t="s">
        <v>219</v>
      </c>
      <c r="D968" t="s">
        <v>18</v>
      </c>
      <c r="E968" t="s">
        <v>689</v>
      </c>
      <c r="F968" t="s">
        <v>690</v>
      </c>
      <c r="G968">
        <v>1801000</v>
      </c>
      <c r="H968">
        <v>1801000</v>
      </c>
    </row>
    <row r="969" spans="2:8" x14ac:dyDescent="0.25">
      <c r="B969" t="str">
        <f t="shared" si="15"/>
        <v>BOLPopulation ages 00-04, female</v>
      </c>
      <c r="C969" t="s">
        <v>219</v>
      </c>
      <c r="D969" t="s">
        <v>18</v>
      </c>
      <c r="E969" t="s">
        <v>362</v>
      </c>
      <c r="F969" t="s">
        <v>691</v>
      </c>
      <c r="G969">
        <v>580000</v>
      </c>
      <c r="H969">
        <v>580000</v>
      </c>
    </row>
    <row r="970" spans="2:8" x14ac:dyDescent="0.25">
      <c r="B970" t="str">
        <f t="shared" si="15"/>
        <v>BOLPopulation ages 00-04, male</v>
      </c>
      <c r="C970" t="s">
        <v>219</v>
      </c>
      <c r="D970" t="s">
        <v>18</v>
      </c>
      <c r="E970" t="s">
        <v>363</v>
      </c>
      <c r="F970" t="s">
        <v>692</v>
      </c>
      <c r="G970">
        <v>607000</v>
      </c>
      <c r="H970">
        <v>606000</v>
      </c>
    </row>
    <row r="971" spans="2:8" x14ac:dyDescent="0.25">
      <c r="B971" t="str">
        <f t="shared" si="15"/>
        <v>BOLPopulation ages 05-09, female</v>
      </c>
      <c r="C971" t="s">
        <v>219</v>
      </c>
      <c r="D971" t="s">
        <v>18</v>
      </c>
      <c r="E971" t="s">
        <v>364</v>
      </c>
      <c r="F971" t="s">
        <v>693</v>
      </c>
      <c r="G971">
        <v>577000</v>
      </c>
      <c r="H971">
        <v>577000</v>
      </c>
    </row>
    <row r="972" spans="2:8" x14ac:dyDescent="0.25">
      <c r="B972" t="str">
        <f t="shared" si="15"/>
        <v>BOLPopulation ages 05-09, male</v>
      </c>
      <c r="C972" t="s">
        <v>219</v>
      </c>
      <c r="D972" t="s">
        <v>18</v>
      </c>
      <c r="E972" t="s">
        <v>365</v>
      </c>
      <c r="F972" t="s">
        <v>694</v>
      </c>
      <c r="G972">
        <v>602000</v>
      </c>
      <c r="H972">
        <v>602000</v>
      </c>
    </row>
    <row r="973" spans="2:8" x14ac:dyDescent="0.25">
      <c r="B973" t="str">
        <f t="shared" si="15"/>
        <v>BOLPopulation ages 10-14, female</v>
      </c>
      <c r="C973" t="s">
        <v>219</v>
      </c>
      <c r="D973" t="s">
        <v>18</v>
      </c>
      <c r="E973" t="s">
        <v>366</v>
      </c>
      <c r="F973" t="s">
        <v>695</v>
      </c>
      <c r="G973">
        <v>568000</v>
      </c>
      <c r="H973">
        <v>568000</v>
      </c>
    </row>
    <row r="974" spans="2:8" x14ac:dyDescent="0.25">
      <c r="B974" t="str">
        <f t="shared" si="15"/>
        <v>BOLPopulation ages 10-14, male</v>
      </c>
      <c r="C974" t="s">
        <v>219</v>
      </c>
      <c r="D974" t="s">
        <v>18</v>
      </c>
      <c r="E974" t="s">
        <v>367</v>
      </c>
      <c r="F974" t="s">
        <v>696</v>
      </c>
      <c r="G974">
        <v>592000</v>
      </c>
      <c r="H974">
        <v>593000</v>
      </c>
    </row>
    <row r="975" spans="2:8" x14ac:dyDescent="0.25">
      <c r="B975" t="str">
        <f t="shared" si="15"/>
        <v>BOLPopulation ages 15-19, female</v>
      </c>
      <c r="C975" t="s">
        <v>219</v>
      </c>
      <c r="D975" t="s">
        <v>18</v>
      </c>
      <c r="E975" t="s">
        <v>368</v>
      </c>
      <c r="F975" t="s">
        <v>697</v>
      </c>
      <c r="G975">
        <v>554000</v>
      </c>
      <c r="H975">
        <v>557000</v>
      </c>
    </row>
    <row r="976" spans="2:8" x14ac:dyDescent="0.25">
      <c r="B976" t="str">
        <f t="shared" si="15"/>
        <v>BOLPopulation ages 15-19, male</v>
      </c>
      <c r="C976" t="s">
        <v>219</v>
      </c>
      <c r="D976" t="s">
        <v>18</v>
      </c>
      <c r="E976" t="s">
        <v>369</v>
      </c>
      <c r="F976" t="s">
        <v>698</v>
      </c>
      <c r="G976">
        <v>576000</v>
      </c>
      <c r="H976">
        <v>580000</v>
      </c>
    </row>
    <row r="977" spans="2:8" x14ac:dyDescent="0.25">
      <c r="B977" t="str">
        <f t="shared" si="15"/>
        <v>BOLPopulation ages 20-24, female</v>
      </c>
      <c r="C977" t="s">
        <v>219</v>
      </c>
      <c r="D977" t="s">
        <v>18</v>
      </c>
      <c r="E977" t="s">
        <v>370</v>
      </c>
      <c r="F977" t="s">
        <v>699</v>
      </c>
      <c r="G977">
        <v>518000</v>
      </c>
      <c r="H977">
        <v>524000</v>
      </c>
    </row>
    <row r="978" spans="2:8" x14ac:dyDescent="0.25">
      <c r="B978" t="str">
        <f t="shared" si="15"/>
        <v>BOLPopulation ages 20-24, male</v>
      </c>
      <c r="C978" t="s">
        <v>219</v>
      </c>
      <c r="D978" t="s">
        <v>18</v>
      </c>
      <c r="E978" t="s">
        <v>371</v>
      </c>
      <c r="F978" t="s">
        <v>700</v>
      </c>
      <c r="G978">
        <v>535000</v>
      </c>
      <c r="H978">
        <v>541000</v>
      </c>
    </row>
    <row r="979" spans="2:8" x14ac:dyDescent="0.25">
      <c r="B979" t="str">
        <f t="shared" si="15"/>
        <v>BOLPopulation ages 25-29, female</v>
      </c>
      <c r="C979" t="s">
        <v>219</v>
      </c>
      <c r="D979" t="s">
        <v>18</v>
      </c>
      <c r="E979" t="s">
        <v>372</v>
      </c>
      <c r="F979" t="s">
        <v>701</v>
      </c>
      <c r="G979">
        <v>474000</v>
      </c>
      <c r="H979">
        <v>481000</v>
      </c>
    </row>
    <row r="980" spans="2:8" x14ac:dyDescent="0.25">
      <c r="B980" t="str">
        <f t="shared" si="15"/>
        <v>BOLPopulation ages 25-29, male</v>
      </c>
      <c r="C980" t="s">
        <v>219</v>
      </c>
      <c r="D980" t="s">
        <v>18</v>
      </c>
      <c r="E980" t="s">
        <v>373</v>
      </c>
      <c r="F980" t="s">
        <v>702</v>
      </c>
      <c r="G980">
        <v>485000</v>
      </c>
      <c r="H980">
        <v>493000</v>
      </c>
    </row>
    <row r="981" spans="2:8" x14ac:dyDescent="0.25">
      <c r="B981" t="str">
        <f t="shared" si="15"/>
        <v>BOLPopulation ages 30-34, female</v>
      </c>
      <c r="C981" t="s">
        <v>219</v>
      </c>
      <c r="D981" t="s">
        <v>18</v>
      </c>
      <c r="E981" t="s">
        <v>374</v>
      </c>
      <c r="F981" t="s">
        <v>703</v>
      </c>
      <c r="G981">
        <v>424000</v>
      </c>
      <c r="H981">
        <v>433000</v>
      </c>
    </row>
    <row r="982" spans="2:8" x14ac:dyDescent="0.25">
      <c r="B982" t="str">
        <f t="shared" si="15"/>
        <v>BOLPopulation ages 30-34, male</v>
      </c>
      <c r="C982" t="s">
        <v>219</v>
      </c>
      <c r="D982" t="s">
        <v>18</v>
      </c>
      <c r="E982" t="s">
        <v>375</v>
      </c>
      <c r="F982" t="s">
        <v>704</v>
      </c>
      <c r="G982">
        <v>430000</v>
      </c>
      <c r="H982">
        <v>438000</v>
      </c>
    </row>
    <row r="983" spans="2:8" x14ac:dyDescent="0.25">
      <c r="B983" t="str">
        <f t="shared" si="15"/>
        <v>BOLPopulation ages 35-39, female</v>
      </c>
      <c r="C983" t="s">
        <v>219</v>
      </c>
      <c r="D983" t="s">
        <v>18</v>
      </c>
      <c r="E983" t="s">
        <v>376</v>
      </c>
      <c r="F983" t="s">
        <v>705</v>
      </c>
      <c r="G983">
        <v>375000</v>
      </c>
      <c r="H983">
        <v>383000</v>
      </c>
    </row>
    <row r="984" spans="2:8" x14ac:dyDescent="0.25">
      <c r="B984" t="str">
        <f t="shared" si="15"/>
        <v>BOLPopulation ages 35-39, male</v>
      </c>
      <c r="C984" t="s">
        <v>219</v>
      </c>
      <c r="D984" t="s">
        <v>18</v>
      </c>
      <c r="E984" t="s">
        <v>377</v>
      </c>
      <c r="F984" t="s">
        <v>706</v>
      </c>
      <c r="G984">
        <v>377000</v>
      </c>
      <c r="H984">
        <v>385000</v>
      </c>
    </row>
    <row r="985" spans="2:8" x14ac:dyDescent="0.25">
      <c r="B985" t="str">
        <f t="shared" si="15"/>
        <v>BOLPopulation ages 40-44, female</v>
      </c>
      <c r="C985" t="s">
        <v>219</v>
      </c>
      <c r="D985" t="s">
        <v>18</v>
      </c>
      <c r="E985" t="s">
        <v>378</v>
      </c>
      <c r="F985" t="s">
        <v>707</v>
      </c>
      <c r="G985">
        <v>326000</v>
      </c>
      <c r="H985">
        <v>335000</v>
      </c>
    </row>
    <row r="986" spans="2:8" x14ac:dyDescent="0.25">
      <c r="B986" t="str">
        <f t="shared" si="15"/>
        <v>BOLPopulation ages 40-44, male</v>
      </c>
      <c r="C986" t="s">
        <v>219</v>
      </c>
      <c r="D986" t="s">
        <v>18</v>
      </c>
      <c r="E986" t="s">
        <v>379</v>
      </c>
      <c r="F986" t="s">
        <v>708</v>
      </c>
      <c r="G986">
        <v>325000</v>
      </c>
      <c r="H986">
        <v>333000</v>
      </c>
    </row>
    <row r="987" spans="2:8" x14ac:dyDescent="0.25">
      <c r="B987" t="str">
        <f t="shared" si="15"/>
        <v>BOLPopulation ages 45-49, female</v>
      </c>
      <c r="C987" t="s">
        <v>219</v>
      </c>
      <c r="D987" t="s">
        <v>18</v>
      </c>
      <c r="E987" t="s">
        <v>380</v>
      </c>
      <c r="F987" t="s">
        <v>709</v>
      </c>
      <c r="G987">
        <v>279000</v>
      </c>
      <c r="H987">
        <v>287000</v>
      </c>
    </row>
    <row r="988" spans="2:8" x14ac:dyDescent="0.25">
      <c r="B988" t="str">
        <f t="shared" si="15"/>
        <v>BOLPopulation ages 45-49, male</v>
      </c>
      <c r="C988" t="s">
        <v>219</v>
      </c>
      <c r="D988" t="s">
        <v>18</v>
      </c>
      <c r="E988" t="s">
        <v>381</v>
      </c>
      <c r="F988" t="s">
        <v>710</v>
      </c>
      <c r="G988">
        <v>276000</v>
      </c>
      <c r="H988">
        <v>283000</v>
      </c>
    </row>
    <row r="989" spans="2:8" x14ac:dyDescent="0.25">
      <c r="B989" t="str">
        <f t="shared" si="15"/>
        <v>BOLPopulation ages 50-54, female</v>
      </c>
      <c r="C989" t="s">
        <v>219</v>
      </c>
      <c r="D989" t="s">
        <v>18</v>
      </c>
      <c r="E989" t="s">
        <v>382</v>
      </c>
      <c r="F989" t="s">
        <v>711</v>
      </c>
      <c r="G989">
        <v>236000</v>
      </c>
      <c r="H989">
        <v>243000</v>
      </c>
    </row>
    <row r="990" spans="2:8" x14ac:dyDescent="0.25">
      <c r="B990" t="str">
        <f t="shared" si="15"/>
        <v>BOLPopulation ages 50-54, male</v>
      </c>
      <c r="C990" t="s">
        <v>219</v>
      </c>
      <c r="D990" t="s">
        <v>18</v>
      </c>
      <c r="E990" t="s">
        <v>383</v>
      </c>
      <c r="F990" t="s">
        <v>712</v>
      </c>
      <c r="G990">
        <v>231000</v>
      </c>
      <c r="H990">
        <v>237000</v>
      </c>
    </row>
    <row r="991" spans="2:8" x14ac:dyDescent="0.25">
      <c r="B991" t="str">
        <f t="shared" si="15"/>
        <v>BOLPopulation ages 55-59, male</v>
      </c>
      <c r="C991" t="s">
        <v>219</v>
      </c>
      <c r="D991" t="s">
        <v>18</v>
      </c>
      <c r="E991" t="s">
        <v>385</v>
      </c>
      <c r="F991" t="s">
        <v>713</v>
      </c>
      <c r="G991">
        <v>193000</v>
      </c>
      <c r="H991">
        <v>198000</v>
      </c>
    </row>
    <row r="992" spans="2:8" x14ac:dyDescent="0.25">
      <c r="B992" t="str">
        <f t="shared" si="15"/>
        <v>BOLPopulation ages 55-59, female</v>
      </c>
      <c r="C992" t="s">
        <v>219</v>
      </c>
      <c r="D992" t="s">
        <v>18</v>
      </c>
      <c r="E992" t="s">
        <v>384</v>
      </c>
      <c r="F992" t="s">
        <v>714</v>
      </c>
      <c r="G992">
        <v>199000</v>
      </c>
      <c r="H992">
        <v>205000</v>
      </c>
    </row>
    <row r="993" spans="2:8" x14ac:dyDescent="0.25">
      <c r="B993" t="str">
        <f t="shared" si="15"/>
        <v>BOLPopulation ages 65-69, male</v>
      </c>
      <c r="C993" t="s">
        <v>219</v>
      </c>
      <c r="D993" t="s">
        <v>18</v>
      </c>
      <c r="E993" t="s">
        <v>389</v>
      </c>
      <c r="F993" t="s">
        <v>715</v>
      </c>
      <c r="G993">
        <v>131000</v>
      </c>
      <c r="H993">
        <v>134000</v>
      </c>
    </row>
    <row r="994" spans="2:8" x14ac:dyDescent="0.25">
      <c r="B994" t="str">
        <f t="shared" si="15"/>
        <v>BOLPopulation ages 65-69, female</v>
      </c>
      <c r="C994" t="s">
        <v>219</v>
      </c>
      <c r="D994" t="s">
        <v>18</v>
      </c>
      <c r="E994" t="s">
        <v>388</v>
      </c>
      <c r="F994" t="s">
        <v>716</v>
      </c>
      <c r="G994">
        <v>142000</v>
      </c>
      <c r="H994">
        <v>145000</v>
      </c>
    </row>
    <row r="995" spans="2:8" x14ac:dyDescent="0.25">
      <c r="B995" t="str">
        <f t="shared" si="15"/>
        <v>BOLPopulation ages 60-64, female</v>
      </c>
      <c r="C995" t="s">
        <v>219</v>
      </c>
      <c r="D995" t="s">
        <v>18</v>
      </c>
      <c r="E995" t="s">
        <v>386</v>
      </c>
      <c r="F995" t="s">
        <v>717</v>
      </c>
      <c r="G995">
        <v>168000</v>
      </c>
      <c r="H995">
        <v>172000</v>
      </c>
    </row>
    <row r="996" spans="2:8" x14ac:dyDescent="0.25">
      <c r="B996" t="str">
        <f t="shared" si="15"/>
        <v>BOLPopulation ages 60-64, male</v>
      </c>
      <c r="C996" t="s">
        <v>219</v>
      </c>
      <c r="D996" t="s">
        <v>18</v>
      </c>
      <c r="E996" t="s">
        <v>387</v>
      </c>
      <c r="F996" t="s">
        <v>718</v>
      </c>
      <c r="G996">
        <v>160000</v>
      </c>
      <c r="H996">
        <v>164000</v>
      </c>
    </row>
    <row r="997" spans="2:8" x14ac:dyDescent="0.25">
      <c r="B997" t="str">
        <f t="shared" si="15"/>
        <v>BOLPopulation ages 70-74, female</v>
      </c>
      <c r="C997" t="s">
        <v>219</v>
      </c>
      <c r="D997" t="s">
        <v>18</v>
      </c>
      <c r="E997" t="s">
        <v>390</v>
      </c>
      <c r="F997" t="s">
        <v>719</v>
      </c>
      <c r="G997">
        <v>115000</v>
      </c>
      <c r="H997">
        <v>118000</v>
      </c>
    </row>
    <row r="998" spans="2:8" x14ac:dyDescent="0.25">
      <c r="B998" t="str">
        <f t="shared" si="15"/>
        <v>BOLPopulation ages 70-74, male</v>
      </c>
      <c r="C998" t="s">
        <v>219</v>
      </c>
      <c r="D998" t="s">
        <v>18</v>
      </c>
      <c r="E998" t="s">
        <v>391</v>
      </c>
      <c r="F998" t="s">
        <v>720</v>
      </c>
      <c r="G998">
        <v>104000</v>
      </c>
      <c r="H998">
        <v>107000</v>
      </c>
    </row>
    <row r="999" spans="2:8" x14ac:dyDescent="0.25">
      <c r="B999" t="str">
        <f t="shared" si="15"/>
        <v>BOLPopulation ages 75-79, female</v>
      </c>
      <c r="C999" t="s">
        <v>219</v>
      </c>
      <c r="D999" t="s">
        <v>18</v>
      </c>
      <c r="E999" t="s">
        <v>392</v>
      </c>
      <c r="F999" t="s">
        <v>721</v>
      </c>
      <c r="G999">
        <v>86000</v>
      </c>
      <c r="H999">
        <v>90000</v>
      </c>
    </row>
    <row r="1000" spans="2:8" x14ac:dyDescent="0.25">
      <c r="B1000" t="str">
        <f t="shared" si="15"/>
        <v>BOLPopulation ages 75-79, male</v>
      </c>
      <c r="C1000" t="s">
        <v>219</v>
      </c>
      <c r="D1000" t="s">
        <v>18</v>
      </c>
      <c r="E1000" t="s">
        <v>393</v>
      </c>
      <c r="F1000" t="s">
        <v>722</v>
      </c>
      <c r="G1000">
        <v>74000</v>
      </c>
      <c r="H1000">
        <v>77000</v>
      </c>
    </row>
    <row r="1001" spans="2:8" x14ac:dyDescent="0.25">
      <c r="B1001" t="str">
        <f t="shared" si="15"/>
        <v>BOLPopulation ages 80 and above, female</v>
      </c>
      <c r="C1001" t="s">
        <v>219</v>
      </c>
      <c r="D1001" t="s">
        <v>18</v>
      </c>
      <c r="E1001" t="s">
        <v>394</v>
      </c>
      <c r="F1001" t="s">
        <v>723</v>
      </c>
      <c r="G1001">
        <v>112000</v>
      </c>
      <c r="H1001">
        <v>117000</v>
      </c>
    </row>
    <row r="1002" spans="2:8" x14ac:dyDescent="0.25">
      <c r="B1002" t="str">
        <f t="shared" si="15"/>
        <v>BOLPopulation ages 80 and above, male</v>
      </c>
      <c r="C1002" t="s">
        <v>219</v>
      </c>
      <c r="D1002" t="s">
        <v>18</v>
      </c>
      <c r="E1002" t="s">
        <v>395</v>
      </c>
      <c r="F1002" t="s">
        <v>724</v>
      </c>
      <c r="G1002">
        <v>82000</v>
      </c>
      <c r="H1002">
        <v>86000</v>
      </c>
    </row>
    <row r="1003" spans="2:8" x14ac:dyDescent="0.25">
      <c r="B1003" t="str">
        <f t="shared" si="15"/>
        <v>BOLPopulation, male</v>
      </c>
      <c r="C1003" t="s">
        <v>219</v>
      </c>
      <c r="D1003" t="s">
        <v>18</v>
      </c>
      <c r="E1003" t="s">
        <v>397</v>
      </c>
      <c r="F1003" t="s">
        <v>725</v>
      </c>
      <c r="G1003">
        <v>5780000</v>
      </c>
      <c r="H1003">
        <v>5858000</v>
      </c>
    </row>
    <row r="1004" spans="2:8" x14ac:dyDescent="0.25">
      <c r="B1004" t="str">
        <f t="shared" si="15"/>
        <v>BOLPopulation, total</v>
      </c>
      <c r="C1004" t="s">
        <v>219</v>
      </c>
      <c r="D1004" t="s">
        <v>18</v>
      </c>
      <c r="E1004" t="s">
        <v>398</v>
      </c>
      <c r="F1004" t="s">
        <v>726</v>
      </c>
      <c r="G1004">
        <v>11513000</v>
      </c>
      <c r="H1004">
        <v>11673000</v>
      </c>
    </row>
    <row r="1005" spans="2:8" x14ac:dyDescent="0.25">
      <c r="B1005" t="str">
        <f t="shared" si="15"/>
        <v>BOLPopulation, female</v>
      </c>
      <c r="C1005" t="s">
        <v>219</v>
      </c>
      <c r="D1005" t="s">
        <v>18</v>
      </c>
      <c r="E1005" t="s">
        <v>396</v>
      </c>
      <c r="F1005" t="s">
        <v>727</v>
      </c>
      <c r="G1005">
        <v>5733000</v>
      </c>
      <c r="H1005">
        <v>5815000</v>
      </c>
    </row>
    <row r="1006" spans="2:8" x14ac:dyDescent="0.25">
      <c r="B1006" t="str">
        <f t="shared" si="15"/>
        <v>BOLPopulation growth (annual %)</v>
      </c>
      <c r="C1006" t="s">
        <v>219</v>
      </c>
      <c r="D1006" t="s">
        <v>18</v>
      </c>
      <c r="E1006" t="s">
        <v>399</v>
      </c>
      <c r="F1006" t="s">
        <v>728</v>
      </c>
      <c r="G1006">
        <v>0</v>
      </c>
      <c r="H1006">
        <v>0</v>
      </c>
    </row>
    <row r="1007" spans="2:8" x14ac:dyDescent="0.25">
      <c r="B1007" t="str">
        <f t="shared" si="15"/>
        <v>BIHPopulation ages 0-14, female</v>
      </c>
      <c r="C1007" t="s">
        <v>442</v>
      </c>
      <c r="D1007" t="s">
        <v>15</v>
      </c>
      <c r="E1007" t="s">
        <v>687</v>
      </c>
      <c r="F1007" t="s">
        <v>688</v>
      </c>
      <c r="G1007">
        <v>236000</v>
      </c>
      <c r="H1007">
        <v>232000</v>
      </c>
    </row>
    <row r="1008" spans="2:8" x14ac:dyDescent="0.25">
      <c r="B1008" t="str">
        <f t="shared" si="15"/>
        <v>BIHPopulation ages 0-14, male</v>
      </c>
      <c r="C1008" t="s">
        <v>442</v>
      </c>
      <c r="D1008" t="s">
        <v>15</v>
      </c>
      <c r="E1008" t="s">
        <v>689</v>
      </c>
      <c r="F1008" t="s">
        <v>690</v>
      </c>
      <c r="G1008">
        <v>249000</v>
      </c>
      <c r="H1008">
        <v>245000</v>
      </c>
    </row>
    <row r="1009" spans="2:8" x14ac:dyDescent="0.25">
      <c r="B1009" t="str">
        <f t="shared" si="15"/>
        <v>BIHPopulation ages 00-04, female</v>
      </c>
      <c r="C1009" t="s">
        <v>442</v>
      </c>
      <c r="D1009" t="s">
        <v>15</v>
      </c>
      <c r="E1009" t="s">
        <v>362</v>
      </c>
      <c r="F1009" t="s">
        <v>691</v>
      </c>
      <c r="G1009">
        <v>67000</v>
      </c>
      <c r="H1009">
        <v>65000</v>
      </c>
    </row>
    <row r="1010" spans="2:8" x14ac:dyDescent="0.25">
      <c r="B1010" t="str">
        <f t="shared" si="15"/>
        <v>BIHPopulation ages 00-04, male</v>
      </c>
      <c r="C1010" t="s">
        <v>442</v>
      </c>
      <c r="D1010" t="s">
        <v>15</v>
      </c>
      <c r="E1010" t="s">
        <v>363</v>
      </c>
      <c r="F1010" t="s">
        <v>692</v>
      </c>
      <c r="G1010">
        <v>71000</v>
      </c>
      <c r="H1010">
        <v>69000</v>
      </c>
    </row>
    <row r="1011" spans="2:8" x14ac:dyDescent="0.25">
      <c r="B1011" t="str">
        <f t="shared" si="15"/>
        <v>BIHPopulation ages 05-09, female</v>
      </c>
      <c r="C1011" t="s">
        <v>442</v>
      </c>
      <c r="D1011" t="s">
        <v>15</v>
      </c>
      <c r="E1011" t="s">
        <v>364</v>
      </c>
      <c r="F1011" t="s">
        <v>693</v>
      </c>
      <c r="G1011">
        <v>82000</v>
      </c>
      <c r="H1011">
        <v>79000</v>
      </c>
    </row>
    <row r="1012" spans="2:8" x14ac:dyDescent="0.25">
      <c r="B1012" t="str">
        <f t="shared" si="15"/>
        <v>BIHPopulation ages 05-09, male</v>
      </c>
      <c r="C1012" t="s">
        <v>442</v>
      </c>
      <c r="D1012" t="s">
        <v>15</v>
      </c>
      <c r="E1012" t="s">
        <v>365</v>
      </c>
      <c r="F1012" t="s">
        <v>694</v>
      </c>
      <c r="G1012">
        <v>87000</v>
      </c>
      <c r="H1012">
        <v>83000</v>
      </c>
    </row>
    <row r="1013" spans="2:8" x14ac:dyDescent="0.25">
      <c r="B1013" t="str">
        <f t="shared" si="15"/>
        <v>BIHPopulation ages 10-14, female</v>
      </c>
      <c r="C1013" t="s">
        <v>442</v>
      </c>
      <c r="D1013" t="s">
        <v>15</v>
      </c>
      <c r="E1013" t="s">
        <v>366</v>
      </c>
      <c r="F1013" t="s">
        <v>695</v>
      </c>
      <c r="G1013">
        <v>87000</v>
      </c>
      <c r="H1013">
        <v>88000</v>
      </c>
    </row>
    <row r="1014" spans="2:8" x14ac:dyDescent="0.25">
      <c r="B1014" t="str">
        <f t="shared" si="15"/>
        <v>BIHPopulation ages 10-14, male</v>
      </c>
      <c r="C1014" t="s">
        <v>442</v>
      </c>
      <c r="D1014" t="s">
        <v>15</v>
      </c>
      <c r="E1014" t="s">
        <v>367</v>
      </c>
      <c r="F1014" t="s">
        <v>696</v>
      </c>
      <c r="G1014">
        <v>91000</v>
      </c>
      <c r="H1014">
        <v>93000</v>
      </c>
    </row>
    <row r="1015" spans="2:8" x14ac:dyDescent="0.25">
      <c r="B1015" t="str">
        <f t="shared" si="15"/>
        <v>BIHPopulation ages 15-19, female</v>
      </c>
      <c r="C1015" t="s">
        <v>442</v>
      </c>
      <c r="D1015" t="s">
        <v>15</v>
      </c>
      <c r="E1015" t="s">
        <v>368</v>
      </c>
      <c r="F1015" t="s">
        <v>697</v>
      </c>
      <c r="G1015">
        <v>85000</v>
      </c>
      <c r="H1015">
        <v>81000</v>
      </c>
    </row>
    <row r="1016" spans="2:8" x14ac:dyDescent="0.25">
      <c r="B1016" t="str">
        <f t="shared" si="15"/>
        <v>BIHPopulation ages 15-19, male</v>
      </c>
      <c r="C1016" t="s">
        <v>442</v>
      </c>
      <c r="D1016" t="s">
        <v>15</v>
      </c>
      <c r="E1016" t="s">
        <v>369</v>
      </c>
      <c r="F1016" t="s">
        <v>698</v>
      </c>
      <c r="G1016">
        <v>88000</v>
      </c>
      <c r="H1016">
        <v>84000</v>
      </c>
    </row>
    <row r="1017" spans="2:8" x14ac:dyDescent="0.25">
      <c r="B1017" t="str">
        <f t="shared" si="15"/>
        <v>BIHPopulation ages 20-24, female</v>
      </c>
      <c r="C1017" t="s">
        <v>442</v>
      </c>
      <c r="D1017" t="s">
        <v>15</v>
      </c>
      <c r="E1017" t="s">
        <v>370</v>
      </c>
      <c r="F1017" t="s">
        <v>699</v>
      </c>
      <c r="G1017">
        <v>106000</v>
      </c>
      <c r="H1017">
        <v>105000</v>
      </c>
    </row>
    <row r="1018" spans="2:8" x14ac:dyDescent="0.25">
      <c r="B1018" t="str">
        <f t="shared" si="15"/>
        <v>BIHPopulation ages 20-24, male</v>
      </c>
      <c r="C1018" t="s">
        <v>442</v>
      </c>
      <c r="D1018" t="s">
        <v>15</v>
      </c>
      <c r="E1018" t="s">
        <v>371</v>
      </c>
      <c r="F1018" t="s">
        <v>700</v>
      </c>
      <c r="G1018">
        <v>113000</v>
      </c>
      <c r="H1018">
        <v>112000</v>
      </c>
    </row>
    <row r="1019" spans="2:8" x14ac:dyDescent="0.25">
      <c r="B1019" t="str">
        <f t="shared" si="15"/>
        <v>BIHPopulation ages 25-29, female</v>
      </c>
      <c r="C1019" t="s">
        <v>442</v>
      </c>
      <c r="D1019" t="s">
        <v>15</v>
      </c>
      <c r="E1019" t="s">
        <v>372</v>
      </c>
      <c r="F1019" t="s">
        <v>701</v>
      </c>
      <c r="G1019">
        <v>93000</v>
      </c>
      <c r="H1019">
        <v>91000</v>
      </c>
    </row>
    <row r="1020" spans="2:8" x14ac:dyDescent="0.25">
      <c r="B1020" t="str">
        <f t="shared" si="15"/>
        <v>BIHPopulation ages 25-29, male</v>
      </c>
      <c r="C1020" t="s">
        <v>442</v>
      </c>
      <c r="D1020" t="s">
        <v>15</v>
      </c>
      <c r="E1020" t="s">
        <v>373</v>
      </c>
      <c r="F1020" t="s">
        <v>702</v>
      </c>
      <c r="G1020">
        <v>98000</v>
      </c>
      <c r="H1020">
        <v>96000</v>
      </c>
    </row>
    <row r="1021" spans="2:8" x14ac:dyDescent="0.25">
      <c r="B1021" t="str">
        <f t="shared" si="15"/>
        <v>BIHPopulation ages 30-34, female</v>
      </c>
      <c r="C1021" t="s">
        <v>442</v>
      </c>
      <c r="D1021" t="s">
        <v>15</v>
      </c>
      <c r="E1021" t="s">
        <v>374</v>
      </c>
      <c r="F1021" t="s">
        <v>703</v>
      </c>
      <c r="G1021">
        <v>111000</v>
      </c>
      <c r="H1021">
        <v>106000</v>
      </c>
    </row>
    <row r="1022" spans="2:8" x14ac:dyDescent="0.25">
      <c r="B1022" t="str">
        <f t="shared" si="15"/>
        <v>BIHPopulation ages 30-34, male</v>
      </c>
      <c r="C1022" t="s">
        <v>442</v>
      </c>
      <c r="D1022" t="s">
        <v>15</v>
      </c>
      <c r="E1022" t="s">
        <v>375</v>
      </c>
      <c r="F1022" t="s">
        <v>704</v>
      </c>
      <c r="G1022">
        <v>116000</v>
      </c>
      <c r="H1022">
        <v>111000</v>
      </c>
    </row>
    <row r="1023" spans="2:8" x14ac:dyDescent="0.25">
      <c r="B1023" t="str">
        <f t="shared" si="15"/>
        <v>BIHPopulation ages 35-39, female</v>
      </c>
      <c r="C1023" t="s">
        <v>442</v>
      </c>
      <c r="D1023" t="s">
        <v>15</v>
      </c>
      <c r="E1023" t="s">
        <v>376</v>
      </c>
      <c r="F1023" t="s">
        <v>705</v>
      </c>
      <c r="G1023">
        <v>119000</v>
      </c>
      <c r="H1023">
        <v>119000</v>
      </c>
    </row>
    <row r="1024" spans="2:8" x14ac:dyDescent="0.25">
      <c r="B1024" t="str">
        <f t="shared" si="15"/>
        <v>BIHPopulation ages 35-39, male</v>
      </c>
      <c r="C1024" t="s">
        <v>442</v>
      </c>
      <c r="D1024" t="s">
        <v>15</v>
      </c>
      <c r="E1024" t="s">
        <v>377</v>
      </c>
      <c r="F1024" t="s">
        <v>706</v>
      </c>
      <c r="G1024">
        <v>123000</v>
      </c>
      <c r="H1024">
        <v>123000</v>
      </c>
    </row>
    <row r="1025" spans="2:8" x14ac:dyDescent="0.25">
      <c r="B1025" t="str">
        <f t="shared" si="15"/>
        <v>BIHPopulation ages 40-44, female</v>
      </c>
      <c r="C1025" t="s">
        <v>442</v>
      </c>
      <c r="D1025" t="s">
        <v>15</v>
      </c>
      <c r="E1025" t="s">
        <v>378</v>
      </c>
      <c r="F1025" t="s">
        <v>707</v>
      </c>
      <c r="G1025">
        <v>109000</v>
      </c>
      <c r="H1025">
        <v>109000</v>
      </c>
    </row>
    <row r="1026" spans="2:8" x14ac:dyDescent="0.25">
      <c r="B1026" t="str">
        <f t="shared" si="15"/>
        <v>BIHPopulation ages 40-44, male</v>
      </c>
      <c r="C1026" t="s">
        <v>442</v>
      </c>
      <c r="D1026" t="s">
        <v>15</v>
      </c>
      <c r="E1026" t="s">
        <v>379</v>
      </c>
      <c r="F1026" t="s">
        <v>708</v>
      </c>
      <c r="G1026">
        <v>112000</v>
      </c>
      <c r="H1026">
        <v>112000</v>
      </c>
    </row>
    <row r="1027" spans="2:8" x14ac:dyDescent="0.25">
      <c r="B1027" t="str">
        <f t="shared" si="15"/>
        <v>BIHPopulation ages 45-49, female</v>
      </c>
      <c r="C1027" t="s">
        <v>442</v>
      </c>
      <c r="D1027" t="s">
        <v>15</v>
      </c>
      <c r="E1027" t="s">
        <v>380</v>
      </c>
      <c r="F1027" t="s">
        <v>709</v>
      </c>
      <c r="G1027">
        <v>113000</v>
      </c>
      <c r="H1027">
        <v>112000</v>
      </c>
    </row>
    <row r="1028" spans="2:8" x14ac:dyDescent="0.25">
      <c r="B1028" t="str">
        <f t="shared" si="15"/>
        <v>BIHPopulation ages 45-49, male</v>
      </c>
      <c r="C1028" t="s">
        <v>442</v>
      </c>
      <c r="D1028" t="s">
        <v>15</v>
      </c>
      <c r="E1028" t="s">
        <v>381</v>
      </c>
      <c r="F1028" t="s">
        <v>710</v>
      </c>
      <c r="G1028">
        <v>115000</v>
      </c>
      <c r="H1028">
        <v>115000</v>
      </c>
    </row>
    <row r="1029" spans="2:8" x14ac:dyDescent="0.25">
      <c r="B1029" t="str">
        <f t="shared" si="15"/>
        <v>BIHPopulation ages 50-54, female</v>
      </c>
      <c r="C1029" t="s">
        <v>442</v>
      </c>
      <c r="D1029" t="s">
        <v>15</v>
      </c>
      <c r="E1029" t="s">
        <v>382</v>
      </c>
      <c r="F1029" t="s">
        <v>711</v>
      </c>
      <c r="G1029">
        <v>122000</v>
      </c>
      <c r="H1029">
        <v>117000</v>
      </c>
    </row>
    <row r="1030" spans="2:8" x14ac:dyDescent="0.25">
      <c r="B1030" t="str">
        <f t="shared" si="15"/>
        <v>BIHPopulation ages 50-54, male</v>
      </c>
      <c r="C1030" t="s">
        <v>442</v>
      </c>
      <c r="D1030" t="s">
        <v>15</v>
      </c>
      <c r="E1030" t="s">
        <v>383</v>
      </c>
      <c r="F1030" t="s">
        <v>712</v>
      </c>
      <c r="G1030">
        <v>117000</v>
      </c>
      <c r="H1030">
        <v>114000</v>
      </c>
    </row>
    <row r="1031" spans="2:8" x14ac:dyDescent="0.25">
      <c r="B1031" t="str">
        <f t="shared" ref="B1031:B1094" si="16">CONCATENATE(D1031,E1031)</f>
        <v>BIHPopulation ages 55-59, male</v>
      </c>
      <c r="C1031" t="s">
        <v>442</v>
      </c>
      <c r="D1031" t="s">
        <v>15</v>
      </c>
      <c r="E1031" t="s">
        <v>385</v>
      </c>
      <c r="F1031" t="s">
        <v>713</v>
      </c>
      <c r="G1031">
        <v>129000</v>
      </c>
      <c r="H1031">
        <v>129000</v>
      </c>
    </row>
    <row r="1032" spans="2:8" x14ac:dyDescent="0.25">
      <c r="B1032" t="str">
        <f t="shared" si="16"/>
        <v>BIHPopulation ages 55-59, female</v>
      </c>
      <c r="C1032" t="s">
        <v>442</v>
      </c>
      <c r="D1032" t="s">
        <v>15</v>
      </c>
      <c r="E1032" t="s">
        <v>384</v>
      </c>
      <c r="F1032" t="s">
        <v>714</v>
      </c>
      <c r="G1032">
        <v>141000</v>
      </c>
      <c r="H1032">
        <v>140000</v>
      </c>
    </row>
    <row r="1033" spans="2:8" x14ac:dyDescent="0.25">
      <c r="B1033" t="str">
        <f t="shared" si="16"/>
        <v>BIHPopulation ages 65-69, male</v>
      </c>
      <c r="C1033" t="s">
        <v>442</v>
      </c>
      <c r="D1033" t="s">
        <v>15</v>
      </c>
      <c r="E1033" t="s">
        <v>389</v>
      </c>
      <c r="F1033" t="s">
        <v>715</v>
      </c>
      <c r="G1033">
        <v>99000</v>
      </c>
      <c r="H1033">
        <v>104000</v>
      </c>
    </row>
    <row r="1034" spans="2:8" x14ac:dyDescent="0.25">
      <c r="B1034" t="str">
        <f t="shared" si="16"/>
        <v>BIHPopulation ages 65-69, female</v>
      </c>
      <c r="C1034" t="s">
        <v>442</v>
      </c>
      <c r="D1034" t="s">
        <v>15</v>
      </c>
      <c r="E1034" t="s">
        <v>388</v>
      </c>
      <c r="F1034" t="s">
        <v>716</v>
      </c>
      <c r="G1034">
        <v>114000</v>
      </c>
      <c r="H1034">
        <v>118000</v>
      </c>
    </row>
    <row r="1035" spans="2:8" x14ac:dyDescent="0.25">
      <c r="B1035" t="str">
        <f t="shared" si="16"/>
        <v>BIHPopulation ages 60-64, female</v>
      </c>
      <c r="C1035" t="s">
        <v>442</v>
      </c>
      <c r="D1035" t="s">
        <v>15</v>
      </c>
      <c r="E1035" t="s">
        <v>386</v>
      </c>
      <c r="F1035" t="s">
        <v>717</v>
      </c>
      <c r="G1035">
        <v>125000</v>
      </c>
      <c r="H1035">
        <v>126000</v>
      </c>
    </row>
    <row r="1036" spans="2:8" x14ac:dyDescent="0.25">
      <c r="B1036" t="str">
        <f t="shared" si="16"/>
        <v>BIHPopulation ages 60-64, male</v>
      </c>
      <c r="C1036" t="s">
        <v>442</v>
      </c>
      <c r="D1036" t="s">
        <v>15</v>
      </c>
      <c r="E1036" t="s">
        <v>387</v>
      </c>
      <c r="F1036" t="s">
        <v>718</v>
      </c>
      <c r="G1036">
        <v>115000</v>
      </c>
      <c r="H1036">
        <v>115000</v>
      </c>
    </row>
    <row r="1037" spans="2:8" x14ac:dyDescent="0.25">
      <c r="B1037" t="str">
        <f t="shared" si="16"/>
        <v>BIHPopulation ages 70-74, female</v>
      </c>
      <c r="C1037" t="s">
        <v>442</v>
      </c>
      <c r="D1037" t="s">
        <v>15</v>
      </c>
      <c r="E1037" t="s">
        <v>390</v>
      </c>
      <c r="F1037" t="s">
        <v>719</v>
      </c>
      <c r="G1037">
        <v>77000</v>
      </c>
      <c r="H1037">
        <v>81000</v>
      </c>
    </row>
    <row r="1038" spans="2:8" x14ac:dyDescent="0.25">
      <c r="B1038" t="str">
        <f t="shared" si="16"/>
        <v>BIHPopulation ages 70-74, male</v>
      </c>
      <c r="C1038" t="s">
        <v>442</v>
      </c>
      <c r="D1038" t="s">
        <v>15</v>
      </c>
      <c r="E1038" t="s">
        <v>391</v>
      </c>
      <c r="F1038" t="s">
        <v>720</v>
      </c>
      <c r="G1038">
        <v>58000</v>
      </c>
      <c r="H1038">
        <v>62000</v>
      </c>
    </row>
    <row r="1039" spans="2:8" x14ac:dyDescent="0.25">
      <c r="B1039" t="str">
        <f t="shared" si="16"/>
        <v>BIHPopulation ages 75-79, female</v>
      </c>
      <c r="C1039" t="s">
        <v>442</v>
      </c>
      <c r="D1039" t="s">
        <v>15</v>
      </c>
      <c r="E1039" t="s">
        <v>392</v>
      </c>
      <c r="F1039" t="s">
        <v>721</v>
      </c>
      <c r="G1039">
        <v>61000</v>
      </c>
      <c r="H1039">
        <v>60000</v>
      </c>
    </row>
    <row r="1040" spans="2:8" x14ac:dyDescent="0.25">
      <c r="B1040" t="str">
        <f t="shared" si="16"/>
        <v>BIHPopulation ages 75-79, male</v>
      </c>
      <c r="C1040" t="s">
        <v>442</v>
      </c>
      <c r="D1040" t="s">
        <v>15</v>
      </c>
      <c r="E1040" t="s">
        <v>393</v>
      </c>
      <c r="F1040" t="s">
        <v>722</v>
      </c>
      <c r="G1040">
        <v>40000</v>
      </c>
      <c r="H1040">
        <v>39000</v>
      </c>
    </row>
    <row r="1041" spans="2:8" x14ac:dyDescent="0.25">
      <c r="B1041" t="str">
        <f t="shared" si="16"/>
        <v>BIHPopulation ages 80 and above, female</v>
      </c>
      <c r="C1041" t="s">
        <v>442</v>
      </c>
      <c r="D1041" t="s">
        <v>15</v>
      </c>
      <c r="E1041" t="s">
        <v>394</v>
      </c>
      <c r="F1041" t="s">
        <v>723</v>
      </c>
      <c r="G1041">
        <v>75000</v>
      </c>
      <c r="H1041">
        <v>78000</v>
      </c>
    </row>
    <row r="1042" spans="2:8" x14ac:dyDescent="0.25">
      <c r="B1042" t="str">
        <f t="shared" si="16"/>
        <v>BIHPopulation ages 80 and above, male</v>
      </c>
      <c r="C1042" t="s">
        <v>442</v>
      </c>
      <c r="D1042" t="s">
        <v>15</v>
      </c>
      <c r="E1042" t="s">
        <v>395</v>
      </c>
      <c r="F1042" t="s">
        <v>724</v>
      </c>
      <c r="G1042">
        <v>45000</v>
      </c>
      <c r="H1042">
        <v>46000</v>
      </c>
    </row>
    <row r="1043" spans="2:8" x14ac:dyDescent="0.25">
      <c r="B1043" t="str">
        <f t="shared" si="16"/>
        <v>BIHPopulation, male</v>
      </c>
      <c r="C1043" t="s">
        <v>442</v>
      </c>
      <c r="D1043" t="s">
        <v>15</v>
      </c>
      <c r="E1043" t="s">
        <v>397</v>
      </c>
      <c r="F1043" t="s">
        <v>725</v>
      </c>
      <c r="G1043">
        <v>1617000</v>
      </c>
      <c r="H1043">
        <v>1607000</v>
      </c>
    </row>
    <row r="1044" spans="2:8" x14ac:dyDescent="0.25">
      <c r="B1044" t="str">
        <f t="shared" si="16"/>
        <v>BIHPopulation, total</v>
      </c>
      <c r="C1044" t="s">
        <v>442</v>
      </c>
      <c r="D1044" t="s">
        <v>15</v>
      </c>
      <c r="E1044" t="s">
        <v>398</v>
      </c>
      <c r="F1044" t="s">
        <v>726</v>
      </c>
      <c r="G1044">
        <v>3301000</v>
      </c>
      <c r="H1044">
        <v>3281000</v>
      </c>
    </row>
    <row r="1045" spans="2:8" x14ac:dyDescent="0.25">
      <c r="B1045" t="str">
        <f t="shared" si="16"/>
        <v>BIHPopulation, female</v>
      </c>
      <c r="C1045" t="s">
        <v>442</v>
      </c>
      <c r="D1045" t="s">
        <v>15</v>
      </c>
      <c r="E1045" t="s">
        <v>396</v>
      </c>
      <c r="F1045" t="s">
        <v>727</v>
      </c>
      <c r="G1045">
        <v>1684000</v>
      </c>
      <c r="H1045">
        <v>1674000</v>
      </c>
    </row>
    <row r="1046" spans="2:8" x14ac:dyDescent="0.25">
      <c r="B1046" t="str">
        <f t="shared" si="16"/>
        <v>BIHPopulation growth (annual %)</v>
      </c>
      <c r="C1046" t="s">
        <v>442</v>
      </c>
      <c r="D1046" t="s">
        <v>15</v>
      </c>
      <c r="E1046" t="s">
        <v>399</v>
      </c>
      <c r="F1046" t="s">
        <v>728</v>
      </c>
      <c r="G1046">
        <v>0</v>
      </c>
      <c r="H1046">
        <v>0</v>
      </c>
    </row>
    <row r="1047" spans="2:8" x14ac:dyDescent="0.25">
      <c r="B1047" t="str">
        <f t="shared" si="16"/>
        <v>BWAPopulation ages 0-14, female</v>
      </c>
      <c r="C1047" t="s">
        <v>184</v>
      </c>
      <c r="D1047" t="s">
        <v>22</v>
      </c>
      <c r="E1047" t="s">
        <v>687</v>
      </c>
      <c r="F1047" t="s">
        <v>688</v>
      </c>
      <c r="G1047">
        <v>385000</v>
      </c>
      <c r="H1047">
        <v>388000</v>
      </c>
    </row>
    <row r="1048" spans="2:8" x14ac:dyDescent="0.25">
      <c r="B1048" t="str">
        <f t="shared" si="16"/>
        <v>BWAPopulation ages 0-14, male</v>
      </c>
      <c r="C1048" t="s">
        <v>184</v>
      </c>
      <c r="D1048" t="s">
        <v>22</v>
      </c>
      <c r="E1048" t="s">
        <v>689</v>
      </c>
      <c r="F1048" t="s">
        <v>690</v>
      </c>
      <c r="G1048">
        <v>393000</v>
      </c>
      <c r="H1048">
        <v>397000</v>
      </c>
    </row>
    <row r="1049" spans="2:8" x14ac:dyDescent="0.25">
      <c r="B1049" t="str">
        <f t="shared" si="16"/>
        <v>BWAPopulation ages 00-04, female</v>
      </c>
      <c r="C1049" t="s">
        <v>184</v>
      </c>
      <c r="D1049" t="s">
        <v>22</v>
      </c>
      <c r="E1049" t="s">
        <v>362</v>
      </c>
      <c r="F1049" t="s">
        <v>691</v>
      </c>
      <c r="G1049">
        <v>134000</v>
      </c>
      <c r="H1049">
        <v>134000</v>
      </c>
    </row>
    <row r="1050" spans="2:8" x14ac:dyDescent="0.25">
      <c r="B1050" t="str">
        <f t="shared" si="16"/>
        <v>BWAPopulation ages 00-04, male</v>
      </c>
      <c r="C1050" t="s">
        <v>184</v>
      </c>
      <c r="D1050" t="s">
        <v>22</v>
      </c>
      <c r="E1050" t="s">
        <v>363</v>
      </c>
      <c r="F1050" t="s">
        <v>692</v>
      </c>
      <c r="G1050">
        <v>138000</v>
      </c>
      <c r="H1050">
        <v>138000</v>
      </c>
    </row>
    <row r="1051" spans="2:8" x14ac:dyDescent="0.25">
      <c r="B1051" t="str">
        <f t="shared" si="16"/>
        <v>BWAPopulation ages 05-09, female</v>
      </c>
      <c r="C1051" t="s">
        <v>184</v>
      </c>
      <c r="D1051" t="s">
        <v>22</v>
      </c>
      <c r="E1051" t="s">
        <v>364</v>
      </c>
      <c r="F1051" t="s">
        <v>693</v>
      </c>
      <c r="G1051">
        <v>130000</v>
      </c>
      <c r="H1051">
        <v>132000</v>
      </c>
    </row>
    <row r="1052" spans="2:8" x14ac:dyDescent="0.25">
      <c r="B1052" t="str">
        <f t="shared" si="16"/>
        <v>BWAPopulation ages 05-09, male</v>
      </c>
      <c r="C1052" t="s">
        <v>184</v>
      </c>
      <c r="D1052" t="s">
        <v>22</v>
      </c>
      <c r="E1052" t="s">
        <v>365</v>
      </c>
      <c r="F1052" t="s">
        <v>694</v>
      </c>
      <c r="G1052">
        <v>133000</v>
      </c>
      <c r="H1052">
        <v>135000</v>
      </c>
    </row>
    <row r="1053" spans="2:8" x14ac:dyDescent="0.25">
      <c r="B1053" t="str">
        <f t="shared" si="16"/>
        <v>BWAPopulation ages 10-14, female</v>
      </c>
      <c r="C1053" t="s">
        <v>184</v>
      </c>
      <c r="D1053" t="s">
        <v>22</v>
      </c>
      <c r="E1053" t="s">
        <v>366</v>
      </c>
      <c r="F1053" t="s">
        <v>695</v>
      </c>
      <c r="G1053">
        <v>120000</v>
      </c>
      <c r="H1053">
        <v>122000</v>
      </c>
    </row>
    <row r="1054" spans="2:8" x14ac:dyDescent="0.25">
      <c r="B1054" t="str">
        <f t="shared" si="16"/>
        <v>BWAPopulation ages 10-14, male</v>
      </c>
      <c r="C1054" t="s">
        <v>184</v>
      </c>
      <c r="D1054" t="s">
        <v>22</v>
      </c>
      <c r="E1054" t="s">
        <v>367</v>
      </c>
      <c r="F1054" t="s">
        <v>696</v>
      </c>
      <c r="G1054">
        <v>122000</v>
      </c>
      <c r="H1054">
        <v>125000</v>
      </c>
    </row>
    <row r="1055" spans="2:8" x14ac:dyDescent="0.25">
      <c r="B1055" t="str">
        <f t="shared" si="16"/>
        <v>BWAPopulation ages 15-19, female</v>
      </c>
      <c r="C1055" t="s">
        <v>184</v>
      </c>
      <c r="D1055" t="s">
        <v>22</v>
      </c>
      <c r="E1055" t="s">
        <v>368</v>
      </c>
      <c r="F1055" t="s">
        <v>697</v>
      </c>
      <c r="G1055">
        <v>109000</v>
      </c>
      <c r="H1055">
        <v>111000</v>
      </c>
    </row>
    <row r="1056" spans="2:8" x14ac:dyDescent="0.25">
      <c r="B1056" t="str">
        <f t="shared" si="16"/>
        <v>BWAPopulation ages 15-19, male</v>
      </c>
      <c r="C1056" t="s">
        <v>184</v>
      </c>
      <c r="D1056" t="s">
        <v>22</v>
      </c>
      <c r="E1056" t="s">
        <v>369</v>
      </c>
      <c r="F1056" t="s">
        <v>698</v>
      </c>
      <c r="G1056">
        <v>111000</v>
      </c>
      <c r="H1056">
        <v>114000</v>
      </c>
    </row>
    <row r="1057" spans="2:8" x14ac:dyDescent="0.25">
      <c r="B1057" t="str">
        <f t="shared" si="16"/>
        <v>BWAPopulation ages 20-24, female</v>
      </c>
      <c r="C1057" t="s">
        <v>184</v>
      </c>
      <c r="D1057" t="s">
        <v>22</v>
      </c>
      <c r="E1057" t="s">
        <v>370</v>
      </c>
      <c r="F1057" t="s">
        <v>699</v>
      </c>
      <c r="G1057">
        <v>100000</v>
      </c>
      <c r="H1057">
        <v>101000</v>
      </c>
    </row>
    <row r="1058" spans="2:8" x14ac:dyDescent="0.25">
      <c r="B1058" t="str">
        <f t="shared" si="16"/>
        <v>BWAPopulation ages 20-24, male</v>
      </c>
      <c r="C1058" t="s">
        <v>184</v>
      </c>
      <c r="D1058" t="s">
        <v>22</v>
      </c>
      <c r="E1058" t="s">
        <v>371</v>
      </c>
      <c r="F1058" t="s">
        <v>700</v>
      </c>
      <c r="G1058">
        <v>101000</v>
      </c>
      <c r="H1058">
        <v>103000</v>
      </c>
    </row>
    <row r="1059" spans="2:8" x14ac:dyDescent="0.25">
      <c r="B1059" t="str">
        <f t="shared" si="16"/>
        <v>BWAPopulation ages 25-29, female</v>
      </c>
      <c r="C1059" t="s">
        <v>184</v>
      </c>
      <c r="D1059" t="s">
        <v>22</v>
      </c>
      <c r="E1059" t="s">
        <v>372</v>
      </c>
      <c r="F1059" t="s">
        <v>701</v>
      </c>
      <c r="G1059">
        <v>100000</v>
      </c>
      <c r="H1059">
        <v>100000</v>
      </c>
    </row>
    <row r="1060" spans="2:8" x14ac:dyDescent="0.25">
      <c r="B1060" t="str">
        <f t="shared" si="16"/>
        <v>BWAPopulation ages 25-29, male</v>
      </c>
      <c r="C1060" t="s">
        <v>184</v>
      </c>
      <c r="D1060" t="s">
        <v>22</v>
      </c>
      <c r="E1060" t="s">
        <v>373</v>
      </c>
      <c r="F1060" t="s">
        <v>702</v>
      </c>
      <c r="G1060">
        <v>97000</v>
      </c>
      <c r="H1060">
        <v>99000</v>
      </c>
    </row>
    <row r="1061" spans="2:8" x14ac:dyDescent="0.25">
      <c r="B1061" t="str">
        <f t="shared" si="16"/>
        <v>BWAPopulation ages 30-34, female</v>
      </c>
      <c r="C1061" t="s">
        <v>184</v>
      </c>
      <c r="D1061" t="s">
        <v>22</v>
      </c>
      <c r="E1061" t="s">
        <v>374</v>
      </c>
      <c r="F1061" t="s">
        <v>703</v>
      </c>
      <c r="G1061">
        <v>97000</v>
      </c>
      <c r="H1061">
        <v>97000</v>
      </c>
    </row>
    <row r="1062" spans="2:8" x14ac:dyDescent="0.25">
      <c r="B1062" t="str">
        <f t="shared" si="16"/>
        <v>BWAPopulation ages 30-34, male</v>
      </c>
      <c r="C1062" t="s">
        <v>184</v>
      </c>
      <c r="D1062" t="s">
        <v>22</v>
      </c>
      <c r="E1062" t="s">
        <v>375</v>
      </c>
      <c r="F1062" t="s">
        <v>704</v>
      </c>
      <c r="G1062">
        <v>88000</v>
      </c>
      <c r="H1062">
        <v>90000</v>
      </c>
    </row>
    <row r="1063" spans="2:8" x14ac:dyDescent="0.25">
      <c r="B1063" t="str">
        <f t="shared" si="16"/>
        <v>BWAPopulation ages 35-39, female</v>
      </c>
      <c r="C1063" t="s">
        <v>184</v>
      </c>
      <c r="D1063" t="s">
        <v>22</v>
      </c>
      <c r="E1063" t="s">
        <v>376</v>
      </c>
      <c r="F1063" t="s">
        <v>705</v>
      </c>
      <c r="G1063">
        <v>93000</v>
      </c>
      <c r="H1063">
        <v>95000</v>
      </c>
    </row>
    <row r="1064" spans="2:8" x14ac:dyDescent="0.25">
      <c r="B1064" t="str">
        <f t="shared" si="16"/>
        <v>BWAPopulation ages 35-39, male</v>
      </c>
      <c r="C1064" t="s">
        <v>184</v>
      </c>
      <c r="D1064" t="s">
        <v>22</v>
      </c>
      <c r="E1064" t="s">
        <v>377</v>
      </c>
      <c r="F1064" t="s">
        <v>706</v>
      </c>
      <c r="G1064">
        <v>81000</v>
      </c>
      <c r="H1064">
        <v>83000</v>
      </c>
    </row>
    <row r="1065" spans="2:8" x14ac:dyDescent="0.25">
      <c r="B1065" t="str">
        <f t="shared" si="16"/>
        <v>BWAPopulation ages 40-44, female</v>
      </c>
      <c r="C1065" t="s">
        <v>184</v>
      </c>
      <c r="D1065" t="s">
        <v>22</v>
      </c>
      <c r="E1065" t="s">
        <v>378</v>
      </c>
      <c r="F1065" t="s">
        <v>707</v>
      </c>
      <c r="G1065">
        <v>76000</v>
      </c>
      <c r="H1065">
        <v>80000</v>
      </c>
    </row>
    <row r="1066" spans="2:8" x14ac:dyDescent="0.25">
      <c r="B1066" t="str">
        <f t="shared" si="16"/>
        <v>BWAPopulation ages 40-44, male</v>
      </c>
      <c r="C1066" t="s">
        <v>184</v>
      </c>
      <c r="D1066" t="s">
        <v>22</v>
      </c>
      <c r="E1066" t="s">
        <v>379</v>
      </c>
      <c r="F1066" t="s">
        <v>708</v>
      </c>
      <c r="G1066">
        <v>66000</v>
      </c>
      <c r="H1066">
        <v>69000</v>
      </c>
    </row>
    <row r="1067" spans="2:8" x14ac:dyDescent="0.25">
      <c r="B1067" t="str">
        <f t="shared" si="16"/>
        <v>BWAPopulation ages 45-49, female</v>
      </c>
      <c r="C1067" t="s">
        <v>184</v>
      </c>
      <c r="D1067" t="s">
        <v>22</v>
      </c>
      <c r="E1067" t="s">
        <v>380</v>
      </c>
      <c r="F1067" t="s">
        <v>709</v>
      </c>
      <c r="G1067">
        <v>56000</v>
      </c>
      <c r="H1067">
        <v>60000</v>
      </c>
    </row>
    <row r="1068" spans="2:8" x14ac:dyDescent="0.25">
      <c r="B1068" t="str">
        <f t="shared" si="16"/>
        <v>BWAPopulation ages 45-49, male</v>
      </c>
      <c r="C1068" t="s">
        <v>184</v>
      </c>
      <c r="D1068" t="s">
        <v>22</v>
      </c>
      <c r="E1068" t="s">
        <v>381</v>
      </c>
      <c r="F1068" t="s">
        <v>710</v>
      </c>
      <c r="G1068">
        <v>49000</v>
      </c>
      <c r="H1068">
        <v>52000</v>
      </c>
    </row>
    <row r="1069" spans="2:8" x14ac:dyDescent="0.25">
      <c r="B1069" t="str">
        <f t="shared" si="16"/>
        <v>BWAPopulation ages 50-54, female</v>
      </c>
      <c r="C1069" t="s">
        <v>184</v>
      </c>
      <c r="D1069" t="s">
        <v>22</v>
      </c>
      <c r="E1069" t="s">
        <v>382</v>
      </c>
      <c r="F1069" t="s">
        <v>711</v>
      </c>
      <c r="G1069">
        <v>41000</v>
      </c>
      <c r="H1069">
        <v>43000</v>
      </c>
    </row>
    <row r="1070" spans="2:8" x14ac:dyDescent="0.25">
      <c r="B1070" t="str">
        <f t="shared" si="16"/>
        <v>BWAPopulation ages 50-54, male</v>
      </c>
      <c r="C1070" t="s">
        <v>184</v>
      </c>
      <c r="D1070" t="s">
        <v>22</v>
      </c>
      <c r="E1070" t="s">
        <v>383</v>
      </c>
      <c r="F1070" t="s">
        <v>712</v>
      </c>
      <c r="G1070">
        <v>36000</v>
      </c>
      <c r="H1070">
        <v>38000</v>
      </c>
    </row>
    <row r="1071" spans="2:8" x14ac:dyDescent="0.25">
      <c r="B1071" t="str">
        <f t="shared" si="16"/>
        <v>BWAPopulation ages 55-59, male</v>
      </c>
      <c r="C1071" t="s">
        <v>184</v>
      </c>
      <c r="D1071" t="s">
        <v>22</v>
      </c>
      <c r="E1071" t="s">
        <v>385</v>
      </c>
      <c r="F1071" t="s">
        <v>713</v>
      </c>
      <c r="G1071">
        <v>27000</v>
      </c>
      <c r="H1071">
        <v>28000</v>
      </c>
    </row>
    <row r="1072" spans="2:8" x14ac:dyDescent="0.25">
      <c r="B1072" t="str">
        <f t="shared" si="16"/>
        <v>BWAPopulation ages 55-59, female</v>
      </c>
      <c r="C1072" t="s">
        <v>184</v>
      </c>
      <c r="D1072" t="s">
        <v>22</v>
      </c>
      <c r="E1072" t="s">
        <v>384</v>
      </c>
      <c r="F1072" t="s">
        <v>714</v>
      </c>
      <c r="G1072">
        <v>38000</v>
      </c>
      <c r="H1072">
        <v>38000</v>
      </c>
    </row>
    <row r="1073" spans="2:8" x14ac:dyDescent="0.25">
      <c r="B1073" t="str">
        <f t="shared" si="16"/>
        <v>BWAPopulation ages 65-69, male</v>
      </c>
      <c r="C1073" t="s">
        <v>184</v>
      </c>
      <c r="D1073" t="s">
        <v>22</v>
      </c>
      <c r="E1073" t="s">
        <v>389</v>
      </c>
      <c r="F1073" t="s">
        <v>715</v>
      </c>
      <c r="G1073">
        <v>18000</v>
      </c>
      <c r="H1073">
        <v>19000</v>
      </c>
    </row>
    <row r="1074" spans="2:8" x14ac:dyDescent="0.25">
      <c r="B1074" t="str">
        <f t="shared" si="16"/>
        <v>BWAPopulation ages 65-69, female</v>
      </c>
      <c r="C1074" t="s">
        <v>184</v>
      </c>
      <c r="D1074" t="s">
        <v>22</v>
      </c>
      <c r="E1074" t="s">
        <v>388</v>
      </c>
      <c r="F1074" t="s">
        <v>716</v>
      </c>
      <c r="G1074">
        <v>25000</v>
      </c>
      <c r="H1074">
        <v>27000</v>
      </c>
    </row>
    <row r="1075" spans="2:8" x14ac:dyDescent="0.25">
      <c r="B1075" t="str">
        <f t="shared" si="16"/>
        <v>BWAPopulation ages 60-64, female</v>
      </c>
      <c r="C1075" t="s">
        <v>184</v>
      </c>
      <c r="D1075" t="s">
        <v>22</v>
      </c>
      <c r="E1075" t="s">
        <v>386</v>
      </c>
      <c r="F1075" t="s">
        <v>717</v>
      </c>
      <c r="G1075">
        <v>35000</v>
      </c>
      <c r="H1075">
        <v>35000</v>
      </c>
    </row>
    <row r="1076" spans="2:8" x14ac:dyDescent="0.25">
      <c r="B1076" t="str">
        <f t="shared" si="16"/>
        <v>BWAPopulation ages 60-64, male</v>
      </c>
      <c r="C1076" t="s">
        <v>184</v>
      </c>
      <c r="D1076" t="s">
        <v>22</v>
      </c>
      <c r="E1076" t="s">
        <v>387</v>
      </c>
      <c r="F1076" t="s">
        <v>718</v>
      </c>
      <c r="G1076">
        <v>23000</v>
      </c>
      <c r="H1076">
        <v>24000</v>
      </c>
    </row>
    <row r="1077" spans="2:8" x14ac:dyDescent="0.25">
      <c r="B1077" t="str">
        <f t="shared" si="16"/>
        <v>BWAPopulation ages 70-74, female</v>
      </c>
      <c r="C1077" t="s">
        <v>184</v>
      </c>
      <c r="D1077" t="s">
        <v>22</v>
      </c>
      <c r="E1077" t="s">
        <v>390</v>
      </c>
      <c r="F1077" t="s">
        <v>719</v>
      </c>
      <c r="G1077">
        <v>16000</v>
      </c>
      <c r="H1077">
        <v>17000</v>
      </c>
    </row>
    <row r="1078" spans="2:8" x14ac:dyDescent="0.25">
      <c r="B1078" t="str">
        <f t="shared" si="16"/>
        <v>BWAPopulation ages 70-74, male</v>
      </c>
      <c r="C1078" t="s">
        <v>184</v>
      </c>
      <c r="D1078" t="s">
        <v>22</v>
      </c>
      <c r="E1078" t="s">
        <v>391</v>
      </c>
      <c r="F1078" t="s">
        <v>720</v>
      </c>
      <c r="G1078">
        <v>12000</v>
      </c>
      <c r="H1078">
        <v>12000</v>
      </c>
    </row>
    <row r="1079" spans="2:8" x14ac:dyDescent="0.25">
      <c r="B1079" t="str">
        <f t="shared" si="16"/>
        <v>BWAPopulation ages 75-79, female</v>
      </c>
      <c r="C1079" t="s">
        <v>184</v>
      </c>
      <c r="D1079" t="s">
        <v>22</v>
      </c>
      <c r="E1079" t="s">
        <v>392</v>
      </c>
      <c r="F1079" t="s">
        <v>721</v>
      </c>
      <c r="G1079">
        <v>11000</v>
      </c>
      <c r="H1079">
        <v>12000</v>
      </c>
    </row>
    <row r="1080" spans="2:8" x14ac:dyDescent="0.25">
      <c r="B1080" t="str">
        <f t="shared" si="16"/>
        <v>BWAPopulation ages 75-79, male</v>
      </c>
      <c r="C1080" t="s">
        <v>184</v>
      </c>
      <c r="D1080" t="s">
        <v>22</v>
      </c>
      <c r="E1080" t="s">
        <v>393</v>
      </c>
      <c r="F1080" t="s">
        <v>722</v>
      </c>
      <c r="G1080">
        <v>7000</v>
      </c>
      <c r="H1080">
        <v>7400</v>
      </c>
    </row>
    <row r="1081" spans="2:8" x14ac:dyDescent="0.25">
      <c r="B1081" t="str">
        <f t="shared" si="16"/>
        <v>BWAPopulation ages 80 and above, female</v>
      </c>
      <c r="C1081" t="s">
        <v>184</v>
      </c>
      <c r="D1081" t="s">
        <v>22</v>
      </c>
      <c r="E1081" t="s">
        <v>394</v>
      </c>
      <c r="F1081" t="s">
        <v>723</v>
      </c>
      <c r="G1081">
        <v>8000</v>
      </c>
      <c r="H1081">
        <v>8400</v>
      </c>
    </row>
    <row r="1082" spans="2:8" x14ac:dyDescent="0.25">
      <c r="B1082" t="str">
        <f t="shared" si="16"/>
        <v>BWAPopulation ages 80 and above, male</v>
      </c>
      <c r="C1082" t="s">
        <v>184</v>
      </c>
      <c r="D1082" t="s">
        <v>22</v>
      </c>
      <c r="E1082" t="s">
        <v>395</v>
      </c>
      <c r="F1082" t="s">
        <v>724</v>
      </c>
      <c r="G1082">
        <v>3800</v>
      </c>
      <c r="H1082">
        <v>4000</v>
      </c>
    </row>
    <row r="1083" spans="2:8" x14ac:dyDescent="0.25">
      <c r="B1083" t="str">
        <f t="shared" si="16"/>
        <v>BWAPopulation, male</v>
      </c>
      <c r="C1083" t="s">
        <v>184</v>
      </c>
      <c r="D1083" t="s">
        <v>22</v>
      </c>
      <c r="E1083" t="s">
        <v>397</v>
      </c>
      <c r="F1083" t="s">
        <v>725</v>
      </c>
      <c r="G1083">
        <v>1114000</v>
      </c>
      <c r="H1083">
        <v>1139000</v>
      </c>
    </row>
    <row r="1084" spans="2:8" x14ac:dyDescent="0.25">
      <c r="B1084" t="str">
        <f t="shared" si="16"/>
        <v>BWAPopulation, total</v>
      </c>
      <c r="C1084" t="s">
        <v>184</v>
      </c>
      <c r="D1084" t="s">
        <v>22</v>
      </c>
      <c r="E1084" t="s">
        <v>398</v>
      </c>
      <c r="F1084" t="s">
        <v>726</v>
      </c>
      <c r="G1084">
        <v>2304000</v>
      </c>
      <c r="H1084">
        <v>2352000</v>
      </c>
    </row>
    <row r="1085" spans="2:8" x14ac:dyDescent="0.25">
      <c r="B1085" t="str">
        <f t="shared" si="16"/>
        <v>BWAPopulation, female</v>
      </c>
      <c r="C1085" t="s">
        <v>184</v>
      </c>
      <c r="D1085" t="s">
        <v>22</v>
      </c>
      <c r="E1085" t="s">
        <v>396</v>
      </c>
      <c r="F1085" t="s">
        <v>727</v>
      </c>
      <c r="G1085">
        <v>1190000</v>
      </c>
      <c r="H1085">
        <v>1213000</v>
      </c>
    </row>
    <row r="1086" spans="2:8" x14ac:dyDescent="0.25">
      <c r="B1086" t="str">
        <f t="shared" si="16"/>
        <v>BWAPopulation growth (annual %)</v>
      </c>
      <c r="C1086" t="s">
        <v>184</v>
      </c>
      <c r="D1086" t="s">
        <v>22</v>
      </c>
      <c r="E1086" t="s">
        <v>399</v>
      </c>
      <c r="F1086" t="s">
        <v>728</v>
      </c>
      <c r="G1086">
        <v>0</v>
      </c>
      <c r="H1086">
        <v>0</v>
      </c>
    </row>
    <row r="1087" spans="2:8" x14ac:dyDescent="0.25">
      <c r="B1087" t="str">
        <f t="shared" si="16"/>
        <v>BRAPopulation ages 0-14, female</v>
      </c>
      <c r="C1087" t="s">
        <v>443</v>
      </c>
      <c r="D1087" t="s">
        <v>19</v>
      </c>
      <c r="E1087" t="s">
        <v>687</v>
      </c>
      <c r="F1087" t="s">
        <v>688</v>
      </c>
      <c r="G1087">
        <v>21689000</v>
      </c>
      <c r="H1087">
        <v>21526000</v>
      </c>
    </row>
    <row r="1088" spans="2:8" x14ac:dyDescent="0.25">
      <c r="B1088" t="str">
        <f t="shared" si="16"/>
        <v>BRAPopulation ages 0-14, male</v>
      </c>
      <c r="C1088" t="s">
        <v>443</v>
      </c>
      <c r="D1088" t="s">
        <v>19</v>
      </c>
      <c r="E1088" t="s">
        <v>689</v>
      </c>
      <c r="F1088" t="s">
        <v>690</v>
      </c>
      <c r="G1088">
        <v>22651000</v>
      </c>
      <c r="H1088">
        <v>22493000</v>
      </c>
    </row>
    <row r="1089" spans="2:8" x14ac:dyDescent="0.25">
      <c r="B1089" t="str">
        <f t="shared" si="16"/>
        <v>BRAPopulation ages 00-04, female</v>
      </c>
      <c r="C1089" t="s">
        <v>443</v>
      </c>
      <c r="D1089" t="s">
        <v>19</v>
      </c>
      <c r="E1089" t="s">
        <v>362</v>
      </c>
      <c r="F1089" t="s">
        <v>691</v>
      </c>
      <c r="G1089">
        <v>7118000</v>
      </c>
      <c r="H1089">
        <v>7070000</v>
      </c>
    </row>
    <row r="1090" spans="2:8" x14ac:dyDescent="0.25">
      <c r="B1090" t="str">
        <f t="shared" si="16"/>
        <v>BRAPopulation ages 00-04, male</v>
      </c>
      <c r="C1090" t="s">
        <v>443</v>
      </c>
      <c r="D1090" t="s">
        <v>19</v>
      </c>
      <c r="E1090" t="s">
        <v>363</v>
      </c>
      <c r="F1090" t="s">
        <v>692</v>
      </c>
      <c r="G1090">
        <v>7454000</v>
      </c>
      <c r="H1090">
        <v>7405000</v>
      </c>
    </row>
    <row r="1091" spans="2:8" x14ac:dyDescent="0.25">
      <c r="B1091" t="str">
        <f t="shared" si="16"/>
        <v>BRAPopulation ages 05-09, female</v>
      </c>
      <c r="C1091" t="s">
        <v>443</v>
      </c>
      <c r="D1091" t="s">
        <v>19</v>
      </c>
      <c r="E1091" t="s">
        <v>364</v>
      </c>
      <c r="F1091" t="s">
        <v>693</v>
      </c>
      <c r="G1091">
        <v>7146000</v>
      </c>
      <c r="H1091">
        <v>7137000</v>
      </c>
    </row>
    <row r="1092" spans="2:8" x14ac:dyDescent="0.25">
      <c r="B1092" t="str">
        <f t="shared" si="16"/>
        <v>BRAPopulation ages 05-09, male</v>
      </c>
      <c r="C1092" t="s">
        <v>443</v>
      </c>
      <c r="D1092" t="s">
        <v>19</v>
      </c>
      <c r="E1092" t="s">
        <v>365</v>
      </c>
      <c r="F1092" t="s">
        <v>694</v>
      </c>
      <c r="G1092">
        <v>7470000</v>
      </c>
      <c r="H1092">
        <v>7465000</v>
      </c>
    </row>
    <row r="1093" spans="2:8" x14ac:dyDescent="0.25">
      <c r="B1093" t="str">
        <f t="shared" si="16"/>
        <v>BRAPopulation ages 10-14, female</v>
      </c>
      <c r="C1093" t="s">
        <v>443</v>
      </c>
      <c r="D1093" t="s">
        <v>19</v>
      </c>
      <c r="E1093" t="s">
        <v>366</v>
      </c>
      <c r="F1093" t="s">
        <v>695</v>
      </c>
      <c r="G1093">
        <v>7424000</v>
      </c>
      <c r="H1093">
        <v>7319000</v>
      </c>
    </row>
    <row r="1094" spans="2:8" x14ac:dyDescent="0.25">
      <c r="B1094" t="str">
        <f t="shared" si="16"/>
        <v>BRAPopulation ages 10-14, male</v>
      </c>
      <c r="C1094" t="s">
        <v>443</v>
      </c>
      <c r="D1094" t="s">
        <v>19</v>
      </c>
      <c r="E1094" t="s">
        <v>367</v>
      </c>
      <c r="F1094" t="s">
        <v>696</v>
      </c>
      <c r="G1094">
        <v>7727000</v>
      </c>
      <c r="H1094">
        <v>7623000</v>
      </c>
    </row>
    <row r="1095" spans="2:8" x14ac:dyDescent="0.25">
      <c r="B1095" t="str">
        <f t="shared" ref="B1095:B1158" si="17">CONCATENATE(D1095,E1095)</f>
        <v>BRAPopulation ages 15-19, female</v>
      </c>
      <c r="C1095" t="s">
        <v>443</v>
      </c>
      <c r="D1095" t="s">
        <v>19</v>
      </c>
      <c r="E1095" t="s">
        <v>368</v>
      </c>
      <c r="F1095" t="s">
        <v>697</v>
      </c>
      <c r="G1095">
        <v>8098000</v>
      </c>
      <c r="H1095">
        <v>7965000</v>
      </c>
    </row>
    <row r="1096" spans="2:8" x14ac:dyDescent="0.25">
      <c r="B1096" t="str">
        <f t="shared" si="17"/>
        <v>BRAPopulation ages 15-19, male</v>
      </c>
      <c r="C1096" t="s">
        <v>443</v>
      </c>
      <c r="D1096" t="s">
        <v>19</v>
      </c>
      <c r="E1096" t="s">
        <v>369</v>
      </c>
      <c r="F1096" t="s">
        <v>698</v>
      </c>
      <c r="G1096">
        <v>8384000</v>
      </c>
      <c r="H1096">
        <v>8253000</v>
      </c>
    </row>
    <row r="1097" spans="2:8" x14ac:dyDescent="0.25">
      <c r="B1097" t="str">
        <f t="shared" si="17"/>
        <v>BRAPopulation ages 20-24, female</v>
      </c>
      <c r="C1097" t="s">
        <v>443</v>
      </c>
      <c r="D1097" t="s">
        <v>19</v>
      </c>
      <c r="E1097" t="s">
        <v>370</v>
      </c>
      <c r="F1097" t="s">
        <v>699</v>
      </c>
      <c r="G1097">
        <v>8495000</v>
      </c>
      <c r="H1097">
        <v>8466000</v>
      </c>
    </row>
    <row r="1098" spans="2:8" x14ac:dyDescent="0.25">
      <c r="B1098" t="str">
        <f t="shared" si="17"/>
        <v>BRAPopulation ages 20-24, male</v>
      </c>
      <c r="C1098" t="s">
        <v>443</v>
      </c>
      <c r="D1098" t="s">
        <v>19</v>
      </c>
      <c r="E1098" t="s">
        <v>371</v>
      </c>
      <c r="F1098" t="s">
        <v>700</v>
      </c>
      <c r="G1098">
        <v>8712000</v>
      </c>
      <c r="H1098">
        <v>8686000</v>
      </c>
    </row>
    <row r="1099" spans="2:8" x14ac:dyDescent="0.25">
      <c r="B1099" t="str">
        <f t="shared" si="17"/>
        <v>BRAPopulation ages 25-29, female</v>
      </c>
      <c r="C1099" t="s">
        <v>443</v>
      </c>
      <c r="D1099" t="s">
        <v>19</v>
      </c>
      <c r="E1099" t="s">
        <v>372</v>
      </c>
      <c r="F1099" t="s">
        <v>701</v>
      </c>
      <c r="G1099">
        <v>8433000</v>
      </c>
      <c r="H1099">
        <v>8419000</v>
      </c>
    </row>
    <row r="1100" spans="2:8" x14ac:dyDescent="0.25">
      <c r="B1100" t="str">
        <f t="shared" si="17"/>
        <v>BRAPopulation ages 25-29, male</v>
      </c>
      <c r="C1100" t="s">
        <v>443</v>
      </c>
      <c r="D1100" t="s">
        <v>19</v>
      </c>
      <c r="E1100" t="s">
        <v>373</v>
      </c>
      <c r="F1100" t="s">
        <v>702</v>
      </c>
      <c r="G1100">
        <v>8542000</v>
      </c>
      <c r="H1100">
        <v>8534000</v>
      </c>
    </row>
    <row r="1101" spans="2:8" x14ac:dyDescent="0.25">
      <c r="B1101" t="str">
        <f t="shared" si="17"/>
        <v>BRAPopulation ages 30-34, female</v>
      </c>
      <c r="C1101" t="s">
        <v>443</v>
      </c>
      <c r="D1101" t="s">
        <v>19</v>
      </c>
      <c r="E1101" t="s">
        <v>374</v>
      </c>
      <c r="F1101" t="s">
        <v>703</v>
      </c>
      <c r="G1101">
        <v>8640000</v>
      </c>
      <c r="H1101">
        <v>8576000</v>
      </c>
    </row>
    <row r="1102" spans="2:8" x14ac:dyDescent="0.25">
      <c r="B1102" t="str">
        <f t="shared" si="17"/>
        <v>BRAPopulation ages 30-34, male</v>
      </c>
      <c r="C1102" t="s">
        <v>443</v>
      </c>
      <c r="D1102" t="s">
        <v>19</v>
      </c>
      <c r="E1102" t="s">
        <v>375</v>
      </c>
      <c r="F1102" t="s">
        <v>704</v>
      </c>
      <c r="G1102">
        <v>8623000</v>
      </c>
      <c r="H1102">
        <v>8572000</v>
      </c>
    </row>
    <row r="1103" spans="2:8" x14ac:dyDescent="0.25">
      <c r="B1103" t="str">
        <f t="shared" si="17"/>
        <v>BRAPopulation ages 35-39, female</v>
      </c>
      <c r="C1103" t="s">
        <v>443</v>
      </c>
      <c r="D1103" t="s">
        <v>19</v>
      </c>
      <c r="E1103" t="s">
        <v>376</v>
      </c>
      <c r="F1103" t="s">
        <v>705</v>
      </c>
      <c r="G1103">
        <v>8662000</v>
      </c>
      <c r="H1103">
        <v>8735000</v>
      </c>
    </row>
    <row r="1104" spans="2:8" x14ac:dyDescent="0.25">
      <c r="B1104" t="str">
        <f t="shared" si="17"/>
        <v>BRAPopulation ages 35-39, male</v>
      </c>
      <c r="C1104" t="s">
        <v>443</v>
      </c>
      <c r="D1104" t="s">
        <v>19</v>
      </c>
      <c r="E1104" t="s">
        <v>377</v>
      </c>
      <c r="F1104" t="s">
        <v>706</v>
      </c>
      <c r="G1104">
        <v>8512000</v>
      </c>
      <c r="H1104">
        <v>8594000</v>
      </c>
    </row>
    <row r="1105" spans="2:8" x14ac:dyDescent="0.25">
      <c r="B1105" t="str">
        <f t="shared" si="17"/>
        <v>BRAPopulation ages 40-44, female</v>
      </c>
      <c r="C1105" t="s">
        <v>443</v>
      </c>
      <c r="D1105" t="s">
        <v>19</v>
      </c>
      <c r="E1105" t="s">
        <v>378</v>
      </c>
      <c r="F1105" t="s">
        <v>707</v>
      </c>
      <c r="G1105">
        <v>7781000</v>
      </c>
      <c r="H1105">
        <v>7957000</v>
      </c>
    </row>
    <row r="1106" spans="2:8" x14ac:dyDescent="0.25">
      <c r="B1106" t="str">
        <f t="shared" si="17"/>
        <v>BRAPopulation ages 40-44, male</v>
      </c>
      <c r="C1106" t="s">
        <v>443</v>
      </c>
      <c r="D1106" t="s">
        <v>19</v>
      </c>
      <c r="E1106" t="s">
        <v>379</v>
      </c>
      <c r="F1106" t="s">
        <v>708</v>
      </c>
      <c r="G1106">
        <v>7523000</v>
      </c>
      <c r="H1106">
        <v>7705000</v>
      </c>
    </row>
    <row r="1107" spans="2:8" x14ac:dyDescent="0.25">
      <c r="B1107" t="str">
        <f t="shared" si="17"/>
        <v>BRAPopulation ages 45-49, female</v>
      </c>
      <c r="C1107" t="s">
        <v>443</v>
      </c>
      <c r="D1107" t="s">
        <v>19</v>
      </c>
      <c r="E1107" t="s">
        <v>380</v>
      </c>
      <c r="F1107" t="s">
        <v>709</v>
      </c>
      <c r="G1107">
        <v>6982000</v>
      </c>
      <c r="H1107">
        <v>7079000</v>
      </c>
    </row>
    <row r="1108" spans="2:8" x14ac:dyDescent="0.25">
      <c r="B1108" t="str">
        <f t="shared" si="17"/>
        <v>BRAPopulation ages 45-49, male</v>
      </c>
      <c r="C1108" t="s">
        <v>443</v>
      </c>
      <c r="D1108" t="s">
        <v>19</v>
      </c>
      <c r="E1108" t="s">
        <v>381</v>
      </c>
      <c r="F1108" t="s">
        <v>710</v>
      </c>
      <c r="G1108">
        <v>6617000</v>
      </c>
      <c r="H1108">
        <v>6722000</v>
      </c>
    </row>
    <row r="1109" spans="2:8" x14ac:dyDescent="0.25">
      <c r="B1109" t="str">
        <f t="shared" si="17"/>
        <v>BRAPopulation ages 50-54, female</v>
      </c>
      <c r="C1109" t="s">
        <v>443</v>
      </c>
      <c r="D1109" t="s">
        <v>19</v>
      </c>
      <c r="E1109" t="s">
        <v>382</v>
      </c>
      <c r="F1109" t="s">
        <v>711</v>
      </c>
      <c r="G1109">
        <v>6593000</v>
      </c>
      <c r="H1109">
        <v>6652000</v>
      </c>
    </row>
    <row r="1110" spans="2:8" x14ac:dyDescent="0.25">
      <c r="B1110" t="str">
        <f t="shared" si="17"/>
        <v>BRAPopulation ages 50-54, male</v>
      </c>
      <c r="C1110" t="s">
        <v>443</v>
      </c>
      <c r="D1110" t="s">
        <v>19</v>
      </c>
      <c r="E1110" t="s">
        <v>383</v>
      </c>
      <c r="F1110" t="s">
        <v>712</v>
      </c>
      <c r="G1110">
        <v>6108000</v>
      </c>
      <c r="H1110">
        <v>6171000</v>
      </c>
    </row>
    <row r="1111" spans="2:8" x14ac:dyDescent="0.25">
      <c r="B1111" t="str">
        <f t="shared" si="17"/>
        <v>BRAPopulation ages 55-59, male</v>
      </c>
      <c r="C1111" t="s">
        <v>443</v>
      </c>
      <c r="D1111" t="s">
        <v>19</v>
      </c>
      <c r="E1111" t="s">
        <v>385</v>
      </c>
      <c r="F1111" t="s">
        <v>713</v>
      </c>
      <c r="G1111">
        <v>5377000</v>
      </c>
      <c r="H1111">
        <v>5508000</v>
      </c>
    </row>
    <row r="1112" spans="2:8" x14ac:dyDescent="0.25">
      <c r="B1112" t="str">
        <f t="shared" si="17"/>
        <v>BRAPopulation ages 55-59, female</v>
      </c>
      <c r="C1112" t="s">
        <v>443</v>
      </c>
      <c r="D1112" t="s">
        <v>19</v>
      </c>
      <c r="E1112" t="s">
        <v>384</v>
      </c>
      <c r="F1112" t="s">
        <v>714</v>
      </c>
      <c r="G1112">
        <v>5948000</v>
      </c>
      <c r="H1112">
        <v>6090000</v>
      </c>
    </row>
    <row r="1113" spans="2:8" x14ac:dyDescent="0.25">
      <c r="B1113" t="str">
        <f t="shared" si="17"/>
        <v>BRAPopulation ages 65-69, male</v>
      </c>
      <c r="C1113" t="s">
        <v>443</v>
      </c>
      <c r="D1113" t="s">
        <v>19</v>
      </c>
      <c r="E1113" t="s">
        <v>389</v>
      </c>
      <c r="F1113" t="s">
        <v>715</v>
      </c>
      <c r="G1113">
        <v>3261000</v>
      </c>
      <c r="H1113">
        <v>3394000</v>
      </c>
    </row>
    <row r="1114" spans="2:8" x14ac:dyDescent="0.25">
      <c r="B1114" t="str">
        <f t="shared" si="17"/>
        <v>BRAPopulation ages 65-69, female</v>
      </c>
      <c r="C1114" t="s">
        <v>443</v>
      </c>
      <c r="D1114" t="s">
        <v>19</v>
      </c>
      <c r="E1114" t="s">
        <v>388</v>
      </c>
      <c r="F1114" t="s">
        <v>716</v>
      </c>
      <c r="G1114">
        <v>3875000</v>
      </c>
      <c r="H1114">
        <v>4034000</v>
      </c>
    </row>
    <row r="1115" spans="2:8" x14ac:dyDescent="0.25">
      <c r="B1115" t="str">
        <f t="shared" si="17"/>
        <v>BRAPopulation ages 60-64, female</v>
      </c>
      <c r="C1115" t="s">
        <v>443</v>
      </c>
      <c r="D1115" t="s">
        <v>19</v>
      </c>
      <c r="E1115" t="s">
        <v>386</v>
      </c>
      <c r="F1115" t="s">
        <v>717</v>
      </c>
      <c r="G1115">
        <v>4880000</v>
      </c>
      <c r="H1115">
        <v>5045000</v>
      </c>
    </row>
    <row r="1116" spans="2:8" x14ac:dyDescent="0.25">
      <c r="B1116" t="str">
        <f t="shared" si="17"/>
        <v>BRAPopulation ages 60-64, male</v>
      </c>
      <c r="C1116" t="s">
        <v>443</v>
      </c>
      <c r="D1116" t="s">
        <v>19</v>
      </c>
      <c r="E1116" t="s">
        <v>387</v>
      </c>
      <c r="F1116" t="s">
        <v>718</v>
      </c>
      <c r="G1116">
        <v>4276000</v>
      </c>
      <c r="H1116">
        <v>4423000</v>
      </c>
    </row>
    <row r="1117" spans="2:8" x14ac:dyDescent="0.25">
      <c r="B1117" t="str">
        <f t="shared" si="17"/>
        <v>BRAPopulation ages 70-74, female</v>
      </c>
      <c r="C1117" t="s">
        <v>443</v>
      </c>
      <c r="D1117" t="s">
        <v>19</v>
      </c>
      <c r="E1117" t="s">
        <v>390</v>
      </c>
      <c r="F1117" t="s">
        <v>719</v>
      </c>
      <c r="G1117">
        <v>2811000</v>
      </c>
      <c r="H1117">
        <v>2958000</v>
      </c>
    </row>
    <row r="1118" spans="2:8" x14ac:dyDescent="0.25">
      <c r="B1118" t="str">
        <f t="shared" si="17"/>
        <v>BRAPopulation ages 70-74, male</v>
      </c>
      <c r="C1118" t="s">
        <v>443</v>
      </c>
      <c r="D1118" t="s">
        <v>19</v>
      </c>
      <c r="E1118" t="s">
        <v>391</v>
      </c>
      <c r="F1118" t="s">
        <v>720</v>
      </c>
      <c r="G1118">
        <v>2235000</v>
      </c>
      <c r="H1118">
        <v>2351000</v>
      </c>
    </row>
    <row r="1119" spans="2:8" x14ac:dyDescent="0.25">
      <c r="B1119" t="str">
        <f t="shared" si="17"/>
        <v>BRAPopulation ages 75-79, female</v>
      </c>
      <c r="C1119" t="s">
        <v>443</v>
      </c>
      <c r="D1119" t="s">
        <v>19</v>
      </c>
      <c r="E1119" t="s">
        <v>392</v>
      </c>
      <c r="F1119" t="s">
        <v>721</v>
      </c>
      <c r="G1119">
        <v>1933000</v>
      </c>
      <c r="H1119">
        <v>2011000</v>
      </c>
    </row>
    <row r="1120" spans="2:8" x14ac:dyDescent="0.25">
      <c r="B1120" t="str">
        <f t="shared" si="17"/>
        <v>BRAPopulation ages 75-79, male</v>
      </c>
      <c r="C1120" t="s">
        <v>443</v>
      </c>
      <c r="D1120" t="s">
        <v>19</v>
      </c>
      <c r="E1120" t="s">
        <v>393</v>
      </c>
      <c r="F1120" t="s">
        <v>722</v>
      </c>
      <c r="G1120">
        <v>1422000</v>
      </c>
      <c r="H1120">
        <v>1481000</v>
      </c>
    </row>
    <row r="1121" spans="2:8" x14ac:dyDescent="0.25">
      <c r="B1121" t="str">
        <f t="shared" si="17"/>
        <v>BRAPopulation ages 80 and above, female</v>
      </c>
      <c r="C1121" t="s">
        <v>443</v>
      </c>
      <c r="D1121" t="s">
        <v>19</v>
      </c>
      <c r="E1121" t="s">
        <v>394</v>
      </c>
      <c r="F1121" t="s">
        <v>723</v>
      </c>
      <c r="G1121">
        <v>2497000</v>
      </c>
      <c r="H1121">
        <v>2610000</v>
      </c>
    </row>
    <row r="1122" spans="2:8" x14ac:dyDescent="0.25">
      <c r="B1122" t="str">
        <f t="shared" si="17"/>
        <v>BRAPopulation ages 80 and above, male</v>
      </c>
      <c r="C1122" t="s">
        <v>443</v>
      </c>
      <c r="D1122" t="s">
        <v>19</v>
      </c>
      <c r="E1122" t="s">
        <v>395</v>
      </c>
      <c r="F1122" t="s">
        <v>724</v>
      </c>
      <c r="G1122">
        <v>1491000</v>
      </c>
      <c r="H1122">
        <v>1549000</v>
      </c>
    </row>
    <row r="1123" spans="2:8" x14ac:dyDescent="0.25">
      <c r="B1123" t="str">
        <f t="shared" si="17"/>
        <v>BRAPopulation, male</v>
      </c>
      <c r="C1123" t="s">
        <v>443</v>
      </c>
      <c r="D1123" t="s">
        <v>19</v>
      </c>
      <c r="E1123" t="s">
        <v>397</v>
      </c>
      <c r="F1123" t="s">
        <v>725</v>
      </c>
      <c r="G1123">
        <v>103733000</v>
      </c>
      <c r="H1123">
        <v>104436000</v>
      </c>
    </row>
    <row r="1124" spans="2:8" x14ac:dyDescent="0.25">
      <c r="B1124" t="str">
        <f t="shared" si="17"/>
        <v>BRAPopulation, total</v>
      </c>
      <c r="C1124" t="s">
        <v>443</v>
      </c>
      <c r="D1124" t="s">
        <v>19</v>
      </c>
      <c r="E1124" t="s">
        <v>398</v>
      </c>
      <c r="F1124" t="s">
        <v>726</v>
      </c>
      <c r="G1124">
        <v>211050000</v>
      </c>
      <c r="H1124">
        <v>212559000</v>
      </c>
    </row>
    <row r="1125" spans="2:8" x14ac:dyDescent="0.25">
      <c r="B1125" t="str">
        <f t="shared" si="17"/>
        <v>BRAPopulation, female</v>
      </c>
      <c r="C1125" t="s">
        <v>443</v>
      </c>
      <c r="D1125" t="s">
        <v>19</v>
      </c>
      <c r="E1125" t="s">
        <v>396</v>
      </c>
      <c r="F1125" t="s">
        <v>727</v>
      </c>
      <c r="G1125">
        <v>107316000</v>
      </c>
      <c r="H1125">
        <v>108124000</v>
      </c>
    </row>
    <row r="1126" spans="2:8" x14ac:dyDescent="0.25">
      <c r="B1126" t="str">
        <f t="shared" si="17"/>
        <v>BRAPopulation growth (annual %)</v>
      </c>
      <c r="C1126" t="s">
        <v>443</v>
      </c>
      <c r="D1126" t="s">
        <v>19</v>
      </c>
      <c r="E1126" t="s">
        <v>399</v>
      </c>
      <c r="F1126" t="s">
        <v>728</v>
      </c>
      <c r="G1126">
        <v>0</v>
      </c>
      <c r="H1126">
        <v>0</v>
      </c>
    </row>
    <row r="1127" spans="2:8" x14ac:dyDescent="0.25">
      <c r="B1127" t="str">
        <f t="shared" si="17"/>
        <v>VGBPopulation ages 0-14, female</v>
      </c>
      <c r="C1127" t="s">
        <v>444</v>
      </c>
      <c r="D1127" t="s">
        <v>445</v>
      </c>
      <c r="E1127" t="s">
        <v>687</v>
      </c>
      <c r="F1127" t="s">
        <v>688</v>
      </c>
      <c r="G1127">
        <v>0</v>
      </c>
      <c r="H1127">
        <v>0</v>
      </c>
    </row>
    <row r="1128" spans="2:8" x14ac:dyDescent="0.25">
      <c r="B1128" t="str">
        <f t="shared" si="17"/>
        <v>VGBPopulation ages 0-14, male</v>
      </c>
      <c r="C1128" t="s">
        <v>444</v>
      </c>
      <c r="D1128" t="s">
        <v>445</v>
      </c>
      <c r="E1128" t="s">
        <v>689</v>
      </c>
      <c r="F1128" t="s">
        <v>690</v>
      </c>
      <c r="G1128">
        <v>0</v>
      </c>
      <c r="H1128">
        <v>0</v>
      </c>
    </row>
    <row r="1129" spans="2:8" x14ac:dyDescent="0.25">
      <c r="B1129" t="str">
        <f t="shared" si="17"/>
        <v>VGBPopulation ages 00-04, female</v>
      </c>
      <c r="C1129" t="s">
        <v>444</v>
      </c>
      <c r="D1129" t="s">
        <v>445</v>
      </c>
      <c r="E1129" t="s">
        <v>362</v>
      </c>
      <c r="F1129" t="s">
        <v>691</v>
      </c>
      <c r="G1129">
        <v>0</v>
      </c>
      <c r="H1129">
        <v>0</v>
      </c>
    </row>
    <row r="1130" spans="2:8" x14ac:dyDescent="0.25">
      <c r="B1130" t="str">
        <f t="shared" si="17"/>
        <v>VGBPopulation ages 00-04, male</v>
      </c>
      <c r="C1130" t="s">
        <v>444</v>
      </c>
      <c r="D1130" t="s">
        <v>445</v>
      </c>
      <c r="E1130" t="s">
        <v>363</v>
      </c>
      <c r="F1130" t="s">
        <v>692</v>
      </c>
      <c r="G1130">
        <v>0</v>
      </c>
      <c r="H1130">
        <v>0</v>
      </c>
    </row>
    <row r="1131" spans="2:8" x14ac:dyDescent="0.25">
      <c r="B1131" t="str">
        <f t="shared" si="17"/>
        <v>VGBPopulation ages 05-09, female</v>
      </c>
      <c r="C1131" t="s">
        <v>444</v>
      </c>
      <c r="D1131" t="s">
        <v>445</v>
      </c>
      <c r="E1131" t="s">
        <v>364</v>
      </c>
      <c r="F1131" t="s">
        <v>693</v>
      </c>
      <c r="G1131">
        <v>0</v>
      </c>
      <c r="H1131">
        <v>0</v>
      </c>
    </row>
    <row r="1132" spans="2:8" x14ac:dyDescent="0.25">
      <c r="B1132" t="str">
        <f t="shared" si="17"/>
        <v>VGBPopulation ages 05-09, male</v>
      </c>
      <c r="C1132" t="s">
        <v>444</v>
      </c>
      <c r="D1132" t="s">
        <v>445</v>
      </c>
      <c r="E1132" t="s">
        <v>365</v>
      </c>
      <c r="F1132" t="s">
        <v>694</v>
      </c>
      <c r="G1132">
        <v>0</v>
      </c>
      <c r="H1132">
        <v>0</v>
      </c>
    </row>
    <row r="1133" spans="2:8" x14ac:dyDescent="0.25">
      <c r="B1133" t="str">
        <f t="shared" si="17"/>
        <v>VGBPopulation ages 10-14, female</v>
      </c>
      <c r="C1133" t="s">
        <v>444</v>
      </c>
      <c r="D1133" t="s">
        <v>445</v>
      </c>
      <c r="E1133" t="s">
        <v>366</v>
      </c>
      <c r="F1133" t="s">
        <v>695</v>
      </c>
      <c r="G1133">
        <v>0</v>
      </c>
      <c r="H1133">
        <v>0</v>
      </c>
    </row>
    <row r="1134" spans="2:8" x14ac:dyDescent="0.25">
      <c r="B1134" t="str">
        <f t="shared" si="17"/>
        <v>VGBPopulation ages 10-14, male</v>
      </c>
      <c r="C1134" t="s">
        <v>444</v>
      </c>
      <c r="D1134" t="s">
        <v>445</v>
      </c>
      <c r="E1134" t="s">
        <v>367</v>
      </c>
      <c r="F1134" t="s">
        <v>696</v>
      </c>
      <c r="G1134">
        <v>0</v>
      </c>
      <c r="H1134">
        <v>0</v>
      </c>
    </row>
    <row r="1135" spans="2:8" x14ac:dyDescent="0.25">
      <c r="B1135" t="str">
        <f t="shared" si="17"/>
        <v>VGBPopulation ages 15-19, female</v>
      </c>
      <c r="C1135" t="s">
        <v>444</v>
      </c>
      <c r="D1135" t="s">
        <v>445</v>
      </c>
      <c r="E1135" t="s">
        <v>368</v>
      </c>
      <c r="F1135" t="s">
        <v>697</v>
      </c>
      <c r="G1135">
        <v>0</v>
      </c>
      <c r="H1135">
        <v>0</v>
      </c>
    </row>
    <row r="1136" spans="2:8" x14ac:dyDescent="0.25">
      <c r="B1136" t="str">
        <f t="shared" si="17"/>
        <v>VGBPopulation ages 15-19, male</v>
      </c>
      <c r="C1136" t="s">
        <v>444</v>
      </c>
      <c r="D1136" t="s">
        <v>445</v>
      </c>
      <c r="E1136" t="s">
        <v>369</v>
      </c>
      <c r="F1136" t="s">
        <v>698</v>
      </c>
      <c r="G1136">
        <v>0</v>
      </c>
      <c r="H1136">
        <v>0</v>
      </c>
    </row>
    <row r="1137" spans="2:8" x14ac:dyDescent="0.25">
      <c r="B1137" t="str">
        <f t="shared" si="17"/>
        <v>VGBPopulation ages 20-24, female</v>
      </c>
      <c r="C1137" t="s">
        <v>444</v>
      </c>
      <c r="D1137" t="s">
        <v>445</v>
      </c>
      <c r="E1137" t="s">
        <v>370</v>
      </c>
      <c r="F1137" t="s">
        <v>699</v>
      </c>
      <c r="G1137">
        <v>0</v>
      </c>
      <c r="H1137">
        <v>0</v>
      </c>
    </row>
    <row r="1138" spans="2:8" x14ac:dyDescent="0.25">
      <c r="B1138" t="str">
        <f t="shared" si="17"/>
        <v>VGBPopulation ages 20-24, male</v>
      </c>
      <c r="C1138" t="s">
        <v>444</v>
      </c>
      <c r="D1138" t="s">
        <v>445</v>
      </c>
      <c r="E1138" t="s">
        <v>371</v>
      </c>
      <c r="F1138" t="s">
        <v>700</v>
      </c>
      <c r="G1138">
        <v>0</v>
      </c>
      <c r="H1138">
        <v>0</v>
      </c>
    </row>
    <row r="1139" spans="2:8" x14ac:dyDescent="0.25">
      <c r="B1139" t="str">
        <f t="shared" si="17"/>
        <v>VGBPopulation ages 25-29, female</v>
      </c>
      <c r="C1139" t="s">
        <v>444</v>
      </c>
      <c r="D1139" t="s">
        <v>445</v>
      </c>
      <c r="E1139" t="s">
        <v>372</v>
      </c>
      <c r="F1139" t="s">
        <v>701</v>
      </c>
      <c r="G1139">
        <v>0</v>
      </c>
      <c r="H1139">
        <v>0</v>
      </c>
    </row>
    <row r="1140" spans="2:8" x14ac:dyDescent="0.25">
      <c r="B1140" t="str">
        <f t="shared" si="17"/>
        <v>VGBPopulation ages 25-29, male</v>
      </c>
      <c r="C1140" t="s">
        <v>444</v>
      </c>
      <c r="D1140" t="s">
        <v>445</v>
      </c>
      <c r="E1140" t="s">
        <v>373</v>
      </c>
      <c r="F1140" t="s">
        <v>702</v>
      </c>
      <c r="G1140">
        <v>0</v>
      </c>
      <c r="H1140">
        <v>0</v>
      </c>
    </row>
    <row r="1141" spans="2:8" x14ac:dyDescent="0.25">
      <c r="B1141" t="str">
        <f t="shared" si="17"/>
        <v>VGBPopulation ages 30-34, female</v>
      </c>
      <c r="C1141" t="s">
        <v>444</v>
      </c>
      <c r="D1141" t="s">
        <v>445</v>
      </c>
      <c r="E1141" t="s">
        <v>374</v>
      </c>
      <c r="F1141" t="s">
        <v>703</v>
      </c>
      <c r="G1141">
        <v>0</v>
      </c>
      <c r="H1141">
        <v>0</v>
      </c>
    </row>
    <row r="1142" spans="2:8" x14ac:dyDescent="0.25">
      <c r="B1142" t="str">
        <f t="shared" si="17"/>
        <v>VGBPopulation ages 30-34, male</v>
      </c>
      <c r="C1142" t="s">
        <v>444</v>
      </c>
      <c r="D1142" t="s">
        <v>445</v>
      </c>
      <c r="E1142" t="s">
        <v>375</v>
      </c>
      <c r="F1142" t="s">
        <v>704</v>
      </c>
      <c r="G1142">
        <v>0</v>
      </c>
      <c r="H1142">
        <v>0</v>
      </c>
    </row>
    <row r="1143" spans="2:8" x14ac:dyDescent="0.25">
      <c r="B1143" t="str">
        <f t="shared" si="17"/>
        <v>VGBPopulation ages 35-39, female</v>
      </c>
      <c r="C1143" t="s">
        <v>444</v>
      </c>
      <c r="D1143" t="s">
        <v>445</v>
      </c>
      <c r="E1143" t="s">
        <v>376</v>
      </c>
      <c r="F1143" t="s">
        <v>705</v>
      </c>
      <c r="G1143">
        <v>0</v>
      </c>
      <c r="H1143">
        <v>0</v>
      </c>
    </row>
    <row r="1144" spans="2:8" x14ac:dyDescent="0.25">
      <c r="B1144" t="str">
        <f t="shared" si="17"/>
        <v>VGBPopulation ages 35-39, male</v>
      </c>
      <c r="C1144" t="s">
        <v>444</v>
      </c>
      <c r="D1144" t="s">
        <v>445</v>
      </c>
      <c r="E1144" t="s">
        <v>377</v>
      </c>
      <c r="F1144" t="s">
        <v>706</v>
      </c>
      <c r="G1144">
        <v>0</v>
      </c>
      <c r="H1144">
        <v>0</v>
      </c>
    </row>
    <row r="1145" spans="2:8" x14ac:dyDescent="0.25">
      <c r="B1145" t="str">
        <f t="shared" si="17"/>
        <v>VGBPopulation ages 40-44, female</v>
      </c>
      <c r="C1145" t="s">
        <v>444</v>
      </c>
      <c r="D1145" t="s">
        <v>445</v>
      </c>
      <c r="E1145" t="s">
        <v>378</v>
      </c>
      <c r="F1145" t="s">
        <v>707</v>
      </c>
      <c r="G1145">
        <v>0</v>
      </c>
      <c r="H1145">
        <v>0</v>
      </c>
    </row>
    <row r="1146" spans="2:8" x14ac:dyDescent="0.25">
      <c r="B1146" t="str">
        <f t="shared" si="17"/>
        <v>VGBPopulation ages 40-44, male</v>
      </c>
      <c r="C1146" t="s">
        <v>444</v>
      </c>
      <c r="D1146" t="s">
        <v>445</v>
      </c>
      <c r="E1146" t="s">
        <v>379</v>
      </c>
      <c r="F1146" t="s">
        <v>708</v>
      </c>
      <c r="G1146">
        <v>0</v>
      </c>
      <c r="H1146">
        <v>0</v>
      </c>
    </row>
    <row r="1147" spans="2:8" x14ac:dyDescent="0.25">
      <c r="B1147" t="str">
        <f t="shared" si="17"/>
        <v>VGBPopulation ages 45-49, female</v>
      </c>
      <c r="C1147" t="s">
        <v>444</v>
      </c>
      <c r="D1147" t="s">
        <v>445</v>
      </c>
      <c r="E1147" t="s">
        <v>380</v>
      </c>
      <c r="F1147" t="s">
        <v>709</v>
      </c>
      <c r="G1147">
        <v>0</v>
      </c>
      <c r="H1147">
        <v>0</v>
      </c>
    </row>
    <row r="1148" spans="2:8" x14ac:dyDescent="0.25">
      <c r="B1148" t="str">
        <f t="shared" si="17"/>
        <v>VGBPopulation ages 45-49, male</v>
      </c>
      <c r="C1148" t="s">
        <v>444</v>
      </c>
      <c r="D1148" t="s">
        <v>445</v>
      </c>
      <c r="E1148" t="s">
        <v>381</v>
      </c>
      <c r="F1148" t="s">
        <v>710</v>
      </c>
      <c r="G1148">
        <v>0</v>
      </c>
      <c r="H1148">
        <v>0</v>
      </c>
    </row>
    <row r="1149" spans="2:8" x14ac:dyDescent="0.25">
      <c r="B1149" t="str">
        <f t="shared" si="17"/>
        <v>VGBPopulation ages 50-54, female</v>
      </c>
      <c r="C1149" t="s">
        <v>444</v>
      </c>
      <c r="D1149" t="s">
        <v>445</v>
      </c>
      <c r="E1149" t="s">
        <v>382</v>
      </c>
      <c r="F1149" t="s">
        <v>711</v>
      </c>
      <c r="G1149">
        <v>0</v>
      </c>
      <c r="H1149">
        <v>0</v>
      </c>
    </row>
    <row r="1150" spans="2:8" x14ac:dyDescent="0.25">
      <c r="B1150" t="str">
        <f t="shared" si="17"/>
        <v>VGBPopulation ages 50-54, male</v>
      </c>
      <c r="C1150" t="s">
        <v>444</v>
      </c>
      <c r="D1150" t="s">
        <v>445</v>
      </c>
      <c r="E1150" t="s">
        <v>383</v>
      </c>
      <c r="F1150" t="s">
        <v>712</v>
      </c>
      <c r="G1150">
        <v>0</v>
      </c>
      <c r="H1150">
        <v>0</v>
      </c>
    </row>
    <row r="1151" spans="2:8" x14ac:dyDescent="0.25">
      <c r="B1151" t="str">
        <f t="shared" si="17"/>
        <v>VGBPopulation ages 55-59, male</v>
      </c>
      <c r="C1151" t="s">
        <v>444</v>
      </c>
      <c r="D1151" t="s">
        <v>445</v>
      </c>
      <c r="E1151" t="s">
        <v>385</v>
      </c>
      <c r="F1151" t="s">
        <v>713</v>
      </c>
      <c r="G1151">
        <v>0</v>
      </c>
      <c r="H1151">
        <v>0</v>
      </c>
    </row>
    <row r="1152" spans="2:8" x14ac:dyDescent="0.25">
      <c r="B1152" t="str">
        <f t="shared" si="17"/>
        <v>VGBPopulation ages 55-59, female</v>
      </c>
      <c r="C1152" t="s">
        <v>444</v>
      </c>
      <c r="D1152" t="s">
        <v>445</v>
      </c>
      <c r="E1152" t="s">
        <v>384</v>
      </c>
      <c r="F1152" t="s">
        <v>714</v>
      </c>
      <c r="G1152">
        <v>0</v>
      </c>
      <c r="H1152">
        <v>0</v>
      </c>
    </row>
    <row r="1153" spans="2:8" x14ac:dyDescent="0.25">
      <c r="B1153" t="str">
        <f t="shared" si="17"/>
        <v>VGBPopulation ages 65-69, male</v>
      </c>
      <c r="C1153" t="s">
        <v>444</v>
      </c>
      <c r="D1153" t="s">
        <v>445</v>
      </c>
      <c r="E1153" t="s">
        <v>389</v>
      </c>
      <c r="F1153" t="s">
        <v>715</v>
      </c>
      <c r="G1153">
        <v>0</v>
      </c>
      <c r="H1153">
        <v>0</v>
      </c>
    </row>
    <row r="1154" spans="2:8" x14ac:dyDescent="0.25">
      <c r="B1154" t="str">
        <f t="shared" si="17"/>
        <v>VGBPopulation ages 65-69, female</v>
      </c>
      <c r="C1154" t="s">
        <v>444</v>
      </c>
      <c r="D1154" t="s">
        <v>445</v>
      </c>
      <c r="E1154" t="s">
        <v>388</v>
      </c>
      <c r="F1154" t="s">
        <v>716</v>
      </c>
      <c r="G1154">
        <v>0</v>
      </c>
      <c r="H1154">
        <v>0</v>
      </c>
    </row>
    <row r="1155" spans="2:8" x14ac:dyDescent="0.25">
      <c r="B1155" t="str">
        <f t="shared" si="17"/>
        <v>VGBPopulation ages 60-64, female</v>
      </c>
      <c r="C1155" t="s">
        <v>444</v>
      </c>
      <c r="D1155" t="s">
        <v>445</v>
      </c>
      <c r="E1155" t="s">
        <v>386</v>
      </c>
      <c r="F1155" t="s">
        <v>717</v>
      </c>
      <c r="G1155">
        <v>0</v>
      </c>
      <c r="H1155">
        <v>0</v>
      </c>
    </row>
    <row r="1156" spans="2:8" x14ac:dyDescent="0.25">
      <c r="B1156" t="str">
        <f t="shared" si="17"/>
        <v>VGBPopulation ages 60-64, male</v>
      </c>
      <c r="C1156" t="s">
        <v>444</v>
      </c>
      <c r="D1156" t="s">
        <v>445</v>
      </c>
      <c r="E1156" t="s">
        <v>387</v>
      </c>
      <c r="F1156" t="s">
        <v>718</v>
      </c>
      <c r="G1156">
        <v>0</v>
      </c>
      <c r="H1156">
        <v>0</v>
      </c>
    </row>
    <row r="1157" spans="2:8" x14ac:dyDescent="0.25">
      <c r="B1157" t="str">
        <f t="shared" si="17"/>
        <v>VGBPopulation ages 70-74, female</v>
      </c>
      <c r="C1157" t="s">
        <v>444</v>
      </c>
      <c r="D1157" t="s">
        <v>445</v>
      </c>
      <c r="E1157" t="s">
        <v>390</v>
      </c>
      <c r="F1157" t="s">
        <v>719</v>
      </c>
      <c r="G1157">
        <v>0</v>
      </c>
      <c r="H1157">
        <v>0</v>
      </c>
    </row>
    <row r="1158" spans="2:8" x14ac:dyDescent="0.25">
      <c r="B1158" t="str">
        <f t="shared" si="17"/>
        <v>VGBPopulation ages 70-74, male</v>
      </c>
      <c r="C1158" t="s">
        <v>444</v>
      </c>
      <c r="D1158" t="s">
        <v>445</v>
      </c>
      <c r="E1158" t="s">
        <v>391</v>
      </c>
      <c r="F1158" t="s">
        <v>720</v>
      </c>
      <c r="G1158">
        <v>0</v>
      </c>
      <c r="H1158">
        <v>0</v>
      </c>
    </row>
    <row r="1159" spans="2:8" x14ac:dyDescent="0.25">
      <c r="B1159" t="str">
        <f t="shared" ref="B1159:B1222" si="18">CONCATENATE(D1159,E1159)</f>
        <v>VGBPopulation ages 75-79, female</v>
      </c>
      <c r="C1159" t="s">
        <v>444</v>
      </c>
      <c r="D1159" t="s">
        <v>445</v>
      </c>
      <c r="E1159" t="s">
        <v>392</v>
      </c>
      <c r="F1159" t="s">
        <v>721</v>
      </c>
      <c r="G1159">
        <v>0</v>
      </c>
      <c r="H1159">
        <v>0</v>
      </c>
    </row>
    <row r="1160" spans="2:8" x14ac:dyDescent="0.25">
      <c r="B1160" t="str">
        <f t="shared" si="18"/>
        <v>VGBPopulation ages 75-79, male</v>
      </c>
      <c r="C1160" t="s">
        <v>444</v>
      </c>
      <c r="D1160" t="s">
        <v>445</v>
      </c>
      <c r="E1160" t="s">
        <v>393</v>
      </c>
      <c r="F1160" t="s">
        <v>722</v>
      </c>
      <c r="G1160">
        <v>0</v>
      </c>
      <c r="H1160">
        <v>0</v>
      </c>
    </row>
    <row r="1161" spans="2:8" x14ac:dyDescent="0.25">
      <c r="B1161" t="str">
        <f t="shared" si="18"/>
        <v>VGBPopulation ages 80 and above, female</v>
      </c>
      <c r="C1161" t="s">
        <v>444</v>
      </c>
      <c r="D1161" t="s">
        <v>445</v>
      </c>
      <c r="E1161" t="s">
        <v>394</v>
      </c>
      <c r="F1161" t="s">
        <v>723</v>
      </c>
      <c r="G1161">
        <v>0</v>
      </c>
      <c r="H1161">
        <v>0</v>
      </c>
    </row>
    <row r="1162" spans="2:8" x14ac:dyDescent="0.25">
      <c r="B1162" t="str">
        <f t="shared" si="18"/>
        <v>VGBPopulation ages 80 and above, male</v>
      </c>
      <c r="C1162" t="s">
        <v>444</v>
      </c>
      <c r="D1162" t="s">
        <v>445</v>
      </c>
      <c r="E1162" t="s">
        <v>395</v>
      </c>
      <c r="F1162" t="s">
        <v>724</v>
      </c>
      <c r="G1162">
        <v>0</v>
      </c>
      <c r="H1162">
        <v>0</v>
      </c>
    </row>
    <row r="1163" spans="2:8" x14ac:dyDescent="0.25">
      <c r="B1163" t="str">
        <f t="shared" si="18"/>
        <v>VGBPopulation, male</v>
      </c>
      <c r="C1163" t="s">
        <v>444</v>
      </c>
      <c r="D1163" t="s">
        <v>445</v>
      </c>
      <c r="E1163" t="s">
        <v>397</v>
      </c>
      <c r="F1163" t="s">
        <v>725</v>
      </c>
      <c r="G1163">
        <v>0</v>
      </c>
      <c r="H1163">
        <v>0</v>
      </c>
    </row>
    <row r="1164" spans="2:8" x14ac:dyDescent="0.25">
      <c r="B1164" t="str">
        <f t="shared" si="18"/>
        <v>VGBPopulation, total</v>
      </c>
      <c r="C1164" t="s">
        <v>444</v>
      </c>
      <c r="D1164" t="s">
        <v>445</v>
      </c>
      <c r="E1164" t="s">
        <v>398</v>
      </c>
      <c r="F1164" t="s">
        <v>726</v>
      </c>
      <c r="G1164">
        <v>30000</v>
      </c>
      <c r="H1164">
        <v>30000</v>
      </c>
    </row>
    <row r="1165" spans="2:8" x14ac:dyDescent="0.25">
      <c r="B1165" t="str">
        <f t="shared" si="18"/>
        <v>VGBPopulation, female</v>
      </c>
      <c r="C1165" t="s">
        <v>444</v>
      </c>
      <c r="D1165" t="s">
        <v>445</v>
      </c>
      <c r="E1165" t="s">
        <v>396</v>
      </c>
      <c r="F1165" t="s">
        <v>727</v>
      </c>
      <c r="G1165">
        <v>0</v>
      </c>
      <c r="H1165">
        <v>0</v>
      </c>
    </row>
    <row r="1166" spans="2:8" x14ac:dyDescent="0.25">
      <c r="B1166" t="str">
        <f t="shared" si="18"/>
        <v>VGBPopulation growth (annual %)</v>
      </c>
      <c r="C1166" t="s">
        <v>444</v>
      </c>
      <c r="D1166" t="s">
        <v>445</v>
      </c>
      <c r="E1166" t="s">
        <v>399</v>
      </c>
      <c r="F1166" t="s">
        <v>728</v>
      </c>
      <c r="G1166">
        <v>0</v>
      </c>
      <c r="H1166">
        <v>0</v>
      </c>
    </row>
    <row r="1167" spans="2:8" x14ac:dyDescent="0.25">
      <c r="B1167" t="str">
        <f t="shared" si="18"/>
        <v>BRNPopulation ages 0-14, female</v>
      </c>
      <c r="C1167" t="s">
        <v>446</v>
      </c>
      <c r="D1167" t="s">
        <v>20</v>
      </c>
      <c r="E1167" t="s">
        <v>687</v>
      </c>
      <c r="F1167" t="s">
        <v>688</v>
      </c>
      <c r="G1167">
        <v>48000</v>
      </c>
      <c r="H1167">
        <v>47000</v>
      </c>
    </row>
    <row r="1168" spans="2:8" x14ac:dyDescent="0.25">
      <c r="B1168" t="str">
        <f t="shared" si="18"/>
        <v>BRNPopulation ages 0-14, male</v>
      </c>
      <c r="C1168" t="s">
        <v>446</v>
      </c>
      <c r="D1168" t="s">
        <v>20</v>
      </c>
      <c r="E1168" t="s">
        <v>689</v>
      </c>
      <c r="F1168" t="s">
        <v>690</v>
      </c>
      <c r="G1168">
        <v>50000</v>
      </c>
      <c r="H1168">
        <v>50000</v>
      </c>
    </row>
    <row r="1169" spans="2:8" x14ac:dyDescent="0.25">
      <c r="B1169" t="str">
        <f t="shared" si="18"/>
        <v>BRNPopulation ages 00-04, female</v>
      </c>
      <c r="C1169" t="s">
        <v>446</v>
      </c>
      <c r="D1169" t="s">
        <v>20</v>
      </c>
      <c r="E1169" t="s">
        <v>362</v>
      </c>
      <c r="F1169" t="s">
        <v>691</v>
      </c>
      <c r="G1169">
        <v>16000</v>
      </c>
      <c r="H1169">
        <v>15000</v>
      </c>
    </row>
    <row r="1170" spans="2:8" x14ac:dyDescent="0.25">
      <c r="B1170" t="str">
        <f t="shared" si="18"/>
        <v>BRNPopulation ages 00-04, male</v>
      </c>
      <c r="C1170" t="s">
        <v>446</v>
      </c>
      <c r="D1170" t="s">
        <v>20</v>
      </c>
      <c r="E1170" t="s">
        <v>363</v>
      </c>
      <c r="F1170" t="s">
        <v>692</v>
      </c>
      <c r="G1170">
        <v>17000</v>
      </c>
      <c r="H1170">
        <v>16000</v>
      </c>
    </row>
    <row r="1171" spans="2:8" x14ac:dyDescent="0.25">
      <c r="B1171" t="str">
        <f t="shared" si="18"/>
        <v>BRNPopulation ages 05-09, female</v>
      </c>
      <c r="C1171" t="s">
        <v>446</v>
      </c>
      <c r="D1171" t="s">
        <v>20</v>
      </c>
      <c r="E1171" t="s">
        <v>364</v>
      </c>
      <c r="F1171" t="s">
        <v>693</v>
      </c>
      <c r="G1171">
        <v>16000</v>
      </c>
      <c r="H1171">
        <v>17000</v>
      </c>
    </row>
    <row r="1172" spans="2:8" x14ac:dyDescent="0.25">
      <c r="B1172" t="str">
        <f t="shared" si="18"/>
        <v>BRNPopulation ages 05-09, male</v>
      </c>
      <c r="C1172" t="s">
        <v>446</v>
      </c>
      <c r="D1172" t="s">
        <v>20</v>
      </c>
      <c r="E1172" t="s">
        <v>365</v>
      </c>
      <c r="F1172" t="s">
        <v>694</v>
      </c>
      <c r="G1172">
        <v>18000</v>
      </c>
      <c r="H1172">
        <v>18000</v>
      </c>
    </row>
    <row r="1173" spans="2:8" x14ac:dyDescent="0.25">
      <c r="B1173" t="str">
        <f t="shared" si="18"/>
        <v>BRNPopulation ages 10-14, female</v>
      </c>
      <c r="C1173" t="s">
        <v>446</v>
      </c>
      <c r="D1173" t="s">
        <v>20</v>
      </c>
      <c r="E1173" t="s">
        <v>366</v>
      </c>
      <c r="F1173" t="s">
        <v>695</v>
      </c>
      <c r="G1173">
        <v>15000</v>
      </c>
      <c r="H1173">
        <v>15000</v>
      </c>
    </row>
    <row r="1174" spans="2:8" x14ac:dyDescent="0.25">
      <c r="B1174" t="str">
        <f t="shared" si="18"/>
        <v>BRNPopulation ages 10-14, male</v>
      </c>
      <c r="C1174" t="s">
        <v>446</v>
      </c>
      <c r="D1174" t="s">
        <v>20</v>
      </c>
      <c r="E1174" t="s">
        <v>367</v>
      </c>
      <c r="F1174" t="s">
        <v>696</v>
      </c>
      <c r="G1174">
        <v>16000</v>
      </c>
      <c r="H1174">
        <v>16000</v>
      </c>
    </row>
    <row r="1175" spans="2:8" x14ac:dyDescent="0.25">
      <c r="B1175" t="str">
        <f t="shared" si="18"/>
        <v>BRNPopulation ages 15-19, female</v>
      </c>
      <c r="C1175" t="s">
        <v>446</v>
      </c>
      <c r="D1175" t="s">
        <v>20</v>
      </c>
      <c r="E1175" t="s">
        <v>368</v>
      </c>
      <c r="F1175" t="s">
        <v>697</v>
      </c>
      <c r="G1175">
        <v>17000</v>
      </c>
      <c r="H1175">
        <v>16000</v>
      </c>
    </row>
    <row r="1176" spans="2:8" x14ac:dyDescent="0.25">
      <c r="B1176" t="str">
        <f t="shared" si="18"/>
        <v>BRNPopulation ages 15-19, male</v>
      </c>
      <c r="C1176" t="s">
        <v>446</v>
      </c>
      <c r="D1176" t="s">
        <v>20</v>
      </c>
      <c r="E1176" t="s">
        <v>369</v>
      </c>
      <c r="F1176" t="s">
        <v>698</v>
      </c>
      <c r="G1176">
        <v>18000</v>
      </c>
      <c r="H1176">
        <v>17000</v>
      </c>
    </row>
    <row r="1177" spans="2:8" x14ac:dyDescent="0.25">
      <c r="B1177" t="str">
        <f t="shared" si="18"/>
        <v>BRNPopulation ages 20-24, female</v>
      </c>
      <c r="C1177" t="s">
        <v>446</v>
      </c>
      <c r="D1177" t="s">
        <v>20</v>
      </c>
      <c r="E1177" t="s">
        <v>370</v>
      </c>
      <c r="F1177" t="s">
        <v>699</v>
      </c>
      <c r="G1177">
        <v>17000</v>
      </c>
      <c r="H1177">
        <v>17000</v>
      </c>
    </row>
    <row r="1178" spans="2:8" x14ac:dyDescent="0.25">
      <c r="B1178" t="str">
        <f t="shared" si="18"/>
        <v>BRNPopulation ages 20-24, male</v>
      </c>
      <c r="C1178" t="s">
        <v>446</v>
      </c>
      <c r="D1178" t="s">
        <v>20</v>
      </c>
      <c r="E1178" t="s">
        <v>371</v>
      </c>
      <c r="F1178" t="s">
        <v>700</v>
      </c>
      <c r="G1178">
        <v>18000</v>
      </c>
      <c r="H1178">
        <v>19000</v>
      </c>
    </row>
    <row r="1179" spans="2:8" x14ac:dyDescent="0.25">
      <c r="B1179" t="str">
        <f t="shared" si="18"/>
        <v>BRNPopulation ages 25-29, female</v>
      </c>
      <c r="C1179" t="s">
        <v>446</v>
      </c>
      <c r="D1179" t="s">
        <v>20</v>
      </c>
      <c r="E1179" t="s">
        <v>372</v>
      </c>
      <c r="F1179" t="s">
        <v>701</v>
      </c>
      <c r="G1179">
        <v>17000</v>
      </c>
      <c r="H1179">
        <v>16000</v>
      </c>
    </row>
    <row r="1180" spans="2:8" x14ac:dyDescent="0.25">
      <c r="B1180" t="str">
        <f t="shared" si="18"/>
        <v>BRNPopulation ages 25-29, male</v>
      </c>
      <c r="C1180" t="s">
        <v>446</v>
      </c>
      <c r="D1180" t="s">
        <v>20</v>
      </c>
      <c r="E1180" t="s">
        <v>373</v>
      </c>
      <c r="F1180" t="s">
        <v>702</v>
      </c>
      <c r="G1180">
        <v>18000</v>
      </c>
      <c r="H1180">
        <v>18000</v>
      </c>
    </row>
    <row r="1181" spans="2:8" x14ac:dyDescent="0.25">
      <c r="B1181" t="str">
        <f t="shared" si="18"/>
        <v>BRNPopulation ages 30-34, female</v>
      </c>
      <c r="C1181" t="s">
        <v>446</v>
      </c>
      <c r="D1181" t="s">
        <v>20</v>
      </c>
      <c r="E1181" t="s">
        <v>374</v>
      </c>
      <c r="F1181" t="s">
        <v>703</v>
      </c>
      <c r="G1181">
        <v>18000</v>
      </c>
      <c r="H1181">
        <v>18000</v>
      </c>
    </row>
    <row r="1182" spans="2:8" x14ac:dyDescent="0.25">
      <c r="B1182" t="str">
        <f t="shared" si="18"/>
        <v>BRNPopulation ages 30-34, male</v>
      </c>
      <c r="C1182" t="s">
        <v>446</v>
      </c>
      <c r="D1182" t="s">
        <v>20</v>
      </c>
      <c r="E1182" t="s">
        <v>375</v>
      </c>
      <c r="F1182" t="s">
        <v>704</v>
      </c>
      <c r="G1182">
        <v>21000</v>
      </c>
      <c r="H1182">
        <v>20000</v>
      </c>
    </row>
    <row r="1183" spans="2:8" x14ac:dyDescent="0.25">
      <c r="B1183" t="str">
        <f t="shared" si="18"/>
        <v>BRNPopulation ages 35-39, female</v>
      </c>
      <c r="C1183" t="s">
        <v>446</v>
      </c>
      <c r="D1183" t="s">
        <v>20</v>
      </c>
      <c r="E1183" t="s">
        <v>376</v>
      </c>
      <c r="F1183" t="s">
        <v>705</v>
      </c>
      <c r="G1183">
        <v>18000</v>
      </c>
      <c r="H1183">
        <v>18000</v>
      </c>
    </row>
    <row r="1184" spans="2:8" x14ac:dyDescent="0.25">
      <c r="B1184" t="str">
        <f t="shared" si="18"/>
        <v>BRNPopulation ages 35-39, male</v>
      </c>
      <c r="C1184" t="s">
        <v>446</v>
      </c>
      <c r="D1184" t="s">
        <v>20</v>
      </c>
      <c r="E1184" t="s">
        <v>377</v>
      </c>
      <c r="F1184" t="s">
        <v>706</v>
      </c>
      <c r="G1184">
        <v>20000</v>
      </c>
      <c r="H1184">
        <v>21000</v>
      </c>
    </row>
    <row r="1185" spans="2:8" x14ac:dyDescent="0.25">
      <c r="B1185" t="str">
        <f t="shared" si="18"/>
        <v>BRNPopulation ages 40-44, female</v>
      </c>
      <c r="C1185" t="s">
        <v>446</v>
      </c>
      <c r="D1185" t="s">
        <v>20</v>
      </c>
      <c r="E1185" t="s">
        <v>378</v>
      </c>
      <c r="F1185" t="s">
        <v>707</v>
      </c>
      <c r="G1185">
        <v>17000</v>
      </c>
      <c r="H1185">
        <v>17000</v>
      </c>
    </row>
    <row r="1186" spans="2:8" x14ac:dyDescent="0.25">
      <c r="B1186" t="str">
        <f t="shared" si="18"/>
        <v>BRNPopulation ages 40-44, male</v>
      </c>
      <c r="C1186" t="s">
        <v>446</v>
      </c>
      <c r="D1186" t="s">
        <v>20</v>
      </c>
      <c r="E1186" t="s">
        <v>379</v>
      </c>
      <c r="F1186" t="s">
        <v>708</v>
      </c>
      <c r="G1186">
        <v>18000</v>
      </c>
      <c r="H1186">
        <v>19000</v>
      </c>
    </row>
    <row r="1187" spans="2:8" x14ac:dyDescent="0.25">
      <c r="B1187" t="str">
        <f t="shared" si="18"/>
        <v>BRNPopulation ages 45-49, female</v>
      </c>
      <c r="C1187" t="s">
        <v>446</v>
      </c>
      <c r="D1187" t="s">
        <v>20</v>
      </c>
      <c r="E1187" t="s">
        <v>380</v>
      </c>
      <c r="F1187" t="s">
        <v>709</v>
      </c>
      <c r="G1187">
        <v>16000</v>
      </c>
      <c r="H1187">
        <v>16000</v>
      </c>
    </row>
    <row r="1188" spans="2:8" x14ac:dyDescent="0.25">
      <c r="B1188" t="str">
        <f t="shared" si="18"/>
        <v>BRNPopulation ages 45-49, male</v>
      </c>
      <c r="C1188" t="s">
        <v>446</v>
      </c>
      <c r="D1188" t="s">
        <v>20</v>
      </c>
      <c r="E1188" t="s">
        <v>381</v>
      </c>
      <c r="F1188" t="s">
        <v>710</v>
      </c>
      <c r="G1188">
        <v>16000</v>
      </c>
      <c r="H1188">
        <v>17000</v>
      </c>
    </row>
    <row r="1189" spans="2:8" x14ac:dyDescent="0.25">
      <c r="B1189" t="str">
        <f t="shared" si="18"/>
        <v>BRNPopulation ages 50-54, female</v>
      </c>
      <c r="C1189" t="s">
        <v>446</v>
      </c>
      <c r="D1189" t="s">
        <v>20</v>
      </c>
      <c r="E1189" t="s">
        <v>382</v>
      </c>
      <c r="F1189" t="s">
        <v>711</v>
      </c>
      <c r="G1189">
        <v>13000</v>
      </c>
      <c r="H1189">
        <v>14000</v>
      </c>
    </row>
    <row r="1190" spans="2:8" x14ac:dyDescent="0.25">
      <c r="B1190" t="str">
        <f t="shared" si="18"/>
        <v>BRNPopulation ages 50-54, male</v>
      </c>
      <c r="C1190" t="s">
        <v>446</v>
      </c>
      <c r="D1190" t="s">
        <v>20</v>
      </c>
      <c r="E1190" t="s">
        <v>383</v>
      </c>
      <c r="F1190" t="s">
        <v>712</v>
      </c>
      <c r="G1190">
        <v>14000</v>
      </c>
      <c r="H1190">
        <v>14000</v>
      </c>
    </row>
    <row r="1191" spans="2:8" x14ac:dyDescent="0.25">
      <c r="B1191" t="str">
        <f t="shared" si="18"/>
        <v>BRNPopulation ages 55-59, male</v>
      </c>
      <c r="C1191" t="s">
        <v>446</v>
      </c>
      <c r="D1191" t="s">
        <v>20</v>
      </c>
      <c r="E1191" t="s">
        <v>385</v>
      </c>
      <c r="F1191" t="s">
        <v>713</v>
      </c>
      <c r="G1191">
        <v>11000</v>
      </c>
      <c r="H1191">
        <v>12000</v>
      </c>
    </row>
    <row r="1192" spans="2:8" x14ac:dyDescent="0.25">
      <c r="B1192" t="str">
        <f t="shared" si="18"/>
        <v>BRNPopulation ages 55-59, female</v>
      </c>
      <c r="C1192" t="s">
        <v>446</v>
      </c>
      <c r="D1192" t="s">
        <v>20</v>
      </c>
      <c r="E1192" t="s">
        <v>384</v>
      </c>
      <c r="F1192" t="s">
        <v>714</v>
      </c>
      <c r="G1192">
        <v>10000</v>
      </c>
      <c r="H1192">
        <v>11000</v>
      </c>
    </row>
    <row r="1193" spans="2:8" x14ac:dyDescent="0.25">
      <c r="B1193" t="str">
        <f t="shared" si="18"/>
        <v>BRNPopulation ages 65-69, male</v>
      </c>
      <c r="C1193" t="s">
        <v>446</v>
      </c>
      <c r="D1193" t="s">
        <v>20</v>
      </c>
      <c r="E1193" t="s">
        <v>389</v>
      </c>
      <c r="F1193" t="s">
        <v>715</v>
      </c>
      <c r="G1193">
        <v>5100</v>
      </c>
      <c r="H1193">
        <v>5600</v>
      </c>
    </row>
    <row r="1194" spans="2:8" x14ac:dyDescent="0.25">
      <c r="B1194" t="str">
        <f t="shared" si="18"/>
        <v>BRNPopulation ages 65-69, female</v>
      </c>
      <c r="C1194" t="s">
        <v>446</v>
      </c>
      <c r="D1194" t="s">
        <v>20</v>
      </c>
      <c r="E1194" t="s">
        <v>388</v>
      </c>
      <c r="F1194" t="s">
        <v>716</v>
      </c>
      <c r="G1194">
        <v>5300</v>
      </c>
      <c r="H1194">
        <v>5700</v>
      </c>
    </row>
    <row r="1195" spans="2:8" x14ac:dyDescent="0.25">
      <c r="B1195" t="str">
        <f t="shared" si="18"/>
        <v>BRNPopulation ages 60-64, female</v>
      </c>
      <c r="C1195" t="s">
        <v>446</v>
      </c>
      <c r="D1195" t="s">
        <v>20</v>
      </c>
      <c r="E1195" t="s">
        <v>386</v>
      </c>
      <c r="F1195" t="s">
        <v>717</v>
      </c>
      <c r="G1195">
        <v>7900</v>
      </c>
      <c r="H1195">
        <v>8400</v>
      </c>
    </row>
    <row r="1196" spans="2:8" x14ac:dyDescent="0.25">
      <c r="B1196" t="str">
        <f t="shared" si="18"/>
        <v>BRNPopulation ages 60-64, male</v>
      </c>
      <c r="C1196" t="s">
        <v>446</v>
      </c>
      <c r="D1196" t="s">
        <v>20</v>
      </c>
      <c r="E1196" t="s">
        <v>387</v>
      </c>
      <c r="F1196" t="s">
        <v>718</v>
      </c>
      <c r="G1196">
        <v>8300</v>
      </c>
      <c r="H1196">
        <v>8800</v>
      </c>
    </row>
    <row r="1197" spans="2:8" x14ac:dyDescent="0.25">
      <c r="B1197" t="str">
        <f t="shared" si="18"/>
        <v>BRNPopulation ages 70-74, female</v>
      </c>
      <c r="C1197" t="s">
        <v>446</v>
      </c>
      <c r="D1197" t="s">
        <v>20</v>
      </c>
      <c r="E1197" t="s">
        <v>390</v>
      </c>
      <c r="F1197" t="s">
        <v>719</v>
      </c>
      <c r="G1197">
        <v>2900</v>
      </c>
      <c r="H1197">
        <v>3300</v>
      </c>
    </row>
    <row r="1198" spans="2:8" x14ac:dyDescent="0.25">
      <c r="B1198" t="str">
        <f t="shared" si="18"/>
        <v>BRNPopulation ages 70-74, male</v>
      </c>
      <c r="C1198" t="s">
        <v>446</v>
      </c>
      <c r="D1198" t="s">
        <v>20</v>
      </c>
      <c r="E1198" t="s">
        <v>391</v>
      </c>
      <c r="F1198" t="s">
        <v>720</v>
      </c>
      <c r="G1198">
        <v>2700</v>
      </c>
      <c r="H1198">
        <v>3000</v>
      </c>
    </row>
    <row r="1199" spans="2:8" x14ac:dyDescent="0.25">
      <c r="B1199" t="str">
        <f t="shared" si="18"/>
        <v>BRNPopulation ages 75-79, female</v>
      </c>
      <c r="C1199" t="s">
        <v>446</v>
      </c>
      <c r="D1199" t="s">
        <v>20</v>
      </c>
      <c r="E1199" t="s">
        <v>392</v>
      </c>
      <c r="F1199" t="s">
        <v>721</v>
      </c>
      <c r="G1199">
        <v>1600</v>
      </c>
      <c r="H1199">
        <v>1700</v>
      </c>
    </row>
    <row r="1200" spans="2:8" x14ac:dyDescent="0.25">
      <c r="B1200" t="str">
        <f t="shared" si="18"/>
        <v>BRNPopulation ages 75-79, male</v>
      </c>
      <c r="C1200" t="s">
        <v>446</v>
      </c>
      <c r="D1200" t="s">
        <v>20</v>
      </c>
      <c r="E1200" t="s">
        <v>393</v>
      </c>
      <c r="F1200" t="s">
        <v>722</v>
      </c>
      <c r="G1200">
        <v>1600</v>
      </c>
      <c r="H1200">
        <v>1700</v>
      </c>
    </row>
    <row r="1201" spans="2:8" x14ac:dyDescent="0.25">
      <c r="B1201" t="str">
        <f t="shared" si="18"/>
        <v>BRNPopulation ages 80 and above, female</v>
      </c>
      <c r="C1201" t="s">
        <v>446</v>
      </c>
      <c r="D1201" t="s">
        <v>20</v>
      </c>
      <c r="E1201" t="s">
        <v>394</v>
      </c>
      <c r="F1201" t="s">
        <v>723</v>
      </c>
      <c r="G1201">
        <v>1800</v>
      </c>
      <c r="H1201">
        <v>1800</v>
      </c>
    </row>
    <row r="1202" spans="2:8" x14ac:dyDescent="0.25">
      <c r="B1202" t="str">
        <f t="shared" si="18"/>
        <v>BRNPopulation ages 80 and above, male</v>
      </c>
      <c r="C1202" t="s">
        <v>446</v>
      </c>
      <c r="D1202" t="s">
        <v>20</v>
      </c>
      <c r="E1202" t="s">
        <v>395</v>
      </c>
      <c r="F1202" t="s">
        <v>724</v>
      </c>
      <c r="G1202">
        <v>1600</v>
      </c>
      <c r="H1202">
        <v>1600</v>
      </c>
    </row>
    <row r="1203" spans="2:8" x14ac:dyDescent="0.25">
      <c r="B1203" t="str">
        <f t="shared" si="18"/>
        <v>BRNPopulation, male</v>
      </c>
      <c r="C1203" t="s">
        <v>446</v>
      </c>
      <c r="D1203" t="s">
        <v>20</v>
      </c>
      <c r="E1203" t="s">
        <v>397</v>
      </c>
      <c r="F1203" t="s">
        <v>725</v>
      </c>
      <c r="G1203">
        <v>225000</v>
      </c>
      <c r="H1203">
        <v>227000</v>
      </c>
    </row>
    <row r="1204" spans="2:8" x14ac:dyDescent="0.25">
      <c r="B1204" t="str">
        <f t="shared" si="18"/>
        <v>BRNPopulation, total</v>
      </c>
      <c r="C1204" t="s">
        <v>446</v>
      </c>
      <c r="D1204" t="s">
        <v>20</v>
      </c>
      <c r="E1204" t="s">
        <v>398</v>
      </c>
      <c r="F1204" t="s">
        <v>726</v>
      </c>
      <c r="G1204">
        <v>433000</v>
      </c>
      <c r="H1204">
        <v>437000</v>
      </c>
    </row>
    <row r="1205" spans="2:8" x14ac:dyDescent="0.25">
      <c r="B1205" t="str">
        <f t="shared" si="18"/>
        <v>BRNPopulation, female</v>
      </c>
      <c r="C1205" t="s">
        <v>446</v>
      </c>
      <c r="D1205" t="s">
        <v>20</v>
      </c>
      <c r="E1205" t="s">
        <v>396</v>
      </c>
      <c r="F1205" t="s">
        <v>727</v>
      </c>
      <c r="G1205">
        <v>208000</v>
      </c>
      <c r="H1205">
        <v>210000</v>
      </c>
    </row>
    <row r="1206" spans="2:8" x14ac:dyDescent="0.25">
      <c r="B1206" t="str">
        <f t="shared" si="18"/>
        <v>BRNPopulation growth (annual %)</v>
      </c>
      <c r="C1206" t="s">
        <v>446</v>
      </c>
      <c r="D1206" t="s">
        <v>20</v>
      </c>
      <c r="E1206" t="s">
        <v>399</v>
      </c>
      <c r="F1206" t="s">
        <v>728</v>
      </c>
      <c r="G1206">
        <v>0</v>
      </c>
      <c r="H1206">
        <v>0</v>
      </c>
    </row>
    <row r="1207" spans="2:8" x14ac:dyDescent="0.25">
      <c r="B1207" t="str">
        <f t="shared" si="18"/>
        <v>BGRPopulation ages 0-14, female</v>
      </c>
      <c r="C1207" t="s">
        <v>447</v>
      </c>
      <c r="D1207" t="s">
        <v>12</v>
      </c>
      <c r="E1207" t="s">
        <v>687</v>
      </c>
      <c r="F1207" t="s">
        <v>688</v>
      </c>
      <c r="G1207">
        <v>498000</v>
      </c>
      <c r="H1207">
        <v>493000</v>
      </c>
    </row>
    <row r="1208" spans="2:8" x14ac:dyDescent="0.25">
      <c r="B1208" t="str">
        <f t="shared" si="18"/>
        <v>BGRPopulation ages 0-14, male</v>
      </c>
      <c r="C1208" t="s">
        <v>447</v>
      </c>
      <c r="D1208" t="s">
        <v>12</v>
      </c>
      <c r="E1208" t="s">
        <v>689</v>
      </c>
      <c r="F1208" t="s">
        <v>690</v>
      </c>
      <c r="G1208">
        <v>526000</v>
      </c>
      <c r="H1208">
        <v>522000</v>
      </c>
    </row>
    <row r="1209" spans="2:8" x14ac:dyDescent="0.25">
      <c r="B1209" t="str">
        <f t="shared" si="18"/>
        <v>BGRPopulation ages 00-04, female</v>
      </c>
      <c r="C1209" t="s">
        <v>447</v>
      </c>
      <c r="D1209" t="s">
        <v>12</v>
      </c>
      <c r="E1209" t="s">
        <v>362</v>
      </c>
      <c r="F1209" t="s">
        <v>691</v>
      </c>
      <c r="G1209">
        <v>152000</v>
      </c>
      <c r="H1209">
        <v>151000</v>
      </c>
    </row>
    <row r="1210" spans="2:8" x14ac:dyDescent="0.25">
      <c r="B1210" t="str">
        <f t="shared" si="18"/>
        <v>BGRPopulation ages 00-04, male</v>
      </c>
      <c r="C1210" t="s">
        <v>447</v>
      </c>
      <c r="D1210" t="s">
        <v>12</v>
      </c>
      <c r="E1210" t="s">
        <v>363</v>
      </c>
      <c r="F1210" t="s">
        <v>692</v>
      </c>
      <c r="G1210">
        <v>161000</v>
      </c>
      <c r="H1210">
        <v>160000</v>
      </c>
    </row>
    <row r="1211" spans="2:8" x14ac:dyDescent="0.25">
      <c r="B1211" t="str">
        <f t="shared" si="18"/>
        <v>BGRPopulation ages 05-09, female</v>
      </c>
      <c r="C1211" t="s">
        <v>447</v>
      </c>
      <c r="D1211" t="s">
        <v>12</v>
      </c>
      <c r="E1211" t="s">
        <v>364</v>
      </c>
      <c r="F1211" t="s">
        <v>693</v>
      </c>
      <c r="G1211">
        <v>169000</v>
      </c>
      <c r="H1211">
        <v>163000</v>
      </c>
    </row>
    <row r="1212" spans="2:8" x14ac:dyDescent="0.25">
      <c r="B1212" t="str">
        <f t="shared" si="18"/>
        <v>BGRPopulation ages 05-09, male</v>
      </c>
      <c r="C1212" t="s">
        <v>447</v>
      </c>
      <c r="D1212" t="s">
        <v>12</v>
      </c>
      <c r="E1212" t="s">
        <v>365</v>
      </c>
      <c r="F1212" t="s">
        <v>694</v>
      </c>
      <c r="G1212">
        <v>178000</v>
      </c>
      <c r="H1212">
        <v>172000</v>
      </c>
    </row>
    <row r="1213" spans="2:8" x14ac:dyDescent="0.25">
      <c r="B1213" t="str">
        <f t="shared" si="18"/>
        <v>BGRPopulation ages 10-14, female</v>
      </c>
      <c r="C1213" t="s">
        <v>447</v>
      </c>
      <c r="D1213" t="s">
        <v>12</v>
      </c>
      <c r="E1213" t="s">
        <v>366</v>
      </c>
      <c r="F1213" t="s">
        <v>695</v>
      </c>
      <c r="G1213">
        <v>177000</v>
      </c>
      <c r="H1213">
        <v>179000</v>
      </c>
    </row>
    <row r="1214" spans="2:8" x14ac:dyDescent="0.25">
      <c r="B1214" t="str">
        <f t="shared" si="18"/>
        <v>BGRPopulation ages 10-14, male</v>
      </c>
      <c r="C1214" t="s">
        <v>447</v>
      </c>
      <c r="D1214" t="s">
        <v>12</v>
      </c>
      <c r="E1214" t="s">
        <v>367</v>
      </c>
      <c r="F1214" t="s">
        <v>696</v>
      </c>
      <c r="G1214">
        <v>187000</v>
      </c>
      <c r="H1214">
        <v>190000</v>
      </c>
    </row>
    <row r="1215" spans="2:8" x14ac:dyDescent="0.25">
      <c r="B1215" t="str">
        <f t="shared" si="18"/>
        <v>BGRPopulation ages 15-19, female</v>
      </c>
      <c r="C1215" t="s">
        <v>447</v>
      </c>
      <c r="D1215" t="s">
        <v>12</v>
      </c>
      <c r="E1215" t="s">
        <v>368</v>
      </c>
      <c r="F1215" t="s">
        <v>697</v>
      </c>
      <c r="G1215">
        <v>148000</v>
      </c>
      <c r="H1215">
        <v>152000</v>
      </c>
    </row>
    <row r="1216" spans="2:8" x14ac:dyDescent="0.25">
      <c r="B1216" t="str">
        <f t="shared" si="18"/>
        <v>BGRPopulation ages 15-19, male</v>
      </c>
      <c r="C1216" t="s">
        <v>447</v>
      </c>
      <c r="D1216" t="s">
        <v>12</v>
      </c>
      <c r="E1216" t="s">
        <v>369</v>
      </c>
      <c r="F1216" t="s">
        <v>698</v>
      </c>
      <c r="G1216">
        <v>158000</v>
      </c>
      <c r="H1216">
        <v>162000</v>
      </c>
    </row>
    <row r="1217" spans="2:8" x14ac:dyDescent="0.25">
      <c r="B1217" t="str">
        <f t="shared" si="18"/>
        <v>BGRPopulation ages 20-24, female</v>
      </c>
      <c r="C1217" t="s">
        <v>447</v>
      </c>
      <c r="D1217" t="s">
        <v>12</v>
      </c>
      <c r="E1217" t="s">
        <v>370</v>
      </c>
      <c r="F1217" t="s">
        <v>699</v>
      </c>
      <c r="G1217">
        <v>150000</v>
      </c>
      <c r="H1217">
        <v>144000</v>
      </c>
    </row>
    <row r="1218" spans="2:8" x14ac:dyDescent="0.25">
      <c r="B1218" t="str">
        <f t="shared" si="18"/>
        <v>BGRPopulation ages 20-24, male</v>
      </c>
      <c r="C1218" t="s">
        <v>447</v>
      </c>
      <c r="D1218" t="s">
        <v>12</v>
      </c>
      <c r="E1218" t="s">
        <v>371</v>
      </c>
      <c r="F1218" t="s">
        <v>700</v>
      </c>
      <c r="G1218">
        <v>160000</v>
      </c>
      <c r="H1218">
        <v>154000</v>
      </c>
    </row>
    <row r="1219" spans="2:8" x14ac:dyDescent="0.25">
      <c r="B1219" t="str">
        <f t="shared" si="18"/>
        <v>BGRPopulation ages 25-29, female</v>
      </c>
      <c r="C1219" t="s">
        <v>447</v>
      </c>
      <c r="D1219" t="s">
        <v>12</v>
      </c>
      <c r="E1219" t="s">
        <v>372</v>
      </c>
      <c r="F1219" t="s">
        <v>701</v>
      </c>
      <c r="G1219">
        <v>199000</v>
      </c>
      <c r="H1219">
        <v>188000</v>
      </c>
    </row>
    <row r="1220" spans="2:8" x14ac:dyDescent="0.25">
      <c r="B1220" t="str">
        <f t="shared" si="18"/>
        <v>BGRPopulation ages 25-29, male</v>
      </c>
      <c r="C1220" t="s">
        <v>447</v>
      </c>
      <c r="D1220" t="s">
        <v>12</v>
      </c>
      <c r="E1220" t="s">
        <v>373</v>
      </c>
      <c r="F1220" t="s">
        <v>702</v>
      </c>
      <c r="G1220">
        <v>212000</v>
      </c>
      <c r="H1220">
        <v>201000</v>
      </c>
    </row>
    <row r="1221" spans="2:8" x14ac:dyDescent="0.25">
      <c r="B1221" t="str">
        <f t="shared" si="18"/>
        <v>BGRPopulation ages 30-34, female</v>
      </c>
      <c r="C1221" t="s">
        <v>447</v>
      </c>
      <c r="D1221" t="s">
        <v>12</v>
      </c>
      <c r="E1221" t="s">
        <v>374</v>
      </c>
      <c r="F1221" t="s">
        <v>703</v>
      </c>
      <c r="G1221">
        <v>234000</v>
      </c>
      <c r="H1221">
        <v>232000</v>
      </c>
    </row>
    <row r="1222" spans="2:8" x14ac:dyDescent="0.25">
      <c r="B1222" t="str">
        <f t="shared" si="18"/>
        <v>BGRPopulation ages 30-34, male</v>
      </c>
      <c r="C1222" t="s">
        <v>447</v>
      </c>
      <c r="D1222" t="s">
        <v>12</v>
      </c>
      <c r="E1222" t="s">
        <v>375</v>
      </c>
      <c r="F1222" t="s">
        <v>704</v>
      </c>
      <c r="G1222">
        <v>250000</v>
      </c>
      <c r="H1222">
        <v>247000</v>
      </c>
    </row>
    <row r="1223" spans="2:8" x14ac:dyDescent="0.25">
      <c r="B1223" t="str">
        <f t="shared" ref="B1223:B1286" si="19">CONCATENATE(D1223,E1223)</f>
        <v>BGRPopulation ages 35-39, female</v>
      </c>
      <c r="C1223" t="s">
        <v>447</v>
      </c>
      <c r="D1223" t="s">
        <v>12</v>
      </c>
      <c r="E1223" t="s">
        <v>376</v>
      </c>
      <c r="F1223" t="s">
        <v>705</v>
      </c>
      <c r="G1223">
        <v>232000</v>
      </c>
      <c r="H1223">
        <v>227000</v>
      </c>
    </row>
    <row r="1224" spans="2:8" x14ac:dyDescent="0.25">
      <c r="B1224" t="str">
        <f t="shared" si="19"/>
        <v>BGRPopulation ages 35-39, male</v>
      </c>
      <c r="C1224" t="s">
        <v>447</v>
      </c>
      <c r="D1224" t="s">
        <v>12</v>
      </c>
      <c r="E1224" t="s">
        <v>377</v>
      </c>
      <c r="F1224" t="s">
        <v>706</v>
      </c>
      <c r="G1224">
        <v>251000</v>
      </c>
      <c r="H1224">
        <v>247000</v>
      </c>
    </row>
    <row r="1225" spans="2:8" x14ac:dyDescent="0.25">
      <c r="B1225" t="str">
        <f t="shared" si="19"/>
        <v>BGRPopulation ages 40-44, female</v>
      </c>
      <c r="C1225" t="s">
        <v>447</v>
      </c>
      <c r="D1225" t="s">
        <v>12</v>
      </c>
      <c r="E1225" t="s">
        <v>378</v>
      </c>
      <c r="F1225" t="s">
        <v>707</v>
      </c>
      <c r="G1225">
        <v>262000</v>
      </c>
      <c r="H1225">
        <v>258000</v>
      </c>
    </row>
    <row r="1226" spans="2:8" x14ac:dyDescent="0.25">
      <c r="B1226" t="str">
        <f t="shared" si="19"/>
        <v>BGRPopulation ages 40-44, male</v>
      </c>
      <c r="C1226" t="s">
        <v>447</v>
      </c>
      <c r="D1226" t="s">
        <v>12</v>
      </c>
      <c r="E1226" t="s">
        <v>379</v>
      </c>
      <c r="F1226" t="s">
        <v>708</v>
      </c>
      <c r="G1226">
        <v>277000</v>
      </c>
      <c r="H1226">
        <v>274000</v>
      </c>
    </row>
    <row r="1227" spans="2:8" x14ac:dyDescent="0.25">
      <c r="B1227" t="str">
        <f t="shared" si="19"/>
        <v>BGRPopulation ages 45-49, female</v>
      </c>
      <c r="C1227" t="s">
        <v>447</v>
      </c>
      <c r="D1227" t="s">
        <v>12</v>
      </c>
      <c r="E1227" t="s">
        <v>380</v>
      </c>
      <c r="F1227" t="s">
        <v>709</v>
      </c>
      <c r="G1227">
        <v>253000</v>
      </c>
      <c r="H1227">
        <v>256000</v>
      </c>
    </row>
    <row r="1228" spans="2:8" x14ac:dyDescent="0.25">
      <c r="B1228" t="str">
        <f t="shared" si="19"/>
        <v>BGRPopulation ages 45-49, male</v>
      </c>
      <c r="C1228" t="s">
        <v>447</v>
      </c>
      <c r="D1228" t="s">
        <v>12</v>
      </c>
      <c r="E1228" t="s">
        <v>381</v>
      </c>
      <c r="F1228" t="s">
        <v>710</v>
      </c>
      <c r="G1228">
        <v>266000</v>
      </c>
      <c r="H1228">
        <v>269000</v>
      </c>
    </row>
    <row r="1229" spans="2:8" x14ac:dyDescent="0.25">
      <c r="B1229" t="str">
        <f t="shared" si="19"/>
        <v>BGRPopulation ages 50-54, female</v>
      </c>
      <c r="C1229" t="s">
        <v>447</v>
      </c>
      <c r="D1229" t="s">
        <v>12</v>
      </c>
      <c r="E1229" t="s">
        <v>382</v>
      </c>
      <c r="F1229" t="s">
        <v>711</v>
      </c>
      <c r="G1229">
        <v>234000</v>
      </c>
      <c r="H1229">
        <v>235000</v>
      </c>
    </row>
    <row r="1230" spans="2:8" x14ac:dyDescent="0.25">
      <c r="B1230" t="str">
        <f t="shared" si="19"/>
        <v>BGRPopulation ages 50-54, male</v>
      </c>
      <c r="C1230" t="s">
        <v>447</v>
      </c>
      <c r="D1230" t="s">
        <v>12</v>
      </c>
      <c r="E1230" t="s">
        <v>383</v>
      </c>
      <c r="F1230" t="s">
        <v>712</v>
      </c>
      <c r="G1230">
        <v>238000</v>
      </c>
      <c r="H1230">
        <v>239000</v>
      </c>
    </row>
    <row r="1231" spans="2:8" x14ac:dyDescent="0.25">
      <c r="B1231" t="str">
        <f t="shared" si="19"/>
        <v>BGRPopulation ages 55-59, male</v>
      </c>
      <c r="C1231" t="s">
        <v>447</v>
      </c>
      <c r="D1231" t="s">
        <v>12</v>
      </c>
      <c r="E1231" t="s">
        <v>385</v>
      </c>
      <c r="F1231" t="s">
        <v>713</v>
      </c>
      <c r="G1231">
        <v>231000</v>
      </c>
      <c r="H1231">
        <v>229000</v>
      </c>
    </row>
    <row r="1232" spans="2:8" x14ac:dyDescent="0.25">
      <c r="B1232" t="str">
        <f t="shared" si="19"/>
        <v>BGRPopulation ages 55-59, female</v>
      </c>
      <c r="C1232" t="s">
        <v>447</v>
      </c>
      <c r="D1232" t="s">
        <v>12</v>
      </c>
      <c r="E1232" t="s">
        <v>384</v>
      </c>
      <c r="F1232" t="s">
        <v>714</v>
      </c>
      <c r="G1232">
        <v>240000</v>
      </c>
      <c r="H1232">
        <v>237000</v>
      </c>
    </row>
    <row r="1233" spans="2:8" x14ac:dyDescent="0.25">
      <c r="B1233" t="str">
        <f t="shared" si="19"/>
        <v>BGRPopulation ages 65-69, male</v>
      </c>
      <c r="C1233" t="s">
        <v>447</v>
      </c>
      <c r="D1233" t="s">
        <v>12</v>
      </c>
      <c r="E1233" t="s">
        <v>389</v>
      </c>
      <c r="F1233" t="s">
        <v>715</v>
      </c>
      <c r="G1233">
        <v>203000</v>
      </c>
      <c r="H1233">
        <v>200000</v>
      </c>
    </row>
    <row r="1234" spans="2:8" x14ac:dyDescent="0.25">
      <c r="B1234" t="str">
        <f t="shared" si="19"/>
        <v>BGRPopulation ages 65-69, female</v>
      </c>
      <c r="C1234" t="s">
        <v>447</v>
      </c>
      <c r="D1234" t="s">
        <v>12</v>
      </c>
      <c r="E1234" t="s">
        <v>388</v>
      </c>
      <c r="F1234" t="s">
        <v>716</v>
      </c>
      <c r="G1234">
        <v>258000</v>
      </c>
      <c r="H1234">
        <v>253000</v>
      </c>
    </row>
    <row r="1235" spans="2:8" x14ac:dyDescent="0.25">
      <c r="B1235" t="str">
        <f t="shared" si="19"/>
        <v>BGRPopulation ages 60-64, female</v>
      </c>
      <c r="C1235" t="s">
        <v>447</v>
      </c>
      <c r="D1235" t="s">
        <v>12</v>
      </c>
      <c r="E1235" t="s">
        <v>386</v>
      </c>
      <c r="F1235" t="s">
        <v>717</v>
      </c>
      <c r="G1235">
        <v>251000</v>
      </c>
      <c r="H1235">
        <v>246000</v>
      </c>
    </row>
    <row r="1236" spans="2:8" x14ac:dyDescent="0.25">
      <c r="B1236" t="str">
        <f t="shared" si="19"/>
        <v>BGRPopulation ages 60-64, male</v>
      </c>
      <c r="C1236" t="s">
        <v>447</v>
      </c>
      <c r="D1236" t="s">
        <v>12</v>
      </c>
      <c r="E1236" t="s">
        <v>387</v>
      </c>
      <c r="F1236" t="s">
        <v>718</v>
      </c>
      <c r="G1236">
        <v>221000</v>
      </c>
      <c r="H1236">
        <v>219000</v>
      </c>
    </row>
    <row r="1237" spans="2:8" x14ac:dyDescent="0.25">
      <c r="B1237" t="str">
        <f t="shared" si="19"/>
        <v>BGRPopulation ages 70-74, female</v>
      </c>
      <c r="C1237" t="s">
        <v>447</v>
      </c>
      <c r="D1237" t="s">
        <v>12</v>
      </c>
      <c r="E1237" t="s">
        <v>390</v>
      </c>
      <c r="F1237" t="s">
        <v>719</v>
      </c>
      <c r="G1237">
        <v>243000</v>
      </c>
      <c r="H1237">
        <v>249000</v>
      </c>
    </row>
    <row r="1238" spans="2:8" x14ac:dyDescent="0.25">
      <c r="B1238" t="str">
        <f t="shared" si="19"/>
        <v>BGRPopulation ages 70-74, male</v>
      </c>
      <c r="C1238" t="s">
        <v>447</v>
      </c>
      <c r="D1238" t="s">
        <v>12</v>
      </c>
      <c r="E1238" t="s">
        <v>391</v>
      </c>
      <c r="F1238" t="s">
        <v>720</v>
      </c>
      <c r="G1238">
        <v>171000</v>
      </c>
      <c r="H1238">
        <v>174000</v>
      </c>
    </row>
    <row r="1239" spans="2:8" x14ac:dyDescent="0.25">
      <c r="B1239" t="str">
        <f t="shared" si="19"/>
        <v>BGRPopulation ages 75-79, female</v>
      </c>
      <c r="C1239" t="s">
        <v>447</v>
      </c>
      <c r="D1239" t="s">
        <v>12</v>
      </c>
      <c r="E1239" t="s">
        <v>392</v>
      </c>
      <c r="F1239" t="s">
        <v>721</v>
      </c>
      <c r="G1239">
        <v>169000</v>
      </c>
      <c r="H1239">
        <v>175000</v>
      </c>
    </row>
    <row r="1240" spans="2:8" x14ac:dyDescent="0.25">
      <c r="B1240" t="str">
        <f t="shared" si="19"/>
        <v>BGRPopulation ages 75-79, male</v>
      </c>
      <c r="C1240" t="s">
        <v>447</v>
      </c>
      <c r="D1240" t="s">
        <v>12</v>
      </c>
      <c r="E1240" t="s">
        <v>393</v>
      </c>
      <c r="F1240" t="s">
        <v>722</v>
      </c>
      <c r="G1240">
        <v>106000</v>
      </c>
      <c r="H1240">
        <v>109000</v>
      </c>
    </row>
    <row r="1241" spans="2:8" x14ac:dyDescent="0.25">
      <c r="B1241" t="str">
        <f t="shared" si="19"/>
        <v>BGRPopulation ages 80 and above, female</v>
      </c>
      <c r="C1241" t="s">
        <v>447</v>
      </c>
      <c r="D1241" t="s">
        <v>12</v>
      </c>
      <c r="E1241" t="s">
        <v>394</v>
      </c>
      <c r="F1241" t="s">
        <v>723</v>
      </c>
      <c r="G1241">
        <v>214000</v>
      </c>
      <c r="H1241">
        <v>212000</v>
      </c>
    </row>
    <row r="1242" spans="2:8" x14ac:dyDescent="0.25">
      <c r="B1242" t="str">
        <f t="shared" si="19"/>
        <v>BGRPopulation ages 80 and above, male</v>
      </c>
      <c r="C1242" t="s">
        <v>447</v>
      </c>
      <c r="D1242" t="s">
        <v>12</v>
      </c>
      <c r="E1242" t="s">
        <v>395</v>
      </c>
      <c r="F1242" t="s">
        <v>724</v>
      </c>
      <c r="G1242">
        <v>116000</v>
      </c>
      <c r="H1242">
        <v>112000</v>
      </c>
    </row>
    <row r="1243" spans="2:8" x14ac:dyDescent="0.25">
      <c r="B1243" t="str">
        <f t="shared" si="19"/>
        <v>BGRPopulation, male</v>
      </c>
      <c r="C1243" t="s">
        <v>447</v>
      </c>
      <c r="D1243" t="s">
        <v>12</v>
      </c>
      <c r="E1243" t="s">
        <v>397</v>
      </c>
      <c r="F1243" t="s">
        <v>725</v>
      </c>
      <c r="G1243">
        <v>3385000</v>
      </c>
      <c r="H1243">
        <v>3358000</v>
      </c>
    </row>
    <row r="1244" spans="2:8" x14ac:dyDescent="0.25">
      <c r="B1244" t="str">
        <f t="shared" si="19"/>
        <v>BGRPopulation, total</v>
      </c>
      <c r="C1244" t="s">
        <v>447</v>
      </c>
      <c r="D1244" t="s">
        <v>12</v>
      </c>
      <c r="E1244" t="s">
        <v>398</v>
      </c>
      <c r="F1244" t="s">
        <v>726</v>
      </c>
      <c r="G1244">
        <v>6970000</v>
      </c>
      <c r="H1244">
        <v>6916000</v>
      </c>
    </row>
    <row r="1245" spans="2:8" x14ac:dyDescent="0.25">
      <c r="B1245" t="str">
        <f t="shared" si="19"/>
        <v>BGRPopulation, female</v>
      </c>
      <c r="C1245" t="s">
        <v>447</v>
      </c>
      <c r="D1245" t="s">
        <v>12</v>
      </c>
      <c r="E1245" t="s">
        <v>396</v>
      </c>
      <c r="F1245" t="s">
        <v>727</v>
      </c>
      <c r="G1245">
        <v>3584000</v>
      </c>
      <c r="H1245">
        <v>3558000</v>
      </c>
    </row>
    <row r="1246" spans="2:8" x14ac:dyDescent="0.25">
      <c r="B1246" t="str">
        <f t="shared" si="19"/>
        <v>BGRPopulation growth (annual %)</v>
      </c>
      <c r="C1246" t="s">
        <v>447</v>
      </c>
      <c r="D1246" t="s">
        <v>12</v>
      </c>
      <c r="E1246" t="s">
        <v>399</v>
      </c>
      <c r="F1246" t="s">
        <v>728</v>
      </c>
      <c r="G1246">
        <v>0</v>
      </c>
      <c r="H1246">
        <v>0</v>
      </c>
    </row>
    <row r="1247" spans="2:8" x14ac:dyDescent="0.25">
      <c r="B1247" t="str">
        <f t="shared" si="19"/>
        <v>BFAPopulation ages 0-14, female</v>
      </c>
      <c r="C1247" t="s">
        <v>185</v>
      </c>
      <c r="D1247" t="s">
        <v>10</v>
      </c>
      <c r="E1247" t="s">
        <v>687</v>
      </c>
      <c r="F1247" t="s">
        <v>688</v>
      </c>
      <c r="G1247">
        <v>4459000</v>
      </c>
      <c r="H1247">
        <v>4555000</v>
      </c>
    </row>
    <row r="1248" spans="2:8" x14ac:dyDescent="0.25">
      <c r="B1248" t="str">
        <f t="shared" si="19"/>
        <v>BFAPopulation ages 0-14, male</v>
      </c>
      <c r="C1248" t="s">
        <v>185</v>
      </c>
      <c r="D1248" t="s">
        <v>10</v>
      </c>
      <c r="E1248" t="s">
        <v>689</v>
      </c>
      <c r="F1248" t="s">
        <v>690</v>
      </c>
      <c r="G1248">
        <v>4620000</v>
      </c>
      <c r="H1248">
        <v>4720000</v>
      </c>
    </row>
    <row r="1249" spans="2:8" x14ac:dyDescent="0.25">
      <c r="B1249" t="str">
        <f t="shared" si="19"/>
        <v>BFAPopulation ages 00-04, female</v>
      </c>
      <c r="C1249" t="s">
        <v>185</v>
      </c>
      <c r="D1249" t="s">
        <v>10</v>
      </c>
      <c r="E1249" t="s">
        <v>362</v>
      </c>
      <c r="F1249" t="s">
        <v>691</v>
      </c>
      <c r="G1249">
        <v>1674000</v>
      </c>
      <c r="H1249">
        <v>1706000</v>
      </c>
    </row>
    <row r="1250" spans="2:8" x14ac:dyDescent="0.25">
      <c r="B1250" t="str">
        <f t="shared" si="19"/>
        <v>BFAPopulation ages 00-04, male</v>
      </c>
      <c r="C1250" t="s">
        <v>185</v>
      </c>
      <c r="D1250" t="s">
        <v>10</v>
      </c>
      <c r="E1250" t="s">
        <v>363</v>
      </c>
      <c r="F1250" t="s">
        <v>692</v>
      </c>
      <c r="G1250">
        <v>1734000</v>
      </c>
      <c r="H1250">
        <v>1767000</v>
      </c>
    </row>
    <row r="1251" spans="2:8" x14ac:dyDescent="0.25">
      <c r="B1251" t="str">
        <f t="shared" si="19"/>
        <v>BFAPopulation ages 05-09, female</v>
      </c>
      <c r="C1251" t="s">
        <v>185</v>
      </c>
      <c r="D1251" t="s">
        <v>10</v>
      </c>
      <c r="E1251" t="s">
        <v>364</v>
      </c>
      <c r="F1251" t="s">
        <v>693</v>
      </c>
      <c r="G1251">
        <v>1485000</v>
      </c>
      <c r="H1251">
        <v>1513000</v>
      </c>
    </row>
    <row r="1252" spans="2:8" x14ac:dyDescent="0.25">
      <c r="B1252" t="str">
        <f t="shared" si="19"/>
        <v>BFAPopulation ages 05-09, male</v>
      </c>
      <c r="C1252" t="s">
        <v>185</v>
      </c>
      <c r="D1252" t="s">
        <v>10</v>
      </c>
      <c r="E1252" t="s">
        <v>365</v>
      </c>
      <c r="F1252" t="s">
        <v>694</v>
      </c>
      <c r="G1252">
        <v>1538000</v>
      </c>
      <c r="H1252">
        <v>1567000</v>
      </c>
    </row>
    <row r="1253" spans="2:8" x14ac:dyDescent="0.25">
      <c r="B1253" t="str">
        <f t="shared" si="19"/>
        <v>BFAPopulation ages 10-14, female</v>
      </c>
      <c r="C1253" t="s">
        <v>185</v>
      </c>
      <c r="D1253" t="s">
        <v>10</v>
      </c>
      <c r="E1253" t="s">
        <v>366</v>
      </c>
      <c r="F1253" t="s">
        <v>695</v>
      </c>
      <c r="G1253">
        <v>1300000</v>
      </c>
      <c r="H1253">
        <v>1336000</v>
      </c>
    </row>
    <row r="1254" spans="2:8" x14ac:dyDescent="0.25">
      <c r="B1254" t="str">
        <f t="shared" si="19"/>
        <v>BFAPopulation ages 10-14, male</v>
      </c>
      <c r="C1254" t="s">
        <v>185</v>
      </c>
      <c r="D1254" t="s">
        <v>10</v>
      </c>
      <c r="E1254" t="s">
        <v>367</v>
      </c>
      <c r="F1254" t="s">
        <v>696</v>
      </c>
      <c r="G1254">
        <v>1348000</v>
      </c>
      <c r="H1254">
        <v>1386000</v>
      </c>
    </row>
    <row r="1255" spans="2:8" x14ac:dyDescent="0.25">
      <c r="B1255" t="str">
        <f t="shared" si="19"/>
        <v>BFAPopulation ages 15-19, female</v>
      </c>
      <c r="C1255" t="s">
        <v>185</v>
      </c>
      <c r="D1255" t="s">
        <v>10</v>
      </c>
      <c r="E1255" t="s">
        <v>368</v>
      </c>
      <c r="F1255" t="s">
        <v>697</v>
      </c>
      <c r="G1255">
        <v>1094000</v>
      </c>
      <c r="H1255">
        <v>1131000</v>
      </c>
    </row>
    <row r="1256" spans="2:8" x14ac:dyDescent="0.25">
      <c r="B1256" t="str">
        <f t="shared" si="19"/>
        <v>BFAPopulation ages 15-19, male</v>
      </c>
      <c r="C1256" t="s">
        <v>185</v>
      </c>
      <c r="D1256" t="s">
        <v>10</v>
      </c>
      <c r="E1256" t="s">
        <v>369</v>
      </c>
      <c r="F1256" t="s">
        <v>698</v>
      </c>
      <c r="G1256">
        <v>1137000</v>
      </c>
      <c r="H1256">
        <v>1176000</v>
      </c>
    </row>
    <row r="1257" spans="2:8" x14ac:dyDescent="0.25">
      <c r="B1257" t="str">
        <f t="shared" si="19"/>
        <v>BFAPopulation ages 20-24, female</v>
      </c>
      <c r="C1257" t="s">
        <v>185</v>
      </c>
      <c r="D1257" t="s">
        <v>10</v>
      </c>
      <c r="E1257" t="s">
        <v>370</v>
      </c>
      <c r="F1257" t="s">
        <v>699</v>
      </c>
      <c r="G1257">
        <v>915000</v>
      </c>
      <c r="H1257">
        <v>945000</v>
      </c>
    </row>
    <row r="1258" spans="2:8" x14ac:dyDescent="0.25">
      <c r="B1258" t="str">
        <f t="shared" si="19"/>
        <v>BFAPopulation ages 20-24, male</v>
      </c>
      <c r="C1258" t="s">
        <v>185</v>
      </c>
      <c r="D1258" t="s">
        <v>10</v>
      </c>
      <c r="E1258" t="s">
        <v>371</v>
      </c>
      <c r="F1258" t="s">
        <v>700</v>
      </c>
      <c r="G1258">
        <v>943000</v>
      </c>
      <c r="H1258">
        <v>975000</v>
      </c>
    </row>
    <row r="1259" spans="2:8" x14ac:dyDescent="0.25">
      <c r="B1259" t="str">
        <f t="shared" si="19"/>
        <v>BFAPopulation ages 25-29, female</v>
      </c>
      <c r="C1259" t="s">
        <v>185</v>
      </c>
      <c r="D1259" t="s">
        <v>10</v>
      </c>
      <c r="E1259" t="s">
        <v>372</v>
      </c>
      <c r="F1259" t="s">
        <v>701</v>
      </c>
      <c r="G1259">
        <v>763000</v>
      </c>
      <c r="H1259">
        <v>786000</v>
      </c>
    </row>
    <row r="1260" spans="2:8" x14ac:dyDescent="0.25">
      <c r="B1260" t="str">
        <f t="shared" si="19"/>
        <v>BFAPopulation ages 25-29, male</v>
      </c>
      <c r="C1260" t="s">
        <v>185</v>
      </c>
      <c r="D1260" t="s">
        <v>10</v>
      </c>
      <c r="E1260" t="s">
        <v>373</v>
      </c>
      <c r="F1260" t="s">
        <v>702</v>
      </c>
      <c r="G1260">
        <v>777000</v>
      </c>
      <c r="H1260">
        <v>802000</v>
      </c>
    </row>
    <row r="1261" spans="2:8" x14ac:dyDescent="0.25">
      <c r="B1261" t="str">
        <f t="shared" si="19"/>
        <v>BFAPopulation ages 30-34, female</v>
      </c>
      <c r="C1261" t="s">
        <v>185</v>
      </c>
      <c r="D1261" t="s">
        <v>10</v>
      </c>
      <c r="E1261" t="s">
        <v>374</v>
      </c>
      <c r="F1261" t="s">
        <v>703</v>
      </c>
      <c r="G1261">
        <v>640000</v>
      </c>
      <c r="H1261">
        <v>658000</v>
      </c>
    </row>
    <row r="1262" spans="2:8" x14ac:dyDescent="0.25">
      <c r="B1262" t="str">
        <f t="shared" si="19"/>
        <v>BFAPopulation ages 30-34, male</v>
      </c>
      <c r="C1262" t="s">
        <v>185</v>
      </c>
      <c r="D1262" t="s">
        <v>10</v>
      </c>
      <c r="E1262" t="s">
        <v>375</v>
      </c>
      <c r="F1262" t="s">
        <v>704</v>
      </c>
      <c r="G1262">
        <v>643000</v>
      </c>
      <c r="H1262">
        <v>662000</v>
      </c>
    </row>
    <row r="1263" spans="2:8" x14ac:dyDescent="0.25">
      <c r="B1263" t="str">
        <f t="shared" si="19"/>
        <v>BFAPopulation ages 35-39, female</v>
      </c>
      <c r="C1263" t="s">
        <v>185</v>
      </c>
      <c r="D1263" t="s">
        <v>10</v>
      </c>
      <c r="E1263" t="s">
        <v>376</v>
      </c>
      <c r="F1263" t="s">
        <v>705</v>
      </c>
      <c r="G1263">
        <v>540000</v>
      </c>
      <c r="H1263">
        <v>557000</v>
      </c>
    </row>
    <row r="1264" spans="2:8" x14ac:dyDescent="0.25">
      <c r="B1264" t="str">
        <f t="shared" si="19"/>
        <v>BFAPopulation ages 35-39, male</v>
      </c>
      <c r="C1264" t="s">
        <v>185</v>
      </c>
      <c r="D1264" t="s">
        <v>10</v>
      </c>
      <c r="E1264" t="s">
        <v>377</v>
      </c>
      <c r="F1264" t="s">
        <v>706</v>
      </c>
      <c r="G1264">
        <v>533000</v>
      </c>
      <c r="H1264">
        <v>551000</v>
      </c>
    </row>
    <row r="1265" spans="2:8" x14ac:dyDescent="0.25">
      <c r="B1265" t="str">
        <f t="shared" si="19"/>
        <v>BFAPopulation ages 40-44, female</v>
      </c>
      <c r="C1265" t="s">
        <v>185</v>
      </c>
      <c r="D1265" t="s">
        <v>10</v>
      </c>
      <c r="E1265" t="s">
        <v>378</v>
      </c>
      <c r="F1265" t="s">
        <v>707</v>
      </c>
      <c r="G1265">
        <v>437000</v>
      </c>
      <c r="H1265">
        <v>454000</v>
      </c>
    </row>
    <row r="1266" spans="2:8" x14ac:dyDescent="0.25">
      <c r="B1266" t="str">
        <f t="shared" si="19"/>
        <v>BFAPopulation ages 40-44, male</v>
      </c>
      <c r="C1266" t="s">
        <v>185</v>
      </c>
      <c r="D1266" t="s">
        <v>10</v>
      </c>
      <c r="E1266" t="s">
        <v>379</v>
      </c>
      <c r="F1266" t="s">
        <v>708</v>
      </c>
      <c r="G1266">
        <v>420000</v>
      </c>
      <c r="H1266">
        <v>439000</v>
      </c>
    </row>
    <row r="1267" spans="2:8" x14ac:dyDescent="0.25">
      <c r="B1267" t="str">
        <f t="shared" si="19"/>
        <v>BFAPopulation ages 45-49, female</v>
      </c>
      <c r="C1267" t="s">
        <v>185</v>
      </c>
      <c r="D1267" t="s">
        <v>10</v>
      </c>
      <c r="E1267" t="s">
        <v>380</v>
      </c>
      <c r="F1267" t="s">
        <v>709</v>
      </c>
      <c r="G1267">
        <v>347000</v>
      </c>
      <c r="H1267">
        <v>360000</v>
      </c>
    </row>
    <row r="1268" spans="2:8" x14ac:dyDescent="0.25">
      <c r="B1268" t="str">
        <f t="shared" si="19"/>
        <v>BFAPopulation ages 45-49, male</v>
      </c>
      <c r="C1268" t="s">
        <v>185</v>
      </c>
      <c r="D1268" t="s">
        <v>10</v>
      </c>
      <c r="E1268" t="s">
        <v>381</v>
      </c>
      <c r="F1268" t="s">
        <v>710</v>
      </c>
      <c r="G1268">
        <v>320000</v>
      </c>
      <c r="H1268">
        <v>334000</v>
      </c>
    </row>
    <row r="1269" spans="2:8" x14ac:dyDescent="0.25">
      <c r="B1269" t="str">
        <f t="shared" si="19"/>
        <v>BFAPopulation ages 50-54, female</v>
      </c>
      <c r="C1269" t="s">
        <v>185</v>
      </c>
      <c r="D1269" t="s">
        <v>10</v>
      </c>
      <c r="E1269" t="s">
        <v>382</v>
      </c>
      <c r="F1269" t="s">
        <v>711</v>
      </c>
      <c r="G1269">
        <v>284000</v>
      </c>
      <c r="H1269">
        <v>294000</v>
      </c>
    </row>
    <row r="1270" spans="2:8" x14ac:dyDescent="0.25">
      <c r="B1270" t="str">
        <f t="shared" si="19"/>
        <v>BFAPopulation ages 50-54, male</v>
      </c>
      <c r="C1270" t="s">
        <v>185</v>
      </c>
      <c r="D1270" t="s">
        <v>10</v>
      </c>
      <c r="E1270" t="s">
        <v>383</v>
      </c>
      <c r="F1270" t="s">
        <v>712</v>
      </c>
      <c r="G1270">
        <v>249000</v>
      </c>
      <c r="H1270">
        <v>260000</v>
      </c>
    </row>
    <row r="1271" spans="2:8" x14ac:dyDescent="0.25">
      <c r="B1271" t="str">
        <f t="shared" si="19"/>
        <v>BFAPopulation ages 55-59, male</v>
      </c>
      <c r="C1271" t="s">
        <v>185</v>
      </c>
      <c r="D1271" t="s">
        <v>10</v>
      </c>
      <c r="E1271" t="s">
        <v>385</v>
      </c>
      <c r="F1271" t="s">
        <v>713</v>
      </c>
      <c r="G1271">
        <v>183000</v>
      </c>
      <c r="H1271">
        <v>191000</v>
      </c>
    </row>
    <row r="1272" spans="2:8" x14ac:dyDescent="0.25">
      <c r="B1272" t="str">
        <f t="shared" si="19"/>
        <v>BFAPopulation ages 55-59, female</v>
      </c>
      <c r="C1272" t="s">
        <v>185</v>
      </c>
      <c r="D1272" t="s">
        <v>10</v>
      </c>
      <c r="E1272" t="s">
        <v>384</v>
      </c>
      <c r="F1272" t="s">
        <v>714</v>
      </c>
      <c r="G1272">
        <v>224000</v>
      </c>
      <c r="H1272">
        <v>233000</v>
      </c>
    </row>
    <row r="1273" spans="2:8" x14ac:dyDescent="0.25">
      <c r="B1273" t="str">
        <f t="shared" si="19"/>
        <v>BFAPopulation ages 65-69, male</v>
      </c>
      <c r="C1273" t="s">
        <v>185</v>
      </c>
      <c r="D1273" t="s">
        <v>10</v>
      </c>
      <c r="E1273" t="s">
        <v>389</v>
      </c>
      <c r="F1273" t="s">
        <v>715</v>
      </c>
      <c r="G1273">
        <v>86000</v>
      </c>
      <c r="H1273">
        <v>90000</v>
      </c>
    </row>
    <row r="1274" spans="2:8" x14ac:dyDescent="0.25">
      <c r="B1274" t="str">
        <f t="shared" si="19"/>
        <v>BFAPopulation ages 65-69, female</v>
      </c>
      <c r="C1274" t="s">
        <v>185</v>
      </c>
      <c r="D1274" t="s">
        <v>10</v>
      </c>
      <c r="E1274" t="s">
        <v>388</v>
      </c>
      <c r="F1274" t="s">
        <v>716</v>
      </c>
      <c r="G1274">
        <v>127000</v>
      </c>
      <c r="H1274">
        <v>132000</v>
      </c>
    </row>
    <row r="1275" spans="2:8" x14ac:dyDescent="0.25">
      <c r="B1275" t="str">
        <f t="shared" si="19"/>
        <v>BFAPopulation ages 60-64, female</v>
      </c>
      <c r="C1275" t="s">
        <v>185</v>
      </c>
      <c r="D1275" t="s">
        <v>10</v>
      </c>
      <c r="E1275" t="s">
        <v>386</v>
      </c>
      <c r="F1275" t="s">
        <v>717</v>
      </c>
      <c r="G1275">
        <v>174000</v>
      </c>
      <c r="H1275">
        <v>181000</v>
      </c>
    </row>
    <row r="1276" spans="2:8" x14ac:dyDescent="0.25">
      <c r="B1276" t="str">
        <f t="shared" si="19"/>
        <v>BFAPopulation ages 60-64, male</v>
      </c>
      <c r="C1276" t="s">
        <v>185</v>
      </c>
      <c r="D1276" t="s">
        <v>10</v>
      </c>
      <c r="E1276" t="s">
        <v>387</v>
      </c>
      <c r="F1276" t="s">
        <v>718</v>
      </c>
      <c r="G1276">
        <v>129000</v>
      </c>
      <c r="H1276">
        <v>136000</v>
      </c>
    </row>
    <row r="1277" spans="2:8" x14ac:dyDescent="0.25">
      <c r="B1277" t="str">
        <f t="shared" si="19"/>
        <v>BFAPopulation ages 70-74, female</v>
      </c>
      <c r="C1277" t="s">
        <v>185</v>
      </c>
      <c r="D1277" t="s">
        <v>10</v>
      </c>
      <c r="E1277" t="s">
        <v>390</v>
      </c>
      <c r="F1277" t="s">
        <v>719</v>
      </c>
      <c r="G1277">
        <v>87000</v>
      </c>
      <c r="H1277">
        <v>89000</v>
      </c>
    </row>
    <row r="1278" spans="2:8" x14ac:dyDescent="0.25">
      <c r="B1278" t="str">
        <f t="shared" si="19"/>
        <v>BFAPopulation ages 70-74, male</v>
      </c>
      <c r="C1278" t="s">
        <v>185</v>
      </c>
      <c r="D1278" t="s">
        <v>10</v>
      </c>
      <c r="E1278" t="s">
        <v>391</v>
      </c>
      <c r="F1278" t="s">
        <v>720</v>
      </c>
      <c r="G1278">
        <v>57000</v>
      </c>
      <c r="H1278">
        <v>59000</v>
      </c>
    </row>
    <row r="1279" spans="2:8" x14ac:dyDescent="0.25">
      <c r="B1279" t="str">
        <f t="shared" si="19"/>
        <v>BFAPopulation ages 75-79, female</v>
      </c>
      <c r="C1279" t="s">
        <v>185</v>
      </c>
      <c r="D1279" t="s">
        <v>10</v>
      </c>
      <c r="E1279" t="s">
        <v>392</v>
      </c>
      <c r="F1279" t="s">
        <v>721</v>
      </c>
      <c r="G1279">
        <v>52000</v>
      </c>
      <c r="H1279">
        <v>53000</v>
      </c>
    </row>
    <row r="1280" spans="2:8" x14ac:dyDescent="0.25">
      <c r="B1280" t="str">
        <f t="shared" si="19"/>
        <v>BFAPopulation ages 75-79, male</v>
      </c>
      <c r="C1280" t="s">
        <v>185</v>
      </c>
      <c r="D1280" t="s">
        <v>10</v>
      </c>
      <c r="E1280" t="s">
        <v>393</v>
      </c>
      <c r="F1280" t="s">
        <v>722</v>
      </c>
      <c r="G1280">
        <v>32000</v>
      </c>
      <c r="H1280">
        <v>33000</v>
      </c>
    </row>
    <row r="1281" spans="2:8" x14ac:dyDescent="0.25">
      <c r="B1281" t="str">
        <f t="shared" si="19"/>
        <v>BFAPopulation ages 80 and above, female</v>
      </c>
      <c r="C1281" t="s">
        <v>185</v>
      </c>
      <c r="D1281" t="s">
        <v>10</v>
      </c>
      <c r="E1281" t="s">
        <v>394</v>
      </c>
      <c r="F1281" t="s">
        <v>723</v>
      </c>
      <c r="G1281">
        <v>31000</v>
      </c>
      <c r="H1281">
        <v>31000</v>
      </c>
    </row>
    <row r="1282" spans="2:8" x14ac:dyDescent="0.25">
      <c r="B1282" t="str">
        <f t="shared" si="19"/>
        <v>BFAPopulation ages 80 and above, male</v>
      </c>
      <c r="C1282" t="s">
        <v>185</v>
      </c>
      <c r="D1282" t="s">
        <v>10</v>
      </c>
      <c r="E1282" t="s">
        <v>395</v>
      </c>
      <c r="F1282" t="s">
        <v>724</v>
      </c>
      <c r="G1282">
        <v>18000</v>
      </c>
      <c r="H1282">
        <v>17000</v>
      </c>
    </row>
    <row r="1283" spans="2:8" x14ac:dyDescent="0.25">
      <c r="B1283" t="str">
        <f t="shared" si="19"/>
        <v>BFAPopulation, male</v>
      </c>
      <c r="C1283" t="s">
        <v>185</v>
      </c>
      <c r="D1283" t="s">
        <v>10</v>
      </c>
      <c r="E1283" t="s">
        <v>397</v>
      </c>
      <c r="F1283" t="s">
        <v>725</v>
      </c>
      <c r="G1283">
        <v>10148000</v>
      </c>
      <c r="H1283">
        <v>10445000</v>
      </c>
    </row>
    <row r="1284" spans="2:8" x14ac:dyDescent="0.25">
      <c r="B1284" t="str">
        <f t="shared" si="19"/>
        <v>BFAPopulation, total</v>
      </c>
      <c r="C1284" t="s">
        <v>185</v>
      </c>
      <c r="D1284" t="s">
        <v>10</v>
      </c>
      <c r="E1284" t="s">
        <v>398</v>
      </c>
      <c r="F1284" t="s">
        <v>726</v>
      </c>
      <c r="G1284">
        <v>20321000</v>
      </c>
      <c r="H1284">
        <v>20903000</v>
      </c>
    </row>
    <row r="1285" spans="2:8" x14ac:dyDescent="0.25">
      <c r="B1285" t="str">
        <f t="shared" si="19"/>
        <v>BFAPopulation, female</v>
      </c>
      <c r="C1285" t="s">
        <v>185</v>
      </c>
      <c r="D1285" t="s">
        <v>10</v>
      </c>
      <c r="E1285" t="s">
        <v>396</v>
      </c>
      <c r="F1285" t="s">
        <v>727</v>
      </c>
      <c r="G1285">
        <v>10174000</v>
      </c>
      <c r="H1285">
        <v>10459000</v>
      </c>
    </row>
    <row r="1286" spans="2:8" x14ac:dyDescent="0.25">
      <c r="B1286" t="str">
        <f t="shared" si="19"/>
        <v>BFAPopulation growth (annual %)</v>
      </c>
      <c r="C1286" t="s">
        <v>185</v>
      </c>
      <c r="D1286" t="s">
        <v>10</v>
      </c>
      <c r="E1286" t="s">
        <v>399</v>
      </c>
      <c r="F1286" t="s">
        <v>728</v>
      </c>
      <c r="G1286">
        <v>0</v>
      </c>
      <c r="H1286">
        <v>0</v>
      </c>
    </row>
    <row r="1287" spans="2:8" x14ac:dyDescent="0.25">
      <c r="B1287" t="str">
        <f t="shared" ref="B1287:B1350" si="20">CONCATENATE(D1287,E1287)</f>
        <v>BDIPopulation ages 0-14, female</v>
      </c>
      <c r="C1287" t="s">
        <v>186</v>
      </c>
      <c r="D1287" t="s">
        <v>7</v>
      </c>
      <c r="E1287" t="s">
        <v>687</v>
      </c>
      <c r="F1287" t="s">
        <v>688</v>
      </c>
      <c r="G1287">
        <v>2599000</v>
      </c>
      <c r="H1287">
        <v>2670000</v>
      </c>
    </row>
    <row r="1288" spans="2:8" x14ac:dyDescent="0.25">
      <c r="B1288" t="str">
        <f t="shared" si="20"/>
        <v>BDIPopulation ages 0-14, male</v>
      </c>
      <c r="C1288" t="s">
        <v>186</v>
      </c>
      <c r="D1288" t="s">
        <v>7</v>
      </c>
      <c r="E1288" t="s">
        <v>689</v>
      </c>
      <c r="F1288" t="s">
        <v>690</v>
      </c>
      <c r="G1288">
        <v>2636000</v>
      </c>
      <c r="H1288">
        <v>2710000</v>
      </c>
    </row>
    <row r="1289" spans="2:8" x14ac:dyDescent="0.25">
      <c r="B1289" t="str">
        <f t="shared" si="20"/>
        <v>BDIPopulation ages 00-04, female</v>
      </c>
      <c r="C1289" t="s">
        <v>186</v>
      </c>
      <c r="D1289" t="s">
        <v>7</v>
      </c>
      <c r="E1289" t="s">
        <v>362</v>
      </c>
      <c r="F1289" t="s">
        <v>691</v>
      </c>
      <c r="G1289">
        <v>999000</v>
      </c>
      <c r="H1289">
        <v>1016000</v>
      </c>
    </row>
    <row r="1290" spans="2:8" x14ac:dyDescent="0.25">
      <c r="B1290" t="str">
        <f t="shared" si="20"/>
        <v>BDIPopulation ages 00-04, male</v>
      </c>
      <c r="C1290" t="s">
        <v>186</v>
      </c>
      <c r="D1290" t="s">
        <v>7</v>
      </c>
      <c r="E1290" t="s">
        <v>363</v>
      </c>
      <c r="F1290" t="s">
        <v>692</v>
      </c>
      <c r="G1290">
        <v>1020000</v>
      </c>
      <c r="H1290">
        <v>1037000</v>
      </c>
    </row>
    <row r="1291" spans="2:8" x14ac:dyDescent="0.25">
      <c r="B1291" t="str">
        <f t="shared" si="20"/>
        <v>BDIPopulation ages 05-09, female</v>
      </c>
      <c r="C1291" t="s">
        <v>186</v>
      </c>
      <c r="D1291" t="s">
        <v>7</v>
      </c>
      <c r="E1291" t="s">
        <v>364</v>
      </c>
      <c r="F1291" t="s">
        <v>693</v>
      </c>
      <c r="G1291">
        <v>877000</v>
      </c>
      <c r="H1291">
        <v>903000</v>
      </c>
    </row>
    <row r="1292" spans="2:8" x14ac:dyDescent="0.25">
      <c r="B1292" t="str">
        <f t="shared" si="20"/>
        <v>BDIPopulation ages 05-09, male</v>
      </c>
      <c r="C1292" t="s">
        <v>186</v>
      </c>
      <c r="D1292" t="s">
        <v>7</v>
      </c>
      <c r="E1292" t="s">
        <v>365</v>
      </c>
      <c r="F1292" t="s">
        <v>694</v>
      </c>
      <c r="G1292">
        <v>890000</v>
      </c>
      <c r="H1292">
        <v>916000</v>
      </c>
    </row>
    <row r="1293" spans="2:8" x14ac:dyDescent="0.25">
      <c r="B1293" t="str">
        <f t="shared" si="20"/>
        <v>BDIPopulation ages 10-14, female</v>
      </c>
      <c r="C1293" t="s">
        <v>186</v>
      </c>
      <c r="D1293" t="s">
        <v>7</v>
      </c>
      <c r="E1293" t="s">
        <v>366</v>
      </c>
      <c r="F1293" t="s">
        <v>695</v>
      </c>
      <c r="G1293">
        <v>723000</v>
      </c>
      <c r="H1293">
        <v>752000</v>
      </c>
    </row>
    <row r="1294" spans="2:8" x14ac:dyDescent="0.25">
      <c r="B1294" t="str">
        <f t="shared" si="20"/>
        <v>BDIPopulation ages 10-14, male</v>
      </c>
      <c r="C1294" t="s">
        <v>186</v>
      </c>
      <c r="D1294" t="s">
        <v>7</v>
      </c>
      <c r="E1294" t="s">
        <v>367</v>
      </c>
      <c r="F1294" t="s">
        <v>696</v>
      </c>
      <c r="G1294">
        <v>727000</v>
      </c>
      <c r="H1294">
        <v>757000</v>
      </c>
    </row>
    <row r="1295" spans="2:8" x14ac:dyDescent="0.25">
      <c r="B1295" t="str">
        <f t="shared" si="20"/>
        <v>BDIPopulation ages 15-19, female</v>
      </c>
      <c r="C1295" t="s">
        <v>186</v>
      </c>
      <c r="D1295" t="s">
        <v>7</v>
      </c>
      <c r="E1295" t="s">
        <v>368</v>
      </c>
      <c r="F1295" t="s">
        <v>697</v>
      </c>
      <c r="G1295">
        <v>587000</v>
      </c>
      <c r="H1295">
        <v>608000</v>
      </c>
    </row>
    <row r="1296" spans="2:8" x14ac:dyDescent="0.25">
      <c r="B1296" t="str">
        <f t="shared" si="20"/>
        <v>BDIPopulation ages 15-19, male</v>
      </c>
      <c r="C1296" t="s">
        <v>186</v>
      </c>
      <c r="D1296" t="s">
        <v>7</v>
      </c>
      <c r="E1296" t="s">
        <v>369</v>
      </c>
      <c r="F1296" t="s">
        <v>698</v>
      </c>
      <c r="G1296">
        <v>587000</v>
      </c>
      <c r="H1296">
        <v>609000</v>
      </c>
    </row>
    <row r="1297" spans="2:8" x14ac:dyDescent="0.25">
      <c r="B1297" t="str">
        <f t="shared" si="20"/>
        <v>BDIPopulation ages 20-24, female</v>
      </c>
      <c r="C1297" t="s">
        <v>186</v>
      </c>
      <c r="D1297" t="s">
        <v>7</v>
      </c>
      <c r="E1297" t="s">
        <v>370</v>
      </c>
      <c r="F1297" t="s">
        <v>699</v>
      </c>
      <c r="G1297">
        <v>517000</v>
      </c>
      <c r="H1297">
        <v>524000</v>
      </c>
    </row>
    <row r="1298" spans="2:8" x14ac:dyDescent="0.25">
      <c r="B1298" t="str">
        <f t="shared" si="20"/>
        <v>BDIPopulation ages 20-24, male</v>
      </c>
      <c r="C1298" t="s">
        <v>186</v>
      </c>
      <c r="D1298" t="s">
        <v>7</v>
      </c>
      <c r="E1298" t="s">
        <v>371</v>
      </c>
      <c r="F1298" t="s">
        <v>700</v>
      </c>
      <c r="G1298">
        <v>512000</v>
      </c>
      <c r="H1298">
        <v>519000</v>
      </c>
    </row>
    <row r="1299" spans="2:8" x14ac:dyDescent="0.25">
      <c r="B1299" t="str">
        <f t="shared" si="20"/>
        <v>BDIPopulation ages 25-29, female</v>
      </c>
      <c r="C1299" t="s">
        <v>186</v>
      </c>
      <c r="D1299" t="s">
        <v>7</v>
      </c>
      <c r="E1299" t="s">
        <v>372</v>
      </c>
      <c r="F1299" t="s">
        <v>701</v>
      </c>
      <c r="G1299">
        <v>493000</v>
      </c>
      <c r="H1299">
        <v>498000</v>
      </c>
    </row>
    <row r="1300" spans="2:8" x14ac:dyDescent="0.25">
      <c r="B1300" t="str">
        <f t="shared" si="20"/>
        <v>BDIPopulation ages 25-29, male</v>
      </c>
      <c r="C1300" t="s">
        <v>186</v>
      </c>
      <c r="D1300" t="s">
        <v>7</v>
      </c>
      <c r="E1300" t="s">
        <v>373</v>
      </c>
      <c r="F1300" t="s">
        <v>702</v>
      </c>
      <c r="G1300">
        <v>483000</v>
      </c>
      <c r="H1300">
        <v>489000</v>
      </c>
    </row>
    <row r="1301" spans="2:8" x14ac:dyDescent="0.25">
      <c r="B1301" t="str">
        <f t="shared" si="20"/>
        <v>BDIPopulation ages 30-34, female</v>
      </c>
      <c r="C1301" t="s">
        <v>186</v>
      </c>
      <c r="D1301" t="s">
        <v>7</v>
      </c>
      <c r="E1301" t="s">
        <v>374</v>
      </c>
      <c r="F1301" t="s">
        <v>703</v>
      </c>
      <c r="G1301">
        <v>426000</v>
      </c>
      <c r="H1301">
        <v>442000</v>
      </c>
    </row>
    <row r="1302" spans="2:8" x14ac:dyDescent="0.25">
      <c r="B1302" t="str">
        <f t="shared" si="20"/>
        <v>BDIPopulation ages 30-34, male</v>
      </c>
      <c r="C1302" t="s">
        <v>186</v>
      </c>
      <c r="D1302" t="s">
        <v>7</v>
      </c>
      <c r="E1302" t="s">
        <v>375</v>
      </c>
      <c r="F1302" t="s">
        <v>704</v>
      </c>
      <c r="G1302">
        <v>418000</v>
      </c>
      <c r="H1302">
        <v>433000</v>
      </c>
    </row>
    <row r="1303" spans="2:8" x14ac:dyDescent="0.25">
      <c r="B1303" t="str">
        <f t="shared" si="20"/>
        <v>BDIPopulation ages 35-39, female</v>
      </c>
      <c r="C1303" t="s">
        <v>186</v>
      </c>
      <c r="D1303" t="s">
        <v>7</v>
      </c>
      <c r="E1303" t="s">
        <v>376</v>
      </c>
      <c r="F1303" t="s">
        <v>705</v>
      </c>
      <c r="G1303">
        <v>314000</v>
      </c>
      <c r="H1303">
        <v>335000</v>
      </c>
    </row>
    <row r="1304" spans="2:8" x14ac:dyDescent="0.25">
      <c r="B1304" t="str">
        <f t="shared" si="20"/>
        <v>BDIPopulation ages 35-39, male</v>
      </c>
      <c r="C1304" t="s">
        <v>186</v>
      </c>
      <c r="D1304" t="s">
        <v>7</v>
      </c>
      <c r="E1304" t="s">
        <v>377</v>
      </c>
      <c r="F1304" t="s">
        <v>706</v>
      </c>
      <c r="G1304">
        <v>308000</v>
      </c>
      <c r="H1304">
        <v>329000</v>
      </c>
    </row>
    <row r="1305" spans="2:8" x14ac:dyDescent="0.25">
      <c r="B1305" t="str">
        <f t="shared" si="20"/>
        <v>BDIPopulation ages 40-44, female</v>
      </c>
      <c r="C1305" t="s">
        <v>186</v>
      </c>
      <c r="D1305" t="s">
        <v>7</v>
      </c>
      <c r="E1305" t="s">
        <v>378</v>
      </c>
      <c r="F1305" t="s">
        <v>707</v>
      </c>
      <c r="G1305">
        <v>211000</v>
      </c>
      <c r="H1305">
        <v>227000</v>
      </c>
    </row>
    <row r="1306" spans="2:8" x14ac:dyDescent="0.25">
      <c r="B1306" t="str">
        <f t="shared" si="20"/>
        <v>BDIPopulation ages 40-44, male</v>
      </c>
      <c r="C1306" t="s">
        <v>186</v>
      </c>
      <c r="D1306" t="s">
        <v>7</v>
      </c>
      <c r="E1306" t="s">
        <v>379</v>
      </c>
      <c r="F1306" t="s">
        <v>708</v>
      </c>
      <c r="G1306">
        <v>202000</v>
      </c>
      <c r="H1306">
        <v>219000</v>
      </c>
    </row>
    <row r="1307" spans="2:8" x14ac:dyDescent="0.25">
      <c r="B1307" t="str">
        <f t="shared" si="20"/>
        <v>BDIPopulation ages 45-49, female</v>
      </c>
      <c r="C1307" t="s">
        <v>186</v>
      </c>
      <c r="D1307" t="s">
        <v>7</v>
      </c>
      <c r="E1307" t="s">
        <v>380</v>
      </c>
      <c r="F1307" t="s">
        <v>709</v>
      </c>
      <c r="G1307">
        <v>153000</v>
      </c>
      <c r="H1307">
        <v>158000</v>
      </c>
    </row>
    <row r="1308" spans="2:8" x14ac:dyDescent="0.25">
      <c r="B1308" t="str">
        <f t="shared" si="20"/>
        <v>BDIPopulation ages 45-49, male</v>
      </c>
      <c r="C1308" t="s">
        <v>186</v>
      </c>
      <c r="D1308" t="s">
        <v>7</v>
      </c>
      <c r="E1308" t="s">
        <v>381</v>
      </c>
      <c r="F1308" t="s">
        <v>710</v>
      </c>
      <c r="G1308">
        <v>136000</v>
      </c>
      <c r="H1308">
        <v>143000</v>
      </c>
    </row>
    <row r="1309" spans="2:8" x14ac:dyDescent="0.25">
      <c r="B1309" t="str">
        <f t="shared" si="20"/>
        <v>BDIPopulation ages 50-54, female</v>
      </c>
      <c r="C1309" t="s">
        <v>186</v>
      </c>
      <c r="D1309" t="s">
        <v>7</v>
      </c>
      <c r="E1309" t="s">
        <v>382</v>
      </c>
      <c r="F1309" t="s">
        <v>711</v>
      </c>
      <c r="G1309">
        <v>139000</v>
      </c>
      <c r="H1309">
        <v>140000</v>
      </c>
    </row>
    <row r="1310" spans="2:8" x14ac:dyDescent="0.25">
      <c r="B1310" t="str">
        <f t="shared" si="20"/>
        <v>BDIPopulation ages 50-54, male</v>
      </c>
      <c r="C1310" t="s">
        <v>186</v>
      </c>
      <c r="D1310" t="s">
        <v>7</v>
      </c>
      <c r="E1310" t="s">
        <v>383</v>
      </c>
      <c r="F1310" t="s">
        <v>712</v>
      </c>
      <c r="G1310">
        <v>119000</v>
      </c>
      <c r="H1310">
        <v>120000</v>
      </c>
    </row>
    <row r="1311" spans="2:8" x14ac:dyDescent="0.25">
      <c r="B1311" t="str">
        <f t="shared" si="20"/>
        <v>BDIPopulation ages 55-59, male</v>
      </c>
      <c r="C1311" t="s">
        <v>186</v>
      </c>
      <c r="D1311" t="s">
        <v>7</v>
      </c>
      <c r="E1311" t="s">
        <v>385</v>
      </c>
      <c r="F1311" t="s">
        <v>713</v>
      </c>
      <c r="G1311">
        <v>108000</v>
      </c>
      <c r="H1311">
        <v>109000</v>
      </c>
    </row>
    <row r="1312" spans="2:8" x14ac:dyDescent="0.25">
      <c r="B1312" t="str">
        <f t="shared" si="20"/>
        <v>BDIPopulation ages 55-59, female</v>
      </c>
      <c r="C1312" t="s">
        <v>186</v>
      </c>
      <c r="D1312" t="s">
        <v>7</v>
      </c>
      <c r="E1312" t="s">
        <v>384</v>
      </c>
      <c r="F1312" t="s">
        <v>714</v>
      </c>
      <c r="G1312">
        <v>122000</v>
      </c>
      <c r="H1312">
        <v>124000</v>
      </c>
    </row>
    <row r="1313" spans="2:8" x14ac:dyDescent="0.25">
      <c r="B1313" t="str">
        <f t="shared" si="20"/>
        <v>BDIPopulation ages 65-69, male</v>
      </c>
      <c r="C1313" t="s">
        <v>186</v>
      </c>
      <c r="D1313" t="s">
        <v>7</v>
      </c>
      <c r="E1313" t="s">
        <v>389</v>
      </c>
      <c r="F1313" t="s">
        <v>715</v>
      </c>
      <c r="G1313">
        <v>60000</v>
      </c>
      <c r="H1313">
        <v>65000</v>
      </c>
    </row>
    <row r="1314" spans="2:8" x14ac:dyDescent="0.25">
      <c r="B1314" t="str">
        <f t="shared" si="20"/>
        <v>BDIPopulation ages 65-69, female</v>
      </c>
      <c r="C1314" t="s">
        <v>186</v>
      </c>
      <c r="D1314" t="s">
        <v>7</v>
      </c>
      <c r="E1314" t="s">
        <v>388</v>
      </c>
      <c r="F1314" t="s">
        <v>716</v>
      </c>
      <c r="G1314">
        <v>68000</v>
      </c>
      <c r="H1314">
        <v>74000</v>
      </c>
    </row>
    <row r="1315" spans="2:8" x14ac:dyDescent="0.25">
      <c r="B1315" t="str">
        <f t="shared" si="20"/>
        <v>BDIPopulation ages 60-64, female</v>
      </c>
      <c r="C1315" t="s">
        <v>186</v>
      </c>
      <c r="D1315" t="s">
        <v>7</v>
      </c>
      <c r="E1315" t="s">
        <v>386</v>
      </c>
      <c r="F1315" t="s">
        <v>717</v>
      </c>
      <c r="G1315">
        <v>103000</v>
      </c>
      <c r="H1315">
        <v>106000</v>
      </c>
    </row>
    <row r="1316" spans="2:8" x14ac:dyDescent="0.25">
      <c r="B1316" t="str">
        <f t="shared" si="20"/>
        <v>BDIPopulation ages 60-64, male</v>
      </c>
      <c r="C1316" t="s">
        <v>186</v>
      </c>
      <c r="D1316" t="s">
        <v>7</v>
      </c>
      <c r="E1316" t="s">
        <v>387</v>
      </c>
      <c r="F1316" t="s">
        <v>718</v>
      </c>
      <c r="G1316">
        <v>92000</v>
      </c>
      <c r="H1316">
        <v>95000</v>
      </c>
    </row>
    <row r="1317" spans="2:8" x14ac:dyDescent="0.25">
      <c r="B1317" t="str">
        <f t="shared" si="20"/>
        <v>BDIPopulation ages 70-74, female</v>
      </c>
      <c r="C1317" t="s">
        <v>186</v>
      </c>
      <c r="D1317" t="s">
        <v>7</v>
      </c>
      <c r="E1317" t="s">
        <v>390</v>
      </c>
      <c r="F1317" t="s">
        <v>719</v>
      </c>
      <c r="G1317">
        <v>37000</v>
      </c>
      <c r="H1317">
        <v>39000</v>
      </c>
    </row>
    <row r="1318" spans="2:8" x14ac:dyDescent="0.25">
      <c r="B1318" t="str">
        <f t="shared" si="20"/>
        <v>BDIPopulation ages 70-74, male</v>
      </c>
      <c r="C1318" t="s">
        <v>186</v>
      </c>
      <c r="D1318" t="s">
        <v>7</v>
      </c>
      <c r="E1318" t="s">
        <v>391</v>
      </c>
      <c r="F1318" t="s">
        <v>720</v>
      </c>
      <c r="G1318">
        <v>28000</v>
      </c>
      <c r="H1318">
        <v>31000</v>
      </c>
    </row>
    <row r="1319" spans="2:8" x14ac:dyDescent="0.25">
      <c r="B1319" t="str">
        <f t="shared" si="20"/>
        <v>BDIPopulation ages 75-79, female</v>
      </c>
      <c r="C1319" t="s">
        <v>186</v>
      </c>
      <c r="D1319" t="s">
        <v>7</v>
      </c>
      <c r="E1319" t="s">
        <v>392</v>
      </c>
      <c r="F1319" t="s">
        <v>721</v>
      </c>
      <c r="G1319">
        <v>24000</v>
      </c>
      <c r="H1319">
        <v>25000</v>
      </c>
    </row>
    <row r="1320" spans="2:8" x14ac:dyDescent="0.25">
      <c r="B1320" t="str">
        <f t="shared" si="20"/>
        <v>BDIPopulation ages 75-79, male</v>
      </c>
      <c r="C1320" t="s">
        <v>186</v>
      </c>
      <c r="D1320" t="s">
        <v>7</v>
      </c>
      <c r="E1320" t="s">
        <v>393</v>
      </c>
      <c r="F1320" t="s">
        <v>722</v>
      </c>
      <c r="G1320">
        <v>17000</v>
      </c>
      <c r="H1320">
        <v>17000</v>
      </c>
    </row>
    <row r="1321" spans="2:8" x14ac:dyDescent="0.25">
      <c r="B1321" t="str">
        <f t="shared" si="20"/>
        <v>BDIPopulation ages 80 and above, female</v>
      </c>
      <c r="C1321" t="s">
        <v>186</v>
      </c>
      <c r="D1321" t="s">
        <v>7</v>
      </c>
      <c r="E1321" t="s">
        <v>394</v>
      </c>
      <c r="F1321" t="s">
        <v>723</v>
      </c>
      <c r="G1321">
        <v>20000</v>
      </c>
      <c r="H1321">
        <v>20000</v>
      </c>
    </row>
    <row r="1322" spans="2:8" x14ac:dyDescent="0.25">
      <c r="B1322" t="str">
        <f t="shared" si="20"/>
        <v>BDIPopulation ages 80 and above, male</v>
      </c>
      <c r="C1322" t="s">
        <v>186</v>
      </c>
      <c r="D1322" t="s">
        <v>7</v>
      </c>
      <c r="E1322" t="s">
        <v>395</v>
      </c>
      <c r="F1322" t="s">
        <v>724</v>
      </c>
      <c r="G1322">
        <v>13000</v>
      </c>
      <c r="H1322">
        <v>12000</v>
      </c>
    </row>
    <row r="1323" spans="2:8" x14ac:dyDescent="0.25">
      <c r="B1323" t="str">
        <f t="shared" si="20"/>
        <v>BDIPopulation, male</v>
      </c>
      <c r="C1323" t="s">
        <v>186</v>
      </c>
      <c r="D1323" t="s">
        <v>7</v>
      </c>
      <c r="E1323" t="s">
        <v>397</v>
      </c>
      <c r="F1323" t="s">
        <v>725</v>
      </c>
      <c r="G1323">
        <v>5719000</v>
      </c>
      <c r="H1323">
        <v>5900000</v>
      </c>
    </row>
    <row r="1324" spans="2:8" x14ac:dyDescent="0.25">
      <c r="B1324" t="str">
        <f t="shared" si="20"/>
        <v>BDIPopulation, total</v>
      </c>
      <c r="C1324" t="s">
        <v>186</v>
      </c>
      <c r="D1324" t="s">
        <v>7</v>
      </c>
      <c r="E1324" t="s">
        <v>398</v>
      </c>
      <c r="F1324" t="s">
        <v>726</v>
      </c>
      <c r="G1324">
        <v>11531000</v>
      </c>
      <c r="H1324">
        <v>11891000</v>
      </c>
    </row>
    <row r="1325" spans="2:8" x14ac:dyDescent="0.25">
      <c r="B1325" t="str">
        <f t="shared" si="20"/>
        <v>BDIPopulation, female</v>
      </c>
      <c r="C1325" t="s">
        <v>186</v>
      </c>
      <c r="D1325" t="s">
        <v>7</v>
      </c>
      <c r="E1325" t="s">
        <v>396</v>
      </c>
      <c r="F1325" t="s">
        <v>727</v>
      </c>
      <c r="G1325">
        <v>5812000</v>
      </c>
      <c r="H1325">
        <v>5991000</v>
      </c>
    </row>
    <row r="1326" spans="2:8" x14ac:dyDescent="0.25">
      <c r="B1326" t="str">
        <f t="shared" si="20"/>
        <v>BDIPopulation growth (annual %)</v>
      </c>
      <c r="C1326" t="s">
        <v>186</v>
      </c>
      <c r="D1326" t="s">
        <v>7</v>
      </c>
      <c r="E1326" t="s">
        <v>399</v>
      </c>
      <c r="F1326" t="s">
        <v>728</v>
      </c>
      <c r="G1326">
        <v>0</v>
      </c>
      <c r="H1326">
        <v>0</v>
      </c>
    </row>
    <row r="1327" spans="2:8" x14ac:dyDescent="0.25">
      <c r="B1327" t="str">
        <f t="shared" si="20"/>
        <v>CPVPopulation ages 0-14, female</v>
      </c>
      <c r="C1327" t="s">
        <v>448</v>
      </c>
      <c r="D1327" t="s">
        <v>30</v>
      </c>
      <c r="E1327" t="s">
        <v>687</v>
      </c>
      <c r="F1327" t="s">
        <v>688</v>
      </c>
      <c r="G1327">
        <v>77000</v>
      </c>
      <c r="H1327">
        <v>77000</v>
      </c>
    </row>
    <row r="1328" spans="2:8" x14ac:dyDescent="0.25">
      <c r="B1328" t="str">
        <f t="shared" si="20"/>
        <v>CPVPopulation ages 0-14, male</v>
      </c>
      <c r="C1328" t="s">
        <v>448</v>
      </c>
      <c r="D1328" t="s">
        <v>30</v>
      </c>
      <c r="E1328" t="s">
        <v>689</v>
      </c>
      <c r="F1328" t="s">
        <v>690</v>
      </c>
      <c r="G1328">
        <v>79000</v>
      </c>
      <c r="H1328">
        <v>79000</v>
      </c>
    </row>
    <row r="1329" spans="2:8" x14ac:dyDescent="0.25">
      <c r="B1329" t="str">
        <f t="shared" si="20"/>
        <v>CPVPopulation ages 00-04, female</v>
      </c>
      <c r="C1329" t="s">
        <v>448</v>
      </c>
      <c r="D1329" t="s">
        <v>30</v>
      </c>
      <c r="E1329" t="s">
        <v>362</v>
      </c>
      <c r="F1329" t="s">
        <v>691</v>
      </c>
      <c r="G1329">
        <v>26000</v>
      </c>
      <c r="H1329">
        <v>26000</v>
      </c>
    </row>
    <row r="1330" spans="2:8" x14ac:dyDescent="0.25">
      <c r="B1330" t="str">
        <f t="shared" si="20"/>
        <v>CPVPopulation ages 00-04, male</v>
      </c>
      <c r="C1330" t="s">
        <v>448</v>
      </c>
      <c r="D1330" t="s">
        <v>30</v>
      </c>
      <c r="E1330" t="s">
        <v>363</v>
      </c>
      <c r="F1330" t="s">
        <v>692</v>
      </c>
      <c r="G1330">
        <v>27000</v>
      </c>
      <c r="H1330">
        <v>26000</v>
      </c>
    </row>
    <row r="1331" spans="2:8" x14ac:dyDescent="0.25">
      <c r="B1331" t="str">
        <f t="shared" si="20"/>
        <v>CPVPopulation ages 05-09, female</v>
      </c>
      <c r="C1331" t="s">
        <v>448</v>
      </c>
      <c r="D1331" t="s">
        <v>30</v>
      </c>
      <c r="E1331" t="s">
        <v>364</v>
      </c>
      <c r="F1331" t="s">
        <v>693</v>
      </c>
      <c r="G1331">
        <v>26000</v>
      </c>
      <c r="H1331">
        <v>26000</v>
      </c>
    </row>
    <row r="1332" spans="2:8" x14ac:dyDescent="0.25">
      <c r="B1332" t="str">
        <f t="shared" si="20"/>
        <v>CPVPopulation ages 05-09, male</v>
      </c>
      <c r="C1332" t="s">
        <v>448</v>
      </c>
      <c r="D1332" t="s">
        <v>30</v>
      </c>
      <c r="E1332" t="s">
        <v>365</v>
      </c>
      <c r="F1332" t="s">
        <v>694</v>
      </c>
      <c r="G1332">
        <v>27000</v>
      </c>
      <c r="H1332">
        <v>27000</v>
      </c>
    </row>
    <row r="1333" spans="2:8" x14ac:dyDescent="0.25">
      <c r="B1333" t="str">
        <f t="shared" si="20"/>
        <v>CPVPopulation ages 10-14, female</v>
      </c>
      <c r="C1333" t="s">
        <v>448</v>
      </c>
      <c r="D1333" t="s">
        <v>30</v>
      </c>
      <c r="E1333" t="s">
        <v>366</v>
      </c>
      <c r="F1333" t="s">
        <v>695</v>
      </c>
      <c r="G1333">
        <v>25000</v>
      </c>
      <c r="H1333">
        <v>25000</v>
      </c>
    </row>
    <row r="1334" spans="2:8" x14ac:dyDescent="0.25">
      <c r="B1334" t="str">
        <f t="shared" si="20"/>
        <v>CPVPopulation ages 10-14, male</v>
      </c>
      <c r="C1334" t="s">
        <v>448</v>
      </c>
      <c r="D1334" t="s">
        <v>30</v>
      </c>
      <c r="E1334" t="s">
        <v>367</v>
      </c>
      <c r="F1334" t="s">
        <v>696</v>
      </c>
      <c r="G1334">
        <v>26000</v>
      </c>
      <c r="H1334">
        <v>26000</v>
      </c>
    </row>
    <row r="1335" spans="2:8" x14ac:dyDescent="0.25">
      <c r="B1335" t="str">
        <f t="shared" si="20"/>
        <v>CPVPopulation ages 15-19, female</v>
      </c>
      <c r="C1335" t="s">
        <v>448</v>
      </c>
      <c r="D1335" t="s">
        <v>30</v>
      </c>
      <c r="E1335" t="s">
        <v>368</v>
      </c>
      <c r="F1335" t="s">
        <v>697</v>
      </c>
      <c r="G1335">
        <v>24000</v>
      </c>
      <c r="H1335">
        <v>24000</v>
      </c>
    </row>
    <row r="1336" spans="2:8" x14ac:dyDescent="0.25">
      <c r="B1336" t="str">
        <f t="shared" si="20"/>
        <v>CPVPopulation ages 15-19, male</v>
      </c>
      <c r="C1336" t="s">
        <v>448</v>
      </c>
      <c r="D1336" t="s">
        <v>30</v>
      </c>
      <c r="E1336" t="s">
        <v>369</v>
      </c>
      <c r="F1336" t="s">
        <v>698</v>
      </c>
      <c r="G1336">
        <v>25000</v>
      </c>
      <c r="H1336">
        <v>25000</v>
      </c>
    </row>
    <row r="1337" spans="2:8" x14ac:dyDescent="0.25">
      <c r="B1337" t="str">
        <f t="shared" si="20"/>
        <v>CPVPopulation ages 20-24, female</v>
      </c>
      <c r="C1337" t="s">
        <v>448</v>
      </c>
      <c r="D1337" t="s">
        <v>30</v>
      </c>
      <c r="E1337" t="s">
        <v>370</v>
      </c>
      <c r="F1337" t="s">
        <v>699</v>
      </c>
      <c r="G1337">
        <v>23000</v>
      </c>
      <c r="H1337">
        <v>23000</v>
      </c>
    </row>
    <row r="1338" spans="2:8" x14ac:dyDescent="0.25">
      <c r="B1338" t="str">
        <f t="shared" si="20"/>
        <v>CPVPopulation ages 20-24, male</v>
      </c>
      <c r="C1338" t="s">
        <v>448</v>
      </c>
      <c r="D1338" t="s">
        <v>30</v>
      </c>
      <c r="E1338" t="s">
        <v>371</v>
      </c>
      <c r="F1338" t="s">
        <v>700</v>
      </c>
      <c r="G1338">
        <v>24000</v>
      </c>
      <c r="H1338">
        <v>23000</v>
      </c>
    </row>
    <row r="1339" spans="2:8" x14ac:dyDescent="0.25">
      <c r="B1339" t="str">
        <f t="shared" si="20"/>
        <v>CPVPopulation ages 25-29, female</v>
      </c>
      <c r="C1339" t="s">
        <v>448</v>
      </c>
      <c r="D1339" t="s">
        <v>30</v>
      </c>
      <c r="E1339" t="s">
        <v>372</v>
      </c>
      <c r="F1339" t="s">
        <v>701</v>
      </c>
      <c r="G1339">
        <v>26000</v>
      </c>
      <c r="H1339">
        <v>25000</v>
      </c>
    </row>
    <row r="1340" spans="2:8" x14ac:dyDescent="0.25">
      <c r="B1340" t="str">
        <f t="shared" si="20"/>
        <v>CPVPopulation ages 25-29, male</v>
      </c>
      <c r="C1340" t="s">
        <v>448</v>
      </c>
      <c r="D1340" t="s">
        <v>30</v>
      </c>
      <c r="E1340" t="s">
        <v>373</v>
      </c>
      <c r="F1340" t="s">
        <v>702</v>
      </c>
      <c r="G1340">
        <v>27000</v>
      </c>
      <c r="H1340">
        <v>27000</v>
      </c>
    </row>
    <row r="1341" spans="2:8" x14ac:dyDescent="0.25">
      <c r="B1341" t="str">
        <f t="shared" si="20"/>
        <v>CPVPopulation ages 30-34, female</v>
      </c>
      <c r="C1341" t="s">
        <v>448</v>
      </c>
      <c r="D1341" t="s">
        <v>30</v>
      </c>
      <c r="E1341" t="s">
        <v>374</v>
      </c>
      <c r="F1341" t="s">
        <v>703</v>
      </c>
      <c r="G1341">
        <v>24000</v>
      </c>
      <c r="H1341">
        <v>25000</v>
      </c>
    </row>
    <row r="1342" spans="2:8" x14ac:dyDescent="0.25">
      <c r="B1342" t="str">
        <f t="shared" si="20"/>
        <v>CPVPopulation ages 30-34, male</v>
      </c>
      <c r="C1342" t="s">
        <v>448</v>
      </c>
      <c r="D1342" t="s">
        <v>30</v>
      </c>
      <c r="E1342" t="s">
        <v>375</v>
      </c>
      <c r="F1342" t="s">
        <v>704</v>
      </c>
      <c r="G1342">
        <v>27000</v>
      </c>
      <c r="H1342">
        <v>28000</v>
      </c>
    </row>
    <row r="1343" spans="2:8" x14ac:dyDescent="0.25">
      <c r="B1343" t="str">
        <f t="shared" si="20"/>
        <v>CPVPopulation ages 35-39, female</v>
      </c>
      <c r="C1343" t="s">
        <v>448</v>
      </c>
      <c r="D1343" t="s">
        <v>30</v>
      </c>
      <c r="E1343" t="s">
        <v>376</v>
      </c>
      <c r="F1343" t="s">
        <v>705</v>
      </c>
      <c r="G1343">
        <v>21000</v>
      </c>
      <c r="H1343">
        <v>22000</v>
      </c>
    </row>
    <row r="1344" spans="2:8" x14ac:dyDescent="0.25">
      <c r="B1344" t="str">
        <f t="shared" si="20"/>
        <v>CPVPopulation ages 35-39, male</v>
      </c>
      <c r="C1344" t="s">
        <v>448</v>
      </c>
      <c r="D1344" t="s">
        <v>30</v>
      </c>
      <c r="E1344" t="s">
        <v>377</v>
      </c>
      <c r="F1344" t="s">
        <v>706</v>
      </c>
      <c r="G1344">
        <v>23000</v>
      </c>
      <c r="H1344">
        <v>24000</v>
      </c>
    </row>
    <row r="1345" spans="2:8" x14ac:dyDescent="0.25">
      <c r="B1345" t="str">
        <f t="shared" si="20"/>
        <v>CPVPopulation ages 40-44, female</v>
      </c>
      <c r="C1345" t="s">
        <v>448</v>
      </c>
      <c r="D1345" t="s">
        <v>30</v>
      </c>
      <c r="E1345" t="s">
        <v>378</v>
      </c>
      <c r="F1345" t="s">
        <v>707</v>
      </c>
      <c r="G1345">
        <v>16000</v>
      </c>
      <c r="H1345">
        <v>17000</v>
      </c>
    </row>
    <row r="1346" spans="2:8" x14ac:dyDescent="0.25">
      <c r="B1346" t="str">
        <f t="shared" si="20"/>
        <v>CPVPopulation ages 40-44, male</v>
      </c>
      <c r="C1346" t="s">
        <v>448</v>
      </c>
      <c r="D1346" t="s">
        <v>30</v>
      </c>
      <c r="E1346" t="s">
        <v>379</v>
      </c>
      <c r="F1346" t="s">
        <v>708</v>
      </c>
      <c r="G1346">
        <v>18000</v>
      </c>
      <c r="H1346">
        <v>19000</v>
      </c>
    </row>
    <row r="1347" spans="2:8" x14ac:dyDescent="0.25">
      <c r="B1347" t="str">
        <f t="shared" si="20"/>
        <v>CPVPopulation ages 45-49, female</v>
      </c>
      <c r="C1347" t="s">
        <v>448</v>
      </c>
      <c r="D1347" t="s">
        <v>30</v>
      </c>
      <c r="E1347" t="s">
        <v>380</v>
      </c>
      <c r="F1347" t="s">
        <v>709</v>
      </c>
      <c r="G1347">
        <v>13000</v>
      </c>
      <c r="H1347">
        <v>14000</v>
      </c>
    </row>
    <row r="1348" spans="2:8" x14ac:dyDescent="0.25">
      <c r="B1348" t="str">
        <f t="shared" si="20"/>
        <v>CPVPopulation ages 45-49, male</v>
      </c>
      <c r="C1348" t="s">
        <v>448</v>
      </c>
      <c r="D1348" t="s">
        <v>30</v>
      </c>
      <c r="E1348" t="s">
        <v>381</v>
      </c>
      <c r="F1348" t="s">
        <v>710</v>
      </c>
      <c r="G1348">
        <v>15000</v>
      </c>
      <c r="H1348">
        <v>16000</v>
      </c>
    </row>
    <row r="1349" spans="2:8" x14ac:dyDescent="0.25">
      <c r="B1349" t="str">
        <f t="shared" si="20"/>
        <v>CPVPopulation ages 50-54, female</v>
      </c>
      <c r="C1349" t="s">
        <v>448</v>
      </c>
      <c r="D1349" t="s">
        <v>30</v>
      </c>
      <c r="E1349" t="s">
        <v>382</v>
      </c>
      <c r="F1349" t="s">
        <v>711</v>
      </c>
      <c r="G1349">
        <v>13000</v>
      </c>
      <c r="H1349">
        <v>13000</v>
      </c>
    </row>
    <row r="1350" spans="2:8" x14ac:dyDescent="0.25">
      <c r="B1350" t="str">
        <f t="shared" si="20"/>
        <v>CPVPopulation ages 50-54, male</v>
      </c>
      <c r="C1350" t="s">
        <v>448</v>
      </c>
      <c r="D1350" t="s">
        <v>30</v>
      </c>
      <c r="E1350" t="s">
        <v>383</v>
      </c>
      <c r="F1350" t="s">
        <v>712</v>
      </c>
      <c r="G1350">
        <v>12000</v>
      </c>
      <c r="H1350">
        <v>12000</v>
      </c>
    </row>
    <row r="1351" spans="2:8" x14ac:dyDescent="0.25">
      <c r="B1351" t="str">
        <f t="shared" ref="B1351:B1414" si="21">CONCATENATE(D1351,E1351)</f>
        <v>CPVPopulation ages 55-59, male</v>
      </c>
      <c r="C1351" t="s">
        <v>448</v>
      </c>
      <c r="D1351" t="s">
        <v>30</v>
      </c>
      <c r="E1351" t="s">
        <v>385</v>
      </c>
      <c r="F1351" t="s">
        <v>713</v>
      </c>
      <c r="G1351">
        <v>9900</v>
      </c>
      <c r="H1351">
        <v>10000</v>
      </c>
    </row>
    <row r="1352" spans="2:8" x14ac:dyDescent="0.25">
      <c r="B1352" t="str">
        <f t="shared" si="21"/>
        <v>CPVPopulation ages 55-59, female</v>
      </c>
      <c r="C1352" t="s">
        <v>448</v>
      </c>
      <c r="D1352" t="s">
        <v>30</v>
      </c>
      <c r="E1352" t="s">
        <v>384</v>
      </c>
      <c r="F1352" t="s">
        <v>714</v>
      </c>
      <c r="G1352">
        <v>12000</v>
      </c>
      <c r="H1352">
        <v>12000</v>
      </c>
    </row>
    <row r="1353" spans="2:8" x14ac:dyDescent="0.25">
      <c r="B1353" t="str">
        <f t="shared" si="21"/>
        <v>CPVPopulation ages 65-69, male</v>
      </c>
      <c r="C1353" t="s">
        <v>448</v>
      </c>
      <c r="D1353" t="s">
        <v>30</v>
      </c>
      <c r="E1353" t="s">
        <v>389</v>
      </c>
      <c r="F1353" t="s">
        <v>715</v>
      </c>
      <c r="G1353">
        <v>4000</v>
      </c>
      <c r="H1353">
        <v>4500</v>
      </c>
    </row>
    <row r="1354" spans="2:8" x14ac:dyDescent="0.25">
      <c r="B1354" t="str">
        <f t="shared" si="21"/>
        <v>CPVPopulation ages 65-69, female</v>
      </c>
      <c r="C1354" t="s">
        <v>448</v>
      </c>
      <c r="D1354" t="s">
        <v>30</v>
      </c>
      <c r="E1354" t="s">
        <v>388</v>
      </c>
      <c r="F1354" t="s">
        <v>716</v>
      </c>
      <c r="G1354">
        <v>5900</v>
      </c>
      <c r="H1354">
        <v>6500</v>
      </c>
    </row>
    <row r="1355" spans="2:8" x14ac:dyDescent="0.25">
      <c r="B1355" t="str">
        <f t="shared" si="21"/>
        <v>CPVPopulation ages 60-64, female</v>
      </c>
      <c r="C1355" t="s">
        <v>448</v>
      </c>
      <c r="D1355" t="s">
        <v>30</v>
      </c>
      <c r="E1355" t="s">
        <v>386</v>
      </c>
      <c r="F1355" t="s">
        <v>717</v>
      </c>
      <c r="G1355">
        <v>8300</v>
      </c>
      <c r="H1355">
        <v>8700</v>
      </c>
    </row>
    <row r="1356" spans="2:8" x14ac:dyDescent="0.25">
      <c r="B1356" t="str">
        <f t="shared" si="21"/>
        <v>CPVPopulation ages 60-64, male</v>
      </c>
      <c r="C1356" t="s">
        <v>448</v>
      </c>
      <c r="D1356" t="s">
        <v>30</v>
      </c>
      <c r="E1356" t="s">
        <v>387</v>
      </c>
      <c r="F1356" t="s">
        <v>718</v>
      </c>
      <c r="G1356">
        <v>6300</v>
      </c>
      <c r="H1356">
        <v>6700</v>
      </c>
    </row>
    <row r="1357" spans="2:8" x14ac:dyDescent="0.25">
      <c r="B1357" t="str">
        <f t="shared" si="21"/>
        <v>CPVPopulation ages 70-74, female</v>
      </c>
      <c r="C1357" t="s">
        <v>448</v>
      </c>
      <c r="D1357" t="s">
        <v>30</v>
      </c>
      <c r="E1357" t="s">
        <v>390</v>
      </c>
      <c r="F1357" t="s">
        <v>719</v>
      </c>
      <c r="G1357">
        <v>3000</v>
      </c>
      <c r="H1357">
        <v>3100</v>
      </c>
    </row>
    <row r="1358" spans="2:8" x14ac:dyDescent="0.25">
      <c r="B1358" t="str">
        <f t="shared" si="21"/>
        <v>CPVPopulation ages 70-74, male</v>
      </c>
      <c r="C1358" t="s">
        <v>448</v>
      </c>
      <c r="D1358" t="s">
        <v>30</v>
      </c>
      <c r="E1358" t="s">
        <v>391</v>
      </c>
      <c r="F1358" t="s">
        <v>720</v>
      </c>
      <c r="G1358">
        <v>1400</v>
      </c>
      <c r="H1358">
        <v>1600</v>
      </c>
    </row>
    <row r="1359" spans="2:8" x14ac:dyDescent="0.25">
      <c r="B1359" t="str">
        <f t="shared" si="21"/>
        <v>CPVPopulation ages 75-79, female</v>
      </c>
      <c r="C1359" t="s">
        <v>448</v>
      </c>
      <c r="D1359" t="s">
        <v>30</v>
      </c>
      <c r="E1359" t="s">
        <v>392</v>
      </c>
      <c r="F1359" t="s">
        <v>721</v>
      </c>
      <c r="G1359">
        <v>3100</v>
      </c>
      <c r="H1359">
        <v>3000</v>
      </c>
    </row>
    <row r="1360" spans="2:8" x14ac:dyDescent="0.25">
      <c r="B1360" t="str">
        <f t="shared" si="21"/>
        <v>CPVPopulation ages 75-79, male</v>
      </c>
      <c r="C1360" t="s">
        <v>448</v>
      </c>
      <c r="D1360" t="s">
        <v>30</v>
      </c>
      <c r="E1360" t="s">
        <v>393</v>
      </c>
      <c r="F1360" t="s">
        <v>722</v>
      </c>
      <c r="G1360">
        <v>1500</v>
      </c>
      <c r="H1360">
        <v>1400</v>
      </c>
    </row>
    <row r="1361" spans="2:8" x14ac:dyDescent="0.25">
      <c r="B1361" t="str">
        <f t="shared" si="21"/>
        <v>CPVPopulation ages 80 and above, female</v>
      </c>
      <c r="C1361" t="s">
        <v>448</v>
      </c>
      <c r="D1361" t="s">
        <v>30</v>
      </c>
      <c r="E1361" t="s">
        <v>394</v>
      </c>
      <c r="F1361" t="s">
        <v>723</v>
      </c>
      <c r="G1361">
        <v>4600</v>
      </c>
      <c r="H1361">
        <v>4500</v>
      </c>
    </row>
    <row r="1362" spans="2:8" x14ac:dyDescent="0.25">
      <c r="B1362" t="str">
        <f t="shared" si="21"/>
        <v>CPVPopulation ages 80 and above, male</v>
      </c>
      <c r="C1362" t="s">
        <v>448</v>
      </c>
      <c r="D1362" t="s">
        <v>30</v>
      </c>
      <c r="E1362" t="s">
        <v>395</v>
      </c>
      <c r="F1362" t="s">
        <v>724</v>
      </c>
      <c r="G1362">
        <v>2300</v>
      </c>
      <c r="H1362">
        <v>2100</v>
      </c>
    </row>
    <row r="1363" spans="2:8" x14ac:dyDescent="0.25">
      <c r="B1363" t="str">
        <f t="shared" si="21"/>
        <v>CPVPopulation, male</v>
      </c>
      <c r="C1363" t="s">
        <v>448</v>
      </c>
      <c r="D1363" t="s">
        <v>30</v>
      </c>
      <c r="E1363" t="s">
        <v>397</v>
      </c>
      <c r="F1363" t="s">
        <v>725</v>
      </c>
      <c r="G1363">
        <v>276000</v>
      </c>
      <c r="H1363">
        <v>279000</v>
      </c>
    </row>
    <row r="1364" spans="2:8" x14ac:dyDescent="0.25">
      <c r="B1364" t="str">
        <f t="shared" si="21"/>
        <v>CPVPopulation, total</v>
      </c>
      <c r="C1364" t="s">
        <v>448</v>
      </c>
      <c r="D1364" t="s">
        <v>30</v>
      </c>
      <c r="E1364" t="s">
        <v>398</v>
      </c>
      <c r="F1364" t="s">
        <v>726</v>
      </c>
      <c r="G1364">
        <v>550000</v>
      </c>
      <c r="H1364">
        <v>556000</v>
      </c>
    </row>
    <row r="1365" spans="2:8" x14ac:dyDescent="0.25">
      <c r="B1365" t="str">
        <f t="shared" si="21"/>
        <v>CPVPopulation, female</v>
      </c>
      <c r="C1365" t="s">
        <v>448</v>
      </c>
      <c r="D1365" t="s">
        <v>30</v>
      </c>
      <c r="E1365" t="s">
        <v>396</v>
      </c>
      <c r="F1365" t="s">
        <v>727</v>
      </c>
      <c r="G1365">
        <v>274000</v>
      </c>
      <c r="H1365">
        <v>277000</v>
      </c>
    </row>
    <row r="1366" spans="2:8" x14ac:dyDescent="0.25">
      <c r="B1366" t="str">
        <f t="shared" si="21"/>
        <v>CPVPopulation growth (annual %)</v>
      </c>
      <c r="C1366" t="s">
        <v>448</v>
      </c>
      <c r="D1366" t="s">
        <v>30</v>
      </c>
      <c r="E1366" t="s">
        <v>399</v>
      </c>
      <c r="F1366" t="s">
        <v>728</v>
      </c>
      <c r="G1366">
        <v>0</v>
      </c>
      <c r="H1366">
        <v>0</v>
      </c>
    </row>
    <row r="1367" spans="2:8" x14ac:dyDescent="0.25">
      <c r="B1367" t="str">
        <f t="shared" si="21"/>
        <v>KHMPopulation ages 0-14, female</v>
      </c>
      <c r="C1367" t="s">
        <v>247</v>
      </c>
      <c r="D1367" t="s">
        <v>72</v>
      </c>
      <c r="E1367" t="s">
        <v>687</v>
      </c>
      <c r="F1367" t="s">
        <v>688</v>
      </c>
      <c r="G1367">
        <v>2511000</v>
      </c>
      <c r="H1367">
        <v>2531000</v>
      </c>
    </row>
    <row r="1368" spans="2:8" x14ac:dyDescent="0.25">
      <c r="B1368" t="str">
        <f t="shared" si="21"/>
        <v>KHMPopulation ages 0-14, male</v>
      </c>
      <c r="C1368" t="s">
        <v>247</v>
      </c>
      <c r="D1368" t="s">
        <v>72</v>
      </c>
      <c r="E1368" t="s">
        <v>689</v>
      </c>
      <c r="F1368" t="s">
        <v>690</v>
      </c>
      <c r="G1368">
        <v>2616000</v>
      </c>
      <c r="H1368">
        <v>2639000</v>
      </c>
    </row>
    <row r="1369" spans="2:8" x14ac:dyDescent="0.25">
      <c r="B1369" t="str">
        <f t="shared" si="21"/>
        <v>KHMPopulation ages 00-04, female</v>
      </c>
      <c r="C1369" t="s">
        <v>247</v>
      </c>
      <c r="D1369" t="s">
        <v>72</v>
      </c>
      <c r="E1369" t="s">
        <v>362</v>
      </c>
      <c r="F1369" t="s">
        <v>691</v>
      </c>
      <c r="G1369">
        <v>873000</v>
      </c>
      <c r="H1369">
        <v>872000</v>
      </c>
    </row>
    <row r="1370" spans="2:8" x14ac:dyDescent="0.25">
      <c r="B1370" t="str">
        <f t="shared" si="21"/>
        <v>KHMPopulation ages 00-04, male</v>
      </c>
      <c r="C1370" t="s">
        <v>247</v>
      </c>
      <c r="D1370" t="s">
        <v>72</v>
      </c>
      <c r="E1370" t="s">
        <v>363</v>
      </c>
      <c r="F1370" t="s">
        <v>692</v>
      </c>
      <c r="G1370">
        <v>907000</v>
      </c>
      <c r="H1370">
        <v>907000</v>
      </c>
    </row>
    <row r="1371" spans="2:8" x14ac:dyDescent="0.25">
      <c r="B1371" t="str">
        <f t="shared" si="21"/>
        <v>KHMPopulation ages 05-09, female</v>
      </c>
      <c r="C1371" t="s">
        <v>247</v>
      </c>
      <c r="D1371" t="s">
        <v>72</v>
      </c>
      <c r="E1371" t="s">
        <v>364</v>
      </c>
      <c r="F1371" t="s">
        <v>693</v>
      </c>
      <c r="G1371">
        <v>852000</v>
      </c>
      <c r="H1371">
        <v>859000</v>
      </c>
    </row>
    <row r="1372" spans="2:8" x14ac:dyDescent="0.25">
      <c r="B1372" t="str">
        <f t="shared" si="21"/>
        <v>KHMPopulation ages 05-09, male</v>
      </c>
      <c r="C1372" t="s">
        <v>247</v>
      </c>
      <c r="D1372" t="s">
        <v>72</v>
      </c>
      <c r="E1372" t="s">
        <v>365</v>
      </c>
      <c r="F1372" t="s">
        <v>694</v>
      </c>
      <c r="G1372">
        <v>890000</v>
      </c>
      <c r="H1372">
        <v>893000</v>
      </c>
    </row>
    <row r="1373" spans="2:8" x14ac:dyDescent="0.25">
      <c r="B1373" t="str">
        <f t="shared" si="21"/>
        <v>KHMPopulation ages 10-14, female</v>
      </c>
      <c r="C1373" t="s">
        <v>247</v>
      </c>
      <c r="D1373" t="s">
        <v>72</v>
      </c>
      <c r="E1373" t="s">
        <v>366</v>
      </c>
      <c r="F1373" t="s">
        <v>695</v>
      </c>
      <c r="G1373">
        <v>786000</v>
      </c>
      <c r="H1373">
        <v>801000</v>
      </c>
    </row>
    <row r="1374" spans="2:8" x14ac:dyDescent="0.25">
      <c r="B1374" t="str">
        <f t="shared" si="21"/>
        <v>KHMPopulation ages 10-14, male</v>
      </c>
      <c r="C1374" t="s">
        <v>247</v>
      </c>
      <c r="D1374" t="s">
        <v>72</v>
      </c>
      <c r="E1374" t="s">
        <v>367</v>
      </c>
      <c r="F1374" t="s">
        <v>696</v>
      </c>
      <c r="G1374">
        <v>819000</v>
      </c>
      <c r="H1374">
        <v>839000</v>
      </c>
    </row>
    <row r="1375" spans="2:8" x14ac:dyDescent="0.25">
      <c r="B1375" t="str">
        <f t="shared" si="21"/>
        <v>KHMPopulation ages 15-19, female</v>
      </c>
      <c r="C1375" t="s">
        <v>247</v>
      </c>
      <c r="D1375" t="s">
        <v>72</v>
      </c>
      <c r="E1375" t="s">
        <v>368</v>
      </c>
      <c r="F1375" t="s">
        <v>697</v>
      </c>
      <c r="G1375">
        <v>727000</v>
      </c>
      <c r="H1375">
        <v>727000</v>
      </c>
    </row>
    <row r="1376" spans="2:8" x14ac:dyDescent="0.25">
      <c r="B1376" t="str">
        <f t="shared" si="21"/>
        <v>KHMPopulation ages 15-19, male</v>
      </c>
      <c r="C1376" t="s">
        <v>247</v>
      </c>
      <c r="D1376" t="s">
        <v>72</v>
      </c>
      <c r="E1376" t="s">
        <v>369</v>
      </c>
      <c r="F1376" t="s">
        <v>698</v>
      </c>
      <c r="G1376">
        <v>733000</v>
      </c>
      <c r="H1376">
        <v>733000</v>
      </c>
    </row>
    <row r="1377" spans="2:8" x14ac:dyDescent="0.25">
      <c r="B1377" t="str">
        <f t="shared" si="21"/>
        <v>KHMPopulation ages 20-24, female</v>
      </c>
      <c r="C1377" t="s">
        <v>247</v>
      </c>
      <c r="D1377" t="s">
        <v>72</v>
      </c>
      <c r="E1377" t="s">
        <v>370</v>
      </c>
      <c r="F1377" t="s">
        <v>699</v>
      </c>
      <c r="G1377">
        <v>768000</v>
      </c>
      <c r="H1377">
        <v>754000</v>
      </c>
    </row>
    <row r="1378" spans="2:8" x14ac:dyDescent="0.25">
      <c r="B1378" t="str">
        <f t="shared" si="21"/>
        <v>KHMPopulation ages 20-24, male</v>
      </c>
      <c r="C1378" t="s">
        <v>247</v>
      </c>
      <c r="D1378" t="s">
        <v>72</v>
      </c>
      <c r="E1378" t="s">
        <v>371</v>
      </c>
      <c r="F1378" t="s">
        <v>700</v>
      </c>
      <c r="G1378">
        <v>795000</v>
      </c>
      <c r="H1378">
        <v>774000</v>
      </c>
    </row>
    <row r="1379" spans="2:8" x14ac:dyDescent="0.25">
      <c r="B1379" t="str">
        <f t="shared" si="21"/>
        <v>KHMPopulation ages 25-29, female</v>
      </c>
      <c r="C1379" t="s">
        <v>247</v>
      </c>
      <c r="D1379" t="s">
        <v>72</v>
      </c>
      <c r="E1379" t="s">
        <v>372</v>
      </c>
      <c r="F1379" t="s">
        <v>701</v>
      </c>
      <c r="G1379">
        <v>758000</v>
      </c>
      <c r="H1379">
        <v>780000</v>
      </c>
    </row>
    <row r="1380" spans="2:8" x14ac:dyDescent="0.25">
      <c r="B1380" t="str">
        <f t="shared" si="21"/>
        <v>KHMPopulation ages 25-29, male</v>
      </c>
      <c r="C1380" t="s">
        <v>247</v>
      </c>
      <c r="D1380" t="s">
        <v>72</v>
      </c>
      <c r="E1380" t="s">
        <v>373</v>
      </c>
      <c r="F1380" t="s">
        <v>702</v>
      </c>
      <c r="G1380">
        <v>781000</v>
      </c>
      <c r="H1380">
        <v>809000</v>
      </c>
    </row>
    <row r="1381" spans="2:8" x14ac:dyDescent="0.25">
      <c r="B1381" t="str">
        <f t="shared" si="21"/>
        <v>KHMPopulation ages 30-34, female</v>
      </c>
      <c r="C1381" t="s">
        <v>247</v>
      </c>
      <c r="D1381" t="s">
        <v>72</v>
      </c>
      <c r="E1381" t="s">
        <v>374</v>
      </c>
      <c r="F1381" t="s">
        <v>703</v>
      </c>
      <c r="G1381">
        <v>674000</v>
      </c>
      <c r="H1381">
        <v>639000</v>
      </c>
    </row>
    <row r="1382" spans="2:8" x14ac:dyDescent="0.25">
      <c r="B1382" t="str">
        <f t="shared" si="21"/>
        <v>KHMPopulation ages 30-34, male</v>
      </c>
      <c r="C1382" t="s">
        <v>247</v>
      </c>
      <c r="D1382" t="s">
        <v>72</v>
      </c>
      <c r="E1382" t="s">
        <v>375</v>
      </c>
      <c r="F1382" t="s">
        <v>704</v>
      </c>
      <c r="G1382">
        <v>630000</v>
      </c>
      <c r="H1382">
        <v>602000</v>
      </c>
    </row>
    <row r="1383" spans="2:8" x14ac:dyDescent="0.25">
      <c r="B1383" t="str">
        <f t="shared" si="21"/>
        <v>KHMPopulation ages 35-39, female</v>
      </c>
      <c r="C1383" t="s">
        <v>247</v>
      </c>
      <c r="D1383" t="s">
        <v>72</v>
      </c>
      <c r="E1383" t="s">
        <v>376</v>
      </c>
      <c r="F1383" t="s">
        <v>705</v>
      </c>
      <c r="G1383">
        <v>794000</v>
      </c>
      <c r="H1383">
        <v>851000</v>
      </c>
    </row>
    <row r="1384" spans="2:8" x14ac:dyDescent="0.25">
      <c r="B1384" t="str">
        <f t="shared" si="21"/>
        <v>KHMPopulation ages 35-39, male</v>
      </c>
      <c r="C1384" t="s">
        <v>247</v>
      </c>
      <c r="D1384" t="s">
        <v>72</v>
      </c>
      <c r="E1384" t="s">
        <v>377</v>
      </c>
      <c r="F1384" t="s">
        <v>706</v>
      </c>
      <c r="G1384">
        <v>743000</v>
      </c>
      <c r="H1384">
        <v>797000</v>
      </c>
    </row>
    <row r="1385" spans="2:8" x14ac:dyDescent="0.25">
      <c r="B1385" t="str">
        <f t="shared" si="21"/>
        <v>KHMPopulation ages 40-44, female</v>
      </c>
      <c r="C1385" t="s">
        <v>247</v>
      </c>
      <c r="D1385" t="s">
        <v>72</v>
      </c>
      <c r="E1385" t="s">
        <v>378</v>
      </c>
      <c r="F1385" t="s">
        <v>707</v>
      </c>
      <c r="G1385">
        <v>303000</v>
      </c>
      <c r="H1385">
        <v>334000</v>
      </c>
    </row>
    <row r="1386" spans="2:8" x14ac:dyDescent="0.25">
      <c r="B1386" t="str">
        <f t="shared" si="21"/>
        <v>KHMPopulation ages 40-44, male</v>
      </c>
      <c r="C1386" t="s">
        <v>247</v>
      </c>
      <c r="D1386" t="s">
        <v>72</v>
      </c>
      <c r="E1386" t="s">
        <v>379</v>
      </c>
      <c r="F1386" t="s">
        <v>708</v>
      </c>
      <c r="G1386">
        <v>264000</v>
      </c>
      <c r="H1386">
        <v>293000</v>
      </c>
    </row>
    <row r="1387" spans="2:8" x14ac:dyDescent="0.25">
      <c r="B1387" t="str">
        <f t="shared" si="21"/>
        <v>KHMPopulation ages 45-49, female</v>
      </c>
      <c r="C1387" t="s">
        <v>247</v>
      </c>
      <c r="D1387" t="s">
        <v>72</v>
      </c>
      <c r="E1387" t="s">
        <v>380</v>
      </c>
      <c r="F1387" t="s">
        <v>709</v>
      </c>
      <c r="G1387">
        <v>434000</v>
      </c>
      <c r="H1387">
        <v>422000</v>
      </c>
    </row>
    <row r="1388" spans="2:8" x14ac:dyDescent="0.25">
      <c r="B1388" t="str">
        <f t="shared" si="21"/>
        <v>KHMPopulation ages 45-49, male</v>
      </c>
      <c r="C1388" t="s">
        <v>247</v>
      </c>
      <c r="D1388" t="s">
        <v>72</v>
      </c>
      <c r="E1388" t="s">
        <v>381</v>
      </c>
      <c r="F1388" t="s">
        <v>710</v>
      </c>
      <c r="G1388">
        <v>392000</v>
      </c>
      <c r="H1388">
        <v>380000</v>
      </c>
    </row>
    <row r="1389" spans="2:8" x14ac:dyDescent="0.25">
      <c r="B1389" t="str">
        <f t="shared" si="21"/>
        <v>KHMPopulation ages 50-54, female</v>
      </c>
      <c r="C1389" t="s">
        <v>247</v>
      </c>
      <c r="D1389" t="s">
        <v>72</v>
      </c>
      <c r="E1389" t="s">
        <v>382</v>
      </c>
      <c r="F1389" t="s">
        <v>711</v>
      </c>
      <c r="G1389">
        <v>387000</v>
      </c>
      <c r="H1389">
        <v>391000</v>
      </c>
    </row>
    <row r="1390" spans="2:8" x14ac:dyDescent="0.25">
      <c r="B1390" t="str">
        <f t="shared" si="21"/>
        <v>KHMPopulation ages 50-54, male</v>
      </c>
      <c r="C1390" t="s">
        <v>247</v>
      </c>
      <c r="D1390" t="s">
        <v>72</v>
      </c>
      <c r="E1390" t="s">
        <v>383</v>
      </c>
      <c r="F1390" t="s">
        <v>712</v>
      </c>
      <c r="G1390">
        <v>337000</v>
      </c>
      <c r="H1390">
        <v>341000</v>
      </c>
    </row>
    <row r="1391" spans="2:8" x14ac:dyDescent="0.25">
      <c r="B1391" t="str">
        <f t="shared" si="21"/>
        <v>KHMPopulation ages 55-59, male</v>
      </c>
      <c r="C1391" t="s">
        <v>247</v>
      </c>
      <c r="D1391" t="s">
        <v>72</v>
      </c>
      <c r="E1391" t="s">
        <v>385</v>
      </c>
      <c r="F1391" t="s">
        <v>713</v>
      </c>
      <c r="G1391">
        <v>281000</v>
      </c>
      <c r="H1391">
        <v>298000</v>
      </c>
    </row>
    <row r="1392" spans="2:8" x14ac:dyDescent="0.25">
      <c r="B1392" t="str">
        <f t="shared" si="21"/>
        <v>KHMPopulation ages 55-59, female</v>
      </c>
      <c r="C1392" t="s">
        <v>247</v>
      </c>
      <c r="D1392" t="s">
        <v>72</v>
      </c>
      <c r="E1392" t="s">
        <v>384</v>
      </c>
      <c r="F1392" t="s">
        <v>714</v>
      </c>
      <c r="G1392">
        <v>346000</v>
      </c>
      <c r="H1392">
        <v>356000</v>
      </c>
    </row>
    <row r="1393" spans="2:8" x14ac:dyDescent="0.25">
      <c r="B1393" t="str">
        <f t="shared" si="21"/>
        <v>KHMPopulation ages 65-69, male</v>
      </c>
      <c r="C1393" t="s">
        <v>247</v>
      </c>
      <c r="D1393" t="s">
        <v>72</v>
      </c>
      <c r="E1393" t="s">
        <v>389</v>
      </c>
      <c r="F1393" t="s">
        <v>715</v>
      </c>
      <c r="G1393">
        <v>140000</v>
      </c>
      <c r="H1393">
        <v>144000</v>
      </c>
    </row>
    <row r="1394" spans="2:8" x14ac:dyDescent="0.25">
      <c r="B1394" t="str">
        <f t="shared" si="21"/>
        <v>KHMPopulation ages 65-69, female</v>
      </c>
      <c r="C1394" t="s">
        <v>247</v>
      </c>
      <c r="D1394" t="s">
        <v>72</v>
      </c>
      <c r="E1394" t="s">
        <v>388</v>
      </c>
      <c r="F1394" t="s">
        <v>716</v>
      </c>
      <c r="G1394">
        <v>208000</v>
      </c>
      <c r="H1394">
        <v>219000</v>
      </c>
    </row>
    <row r="1395" spans="2:8" x14ac:dyDescent="0.25">
      <c r="B1395" t="str">
        <f t="shared" si="21"/>
        <v>KHMPopulation ages 60-64, female</v>
      </c>
      <c r="C1395" t="s">
        <v>247</v>
      </c>
      <c r="D1395" t="s">
        <v>72</v>
      </c>
      <c r="E1395" t="s">
        <v>386</v>
      </c>
      <c r="F1395" t="s">
        <v>717</v>
      </c>
      <c r="G1395">
        <v>267000</v>
      </c>
      <c r="H1395">
        <v>277000</v>
      </c>
    </row>
    <row r="1396" spans="2:8" x14ac:dyDescent="0.25">
      <c r="B1396" t="str">
        <f t="shared" si="21"/>
        <v>KHMPopulation ages 60-64, male</v>
      </c>
      <c r="C1396" t="s">
        <v>247</v>
      </c>
      <c r="D1396" t="s">
        <v>72</v>
      </c>
      <c r="E1396" t="s">
        <v>387</v>
      </c>
      <c r="F1396" t="s">
        <v>718</v>
      </c>
      <c r="G1396">
        <v>167000</v>
      </c>
      <c r="H1396">
        <v>177000</v>
      </c>
    </row>
    <row r="1397" spans="2:8" x14ac:dyDescent="0.25">
      <c r="B1397" t="str">
        <f t="shared" si="21"/>
        <v>KHMPopulation ages 70-74, female</v>
      </c>
      <c r="C1397" t="s">
        <v>247</v>
      </c>
      <c r="D1397" t="s">
        <v>72</v>
      </c>
      <c r="E1397" t="s">
        <v>390</v>
      </c>
      <c r="F1397" t="s">
        <v>719</v>
      </c>
      <c r="G1397">
        <v>125000</v>
      </c>
      <c r="H1397">
        <v>133000</v>
      </c>
    </row>
    <row r="1398" spans="2:8" x14ac:dyDescent="0.25">
      <c r="B1398" t="str">
        <f t="shared" si="21"/>
        <v>KHMPopulation ages 70-74, male</v>
      </c>
      <c r="C1398" t="s">
        <v>247</v>
      </c>
      <c r="D1398" t="s">
        <v>72</v>
      </c>
      <c r="E1398" t="s">
        <v>391</v>
      </c>
      <c r="F1398" t="s">
        <v>720</v>
      </c>
      <c r="G1398">
        <v>83000</v>
      </c>
      <c r="H1398">
        <v>88000</v>
      </c>
    </row>
    <row r="1399" spans="2:8" x14ac:dyDescent="0.25">
      <c r="B1399" t="str">
        <f t="shared" si="21"/>
        <v>KHMPopulation ages 75-79, female</v>
      </c>
      <c r="C1399" t="s">
        <v>247</v>
      </c>
      <c r="D1399" t="s">
        <v>72</v>
      </c>
      <c r="E1399" t="s">
        <v>392</v>
      </c>
      <c r="F1399" t="s">
        <v>721</v>
      </c>
      <c r="G1399">
        <v>77000</v>
      </c>
      <c r="H1399">
        <v>80000</v>
      </c>
    </row>
    <row r="1400" spans="2:8" x14ac:dyDescent="0.25">
      <c r="B1400" t="str">
        <f t="shared" si="21"/>
        <v>KHMPopulation ages 75-79, male</v>
      </c>
      <c r="C1400" t="s">
        <v>247</v>
      </c>
      <c r="D1400" t="s">
        <v>72</v>
      </c>
      <c r="E1400" t="s">
        <v>393</v>
      </c>
      <c r="F1400" t="s">
        <v>722</v>
      </c>
      <c r="G1400">
        <v>49000</v>
      </c>
      <c r="H1400">
        <v>51000</v>
      </c>
    </row>
    <row r="1401" spans="2:8" x14ac:dyDescent="0.25">
      <c r="B1401" t="str">
        <f t="shared" si="21"/>
        <v>KHMPopulation ages 80 and above, female</v>
      </c>
      <c r="C1401" t="s">
        <v>247</v>
      </c>
      <c r="D1401" t="s">
        <v>72</v>
      </c>
      <c r="E1401" t="s">
        <v>394</v>
      </c>
      <c r="F1401" t="s">
        <v>723</v>
      </c>
      <c r="G1401">
        <v>59000</v>
      </c>
      <c r="H1401">
        <v>60000</v>
      </c>
    </row>
    <row r="1402" spans="2:8" x14ac:dyDescent="0.25">
      <c r="B1402" t="str">
        <f t="shared" si="21"/>
        <v>KHMPopulation ages 80 and above, male</v>
      </c>
      <c r="C1402" t="s">
        <v>247</v>
      </c>
      <c r="D1402" t="s">
        <v>72</v>
      </c>
      <c r="E1402" t="s">
        <v>395</v>
      </c>
      <c r="F1402" t="s">
        <v>724</v>
      </c>
      <c r="G1402">
        <v>36000</v>
      </c>
      <c r="H1402">
        <v>35000</v>
      </c>
    </row>
    <row r="1403" spans="2:8" x14ac:dyDescent="0.25">
      <c r="B1403" t="str">
        <f t="shared" si="21"/>
        <v>KHMPopulation, male</v>
      </c>
      <c r="C1403" t="s">
        <v>247</v>
      </c>
      <c r="D1403" t="s">
        <v>72</v>
      </c>
      <c r="E1403" t="s">
        <v>397</v>
      </c>
      <c r="F1403" t="s">
        <v>725</v>
      </c>
      <c r="G1403">
        <v>8047000</v>
      </c>
      <c r="H1403">
        <v>8162000</v>
      </c>
    </row>
    <row r="1404" spans="2:8" x14ac:dyDescent="0.25">
      <c r="B1404" t="str">
        <f t="shared" si="21"/>
        <v>KHMPopulation, total</v>
      </c>
      <c r="C1404" t="s">
        <v>247</v>
      </c>
      <c r="D1404" t="s">
        <v>72</v>
      </c>
      <c r="E1404" t="s">
        <v>398</v>
      </c>
      <c r="F1404" t="s">
        <v>726</v>
      </c>
      <c r="G1404">
        <v>16487000</v>
      </c>
      <c r="H1404">
        <v>16719000</v>
      </c>
    </row>
    <row r="1405" spans="2:8" x14ac:dyDescent="0.25">
      <c r="B1405" t="str">
        <f t="shared" si="21"/>
        <v>KHMPopulation, female</v>
      </c>
      <c r="C1405" t="s">
        <v>247</v>
      </c>
      <c r="D1405" t="s">
        <v>72</v>
      </c>
      <c r="E1405" t="s">
        <v>396</v>
      </c>
      <c r="F1405" t="s">
        <v>727</v>
      </c>
      <c r="G1405">
        <v>8439000</v>
      </c>
      <c r="H1405">
        <v>8557000</v>
      </c>
    </row>
    <row r="1406" spans="2:8" x14ac:dyDescent="0.25">
      <c r="B1406" t="str">
        <f t="shared" si="21"/>
        <v>KHMPopulation growth (annual %)</v>
      </c>
      <c r="C1406" t="s">
        <v>247</v>
      </c>
      <c r="D1406" t="s">
        <v>72</v>
      </c>
      <c r="E1406" t="s">
        <v>399</v>
      </c>
      <c r="F1406" t="s">
        <v>728</v>
      </c>
      <c r="G1406">
        <v>0</v>
      </c>
      <c r="H1406">
        <v>0</v>
      </c>
    </row>
    <row r="1407" spans="2:8" x14ac:dyDescent="0.25">
      <c r="B1407" t="str">
        <f t="shared" si="21"/>
        <v>CMRPopulation ages 0-14, female</v>
      </c>
      <c r="C1407" t="s">
        <v>187</v>
      </c>
      <c r="D1407" t="s">
        <v>27</v>
      </c>
      <c r="E1407" t="s">
        <v>687</v>
      </c>
      <c r="F1407" t="s">
        <v>688</v>
      </c>
      <c r="G1407">
        <v>5433000</v>
      </c>
      <c r="H1407">
        <v>5534000</v>
      </c>
    </row>
    <row r="1408" spans="2:8" x14ac:dyDescent="0.25">
      <c r="B1408" t="str">
        <f t="shared" si="21"/>
        <v>CMRPopulation ages 0-14, male</v>
      </c>
      <c r="C1408" t="s">
        <v>187</v>
      </c>
      <c r="D1408" t="s">
        <v>27</v>
      </c>
      <c r="E1408" t="s">
        <v>689</v>
      </c>
      <c r="F1408" t="s">
        <v>690</v>
      </c>
      <c r="G1408">
        <v>5529000</v>
      </c>
      <c r="H1408">
        <v>5632000</v>
      </c>
    </row>
    <row r="1409" spans="2:8" x14ac:dyDescent="0.25">
      <c r="B1409" t="str">
        <f t="shared" si="21"/>
        <v>CMRPopulation ages 00-04, female</v>
      </c>
      <c r="C1409" t="s">
        <v>187</v>
      </c>
      <c r="D1409" t="s">
        <v>27</v>
      </c>
      <c r="E1409" t="s">
        <v>362</v>
      </c>
      <c r="F1409" t="s">
        <v>691</v>
      </c>
      <c r="G1409">
        <v>2009000</v>
      </c>
      <c r="H1409">
        <v>2038000</v>
      </c>
    </row>
    <row r="1410" spans="2:8" x14ac:dyDescent="0.25">
      <c r="B1410" t="str">
        <f t="shared" si="21"/>
        <v>CMRPopulation ages 00-04, male</v>
      </c>
      <c r="C1410" t="s">
        <v>187</v>
      </c>
      <c r="D1410" t="s">
        <v>27</v>
      </c>
      <c r="E1410" t="s">
        <v>363</v>
      </c>
      <c r="F1410" t="s">
        <v>692</v>
      </c>
      <c r="G1410">
        <v>2049000</v>
      </c>
      <c r="H1410">
        <v>2078000</v>
      </c>
    </row>
    <row r="1411" spans="2:8" x14ac:dyDescent="0.25">
      <c r="B1411" t="str">
        <f t="shared" si="21"/>
        <v>CMRPopulation ages 05-09, female</v>
      </c>
      <c r="C1411" t="s">
        <v>187</v>
      </c>
      <c r="D1411" t="s">
        <v>27</v>
      </c>
      <c r="E1411" t="s">
        <v>364</v>
      </c>
      <c r="F1411" t="s">
        <v>693</v>
      </c>
      <c r="G1411">
        <v>1817000</v>
      </c>
      <c r="H1411">
        <v>1848000</v>
      </c>
    </row>
    <row r="1412" spans="2:8" x14ac:dyDescent="0.25">
      <c r="B1412" t="str">
        <f t="shared" si="21"/>
        <v>CMRPopulation ages 05-09, male</v>
      </c>
      <c r="C1412" t="s">
        <v>187</v>
      </c>
      <c r="D1412" t="s">
        <v>27</v>
      </c>
      <c r="E1412" t="s">
        <v>365</v>
      </c>
      <c r="F1412" t="s">
        <v>694</v>
      </c>
      <c r="G1412">
        <v>1850000</v>
      </c>
      <c r="H1412">
        <v>1882000</v>
      </c>
    </row>
    <row r="1413" spans="2:8" x14ac:dyDescent="0.25">
      <c r="B1413" t="str">
        <f t="shared" si="21"/>
        <v>CMRPopulation ages 10-14, female</v>
      </c>
      <c r="C1413" t="s">
        <v>187</v>
      </c>
      <c r="D1413" t="s">
        <v>27</v>
      </c>
      <c r="E1413" t="s">
        <v>366</v>
      </c>
      <c r="F1413" t="s">
        <v>695</v>
      </c>
      <c r="G1413">
        <v>1606000</v>
      </c>
      <c r="H1413">
        <v>1648000</v>
      </c>
    </row>
    <row r="1414" spans="2:8" x14ac:dyDescent="0.25">
      <c r="B1414" t="str">
        <f t="shared" si="21"/>
        <v>CMRPopulation ages 10-14, male</v>
      </c>
      <c r="C1414" t="s">
        <v>187</v>
      </c>
      <c r="D1414" t="s">
        <v>27</v>
      </c>
      <c r="E1414" t="s">
        <v>367</v>
      </c>
      <c r="F1414" t="s">
        <v>696</v>
      </c>
      <c r="G1414">
        <v>1630000</v>
      </c>
      <c r="H1414">
        <v>1673000</v>
      </c>
    </row>
    <row r="1415" spans="2:8" x14ac:dyDescent="0.25">
      <c r="B1415" t="str">
        <f t="shared" ref="B1415:B1478" si="22">CONCATENATE(D1415,E1415)</f>
        <v>CMRPopulation ages 15-19, female</v>
      </c>
      <c r="C1415" t="s">
        <v>187</v>
      </c>
      <c r="D1415" t="s">
        <v>27</v>
      </c>
      <c r="E1415" t="s">
        <v>368</v>
      </c>
      <c r="F1415" t="s">
        <v>697</v>
      </c>
      <c r="G1415">
        <v>1377000</v>
      </c>
      <c r="H1415">
        <v>1420000</v>
      </c>
    </row>
    <row r="1416" spans="2:8" x14ac:dyDescent="0.25">
      <c r="B1416" t="str">
        <f t="shared" si="22"/>
        <v>CMRPopulation ages 15-19, male</v>
      </c>
      <c r="C1416" t="s">
        <v>187</v>
      </c>
      <c r="D1416" t="s">
        <v>27</v>
      </c>
      <c r="E1416" t="s">
        <v>369</v>
      </c>
      <c r="F1416" t="s">
        <v>698</v>
      </c>
      <c r="G1416">
        <v>1392000</v>
      </c>
      <c r="H1416">
        <v>1436000</v>
      </c>
    </row>
    <row r="1417" spans="2:8" x14ac:dyDescent="0.25">
      <c r="B1417" t="str">
        <f t="shared" si="22"/>
        <v>CMRPopulation ages 20-24, female</v>
      </c>
      <c r="C1417" t="s">
        <v>187</v>
      </c>
      <c r="D1417" t="s">
        <v>27</v>
      </c>
      <c r="E1417" t="s">
        <v>370</v>
      </c>
      <c r="F1417" t="s">
        <v>699</v>
      </c>
      <c r="G1417">
        <v>1176000</v>
      </c>
      <c r="H1417">
        <v>1206000</v>
      </c>
    </row>
    <row r="1418" spans="2:8" x14ac:dyDescent="0.25">
      <c r="B1418" t="str">
        <f t="shared" si="22"/>
        <v>CMRPopulation ages 20-24, male</v>
      </c>
      <c r="C1418" t="s">
        <v>187</v>
      </c>
      <c r="D1418" t="s">
        <v>27</v>
      </c>
      <c r="E1418" t="s">
        <v>371</v>
      </c>
      <c r="F1418" t="s">
        <v>700</v>
      </c>
      <c r="G1418">
        <v>1184000</v>
      </c>
      <c r="H1418">
        <v>1214000</v>
      </c>
    </row>
    <row r="1419" spans="2:8" x14ac:dyDescent="0.25">
      <c r="B1419" t="str">
        <f t="shared" si="22"/>
        <v>CMRPopulation ages 25-29, female</v>
      </c>
      <c r="C1419" t="s">
        <v>187</v>
      </c>
      <c r="D1419" t="s">
        <v>27</v>
      </c>
      <c r="E1419" t="s">
        <v>372</v>
      </c>
      <c r="F1419" t="s">
        <v>701</v>
      </c>
      <c r="G1419">
        <v>1044000</v>
      </c>
      <c r="H1419">
        <v>1065000</v>
      </c>
    </row>
    <row r="1420" spans="2:8" x14ac:dyDescent="0.25">
      <c r="B1420" t="str">
        <f t="shared" si="22"/>
        <v>CMRPopulation ages 25-29, male</v>
      </c>
      <c r="C1420" t="s">
        <v>187</v>
      </c>
      <c r="D1420" t="s">
        <v>27</v>
      </c>
      <c r="E1420" t="s">
        <v>373</v>
      </c>
      <c r="F1420" t="s">
        <v>702</v>
      </c>
      <c r="G1420">
        <v>1046000</v>
      </c>
      <c r="H1420">
        <v>1067000</v>
      </c>
    </row>
    <row r="1421" spans="2:8" x14ac:dyDescent="0.25">
      <c r="B1421" t="str">
        <f t="shared" si="22"/>
        <v>CMRPopulation ages 30-34, female</v>
      </c>
      <c r="C1421" t="s">
        <v>187</v>
      </c>
      <c r="D1421" t="s">
        <v>27</v>
      </c>
      <c r="E1421" t="s">
        <v>374</v>
      </c>
      <c r="F1421" t="s">
        <v>703</v>
      </c>
      <c r="G1421">
        <v>905000</v>
      </c>
      <c r="H1421">
        <v>930000</v>
      </c>
    </row>
    <row r="1422" spans="2:8" x14ac:dyDescent="0.25">
      <c r="B1422" t="str">
        <f t="shared" si="22"/>
        <v>CMRPopulation ages 30-34, male</v>
      </c>
      <c r="C1422" t="s">
        <v>187</v>
      </c>
      <c r="D1422" t="s">
        <v>27</v>
      </c>
      <c r="E1422" t="s">
        <v>375</v>
      </c>
      <c r="F1422" t="s">
        <v>704</v>
      </c>
      <c r="G1422">
        <v>906000</v>
      </c>
      <c r="H1422">
        <v>931000</v>
      </c>
    </row>
    <row r="1423" spans="2:8" x14ac:dyDescent="0.25">
      <c r="B1423" t="str">
        <f t="shared" si="22"/>
        <v>CMRPopulation ages 35-39, female</v>
      </c>
      <c r="C1423" t="s">
        <v>187</v>
      </c>
      <c r="D1423" t="s">
        <v>27</v>
      </c>
      <c r="E1423" t="s">
        <v>376</v>
      </c>
      <c r="F1423" t="s">
        <v>705</v>
      </c>
      <c r="G1423">
        <v>739000</v>
      </c>
      <c r="H1423">
        <v>769000</v>
      </c>
    </row>
    <row r="1424" spans="2:8" x14ac:dyDescent="0.25">
      <c r="B1424" t="str">
        <f t="shared" si="22"/>
        <v>CMRPopulation ages 35-39, male</v>
      </c>
      <c r="C1424" t="s">
        <v>187</v>
      </c>
      <c r="D1424" t="s">
        <v>27</v>
      </c>
      <c r="E1424" t="s">
        <v>377</v>
      </c>
      <c r="F1424" t="s">
        <v>706</v>
      </c>
      <c r="G1424">
        <v>741000</v>
      </c>
      <c r="H1424">
        <v>770000</v>
      </c>
    </row>
    <row r="1425" spans="2:8" x14ac:dyDescent="0.25">
      <c r="B1425" t="str">
        <f t="shared" si="22"/>
        <v>CMRPopulation ages 40-44, female</v>
      </c>
      <c r="C1425" t="s">
        <v>187</v>
      </c>
      <c r="D1425" t="s">
        <v>27</v>
      </c>
      <c r="E1425" t="s">
        <v>378</v>
      </c>
      <c r="F1425" t="s">
        <v>707</v>
      </c>
      <c r="G1425">
        <v>576000</v>
      </c>
      <c r="H1425">
        <v>601000</v>
      </c>
    </row>
    <row r="1426" spans="2:8" x14ac:dyDescent="0.25">
      <c r="B1426" t="str">
        <f t="shared" si="22"/>
        <v>CMRPopulation ages 40-44, male</v>
      </c>
      <c r="C1426" t="s">
        <v>187</v>
      </c>
      <c r="D1426" t="s">
        <v>27</v>
      </c>
      <c r="E1426" t="s">
        <v>379</v>
      </c>
      <c r="F1426" t="s">
        <v>708</v>
      </c>
      <c r="G1426">
        <v>577000</v>
      </c>
      <c r="H1426">
        <v>602000</v>
      </c>
    </row>
    <row r="1427" spans="2:8" x14ac:dyDescent="0.25">
      <c r="B1427" t="str">
        <f t="shared" si="22"/>
        <v>CMRPopulation ages 45-49, female</v>
      </c>
      <c r="C1427" t="s">
        <v>187</v>
      </c>
      <c r="D1427" t="s">
        <v>27</v>
      </c>
      <c r="E1427" t="s">
        <v>380</v>
      </c>
      <c r="F1427" t="s">
        <v>709</v>
      </c>
      <c r="G1427">
        <v>452000</v>
      </c>
      <c r="H1427">
        <v>470000</v>
      </c>
    </row>
    <row r="1428" spans="2:8" x14ac:dyDescent="0.25">
      <c r="B1428" t="str">
        <f t="shared" si="22"/>
        <v>CMRPopulation ages 45-49, male</v>
      </c>
      <c r="C1428" t="s">
        <v>187</v>
      </c>
      <c r="D1428" t="s">
        <v>27</v>
      </c>
      <c r="E1428" t="s">
        <v>381</v>
      </c>
      <c r="F1428" t="s">
        <v>710</v>
      </c>
      <c r="G1428">
        <v>449000</v>
      </c>
      <c r="H1428">
        <v>468000</v>
      </c>
    </row>
    <row r="1429" spans="2:8" x14ac:dyDescent="0.25">
      <c r="B1429" t="str">
        <f t="shared" si="22"/>
        <v>CMRPopulation ages 50-54, female</v>
      </c>
      <c r="C1429" t="s">
        <v>187</v>
      </c>
      <c r="D1429" t="s">
        <v>27</v>
      </c>
      <c r="E1429" t="s">
        <v>382</v>
      </c>
      <c r="F1429" t="s">
        <v>711</v>
      </c>
      <c r="G1429">
        <v>355000</v>
      </c>
      <c r="H1429">
        <v>368000</v>
      </c>
    </row>
    <row r="1430" spans="2:8" x14ac:dyDescent="0.25">
      <c r="B1430" t="str">
        <f t="shared" si="22"/>
        <v>CMRPopulation ages 50-54, male</v>
      </c>
      <c r="C1430" t="s">
        <v>187</v>
      </c>
      <c r="D1430" t="s">
        <v>27</v>
      </c>
      <c r="E1430" t="s">
        <v>383</v>
      </c>
      <c r="F1430" t="s">
        <v>712</v>
      </c>
      <c r="G1430">
        <v>347000</v>
      </c>
      <c r="H1430">
        <v>361000</v>
      </c>
    </row>
    <row r="1431" spans="2:8" x14ac:dyDescent="0.25">
      <c r="B1431" t="str">
        <f t="shared" si="22"/>
        <v>CMRPopulation ages 55-59, male</v>
      </c>
      <c r="C1431" t="s">
        <v>187</v>
      </c>
      <c r="D1431" t="s">
        <v>27</v>
      </c>
      <c r="E1431" t="s">
        <v>385</v>
      </c>
      <c r="F1431" t="s">
        <v>713</v>
      </c>
      <c r="G1431">
        <v>262000</v>
      </c>
      <c r="H1431">
        <v>273000</v>
      </c>
    </row>
    <row r="1432" spans="2:8" x14ac:dyDescent="0.25">
      <c r="B1432" t="str">
        <f t="shared" si="22"/>
        <v>CMRPopulation ages 55-59, female</v>
      </c>
      <c r="C1432" t="s">
        <v>187</v>
      </c>
      <c r="D1432" t="s">
        <v>27</v>
      </c>
      <c r="E1432" t="s">
        <v>384</v>
      </c>
      <c r="F1432" t="s">
        <v>714</v>
      </c>
      <c r="G1432">
        <v>276000</v>
      </c>
      <c r="H1432">
        <v>287000</v>
      </c>
    </row>
    <row r="1433" spans="2:8" x14ac:dyDescent="0.25">
      <c r="B1433" t="str">
        <f t="shared" si="22"/>
        <v>CMRPopulation ages 65-69, male</v>
      </c>
      <c r="C1433" t="s">
        <v>187</v>
      </c>
      <c r="D1433" t="s">
        <v>27</v>
      </c>
      <c r="E1433" t="s">
        <v>389</v>
      </c>
      <c r="F1433" t="s">
        <v>715</v>
      </c>
      <c r="G1433">
        <v>141000</v>
      </c>
      <c r="H1433">
        <v>145000</v>
      </c>
    </row>
    <row r="1434" spans="2:8" x14ac:dyDescent="0.25">
      <c r="B1434" t="str">
        <f t="shared" si="22"/>
        <v>CMRPopulation ages 65-69, female</v>
      </c>
      <c r="C1434" t="s">
        <v>187</v>
      </c>
      <c r="D1434" t="s">
        <v>27</v>
      </c>
      <c r="E1434" t="s">
        <v>388</v>
      </c>
      <c r="F1434" t="s">
        <v>716</v>
      </c>
      <c r="G1434">
        <v>163000</v>
      </c>
      <c r="H1434">
        <v>168000</v>
      </c>
    </row>
    <row r="1435" spans="2:8" x14ac:dyDescent="0.25">
      <c r="B1435" t="str">
        <f t="shared" si="22"/>
        <v>CMRPopulation ages 60-64, female</v>
      </c>
      <c r="C1435" t="s">
        <v>187</v>
      </c>
      <c r="D1435" t="s">
        <v>27</v>
      </c>
      <c r="E1435" t="s">
        <v>386</v>
      </c>
      <c r="F1435" t="s">
        <v>717</v>
      </c>
      <c r="G1435">
        <v>213000</v>
      </c>
      <c r="H1435">
        <v>220000</v>
      </c>
    </row>
    <row r="1436" spans="2:8" x14ac:dyDescent="0.25">
      <c r="B1436" t="str">
        <f t="shared" si="22"/>
        <v>CMRPopulation ages 60-64, male</v>
      </c>
      <c r="C1436" t="s">
        <v>187</v>
      </c>
      <c r="D1436" t="s">
        <v>27</v>
      </c>
      <c r="E1436" t="s">
        <v>387</v>
      </c>
      <c r="F1436" t="s">
        <v>718</v>
      </c>
      <c r="G1436">
        <v>194000</v>
      </c>
      <c r="H1436">
        <v>201000</v>
      </c>
    </row>
    <row r="1437" spans="2:8" x14ac:dyDescent="0.25">
      <c r="B1437" t="str">
        <f t="shared" si="22"/>
        <v>CMRPopulation ages 70-74, female</v>
      </c>
      <c r="C1437" t="s">
        <v>187</v>
      </c>
      <c r="D1437" t="s">
        <v>27</v>
      </c>
      <c r="E1437" t="s">
        <v>390</v>
      </c>
      <c r="F1437" t="s">
        <v>719</v>
      </c>
      <c r="G1437">
        <v>113000</v>
      </c>
      <c r="H1437">
        <v>116000</v>
      </c>
    </row>
    <row r="1438" spans="2:8" x14ac:dyDescent="0.25">
      <c r="B1438" t="str">
        <f t="shared" si="22"/>
        <v>CMRPopulation ages 70-74, male</v>
      </c>
      <c r="C1438" t="s">
        <v>187</v>
      </c>
      <c r="D1438" t="s">
        <v>27</v>
      </c>
      <c r="E1438" t="s">
        <v>391</v>
      </c>
      <c r="F1438" t="s">
        <v>720</v>
      </c>
      <c r="G1438">
        <v>91000</v>
      </c>
      <c r="H1438">
        <v>94000</v>
      </c>
    </row>
    <row r="1439" spans="2:8" x14ac:dyDescent="0.25">
      <c r="B1439" t="str">
        <f t="shared" si="22"/>
        <v>CMRPopulation ages 75-79, female</v>
      </c>
      <c r="C1439" t="s">
        <v>187</v>
      </c>
      <c r="D1439" t="s">
        <v>27</v>
      </c>
      <c r="E1439" t="s">
        <v>392</v>
      </c>
      <c r="F1439" t="s">
        <v>721</v>
      </c>
      <c r="G1439">
        <v>69000</v>
      </c>
      <c r="H1439">
        <v>70000</v>
      </c>
    </row>
    <row r="1440" spans="2:8" x14ac:dyDescent="0.25">
      <c r="B1440" t="str">
        <f t="shared" si="22"/>
        <v>CMRPopulation ages 75-79, male</v>
      </c>
      <c r="C1440" t="s">
        <v>187</v>
      </c>
      <c r="D1440" t="s">
        <v>27</v>
      </c>
      <c r="E1440" t="s">
        <v>393</v>
      </c>
      <c r="F1440" t="s">
        <v>722</v>
      </c>
      <c r="G1440">
        <v>52000</v>
      </c>
      <c r="H1440">
        <v>53000</v>
      </c>
    </row>
    <row r="1441" spans="2:8" x14ac:dyDescent="0.25">
      <c r="B1441" t="str">
        <f t="shared" si="22"/>
        <v>CMRPopulation ages 80 and above, female</v>
      </c>
      <c r="C1441" t="s">
        <v>187</v>
      </c>
      <c r="D1441" t="s">
        <v>27</v>
      </c>
      <c r="E1441" t="s">
        <v>394</v>
      </c>
      <c r="F1441" t="s">
        <v>723</v>
      </c>
      <c r="G1441">
        <v>47000</v>
      </c>
      <c r="H1441">
        <v>45000</v>
      </c>
    </row>
    <row r="1442" spans="2:8" x14ac:dyDescent="0.25">
      <c r="B1442" t="str">
        <f t="shared" si="22"/>
        <v>CMRPopulation ages 80 and above, male</v>
      </c>
      <c r="C1442" t="s">
        <v>187</v>
      </c>
      <c r="D1442" t="s">
        <v>27</v>
      </c>
      <c r="E1442" t="s">
        <v>395</v>
      </c>
      <c r="F1442" t="s">
        <v>724</v>
      </c>
      <c r="G1442">
        <v>31000</v>
      </c>
      <c r="H1442">
        <v>30000</v>
      </c>
    </row>
    <row r="1443" spans="2:8" x14ac:dyDescent="0.25">
      <c r="B1443" t="str">
        <f t="shared" si="22"/>
        <v>CMRPopulation, male</v>
      </c>
      <c r="C1443" t="s">
        <v>187</v>
      </c>
      <c r="D1443" t="s">
        <v>27</v>
      </c>
      <c r="E1443" t="s">
        <v>397</v>
      </c>
      <c r="F1443" t="s">
        <v>725</v>
      </c>
      <c r="G1443">
        <v>12940000</v>
      </c>
      <c r="H1443">
        <v>13277000</v>
      </c>
    </row>
    <row r="1444" spans="2:8" x14ac:dyDescent="0.25">
      <c r="B1444" t="str">
        <f t="shared" si="22"/>
        <v>CMRPopulation, total</v>
      </c>
      <c r="C1444" t="s">
        <v>187</v>
      </c>
      <c r="D1444" t="s">
        <v>27</v>
      </c>
      <c r="E1444" t="s">
        <v>398</v>
      </c>
      <c r="F1444" t="s">
        <v>726</v>
      </c>
      <c r="G1444">
        <v>25876000</v>
      </c>
      <c r="H1444">
        <v>26546000</v>
      </c>
    </row>
    <row r="1445" spans="2:8" x14ac:dyDescent="0.25">
      <c r="B1445" t="str">
        <f t="shared" si="22"/>
        <v>CMRPopulation, female</v>
      </c>
      <c r="C1445" t="s">
        <v>187</v>
      </c>
      <c r="D1445" t="s">
        <v>27</v>
      </c>
      <c r="E1445" t="s">
        <v>396</v>
      </c>
      <c r="F1445" t="s">
        <v>727</v>
      </c>
      <c r="G1445">
        <v>12936000</v>
      </c>
      <c r="H1445">
        <v>13269000</v>
      </c>
    </row>
    <row r="1446" spans="2:8" x14ac:dyDescent="0.25">
      <c r="B1446" t="str">
        <f t="shared" si="22"/>
        <v>CMRPopulation growth (annual %)</v>
      </c>
      <c r="C1446" t="s">
        <v>187</v>
      </c>
      <c r="D1446" t="s">
        <v>27</v>
      </c>
      <c r="E1446" t="s">
        <v>399</v>
      </c>
      <c r="F1446" t="s">
        <v>728</v>
      </c>
      <c r="G1446">
        <v>0</v>
      </c>
      <c r="H1446">
        <v>0</v>
      </c>
    </row>
    <row r="1447" spans="2:8" x14ac:dyDescent="0.25">
      <c r="B1447" t="str">
        <f t="shared" si="22"/>
        <v>CANPopulation ages 0-14, female</v>
      </c>
      <c r="C1447" t="s">
        <v>449</v>
      </c>
      <c r="D1447" t="s">
        <v>159</v>
      </c>
      <c r="E1447" t="s">
        <v>687</v>
      </c>
      <c r="F1447" t="s">
        <v>688</v>
      </c>
      <c r="G1447">
        <v>2892000</v>
      </c>
      <c r="H1447">
        <v>2903000</v>
      </c>
    </row>
    <row r="1448" spans="2:8" x14ac:dyDescent="0.25">
      <c r="B1448" t="str">
        <f t="shared" si="22"/>
        <v>CANPopulation ages 0-14, male</v>
      </c>
      <c r="C1448" t="s">
        <v>449</v>
      </c>
      <c r="D1448" t="s">
        <v>159</v>
      </c>
      <c r="E1448" t="s">
        <v>689</v>
      </c>
      <c r="F1448" t="s">
        <v>690</v>
      </c>
      <c r="G1448">
        <v>3031000</v>
      </c>
      <c r="H1448">
        <v>3042000</v>
      </c>
    </row>
    <row r="1449" spans="2:8" x14ac:dyDescent="0.25">
      <c r="B1449" t="str">
        <f t="shared" si="22"/>
        <v>CANPopulation ages 00-04, female</v>
      </c>
      <c r="C1449" t="s">
        <v>449</v>
      </c>
      <c r="D1449" t="s">
        <v>159</v>
      </c>
      <c r="E1449" t="s">
        <v>362</v>
      </c>
      <c r="F1449" t="s">
        <v>691</v>
      </c>
      <c r="G1449">
        <v>965000</v>
      </c>
      <c r="H1449">
        <v>971000</v>
      </c>
    </row>
    <row r="1450" spans="2:8" x14ac:dyDescent="0.25">
      <c r="B1450" t="str">
        <f t="shared" si="22"/>
        <v>CANPopulation ages 00-04, male</v>
      </c>
      <c r="C1450" t="s">
        <v>449</v>
      </c>
      <c r="D1450" t="s">
        <v>159</v>
      </c>
      <c r="E1450" t="s">
        <v>363</v>
      </c>
      <c r="F1450" t="s">
        <v>692</v>
      </c>
      <c r="G1450">
        <v>1013000</v>
      </c>
      <c r="H1450">
        <v>1019000</v>
      </c>
    </row>
    <row r="1451" spans="2:8" x14ac:dyDescent="0.25">
      <c r="B1451" t="str">
        <f t="shared" si="22"/>
        <v>CANPopulation ages 05-09, female</v>
      </c>
      <c r="C1451" t="s">
        <v>449</v>
      </c>
      <c r="D1451" t="s">
        <v>159</v>
      </c>
      <c r="E1451" t="s">
        <v>364</v>
      </c>
      <c r="F1451" t="s">
        <v>693</v>
      </c>
      <c r="G1451">
        <v>967000</v>
      </c>
      <c r="H1451">
        <v>965000</v>
      </c>
    </row>
    <row r="1452" spans="2:8" x14ac:dyDescent="0.25">
      <c r="B1452" t="str">
        <f t="shared" si="22"/>
        <v>CANPopulation ages 05-09, male</v>
      </c>
      <c r="C1452" t="s">
        <v>449</v>
      </c>
      <c r="D1452" t="s">
        <v>159</v>
      </c>
      <c r="E1452" t="s">
        <v>365</v>
      </c>
      <c r="F1452" t="s">
        <v>694</v>
      </c>
      <c r="G1452">
        <v>1012000</v>
      </c>
      <c r="H1452">
        <v>1010000</v>
      </c>
    </row>
    <row r="1453" spans="2:8" x14ac:dyDescent="0.25">
      <c r="B1453" t="str">
        <f t="shared" si="22"/>
        <v>CANPopulation ages 10-14, female</v>
      </c>
      <c r="C1453" t="s">
        <v>449</v>
      </c>
      <c r="D1453" t="s">
        <v>159</v>
      </c>
      <c r="E1453" t="s">
        <v>366</v>
      </c>
      <c r="F1453" t="s">
        <v>695</v>
      </c>
      <c r="G1453">
        <v>960000</v>
      </c>
      <c r="H1453">
        <v>967000</v>
      </c>
    </row>
    <row r="1454" spans="2:8" x14ac:dyDescent="0.25">
      <c r="B1454" t="str">
        <f t="shared" si="22"/>
        <v>CANPopulation ages 10-14, male</v>
      </c>
      <c r="C1454" t="s">
        <v>449</v>
      </c>
      <c r="D1454" t="s">
        <v>159</v>
      </c>
      <c r="E1454" t="s">
        <v>367</v>
      </c>
      <c r="F1454" t="s">
        <v>696</v>
      </c>
      <c r="G1454">
        <v>1006000</v>
      </c>
      <c r="H1454">
        <v>1013000</v>
      </c>
    </row>
    <row r="1455" spans="2:8" x14ac:dyDescent="0.25">
      <c r="B1455" t="str">
        <f t="shared" si="22"/>
        <v>CANPopulation ages 15-19, female</v>
      </c>
      <c r="C1455" t="s">
        <v>449</v>
      </c>
      <c r="D1455" t="s">
        <v>159</v>
      </c>
      <c r="E1455" t="s">
        <v>368</v>
      </c>
      <c r="F1455" t="s">
        <v>697</v>
      </c>
      <c r="G1455">
        <v>978000</v>
      </c>
      <c r="H1455">
        <v>970000</v>
      </c>
    </row>
    <row r="1456" spans="2:8" x14ac:dyDescent="0.25">
      <c r="B1456" t="str">
        <f t="shared" si="22"/>
        <v>CANPopulation ages 15-19, male</v>
      </c>
      <c r="C1456" t="s">
        <v>449</v>
      </c>
      <c r="D1456" t="s">
        <v>159</v>
      </c>
      <c r="E1456" t="s">
        <v>369</v>
      </c>
      <c r="F1456" t="s">
        <v>698</v>
      </c>
      <c r="G1456">
        <v>1026000</v>
      </c>
      <c r="H1456">
        <v>1016000</v>
      </c>
    </row>
    <row r="1457" spans="2:8" x14ac:dyDescent="0.25">
      <c r="B1457" t="str">
        <f t="shared" si="22"/>
        <v>CANPopulation ages 20-24, female</v>
      </c>
      <c r="C1457" t="s">
        <v>449</v>
      </c>
      <c r="D1457" t="s">
        <v>159</v>
      </c>
      <c r="E1457" t="s">
        <v>370</v>
      </c>
      <c r="F1457" t="s">
        <v>699</v>
      </c>
      <c r="G1457">
        <v>1175000</v>
      </c>
      <c r="H1457">
        <v>1153000</v>
      </c>
    </row>
    <row r="1458" spans="2:8" x14ac:dyDescent="0.25">
      <c r="B1458" t="str">
        <f t="shared" si="22"/>
        <v>CANPopulation ages 20-24, male</v>
      </c>
      <c r="C1458" t="s">
        <v>449</v>
      </c>
      <c r="D1458" t="s">
        <v>159</v>
      </c>
      <c r="E1458" t="s">
        <v>371</v>
      </c>
      <c r="F1458" t="s">
        <v>700</v>
      </c>
      <c r="G1458">
        <v>1230000</v>
      </c>
      <c r="H1458">
        <v>1206000</v>
      </c>
    </row>
    <row r="1459" spans="2:8" x14ac:dyDescent="0.25">
      <c r="B1459" t="str">
        <f t="shared" si="22"/>
        <v>CANPopulation ages 25-29, female</v>
      </c>
      <c r="C1459" t="s">
        <v>449</v>
      </c>
      <c r="D1459" t="s">
        <v>159</v>
      </c>
      <c r="E1459" t="s">
        <v>372</v>
      </c>
      <c r="F1459" t="s">
        <v>701</v>
      </c>
      <c r="G1459">
        <v>1330000</v>
      </c>
      <c r="H1459">
        <v>1342000</v>
      </c>
    </row>
    <row r="1460" spans="2:8" x14ac:dyDescent="0.25">
      <c r="B1460" t="str">
        <f t="shared" si="22"/>
        <v>CANPopulation ages 25-29, male</v>
      </c>
      <c r="C1460" t="s">
        <v>449</v>
      </c>
      <c r="D1460" t="s">
        <v>159</v>
      </c>
      <c r="E1460" t="s">
        <v>373</v>
      </c>
      <c r="F1460" t="s">
        <v>702</v>
      </c>
      <c r="G1460">
        <v>1370000</v>
      </c>
      <c r="H1460">
        <v>1387000</v>
      </c>
    </row>
    <row r="1461" spans="2:8" x14ac:dyDescent="0.25">
      <c r="B1461" t="str">
        <f t="shared" si="22"/>
        <v>CANPopulation ages 30-34, female</v>
      </c>
      <c r="C1461" t="s">
        <v>449</v>
      </c>
      <c r="D1461" t="s">
        <v>159</v>
      </c>
      <c r="E1461" t="s">
        <v>374</v>
      </c>
      <c r="F1461" t="s">
        <v>703</v>
      </c>
      <c r="G1461">
        <v>1295000</v>
      </c>
      <c r="H1461">
        <v>1308000</v>
      </c>
    </row>
    <row r="1462" spans="2:8" x14ac:dyDescent="0.25">
      <c r="B1462" t="str">
        <f t="shared" si="22"/>
        <v>CANPopulation ages 30-34, male</v>
      </c>
      <c r="C1462" t="s">
        <v>449</v>
      </c>
      <c r="D1462" t="s">
        <v>159</v>
      </c>
      <c r="E1462" t="s">
        <v>375</v>
      </c>
      <c r="F1462" t="s">
        <v>704</v>
      </c>
      <c r="G1462">
        <v>1295000</v>
      </c>
      <c r="H1462">
        <v>1314000</v>
      </c>
    </row>
    <row r="1463" spans="2:8" x14ac:dyDescent="0.25">
      <c r="B1463" t="str">
        <f t="shared" si="22"/>
        <v>CANPopulation ages 35-39, female</v>
      </c>
      <c r="C1463" t="s">
        <v>449</v>
      </c>
      <c r="D1463" t="s">
        <v>159</v>
      </c>
      <c r="E1463" t="s">
        <v>376</v>
      </c>
      <c r="F1463" t="s">
        <v>705</v>
      </c>
      <c r="G1463">
        <v>1310000</v>
      </c>
      <c r="H1463">
        <v>1328000</v>
      </c>
    </row>
    <row r="1464" spans="2:8" x14ac:dyDescent="0.25">
      <c r="B1464" t="str">
        <f t="shared" si="22"/>
        <v>CANPopulation ages 35-39, male</v>
      </c>
      <c r="C1464" t="s">
        <v>449</v>
      </c>
      <c r="D1464" t="s">
        <v>159</v>
      </c>
      <c r="E1464" t="s">
        <v>377</v>
      </c>
      <c r="F1464" t="s">
        <v>706</v>
      </c>
      <c r="G1464">
        <v>1299000</v>
      </c>
      <c r="H1464">
        <v>1320000</v>
      </c>
    </row>
    <row r="1465" spans="2:8" x14ac:dyDescent="0.25">
      <c r="B1465" t="str">
        <f t="shared" si="22"/>
        <v>CANPopulation ages 40-44, female</v>
      </c>
      <c r="C1465" t="s">
        <v>449</v>
      </c>
      <c r="D1465" t="s">
        <v>159</v>
      </c>
      <c r="E1465" t="s">
        <v>378</v>
      </c>
      <c r="F1465" t="s">
        <v>707</v>
      </c>
      <c r="G1465">
        <v>1218000</v>
      </c>
      <c r="H1465">
        <v>1237000</v>
      </c>
    </row>
    <row r="1466" spans="2:8" x14ac:dyDescent="0.25">
      <c r="B1466" t="str">
        <f t="shared" si="22"/>
        <v>CANPopulation ages 40-44, male</v>
      </c>
      <c r="C1466" t="s">
        <v>449</v>
      </c>
      <c r="D1466" t="s">
        <v>159</v>
      </c>
      <c r="E1466" t="s">
        <v>379</v>
      </c>
      <c r="F1466" t="s">
        <v>708</v>
      </c>
      <c r="G1466">
        <v>1204000</v>
      </c>
      <c r="H1466">
        <v>1222000</v>
      </c>
    </row>
    <row r="1467" spans="2:8" x14ac:dyDescent="0.25">
      <c r="B1467" t="str">
        <f t="shared" si="22"/>
        <v>CANPopulation ages 45-49, female</v>
      </c>
      <c r="C1467" t="s">
        <v>449</v>
      </c>
      <c r="D1467" t="s">
        <v>159</v>
      </c>
      <c r="E1467" t="s">
        <v>380</v>
      </c>
      <c r="F1467" t="s">
        <v>709</v>
      </c>
      <c r="G1467">
        <v>1186000</v>
      </c>
      <c r="H1467">
        <v>1192000</v>
      </c>
    </row>
    <row r="1468" spans="2:8" x14ac:dyDescent="0.25">
      <c r="B1468" t="str">
        <f t="shared" si="22"/>
        <v>CANPopulation ages 45-49, male</v>
      </c>
      <c r="C1468" t="s">
        <v>449</v>
      </c>
      <c r="D1468" t="s">
        <v>159</v>
      </c>
      <c r="E1468" t="s">
        <v>381</v>
      </c>
      <c r="F1468" t="s">
        <v>710</v>
      </c>
      <c r="G1468">
        <v>1185000</v>
      </c>
      <c r="H1468">
        <v>1188000</v>
      </c>
    </row>
    <row r="1469" spans="2:8" x14ac:dyDescent="0.25">
      <c r="B1469" t="str">
        <f t="shared" si="22"/>
        <v>CANPopulation ages 50-54, female</v>
      </c>
      <c r="C1469" t="s">
        <v>449</v>
      </c>
      <c r="D1469" t="s">
        <v>159</v>
      </c>
      <c r="E1469" t="s">
        <v>382</v>
      </c>
      <c r="F1469" t="s">
        <v>711</v>
      </c>
      <c r="G1469">
        <v>1236000</v>
      </c>
      <c r="H1469">
        <v>1206000</v>
      </c>
    </row>
    <row r="1470" spans="2:8" x14ac:dyDescent="0.25">
      <c r="B1470" t="str">
        <f t="shared" si="22"/>
        <v>CANPopulation ages 50-54, male</v>
      </c>
      <c r="C1470" t="s">
        <v>449</v>
      </c>
      <c r="D1470" t="s">
        <v>159</v>
      </c>
      <c r="E1470" t="s">
        <v>383</v>
      </c>
      <c r="F1470" t="s">
        <v>712</v>
      </c>
      <c r="G1470">
        <v>1246000</v>
      </c>
      <c r="H1470">
        <v>1214000</v>
      </c>
    </row>
    <row r="1471" spans="2:8" x14ac:dyDescent="0.25">
      <c r="B1471" t="str">
        <f t="shared" si="22"/>
        <v>CANPopulation ages 55-59, male</v>
      </c>
      <c r="C1471" t="s">
        <v>449</v>
      </c>
      <c r="D1471" t="s">
        <v>159</v>
      </c>
      <c r="E1471" t="s">
        <v>385</v>
      </c>
      <c r="F1471" t="s">
        <v>713</v>
      </c>
      <c r="G1471">
        <v>1388000</v>
      </c>
      <c r="H1471">
        <v>1379000</v>
      </c>
    </row>
    <row r="1472" spans="2:8" x14ac:dyDescent="0.25">
      <c r="B1472" t="str">
        <f t="shared" si="22"/>
        <v>CANPopulation ages 55-59, female</v>
      </c>
      <c r="C1472" t="s">
        <v>449</v>
      </c>
      <c r="D1472" t="s">
        <v>159</v>
      </c>
      <c r="E1472" t="s">
        <v>384</v>
      </c>
      <c r="F1472" t="s">
        <v>714</v>
      </c>
      <c r="G1472">
        <v>1385000</v>
      </c>
      <c r="H1472">
        <v>1376000</v>
      </c>
    </row>
    <row r="1473" spans="2:8" x14ac:dyDescent="0.25">
      <c r="B1473" t="str">
        <f t="shared" si="22"/>
        <v>CANPopulation ages 65-69, male</v>
      </c>
      <c r="C1473" t="s">
        <v>449</v>
      </c>
      <c r="D1473" t="s">
        <v>159</v>
      </c>
      <c r="E1473" t="s">
        <v>389</v>
      </c>
      <c r="F1473" t="s">
        <v>715</v>
      </c>
      <c r="G1473">
        <v>1020000</v>
      </c>
      <c r="H1473">
        <v>1046000</v>
      </c>
    </row>
    <row r="1474" spans="2:8" x14ac:dyDescent="0.25">
      <c r="B1474" t="str">
        <f t="shared" si="22"/>
        <v>CANPopulation ages 65-69, female</v>
      </c>
      <c r="C1474" t="s">
        <v>449</v>
      </c>
      <c r="D1474" t="s">
        <v>159</v>
      </c>
      <c r="E1474" t="s">
        <v>388</v>
      </c>
      <c r="F1474" t="s">
        <v>716</v>
      </c>
      <c r="G1474">
        <v>1075000</v>
      </c>
      <c r="H1474">
        <v>1101000</v>
      </c>
    </row>
    <row r="1475" spans="2:8" x14ac:dyDescent="0.25">
      <c r="B1475" t="str">
        <f t="shared" si="22"/>
        <v>CANPopulation ages 60-64, female</v>
      </c>
      <c r="C1475" t="s">
        <v>449</v>
      </c>
      <c r="D1475" t="s">
        <v>159</v>
      </c>
      <c r="E1475" t="s">
        <v>386</v>
      </c>
      <c r="F1475" t="s">
        <v>717</v>
      </c>
      <c r="G1475">
        <v>1258000</v>
      </c>
      <c r="H1475">
        <v>1285000</v>
      </c>
    </row>
    <row r="1476" spans="2:8" x14ac:dyDescent="0.25">
      <c r="B1476" t="str">
        <f t="shared" si="22"/>
        <v>CANPopulation ages 60-64, male</v>
      </c>
      <c r="C1476" t="s">
        <v>449</v>
      </c>
      <c r="D1476" t="s">
        <v>159</v>
      </c>
      <c r="E1476" t="s">
        <v>387</v>
      </c>
      <c r="F1476" t="s">
        <v>718</v>
      </c>
      <c r="G1476">
        <v>1241000</v>
      </c>
      <c r="H1476">
        <v>1273000</v>
      </c>
    </row>
    <row r="1477" spans="2:8" x14ac:dyDescent="0.25">
      <c r="B1477" t="str">
        <f t="shared" si="22"/>
        <v>CANPopulation ages 70-74, female</v>
      </c>
      <c r="C1477" t="s">
        <v>449</v>
      </c>
      <c r="D1477" t="s">
        <v>159</v>
      </c>
      <c r="E1477" t="s">
        <v>390</v>
      </c>
      <c r="F1477" t="s">
        <v>719</v>
      </c>
      <c r="G1477">
        <v>887000</v>
      </c>
      <c r="H1477">
        <v>924000</v>
      </c>
    </row>
    <row r="1478" spans="2:8" x14ac:dyDescent="0.25">
      <c r="B1478" t="str">
        <f t="shared" si="22"/>
        <v>CANPopulation ages 70-74, male</v>
      </c>
      <c r="C1478" t="s">
        <v>449</v>
      </c>
      <c r="D1478" t="s">
        <v>159</v>
      </c>
      <c r="E1478" t="s">
        <v>391</v>
      </c>
      <c r="F1478" t="s">
        <v>720</v>
      </c>
      <c r="G1478">
        <v>830000</v>
      </c>
      <c r="H1478">
        <v>866000</v>
      </c>
    </row>
    <row r="1479" spans="2:8" x14ac:dyDescent="0.25">
      <c r="B1479" t="str">
        <f t="shared" ref="B1479:B1542" si="23">CONCATENATE(D1479,E1479)</f>
        <v>CANPopulation ages 75-79, female</v>
      </c>
      <c r="C1479" t="s">
        <v>449</v>
      </c>
      <c r="D1479" t="s">
        <v>159</v>
      </c>
      <c r="E1479" t="s">
        <v>392</v>
      </c>
      <c r="F1479" t="s">
        <v>721</v>
      </c>
      <c r="G1479">
        <v>623000</v>
      </c>
      <c r="H1479">
        <v>657000</v>
      </c>
    </row>
    <row r="1480" spans="2:8" x14ac:dyDescent="0.25">
      <c r="B1480" t="str">
        <f t="shared" si="23"/>
        <v>CANPopulation ages 75-79, male</v>
      </c>
      <c r="C1480" t="s">
        <v>449</v>
      </c>
      <c r="D1480" t="s">
        <v>159</v>
      </c>
      <c r="E1480" t="s">
        <v>393</v>
      </c>
      <c r="F1480" t="s">
        <v>722</v>
      </c>
      <c r="G1480">
        <v>534000</v>
      </c>
      <c r="H1480">
        <v>567000</v>
      </c>
    </row>
    <row r="1481" spans="2:8" x14ac:dyDescent="0.25">
      <c r="B1481" t="str">
        <f t="shared" si="23"/>
        <v>CANPopulation ages 80 and above, female</v>
      </c>
      <c r="C1481" t="s">
        <v>449</v>
      </c>
      <c r="D1481" t="s">
        <v>159</v>
      </c>
      <c r="E1481" t="s">
        <v>394</v>
      </c>
      <c r="F1481" t="s">
        <v>723</v>
      </c>
      <c r="G1481">
        <v>980000</v>
      </c>
      <c r="H1481">
        <v>999000</v>
      </c>
    </row>
    <row r="1482" spans="2:8" x14ac:dyDescent="0.25">
      <c r="B1482" t="str">
        <f t="shared" si="23"/>
        <v>CANPopulation ages 80 and above, male</v>
      </c>
      <c r="C1482" t="s">
        <v>449</v>
      </c>
      <c r="D1482" t="s">
        <v>159</v>
      </c>
      <c r="E1482" t="s">
        <v>395</v>
      </c>
      <c r="F1482" t="s">
        <v>724</v>
      </c>
      <c r="G1482">
        <v>647000</v>
      </c>
      <c r="H1482">
        <v>662000</v>
      </c>
    </row>
    <row r="1483" spans="2:8" x14ac:dyDescent="0.25">
      <c r="B1483" t="str">
        <f t="shared" si="23"/>
        <v>CANPopulation, male</v>
      </c>
      <c r="C1483" t="s">
        <v>449</v>
      </c>
      <c r="D1483" t="s">
        <v>159</v>
      </c>
      <c r="E1483" t="s">
        <v>397</v>
      </c>
      <c r="F1483" t="s">
        <v>725</v>
      </c>
      <c r="G1483">
        <v>18545000</v>
      </c>
      <c r="H1483">
        <v>18704000</v>
      </c>
    </row>
    <row r="1484" spans="2:8" x14ac:dyDescent="0.25">
      <c r="B1484" t="str">
        <f t="shared" si="23"/>
        <v>CANPopulation, total</v>
      </c>
      <c r="C1484" t="s">
        <v>449</v>
      </c>
      <c r="D1484" t="s">
        <v>159</v>
      </c>
      <c r="E1484" t="s">
        <v>398</v>
      </c>
      <c r="F1484" t="s">
        <v>726</v>
      </c>
      <c r="G1484">
        <v>37375000</v>
      </c>
      <c r="H1484">
        <v>37684000</v>
      </c>
    </row>
    <row r="1485" spans="2:8" x14ac:dyDescent="0.25">
      <c r="B1485" t="str">
        <f t="shared" si="23"/>
        <v>CANPopulation, female</v>
      </c>
      <c r="C1485" t="s">
        <v>449</v>
      </c>
      <c r="D1485" t="s">
        <v>159</v>
      </c>
      <c r="E1485" t="s">
        <v>396</v>
      </c>
      <c r="F1485" t="s">
        <v>727</v>
      </c>
      <c r="G1485">
        <v>18829000</v>
      </c>
      <c r="H1485">
        <v>18981000</v>
      </c>
    </row>
    <row r="1486" spans="2:8" x14ac:dyDescent="0.25">
      <c r="B1486" t="str">
        <f t="shared" si="23"/>
        <v>CANPopulation growth (annual %)</v>
      </c>
      <c r="C1486" t="s">
        <v>449</v>
      </c>
      <c r="D1486" t="s">
        <v>159</v>
      </c>
      <c r="E1486" t="s">
        <v>399</v>
      </c>
      <c r="F1486" t="s">
        <v>728</v>
      </c>
      <c r="G1486">
        <v>0</v>
      </c>
      <c r="H1486">
        <v>0</v>
      </c>
    </row>
    <row r="1487" spans="2:8" x14ac:dyDescent="0.25">
      <c r="B1487" t="str">
        <f t="shared" si="23"/>
        <v>CSSPopulation ages 0-14, female</v>
      </c>
      <c r="C1487" t="s">
        <v>450</v>
      </c>
      <c r="D1487" t="s">
        <v>451</v>
      </c>
      <c r="E1487" t="s">
        <v>687</v>
      </c>
      <c r="F1487" t="s">
        <v>688</v>
      </c>
      <c r="G1487">
        <v>836000</v>
      </c>
      <c r="H1487">
        <v>833000</v>
      </c>
    </row>
    <row r="1488" spans="2:8" x14ac:dyDescent="0.25">
      <c r="B1488" t="str">
        <f t="shared" si="23"/>
        <v>CSSPopulation ages 0-14, male</v>
      </c>
      <c r="C1488" t="s">
        <v>450</v>
      </c>
      <c r="D1488" t="s">
        <v>451</v>
      </c>
      <c r="E1488" t="s">
        <v>689</v>
      </c>
      <c r="F1488" t="s">
        <v>690</v>
      </c>
      <c r="G1488">
        <v>871000</v>
      </c>
      <c r="H1488">
        <v>868000</v>
      </c>
    </row>
    <row r="1489" spans="2:8" x14ac:dyDescent="0.25">
      <c r="B1489" t="str">
        <f t="shared" si="23"/>
        <v>CSSPopulation ages 00-04, female</v>
      </c>
      <c r="C1489" t="s">
        <v>450</v>
      </c>
      <c r="D1489" t="s">
        <v>451</v>
      </c>
      <c r="E1489" t="s">
        <v>362</v>
      </c>
      <c r="F1489" t="s">
        <v>691</v>
      </c>
      <c r="G1489">
        <v>275700</v>
      </c>
      <c r="H1489">
        <v>273500</v>
      </c>
    </row>
    <row r="1490" spans="2:8" x14ac:dyDescent="0.25">
      <c r="B1490" t="str">
        <f t="shared" si="23"/>
        <v>CSSPopulation ages 00-04, male</v>
      </c>
      <c r="C1490" t="s">
        <v>450</v>
      </c>
      <c r="D1490" t="s">
        <v>451</v>
      </c>
      <c r="E1490" t="s">
        <v>363</v>
      </c>
      <c r="F1490" t="s">
        <v>692</v>
      </c>
      <c r="G1490">
        <v>289500</v>
      </c>
      <c r="H1490">
        <v>287400</v>
      </c>
    </row>
    <row r="1491" spans="2:8" x14ac:dyDescent="0.25">
      <c r="B1491" t="str">
        <f t="shared" si="23"/>
        <v>CSSPopulation ages 05-09, female</v>
      </c>
      <c r="C1491" t="s">
        <v>450</v>
      </c>
      <c r="D1491" t="s">
        <v>451</v>
      </c>
      <c r="E1491" t="s">
        <v>364</v>
      </c>
      <c r="F1491" t="s">
        <v>693</v>
      </c>
      <c r="G1491">
        <v>279200</v>
      </c>
      <c r="H1491">
        <v>280200</v>
      </c>
    </row>
    <row r="1492" spans="2:8" x14ac:dyDescent="0.25">
      <c r="B1492" t="str">
        <f t="shared" si="23"/>
        <v>CSSPopulation ages 05-09, male</v>
      </c>
      <c r="C1492" t="s">
        <v>450</v>
      </c>
      <c r="D1492" t="s">
        <v>451</v>
      </c>
      <c r="E1492" t="s">
        <v>365</v>
      </c>
      <c r="F1492" t="s">
        <v>694</v>
      </c>
      <c r="G1492">
        <v>290000</v>
      </c>
      <c r="H1492">
        <v>293000</v>
      </c>
    </row>
    <row r="1493" spans="2:8" x14ac:dyDescent="0.25">
      <c r="B1493" t="str">
        <f t="shared" si="23"/>
        <v>CSSPopulation ages 10-14, female</v>
      </c>
      <c r="C1493" t="s">
        <v>450</v>
      </c>
      <c r="D1493" t="s">
        <v>451</v>
      </c>
      <c r="E1493" t="s">
        <v>366</v>
      </c>
      <c r="F1493" t="s">
        <v>695</v>
      </c>
      <c r="G1493">
        <v>280100</v>
      </c>
      <c r="H1493">
        <v>279800</v>
      </c>
    </row>
    <row r="1494" spans="2:8" x14ac:dyDescent="0.25">
      <c r="B1494" t="str">
        <f t="shared" si="23"/>
        <v>CSSPopulation ages 10-14, male</v>
      </c>
      <c r="C1494" t="s">
        <v>450</v>
      </c>
      <c r="D1494" t="s">
        <v>451</v>
      </c>
      <c r="E1494" t="s">
        <v>367</v>
      </c>
      <c r="F1494" t="s">
        <v>696</v>
      </c>
      <c r="G1494">
        <v>288900</v>
      </c>
      <c r="H1494">
        <v>288500</v>
      </c>
    </row>
    <row r="1495" spans="2:8" x14ac:dyDescent="0.25">
      <c r="B1495" t="str">
        <f t="shared" si="23"/>
        <v>CSSPopulation ages 15-19, female</v>
      </c>
      <c r="C1495" t="s">
        <v>450</v>
      </c>
      <c r="D1495" t="s">
        <v>451</v>
      </c>
      <c r="E1495" t="s">
        <v>368</v>
      </c>
      <c r="F1495" t="s">
        <v>697</v>
      </c>
      <c r="G1495">
        <v>289800</v>
      </c>
      <c r="H1495">
        <v>285400</v>
      </c>
    </row>
    <row r="1496" spans="2:8" x14ac:dyDescent="0.25">
      <c r="B1496" t="str">
        <f t="shared" si="23"/>
        <v>CSSPopulation ages 15-19, male</v>
      </c>
      <c r="C1496" t="s">
        <v>450</v>
      </c>
      <c r="D1496" t="s">
        <v>451</v>
      </c>
      <c r="E1496" t="s">
        <v>369</v>
      </c>
      <c r="F1496" t="s">
        <v>698</v>
      </c>
      <c r="G1496">
        <v>301000</v>
      </c>
      <c r="H1496">
        <v>295400</v>
      </c>
    </row>
    <row r="1497" spans="2:8" x14ac:dyDescent="0.25">
      <c r="B1497" t="str">
        <f t="shared" si="23"/>
        <v>CSSPopulation ages 20-24, female</v>
      </c>
      <c r="C1497" t="s">
        <v>450</v>
      </c>
      <c r="D1497" t="s">
        <v>451</v>
      </c>
      <c r="E1497" t="s">
        <v>370</v>
      </c>
      <c r="F1497" t="s">
        <v>699</v>
      </c>
      <c r="G1497">
        <v>300300</v>
      </c>
      <c r="H1497">
        <v>297800</v>
      </c>
    </row>
    <row r="1498" spans="2:8" x14ac:dyDescent="0.25">
      <c r="B1498" t="str">
        <f t="shared" si="23"/>
        <v>CSSPopulation ages 20-24, male</v>
      </c>
      <c r="C1498" t="s">
        <v>450</v>
      </c>
      <c r="D1498" t="s">
        <v>451</v>
      </c>
      <c r="E1498" t="s">
        <v>371</v>
      </c>
      <c r="F1498" t="s">
        <v>700</v>
      </c>
      <c r="G1498">
        <v>311800</v>
      </c>
      <c r="H1498">
        <v>308300</v>
      </c>
    </row>
    <row r="1499" spans="2:8" x14ac:dyDescent="0.25">
      <c r="B1499" t="str">
        <f t="shared" si="23"/>
        <v>CSSPopulation ages 25-29, female</v>
      </c>
      <c r="C1499" t="s">
        <v>450</v>
      </c>
      <c r="D1499" t="s">
        <v>451</v>
      </c>
      <c r="E1499" t="s">
        <v>372</v>
      </c>
      <c r="F1499" t="s">
        <v>701</v>
      </c>
      <c r="G1499">
        <v>294200</v>
      </c>
      <c r="H1499">
        <v>294400</v>
      </c>
    </row>
    <row r="1500" spans="2:8" x14ac:dyDescent="0.25">
      <c r="B1500" t="str">
        <f t="shared" si="23"/>
        <v>CSSPopulation ages 25-29, male</v>
      </c>
      <c r="C1500" t="s">
        <v>450</v>
      </c>
      <c r="D1500" t="s">
        <v>451</v>
      </c>
      <c r="E1500" t="s">
        <v>373</v>
      </c>
      <c r="F1500" t="s">
        <v>702</v>
      </c>
      <c r="G1500">
        <v>300300</v>
      </c>
      <c r="H1500">
        <v>302500</v>
      </c>
    </row>
    <row r="1501" spans="2:8" x14ac:dyDescent="0.25">
      <c r="B1501" t="str">
        <f t="shared" si="23"/>
        <v>CSSPopulation ages 30-34, female</v>
      </c>
      <c r="C1501" t="s">
        <v>450</v>
      </c>
      <c r="D1501" t="s">
        <v>451</v>
      </c>
      <c r="E1501" t="s">
        <v>374</v>
      </c>
      <c r="F1501" t="s">
        <v>703</v>
      </c>
      <c r="G1501">
        <v>275600</v>
      </c>
      <c r="H1501">
        <v>274600</v>
      </c>
    </row>
    <row r="1502" spans="2:8" x14ac:dyDescent="0.25">
      <c r="B1502" t="str">
        <f t="shared" si="23"/>
        <v>CSSPopulation ages 30-34, male</v>
      </c>
      <c r="C1502" t="s">
        <v>450</v>
      </c>
      <c r="D1502" t="s">
        <v>451</v>
      </c>
      <c r="E1502" t="s">
        <v>375</v>
      </c>
      <c r="F1502" t="s">
        <v>704</v>
      </c>
      <c r="G1502">
        <v>277100</v>
      </c>
      <c r="H1502">
        <v>278200</v>
      </c>
    </row>
    <row r="1503" spans="2:8" x14ac:dyDescent="0.25">
      <c r="B1503" t="str">
        <f t="shared" si="23"/>
        <v>CSSPopulation ages 35-39, female</v>
      </c>
      <c r="C1503" t="s">
        <v>450</v>
      </c>
      <c r="D1503" t="s">
        <v>451</v>
      </c>
      <c r="E1503" t="s">
        <v>376</v>
      </c>
      <c r="F1503" t="s">
        <v>705</v>
      </c>
      <c r="G1503">
        <v>270000</v>
      </c>
      <c r="H1503">
        <v>273100</v>
      </c>
    </row>
    <row r="1504" spans="2:8" x14ac:dyDescent="0.25">
      <c r="B1504" t="str">
        <f t="shared" si="23"/>
        <v>CSSPopulation ages 35-39, male</v>
      </c>
      <c r="C1504" t="s">
        <v>450</v>
      </c>
      <c r="D1504" t="s">
        <v>451</v>
      </c>
      <c r="E1504" t="s">
        <v>377</v>
      </c>
      <c r="F1504" t="s">
        <v>706</v>
      </c>
      <c r="G1504">
        <v>258500</v>
      </c>
      <c r="H1504">
        <v>263600</v>
      </c>
    </row>
    <row r="1505" spans="2:8" x14ac:dyDescent="0.25">
      <c r="B1505" t="str">
        <f t="shared" si="23"/>
        <v>CSSPopulation ages 40-44, female</v>
      </c>
      <c r="C1505" t="s">
        <v>450</v>
      </c>
      <c r="D1505" t="s">
        <v>451</v>
      </c>
      <c r="E1505" t="s">
        <v>378</v>
      </c>
      <c r="F1505" t="s">
        <v>707</v>
      </c>
      <c r="G1505">
        <v>237700</v>
      </c>
      <c r="H1505">
        <v>239900</v>
      </c>
    </row>
    <row r="1506" spans="2:8" x14ac:dyDescent="0.25">
      <c r="B1506" t="str">
        <f t="shared" si="23"/>
        <v>CSSPopulation ages 40-44, male</v>
      </c>
      <c r="C1506" t="s">
        <v>450</v>
      </c>
      <c r="D1506" t="s">
        <v>451</v>
      </c>
      <c r="E1506" t="s">
        <v>379</v>
      </c>
      <c r="F1506" t="s">
        <v>708</v>
      </c>
      <c r="G1506">
        <v>223700</v>
      </c>
      <c r="H1506">
        <v>224800</v>
      </c>
    </row>
    <row r="1507" spans="2:8" x14ac:dyDescent="0.25">
      <c r="B1507" t="str">
        <f t="shared" si="23"/>
        <v>CSSPopulation ages 45-49, female</v>
      </c>
      <c r="C1507" t="s">
        <v>450</v>
      </c>
      <c r="D1507" t="s">
        <v>451</v>
      </c>
      <c r="E1507" t="s">
        <v>380</v>
      </c>
      <c r="F1507" t="s">
        <v>709</v>
      </c>
      <c r="G1507">
        <v>234700</v>
      </c>
      <c r="H1507">
        <v>235700</v>
      </c>
    </row>
    <row r="1508" spans="2:8" x14ac:dyDescent="0.25">
      <c r="B1508" t="str">
        <f t="shared" si="23"/>
        <v>CSSPopulation ages 45-49, male</v>
      </c>
      <c r="C1508" t="s">
        <v>450</v>
      </c>
      <c r="D1508" t="s">
        <v>451</v>
      </c>
      <c r="E1508" t="s">
        <v>381</v>
      </c>
      <c r="F1508" t="s">
        <v>710</v>
      </c>
      <c r="G1508">
        <v>221800</v>
      </c>
      <c r="H1508">
        <v>220800</v>
      </c>
    </row>
    <row r="1509" spans="2:8" x14ac:dyDescent="0.25">
      <c r="B1509" t="str">
        <f t="shared" si="23"/>
        <v>CSSPopulation ages 50-54, female</v>
      </c>
      <c r="C1509" t="s">
        <v>450</v>
      </c>
      <c r="D1509" t="s">
        <v>451</v>
      </c>
      <c r="E1509" t="s">
        <v>382</v>
      </c>
      <c r="F1509" t="s">
        <v>711</v>
      </c>
      <c r="G1509">
        <v>215700</v>
      </c>
      <c r="H1509">
        <v>216100</v>
      </c>
    </row>
    <row r="1510" spans="2:8" x14ac:dyDescent="0.25">
      <c r="B1510" t="str">
        <f t="shared" si="23"/>
        <v>CSSPopulation ages 50-54, male</v>
      </c>
      <c r="C1510" t="s">
        <v>450</v>
      </c>
      <c r="D1510" t="s">
        <v>451</v>
      </c>
      <c r="E1510" t="s">
        <v>383</v>
      </c>
      <c r="F1510" t="s">
        <v>712</v>
      </c>
      <c r="G1510">
        <v>206500</v>
      </c>
      <c r="H1510">
        <v>206800</v>
      </c>
    </row>
    <row r="1511" spans="2:8" x14ac:dyDescent="0.25">
      <c r="B1511" t="str">
        <f t="shared" si="23"/>
        <v>CSSPopulation ages 55-59, male</v>
      </c>
      <c r="C1511" t="s">
        <v>450</v>
      </c>
      <c r="D1511" t="s">
        <v>451</v>
      </c>
      <c r="E1511" t="s">
        <v>385</v>
      </c>
      <c r="F1511" t="s">
        <v>713</v>
      </c>
      <c r="G1511">
        <v>191000</v>
      </c>
      <c r="H1511">
        <v>194400</v>
      </c>
    </row>
    <row r="1512" spans="2:8" x14ac:dyDescent="0.25">
      <c r="B1512" t="str">
        <f t="shared" si="23"/>
        <v>CSSPopulation ages 55-59, female</v>
      </c>
      <c r="C1512" t="s">
        <v>450</v>
      </c>
      <c r="D1512" t="s">
        <v>451</v>
      </c>
      <c r="E1512" t="s">
        <v>384</v>
      </c>
      <c r="F1512" t="s">
        <v>714</v>
      </c>
      <c r="G1512">
        <v>200700</v>
      </c>
      <c r="H1512">
        <v>205500</v>
      </c>
    </row>
    <row r="1513" spans="2:8" x14ac:dyDescent="0.25">
      <c r="B1513" t="str">
        <f t="shared" si="23"/>
        <v>CSSPopulation ages 65-69, male</v>
      </c>
      <c r="C1513" t="s">
        <v>450</v>
      </c>
      <c r="D1513" t="s">
        <v>451</v>
      </c>
      <c r="E1513" t="s">
        <v>389</v>
      </c>
      <c r="F1513" t="s">
        <v>715</v>
      </c>
      <c r="G1513">
        <v>110400</v>
      </c>
      <c r="H1513">
        <v>113900</v>
      </c>
    </row>
    <row r="1514" spans="2:8" x14ac:dyDescent="0.25">
      <c r="B1514" t="str">
        <f t="shared" si="23"/>
        <v>CSSPopulation ages 65-69, female</v>
      </c>
      <c r="C1514" t="s">
        <v>450</v>
      </c>
      <c r="D1514" t="s">
        <v>451</v>
      </c>
      <c r="E1514" t="s">
        <v>388</v>
      </c>
      <c r="F1514" t="s">
        <v>716</v>
      </c>
      <c r="G1514">
        <v>118900</v>
      </c>
      <c r="H1514">
        <v>125300</v>
      </c>
    </row>
    <row r="1515" spans="2:8" x14ac:dyDescent="0.25">
      <c r="B1515" t="str">
        <f t="shared" si="23"/>
        <v>CSSPopulation ages 60-64, female</v>
      </c>
      <c r="C1515" t="s">
        <v>450</v>
      </c>
      <c r="D1515" t="s">
        <v>451</v>
      </c>
      <c r="E1515" t="s">
        <v>386</v>
      </c>
      <c r="F1515" t="s">
        <v>717</v>
      </c>
      <c r="G1515">
        <v>162700</v>
      </c>
      <c r="H1515">
        <v>168200</v>
      </c>
    </row>
    <row r="1516" spans="2:8" x14ac:dyDescent="0.25">
      <c r="B1516" t="str">
        <f t="shared" si="23"/>
        <v>CSSPopulation ages 60-64, male</v>
      </c>
      <c r="C1516" t="s">
        <v>450</v>
      </c>
      <c r="D1516" t="s">
        <v>451</v>
      </c>
      <c r="E1516" t="s">
        <v>387</v>
      </c>
      <c r="F1516" t="s">
        <v>718</v>
      </c>
      <c r="G1516">
        <v>147800</v>
      </c>
      <c r="H1516">
        <v>154500</v>
      </c>
    </row>
    <row r="1517" spans="2:8" x14ac:dyDescent="0.25">
      <c r="B1517" t="str">
        <f t="shared" si="23"/>
        <v>CSSPopulation ages 70-74, female</v>
      </c>
      <c r="C1517" t="s">
        <v>450</v>
      </c>
      <c r="D1517" t="s">
        <v>451</v>
      </c>
      <c r="E1517" t="s">
        <v>390</v>
      </c>
      <c r="F1517" t="s">
        <v>719</v>
      </c>
      <c r="G1517">
        <v>90700</v>
      </c>
      <c r="H1517">
        <v>94300</v>
      </c>
    </row>
    <row r="1518" spans="2:8" x14ac:dyDescent="0.25">
      <c r="B1518" t="str">
        <f t="shared" si="23"/>
        <v>CSSPopulation ages 70-74, male</v>
      </c>
      <c r="C1518" t="s">
        <v>450</v>
      </c>
      <c r="D1518" t="s">
        <v>451</v>
      </c>
      <c r="E1518" t="s">
        <v>391</v>
      </c>
      <c r="F1518" t="s">
        <v>720</v>
      </c>
      <c r="G1518">
        <v>81500</v>
      </c>
      <c r="H1518">
        <v>84800</v>
      </c>
    </row>
    <row r="1519" spans="2:8" x14ac:dyDescent="0.25">
      <c r="B1519" t="str">
        <f t="shared" si="23"/>
        <v>CSSPopulation ages 75-79, female</v>
      </c>
      <c r="C1519" t="s">
        <v>450</v>
      </c>
      <c r="D1519" t="s">
        <v>451</v>
      </c>
      <c r="E1519" t="s">
        <v>392</v>
      </c>
      <c r="F1519" t="s">
        <v>721</v>
      </c>
      <c r="G1519">
        <v>63800</v>
      </c>
      <c r="H1519">
        <v>65300</v>
      </c>
    </row>
    <row r="1520" spans="2:8" x14ac:dyDescent="0.25">
      <c r="B1520" t="str">
        <f t="shared" si="23"/>
        <v>CSSPopulation ages 75-79, male</v>
      </c>
      <c r="C1520" t="s">
        <v>450</v>
      </c>
      <c r="D1520" t="s">
        <v>451</v>
      </c>
      <c r="E1520" t="s">
        <v>393</v>
      </c>
      <c r="F1520" t="s">
        <v>722</v>
      </c>
      <c r="G1520">
        <v>52500</v>
      </c>
      <c r="H1520">
        <v>54100</v>
      </c>
    </row>
    <row r="1521" spans="2:8" x14ac:dyDescent="0.25">
      <c r="B1521" t="str">
        <f t="shared" si="23"/>
        <v>CSSPopulation ages 80 and above, female</v>
      </c>
      <c r="C1521" t="s">
        <v>450</v>
      </c>
      <c r="D1521" t="s">
        <v>451</v>
      </c>
      <c r="E1521" t="s">
        <v>394</v>
      </c>
      <c r="F1521" t="s">
        <v>723</v>
      </c>
      <c r="G1521">
        <v>76400</v>
      </c>
      <c r="H1521">
        <v>77900</v>
      </c>
    </row>
    <row r="1522" spans="2:8" x14ac:dyDescent="0.25">
      <c r="B1522" t="str">
        <f t="shared" si="23"/>
        <v>CSSPopulation ages 80 and above, male</v>
      </c>
      <c r="C1522" t="s">
        <v>450</v>
      </c>
      <c r="D1522" t="s">
        <v>451</v>
      </c>
      <c r="E1522" t="s">
        <v>395</v>
      </c>
      <c r="F1522" t="s">
        <v>724</v>
      </c>
      <c r="G1522">
        <v>59900</v>
      </c>
      <c r="H1522">
        <v>61100</v>
      </c>
    </row>
    <row r="1523" spans="2:8" x14ac:dyDescent="0.25">
      <c r="B1523" t="str">
        <f t="shared" si="23"/>
        <v>CSSPopulation, male</v>
      </c>
      <c r="C1523" t="s">
        <v>450</v>
      </c>
      <c r="D1523" t="s">
        <v>451</v>
      </c>
      <c r="E1523" t="s">
        <v>397</v>
      </c>
      <c r="F1523" t="s">
        <v>725</v>
      </c>
      <c r="G1523">
        <v>3609000</v>
      </c>
      <c r="H1523">
        <v>3630000</v>
      </c>
    </row>
    <row r="1524" spans="2:8" x14ac:dyDescent="0.25">
      <c r="B1524" t="str">
        <f t="shared" si="23"/>
        <v>CSSPopulation, total</v>
      </c>
      <c r="C1524" t="s">
        <v>450</v>
      </c>
      <c r="D1524" t="s">
        <v>451</v>
      </c>
      <c r="E1524" t="s">
        <v>398</v>
      </c>
      <c r="F1524" t="s">
        <v>726</v>
      </c>
      <c r="G1524">
        <v>7401000</v>
      </c>
      <c r="H1524">
        <v>7443000</v>
      </c>
    </row>
    <row r="1525" spans="2:8" x14ac:dyDescent="0.25">
      <c r="B1525" t="str">
        <f t="shared" si="23"/>
        <v>CSSPopulation, female</v>
      </c>
      <c r="C1525" t="s">
        <v>450</v>
      </c>
      <c r="D1525" t="s">
        <v>451</v>
      </c>
      <c r="E1525" t="s">
        <v>396</v>
      </c>
      <c r="F1525" t="s">
        <v>727</v>
      </c>
      <c r="G1525">
        <v>3667000</v>
      </c>
      <c r="H1525">
        <v>3689000</v>
      </c>
    </row>
    <row r="1526" spans="2:8" x14ac:dyDescent="0.25">
      <c r="B1526" t="str">
        <f t="shared" si="23"/>
        <v>CSSPopulation growth (annual %)</v>
      </c>
      <c r="C1526" t="s">
        <v>450</v>
      </c>
      <c r="D1526" t="s">
        <v>451</v>
      </c>
      <c r="E1526" t="s">
        <v>399</v>
      </c>
      <c r="F1526" t="s">
        <v>728</v>
      </c>
      <c r="G1526">
        <v>0.57120804352241805</v>
      </c>
      <c r="H1526">
        <v>0.5674908796108582</v>
      </c>
    </row>
    <row r="1527" spans="2:8" x14ac:dyDescent="0.25">
      <c r="B1527" t="str">
        <f t="shared" si="23"/>
        <v>CYMPopulation ages 0-14, female</v>
      </c>
      <c r="C1527" t="s">
        <v>452</v>
      </c>
      <c r="D1527" t="s">
        <v>453</v>
      </c>
      <c r="E1527" t="s">
        <v>687</v>
      </c>
      <c r="F1527" t="s">
        <v>688</v>
      </c>
      <c r="G1527">
        <v>0</v>
      </c>
      <c r="H1527">
        <v>0</v>
      </c>
    </row>
    <row r="1528" spans="2:8" x14ac:dyDescent="0.25">
      <c r="B1528" t="str">
        <f t="shared" si="23"/>
        <v>CYMPopulation ages 0-14, male</v>
      </c>
      <c r="C1528" t="s">
        <v>452</v>
      </c>
      <c r="D1528" t="s">
        <v>453</v>
      </c>
      <c r="E1528" t="s">
        <v>689</v>
      </c>
      <c r="F1528" t="s">
        <v>690</v>
      </c>
      <c r="G1528">
        <v>0</v>
      </c>
      <c r="H1528">
        <v>0</v>
      </c>
    </row>
    <row r="1529" spans="2:8" x14ac:dyDescent="0.25">
      <c r="B1529" t="str">
        <f t="shared" si="23"/>
        <v>CYMPopulation ages 00-04, female</v>
      </c>
      <c r="C1529" t="s">
        <v>452</v>
      </c>
      <c r="D1529" t="s">
        <v>453</v>
      </c>
      <c r="E1529" t="s">
        <v>362</v>
      </c>
      <c r="F1529" t="s">
        <v>691</v>
      </c>
      <c r="G1529">
        <v>0</v>
      </c>
      <c r="H1529">
        <v>0</v>
      </c>
    </row>
    <row r="1530" spans="2:8" x14ac:dyDescent="0.25">
      <c r="B1530" t="str">
        <f t="shared" si="23"/>
        <v>CYMPopulation ages 00-04, male</v>
      </c>
      <c r="C1530" t="s">
        <v>452</v>
      </c>
      <c r="D1530" t="s">
        <v>453</v>
      </c>
      <c r="E1530" t="s">
        <v>363</v>
      </c>
      <c r="F1530" t="s">
        <v>692</v>
      </c>
      <c r="G1530">
        <v>0</v>
      </c>
      <c r="H1530">
        <v>0</v>
      </c>
    </row>
    <row r="1531" spans="2:8" x14ac:dyDescent="0.25">
      <c r="B1531" t="str">
        <f t="shared" si="23"/>
        <v>CYMPopulation ages 05-09, female</v>
      </c>
      <c r="C1531" t="s">
        <v>452</v>
      </c>
      <c r="D1531" t="s">
        <v>453</v>
      </c>
      <c r="E1531" t="s">
        <v>364</v>
      </c>
      <c r="F1531" t="s">
        <v>693</v>
      </c>
      <c r="G1531">
        <v>0</v>
      </c>
      <c r="H1531">
        <v>0</v>
      </c>
    </row>
    <row r="1532" spans="2:8" x14ac:dyDescent="0.25">
      <c r="B1532" t="str">
        <f t="shared" si="23"/>
        <v>CYMPopulation ages 05-09, male</v>
      </c>
      <c r="C1532" t="s">
        <v>452</v>
      </c>
      <c r="D1532" t="s">
        <v>453</v>
      </c>
      <c r="E1532" t="s">
        <v>365</v>
      </c>
      <c r="F1532" t="s">
        <v>694</v>
      </c>
      <c r="G1532">
        <v>0</v>
      </c>
      <c r="H1532">
        <v>0</v>
      </c>
    </row>
    <row r="1533" spans="2:8" x14ac:dyDescent="0.25">
      <c r="B1533" t="str">
        <f t="shared" si="23"/>
        <v>CYMPopulation ages 10-14, female</v>
      </c>
      <c r="C1533" t="s">
        <v>452</v>
      </c>
      <c r="D1533" t="s">
        <v>453</v>
      </c>
      <c r="E1533" t="s">
        <v>366</v>
      </c>
      <c r="F1533" t="s">
        <v>695</v>
      </c>
      <c r="G1533">
        <v>0</v>
      </c>
      <c r="H1533">
        <v>0</v>
      </c>
    </row>
    <row r="1534" spans="2:8" x14ac:dyDescent="0.25">
      <c r="B1534" t="str">
        <f t="shared" si="23"/>
        <v>CYMPopulation ages 10-14, male</v>
      </c>
      <c r="C1534" t="s">
        <v>452</v>
      </c>
      <c r="D1534" t="s">
        <v>453</v>
      </c>
      <c r="E1534" t="s">
        <v>367</v>
      </c>
      <c r="F1534" t="s">
        <v>696</v>
      </c>
      <c r="G1534">
        <v>0</v>
      </c>
      <c r="H1534">
        <v>0</v>
      </c>
    </row>
    <row r="1535" spans="2:8" x14ac:dyDescent="0.25">
      <c r="B1535" t="str">
        <f t="shared" si="23"/>
        <v>CYMPopulation ages 15-19, female</v>
      </c>
      <c r="C1535" t="s">
        <v>452</v>
      </c>
      <c r="D1535" t="s">
        <v>453</v>
      </c>
      <c r="E1535" t="s">
        <v>368</v>
      </c>
      <c r="F1535" t="s">
        <v>697</v>
      </c>
      <c r="G1535">
        <v>0</v>
      </c>
      <c r="H1535">
        <v>0</v>
      </c>
    </row>
    <row r="1536" spans="2:8" x14ac:dyDescent="0.25">
      <c r="B1536" t="str">
        <f t="shared" si="23"/>
        <v>CYMPopulation ages 15-19, male</v>
      </c>
      <c r="C1536" t="s">
        <v>452</v>
      </c>
      <c r="D1536" t="s">
        <v>453</v>
      </c>
      <c r="E1536" t="s">
        <v>369</v>
      </c>
      <c r="F1536" t="s">
        <v>698</v>
      </c>
      <c r="G1536">
        <v>0</v>
      </c>
      <c r="H1536">
        <v>0</v>
      </c>
    </row>
    <row r="1537" spans="2:8" x14ac:dyDescent="0.25">
      <c r="B1537" t="str">
        <f t="shared" si="23"/>
        <v>CYMPopulation ages 20-24, female</v>
      </c>
      <c r="C1537" t="s">
        <v>452</v>
      </c>
      <c r="D1537" t="s">
        <v>453</v>
      </c>
      <c r="E1537" t="s">
        <v>370</v>
      </c>
      <c r="F1537" t="s">
        <v>699</v>
      </c>
      <c r="G1537">
        <v>0</v>
      </c>
      <c r="H1537">
        <v>0</v>
      </c>
    </row>
    <row r="1538" spans="2:8" x14ac:dyDescent="0.25">
      <c r="B1538" t="str">
        <f t="shared" si="23"/>
        <v>CYMPopulation ages 20-24, male</v>
      </c>
      <c r="C1538" t="s">
        <v>452</v>
      </c>
      <c r="D1538" t="s">
        <v>453</v>
      </c>
      <c r="E1538" t="s">
        <v>371</v>
      </c>
      <c r="F1538" t="s">
        <v>700</v>
      </c>
      <c r="G1538">
        <v>0</v>
      </c>
      <c r="H1538">
        <v>0</v>
      </c>
    </row>
    <row r="1539" spans="2:8" x14ac:dyDescent="0.25">
      <c r="B1539" t="str">
        <f t="shared" si="23"/>
        <v>CYMPopulation ages 25-29, female</v>
      </c>
      <c r="C1539" t="s">
        <v>452</v>
      </c>
      <c r="D1539" t="s">
        <v>453</v>
      </c>
      <c r="E1539" t="s">
        <v>372</v>
      </c>
      <c r="F1539" t="s">
        <v>701</v>
      </c>
      <c r="G1539">
        <v>0</v>
      </c>
      <c r="H1539">
        <v>0</v>
      </c>
    </row>
    <row r="1540" spans="2:8" x14ac:dyDescent="0.25">
      <c r="B1540" t="str">
        <f t="shared" si="23"/>
        <v>CYMPopulation ages 25-29, male</v>
      </c>
      <c r="C1540" t="s">
        <v>452</v>
      </c>
      <c r="D1540" t="s">
        <v>453</v>
      </c>
      <c r="E1540" t="s">
        <v>373</v>
      </c>
      <c r="F1540" t="s">
        <v>702</v>
      </c>
      <c r="G1540">
        <v>0</v>
      </c>
      <c r="H1540">
        <v>0</v>
      </c>
    </row>
    <row r="1541" spans="2:8" x14ac:dyDescent="0.25">
      <c r="B1541" t="str">
        <f t="shared" si="23"/>
        <v>CYMPopulation ages 30-34, female</v>
      </c>
      <c r="C1541" t="s">
        <v>452</v>
      </c>
      <c r="D1541" t="s">
        <v>453</v>
      </c>
      <c r="E1541" t="s">
        <v>374</v>
      </c>
      <c r="F1541" t="s">
        <v>703</v>
      </c>
      <c r="G1541">
        <v>0</v>
      </c>
      <c r="H1541">
        <v>0</v>
      </c>
    </row>
    <row r="1542" spans="2:8" x14ac:dyDescent="0.25">
      <c r="B1542" t="str">
        <f t="shared" si="23"/>
        <v>CYMPopulation ages 30-34, male</v>
      </c>
      <c r="C1542" t="s">
        <v>452</v>
      </c>
      <c r="D1542" t="s">
        <v>453</v>
      </c>
      <c r="E1542" t="s">
        <v>375</v>
      </c>
      <c r="F1542" t="s">
        <v>704</v>
      </c>
      <c r="G1542">
        <v>0</v>
      </c>
      <c r="H1542">
        <v>0</v>
      </c>
    </row>
    <row r="1543" spans="2:8" x14ac:dyDescent="0.25">
      <c r="B1543" t="str">
        <f t="shared" ref="B1543:B1606" si="24">CONCATENATE(D1543,E1543)</f>
        <v>CYMPopulation ages 35-39, female</v>
      </c>
      <c r="C1543" t="s">
        <v>452</v>
      </c>
      <c r="D1543" t="s">
        <v>453</v>
      </c>
      <c r="E1543" t="s">
        <v>376</v>
      </c>
      <c r="F1543" t="s">
        <v>705</v>
      </c>
      <c r="G1543">
        <v>0</v>
      </c>
      <c r="H1543">
        <v>0</v>
      </c>
    </row>
    <row r="1544" spans="2:8" x14ac:dyDescent="0.25">
      <c r="B1544" t="str">
        <f t="shared" si="24"/>
        <v>CYMPopulation ages 35-39, male</v>
      </c>
      <c r="C1544" t="s">
        <v>452</v>
      </c>
      <c r="D1544" t="s">
        <v>453</v>
      </c>
      <c r="E1544" t="s">
        <v>377</v>
      </c>
      <c r="F1544" t="s">
        <v>706</v>
      </c>
      <c r="G1544">
        <v>0</v>
      </c>
      <c r="H1544">
        <v>0</v>
      </c>
    </row>
    <row r="1545" spans="2:8" x14ac:dyDescent="0.25">
      <c r="B1545" t="str">
        <f t="shared" si="24"/>
        <v>CYMPopulation ages 40-44, female</v>
      </c>
      <c r="C1545" t="s">
        <v>452</v>
      </c>
      <c r="D1545" t="s">
        <v>453</v>
      </c>
      <c r="E1545" t="s">
        <v>378</v>
      </c>
      <c r="F1545" t="s">
        <v>707</v>
      </c>
      <c r="G1545">
        <v>0</v>
      </c>
      <c r="H1545">
        <v>0</v>
      </c>
    </row>
    <row r="1546" spans="2:8" x14ac:dyDescent="0.25">
      <c r="B1546" t="str">
        <f t="shared" si="24"/>
        <v>CYMPopulation ages 40-44, male</v>
      </c>
      <c r="C1546" t="s">
        <v>452</v>
      </c>
      <c r="D1546" t="s">
        <v>453</v>
      </c>
      <c r="E1546" t="s">
        <v>379</v>
      </c>
      <c r="F1546" t="s">
        <v>708</v>
      </c>
      <c r="G1546">
        <v>0</v>
      </c>
      <c r="H1546">
        <v>0</v>
      </c>
    </row>
    <row r="1547" spans="2:8" x14ac:dyDescent="0.25">
      <c r="B1547" t="str">
        <f t="shared" si="24"/>
        <v>CYMPopulation ages 45-49, female</v>
      </c>
      <c r="C1547" t="s">
        <v>452</v>
      </c>
      <c r="D1547" t="s">
        <v>453</v>
      </c>
      <c r="E1547" t="s">
        <v>380</v>
      </c>
      <c r="F1547" t="s">
        <v>709</v>
      </c>
      <c r="G1547">
        <v>0</v>
      </c>
      <c r="H1547">
        <v>0</v>
      </c>
    </row>
    <row r="1548" spans="2:8" x14ac:dyDescent="0.25">
      <c r="B1548" t="str">
        <f t="shared" si="24"/>
        <v>CYMPopulation ages 45-49, male</v>
      </c>
      <c r="C1548" t="s">
        <v>452</v>
      </c>
      <c r="D1548" t="s">
        <v>453</v>
      </c>
      <c r="E1548" t="s">
        <v>381</v>
      </c>
      <c r="F1548" t="s">
        <v>710</v>
      </c>
      <c r="G1548">
        <v>0</v>
      </c>
      <c r="H1548">
        <v>0</v>
      </c>
    </row>
    <row r="1549" spans="2:8" x14ac:dyDescent="0.25">
      <c r="B1549" t="str">
        <f t="shared" si="24"/>
        <v>CYMPopulation ages 50-54, female</v>
      </c>
      <c r="C1549" t="s">
        <v>452</v>
      </c>
      <c r="D1549" t="s">
        <v>453</v>
      </c>
      <c r="E1549" t="s">
        <v>382</v>
      </c>
      <c r="F1549" t="s">
        <v>711</v>
      </c>
      <c r="G1549">
        <v>0</v>
      </c>
      <c r="H1549">
        <v>0</v>
      </c>
    </row>
    <row r="1550" spans="2:8" x14ac:dyDescent="0.25">
      <c r="B1550" t="str">
        <f t="shared" si="24"/>
        <v>CYMPopulation ages 50-54, male</v>
      </c>
      <c r="C1550" t="s">
        <v>452</v>
      </c>
      <c r="D1550" t="s">
        <v>453</v>
      </c>
      <c r="E1550" t="s">
        <v>383</v>
      </c>
      <c r="F1550" t="s">
        <v>712</v>
      </c>
      <c r="G1550">
        <v>0</v>
      </c>
      <c r="H1550">
        <v>0</v>
      </c>
    </row>
    <row r="1551" spans="2:8" x14ac:dyDescent="0.25">
      <c r="B1551" t="str">
        <f t="shared" si="24"/>
        <v>CYMPopulation ages 55-59, male</v>
      </c>
      <c r="C1551" t="s">
        <v>452</v>
      </c>
      <c r="D1551" t="s">
        <v>453</v>
      </c>
      <c r="E1551" t="s">
        <v>385</v>
      </c>
      <c r="F1551" t="s">
        <v>713</v>
      </c>
      <c r="G1551">
        <v>0</v>
      </c>
      <c r="H1551">
        <v>0</v>
      </c>
    </row>
    <row r="1552" spans="2:8" x14ac:dyDescent="0.25">
      <c r="B1552" t="str">
        <f t="shared" si="24"/>
        <v>CYMPopulation ages 55-59, female</v>
      </c>
      <c r="C1552" t="s">
        <v>452</v>
      </c>
      <c r="D1552" t="s">
        <v>453</v>
      </c>
      <c r="E1552" t="s">
        <v>384</v>
      </c>
      <c r="F1552" t="s">
        <v>714</v>
      </c>
      <c r="G1552">
        <v>0</v>
      </c>
      <c r="H1552">
        <v>0</v>
      </c>
    </row>
    <row r="1553" spans="2:8" x14ac:dyDescent="0.25">
      <c r="B1553" t="str">
        <f t="shared" si="24"/>
        <v>CYMPopulation ages 65-69, male</v>
      </c>
      <c r="C1553" t="s">
        <v>452</v>
      </c>
      <c r="D1553" t="s">
        <v>453</v>
      </c>
      <c r="E1553" t="s">
        <v>389</v>
      </c>
      <c r="F1553" t="s">
        <v>715</v>
      </c>
      <c r="G1553">
        <v>0</v>
      </c>
      <c r="H1553">
        <v>0</v>
      </c>
    </row>
    <row r="1554" spans="2:8" x14ac:dyDescent="0.25">
      <c r="B1554" t="str">
        <f t="shared" si="24"/>
        <v>CYMPopulation ages 65-69, female</v>
      </c>
      <c r="C1554" t="s">
        <v>452</v>
      </c>
      <c r="D1554" t="s">
        <v>453</v>
      </c>
      <c r="E1554" t="s">
        <v>388</v>
      </c>
      <c r="F1554" t="s">
        <v>716</v>
      </c>
      <c r="G1554">
        <v>0</v>
      </c>
      <c r="H1554">
        <v>0</v>
      </c>
    </row>
    <row r="1555" spans="2:8" x14ac:dyDescent="0.25">
      <c r="B1555" t="str">
        <f t="shared" si="24"/>
        <v>CYMPopulation ages 60-64, female</v>
      </c>
      <c r="C1555" t="s">
        <v>452</v>
      </c>
      <c r="D1555" t="s">
        <v>453</v>
      </c>
      <c r="E1555" t="s">
        <v>386</v>
      </c>
      <c r="F1555" t="s">
        <v>717</v>
      </c>
      <c r="G1555">
        <v>0</v>
      </c>
      <c r="H1555">
        <v>0</v>
      </c>
    </row>
    <row r="1556" spans="2:8" x14ac:dyDescent="0.25">
      <c r="B1556" t="str">
        <f t="shared" si="24"/>
        <v>CYMPopulation ages 60-64, male</v>
      </c>
      <c r="C1556" t="s">
        <v>452</v>
      </c>
      <c r="D1556" t="s">
        <v>453</v>
      </c>
      <c r="E1556" t="s">
        <v>387</v>
      </c>
      <c r="F1556" t="s">
        <v>718</v>
      </c>
      <c r="G1556">
        <v>0</v>
      </c>
      <c r="H1556">
        <v>0</v>
      </c>
    </row>
    <row r="1557" spans="2:8" x14ac:dyDescent="0.25">
      <c r="B1557" t="str">
        <f t="shared" si="24"/>
        <v>CYMPopulation ages 70-74, female</v>
      </c>
      <c r="C1557" t="s">
        <v>452</v>
      </c>
      <c r="D1557" t="s">
        <v>453</v>
      </c>
      <c r="E1557" t="s">
        <v>390</v>
      </c>
      <c r="F1557" t="s">
        <v>719</v>
      </c>
      <c r="G1557">
        <v>0</v>
      </c>
      <c r="H1557">
        <v>0</v>
      </c>
    </row>
    <row r="1558" spans="2:8" x14ac:dyDescent="0.25">
      <c r="B1558" t="str">
        <f t="shared" si="24"/>
        <v>CYMPopulation ages 70-74, male</v>
      </c>
      <c r="C1558" t="s">
        <v>452</v>
      </c>
      <c r="D1558" t="s">
        <v>453</v>
      </c>
      <c r="E1558" t="s">
        <v>391</v>
      </c>
      <c r="F1558" t="s">
        <v>720</v>
      </c>
      <c r="G1558">
        <v>0</v>
      </c>
      <c r="H1558">
        <v>0</v>
      </c>
    </row>
    <row r="1559" spans="2:8" x14ac:dyDescent="0.25">
      <c r="B1559" t="str">
        <f t="shared" si="24"/>
        <v>CYMPopulation ages 75-79, female</v>
      </c>
      <c r="C1559" t="s">
        <v>452</v>
      </c>
      <c r="D1559" t="s">
        <v>453</v>
      </c>
      <c r="E1559" t="s">
        <v>392</v>
      </c>
      <c r="F1559" t="s">
        <v>721</v>
      </c>
      <c r="G1559">
        <v>0</v>
      </c>
      <c r="H1559">
        <v>0</v>
      </c>
    </row>
    <row r="1560" spans="2:8" x14ac:dyDescent="0.25">
      <c r="B1560" t="str">
        <f t="shared" si="24"/>
        <v>CYMPopulation ages 75-79, male</v>
      </c>
      <c r="C1560" t="s">
        <v>452</v>
      </c>
      <c r="D1560" t="s">
        <v>453</v>
      </c>
      <c r="E1560" t="s">
        <v>393</v>
      </c>
      <c r="F1560" t="s">
        <v>722</v>
      </c>
      <c r="G1560">
        <v>0</v>
      </c>
      <c r="H1560">
        <v>0</v>
      </c>
    </row>
    <row r="1561" spans="2:8" x14ac:dyDescent="0.25">
      <c r="B1561" t="str">
        <f t="shared" si="24"/>
        <v>CYMPopulation ages 80 and above, female</v>
      </c>
      <c r="C1561" t="s">
        <v>452</v>
      </c>
      <c r="D1561" t="s">
        <v>453</v>
      </c>
      <c r="E1561" t="s">
        <v>394</v>
      </c>
      <c r="F1561" t="s">
        <v>723</v>
      </c>
      <c r="G1561">
        <v>0</v>
      </c>
      <c r="H1561">
        <v>0</v>
      </c>
    </row>
    <row r="1562" spans="2:8" x14ac:dyDescent="0.25">
      <c r="B1562" t="str">
        <f t="shared" si="24"/>
        <v>CYMPopulation ages 80 and above, male</v>
      </c>
      <c r="C1562" t="s">
        <v>452</v>
      </c>
      <c r="D1562" t="s">
        <v>453</v>
      </c>
      <c r="E1562" t="s">
        <v>395</v>
      </c>
      <c r="F1562" t="s">
        <v>724</v>
      </c>
      <c r="G1562">
        <v>0</v>
      </c>
      <c r="H1562">
        <v>0</v>
      </c>
    </row>
    <row r="1563" spans="2:8" x14ac:dyDescent="0.25">
      <c r="B1563" t="str">
        <f t="shared" si="24"/>
        <v>CYMPopulation, male</v>
      </c>
      <c r="C1563" t="s">
        <v>452</v>
      </c>
      <c r="D1563" t="s">
        <v>453</v>
      </c>
      <c r="E1563" t="s">
        <v>397</v>
      </c>
      <c r="F1563" t="s">
        <v>725</v>
      </c>
      <c r="G1563">
        <v>0</v>
      </c>
      <c r="H1563">
        <v>0</v>
      </c>
    </row>
    <row r="1564" spans="2:8" x14ac:dyDescent="0.25">
      <c r="B1564" t="str">
        <f t="shared" si="24"/>
        <v>CYMPopulation, total</v>
      </c>
      <c r="C1564" t="s">
        <v>452</v>
      </c>
      <c r="D1564" t="s">
        <v>453</v>
      </c>
      <c r="E1564" t="s">
        <v>398</v>
      </c>
      <c r="F1564" t="s">
        <v>726</v>
      </c>
      <c r="G1564">
        <v>65000</v>
      </c>
      <c r="H1564">
        <v>66000</v>
      </c>
    </row>
    <row r="1565" spans="2:8" x14ac:dyDescent="0.25">
      <c r="B1565" t="str">
        <f t="shared" si="24"/>
        <v>CYMPopulation, female</v>
      </c>
      <c r="C1565" t="s">
        <v>452</v>
      </c>
      <c r="D1565" t="s">
        <v>453</v>
      </c>
      <c r="E1565" t="s">
        <v>396</v>
      </c>
      <c r="F1565" t="s">
        <v>727</v>
      </c>
      <c r="G1565">
        <v>0</v>
      </c>
      <c r="H1565">
        <v>0</v>
      </c>
    </row>
    <row r="1566" spans="2:8" x14ac:dyDescent="0.25">
      <c r="B1566" t="str">
        <f t="shared" si="24"/>
        <v>CYMPopulation growth (annual %)</v>
      </c>
      <c r="C1566" t="s">
        <v>452</v>
      </c>
      <c r="D1566" t="s">
        <v>453</v>
      </c>
      <c r="E1566" t="s">
        <v>399</v>
      </c>
      <c r="F1566" t="s">
        <v>728</v>
      </c>
      <c r="G1566">
        <v>0</v>
      </c>
      <c r="H1566">
        <v>0</v>
      </c>
    </row>
    <row r="1567" spans="2:8" x14ac:dyDescent="0.25">
      <c r="B1567" t="str">
        <f t="shared" si="24"/>
        <v>CAFPopulation ages 0-14, female</v>
      </c>
      <c r="C1567" t="s">
        <v>188</v>
      </c>
      <c r="D1567" t="s">
        <v>173</v>
      </c>
      <c r="E1567" t="s">
        <v>687</v>
      </c>
      <c r="F1567" t="s">
        <v>688</v>
      </c>
      <c r="G1567">
        <v>1036000</v>
      </c>
      <c r="H1567">
        <v>1045000</v>
      </c>
    </row>
    <row r="1568" spans="2:8" x14ac:dyDescent="0.25">
      <c r="B1568" t="str">
        <f t="shared" si="24"/>
        <v>CAFPopulation ages 0-14, male</v>
      </c>
      <c r="C1568" t="s">
        <v>188</v>
      </c>
      <c r="D1568" t="s">
        <v>173</v>
      </c>
      <c r="E1568" t="s">
        <v>689</v>
      </c>
      <c r="F1568" t="s">
        <v>690</v>
      </c>
      <c r="G1568">
        <v>1048000</v>
      </c>
      <c r="H1568">
        <v>1058000</v>
      </c>
    </row>
    <row r="1569" spans="2:8" x14ac:dyDescent="0.25">
      <c r="B1569" t="str">
        <f t="shared" si="24"/>
        <v>CAFPopulation ages 00-04, female</v>
      </c>
      <c r="C1569" t="s">
        <v>188</v>
      </c>
      <c r="D1569" t="s">
        <v>173</v>
      </c>
      <c r="E1569" t="s">
        <v>362</v>
      </c>
      <c r="F1569" t="s">
        <v>691</v>
      </c>
      <c r="G1569">
        <v>363000</v>
      </c>
      <c r="H1569">
        <v>366000</v>
      </c>
    </row>
    <row r="1570" spans="2:8" x14ac:dyDescent="0.25">
      <c r="B1570" t="str">
        <f t="shared" si="24"/>
        <v>CAFPopulation ages 00-04, male</v>
      </c>
      <c r="C1570" t="s">
        <v>188</v>
      </c>
      <c r="D1570" t="s">
        <v>173</v>
      </c>
      <c r="E1570" t="s">
        <v>363</v>
      </c>
      <c r="F1570" t="s">
        <v>692</v>
      </c>
      <c r="G1570">
        <v>368000</v>
      </c>
      <c r="H1570">
        <v>372000</v>
      </c>
    </row>
    <row r="1571" spans="2:8" x14ac:dyDescent="0.25">
      <c r="B1571" t="str">
        <f t="shared" si="24"/>
        <v>CAFPopulation ages 05-09, female</v>
      </c>
      <c r="C1571" t="s">
        <v>188</v>
      </c>
      <c r="D1571" t="s">
        <v>173</v>
      </c>
      <c r="E1571" t="s">
        <v>364</v>
      </c>
      <c r="F1571" t="s">
        <v>693</v>
      </c>
      <c r="G1571">
        <v>346000</v>
      </c>
      <c r="H1571">
        <v>347000</v>
      </c>
    </row>
    <row r="1572" spans="2:8" x14ac:dyDescent="0.25">
      <c r="B1572" t="str">
        <f t="shared" si="24"/>
        <v>CAFPopulation ages 05-09, male</v>
      </c>
      <c r="C1572" t="s">
        <v>188</v>
      </c>
      <c r="D1572" t="s">
        <v>173</v>
      </c>
      <c r="E1572" t="s">
        <v>365</v>
      </c>
      <c r="F1572" t="s">
        <v>694</v>
      </c>
      <c r="G1572">
        <v>350000</v>
      </c>
      <c r="H1572">
        <v>351000</v>
      </c>
    </row>
    <row r="1573" spans="2:8" x14ac:dyDescent="0.25">
      <c r="B1573" t="str">
        <f t="shared" si="24"/>
        <v>CAFPopulation ages 10-14, female</v>
      </c>
      <c r="C1573" t="s">
        <v>188</v>
      </c>
      <c r="D1573" t="s">
        <v>173</v>
      </c>
      <c r="E1573" t="s">
        <v>366</v>
      </c>
      <c r="F1573" t="s">
        <v>695</v>
      </c>
      <c r="G1573">
        <v>328000</v>
      </c>
      <c r="H1573">
        <v>332000</v>
      </c>
    </row>
    <row r="1574" spans="2:8" x14ac:dyDescent="0.25">
      <c r="B1574" t="str">
        <f t="shared" si="24"/>
        <v>CAFPopulation ages 10-14, male</v>
      </c>
      <c r="C1574" t="s">
        <v>188</v>
      </c>
      <c r="D1574" t="s">
        <v>173</v>
      </c>
      <c r="E1574" t="s">
        <v>367</v>
      </c>
      <c r="F1574" t="s">
        <v>696</v>
      </c>
      <c r="G1574">
        <v>330000</v>
      </c>
      <c r="H1574">
        <v>335000</v>
      </c>
    </row>
    <row r="1575" spans="2:8" x14ac:dyDescent="0.25">
      <c r="B1575" t="str">
        <f t="shared" si="24"/>
        <v>CAFPopulation ages 15-19, female</v>
      </c>
      <c r="C1575" t="s">
        <v>188</v>
      </c>
      <c r="D1575" t="s">
        <v>173</v>
      </c>
      <c r="E1575" t="s">
        <v>368</v>
      </c>
      <c r="F1575" t="s">
        <v>697</v>
      </c>
      <c r="G1575">
        <v>290000</v>
      </c>
      <c r="H1575">
        <v>298000</v>
      </c>
    </row>
    <row r="1576" spans="2:8" x14ac:dyDescent="0.25">
      <c r="B1576" t="str">
        <f t="shared" si="24"/>
        <v>CAFPopulation ages 15-19, male</v>
      </c>
      <c r="C1576" t="s">
        <v>188</v>
      </c>
      <c r="D1576" t="s">
        <v>173</v>
      </c>
      <c r="E1576" t="s">
        <v>369</v>
      </c>
      <c r="F1576" t="s">
        <v>698</v>
      </c>
      <c r="G1576">
        <v>291000</v>
      </c>
      <c r="H1576">
        <v>299000</v>
      </c>
    </row>
    <row r="1577" spans="2:8" x14ac:dyDescent="0.25">
      <c r="B1577" t="str">
        <f t="shared" si="24"/>
        <v>CAFPopulation ages 20-24, female</v>
      </c>
      <c r="C1577" t="s">
        <v>188</v>
      </c>
      <c r="D1577" t="s">
        <v>173</v>
      </c>
      <c r="E1577" t="s">
        <v>370</v>
      </c>
      <c r="F1577" t="s">
        <v>699</v>
      </c>
      <c r="G1577">
        <v>232000</v>
      </c>
      <c r="H1577">
        <v>241000</v>
      </c>
    </row>
    <row r="1578" spans="2:8" x14ac:dyDescent="0.25">
      <c r="B1578" t="str">
        <f t="shared" si="24"/>
        <v>CAFPopulation ages 20-24, male</v>
      </c>
      <c r="C1578" t="s">
        <v>188</v>
      </c>
      <c r="D1578" t="s">
        <v>173</v>
      </c>
      <c r="E1578" t="s">
        <v>371</v>
      </c>
      <c r="F1578" t="s">
        <v>700</v>
      </c>
      <c r="G1578">
        <v>232000</v>
      </c>
      <c r="H1578">
        <v>242000</v>
      </c>
    </row>
    <row r="1579" spans="2:8" x14ac:dyDescent="0.25">
      <c r="B1579" t="str">
        <f t="shared" si="24"/>
        <v>CAFPopulation ages 25-29, female</v>
      </c>
      <c r="C1579" t="s">
        <v>188</v>
      </c>
      <c r="D1579" t="s">
        <v>173</v>
      </c>
      <c r="E1579" t="s">
        <v>372</v>
      </c>
      <c r="F1579" t="s">
        <v>701</v>
      </c>
      <c r="G1579">
        <v>173000</v>
      </c>
      <c r="H1579">
        <v>179000</v>
      </c>
    </row>
    <row r="1580" spans="2:8" x14ac:dyDescent="0.25">
      <c r="B1580" t="str">
        <f t="shared" si="24"/>
        <v>CAFPopulation ages 25-29, male</v>
      </c>
      <c r="C1580" t="s">
        <v>188</v>
      </c>
      <c r="D1580" t="s">
        <v>173</v>
      </c>
      <c r="E1580" t="s">
        <v>373</v>
      </c>
      <c r="F1580" t="s">
        <v>702</v>
      </c>
      <c r="G1580">
        <v>173000</v>
      </c>
      <c r="H1580">
        <v>179000</v>
      </c>
    </row>
    <row r="1581" spans="2:8" x14ac:dyDescent="0.25">
      <c r="B1581" t="str">
        <f t="shared" si="24"/>
        <v>CAFPopulation ages 30-34, female</v>
      </c>
      <c r="C1581" t="s">
        <v>188</v>
      </c>
      <c r="D1581" t="s">
        <v>173</v>
      </c>
      <c r="E1581" t="s">
        <v>374</v>
      </c>
      <c r="F1581" t="s">
        <v>703</v>
      </c>
      <c r="G1581">
        <v>136000</v>
      </c>
      <c r="H1581">
        <v>138000</v>
      </c>
    </row>
    <row r="1582" spans="2:8" x14ac:dyDescent="0.25">
      <c r="B1582" t="str">
        <f t="shared" si="24"/>
        <v>CAFPopulation ages 30-34, male</v>
      </c>
      <c r="C1582" t="s">
        <v>188</v>
      </c>
      <c r="D1582" t="s">
        <v>173</v>
      </c>
      <c r="E1582" t="s">
        <v>375</v>
      </c>
      <c r="F1582" t="s">
        <v>704</v>
      </c>
      <c r="G1582">
        <v>136000</v>
      </c>
      <c r="H1582">
        <v>139000</v>
      </c>
    </row>
    <row r="1583" spans="2:8" x14ac:dyDescent="0.25">
      <c r="B1583" t="str">
        <f t="shared" si="24"/>
        <v>CAFPopulation ages 35-39, female</v>
      </c>
      <c r="C1583" t="s">
        <v>188</v>
      </c>
      <c r="D1583" t="s">
        <v>173</v>
      </c>
      <c r="E1583" t="s">
        <v>376</v>
      </c>
      <c r="F1583" t="s">
        <v>705</v>
      </c>
      <c r="G1583">
        <v>111000</v>
      </c>
      <c r="H1583">
        <v>112000</v>
      </c>
    </row>
    <row r="1584" spans="2:8" x14ac:dyDescent="0.25">
      <c r="B1584" t="str">
        <f t="shared" si="24"/>
        <v>CAFPopulation ages 35-39, male</v>
      </c>
      <c r="C1584" t="s">
        <v>188</v>
      </c>
      <c r="D1584" t="s">
        <v>173</v>
      </c>
      <c r="E1584" t="s">
        <v>377</v>
      </c>
      <c r="F1584" t="s">
        <v>706</v>
      </c>
      <c r="G1584">
        <v>110000</v>
      </c>
      <c r="H1584">
        <v>112000</v>
      </c>
    </row>
    <row r="1585" spans="2:8" x14ac:dyDescent="0.25">
      <c r="B1585" t="str">
        <f t="shared" si="24"/>
        <v>CAFPopulation ages 40-44, female</v>
      </c>
      <c r="C1585" t="s">
        <v>188</v>
      </c>
      <c r="D1585" t="s">
        <v>173</v>
      </c>
      <c r="E1585" t="s">
        <v>378</v>
      </c>
      <c r="F1585" t="s">
        <v>707</v>
      </c>
      <c r="G1585">
        <v>92000</v>
      </c>
      <c r="H1585">
        <v>93000</v>
      </c>
    </row>
    <row r="1586" spans="2:8" x14ac:dyDescent="0.25">
      <c r="B1586" t="str">
        <f t="shared" si="24"/>
        <v>CAFPopulation ages 40-44, male</v>
      </c>
      <c r="C1586" t="s">
        <v>188</v>
      </c>
      <c r="D1586" t="s">
        <v>173</v>
      </c>
      <c r="E1586" t="s">
        <v>379</v>
      </c>
      <c r="F1586" t="s">
        <v>708</v>
      </c>
      <c r="G1586">
        <v>89000</v>
      </c>
      <c r="H1586">
        <v>90000</v>
      </c>
    </row>
    <row r="1587" spans="2:8" x14ac:dyDescent="0.25">
      <c r="B1587" t="str">
        <f t="shared" si="24"/>
        <v>CAFPopulation ages 45-49, female</v>
      </c>
      <c r="C1587" t="s">
        <v>188</v>
      </c>
      <c r="D1587" t="s">
        <v>173</v>
      </c>
      <c r="E1587" t="s">
        <v>380</v>
      </c>
      <c r="F1587" t="s">
        <v>709</v>
      </c>
      <c r="G1587">
        <v>79000</v>
      </c>
      <c r="H1587">
        <v>80000</v>
      </c>
    </row>
    <row r="1588" spans="2:8" x14ac:dyDescent="0.25">
      <c r="B1588" t="str">
        <f t="shared" si="24"/>
        <v>CAFPopulation ages 45-49, male</v>
      </c>
      <c r="C1588" t="s">
        <v>188</v>
      </c>
      <c r="D1588" t="s">
        <v>173</v>
      </c>
      <c r="E1588" t="s">
        <v>381</v>
      </c>
      <c r="F1588" t="s">
        <v>710</v>
      </c>
      <c r="G1588">
        <v>76000</v>
      </c>
      <c r="H1588">
        <v>77000</v>
      </c>
    </row>
    <row r="1589" spans="2:8" x14ac:dyDescent="0.25">
      <c r="B1589" t="str">
        <f t="shared" si="24"/>
        <v>CAFPopulation ages 50-54, female</v>
      </c>
      <c r="C1589" t="s">
        <v>188</v>
      </c>
      <c r="D1589" t="s">
        <v>173</v>
      </c>
      <c r="E1589" t="s">
        <v>382</v>
      </c>
      <c r="F1589" t="s">
        <v>711</v>
      </c>
      <c r="G1589">
        <v>66000</v>
      </c>
      <c r="H1589">
        <v>67000</v>
      </c>
    </row>
    <row r="1590" spans="2:8" x14ac:dyDescent="0.25">
      <c r="B1590" t="str">
        <f t="shared" si="24"/>
        <v>CAFPopulation ages 50-54, male</v>
      </c>
      <c r="C1590" t="s">
        <v>188</v>
      </c>
      <c r="D1590" t="s">
        <v>173</v>
      </c>
      <c r="E1590" t="s">
        <v>383</v>
      </c>
      <c r="F1590" t="s">
        <v>712</v>
      </c>
      <c r="G1590">
        <v>61000</v>
      </c>
      <c r="H1590">
        <v>62000</v>
      </c>
    </row>
    <row r="1591" spans="2:8" x14ac:dyDescent="0.25">
      <c r="B1591" t="str">
        <f t="shared" si="24"/>
        <v>CAFPopulation ages 55-59, male</v>
      </c>
      <c r="C1591" t="s">
        <v>188</v>
      </c>
      <c r="D1591" t="s">
        <v>173</v>
      </c>
      <c r="E1591" t="s">
        <v>385</v>
      </c>
      <c r="F1591" t="s">
        <v>713</v>
      </c>
      <c r="G1591">
        <v>47000</v>
      </c>
      <c r="H1591">
        <v>48000</v>
      </c>
    </row>
    <row r="1592" spans="2:8" x14ac:dyDescent="0.25">
      <c r="B1592" t="str">
        <f t="shared" si="24"/>
        <v>CAFPopulation ages 55-59, female</v>
      </c>
      <c r="C1592" t="s">
        <v>188</v>
      </c>
      <c r="D1592" t="s">
        <v>173</v>
      </c>
      <c r="E1592" t="s">
        <v>384</v>
      </c>
      <c r="F1592" t="s">
        <v>714</v>
      </c>
      <c r="G1592">
        <v>55000</v>
      </c>
      <c r="H1592">
        <v>55000</v>
      </c>
    </row>
    <row r="1593" spans="2:8" x14ac:dyDescent="0.25">
      <c r="B1593" t="str">
        <f t="shared" si="24"/>
        <v>CAFPopulation ages 65-69, male</v>
      </c>
      <c r="C1593" t="s">
        <v>188</v>
      </c>
      <c r="D1593" t="s">
        <v>173</v>
      </c>
      <c r="E1593" t="s">
        <v>389</v>
      </c>
      <c r="F1593" t="s">
        <v>715</v>
      </c>
      <c r="G1593">
        <v>24000</v>
      </c>
      <c r="H1593">
        <v>25000</v>
      </c>
    </row>
    <row r="1594" spans="2:8" x14ac:dyDescent="0.25">
      <c r="B1594" t="str">
        <f t="shared" si="24"/>
        <v>CAFPopulation ages 65-69, female</v>
      </c>
      <c r="C1594" t="s">
        <v>188</v>
      </c>
      <c r="D1594" t="s">
        <v>173</v>
      </c>
      <c r="E1594" t="s">
        <v>388</v>
      </c>
      <c r="F1594" t="s">
        <v>716</v>
      </c>
      <c r="G1594">
        <v>32000</v>
      </c>
      <c r="H1594">
        <v>33000</v>
      </c>
    </row>
    <row r="1595" spans="2:8" x14ac:dyDescent="0.25">
      <c r="B1595" t="str">
        <f t="shared" si="24"/>
        <v>CAFPopulation ages 60-64, female</v>
      </c>
      <c r="C1595" t="s">
        <v>188</v>
      </c>
      <c r="D1595" t="s">
        <v>173</v>
      </c>
      <c r="E1595" t="s">
        <v>386</v>
      </c>
      <c r="F1595" t="s">
        <v>717</v>
      </c>
      <c r="G1595">
        <v>44000</v>
      </c>
      <c r="H1595">
        <v>45000</v>
      </c>
    </row>
    <row r="1596" spans="2:8" x14ac:dyDescent="0.25">
      <c r="B1596" t="str">
        <f t="shared" si="24"/>
        <v>CAFPopulation ages 60-64, male</v>
      </c>
      <c r="C1596" t="s">
        <v>188</v>
      </c>
      <c r="D1596" t="s">
        <v>173</v>
      </c>
      <c r="E1596" t="s">
        <v>387</v>
      </c>
      <c r="F1596" t="s">
        <v>718</v>
      </c>
      <c r="G1596">
        <v>35000</v>
      </c>
      <c r="H1596">
        <v>36000</v>
      </c>
    </row>
    <row r="1597" spans="2:8" x14ac:dyDescent="0.25">
      <c r="B1597" t="str">
        <f t="shared" si="24"/>
        <v>CAFPopulation ages 70-74, female</v>
      </c>
      <c r="C1597" t="s">
        <v>188</v>
      </c>
      <c r="D1597" t="s">
        <v>173</v>
      </c>
      <c r="E1597" t="s">
        <v>390</v>
      </c>
      <c r="F1597" t="s">
        <v>719</v>
      </c>
      <c r="G1597">
        <v>22000</v>
      </c>
      <c r="H1597">
        <v>23000</v>
      </c>
    </row>
    <row r="1598" spans="2:8" x14ac:dyDescent="0.25">
      <c r="B1598" t="str">
        <f t="shared" si="24"/>
        <v>CAFPopulation ages 70-74, male</v>
      </c>
      <c r="C1598" t="s">
        <v>188</v>
      </c>
      <c r="D1598" t="s">
        <v>173</v>
      </c>
      <c r="E1598" t="s">
        <v>391</v>
      </c>
      <c r="F1598" t="s">
        <v>720</v>
      </c>
      <c r="G1598">
        <v>15000</v>
      </c>
      <c r="H1598">
        <v>15000</v>
      </c>
    </row>
    <row r="1599" spans="2:8" x14ac:dyDescent="0.25">
      <c r="B1599" t="str">
        <f t="shared" si="24"/>
        <v>CAFPopulation ages 75-79, female</v>
      </c>
      <c r="C1599" t="s">
        <v>188</v>
      </c>
      <c r="D1599" t="s">
        <v>173</v>
      </c>
      <c r="E1599" t="s">
        <v>392</v>
      </c>
      <c r="F1599" t="s">
        <v>721</v>
      </c>
      <c r="G1599">
        <v>15000</v>
      </c>
      <c r="H1599">
        <v>15000</v>
      </c>
    </row>
    <row r="1600" spans="2:8" x14ac:dyDescent="0.25">
      <c r="B1600" t="str">
        <f t="shared" si="24"/>
        <v>CAFPopulation ages 75-79, male</v>
      </c>
      <c r="C1600" t="s">
        <v>188</v>
      </c>
      <c r="D1600" t="s">
        <v>173</v>
      </c>
      <c r="E1600" t="s">
        <v>393</v>
      </c>
      <c r="F1600" t="s">
        <v>722</v>
      </c>
      <c r="G1600">
        <v>9000</v>
      </c>
      <c r="H1600">
        <v>8900</v>
      </c>
    </row>
    <row r="1601" spans="2:8" x14ac:dyDescent="0.25">
      <c r="B1601" t="str">
        <f t="shared" si="24"/>
        <v>CAFPopulation ages 80 and above, female</v>
      </c>
      <c r="C1601" t="s">
        <v>188</v>
      </c>
      <c r="D1601" t="s">
        <v>173</v>
      </c>
      <c r="E1601" t="s">
        <v>394</v>
      </c>
      <c r="F1601" t="s">
        <v>723</v>
      </c>
      <c r="G1601">
        <v>11000</v>
      </c>
      <c r="H1601">
        <v>11000</v>
      </c>
    </row>
    <row r="1602" spans="2:8" x14ac:dyDescent="0.25">
      <c r="B1602" t="str">
        <f t="shared" si="24"/>
        <v>CAFPopulation ages 80 and above, male</v>
      </c>
      <c r="C1602" t="s">
        <v>188</v>
      </c>
      <c r="D1602" t="s">
        <v>173</v>
      </c>
      <c r="E1602" t="s">
        <v>395</v>
      </c>
      <c r="F1602" t="s">
        <v>724</v>
      </c>
      <c r="G1602">
        <v>5200</v>
      </c>
      <c r="H1602">
        <v>4800</v>
      </c>
    </row>
    <row r="1603" spans="2:8" x14ac:dyDescent="0.25">
      <c r="B1603" t="str">
        <f t="shared" si="24"/>
        <v>CAFPopulation, male</v>
      </c>
      <c r="C1603" t="s">
        <v>188</v>
      </c>
      <c r="D1603" t="s">
        <v>173</v>
      </c>
      <c r="E1603" t="s">
        <v>397</v>
      </c>
      <c r="F1603" t="s">
        <v>725</v>
      </c>
      <c r="G1603">
        <v>2352000</v>
      </c>
      <c r="H1603">
        <v>2394000</v>
      </c>
    </row>
    <row r="1604" spans="2:8" x14ac:dyDescent="0.25">
      <c r="B1604" t="str">
        <f t="shared" si="24"/>
        <v>CAFPopulation, total</v>
      </c>
      <c r="C1604" t="s">
        <v>188</v>
      </c>
      <c r="D1604" t="s">
        <v>173</v>
      </c>
      <c r="E1604" t="s">
        <v>398</v>
      </c>
      <c r="F1604" t="s">
        <v>726</v>
      </c>
      <c r="G1604">
        <v>4745000</v>
      </c>
      <c r="H1604">
        <v>4830000</v>
      </c>
    </row>
    <row r="1605" spans="2:8" x14ac:dyDescent="0.25">
      <c r="B1605" t="str">
        <f t="shared" si="24"/>
        <v>CAFPopulation, female</v>
      </c>
      <c r="C1605" t="s">
        <v>188</v>
      </c>
      <c r="D1605" t="s">
        <v>173</v>
      </c>
      <c r="E1605" t="s">
        <v>396</v>
      </c>
      <c r="F1605" t="s">
        <v>727</v>
      </c>
      <c r="G1605">
        <v>2393000</v>
      </c>
      <c r="H1605">
        <v>2436000</v>
      </c>
    </row>
    <row r="1606" spans="2:8" x14ac:dyDescent="0.25">
      <c r="B1606" t="str">
        <f t="shared" si="24"/>
        <v>CAFPopulation growth (annual %)</v>
      </c>
      <c r="C1606" t="s">
        <v>188</v>
      </c>
      <c r="D1606" t="s">
        <v>173</v>
      </c>
      <c r="E1606" t="s">
        <v>399</v>
      </c>
      <c r="F1606" t="s">
        <v>728</v>
      </c>
      <c r="G1606">
        <v>0</v>
      </c>
      <c r="H1606">
        <v>0</v>
      </c>
    </row>
    <row r="1607" spans="2:8" x14ac:dyDescent="0.25">
      <c r="B1607" t="str">
        <f t="shared" ref="B1607:B1670" si="25">CONCATENATE(D1607,E1607)</f>
        <v>CEBPopulation ages 0-14, female</v>
      </c>
      <c r="C1607" t="s">
        <v>454</v>
      </c>
      <c r="D1607" t="s">
        <v>455</v>
      </c>
      <c r="E1607" t="s">
        <v>687</v>
      </c>
      <c r="F1607" t="s">
        <v>688</v>
      </c>
      <c r="G1607">
        <v>7580000</v>
      </c>
      <c r="H1607">
        <v>7560000</v>
      </c>
    </row>
    <row r="1608" spans="2:8" x14ac:dyDescent="0.25">
      <c r="B1608" t="str">
        <f t="shared" si="25"/>
        <v>CEBPopulation ages 0-14, male</v>
      </c>
      <c r="C1608" t="s">
        <v>454</v>
      </c>
      <c r="D1608" t="s">
        <v>455</v>
      </c>
      <c r="E1608" t="s">
        <v>689</v>
      </c>
      <c r="F1608" t="s">
        <v>690</v>
      </c>
      <c r="G1608">
        <v>7993000</v>
      </c>
      <c r="H1608">
        <v>7975000</v>
      </c>
    </row>
    <row r="1609" spans="2:8" x14ac:dyDescent="0.25">
      <c r="B1609" t="str">
        <f t="shared" si="25"/>
        <v>CEBPopulation ages 00-04, female</v>
      </c>
      <c r="C1609" t="s">
        <v>454</v>
      </c>
      <c r="D1609" t="s">
        <v>455</v>
      </c>
      <c r="E1609" t="s">
        <v>362</v>
      </c>
      <c r="F1609" t="s">
        <v>691</v>
      </c>
      <c r="G1609">
        <v>2452000</v>
      </c>
      <c r="H1609">
        <v>2455000</v>
      </c>
    </row>
    <row r="1610" spans="2:8" x14ac:dyDescent="0.25">
      <c r="B1610" t="str">
        <f t="shared" si="25"/>
        <v>CEBPopulation ages 00-04, male</v>
      </c>
      <c r="C1610" t="s">
        <v>454</v>
      </c>
      <c r="D1610" t="s">
        <v>455</v>
      </c>
      <c r="E1610" t="s">
        <v>363</v>
      </c>
      <c r="F1610" t="s">
        <v>692</v>
      </c>
      <c r="G1610">
        <v>2591000</v>
      </c>
      <c r="H1610">
        <v>2594000</v>
      </c>
    </row>
    <row r="1611" spans="2:8" x14ac:dyDescent="0.25">
      <c r="B1611" t="str">
        <f t="shared" si="25"/>
        <v>CEBPopulation ages 05-09, female</v>
      </c>
      <c r="C1611" t="s">
        <v>454</v>
      </c>
      <c r="D1611" t="s">
        <v>455</v>
      </c>
      <c r="E1611" t="s">
        <v>364</v>
      </c>
      <c r="F1611" t="s">
        <v>693</v>
      </c>
      <c r="G1611">
        <v>2540000</v>
      </c>
      <c r="H1611">
        <v>2489000</v>
      </c>
    </row>
    <row r="1612" spans="2:8" x14ac:dyDescent="0.25">
      <c r="B1612" t="str">
        <f t="shared" si="25"/>
        <v>CEBPopulation ages 05-09, male</v>
      </c>
      <c r="C1612" t="s">
        <v>454</v>
      </c>
      <c r="D1612" t="s">
        <v>455</v>
      </c>
      <c r="E1612" t="s">
        <v>365</v>
      </c>
      <c r="F1612" t="s">
        <v>694</v>
      </c>
      <c r="G1612">
        <v>2676000</v>
      </c>
      <c r="H1612">
        <v>2626000</v>
      </c>
    </row>
    <row r="1613" spans="2:8" x14ac:dyDescent="0.25">
      <c r="B1613" t="str">
        <f t="shared" si="25"/>
        <v>CEBPopulation ages 10-14, female</v>
      </c>
      <c r="C1613" t="s">
        <v>454</v>
      </c>
      <c r="D1613" t="s">
        <v>455</v>
      </c>
      <c r="E1613" t="s">
        <v>366</v>
      </c>
      <c r="F1613" t="s">
        <v>695</v>
      </c>
      <c r="G1613">
        <v>2588000</v>
      </c>
      <c r="H1613">
        <v>2616000</v>
      </c>
    </row>
    <row r="1614" spans="2:8" x14ac:dyDescent="0.25">
      <c r="B1614" t="str">
        <f t="shared" si="25"/>
        <v>CEBPopulation ages 10-14, male</v>
      </c>
      <c r="C1614" t="s">
        <v>454</v>
      </c>
      <c r="D1614" t="s">
        <v>455</v>
      </c>
      <c r="E1614" t="s">
        <v>367</v>
      </c>
      <c r="F1614" t="s">
        <v>696</v>
      </c>
      <c r="G1614">
        <v>2723000</v>
      </c>
      <c r="H1614">
        <v>2756000</v>
      </c>
    </row>
    <row r="1615" spans="2:8" x14ac:dyDescent="0.25">
      <c r="B1615" t="str">
        <f t="shared" si="25"/>
        <v>CEBPopulation ages 15-19, female</v>
      </c>
      <c r="C1615" t="s">
        <v>454</v>
      </c>
      <c r="D1615" t="s">
        <v>455</v>
      </c>
      <c r="E1615" t="s">
        <v>368</v>
      </c>
      <c r="F1615" t="s">
        <v>697</v>
      </c>
      <c r="G1615">
        <v>2355000</v>
      </c>
      <c r="H1615">
        <v>2359000</v>
      </c>
    </row>
    <row r="1616" spans="2:8" x14ac:dyDescent="0.25">
      <c r="B1616" t="str">
        <f t="shared" si="25"/>
        <v>CEBPopulation ages 15-19, male</v>
      </c>
      <c r="C1616" t="s">
        <v>454</v>
      </c>
      <c r="D1616" t="s">
        <v>455</v>
      </c>
      <c r="E1616" t="s">
        <v>369</v>
      </c>
      <c r="F1616" t="s">
        <v>698</v>
      </c>
      <c r="G1616">
        <v>2470000</v>
      </c>
      <c r="H1616">
        <v>2475000</v>
      </c>
    </row>
    <row r="1617" spans="2:8" x14ac:dyDescent="0.25">
      <c r="B1617" t="str">
        <f t="shared" si="25"/>
        <v>CEBPopulation ages 20-24, female</v>
      </c>
      <c r="C1617" t="s">
        <v>454</v>
      </c>
      <c r="D1617" t="s">
        <v>455</v>
      </c>
      <c r="E1617" t="s">
        <v>370</v>
      </c>
      <c r="F1617" t="s">
        <v>699</v>
      </c>
      <c r="G1617">
        <v>2612000</v>
      </c>
      <c r="H1617">
        <v>2513000</v>
      </c>
    </row>
    <row r="1618" spans="2:8" x14ac:dyDescent="0.25">
      <c r="B1618" t="str">
        <f t="shared" si="25"/>
        <v>CEBPopulation ages 20-24, male</v>
      </c>
      <c r="C1618" t="s">
        <v>454</v>
      </c>
      <c r="D1618" t="s">
        <v>455</v>
      </c>
      <c r="E1618" t="s">
        <v>371</v>
      </c>
      <c r="F1618" t="s">
        <v>700</v>
      </c>
      <c r="G1618">
        <v>2739000</v>
      </c>
      <c r="H1618">
        <v>2632000</v>
      </c>
    </row>
    <row r="1619" spans="2:8" x14ac:dyDescent="0.25">
      <c r="B1619" t="str">
        <f t="shared" si="25"/>
        <v>CEBPopulation ages 25-29, female</v>
      </c>
      <c r="C1619" t="s">
        <v>454</v>
      </c>
      <c r="D1619" t="s">
        <v>455</v>
      </c>
      <c r="E1619" t="s">
        <v>372</v>
      </c>
      <c r="F1619" t="s">
        <v>701</v>
      </c>
      <c r="G1619">
        <v>3172000</v>
      </c>
      <c r="H1619">
        <v>3055000</v>
      </c>
    </row>
    <row r="1620" spans="2:8" x14ac:dyDescent="0.25">
      <c r="B1620" t="str">
        <f t="shared" si="25"/>
        <v>CEBPopulation ages 25-29, male</v>
      </c>
      <c r="C1620" t="s">
        <v>454</v>
      </c>
      <c r="D1620" t="s">
        <v>455</v>
      </c>
      <c r="E1620" t="s">
        <v>373</v>
      </c>
      <c r="F1620" t="s">
        <v>702</v>
      </c>
      <c r="G1620">
        <v>3373000</v>
      </c>
      <c r="H1620">
        <v>3240000</v>
      </c>
    </row>
    <row r="1621" spans="2:8" x14ac:dyDescent="0.25">
      <c r="B1621" t="str">
        <f t="shared" si="25"/>
        <v>CEBPopulation ages 30-34, female</v>
      </c>
      <c r="C1621" t="s">
        <v>454</v>
      </c>
      <c r="D1621" t="s">
        <v>455</v>
      </c>
      <c r="E1621" t="s">
        <v>374</v>
      </c>
      <c r="F1621" t="s">
        <v>703</v>
      </c>
      <c r="G1621">
        <v>3551000</v>
      </c>
      <c r="H1621">
        <v>3496000</v>
      </c>
    </row>
    <row r="1622" spans="2:8" x14ac:dyDescent="0.25">
      <c r="B1622" t="str">
        <f t="shared" si="25"/>
        <v>CEBPopulation ages 30-34, male</v>
      </c>
      <c r="C1622" t="s">
        <v>454</v>
      </c>
      <c r="D1622" t="s">
        <v>455</v>
      </c>
      <c r="E1622" t="s">
        <v>375</v>
      </c>
      <c r="F1622" t="s">
        <v>704</v>
      </c>
      <c r="G1622">
        <v>3810000</v>
      </c>
      <c r="H1622">
        <v>3756000</v>
      </c>
    </row>
    <row r="1623" spans="2:8" x14ac:dyDescent="0.25">
      <c r="B1623" t="str">
        <f t="shared" si="25"/>
        <v>CEBPopulation ages 35-39, female</v>
      </c>
      <c r="C1623" t="s">
        <v>454</v>
      </c>
      <c r="D1623" t="s">
        <v>455</v>
      </c>
      <c r="E1623" t="s">
        <v>376</v>
      </c>
      <c r="F1623" t="s">
        <v>705</v>
      </c>
      <c r="G1623">
        <v>3692000</v>
      </c>
      <c r="H1623">
        <v>3620000</v>
      </c>
    </row>
    <row r="1624" spans="2:8" x14ac:dyDescent="0.25">
      <c r="B1624" t="str">
        <f t="shared" si="25"/>
        <v>CEBPopulation ages 35-39, male</v>
      </c>
      <c r="C1624" t="s">
        <v>454</v>
      </c>
      <c r="D1624" t="s">
        <v>455</v>
      </c>
      <c r="E1624" t="s">
        <v>377</v>
      </c>
      <c r="F1624" t="s">
        <v>706</v>
      </c>
      <c r="G1624">
        <v>3909000</v>
      </c>
      <c r="H1624">
        <v>3852000</v>
      </c>
    </row>
    <row r="1625" spans="2:8" x14ac:dyDescent="0.25">
      <c r="B1625" t="str">
        <f t="shared" si="25"/>
        <v>CEBPopulation ages 40-44, female</v>
      </c>
      <c r="C1625" t="s">
        <v>454</v>
      </c>
      <c r="D1625" t="s">
        <v>455</v>
      </c>
      <c r="E1625" t="s">
        <v>378</v>
      </c>
      <c r="F1625" t="s">
        <v>707</v>
      </c>
      <c r="G1625">
        <v>3949000</v>
      </c>
      <c r="H1625">
        <v>3940000</v>
      </c>
    </row>
    <row r="1626" spans="2:8" x14ac:dyDescent="0.25">
      <c r="B1626" t="str">
        <f t="shared" si="25"/>
        <v>CEBPopulation ages 40-44, male</v>
      </c>
      <c r="C1626" t="s">
        <v>454</v>
      </c>
      <c r="D1626" t="s">
        <v>455</v>
      </c>
      <c r="E1626" t="s">
        <v>379</v>
      </c>
      <c r="F1626" t="s">
        <v>708</v>
      </c>
      <c r="G1626">
        <v>4080000</v>
      </c>
      <c r="H1626">
        <v>4082000</v>
      </c>
    </row>
    <row r="1627" spans="2:8" x14ac:dyDescent="0.25">
      <c r="B1627" t="str">
        <f t="shared" si="25"/>
        <v>CEBPopulation ages 45-49, female</v>
      </c>
      <c r="C1627" t="s">
        <v>454</v>
      </c>
      <c r="D1627" t="s">
        <v>455</v>
      </c>
      <c r="E1627" t="s">
        <v>380</v>
      </c>
      <c r="F1627" t="s">
        <v>709</v>
      </c>
      <c r="G1627">
        <v>3647000</v>
      </c>
      <c r="H1627">
        <v>3705000</v>
      </c>
    </row>
    <row r="1628" spans="2:8" x14ac:dyDescent="0.25">
      <c r="B1628" t="str">
        <f t="shared" si="25"/>
        <v>CEBPopulation ages 45-49, male</v>
      </c>
      <c r="C1628" t="s">
        <v>454</v>
      </c>
      <c r="D1628" t="s">
        <v>455</v>
      </c>
      <c r="E1628" t="s">
        <v>381</v>
      </c>
      <c r="F1628" t="s">
        <v>710</v>
      </c>
      <c r="G1628">
        <v>3708000</v>
      </c>
      <c r="H1628">
        <v>3777000</v>
      </c>
    </row>
    <row r="1629" spans="2:8" x14ac:dyDescent="0.25">
      <c r="B1629" t="str">
        <f t="shared" si="25"/>
        <v>CEBPopulation ages 50-54, female</v>
      </c>
      <c r="C1629" t="s">
        <v>454</v>
      </c>
      <c r="D1629" t="s">
        <v>455</v>
      </c>
      <c r="E1629" t="s">
        <v>382</v>
      </c>
      <c r="F1629" t="s">
        <v>711</v>
      </c>
      <c r="G1629">
        <v>3345000</v>
      </c>
      <c r="H1629">
        <v>3384000</v>
      </c>
    </row>
    <row r="1630" spans="2:8" x14ac:dyDescent="0.25">
      <c r="B1630" t="str">
        <f t="shared" si="25"/>
        <v>CEBPopulation ages 50-54, male</v>
      </c>
      <c r="C1630" t="s">
        <v>454</v>
      </c>
      <c r="D1630" t="s">
        <v>455</v>
      </c>
      <c r="E1630" t="s">
        <v>383</v>
      </c>
      <c r="F1630" t="s">
        <v>712</v>
      </c>
      <c r="G1630">
        <v>3298000</v>
      </c>
      <c r="H1630">
        <v>3349000</v>
      </c>
    </row>
    <row r="1631" spans="2:8" x14ac:dyDescent="0.25">
      <c r="B1631" t="str">
        <f t="shared" si="25"/>
        <v>CEBPopulation ages 55-59, male</v>
      </c>
      <c r="C1631" t="s">
        <v>454</v>
      </c>
      <c r="D1631" t="s">
        <v>455</v>
      </c>
      <c r="E1631" t="s">
        <v>385</v>
      </c>
      <c r="F1631" t="s">
        <v>713</v>
      </c>
      <c r="G1631">
        <v>3116000</v>
      </c>
      <c r="H1631">
        <v>3065000</v>
      </c>
    </row>
    <row r="1632" spans="2:8" x14ac:dyDescent="0.25">
      <c r="B1632" t="str">
        <f t="shared" si="25"/>
        <v>CEBPopulation ages 55-59, female</v>
      </c>
      <c r="C1632" t="s">
        <v>454</v>
      </c>
      <c r="D1632" t="s">
        <v>455</v>
      </c>
      <c r="E1632" t="s">
        <v>384</v>
      </c>
      <c r="F1632" t="s">
        <v>714</v>
      </c>
      <c r="G1632">
        <v>3331000</v>
      </c>
      <c r="H1632">
        <v>3255000</v>
      </c>
    </row>
    <row r="1633" spans="2:8" x14ac:dyDescent="0.25">
      <c r="B1633" t="str">
        <f t="shared" si="25"/>
        <v>CEBPopulation ages 65-69, male</v>
      </c>
      <c r="C1633" t="s">
        <v>454</v>
      </c>
      <c r="D1633" t="s">
        <v>455</v>
      </c>
      <c r="E1633" t="s">
        <v>389</v>
      </c>
      <c r="F1633" t="s">
        <v>715</v>
      </c>
      <c r="G1633">
        <v>2884000</v>
      </c>
      <c r="H1633">
        <v>2940000</v>
      </c>
    </row>
    <row r="1634" spans="2:8" x14ac:dyDescent="0.25">
      <c r="B1634" t="str">
        <f t="shared" si="25"/>
        <v>CEBPopulation ages 65-69, female</v>
      </c>
      <c r="C1634" t="s">
        <v>454</v>
      </c>
      <c r="D1634" t="s">
        <v>455</v>
      </c>
      <c r="E1634" t="s">
        <v>388</v>
      </c>
      <c r="F1634" t="s">
        <v>716</v>
      </c>
      <c r="G1634">
        <v>3613000</v>
      </c>
      <c r="H1634">
        <v>3671000</v>
      </c>
    </row>
    <row r="1635" spans="2:8" x14ac:dyDescent="0.25">
      <c r="B1635" t="str">
        <f t="shared" si="25"/>
        <v>CEBPopulation ages 60-64, female</v>
      </c>
      <c r="C1635" t="s">
        <v>454</v>
      </c>
      <c r="D1635" t="s">
        <v>455</v>
      </c>
      <c r="E1635" t="s">
        <v>386</v>
      </c>
      <c r="F1635" t="s">
        <v>717</v>
      </c>
      <c r="G1635">
        <v>3788000</v>
      </c>
      <c r="H1635">
        <v>3703000</v>
      </c>
    </row>
    <row r="1636" spans="2:8" x14ac:dyDescent="0.25">
      <c r="B1636" t="str">
        <f t="shared" si="25"/>
        <v>CEBPopulation ages 60-64, male</v>
      </c>
      <c r="C1636" t="s">
        <v>454</v>
      </c>
      <c r="D1636" t="s">
        <v>455</v>
      </c>
      <c r="E1636" t="s">
        <v>387</v>
      </c>
      <c r="F1636" t="s">
        <v>718</v>
      </c>
      <c r="G1636">
        <v>3305000</v>
      </c>
      <c r="H1636">
        <v>3248000</v>
      </c>
    </row>
    <row r="1637" spans="2:8" x14ac:dyDescent="0.25">
      <c r="B1637" t="str">
        <f t="shared" si="25"/>
        <v>CEBPopulation ages 70-74, female</v>
      </c>
      <c r="C1637" t="s">
        <v>454</v>
      </c>
      <c r="D1637" t="s">
        <v>455</v>
      </c>
      <c r="E1637" t="s">
        <v>390</v>
      </c>
      <c r="F1637" t="s">
        <v>719</v>
      </c>
      <c r="G1637">
        <v>2821000</v>
      </c>
      <c r="H1637">
        <v>2949000</v>
      </c>
    </row>
    <row r="1638" spans="2:8" x14ac:dyDescent="0.25">
      <c r="B1638" t="str">
        <f t="shared" si="25"/>
        <v>CEBPopulation ages 70-74, male</v>
      </c>
      <c r="C1638" t="s">
        <v>454</v>
      </c>
      <c r="D1638" t="s">
        <v>455</v>
      </c>
      <c r="E1638" t="s">
        <v>391</v>
      </c>
      <c r="F1638" t="s">
        <v>720</v>
      </c>
      <c r="G1638">
        <v>2015000</v>
      </c>
      <c r="H1638">
        <v>2116000</v>
      </c>
    </row>
    <row r="1639" spans="2:8" x14ac:dyDescent="0.25">
      <c r="B1639" t="str">
        <f t="shared" si="25"/>
        <v>CEBPopulation ages 75-79, female</v>
      </c>
      <c r="C1639" t="s">
        <v>454</v>
      </c>
      <c r="D1639" t="s">
        <v>455</v>
      </c>
      <c r="E1639" t="s">
        <v>392</v>
      </c>
      <c r="F1639" t="s">
        <v>721</v>
      </c>
      <c r="G1639">
        <v>2039000</v>
      </c>
      <c r="H1639">
        <v>2088000</v>
      </c>
    </row>
    <row r="1640" spans="2:8" x14ac:dyDescent="0.25">
      <c r="B1640" t="str">
        <f t="shared" si="25"/>
        <v>CEBPopulation ages 75-79, male</v>
      </c>
      <c r="C1640" t="s">
        <v>454</v>
      </c>
      <c r="D1640" t="s">
        <v>455</v>
      </c>
      <c r="E1640" t="s">
        <v>393</v>
      </c>
      <c r="F1640" t="s">
        <v>722</v>
      </c>
      <c r="G1640">
        <v>1244000</v>
      </c>
      <c r="H1640">
        <v>1285000</v>
      </c>
    </row>
    <row r="1641" spans="2:8" x14ac:dyDescent="0.25">
      <c r="B1641" t="str">
        <f t="shared" si="25"/>
        <v>CEBPopulation ages 80 and above, female</v>
      </c>
      <c r="C1641" t="s">
        <v>454</v>
      </c>
      <c r="D1641" t="s">
        <v>455</v>
      </c>
      <c r="E1641" t="s">
        <v>394</v>
      </c>
      <c r="F1641" t="s">
        <v>723</v>
      </c>
      <c r="G1641">
        <v>3232000</v>
      </c>
      <c r="H1641">
        <v>3242000</v>
      </c>
    </row>
    <row r="1642" spans="2:8" x14ac:dyDescent="0.25">
      <c r="B1642" t="str">
        <f t="shared" si="25"/>
        <v>CEBPopulation ages 80 and above, male</v>
      </c>
      <c r="C1642" t="s">
        <v>454</v>
      </c>
      <c r="D1642" t="s">
        <v>455</v>
      </c>
      <c r="E1642" t="s">
        <v>395</v>
      </c>
      <c r="F1642" t="s">
        <v>724</v>
      </c>
      <c r="G1642">
        <v>1516000</v>
      </c>
      <c r="H1642">
        <v>1506000</v>
      </c>
    </row>
    <row r="1643" spans="2:8" x14ac:dyDescent="0.25">
      <c r="B1643" t="str">
        <f t="shared" si="25"/>
        <v>CEBPopulation, male</v>
      </c>
      <c r="C1643" t="s">
        <v>454</v>
      </c>
      <c r="D1643" t="s">
        <v>455</v>
      </c>
      <c r="E1643" t="s">
        <v>397</v>
      </c>
      <c r="F1643" t="s">
        <v>725</v>
      </c>
      <c r="G1643">
        <v>49458000</v>
      </c>
      <c r="H1643">
        <v>49300000</v>
      </c>
    </row>
    <row r="1644" spans="2:8" x14ac:dyDescent="0.25">
      <c r="B1644" t="str">
        <f t="shared" si="25"/>
        <v>CEBPopulation, total</v>
      </c>
      <c r="C1644" t="s">
        <v>454</v>
      </c>
      <c r="D1644" t="s">
        <v>455</v>
      </c>
      <c r="E1644" t="s">
        <v>398</v>
      </c>
      <c r="F1644" t="s">
        <v>726</v>
      </c>
      <c r="G1644">
        <v>102181000</v>
      </c>
      <c r="H1644">
        <v>101847000</v>
      </c>
    </row>
    <row r="1645" spans="2:8" x14ac:dyDescent="0.25">
      <c r="B1645" t="str">
        <f t="shared" si="25"/>
        <v>CEBPopulation, female</v>
      </c>
      <c r="C1645" t="s">
        <v>454</v>
      </c>
      <c r="D1645" t="s">
        <v>455</v>
      </c>
      <c r="E1645" t="s">
        <v>396</v>
      </c>
      <c r="F1645" t="s">
        <v>727</v>
      </c>
      <c r="G1645">
        <v>52722000</v>
      </c>
      <c r="H1645">
        <v>52547000</v>
      </c>
    </row>
    <row r="1646" spans="2:8" x14ac:dyDescent="0.25">
      <c r="B1646" t="str">
        <f t="shared" si="25"/>
        <v>CEBPopulation growth (annual %)</v>
      </c>
      <c r="C1646" t="s">
        <v>454</v>
      </c>
      <c r="D1646" t="s">
        <v>455</v>
      </c>
      <c r="E1646" t="s">
        <v>399</v>
      </c>
      <c r="F1646" t="s">
        <v>728</v>
      </c>
      <c r="G1646">
        <v>-0.32281318459720865</v>
      </c>
      <c r="H1646">
        <v>-0.32687094469618216</v>
      </c>
    </row>
    <row r="1647" spans="2:8" x14ac:dyDescent="0.25">
      <c r="B1647" t="str">
        <f t="shared" si="25"/>
        <v>TCDPopulation ages 0-14, female</v>
      </c>
      <c r="C1647" t="s">
        <v>189</v>
      </c>
      <c r="D1647" t="s">
        <v>169</v>
      </c>
      <c r="E1647" t="s">
        <v>687</v>
      </c>
      <c r="F1647" t="s">
        <v>688</v>
      </c>
      <c r="G1647">
        <v>3717000</v>
      </c>
      <c r="H1647">
        <v>3801000</v>
      </c>
    </row>
    <row r="1648" spans="2:8" x14ac:dyDescent="0.25">
      <c r="B1648" t="str">
        <f t="shared" si="25"/>
        <v>TCDPopulation ages 0-14, male</v>
      </c>
      <c r="C1648" t="s">
        <v>189</v>
      </c>
      <c r="D1648" t="s">
        <v>169</v>
      </c>
      <c r="E1648" t="s">
        <v>689</v>
      </c>
      <c r="F1648" t="s">
        <v>690</v>
      </c>
      <c r="G1648">
        <v>3749000</v>
      </c>
      <c r="H1648">
        <v>3835000</v>
      </c>
    </row>
    <row r="1649" spans="2:8" x14ac:dyDescent="0.25">
      <c r="B1649" t="str">
        <f t="shared" si="25"/>
        <v>TCDPopulation ages 00-04, female</v>
      </c>
      <c r="C1649" t="s">
        <v>189</v>
      </c>
      <c r="D1649" t="s">
        <v>169</v>
      </c>
      <c r="E1649" t="s">
        <v>362</v>
      </c>
      <c r="F1649" t="s">
        <v>691</v>
      </c>
      <c r="G1649">
        <v>1426000</v>
      </c>
      <c r="H1649">
        <v>1455000</v>
      </c>
    </row>
    <row r="1650" spans="2:8" x14ac:dyDescent="0.25">
      <c r="B1650" t="str">
        <f t="shared" si="25"/>
        <v>TCDPopulation ages 00-04, male</v>
      </c>
      <c r="C1650" t="s">
        <v>189</v>
      </c>
      <c r="D1650" t="s">
        <v>169</v>
      </c>
      <c r="E1650" t="s">
        <v>363</v>
      </c>
      <c r="F1650" t="s">
        <v>692</v>
      </c>
      <c r="G1650">
        <v>1446000</v>
      </c>
      <c r="H1650">
        <v>1476000</v>
      </c>
    </row>
    <row r="1651" spans="2:8" x14ac:dyDescent="0.25">
      <c r="B1651" t="str">
        <f t="shared" si="25"/>
        <v>TCDPopulation ages 05-09, female</v>
      </c>
      <c r="C1651" t="s">
        <v>189</v>
      </c>
      <c r="D1651" t="s">
        <v>169</v>
      </c>
      <c r="E1651" t="s">
        <v>364</v>
      </c>
      <c r="F1651" t="s">
        <v>693</v>
      </c>
      <c r="G1651">
        <v>1230000</v>
      </c>
      <c r="H1651">
        <v>1257000</v>
      </c>
    </row>
    <row r="1652" spans="2:8" x14ac:dyDescent="0.25">
      <c r="B1652" t="str">
        <f t="shared" si="25"/>
        <v>TCDPopulation ages 05-09, male</v>
      </c>
      <c r="C1652" t="s">
        <v>189</v>
      </c>
      <c r="D1652" t="s">
        <v>169</v>
      </c>
      <c r="E1652" t="s">
        <v>365</v>
      </c>
      <c r="F1652" t="s">
        <v>694</v>
      </c>
      <c r="G1652">
        <v>1239000</v>
      </c>
      <c r="H1652">
        <v>1265000</v>
      </c>
    </row>
    <row r="1653" spans="2:8" x14ac:dyDescent="0.25">
      <c r="B1653" t="str">
        <f t="shared" si="25"/>
        <v>TCDPopulation ages 10-14, female</v>
      </c>
      <c r="C1653" t="s">
        <v>189</v>
      </c>
      <c r="D1653" t="s">
        <v>169</v>
      </c>
      <c r="E1653" t="s">
        <v>366</v>
      </c>
      <c r="F1653" t="s">
        <v>695</v>
      </c>
      <c r="G1653">
        <v>1061000</v>
      </c>
      <c r="H1653">
        <v>1090000</v>
      </c>
    </row>
    <row r="1654" spans="2:8" x14ac:dyDescent="0.25">
      <c r="B1654" t="str">
        <f t="shared" si="25"/>
        <v>TCDPopulation ages 10-14, male</v>
      </c>
      <c r="C1654" t="s">
        <v>189</v>
      </c>
      <c r="D1654" t="s">
        <v>169</v>
      </c>
      <c r="E1654" t="s">
        <v>367</v>
      </c>
      <c r="F1654" t="s">
        <v>696</v>
      </c>
      <c r="G1654">
        <v>1065000</v>
      </c>
      <c r="H1654">
        <v>1094000</v>
      </c>
    </row>
    <row r="1655" spans="2:8" x14ac:dyDescent="0.25">
      <c r="B1655" t="str">
        <f t="shared" si="25"/>
        <v>TCDPopulation ages 15-19, female</v>
      </c>
      <c r="C1655" t="s">
        <v>189</v>
      </c>
      <c r="D1655" t="s">
        <v>169</v>
      </c>
      <c r="E1655" t="s">
        <v>368</v>
      </c>
      <c r="F1655" t="s">
        <v>697</v>
      </c>
      <c r="G1655">
        <v>896000</v>
      </c>
      <c r="H1655">
        <v>926000</v>
      </c>
    </row>
    <row r="1656" spans="2:8" x14ac:dyDescent="0.25">
      <c r="B1656" t="str">
        <f t="shared" si="25"/>
        <v>TCDPopulation ages 15-19, male</v>
      </c>
      <c r="C1656" t="s">
        <v>189</v>
      </c>
      <c r="D1656" t="s">
        <v>169</v>
      </c>
      <c r="E1656" t="s">
        <v>369</v>
      </c>
      <c r="F1656" t="s">
        <v>698</v>
      </c>
      <c r="G1656">
        <v>899000</v>
      </c>
      <c r="H1656">
        <v>929000</v>
      </c>
    </row>
    <row r="1657" spans="2:8" x14ac:dyDescent="0.25">
      <c r="B1657" t="str">
        <f t="shared" si="25"/>
        <v>TCDPopulation ages 20-24, female</v>
      </c>
      <c r="C1657" t="s">
        <v>189</v>
      </c>
      <c r="D1657" t="s">
        <v>169</v>
      </c>
      <c r="E1657" t="s">
        <v>370</v>
      </c>
      <c r="F1657" t="s">
        <v>699</v>
      </c>
      <c r="G1657">
        <v>739000</v>
      </c>
      <c r="H1657">
        <v>766000</v>
      </c>
    </row>
    <row r="1658" spans="2:8" x14ac:dyDescent="0.25">
      <c r="B1658" t="str">
        <f t="shared" si="25"/>
        <v>TCDPopulation ages 20-24, male</v>
      </c>
      <c r="C1658" t="s">
        <v>189</v>
      </c>
      <c r="D1658" t="s">
        <v>169</v>
      </c>
      <c r="E1658" t="s">
        <v>371</v>
      </c>
      <c r="F1658" t="s">
        <v>700</v>
      </c>
      <c r="G1658">
        <v>743000</v>
      </c>
      <c r="H1658">
        <v>770000</v>
      </c>
    </row>
    <row r="1659" spans="2:8" x14ac:dyDescent="0.25">
      <c r="B1659" t="str">
        <f t="shared" si="25"/>
        <v>TCDPopulation ages 25-29, female</v>
      </c>
      <c r="C1659" t="s">
        <v>189</v>
      </c>
      <c r="D1659" t="s">
        <v>169</v>
      </c>
      <c r="E1659" t="s">
        <v>372</v>
      </c>
      <c r="F1659" t="s">
        <v>701</v>
      </c>
      <c r="G1659">
        <v>599000</v>
      </c>
      <c r="H1659">
        <v>622000</v>
      </c>
    </row>
    <row r="1660" spans="2:8" x14ac:dyDescent="0.25">
      <c r="B1660" t="str">
        <f t="shared" si="25"/>
        <v>TCDPopulation ages 25-29, male</v>
      </c>
      <c r="C1660" t="s">
        <v>189</v>
      </c>
      <c r="D1660" t="s">
        <v>169</v>
      </c>
      <c r="E1660" t="s">
        <v>373</v>
      </c>
      <c r="F1660" t="s">
        <v>702</v>
      </c>
      <c r="G1660">
        <v>600000</v>
      </c>
      <c r="H1660">
        <v>623000</v>
      </c>
    </row>
    <row r="1661" spans="2:8" x14ac:dyDescent="0.25">
      <c r="B1661" t="str">
        <f t="shared" si="25"/>
        <v>TCDPopulation ages 30-34, female</v>
      </c>
      <c r="C1661" t="s">
        <v>189</v>
      </c>
      <c r="D1661" t="s">
        <v>169</v>
      </c>
      <c r="E1661" t="s">
        <v>374</v>
      </c>
      <c r="F1661" t="s">
        <v>703</v>
      </c>
      <c r="G1661">
        <v>475000</v>
      </c>
      <c r="H1661">
        <v>494000</v>
      </c>
    </row>
    <row r="1662" spans="2:8" x14ac:dyDescent="0.25">
      <c r="B1662" t="str">
        <f t="shared" si="25"/>
        <v>TCDPopulation ages 30-34, male</v>
      </c>
      <c r="C1662" t="s">
        <v>189</v>
      </c>
      <c r="D1662" t="s">
        <v>169</v>
      </c>
      <c r="E1662" t="s">
        <v>375</v>
      </c>
      <c r="F1662" t="s">
        <v>704</v>
      </c>
      <c r="G1662">
        <v>477000</v>
      </c>
      <c r="H1662">
        <v>496000</v>
      </c>
    </row>
    <row r="1663" spans="2:8" x14ac:dyDescent="0.25">
      <c r="B1663" t="str">
        <f t="shared" si="25"/>
        <v>TCDPopulation ages 35-39, female</v>
      </c>
      <c r="C1663" t="s">
        <v>189</v>
      </c>
      <c r="D1663" t="s">
        <v>169</v>
      </c>
      <c r="E1663" t="s">
        <v>376</v>
      </c>
      <c r="F1663" t="s">
        <v>705</v>
      </c>
      <c r="G1663">
        <v>374000</v>
      </c>
      <c r="H1663">
        <v>389000</v>
      </c>
    </row>
    <row r="1664" spans="2:8" x14ac:dyDescent="0.25">
      <c r="B1664" t="str">
        <f t="shared" si="25"/>
        <v>TCDPopulation ages 35-39, male</v>
      </c>
      <c r="C1664" t="s">
        <v>189</v>
      </c>
      <c r="D1664" t="s">
        <v>169</v>
      </c>
      <c r="E1664" t="s">
        <v>377</v>
      </c>
      <c r="F1664" t="s">
        <v>706</v>
      </c>
      <c r="G1664">
        <v>376000</v>
      </c>
      <c r="H1664">
        <v>391000</v>
      </c>
    </row>
    <row r="1665" spans="2:8" x14ac:dyDescent="0.25">
      <c r="B1665" t="str">
        <f t="shared" si="25"/>
        <v>TCDPopulation ages 40-44, female</v>
      </c>
      <c r="C1665" t="s">
        <v>189</v>
      </c>
      <c r="D1665" t="s">
        <v>169</v>
      </c>
      <c r="E1665" t="s">
        <v>378</v>
      </c>
      <c r="F1665" t="s">
        <v>707</v>
      </c>
      <c r="G1665">
        <v>293000</v>
      </c>
      <c r="H1665">
        <v>304000</v>
      </c>
    </row>
    <row r="1666" spans="2:8" x14ac:dyDescent="0.25">
      <c r="B1666" t="str">
        <f t="shared" si="25"/>
        <v>TCDPopulation ages 40-44, male</v>
      </c>
      <c r="C1666" t="s">
        <v>189</v>
      </c>
      <c r="D1666" t="s">
        <v>169</v>
      </c>
      <c r="E1666" t="s">
        <v>379</v>
      </c>
      <c r="F1666" t="s">
        <v>708</v>
      </c>
      <c r="G1666">
        <v>294000</v>
      </c>
      <c r="H1666">
        <v>306000</v>
      </c>
    </row>
    <row r="1667" spans="2:8" x14ac:dyDescent="0.25">
      <c r="B1667" t="str">
        <f t="shared" si="25"/>
        <v>TCDPopulation ages 45-49, female</v>
      </c>
      <c r="C1667" t="s">
        <v>189</v>
      </c>
      <c r="D1667" t="s">
        <v>169</v>
      </c>
      <c r="E1667" t="s">
        <v>380</v>
      </c>
      <c r="F1667" t="s">
        <v>709</v>
      </c>
      <c r="G1667">
        <v>228000</v>
      </c>
      <c r="H1667">
        <v>237000</v>
      </c>
    </row>
    <row r="1668" spans="2:8" x14ac:dyDescent="0.25">
      <c r="B1668" t="str">
        <f t="shared" si="25"/>
        <v>TCDPopulation ages 45-49, male</v>
      </c>
      <c r="C1668" t="s">
        <v>189</v>
      </c>
      <c r="D1668" t="s">
        <v>169</v>
      </c>
      <c r="E1668" t="s">
        <v>381</v>
      </c>
      <c r="F1668" t="s">
        <v>710</v>
      </c>
      <c r="G1668">
        <v>226000</v>
      </c>
      <c r="H1668">
        <v>235000</v>
      </c>
    </row>
    <row r="1669" spans="2:8" x14ac:dyDescent="0.25">
      <c r="B1669" t="str">
        <f t="shared" si="25"/>
        <v>TCDPopulation ages 50-54, female</v>
      </c>
      <c r="C1669" t="s">
        <v>189</v>
      </c>
      <c r="D1669" t="s">
        <v>169</v>
      </c>
      <c r="E1669" t="s">
        <v>382</v>
      </c>
      <c r="F1669" t="s">
        <v>711</v>
      </c>
      <c r="G1669">
        <v>179000</v>
      </c>
      <c r="H1669">
        <v>185000</v>
      </c>
    </row>
    <row r="1670" spans="2:8" x14ac:dyDescent="0.25">
      <c r="B1670" t="str">
        <f t="shared" si="25"/>
        <v>TCDPopulation ages 50-54, male</v>
      </c>
      <c r="C1670" t="s">
        <v>189</v>
      </c>
      <c r="D1670" t="s">
        <v>169</v>
      </c>
      <c r="E1670" t="s">
        <v>383</v>
      </c>
      <c r="F1670" t="s">
        <v>712</v>
      </c>
      <c r="G1670">
        <v>171000</v>
      </c>
      <c r="H1670">
        <v>178000</v>
      </c>
    </row>
    <row r="1671" spans="2:8" x14ac:dyDescent="0.25">
      <c r="B1671" t="str">
        <f t="shared" ref="B1671:B1734" si="26">CONCATENATE(D1671,E1671)</f>
        <v>TCDPopulation ages 55-59, male</v>
      </c>
      <c r="C1671" t="s">
        <v>189</v>
      </c>
      <c r="D1671" t="s">
        <v>169</v>
      </c>
      <c r="E1671" t="s">
        <v>385</v>
      </c>
      <c r="F1671" t="s">
        <v>713</v>
      </c>
      <c r="G1671">
        <v>137000</v>
      </c>
      <c r="H1671">
        <v>140000</v>
      </c>
    </row>
    <row r="1672" spans="2:8" x14ac:dyDescent="0.25">
      <c r="B1672" t="str">
        <f t="shared" si="26"/>
        <v>TCDPopulation ages 55-59, female</v>
      </c>
      <c r="C1672" t="s">
        <v>189</v>
      </c>
      <c r="D1672" t="s">
        <v>169</v>
      </c>
      <c r="E1672" t="s">
        <v>384</v>
      </c>
      <c r="F1672" t="s">
        <v>714</v>
      </c>
      <c r="G1672">
        <v>148000</v>
      </c>
      <c r="H1672">
        <v>152000</v>
      </c>
    </row>
    <row r="1673" spans="2:8" x14ac:dyDescent="0.25">
      <c r="B1673" t="str">
        <f t="shared" si="26"/>
        <v>TCDPopulation ages 65-69, male</v>
      </c>
      <c r="C1673" t="s">
        <v>189</v>
      </c>
      <c r="D1673" t="s">
        <v>169</v>
      </c>
      <c r="E1673" t="s">
        <v>389</v>
      </c>
      <c r="F1673" t="s">
        <v>715</v>
      </c>
      <c r="G1673">
        <v>80000</v>
      </c>
      <c r="H1673">
        <v>83000</v>
      </c>
    </row>
    <row r="1674" spans="2:8" x14ac:dyDescent="0.25">
      <c r="B1674" t="str">
        <f t="shared" si="26"/>
        <v>TCDPopulation ages 65-69, female</v>
      </c>
      <c r="C1674" t="s">
        <v>189</v>
      </c>
      <c r="D1674" t="s">
        <v>169</v>
      </c>
      <c r="E1674" t="s">
        <v>388</v>
      </c>
      <c r="F1674" t="s">
        <v>716</v>
      </c>
      <c r="G1674">
        <v>94000</v>
      </c>
      <c r="H1674">
        <v>99000</v>
      </c>
    </row>
    <row r="1675" spans="2:8" x14ac:dyDescent="0.25">
      <c r="B1675" t="str">
        <f t="shared" si="26"/>
        <v>TCDPopulation ages 60-64, female</v>
      </c>
      <c r="C1675" t="s">
        <v>189</v>
      </c>
      <c r="D1675" t="s">
        <v>169</v>
      </c>
      <c r="E1675" t="s">
        <v>386</v>
      </c>
      <c r="F1675" t="s">
        <v>717</v>
      </c>
      <c r="G1675">
        <v>123000</v>
      </c>
      <c r="H1675">
        <v>125000</v>
      </c>
    </row>
    <row r="1676" spans="2:8" x14ac:dyDescent="0.25">
      <c r="B1676" t="str">
        <f t="shared" si="26"/>
        <v>TCDPopulation ages 60-64, male</v>
      </c>
      <c r="C1676" t="s">
        <v>189</v>
      </c>
      <c r="D1676" t="s">
        <v>169</v>
      </c>
      <c r="E1676" t="s">
        <v>387</v>
      </c>
      <c r="F1676" t="s">
        <v>718</v>
      </c>
      <c r="G1676">
        <v>108000</v>
      </c>
      <c r="H1676">
        <v>111000</v>
      </c>
    </row>
    <row r="1677" spans="2:8" x14ac:dyDescent="0.25">
      <c r="B1677" t="str">
        <f t="shared" si="26"/>
        <v>TCDPopulation ages 70-74, female</v>
      </c>
      <c r="C1677" t="s">
        <v>189</v>
      </c>
      <c r="D1677" t="s">
        <v>169</v>
      </c>
      <c r="E1677" t="s">
        <v>390</v>
      </c>
      <c r="F1677" t="s">
        <v>719</v>
      </c>
      <c r="G1677">
        <v>57000</v>
      </c>
      <c r="H1677">
        <v>60000</v>
      </c>
    </row>
    <row r="1678" spans="2:8" x14ac:dyDescent="0.25">
      <c r="B1678" t="str">
        <f t="shared" si="26"/>
        <v>TCDPopulation ages 70-74, male</v>
      </c>
      <c r="C1678" t="s">
        <v>189</v>
      </c>
      <c r="D1678" t="s">
        <v>169</v>
      </c>
      <c r="E1678" t="s">
        <v>391</v>
      </c>
      <c r="F1678" t="s">
        <v>720</v>
      </c>
      <c r="G1678">
        <v>50000</v>
      </c>
      <c r="H1678">
        <v>52000</v>
      </c>
    </row>
    <row r="1679" spans="2:8" x14ac:dyDescent="0.25">
      <c r="B1679" t="str">
        <f t="shared" si="26"/>
        <v>TCDPopulation ages 75-79, female</v>
      </c>
      <c r="C1679" t="s">
        <v>189</v>
      </c>
      <c r="D1679" t="s">
        <v>169</v>
      </c>
      <c r="E1679" t="s">
        <v>392</v>
      </c>
      <c r="F1679" t="s">
        <v>721</v>
      </c>
      <c r="G1679">
        <v>37000</v>
      </c>
      <c r="H1679">
        <v>37000</v>
      </c>
    </row>
    <row r="1680" spans="2:8" x14ac:dyDescent="0.25">
      <c r="B1680" t="str">
        <f t="shared" si="26"/>
        <v>TCDPopulation ages 75-79, male</v>
      </c>
      <c r="C1680" t="s">
        <v>189</v>
      </c>
      <c r="D1680" t="s">
        <v>169</v>
      </c>
      <c r="E1680" t="s">
        <v>393</v>
      </c>
      <c r="F1680" t="s">
        <v>722</v>
      </c>
      <c r="G1680">
        <v>31000</v>
      </c>
      <c r="H1680">
        <v>31000</v>
      </c>
    </row>
    <row r="1681" spans="2:8" x14ac:dyDescent="0.25">
      <c r="B1681" t="str">
        <f t="shared" si="26"/>
        <v>TCDPopulation ages 80 and above, female</v>
      </c>
      <c r="C1681" t="s">
        <v>189</v>
      </c>
      <c r="D1681" t="s">
        <v>169</v>
      </c>
      <c r="E1681" t="s">
        <v>394</v>
      </c>
      <c r="F1681" t="s">
        <v>723</v>
      </c>
      <c r="G1681">
        <v>28000</v>
      </c>
      <c r="H1681">
        <v>28000</v>
      </c>
    </row>
    <row r="1682" spans="2:8" x14ac:dyDescent="0.25">
      <c r="B1682" t="str">
        <f t="shared" si="26"/>
        <v>TCDPopulation ages 80 and above, male</v>
      </c>
      <c r="C1682" t="s">
        <v>189</v>
      </c>
      <c r="D1682" t="s">
        <v>169</v>
      </c>
      <c r="E1682" t="s">
        <v>395</v>
      </c>
      <c r="F1682" t="s">
        <v>724</v>
      </c>
      <c r="G1682">
        <v>21000</v>
      </c>
      <c r="H1682">
        <v>20000</v>
      </c>
    </row>
    <row r="1683" spans="2:8" x14ac:dyDescent="0.25">
      <c r="B1683" t="str">
        <f t="shared" si="26"/>
        <v>TCDPopulation, male</v>
      </c>
      <c r="C1683" t="s">
        <v>189</v>
      </c>
      <c r="D1683" t="s">
        <v>169</v>
      </c>
      <c r="E1683" t="s">
        <v>397</v>
      </c>
      <c r="F1683" t="s">
        <v>725</v>
      </c>
      <c r="G1683">
        <v>7961000</v>
      </c>
      <c r="H1683">
        <v>8200000</v>
      </c>
    </row>
    <row r="1684" spans="2:8" x14ac:dyDescent="0.25">
      <c r="B1684" t="str">
        <f t="shared" si="26"/>
        <v>TCDPopulation, total</v>
      </c>
      <c r="C1684" t="s">
        <v>189</v>
      </c>
      <c r="D1684" t="s">
        <v>169</v>
      </c>
      <c r="E1684" t="s">
        <v>398</v>
      </c>
      <c r="F1684" t="s">
        <v>726</v>
      </c>
      <c r="G1684">
        <v>15947000</v>
      </c>
      <c r="H1684">
        <v>16426000</v>
      </c>
    </row>
    <row r="1685" spans="2:8" x14ac:dyDescent="0.25">
      <c r="B1685" t="str">
        <f t="shared" si="26"/>
        <v>TCDPopulation, female</v>
      </c>
      <c r="C1685" t="s">
        <v>189</v>
      </c>
      <c r="D1685" t="s">
        <v>169</v>
      </c>
      <c r="E1685" t="s">
        <v>396</v>
      </c>
      <c r="F1685" t="s">
        <v>727</v>
      </c>
      <c r="G1685">
        <v>7986000</v>
      </c>
      <c r="H1685">
        <v>8226000</v>
      </c>
    </row>
    <row r="1686" spans="2:8" x14ac:dyDescent="0.25">
      <c r="B1686" t="str">
        <f t="shared" si="26"/>
        <v>TCDPopulation growth (annual %)</v>
      </c>
      <c r="C1686" t="s">
        <v>189</v>
      </c>
      <c r="D1686" t="s">
        <v>169</v>
      </c>
      <c r="E1686" t="s">
        <v>399</v>
      </c>
      <c r="F1686" t="s">
        <v>728</v>
      </c>
      <c r="G1686">
        <v>0</v>
      </c>
      <c r="H1686">
        <v>0</v>
      </c>
    </row>
    <row r="1687" spans="2:8" x14ac:dyDescent="0.25">
      <c r="B1687" t="str">
        <f t="shared" si="26"/>
        <v>CHIPopulation ages 0-14, female</v>
      </c>
      <c r="C1687" t="s">
        <v>456</v>
      </c>
      <c r="D1687" t="s">
        <v>457</v>
      </c>
      <c r="E1687" t="s">
        <v>687</v>
      </c>
      <c r="F1687" t="s">
        <v>688</v>
      </c>
      <c r="G1687">
        <v>13000</v>
      </c>
      <c r="H1687">
        <v>13000</v>
      </c>
    </row>
    <row r="1688" spans="2:8" x14ac:dyDescent="0.25">
      <c r="B1688" t="str">
        <f t="shared" si="26"/>
        <v>CHIPopulation ages 0-14, male</v>
      </c>
      <c r="C1688" t="s">
        <v>456</v>
      </c>
      <c r="D1688" t="s">
        <v>457</v>
      </c>
      <c r="E1688" t="s">
        <v>689</v>
      </c>
      <c r="F1688" t="s">
        <v>690</v>
      </c>
      <c r="G1688">
        <v>13000</v>
      </c>
      <c r="H1688">
        <v>13000</v>
      </c>
    </row>
    <row r="1689" spans="2:8" x14ac:dyDescent="0.25">
      <c r="B1689" t="str">
        <f t="shared" si="26"/>
        <v>CHIPopulation ages 00-04, female</v>
      </c>
      <c r="C1689" t="s">
        <v>456</v>
      </c>
      <c r="D1689" t="s">
        <v>457</v>
      </c>
      <c r="E1689" t="s">
        <v>362</v>
      </c>
      <c r="F1689" t="s">
        <v>691</v>
      </c>
      <c r="G1689">
        <v>4300</v>
      </c>
      <c r="H1689">
        <v>4200</v>
      </c>
    </row>
    <row r="1690" spans="2:8" x14ac:dyDescent="0.25">
      <c r="B1690" t="str">
        <f t="shared" si="26"/>
        <v>CHIPopulation ages 00-04, male</v>
      </c>
      <c r="C1690" t="s">
        <v>456</v>
      </c>
      <c r="D1690" t="s">
        <v>457</v>
      </c>
      <c r="E1690" t="s">
        <v>363</v>
      </c>
      <c r="F1690" t="s">
        <v>692</v>
      </c>
      <c r="G1690">
        <v>4400</v>
      </c>
      <c r="H1690">
        <v>4500</v>
      </c>
    </row>
    <row r="1691" spans="2:8" x14ac:dyDescent="0.25">
      <c r="B1691" t="str">
        <f t="shared" si="26"/>
        <v>CHIPopulation ages 05-09, female</v>
      </c>
      <c r="C1691" t="s">
        <v>456</v>
      </c>
      <c r="D1691" t="s">
        <v>457</v>
      </c>
      <c r="E1691" t="s">
        <v>364</v>
      </c>
      <c r="F1691" t="s">
        <v>693</v>
      </c>
      <c r="G1691">
        <v>4300</v>
      </c>
      <c r="H1691">
        <v>4400</v>
      </c>
    </row>
    <row r="1692" spans="2:8" x14ac:dyDescent="0.25">
      <c r="B1692" t="str">
        <f t="shared" si="26"/>
        <v>CHIPopulation ages 05-09, male</v>
      </c>
      <c r="C1692" t="s">
        <v>456</v>
      </c>
      <c r="D1692" t="s">
        <v>457</v>
      </c>
      <c r="E1692" t="s">
        <v>365</v>
      </c>
      <c r="F1692" t="s">
        <v>694</v>
      </c>
      <c r="G1692">
        <v>4400</v>
      </c>
      <c r="H1692">
        <v>4400</v>
      </c>
    </row>
    <row r="1693" spans="2:8" x14ac:dyDescent="0.25">
      <c r="B1693" t="str">
        <f t="shared" si="26"/>
        <v>CHIPopulation ages 10-14, female</v>
      </c>
      <c r="C1693" t="s">
        <v>456</v>
      </c>
      <c r="D1693" t="s">
        <v>457</v>
      </c>
      <c r="E1693" t="s">
        <v>366</v>
      </c>
      <c r="F1693" t="s">
        <v>695</v>
      </c>
      <c r="G1693">
        <v>4100</v>
      </c>
      <c r="H1693">
        <v>4100</v>
      </c>
    </row>
    <row r="1694" spans="2:8" x14ac:dyDescent="0.25">
      <c r="B1694" t="str">
        <f t="shared" si="26"/>
        <v>CHIPopulation ages 10-14, male</v>
      </c>
      <c r="C1694" t="s">
        <v>456</v>
      </c>
      <c r="D1694" t="s">
        <v>457</v>
      </c>
      <c r="E1694" t="s">
        <v>367</v>
      </c>
      <c r="F1694" t="s">
        <v>696</v>
      </c>
      <c r="G1694">
        <v>4400</v>
      </c>
      <c r="H1694">
        <v>4400</v>
      </c>
    </row>
    <row r="1695" spans="2:8" x14ac:dyDescent="0.25">
      <c r="B1695" t="str">
        <f t="shared" si="26"/>
        <v>CHIPopulation ages 15-19, female</v>
      </c>
      <c r="C1695" t="s">
        <v>456</v>
      </c>
      <c r="D1695" t="s">
        <v>457</v>
      </c>
      <c r="E1695" t="s">
        <v>368</v>
      </c>
      <c r="F1695" t="s">
        <v>697</v>
      </c>
      <c r="G1695">
        <v>4600</v>
      </c>
      <c r="H1695">
        <v>4600</v>
      </c>
    </row>
    <row r="1696" spans="2:8" x14ac:dyDescent="0.25">
      <c r="B1696" t="str">
        <f t="shared" si="26"/>
        <v>CHIPopulation ages 15-19, male</v>
      </c>
      <c r="C1696" t="s">
        <v>456</v>
      </c>
      <c r="D1696" t="s">
        <v>457</v>
      </c>
      <c r="E1696" t="s">
        <v>369</v>
      </c>
      <c r="F1696" t="s">
        <v>698</v>
      </c>
      <c r="G1696">
        <v>4800</v>
      </c>
      <c r="H1696">
        <v>4800</v>
      </c>
    </row>
    <row r="1697" spans="2:8" x14ac:dyDescent="0.25">
      <c r="B1697" t="str">
        <f t="shared" si="26"/>
        <v>CHIPopulation ages 20-24, female</v>
      </c>
      <c r="C1697" t="s">
        <v>456</v>
      </c>
      <c r="D1697" t="s">
        <v>457</v>
      </c>
      <c r="E1697" t="s">
        <v>370</v>
      </c>
      <c r="F1697" t="s">
        <v>699</v>
      </c>
      <c r="G1697">
        <v>5000</v>
      </c>
      <c r="H1697">
        <v>5100</v>
      </c>
    </row>
    <row r="1698" spans="2:8" x14ac:dyDescent="0.25">
      <c r="B1698" t="str">
        <f t="shared" si="26"/>
        <v>CHIPopulation ages 20-24, male</v>
      </c>
      <c r="C1698" t="s">
        <v>456</v>
      </c>
      <c r="D1698" t="s">
        <v>457</v>
      </c>
      <c r="E1698" t="s">
        <v>371</v>
      </c>
      <c r="F1698" t="s">
        <v>700</v>
      </c>
      <c r="G1698">
        <v>5400</v>
      </c>
      <c r="H1698">
        <v>5400</v>
      </c>
    </row>
    <row r="1699" spans="2:8" x14ac:dyDescent="0.25">
      <c r="B1699" t="str">
        <f t="shared" si="26"/>
        <v>CHIPopulation ages 25-29, female</v>
      </c>
      <c r="C1699" t="s">
        <v>456</v>
      </c>
      <c r="D1699" t="s">
        <v>457</v>
      </c>
      <c r="E1699" t="s">
        <v>372</v>
      </c>
      <c r="F1699" t="s">
        <v>701</v>
      </c>
      <c r="G1699">
        <v>5500</v>
      </c>
      <c r="H1699">
        <v>5500</v>
      </c>
    </row>
    <row r="1700" spans="2:8" x14ac:dyDescent="0.25">
      <c r="B1700" t="str">
        <f t="shared" si="26"/>
        <v>CHIPopulation ages 25-29, male</v>
      </c>
      <c r="C1700" t="s">
        <v>456</v>
      </c>
      <c r="D1700" t="s">
        <v>457</v>
      </c>
      <c r="E1700" t="s">
        <v>373</v>
      </c>
      <c r="F1700" t="s">
        <v>702</v>
      </c>
      <c r="G1700">
        <v>5700</v>
      </c>
      <c r="H1700">
        <v>5800</v>
      </c>
    </row>
    <row r="1701" spans="2:8" x14ac:dyDescent="0.25">
      <c r="B1701" t="str">
        <f t="shared" si="26"/>
        <v>CHIPopulation ages 30-34, female</v>
      </c>
      <c r="C1701" t="s">
        <v>456</v>
      </c>
      <c r="D1701" t="s">
        <v>457</v>
      </c>
      <c r="E1701" t="s">
        <v>374</v>
      </c>
      <c r="F1701" t="s">
        <v>703</v>
      </c>
      <c r="G1701">
        <v>5800</v>
      </c>
      <c r="H1701">
        <v>5800</v>
      </c>
    </row>
    <row r="1702" spans="2:8" x14ac:dyDescent="0.25">
      <c r="B1702" t="str">
        <f t="shared" si="26"/>
        <v>CHIPopulation ages 30-34, male</v>
      </c>
      <c r="C1702" t="s">
        <v>456</v>
      </c>
      <c r="D1702" t="s">
        <v>457</v>
      </c>
      <c r="E1702" t="s">
        <v>375</v>
      </c>
      <c r="F1702" t="s">
        <v>704</v>
      </c>
      <c r="G1702">
        <v>5900</v>
      </c>
      <c r="H1702">
        <v>5900</v>
      </c>
    </row>
    <row r="1703" spans="2:8" x14ac:dyDescent="0.25">
      <c r="B1703" t="str">
        <f t="shared" si="26"/>
        <v>CHIPopulation ages 35-39, female</v>
      </c>
      <c r="C1703" t="s">
        <v>456</v>
      </c>
      <c r="D1703" t="s">
        <v>457</v>
      </c>
      <c r="E1703" t="s">
        <v>376</v>
      </c>
      <c r="F1703" t="s">
        <v>705</v>
      </c>
      <c r="G1703">
        <v>5900</v>
      </c>
      <c r="H1703">
        <v>5900</v>
      </c>
    </row>
    <row r="1704" spans="2:8" x14ac:dyDescent="0.25">
      <c r="B1704" t="str">
        <f t="shared" si="26"/>
        <v>CHIPopulation ages 35-39, male</v>
      </c>
      <c r="C1704" t="s">
        <v>456</v>
      </c>
      <c r="D1704" t="s">
        <v>457</v>
      </c>
      <c r="E1704" t="s">
        <v>377</v>
      </c>
      <c r="F1704" t="s">
        <v>706</v>
      </c>
      <c r="G1704">
        <v>6100</v>
      </c>
      <c r="H1704">
        <v>6200</v>
      </c>
    </row>
    <row r="1705" spans="2:8" x14ac:dyDescent="0.25">
      <c r="B1705" t="str">
        <f t="shared" si="26"/>
        <v>CHIPopulation ages 40-44, female</v>
      </c>
      <c r="C1705" t="s">
        <v>456</v>
      </c>
      <c r="D1705" t="s">
        <v>457</v>
      </c>
      <c r="E1705" t="s">
        <v>378</v>
      </c>
      <c r="F1705" t="s">
        <v>707</v>
      </c>
      <c r="G1705">
        <v>5900</v>
      </c>
      <c r="H1705">
        <v>5800</v>
      </c>
    </row>
    <row r="1706" spans="2:8" x14ac:dyDescent="0.25">
      <c r="B1706" t="str">
        <f t="shared" si="26"/>
        <v>CHIPopulation ages 40-44, male</v>
      </c>
      <c r="C1706" t="s">
        <v>456</v>
      </c>
      <c r="D1706" t="s">
        <v>457</v>
      </c>
      <c r="E1706" t="s">
        <v>379</v>
      </c>
      <c r="F1706" t="s">
        <v>708</v>
      </c>
      <c r="G1706">
        <v>5900</v>
      </c>
      <c r="H1706">
        <v>5800</v>
      </c>
    </row>
    <row r="1707" spans="2:8" x14ac:dyDescent="0.25">
      <c r="B1707" t="str">
        <f t="shared" si="26"/>
        <v>CHIPopulation ages 45-49, female</v>
      </c>
      <c r="C1707" t="s">
        <v>456</v>
      </c>
      <c r="D1707" t="s">
        <v>457</v>
      </c>
      <c r="E1707" t="s">
        <v>380</v>
      </c>
      <c r="F1707" t="s">
        <v>709</v>
      </c>
      <c r="G1707">
        <v>6800</v>
      </c>
      <c r="H1707">
        <v>6700</v>
      </c>
    </row>
    <row r="1708" spans="2:8" x14ac:dyDescent="0.25">
      <c r="B1708" t="str">
        <f t="shared" si="26"/>
        <v>CHIPopulation ages 45-49, male</v>
      </c>
      <c r="C1708" t="s">
        <v>456</v>
      </c>
      <c r="D1708" t="s">
        <v>457</v>
      </c>
      <c r="E1708" t="s">
        <v>381</v>
      </c>
      <c r="F1708" t="s">
        <v>710</v>
      </c>
      <c r="G1708">
        <v>6700</v>
      </c>
      <c r="H1708">
        <v>6600</v>
      </c>
    </row>
    <row r="1709" spans="2:8" x14ac:dyDescent="0.25">
      <c r="B1709" t="str">
        <f t="shared" si="26"/>
        <v>CHIPopulation ages 50-54, female</v>
      </c>
      <c r="C1709" t="s">
        <v>456</v>
      </c>
      <c r="D1709" t="s">
        <v>457</v>
      </c>
      <c r="E1709" t="s">
        <v>382</v>
      </c>
      <c r="F1709" t="s">
        <v>711</v>
      </c>
      <c r="G1709">
        <v>6900</v>
      </c>
      <c r="H1709">
        <v>7000</v>
      </c>
    </row>
    <row r="1710" spans="2:8" x14ac:dyDescent="0.25">
      <c r="B1710" t="str">
        <f t="shared" si="26"/>
        <v>CHIPopulation ages 50-54, male</v>
      </c>
      <c r="C1710" t="s">
        <v>456</v>
      </c>
      <c r="D1710" t="s">
        <v>457</v>
      </c>
      <c r="E1710" t="s">
        <v>383</v>
      </c>
      <c r="F1710" t="s">
        <v>712</v>
      </c>
      <c r="G1710">
        <v>6700</v>
      </c>
      <c r="H1710">
        <v>6800</v>
      </c>
    </row>
    <row r="1711" spans="2:8" x14ac:dyDescent="0.25">
      <c r="B1711" t="str">
        <f t="shared" si="26"/>
        <v>CHIPopulation ages 55-59, male</v>
      </c>
      <c r="C1711" t="s">
        <v>456</v>
      </c>
      <c r="D1711" t="s">
        <v>457</v>
      </c>
      <c r="E1711" t="s">
        <v>385</v>
      </c>
      <c r="F1711" t="s">
        <v>713</v>
      </c>
      <c r="G1711">
        <v>6000</v>
      </c>
      <c r="H1711">
        <v>6100</v>
      </c>
    </row>
    <row r="1712" spans="2:8" x14ac:dyDescent="0.25">
      <c r="B1712" t="str">
        <f t="shared" si="26"/>
        <v>CHIPopulation ages 55-59, female</v>
      </c>
      <c r="C1712" t="s">
        <v>456</v>
      </c>
      <c r="D1712" t="s">
        <v>457</v>
      </c>
      <c r="E1712" t="s">
        <v>384</v>
      </c>
      <c r="F1712" t="s">
        <v>714</v>
      </c>
      <c r="G1712">
        <v>6200</v>
      </c>
      <c r="H1712">
        <v>6300</v>
      </c>
    </row>
    <row r="1713" spans="2:8" x14ac:dyDescent="0.25">
      <c r="B1713" t="str">
        <f t="shared" si="26"/>
        <v>CHIPopulation ages 65-69, male</v>
      </c>
      <c r="C1713" t="s">
        <v>456</v>
      </c>
      <c r="D1713" t="s">
        <v>457</v>
      </c>
      <c r="E1713" t="s">
        <v>389</v>
      </c>
      <c r="F1713" t="s">
        <v>715</v>
      </c>
      <c r="G1713">
        <v>4500</v>
      </c>
      <c r="H1713">
        <v>4700</v>
      </c>
    </row>
    <row r="1714" spans="2:8" x14ac:dyDescent="0.25">
      <c r="B1714" t="str">
        <f t="shared" si="26"/>
        <v>CHIPopulation ages 65-69, female</v>
      </c>
      <c r="C1714" t="s">
        <v>456</v>
      </c>
      <c r="D1714" t="s">
        <v>457</v>
      </c>
      <c r="E1714" t="s">
        <v>388</v>
      </c>
      <c r="F1714" t="s">
        <v>716</v>
      </c>
      <c r="G1714">
        <v>4600</v>
      </c>
      <c r="H1714">
        <v>4700</v>
      </c>
    </row>
    <row r="1715" spans="2:8" x14ac:dyDescent="0.25">
      <c r="B1715" t="str">
        <f t="shared" si="26"/>
        <v>CHIPopulation ages 60-64, female</v>
      </c>
      <c r="C1715" t="s">
        <v>456</v>
      </c>
      <c r="D1715" t="s">
        <v>457</v>
      </c>
      <c r="E1715" t="s">
        <v>386</v>
      </c>
      <c r="F1715" t="s">
        <v>717</v>
      </c>
      <c r="G1715">
        <v>5300</v>
      </c>
      <c r="H1715">
        <v>5400</v>
      </c>
    </row>
    <row r="1716" spans="2:8" x14ac:dyDescent="0.25">
      <c r="B1716" t="str">
        <f t="shared" si="26"/>
        <v>CHIPopulation ages 60-64, male</v>
      </c>
      <c r="C1716" t="s">
        <v>456</v>
      </c>
      <c r="D1716" t="s">
        <v>457</v>
      </c>
      <c r="E1716" t="s">
        <v>387</v>
      </c>
      <c r="F1716" t="s">
        <v>718</v>
      </c>
      <c r="G1716">
        <v>5100</v>
      </c>
      <c r="H1716">
        <v>5200</v>
      </c>
    </row>
    <row r="1717" spans="2:8" x14ac:dyDescent="0.25">
      <c r="B1717" t="str">
        <f t="shared" si="26"/>
        <v>CHIPopulation ages 70-74, female</v>
      </c>
      <c r="C1717" t="s">
        <v>456</v>
      </c>
      <c r="D1717" t="s">
        <v>457</v>
      </c>
      <c r="E1717" t="s">
        <v>390</v>
      </c>
      <c r="F1717" t="s">
        <v>719</v>
      </c>
      <c r="G1717">
        <v>3900</v>
      </c>
      <c r="H1717">
        <v>4000</v>
      </c>
    </row>
    <row r="1718" spans="2:8" x14ac:dyDescent="0.25">
      <c r="B1718" t="str">
        <f t="shared" si="26"/>
        <v>CHIPopulation ages 70-74, male</v>
      </c>
      <c r="C1718" t="s">
        <v>456</v>
      </c>
      <c r="D1718" t="s">
        <v>457</v>
      </c>
      <c r="E1718" t="s">
        <v>391</v>
      </c>
      <c r="F1718" t="s">
        <v>720</v>
      </c>
      <c r="G1718">
        <v>3500</v>
      </c>
      <c r="H1718">
        <v>3600</v>
      </c>
    </row>
    <row r="1719" spans="2:8" x14ac:dyDescent="0.25">
      <c r="B1719" t="str">
        <f t="shared" si="26"/>
        <v>CHIPopulation ages 75-79, female</v>
      </c>
      <c r="C1719" t="s">
        <v>456</v>
      </c>
      <c r="D1719" t="s">
        <v>457</v>
      </c>
      <c r="E1719" t="s">
        <v>392</v>
      </c>
      <c r="F1719" t="s">
        <v>721</v>
      </c>
      <c r="G1719">
        <v>2900</v>
      </c>
      <c r="H1719">
        <v>3000</v>
      </c>
    </row>
    <row r="1720" spans="2:8" x14ac:dyDescent="0.25">
      <c r="B1720" t="str">
        <f t="shared" si="26"/>
        <v>CHIPopulation ages 75-79, male</v>
      </c>
      <c r="C1720" t="s">
        <v>456</v>
      </c>
      <c r="D1720" t="s">
        <v>457</v>
      </c>
      <c r="E1720" t="s">
        <v>393</v>
      </c>
      <c r="F1720" t="s">
        <v>722</v>
      </c>
      <c r="G1720">
        <v>2600</v>
      </c>
      <c r="H1720">
        <v>2600</v>
      </c>
    </row>
    <row r="1721" spans="2:8" x14ac:dyDescent="0.25">
      <c r="B1721" t="str">
        <f t="shared" si="26"/>
        <v>CHIPopulation ages 80 and above, female</v>
      </c>
      <c r="C1721" t="s">
        <v>456</v>
      </c>
      <c r="D1721" t="s">
        <v>457</v>
      </c>
      <c r="E1721" t="s">
        <v>394</v>
      </c>
      <c r="F1721" t="s">
        <v>723</v>
      </c>
      <c r="G1721">
        <v>5100</v>
      </c>
      <c r="H1721">
        <v>5100</v>
      </c>
    </row>
    <row r="1722" spans="2:8" x14ac:dyDescent="0.25">
      <c r="B1722" t="str">
        <f t="shared" si="26"/>
        <v>CHIPopulation ages 80 and above, male</v>
      </c>
      <c r="C1722" t="s">
        <v>456</v>
      </c>
      <c r="D1722" t="s">
        <v>457</v>
      </c>
      <c r="E1722" t="s">
        <v>395</v>
      </c>
      <c r="F1722" t="s">
        <v>724</v>
      </c>
      <c r="G1722">
        <v>3200</v>
      </c>
      <c r="H1722">
        <v>3300</v>
      </c>
    </row>
    <row r="1723" spans="2:8" x14ac:dyDescent="0.25">
      <c r="B1723" t="str">
        <f t="shared" si="26"/>
        <v>CHIPopulation, male</v>
      </c>
      <c r="C1723" t="s">
        <v>456</v>
      </c>
      <c r="D1723" t="s">
        <v>457</v>
      </c>
      <c r="E1723" t="s">
        <v>397</v>
      </c>
      <c r="F1723" t="s">
        <v>725</v>
      </c>
      <c r="G1723">
        <v>85000</v>
      </c>
      <c r="H1723">
        <v>86000</v>
      </c>
    </row>
    <row r="1724" spans="2:8" x14ac:dyDescent="0.25">
      <c r="B1724" t="str">
        <f t="shared" si="26"/>
        <v>CHIPopulation, total</v>
      </c>
      <c r="C1724" t="s">
        <v>456</v>
      </c>
      <c r="D1724" t="s">
        <v>457</v>
      </c>
      <c r="E1724" t="s">
        <v>398</v>
      </c>
      <c r="F1724" t="s">
        <v>726</v>
      </c>
      <c r="G1724">
        <v>172000</v>
      </c>
      <c r="H1724">
        <v>174000</v>
      </c>
    </row>
    <row r="1725" spans="2:8" x14ac:dyDescent="0.25">
      <c r="B1725" t="str">
        <f t="shared" si="26"/>
        <v>CHIPopulation, female</v>
      </c>
      <c r="C1725" t="s">
        <v>456</v>
      </c>
      <c r="D1725" t="s">
        <v>457</v>
      </c>
      <c r="E1725" t="s">
        <v>396</v>
      </c>
      <c r="F1725" t="s">
        <v>727</v>
      </c>
      <c r="G1725">
        <v>87000</v>
      </c>
      <c r="H1725">
        <v>88000</v>
      </c>
    </row>
    <row r="1726" spans="2:8" x14ac:dyDescent="0.25">
      <c r="B1726" t="str">
        <f t="shared" si="26"/>
        <v>CHIPopulation growth (annual %)</v>
      </c>
      <c r="C1726" t="s">
        <v>456</v>
      </c>
      <c r="D1726" t="s">
        <v>457</v>
      </c>
      <c r="E1726" t="s">
        <v>399</v>
      </c>
      <c r="F1726" t="s">
        <v>728</v>
      </c>
      <c r="G1726">
        <v>0</v>
      </c>
      <c r="H1726">
        <v>0</v>
      </c>
    </row>
    <row r="1727" spans="2:8" x14ac:dyDescent="0.25">
      <c r="B1727" t="str">
        <f t="shared" si="26"/>
        <v>CHLPopulation ages 0-14, female</v>
      </c>
      <c r="C1727" t="s">
        <v>220</v>
      </c>
      <c r="D1727" t="s">
        <v>24</v>
      </c>
      <c r="E1727" t="s">
        <v>687</v>
      </c>
      <c r="F1727" t="s">
        <v>688</v>
      </c>
      <c r="G1727">
        <v>1814000</v>
      </c>
      <c r="H1727">
        <v>1806000</v>
      </c>
    </row>
    <row r="1728" spans="2:8" x14ac:dyDescent="0.25">
      <c r="B1728" t="str">
        <f t="shared" si="26"/>
        <v>CHLPopulation ages 0-14, male</v>
      </c>
      <c r="C1728" t="s">
        <v>220</v>
      </c>
      <c r="D1728" t="s">
        <v>24</v>
      </c>
      <c r="E1728" t="s">
        <v>689</v>
      </c>
      <c r="F1728" t="s">
        <v>690</v>
      </c>
      <c r="G1728">
        <v>1880000</v>
      </c>
      <c r="H1728">
        <v>1871000</v>
      </c>
    </row>
    <row r="1729" spans="2:8" x14ac:dyDescent="0.25">
      <c r="B1729" t="str">
        <f t="shared" si="26"/>
        <v>CHLPopulation ages 00-04, female</v>
      </c>
      <c r="C1729" t="s">
        <v>220</v>
      </c>
      <c r="D1729" t="s">
        <v>24</v>
      </c>
      <c r="E1729" t="s">
        <v>362</v>
      </c>
      <c r="F1729" t="s">
        <v>691</v>
      </c>
      <c r="G1729">
        <v>581000</v>
      </c>
      <c r="H1729">
        <v>570000</v>
      </c>
    </row>
    <row r="1730" spans="2:8" x14ac:dyDescent="0.25">
      <c r="B1730" t="str">
        <f t="shared" si="26"/>
        <v>CHLPopulation ages 00-04, male</v>
      </c>
      <c r="C1730" t="s">
        <v>220</v>
      </c>
      <c r="D1730" t="s">
        <v>24</v>
      </c>
      <c r="E1730" t="s">
        <v>363</v>
      </c>
      <c r="F1730" t="s">
        <v>692</v>
      </c>
      <c r="G1730">
        <v>602000</v>
      </c>
      <c r="H1730">
        <v>592000</v>
      </c>
    </row>
    <row r="1731" spans="2:8" x14ac:dyDescent="0.25">
      <c r="B1731" t="str">
        <f t="shared" si="26"/>
        <v>CHLPopulation ages 05-09, female</v>
      </c>
      <c r="C1731" t="s">
        <v>220</v>
      </c>
      <c r="D1731" t="s">
        <v>24</v>
      </c>
      <c r="E1731" t="s">
        <v>364</v>
      </c>
      <c r="F1731" t="s">
        <v>693</v>
      </c>
      <c r="G1731">
        <v>623000</v>
      </c>
      <c r="H1731">
        <v>622000</v>
      </c>
    </row>
    <row r="1732" spans="2:8" x14ac:dyDescent="0.25">
      <c r="B1732" t="str">
        <f t="shared" si="26"/>
        <v>CHLPopulation ages 05-09, male</v>
      </c>
      <c r="C1732" t="s">
        <v>220</v>
      </c>
      <c r="D1732" t="s">
        <v>24</v>
      </c>
      <c r="E1732" t="s">
        <v>365</v>
      </c>
      <c r="F1732" t="s">
        <v>694</v>
      </c>
      <c r="G1732">
        <v>645000</v>
      </c>
      <c r="H1732">
        <v>644000</v>
      </c>
    </row>
    <row r="1733" spans="2:8" x14ac:dyDescent="0.25">
      <c r="B1733" t="str">
        <f t="shared" si="26"/>
        <v>CHLPopulation ages 10-14, female</v>
      </c>
      <c r="C1733" t="s">
        <v>220</v>
      </c>
      <c r="D1733" t="s">
        <v>24</v>
      </c>
      <c r="E1733" t="s">
        <v>366</v>
      </c>
      <c r="F1733" t="s">
        <v>695</v>
      </c>
      <c r="G1733">
        <v>611000</v>
      </c>
      <c r="H1733">
        <v>614000</v>
      </c>
    </row>
    <row r="1734" spans="2:8" x14ac:dyDescent="0.25">
      <c r="B1734" t="str">
        <f t="shared" si="26"/>
        <v>CHLPopulation ages 10-14, male</v>
      </c>
      <c r="C1734" t="s">
        <v>220</v>
      </c>
      <c r="D1734" t="s">
        <v>24</v>
      </c>
      <c r="E1734" t="s">
        <v>367</v>
      </c>
      <c r="F1734" t="s">
        <v>696</v>
      </c>
      <c r="G1734">
        <v>633000</v>
      </c>
      <c r="H1734">
        <v>636000</v>
      </c>
    </row>
    <row r="1735" spans="2:8" x14ac:dyDescent="0.25">
      <c r="B1735" t="str">
        <f t="shared" ref="B1735:B1798" si="27">CONCATENATE(D1735,E1735)</f>
        <v>CHLPopulation ages 15-19, female</v>
      </c>
      <c r="C1735" t="s">
        <v>220</v>
      </c>
      <c r="D1735" t="s">
        <v>24</v>
      </c>
      <c r="E1735" t="s">
        <v>368</v>
      </c>
      <c r="F1735" t="s">
        <v>697</v>
      </c>
      <c r="G1735">
        <v>621000</v>
      </c>
      <c r="H1735">
        <v>612000</v>
      </c>
    </row>
    <row r="1736" spans="2:8" x14ac:dyDescent="0.25">
      <c r="B1736" t="str">
        <f t="shared" si="27"/>
        <v>CHLPopulation ages 15-19, male</v>
      </c>
      <c r="C1736" t="s">
        <v>220</v>
      </c>
      <c r="D1736" t="s">
        <v>24</v>
      </c>
      <c r="E1736" t="s">
        <v>369</v>
      </c>
      <c r="F1736" t="s">
        <v>698</v>
      </c>
      <c r="G1736">
        <v>641000</v>
      </c>
      <c r="H1736">
        <v>632000</v>
      </c>
    </row>
    <row r="1737" spans="2:8" x14ac:dyDescent="0.25">
      <c r="B1737" t="str">
        <f t="shared" si="27"/>
        <v>CHLPopulation ages 20-24, female</v>
      </c>
      <c r="C1737" t="s">
        <v>220</v>
      </c>
      <c r="D1737" t="s">
        <v>24</v>
      </c>
      <c r="E1737" t="s">
        <v>370</v>
      </c>
      <c r="F1737" t="s">
        <v>699</v>
      </c>
      <c r="G1737">
        <v>706000</v>
      </c>
      <c r="H1737">
        <v>691000</v>
      </c>
    </row>
    <row r="1738" spans="2:8" x14ac:dyDescent="0.25">
      <c r="B1738" t="str">
        <f t="shared" si="27"/>
        <v>CHLPopulation ages 20-24, male</v>
      </c>
      <c r="C1738" t="s">
        <v>220</v>
      </c>
      <c r="D1738" t="s">
        <v>24</v>
      </c>
      <c r="E1738" t="s">
        <v>371</v>
      </c>
      <c r="F1738" t="s">
        <v>700</v>
      </c>
      <c r="G1738">
        <v>728000</v>
      </c>
      <c r="H1738">
        <v>712000</v>
      </c>
    </row>
    <row r="1739" spans="2:8" x14ac:dyDescent="0.25">
      <c r="B1739" t="str">
        <f t="shared" si="27"/>
        <v>CHLPopulation ages 25-29, female</v>
      </c>
      <c r="C1739" t="s">
        <v>220</v>
      </c>
      <c r="D1739" t="s">
        <v>24</v>
      </c>
      <c r="E1739" t="s">
        <v>372</v>
      </c>
      <c r="F1739" t="s">
        <v>701</v>
      </c>
      <c r="G1739">
        <v>780000</v>
      </c>
      <c r="H1739">
        <v>784000</v>
      </c>
    </row>
    <row r="1740" spans="2:8" x14ac:dyDescent="0.25">
      <c r="B1740" t="str">
        <f t="shared" si="27"/>
        <v>CHLPopulation ages 25-29, male</v>
      </c>
      <c r="C1740" t="s">
        <v>220</v>
      </c>
      <c r="D1740" t="s">
        <v>24</v>
      </c>
      <c r="E1740" t="s">
        <v>373</v>
      </c>
      <c r="F1740" t="s">
        <v>702</v>
      </c>
      <c r="G1740">
        <v>805000</v>
      </c>
      <c r="H1740">
        <v>809000</v>
      </c>
    </row>
    <row r="1741" spans="2:8" x14ac:dyDescent="0.25">
      <c r="B1741" t="str">
        <f t="shared" si="27"/>
        <v>CHLPopulation ages 30-34, female</v>
      </c>
      <c r="C1741" t="s">
        <v>220</v>
      </c>
      <c r="D1741" t="s">
        <v>24</v>
      </c>
      <c r="E1741" t="s">
        <v>374</v>
      </c>
      <c r="F1741" t="s">
        <v>703</v>
      </c>
      <c r="G1741">
        <v>742000</v>
      </c>
      <c r="H1741">
        <v>761000</v>
      </c>
    </row>
    <row r="1742" spans="2:8" x14ac:dyDescent="0.25">
      <c r="B1742" t="str">
        <f t="shared" si="27"/>
        <v>CHLPopulation ages 30-34, male</v>
      </c>
      <c r="C1742" t="s">
        <v>220</v>
      </c>
      <c r="D1742" t="s">
        <v>24</v>
      </c>
      <c r="E1742" t="s">
        <v>375</v>
      </c>
      <c r="F1742" t="s">
        <v>704</v>
      </c>
      <c r="G1742">
        <v>764000</v>
      </c>
      <c r="H1742">
        <v>785000</v>
      </c>
    </row>
    <row r="1743" spans="2:8" x14ac:dyDescent="0.25">
      <c r="B1743" t="str">
        <f t="shared" si="27"/>
        <v>CHLPopulation ages 35-39, female</v>
      </c>
      <c r="C1743" t="s">
        <v>220</v>
      </c>
      <c r="D1743" t="s">
        <v>24</v>
      </c>
      <c r="E1743" t="s">
        <v>376</v>
      </c>
      <c r="F1743" t="s">
        <v>705</v>
      </c>
      <c r="G1743">
        <v>680000</v>
      </c>
      <c r="H1743">
        <v>693000</v>
      </c>
    </row>
    <row r="1744" spans="2:8" x14ac:dyDescent="0.25">
      <c r="B1744" t="str">
        <f t="shared" si="27"/>
        <v>CHLPopulation ages 35-39, male</v>
      </c>
      <c r="C1744" t="s">
        <v>220</v>
      </c>
      <c r="D1744" t="s">
        <v>24</v>
      </c>
      <c r="E1744" t="s">
        <v>377</v>
      </c>
      <c r="F1744" t="s">
        <v>706</v>
      </c>
      <c r="G1744">
        <v>692000</v>
      </c>
      <c r="H1744">
        <v>707000</v>
      </c>
    </row>
    <row r="1745" spans="2:8" x14ac:dyDescent="0.25">
      <c r="B1745" t="str">
        <f t="shared" si="27"/>
        <v>CHLPopulation ages 40-44, female</v>
      </c>
      <c r="C1745" t="s">
        <v>220</v>
      </c>
      <c r="D1745" t="s">
        <v>24</v>
      </c>
      <c r="E1745" t="s">
        <v>378</v>
      </c>
      <c r="F1745" t="s">
        <v>707</v>
      </c>
      <c r="G1745">
        <v>655000</v>
      </c>
      <c r="H1745">
        <v>661000</v>
      </c>
    </row>
    <row r="1746" spans="2:8" x14ac:dyDescent="0.25">
      <c r="B1746" t="str">
        <f t="shared" si="27"/>
        <v>CHLPopulation ages 40-44, male</v>
      </c>
      <c r="C1746" t="s">
        <v>220</v>
      </c>
      <c r="D1746" t="s">
        <v>24</v>
      </c>
      <c r="E1746" t="s">
        <v>379</v>
      </c>
      <c r="F1746" t="s">
        <v>708</v>
      </c>
      <c r="G1746">
        <v>654000</v>
      </c>
      <c r="H1746">
        <v>663000</v>
      </c>
    </row>
    <row r="1747" spans="2:8" x14ac:dyDescent="0.25">
      <c r="B1747" t="str">
        <f t="shared" si="27"/>
        <v>CHLPopulation ages 45-49, female</v>
      </c>
      <c r="C1747" t="s">
        <v>220</v>
      </c>
      <c r="D1747" t="s">
        <v>24</v>
      </c>
      <c r="E1747" t="s">
        <v>380</v>
      </c>
      <c r="F1747" t="s">
        <v>709</v>
      </c>
      <c r="G1747">
        <v>630000</v>
      </c>
      <c r="H1747">
        <v>633000</v>
      </c>
    </row>
    <row r="1748" spans="2:8" x14ac:dyDescent="0.25">
      <c r="B1748" t="str">
        <f t="shared" si="27"/>
        <v>CHLPopulation ages 45-49, male</v>
      </c>
      <c r="C1748" t="s">
        <v>220</v>
      </c>
      <c r="D1748" t="s">
        <v>24</v>
      </c>
      <c r="E1748" t="s">
        <v>381</v>
      </c>
      <c r="F1748" t="s">
        <v>710</v>
      </c>
      <c r="G1748">
        <v>617000</v>
      </c>
      <c r="H1748">
        <v>621000</v>
      </c>
    </row>
    <row r="1749" spans="2:8" x14ac:dyDescent="0.25">
      <c r="B1749" t="str">
        <f t="shared" si="27"/>
        <v>CHLPopulation ages 50-54, female</v>
      </c>
      <c r="C1749" t="s">
        <v>220</v>
      </c>
      <c r="D1749" t="s">
        <v>24</v>
      </c>
      <c r="E1749" t="s">
        <v>382</v>
      </c>
      <c r="F1749" t="s">
        <v>711</v>
      </c>
      <c r="G1749">
        <v>617000</v>
      </c>
      <c r="H1749">
        <v>619000</v>
      </c>
    </row>
    <row r="1750" spans="2:8" x14ac:dyDescent="0.25">
      <c r="B1750" t="str">
        <f t="shared" si="27"/>
        <v>CHLPopulation ages 50-54, male</v>
      </c>
      <c r="C1750" t="s">
        <v>220</v>
      </c>
      <c r="D1750" t="s">
        <v>24</v>
      </c>
      <c r="E1750" t="s">
        <v>383</v>
      </c>
      <c r="F1750" t="s">
        <v>712</v>
      </c>
      <c r="G1750">
        <v>592000</v>
      </c>
      <c r="H1750">
        <v>595000</v>
      </c>
    </row>
    <row r="1751" spans="2:8" x14ac:dyDescent="0.25">
      <c r="B1751" t="str">
        <f t="shared" si="27"/>
        <v>CHLPopulation ages 55-59, male</v>
      </c>
      <c r="C1751" t="s">
        <v>220</v>
      </c>
      <c r="D1751" t="s">
        <v>24</v>
      </c>
      <c r="E1751" t="s">
        <v>385</v>
      </c>
      <c r="F1751" t="s">
        <v>713</v>
      </c>
      <c r="G1751">
        <v>541000</v>
      </c>
      <c r="H1751">
        <v>550000</v>
      </c>
    </row>
    <row r="1752" spans="2:8" x14ac:dyDescent="0.25">
      <c r="B1752" t="str">
        <f t="shared" si="27"/>
        <v>CHLPopulation ages 55-59, female</v>
      </c>
      <c r="C1752" t="s">
        <v>220</v>
      </c>
      <c r="D1752" t="s">
        <v>24</v>
      </c>
      <c r="E1752" t="s">
        <v>384</v>
      </c>
      <c r="F1752" t="s">
        <v>714</v>
      </c>
      <c r="G1752">
        <v>578000</v>
      </c>
      <c r="H1752">
        <v>587000</v>
      </c>
    </row>
    <row r="1753" spans="2:8" x14ac:dyDescent="0.25">
      <c r="B1753" t="str">
        <f t="shared" si="27"/>
        <v>CHLPopulation ages 65-69, male</v>
      </c>
      <c r="C1753" t="s">
        <v>220</v>
      </c>
      <c r="D1753" t="s">
        <v>24</v>
      </c>
      <c r="E1753" t="s">
        <v>389</v>
      </c>
      <c r="F1753" t="s">
        <v>715</v>
      </c>
      <c r="G1753">
        <v>362000</v>
      </c>
      <c r="H1753">
        <v>377000</v>
      </c>
    </row>
    <row r="1754" spans="2:8" x14ac:dyDescent="0.25">
      <c r="B1754" t="str">
        <f t="shared" si="27"/>
        <v>CHLPopulation ages 65-69, female</v>
      </c>
      <c r="C1754" t="s">
        <v>220</v>
      </c>
      <c r="D1754" t="s">
        <v>24</v>
      </c>
      <c r="E1754" t="s">
        <v>388</v>
      </c>
      <c r="F1754" t="s">
        <v>716</v>
      </c>
      <c r="G1754">
        <v>416000</v>
      </c>
      <c r="H1754">
        <v>433000</v>
      </c>
    </row>
    <row r="1755" spans="2:8" x14ac:dyDescent="0.25">
      <c r="B1755" t="str">
        <f t="shared" si="27"/>
        <v>CHLPopulation ages 60-64, female</v>
      </c>
      <c r="C1755" t="s">
        <v>220</v>
      </c>
      <c r="D1755" t="s">
        <v>24</v>
      </c>
      <c r="E1755" t="s">
        <v>386</v>
      </c>
      <c r="F1755" t="s">
        <v>717</v>
      </c>
      <c r="G1755">
        <v>503000</v>
      </c>
      <c r="H1755">
        <v>515000</v>
      </c>
    </row>
    <row r="1756" spans="2:8" x14ac:dyDescent="0.25">
      <c r="B1756" t="str">
        <f t="shared" si="27"/>
        <v>CHLPopulation ages 60-64, male</v>
      </c>
      <c r="C1756" t="s">
        <v>220</v>
      </c>
      <c r="D1756" t="s">
        <v>24</v>
      </c>
      <c r="E1756" t="s">
        <v>387</v>
      </c>
      <c r="F1756" t="s">
        <v>718</v>
      </c>
      <c r="G1756">
        <v>456000</v>
      </c>
      <c r="H1756">
        <v>467000</v>
      </c>
    </row>
    <row r="1757" spans="2:8" x14ac:dyDescent="0.25">
      <c r="B1757" t="str">
        <f t="shared" si="27"/>
        <v>CHLPopulation ages 70-74, female</v>
      </c>
      <c r="C1757" t="s">
        <v>220</v>
      </c>
      <c r="D1757" t="s">
        <v>24</v>
      </c>
      <c r="E1757" t="s">
        <v>390</v>
      </c>
      <c r="F1757" t="s">
        <v>719</v>
      </c>
      <c r="G1757">
        <v>304000</v>
      </c>
      <c r="H1757">
        <v>318000</v>
      </c>
    </row>
    <row r="1758" spans="2:8" x14ac:dyDescent="0.25">
      <c r="B1758" t="str">
        <f t="shared" si="27"/>
        <v>CHLPopulation ages 70-74, male</v>
      </c>
      <c r="C1758" t="s">
        <v>220</v>
      </c>
      <c r="D1758" t="s">
        <v>24</v>
      </c>
      <c r="E1758" t="s">
        <v>391</v>
      </c>
      <c r="F1758" t="s">
        <v>720</v>
      </c>
      <c r="G1758">
        <v>250000</v>
      </c>
      <c r="H1758">
        <v>263000</v>
      </c>
    </row>
    <row r="1759" spans="2:8" x14ac:dyDescent="0.25">
      <c r="B1759" t="str">
        <f t="shared" si="27"/>
        <v>CHLPopulation ages 75-79, female</v>
      </c>
      <c r="C1759" t="s">
        <v>220</v>
      </c>
      <c r="D1759" t="s">
        <v>24</v>
      </c>
      <c r="E1759" t="s">
        <v>392</v>
      </c>
      <c r="F1759" t="s">
        <v>721</v>
      </c>
      <c r="G1759">
        <v>228000</v>
      </c>
      <c r="H1759">
        <v>236000</v>
      </c>
    </row>
    <row r="1760" spans="2:8" x14ac:dyDescent="0.25">
      <c r="B1760" t="str">
        <f t="shared" si="27"/>
        <v>CHLPopulation ages 75-79, male</v>
      </c>
      <c r="C1760" t="s">
        <v>220</v>
      </c>
      <c r="D1760" t="s">
        <v>24</v>
      </c>
      <c r="E1760" t="s">
        <v>393</v>
      </c>
      <c r="F1760" t="s">
        <v>722</v>
      </c>
      <c r="G1760">
        <v>168000</v>
      </c>
      <c r="H1760">
        <v>176000</v>
      </c>
    </row>
    <row r="1761" spans="2:8" x14ac:dyDescent="0.25">
      <c r="B1761" t="str">
        <f t="shared" si="27"/>
        <v>CHLPopulation ages 80 and above, female</v>
      </c>
      <c r="C1761" t="s">
        <v>220</v>
      </c>
      <c r="D1761" t="s">
        <v>24</v>
      </c>
      <c r="E1761" t="s">
        <v>394</v>
      </c>
      <c r="F1761" t="s">
        <v>723</v>
      </c>
      <c r="G1761">
        <v>334000</v>
      </c>
      <c r="H1761">
        <v>343000</v>
      </c>
    </row>
    <row r="1762" spans="2:8" x14ac:dyDescent="0.25">
      <c r="B1762" t="str">
        <f t="shared" si="27"/>
        <v>CHLPopulation ages 80 and above, male</v>
      </c>
      <c r="C1762" t="s">
        <v>220</v>
      </c>
      <c r="D1762" t="s">
        <v>24</v>
      </c>
      <c r="E1762" t="s">
        <v>395</v>
      </c>
      <c r="F1762" t="s">
        <v>724</v>
      </c>
      <c r="G1762">
        <v>189000</v>
      </c>
      <c r="H1762">
        <v>195000</v>
      </c>
    </row>
    <row r="1763" spans="2:8" x14ac:dyDescent="0.25">
      <c r="B1763" t="str">
        <f t="shared" si="27"/>
        <v>CHLPopulation, male</v>
      </c>
      <c r="C1763" t="s">
        <v>220</v>
      </c>
      <c r="D1763" t="s">
        <v>24</v>
      </c>
      <c r="E1763" t="s">
        <v>397</v>
      </c>
      <c r="F1763" t="s">
        <v>725</v>
      </c>
      <c r="G1763">
        <v>9342000</v>
      </c>
      <c r="H1763">
        <v>9426000</v>
      </c>
    </row>
    <row r="1764" spans="2:8" x14ac:dyDescent="0.25">
      <c r="B1764" t="str">
        <f t="shared" si="27"/>
        <v>CHLPopulation, total</v>
      </c>
      <c r="C1764" t="s">
        <v>220</v>
      </c>
      <c r="D1764" t="s">
        <v>24</v>
      </c>
      <c r="E1764" t="s">
        <v>398</v>
      </c>
      <c r="F1764" t="s">
        <v>726</v>
      </c>
      <c r="G1764">
        <v>18952000</v>
      </c>
      <c r="H1764">
        <v>19116000</v>
      </c>
    </row>
    <row r="1765" spans="2:8" x14ac:dyDescent="0.25">
      <c r="B1765" t="str">
        <f t="shared" si="27"/>
        <v>CHLPopulation, female</v>
      </c>
      <c r="C1765" t="s">
        <v>220</v>
      </c>
      <c r="D1765" t="s">
        <v>24</v>
      </c>
      <c r="E1765" t="s">
        <v>396</v>
      </c>
      <c r="F1765" t="s">
        <v>727</v>
      </c>
      <c r="G1765">
        <v>9610000</v>
      </c>
      <c r="H1765">
        <v>9691000</v>
      </c>
    </row>
    <row r="1766" spans="2:8" x14ac:dyDescent="0.25">
      <c r="B1766" t="str">
        <f t="shared" si="27"/>
        <v>CHLPopulation growth (annual %)</v>
      </c>
      <c r="C1766" t="s">
        <v>220</v>
      </c>
      <c r="D1766" t="s">
        <v>24</v>
      </c>
      <c r="E1766" t="s">
        <v>399</v>
      </c>
      <c r="F1766" t="s">
        <v>728</v>
      </c>
      <c r="G1766">
        <v>0</v>
      </c>
      <c r="H1766">
        <v>0</v>
      </c>
    </row>
    <row r="1767" spans="2:8" x14ac:dyDescent="0.25">
      <c r="B1767" t="str">
        <f t="shared" si="27"/>
        <v>CHNPopulation ages 0-14, female</v>
      </c>
      <c r="C1767" t="s">
        <v>458</v>
      </c>
      <c r="D1767" t="s">
        <v>25</v>
      </c>
      <c r="E1767" t="s">
        <v>687</v>
      </c>
      <c r="F1767" t="s">
        <v>688</v>
      </c>
      <c r="G1767">
        <v>115785000</v>
      </c>
      <c r="H1767">
        <v>115672000</v>
      </c>
    </row>
    <row r="1768" spans="2:8" x14ac:dyDescent="0.25">
      <c r="B1768" t="str">
        <f t="shared" si="27"/>
        <v>CHNPopulation ages 0-14, male</v>
      </c>
      <c r="C1768" t="s">
        <v>458</v>
      </c>
      <c r="D1768" t="s">
        <v>25</v>
      </c>
      <c r="E1768" t="s">
        <v>689</v>
      </c>
      <c r="F1768" t="s">
        <v>690</v>
      </c>
      <c r="G1768">
        <v>132996000</v>
      </c>
      <c r="H1768">
        <v>132538000</v>
      </c>
    </row>
    <row r="1769" spans="2:8" x14ac:dyDescent="0.25">
      <c r="B1769" t="str">
        <f t="shared" si="27"/>
        <v>CHNPopulation ages 00-04, female</v>
      </c>
      <c r="C1769" t="s">
        <v>458</v>
      </c>
      <c r="D1769" t="s">
        <v>25</v>
      </c>
      <c r="E1769" t="s">
        <v>362</v>
      </c>
      <c r="F1769" t="s">
        <v>691</v>
      </c>
      <c r="G1769">
        <v>38918000</v>
      </c>
      <c r="H1769">
        <v>38435000</v>
      </c>
    </row>
    <row r="1770" spans="2:8" x14ac:dyDescent="0.25">
      <c r="B1770" t="str">
        <f t="shared" si="27"/>
        <v>CHNPopulation ages 00-04, male</v>
      </c>
      <c r="C1770" t="s">
        <v>458</v>
      </c>
      <c r="D1770" t="s">
        <v>25</v>
      </c>
      <c r="E1770" t="s">
        <v>363</v>
      </c>
      <c r="F1770" t="s">
        <v>692</v>
      </c>
      <c r="G1770">
        <v>43958000</v>
      </c>
      <c r="H1770">
        <v>43284000</v>
      </c>
    </row>
    <row r="1771" spans="2:8" x14ac:dyDescent="0.25">
      <c r="B1771" t="str">
        <f t="shared" si="27"/>
        <v>CHNPopulation ages 05-09, female</v>
      </c>
      <c r="C1771" t="s">
        <v>458</v>
      </c>
      <c r="D1771" t="s">
        <v>25</v>
      </c>
      <c r="E1771" t="s">
        <v>364</v>
      </c>
      <c r="F1771" t="s">
        <v>693</v>
      </c>
      <c r="G1771">
        <v>39202000</v>
      </c>
      <c r="H1771">
        <v>39350000</v>
      </c>
    </row>
    <row r="1772" spans="2:8" x14ac:dyDescent="0.25">
      <c r="B1772" t="str">
        <f t="shared" si="27"/>
        <v>CHNPopulation ages 05-09, male</v>
      </c>
      <c r="C1772" t="s">
        <v>458</v>
      </c>
      <c r="D1772" t="s">
        <v>25</v>
      </c>
      <c r="E1772" t="s">
        <v>365</v>
      </c>
      <c r="F1772" t="s">
        <v>694</v>
      </c>
      <c r="G1772">
        <v>45140000</v>
      </c>
      <c r="H1772">
        <v>45099000</v>
      </c>
    </row>
    <row r="1773" spans="2:8" x14ac:dyDescent="0.25">
      <c r="B1773" t="str">
        <f t="shared" si="27"/>
        <v>CHNPopulation ages 10-14, female</v>
      </c>
      <c r="C1773" t="s">
        <v>458</v>
      </c>
      <c r="D1773" t="s">
        <v>25</v>
      </c>
      <c r="E1773" t="s">
        <v>366</v>
      </c>
      <c r="F1773" t="s">
        <v>695</v>
      </c>
      <c r="G1773">
        <v>37665000</v>
      </c>
      <c r="H1773">
        <v>37887000</v>
      </c>
    </row>
    <row r="1774" spans="2:8" x14ac:dyDescent="0.25">
      <c r="B1774" t="str">
        <f t="shared" si="27"/>
        <v>CHNPopulation ages 10-14, male</v>
      </c>
      <c r="C1774" t="s">
        <v>458</v>
      </c>
      <c r="D1774" t="s">
        <v>25</v>
      </c>
      <c r="E1774" t="s">
        <v>367</v>
      </c>
      <c r="F1774" t="s">
        <v>696</v>
      </c>
      <c r="G1774">
        <v>43898000</v>
      </c>
      <c r="H1774">
        <v>44154000</v>
      </c>
    </row>
    <row r="1775" spans="2:8" x14ac:dyDescent="0.25">
      <c r="B1775" t="str">
        <f t="shared" si="27"/>
        <v>CHNPopulation ages 15-19, female</v>
      </c>
      <c r="C1775" t="s">
        <v>458</v>
      </c>
      <c r="D1775" t="s">
        <v>25</v>
      </c>
      <c r="E1775" t="s">
        <v>368</v>
      </c>
      <c r="F1775" t="s">
        <v>697</v>
      </c>
      <c r="G1775">
        <v>37555000</v>
      </c>
      <c r="H1775">
        <v>37231000</v>
      </c>
    </row>
    <row r="1776" spans="2:8" x14ac:dyDescent="0.25">
      <c r="B1776" t="str">
        <f t="shared" si="27"/>
        <v>CHNPopulation ages 15-19, male</v>
      </c>
      <c r="C1776" t="s">
        <v>458</v>
      </c>
      <c r="D1776" t="s">
        <v>25</v>
      </c>
      <c r="E1776" t="s">
        <v>369</v>
      </c>
      <c r="F1776" t="s">
        <v>698</v>
      </c>
      <c r="G1776">
        <v>43159000</v>
      </c>
      <c r="H1776">
        <v>42940000</v>
      </c>
    </row>
    <row r="1777" spans="2:8" x14ac:dyDescent="0.25">
      <c r="B1777" t="str">
        <f t="shared" si="27"/>
        <v>CHNPopulation ages 20-24, female</v>
      </c>
      <c r="C1777" t="s">
        <v>458</v>
      </c>
      <c r="D1777" t="s">
        <v>25</v>
      </c>
      <c r="E1777" t="s">
        <v>370</v>
      </c>
      <c r="F1777" t="s">
        <v>699</v>
      </c>
      <c r="G1777">
        <v>40561000</v>
      </c>
      <c r="H1777">
        <v>39806000</v>
      </c>
    </row>
    <row r="1778" spans="2:8" x14ac:dyDescent="0.25">
      <c r="B1778" t="str">
        <f t="shared" si="27"/>
        <v>CHNPopulation ages 20-24, male</v>
      </c>
      <c r="C1778" t="s">
        <v>458</v>
      </c>
      <c r="D1778" t="s">
        <v>25</v>
      </c>
      <c r="E1778" t="s">
        <v>371</v>
      </c>
      <c r="F1778" t="s">
        <v>700</v>
      </c>
      <c r="G1778">
        <v>45761000</v>
      </c>
      <c r="H1778">
        <v>45054000</v>
      </c>
    </row>
    <row r="1779" spans="2:8" x14ac:dyDescent="0.25">
      <c r="B1779" t="str">
        <f t="shared" si="27"/>
        <v>CHNPopulation ages 25-29, female</v>
      </c>
      <c r="C1779" t="s">
        <v>458</v>
      </c>
      <c r="D1779" t="s">
        <v>25</v>
      </c>
      <c r="E1779" t="s">
        <v>372</v>
      </c>
      <c r="F1779" t="s">
        <v>701</v>
      </c>
      <c r="G1779">
        <v>48417000</v>
      </c>
      <c r="H1779">
        <v>45241000</v>
      </c>
    </row>
    <row r="1780" spans="2:8" x14ac:dyDescent="0.25">
      <c r="B1780" t="str">
        <f t="shared" si="27"/>
        <v>CHNPopulation ages 25-29, male</v>
      </c>
      <c r="C1780" t="s">
        <v>458</v>
      </c>
      <c r="D1780" t="s">
        <v>25</v>
      </c>
      <c r="E1780" t="s">
        <v>373</v>
      </c>
      <c r="F1780" t="s">
        <v>702</v>
      </c>
      <c r="G1780">
        <v>53243000</v>
      </c>
      <c r="H1780">
        <v>50165000</v>
      </c>
    </row>
    <row r="1781" spans="2:8" x14ac:dyDescent="0.25">
      <c r="B1781" t="str">
        <f t="shared" si="27"/>
        <v>CHNPopulation ages 30-34, female</v>
      </c>
      <c r="C1781" t="s">
        <v>458</v>
      </c>
      <c r="D1781" t="s">
        <v>25</v>
      </c>
      <c r="E1781" t="s">
        <v>374</v>
      </c>
      <c r="F1781" t="s">
        <v>703</v>
      </c>
      <c r="G1781">
        <v>60101000</v>
      </c>
      <c r="H1781">
        <v>60653000</v>
      </c>
    </row>
    <row r="1782" spans="2:8" x14ac:dyDescent="0.25">
      <c r="B1782" t="str">
        <f t="shared" si="27"/>
        <v>CHNPopulation ages 30-34, male</v>
      </c>
      <c r="C1782" t="s">
        <v>458</v>
      </c>
      <c r="D1782" t="s">
        <v>25</v>
      </c>
      <c r="E1782" t="s">
        <v>375</v>
      </c>
      <c r="F1782" t="s">
        <v>704</v>
      </c>
      <c r="G1782">
        <v>63877000</v>
      </c>
      <c r="H1782">
        <v>64692000</v>
      </c>
    </row>
    <row r="1783" spans="2:8" x14ac:dyDescent="0.25">
      <c r="B1783" t="str">
        <f t="shared" si="27"/>
        <v>CHNPopulation ages 35-39, female</v>
      </c>
      <c r="C1783" t="s">
        <v>458</v>
      </c>
      <c r="D1783" t="s">
        <v>25</v>
      </c>
      <c r="E1783" t="s">
        <v>376</v>
      </c>
      <c r="F1783" t="s">
        <v>705</v>
      </c>
      <c r="G1783">
        <v>45726000</v>
      </c>
      <c r="H1783">
        <v>47461000</v>
      </c>
    </row>
    <row r="1784" spans="2:8" x14ac:dyDescent="0.25">
      <c r="B1784" t="str">
        <f t="shared" si="27"/>
        <v>CHNPopulation ages 35-39, male</v>
      </c>
      <c r="C1784" t="s">
        <v>458</v>
      </c>
      <c r="D1784" t="s">
        <v>25</v>
      </c>
      <c r="E1784" t="s">
        <v>377</v>
      </c>
      <c r="F1784" t="s">
        <v>706</v>
      </c>
      <c r="G1784">
        <v>48114000</v>
      </c>
      <c r="H1784">
        <v>49992000</v>
      </c>
    </row>
    <row r="1785" spans="2:8" x14ac:dyDescent="0.25">
      <c r="B1785" t="str">
        <f t="shared" si="27"/>
        <v>CHNPopulation ages 40-44, female</v>
      </c>
      <c r="C1785" t="s">
        <v>458</v>
      </c>
      <c r="D1785" t="s">
        <v>25</v>
      </c>
      <c r="E1785" t="s">
        <v>378</v>
      </c>
      <c r="F1785" t="s">
        <v>707</v>
      </c>
      <c r="G1785">
        <v>47525000</v>
      </c>
      <c r="H1785">
        <v>45746000</v>
      </c>
    </row>
    <row r="1786" spans="2:8" x14ac:dyDescent="0.25">
      <c r="B1786" t="str">
        <f t="shared" si="27"/>
        <v>CHNPopulation ages 40-44, male</v>
      </c>
      <c r="C1786" t="s">
        <v>458</v>
      </c>
      <c r="D1786" t="s">
        <v>25</v>
      </c>
      <c r="E1786" t="s">
        <v>379</v>
      </c>
      <c r="F1786" t="s">
        <v>708</v>
      </c>
      <c r="G1786">
        <v>49854000</v>
      </c>
      <c r="H1786">
        <v>47990000</v>
      </c>
    </row>
    <row r="1787" spans="2:8" x14ac:dyDescent="0.25">
      <c r="B1787" t="str">
        <f t="shared" si="27"/>
        <v>CHNPopulation ages 45-49, female</v>
      </c>
      <c r="C1787" t="s">
        <v>458</v>
      </c>
      <c r="D1787" t="s">
        <v>25</v>
      </c>
      <c r="E1787" t="s">
        <v>380</v>
      </c>
      <c r="F1787" t="s">
        <v>709</v>
      </c>
      <c r="G1787">
        <v>58904000</v>
      </c>
      <c r="H1787">
        <v>57118000</v>
      </c>
    </row>
    <row r="1788" spans="2:8" x14ac:dyDescent="0.25">
      <c r="B1788" t="str">
        <f t="shared" si="27"/>
        <v>CHNPopulation ages 45-49, male</v>
      </c>
      <c r="C1788" t="s">
        <v>458</v>
      </c>
      <c r="D1788" t="s">
        <v>25</v>
      </c>
      <c r="E1788" t="s">
        <v>381</v>
      </c>
      <c r="F1788" t="s">
        <v>710</v>
      </c>
      <c r="G1788">
        <v>61238000</v>
      </c>
      <c r="H1788">
        <v>59561000</v>
      </c>
    </row>
    <row r="1789" spans="2:8" x14ac:dyDescent="0.25">
      <c r="B1789" t="str">
        <f t="shared" si="27"/>
        <v>CHNPopulation ages 50-54, female</v>
      </c>
      <c r="C1789" t="s">
        <v>458</v>
      </c>
      <c r="D1789" t="s">
        <v>25</v>
      </c>
      <c r="E1789" t="s">
        <v>382</v>
      </c>
      <c r="F1789" t="s">
        <v>711</v>
      </c>
      <c r="G1789">
        <v>58191000</v>
      </c>
      <c r="H1789">
        <v>59487000</v>
      </c>
    </row>
    <row r="1790" spans="2:8" x14ac:dyDescent="0.25">
      <c r="B1790" t="str">
        <f t="shared" si="27"/>
        <v>CHNPopulation ages 50-54, male</v>
      </c>
      <c r="C1790" t="s">
        <v>458</v>
      </c>
      <c r="D1790" t="s">
        <v>25</v>
      </c>
      <c r="E1790" t="s">
        <v>383</v>
      </c>
      <c r="F1790" t="s">
        <v>712</v>
      </c>
      <c r="G1790">
        <v>59395000</v>
      </c>
      <c r="H1790">
        <v>60704000</v>
      </c>
    </row>
    <row r="1791" spans="2:8" x14ac:dyDescent="0.25">
      <c r="B1791" t="str">
        <f t="shared" si="27"/>
        <v>CHNPopulation ages 55-59, male</v>
      </c>
      <c r="C1791" t="s">
        <v>458</v>
      </c>
      <c r="D1791" t="s">
        <v>25</v>
      </c>
      <c r="E1791" t="s">
        <v>385</v>
      </c>
      <c r="F1791" t="s">
        <v>713</v>
      </c>
      <c r="G1791">
        <v>46377000</v>
      </c>
      <c r="H1791">
        <v>48641000</v>
      </c>
    </row>
    <row r="1792" spans="2:8" x14ac:dyDescent="0.25">
      <c r="B1792" t="str">
        <f t="shared" si="27"/>
        <v>CHNPopulation ages 55-59, female</v>
      </c>
      <c r="C1792" t="s">
        <v>458</v>
      </c>
      <c r="D1792" t="s">
        <v>25</v>
      </c>
      <c r="E1792" t="s">
        <v>384</v>
      </c>
      <c r="F1792" t="s">
        <v>714</v>
      </c>
      <c r="G1792">
        <v>45199000</v>
      </c>
      <c r="H1792">
        <v>47496000</v>
      </c>
    </row>
    <row r="1793" spans="2:8" x14ac:dyDescent="0.25">
      <c r="B1793" t="str">
        <f t="shared" si="27"/>
        <v>CHNPopulation ages 65-69, male</v>
      </c>
      <c r="C1793" t="s">
        <v>458</v>
      </c>
      <c r="D1793" t="s">
        <v>25</v>
      </c>
      <c r="E1793" t="s">
        <v>389</v>
      </c>
      <c r="F1793" t="s">
        <v>715</v>
      </c>
      <c r="G1793">
        <v>34290000</v>
      </c>
      <c r="H1793">
        <v>35564000</v>
      </c>
    </row>
    <row r="1794" spans="2:8" x14ac:dyDescent="0.25">
      <c r="B1794" t="str">
        <f t="shared" si="27"/>
        <v>CHNPopulation ages 65-69, female</v>
      </c>
      <c r="C1794" t="s">
        <v>458</v>
      </c>
      <c r="D1794" t="s">
        <v>25</v>
      </c>
      <c r="E1794" t="s">
        <v>388</v>
      </c>
      <c r="F1794" t="s">
        <v>716</v>
      </c>
      <c r="G1794">
        <v>35338000</v>
      </c>
      <c r="H1794">
        <v>36631000</v>
      </c>
    </row>
    <row r="1795" spans="2:8" x14ac:dyDescent="0.25">
      <c r="B1795" t="str">
        <f t="shared" si="27"/>
        <v>CHNPopulation ages 60-64, female</v>
      </c>
      <c r="C1795" t="s">
        <v>458</v>
      </c>
      <c r="D1795" t="s">
        <v>25</v>
      </c>
      <c r="E1795" t="s">
        <v>386</v>
      </c>
      <c r="F1795" t="s">
        <v>717</v>
      </c>
      <c r="G1795">
        <v>37392000</v>
      </c>
      <c r="H1795">
        <v>37579000</v>
      </c>
    </row>
    <row r="1796" spans="2:8" x14ac:dyDescent="0.25">
      <c r="B1796" t="str">
        <f t="shared" si="27"/>
        <v>CHNPopulation ages 60-64, male</v>
      </c>
      <c r="C1796" t="s">
        <v>458</v>
      </c>
      <c r="D1796" t="s">
        <v>25</v>
      </c>
      <c r="E1796" t="s">
        <v>387</v>
      </c>
      <c r="F1796" t="s">
        <v>718</v>
      </c>
      <c r="G1796">
        <v>37625000</v>
      </c>
      <c r="H1796">
        <v>37891000</v>
      </c>
    </row>
    <row r="1797" spans="2:8" x14ac:dyDescent="0.25">
      <c r="B1797" t="str">
        <f t="shared" si="27"/>
        <v>CHNPopulation ages 70-74, female</v>
      </c>
      <c r="C1797" t="s">
        <v>458</v>
      </c>
      <c r="D1797" t="s">
        <v>25</v>
      </c>
      <c r="E1797" t="s">
        <v>390</v>
      </c>
      <c r="F1797" t="s">
        <v>719</v>
      </c>
      <c r="G1797">
        <v>21081000</v>
      </c>
      <c r="H1797">
        <v>22904000</v>
      </c>
    </row>
    <row r="1798" spans="2:8" x14ac:dyDescent="0.25">
      <c r="B1798" t="str">
        <f t="shared" si="27"/>
        <v>CHNPopulation ages 70-74, male</v>
      </c>
      <c r="C1798" t="s">
        <v>458</v>
      </c>
      <c r="D1798" t="s">
        <v>25</v>
      </c>
      <c r="E1798" t="s">
        <v>391</v>
      </c>
      <c r="F1798" t="s">
        <v>720</v>
      </c>
      <c r="G1798">
        <v>19244000</v>
      </c>
      <c r="H1798">
        <v>20860000</v>
      </c>
    </row>
    <row r="1799" spans="2:8" x14ac:dyDescent="0.25">
      <c r="B1799" t="str">
        <f t="shared" ref="B1799:B1862" si="28">CONCATENATE(D1799,E1799)</f>
        <v>CHNPopulation ages 75-79, female</v>
      </c>
      <c r="C1799" t="s">
        <v>458</v>
      </c>
      <c r="D1799" t="s">
        <v>25</v>
      </c>
      <c r="E1799" t="s">
        <v>392</v>
      </c>
      <c r="F1799" t="s">
        <v>721</v>
      </c>
      <c r="G1799">
        <v>13367000</v>
      </c>
      <c r="H1799">
        <v>13959000</v>
      </c>
    </row>
    <row r="1800" spans="2:8" x14ac:dyDescent="0.25">
      <c r="B1800" t="str">
        <f t="shared" si="28"/>
        <v>CHNPopulation ages 75-79, male</v>
      </c>
      <c r="C1800" t="s">
        <v>458</v>
      </c>
      <c r="D1800" t="s">
        <v>25</v>
      </c>
      <c r="E1800" t="s">
        <v>393</v>
      </c>
      <c r="F1800" t="s">
        <v>722</v>
      </c>
      <c r="G1800">
        <v>11501000</v>
      </c>
      <c r="H1800">
        <v>11885000</v>
      </c>
    </row>
    <row r="1801" spans="2:8" x14ac:dyDescent="0.25">
      <c r="B1801" t="str">
        <f t="shared" si="28"/>
        <v>CHNPopulation ages 80 and above, female</v>
      </c>
      <c r="C1801" t="s">
        <v>458</v>
      </c>
      <c r="D1801" t="s">
        <v>25</v>
      </c>
      <c r="E1801" t="s">
        <v>394</v>
      </c>
      <c r="F1801" t="s">
        <v>723</v>
      </c>
      <c r="G1801">
        <v>15251000</v>
      </c>
      <c r="H1801">
        <v>15608000</v>
      </c>
    </row>
    <row r="1802" spans="2:8" x14ac:dyDescent="0.25">
      <c r="B1802" t="str">
        <f t="shared" si="28"/>
        <v>CHNPopulation ages 80 and above, male</v>
      </c>
      <c r="C1802" t="s">
        <v>458</v>
      </c>
      <c r="D1802" t="s">
        <v>25</v>
      </c>
      <c r="E1802" t="s">
        <v>395</v>
      </c>
      <c r="F1802" t="s">
        <v>724</v>
      </c>
      <c r="G1802">
        <v>10230000</v>
      </c>
      <c r="H1802">
        <v>10308000</v>
      </c>
    </row>
    <row r="1803" spans="2:8" x14ac:dyDescent="0.25">
      <c r="B1803" t="str">
        <f t="shared" si="28"/>
        <v>CHNPopulation, male</v>
      </c>
      <c r="C1803" t="s">
        <v>458</v>
      </c>
      <c r="D1803" t="s">
        <v>25</v>
      </c>
      <c r="E1803" t="s">
        <v>397</v>
      </c>
      <c r="F1803" t="s">
        <v>725</v>
      </c>
      <c r="G1803">
        <v>716903000</v>
      </c>
      <c r="H1803">
        <v>718785000</v>
      </c>
    </row>
    <row r="1804" spans="2:8" x14ac:dyDescent="0.25">
      <c r="B1804" t="str">
        <f t="shared" si="28"/>
        <v>CHNPopulation, total</v>
      </c>
      <c r="C1804" t="s">
        <v>458</v>
      </c>
      <c r="D1804" t="s">
        <v>25</v>
      </c>
      <c r="E1804" t="s">
        <v>398</v>
      </c>
      <c r="F1804" t="s">
        <v>726</v>
      </c>
      <c r="G1804">
        <v>1397295000</v>
      </c>
      <c r="H1804">
        <v>1401379000</v>
      </c>
    </row>
    <row r="1805" spans="2:8" x14ac:dyDescent="0.25">
      <c r="B1805" t="str">
        <f t="shared" si="28"/>
        <v>CHNPopulation, female</v>
      </c>
      <c r="C1805" t="s">
        <v>458</v>
      </c>
      <c r="D1805" t="s">
        <v>25</v>
      </c>
      <c r="E1805" t="s">
        <v>396</v>
      </c>
      <c r="F1805" t="s">
        <v>727</v>
      </c>
      <c r="G1805">
        <v>680392000</v>
      </c>
      <c r="H1805">
        <v>682594000</v>
      </c>
    </row>
    <row r="1806" spans="2:8" x14ac:dyDescent="0.25">
      <c r="B1806" t="str">
        <f t="shared" si="28"/>
        <v>CHNPopulation growth (annual %)</v>
      </c>
      <c r="C1806" t="s">
        <v>458</v>
      </c>
      <c r="D1806" t="s">
        <v>25</v>
      </c>
      <c r="E1806" t="s">
        <v>399</v>
      </c>
      <c r="F1806" t="s">
        <v>728</v>
      </c>
      <c r="G1806">
        <v>0</v>
      </c>
      <c r="H1806">
        <v>0</v>
      </c>
    </row>
    <row r="1807" spans="2:8" x14ac:dyDescent="0.25">
      <c r="B1807" t="str">
        <f t="shared" si="28"/>
        <v>COLPopulation ages 0-14, female</v>
      </c>
      <c r="C1807" t="s">
        <v>459</v>
      </c>
      <c r="D1807" t="s">
        <v>460</v>
      </c>
      <c r="E1807" t="s">
        <v>687</v>
      </c>
      <c r="F1807" t="s">
        <v>688</v>
      </c>
      <c r="G1807">
        <v>5565000</v>
      </c>
      <c r="H1807">
        <v>5516000</v>
      </c>
    </row>
    <row r="1808" spans="2:8" x14ac:dyDescent="0.25">
      <c r="B1808" t="str">
        <f t="shared" si="28"/>
        <v>COLPopulation ages 0-14, male</v>
      </c>
      <c r="C1808" t="s">
        <v>459</v>
      </c>
      <c r="D1808" t="s">
        <v>460</v>
      </c>
      <c r="E1808" t="s">
        <v>689</v>
      </c>
      <c r="F1808" t="s">
        <v>690</v>
      </c>
      <c r="G1808">
        <v>5823000</v>
      </c>
      <c r="H1808">
        <v>5771000</v>
      </c>
    </row>
    <row r="1809" spans="2:8" x14ac:dyDescent="0.25">
      <c r="B1809" t="str">
        <f t="shared" si="28"/>
        <v>COLPopulation ages 00-04, female</v>
      </c>
      <c r="C1809" t="s">
        <v>459</v>
      </c>
      <c r="D1809" t="s">
        <v>460</v>
      </c>
      <c r="E1809" t="s">
        <v>362</v>
      </c>
      <c r="F1809" t="s">
        <v>691</v>
      </c>
      <c r="G1809">
        <v>1821000</v>
      </c>
      <c r="H1809">
        <v>1812000</v>
      </c>
    </row>
    <row r="1810" spans="2:8" x14ac:dyDescent="0.25">
      <c r="B1810" t="str">
        <f t="shared" si="28"/>
        <v>COLPopulation ages 00-04, male</v>
      </c>
      <c r="C1810" t="s">
        <v>459</v>
      </c>
      <c r="D1810" t="s">
        <v>460</v>
      </c>
      <c r="E1810" t="s">
        <v>363</v>
      </c>
      <c r="F1810" t="s">
        <v>692</v>
      </c>
      <c r="G1810">
        <v>1909000</v>
      </c>
      <c r="H1810">
        <v>1899000</v>
      </c>
    </row>
    <row r="1811" spans="2:8" x14ac:dyDescent="0.25">
      <c r="B1811" t="str">
        <f t="shared" si="28"/>
        <v>COLPopulation ages 05-09, female</v>
      </c>
      <c r="C1811" t="s">
        <v>459</v>
      </c>
      <c r="D1811" t="s">
        <v>460</v>
      </c>
      <c r="E1811" t="s">
        <v>364</v>
      </c>
      <c r="F1811" t="s">
        <v>693</v>
      </c>
      <c r="G1811">
        <v>1817000</v>
      </c>
      <c r="H1811">
        <v>1810000</v>
      </c>
    </row>
    <row r="1812" spans="2:8" x14ac:dyDescent="0.25">
      <c r="B1812" t="str">
        <f t="shared" si="28"/>
        <v>COLPopulation ages 05-09, male</v>
      </c>
      <c r="C1812" t="s">
        <v>459</v>
      </c>
      <c r="D1812" t="s">
        <v>460</v>
      </c>
      <c r="E1812" t="s">
        <v>365</v>
      </c>
      <c r="F1812" t="s">
        <v>694</v>
      </c>
      <c r="G1812">
        <v>1901000</v>
      </c>
      <c r="H1812">
        <v>1894000</v>
      </c>
    </row>
    <row r="1813" spans="2:8" x14ac:dyDescent="0.25">
      <c r="B1813" t="str">
        <f t="shared" si="28"/>
        <v>COLPopulation ages 10-14, female</v>
      </c>
      <c r="C1813" t="s">
        <v>459</v>
      </c>
      <c r="D1813" t="s">
        <v>460</v>
      </c>
      <c r="E1813" t="s">
        <v>366</v>
      </c>
      <c r="F1813" t="s">
        <v>695</v>
      </c>
      <c r="G1813">
        <v>1926000</v>
      </c>
      <c r="H1813">
        <v>1895000</v>
      </c>
    </row>
    <row r="1814" spans="2:8" x14ac:dyDescent="0.25">
      <c r="B1814" t="str">
        <f t="shared" si="28"/>
        <v>COLPopulation ages 10-14, male</v>
      </c>
      <c r="C1814" t="s">
        <v>459</v>
      </c>
      <c r="D1814" t="s">
        <v>460</v>
      </c>
      <c r="E1814" t="s">
        <v>367</v>
      </c>
      <c r="F1814" t="s">
        <v>696</v>
      </c>
      <c r="G1814">
        <v>2012000</v>
      </c>
      <c r="H1814">
        <v>1979000</v>
      </c>
    </row>
    <row r="1815" spans="2:8" x14ac:dyDescent="0.25">
      <c r="B1815" t="str">
        <f t="shared" si="28"/>
        <v>COLPopulation ages 15-19, female</v>
      </c>
      <c r="C1815" t="s">
        <v>459</v>
      </c>
      <c r="D1815" t="s">
        <v>460</v>
      </c>
      <c r="E1815" t="s">
        <v>368</v>
      </c>
      <c r="F1815" t="s">
        <v>697</v>
      </c>
      <c r="G1815">
        <v>2103000</v>
      </c>
      <c r="H1815">
        <v>2080000</v>
      </c>
    </row>
    <row r="1816" spans="2:8" x14ac:dyDescent="0.25">
      <c r="B1816" t="str">
        <f t="shared" si="28"/>
        <v>COLPopulation ages 15-19, male</v>
      </c>
      <c r="C1816" t="s">
        <v>459</v>
      </c>
      <c r="D1816" t="s">
        <v>460</v>
      </c>
      <c r="E1816" t="s">
        <v>369</v>
      </c>
      <c r="F1816" t="s">
        <v>698</v>
      </c>
      <c r="G1816">
        <v>2190000</v>
      </c>
      <c r="H1816">
        <v>2167000</v>
      </c>
    </row>
    <row r="1817" spans="2:8" x14ac:dyDescent="0.25">
      <c r="B1817" t="str">
        <f t="shared" si="28"/>
        <v>COLPopulation ages 20-24, female</v>
      </c>
      <c r="C1817" t="s">
        <v>459</v>
      </c>
      <c r="D1817" t="s">
        <v>460</v>
      </c>
      <c r="E1817" t="s">
        <v>370</v>
      </c>
      <c r="F1817" t="s">
        <v>699</v>
      </c>
      <c r="G1817">
        <v>2175000</v>
      </c>
      <c r="H1817">
        <v>2175000</v>
      </c>
    </row>
    <row r="1818" spans="2:8" x14ac:dyDescent="0.25">
      <c r="B1818" t="str">
        <f t="shared" si="28"/>
        <v>COLPopulation ages 20-24, male</v>
      </c>
      <c r="C1818" t="s">
        <v>459</v>
      </c>
      <c r="D1818" t="s">
        <v>460</v>
      </c>
      <c r="E1818" t="s">
        <v>371</v>
      </c>
      <c r="F1818" t="s">
        <v>700</v>
      </c>
      <c r="G1818">
        <v>2245000</v>
      </c>
      <c r="H1818">
        <v>2247000</v>
      </c>
    </row>
    <row r="1819" spans="2:8" x14ac:dyDescent="0.25">
      <c r="B1819" t="str">
        <f t="shared" si="28"/>
        <v>COLPopulation ages 25-29, female</v>
      </c>
      <c r="C1819" t="s">
        <v>459</v>
      </c>
      <c r="D1819" t="s">
        <v>460</v>
      </c>
      <c r="E1819" t="s">
        <v>372</v>
      </c>
      <c r="F1819" t="s">
        <v>701</v>
      </c>
      <c r="G1819">
        <v>2158000</v>
      </c>
      <c r="H1819">
        <v>2191000</v>
      </c>
    </row>
    <row r="1820" spans="2:8" x14ac:dyDescent="0.25">
      <c r="B1820" t="str">
        <f t="shared" si="28"/>
        <v>COLPopulation ages 25-29, male</v>
      </c>
      <c r="C1820" t="s">
        <v>459</v>
      </c>
      <c r="D1820" t="s">
        <v>460</v>
      </c>
      <c r="E1820" t="s">
        <v>373</v>
      </c>
      <c r="F1820" t="s">
        <v>702</v>
      </c>
      <c r="G1820">
        <v>2201000</v>
      </c>
      <c r="H1820">
        <v>2235000</v>
      </c>
    </row>
    <row r="1821" spans="2:8" x14ac:dyDescent="0.25">
      <c r="B1821" t="str">
        <f t="shared" si="28"/>
        <v>COLPopulation ages 30-34, female</v>
      </c>
      <c r="C1821" t="s">
        <v>459</v>
      </c>
      <c r="D1821" t="s">
        <v>460</v>
      </c>
      <c r="E1821" t="s">
        <v>374</v>
      </c>
      <c r="F1821" t="s">
        <v>703</v>
      </c>
      <c r="G1821">
        <v>1989000</v>
      </c>
      <c r="H1821">
        <v>2025000</v>
      </c>
    </row>
    <row r="1822" spans="2:8" x14ac:dyDescent="0.25">
      <c r="B1822" t="str">
        <f t="shared" si="28"/>
        <v>COLPopulation ages 30-34, male</v>
      </c>
      <c r="C1822" t="s">
        <v>459</v>
      </c>
      <c r="D1822" t="s">
        <v>460</v>
      </c>
      <c r="E1822" t="s">
        <v>375</v>
      </c>
      <c r="F1822" t="s">
        <v>704</v>
      </c>
      <c r="G1822">
        <v>1989000</v>
      </c>
      <c r="H1822">
        <v>2032000</v>
      </c>
    </row>
    <row r="1823" spans="2:8" x14ac:dyDescent="0.25">
      <c r="B1823" t="str">
        <f t="shared" si="28"/>
        <v>COLPopulation ages 35-39, female</v>
      </c>
      <c r="C1823" t="s">
        <v>459</v>
      </c>
      <c r="D1823" t="s">
        <v>460</v>
      </c>
      <c r="E1823" t="s">
        <v>376</v>
      </c>
      <c r="F1823" t="s">
        <v>705</v>
      </c>
      <c r="G1823">
        <v>1877000</v>
      </c>
      <c r="H1823">
        <v>1903000</v>
      </c>
    </row>
    <row r="1824" spans="2:8" x14ac:dyDescent="0.25">
      <c r="B1824" t="str">
        <f t="shared" si="28"/>
        <v>COLPopulation ages 35-39, male</v>
      </c>
      <c r="C1824" t="s">
        <v>459</v>
      </c>
      <c r="D1824" t="s">
        <v>460</v>
      </c>
      <c r="E1824" t="s">
        <v>377</v>
      </c>
      <c r="F1824" t="s">
        <v>706</v>
      </c>
      <c r="G1824">
        <v>1812000</v>
      </c>
      <c r="H1824">
        <v>1850000</v>
      </c>
    </row>
    <row r="1825" spans="2:8" x14ac:dyDescent="0.25">
      <c r="B1825" t="str">
        <f t="shared" si="28"/>
        <v>COLPopulation ages 40-44, female</v>
      </c>
      <c r="C1825" t="s">
        <v>459</v>
      </c>
      <c r="D1825" t="s">
        <v>460</v>
      </c>
      <c r="E1825" t="s">
        <v>378</v>
      </c>
      <c r="F1825" t="s">
        <v>707</v>
      </c>
      <c r="G1825">
        <v>1741000</v>
      </c>
      <c r="H1825">
        <v>1773000</v>
      </c>
    </row>
    <row r="1826" spans="2:8" x14ac:dyDescent="0.25">
      <c r="B1826" t="str">
        <f t="shared" si="28"/>
        <v>COLPopulation ages 40-44, male</v>
      </c>
      <c r="C1826" t="s">
        <v>459</v>
      </c>
      <c r="D1826" t="s">
        <v>460</v>
      </c>
      <c r="E1826" t="s">
        <v>379</v>
      </c>
      <c r="F1826" t="s">
        <v>708</v>
      </c>
      <c r="G1826">
        <v>1602000</v>
      </c>
      <c r="H1826">
        <v>1648000</v>
      </c>
    </row>
    <row r="1827" spans="2:8" x14ac:dyDescent="0.25">
      <c r="B1827" t="str">
        <f t="shared" si="28"/>
        <v>COLPopulation ages 45-49, female</v>
      </c>
      <c r="C1827" t="s">
        <v>459</v>
      </c>
      <c r="D1827" t="s">
        <v>460</v>
      </c>
      <c r="E1827" t="s">
        <v>380</v>
      </c>
      <c r="F1827" t="s">
        <v>709</v>
      </c>
      <c r="G1827">
        <v>1591000</v>
      </c>
      <c r="H1827">
        <v>1607000</v>
      </c>
    </row>
    <row r="1828" spans="2:8" x14ac:dyDescent="0.25">
      <c r="B1828" t="str">
        <f t="shared" si="28"/>
        <v>COLPopulation ages 45-49, male</v>
      </c>
      <c r="C1828" t="s">
        <v>459</v>
      </c>
      <c r="D1828" t="s">
        <v>460</v>
      </c>
      <c r="E1828" t="s">
        <v>381</v>
      </c>
      <c r="F1828" t="s">
        <v>710</v>
      </c>
      <c r="G1828">
        <v>1405000</v>
      </c>
      <c r="H1828">
        <v>1422000</v>
      </c>
    </row>
    <row r="1829" spans="2:8" x14ac:dyDescent="0.25">
      <c r="B1829" t="str">
        <f t="shared" si="28"/>
        <v>COLPopulation ages 50-54, female</v>
      </c>
      <c r="C1829" t="s">
        <v>459</v>
      </c>
      <c r="D1829" t="s">
        <v>460</v>
      </c>
      <c r="E1829" t="s">
        <v>382</v>
      </c>
      <c r="F1829" t="s">
        <v>711</v>
      </c>
      <c r="G1829">
        <v>1524000</v>
      </c>
      <c r="H1829">
        <v>1537000</v>
      </c>
    </row>
    <row r="1830" spans="2:8" x14ac:dyDescent="0.25">
      <c r="B1830" t="str">
        <f t="shared" si="28"/>
        <v>COLPopulation ages 50-54, male</v>
      </c>
      <c r="C1830" t="s">
        <v>459</v>
      </c>
      <c r="D1830" t="s">
        <v>460</v>
      </c>
      <c r="E1830" t="s">
        <v>383</v>
      </c>
      <c r="F1830" t="s">
        <v>712</v>
      </c>
      <c r="G1830">
        <v>1364000</v>
      </c>
      <c r="H1830">
        <v>1371000</v>
      </c>
    </row>
    <row r="1831" spans="2:8" x14ac:dyDescent="0.25">
      <c r="B1831" t="str">
        <f t="shared" si="28"/>
        <v>COLPopulation ages 55-59, male</v>
      </c>
      <c r="C1831" t="s">
        <v>459</v>
      </c>
      <c r="D1831" t="s">
        <v>460</v>
      </c>
      <c r="E1831" t="s">
        <v>385</v>
      </c>
      <c r="F1831" t="s">
        <v>713</v>
      </c>
      <c r="G1831">
        <v>1201000</v>
      </c>
      <c r="H1831">
        <v>1240000</v>
      </c>
    </row>
    <row r="1832" spans="2:8" x14ac:dyDescent="0.25">
      <c r="B1832" t="str">
        <f t="shared" si="28"/>
        <v>COLPopulation ages 55-59, female</v>
      </c>
      <c r="C1832" t="s">
        <v>459</v>
      </c>
      <c r="D1832" t="s">
        <v>460</v>
      </c>
      <c r="E1832" t="s">
        <v>384</v>
      </c>
      <c r="F1832" t="s">
        <v>714</v>
      </c>
      <c r="G1832">
        <v>1357000</v>
      </c>
      <c r="H1832">
        <v>1396000</v>
      </c>
    </row>
    <row r="1833" spans="2:8" x14ac:dyDescent="0.25">
      <c r="B1833" t="str">
        <f t="shared" si="28"/>
        <v>COLPopulation ages 65-69, male</v>
      </c>
      <c r="C1833" t="s">
        <v>459</v>
      </c>
      <c r="D1833" t="s">
        <v>460</v>
      </c>
      <c r="E1833" t="s">
        <v>389</v>
      </c>
      <c r="F1833" t="s">
        <v>715</v>
      </c>
      <c r="G1833">
        <v>743000</v>
      </c>
      <c r="H1833">
        <v>772000</v>
      </c>
    </row>
    <row r="1834" spans="2:8" x14ac:dyDescent="0.25">
      <c r="B1834" t="str">
        <f t="shared" si="28"/>
        <v>COLPopulation ages 65-69, female</v>
      </c>
      <c r="C1834" t="s">
        <v>459</v>
      </c>
      <c r="D1834" t="s">
        <v>460</v>
      </c>
      <c r="E1834" t="s">
        <v>388</v>
      </c>
      <c r="F1834" t="s">
        <v>716</v>
      </c>
      <c r="G1834">
        <v>875000</v>
      </c>
      <c r="H1834">
        <v>913000</v>
      </c>
    </row>
    <row r="1835" spans="2:8" x14ac:dyDescent="0.25">
      <c r="B1835" t="str">
        <f t="shared" si="28"/>
        <v>COLPopulation ages 60-64, female</v>
      </c>
      <c r="C1835" t="s">
        <v>459</v>
      </c>
      <c r="D1835" t="s">
        <v>460</v>
      </c>
      <c r="E1835" t="s">
        <v>386</v>
      </c>
      <c r="F1835" t="s">
        <v>717</v>
      </c>
      <c r="G1835">
        <v>1092000</v>
      </c>
      <c r="H1835">
        <v>1129000</v>
      </c>
    </row>
    <row r="1836" spans="2:8" x14ac:dyDescent="0.25">
      <c r="B1836" t="str">
        <f t="shared" si="28"/>
        <v>COLPopulation ages 60-64, male</v>
      </c>
      <c r="C1836" t="s">
        <v>459</v>
      </c>
      <c r="D1836" t="s">
        <v>460</v>
      </c>
      <c r="E1836" t="s">
        <v>387</v>
      </c>
      <c r="F1836" t="s">
        <v>718</v>
      </c>
      <c r="G1836">
        <v>924000</v>
      </c>
      <c r="H1836">
        <v>957000</v>
      </c>
    </row>
    <row r="1837" spans="2:8" x14ac:dyDescent="0.25">
      <c r="B1837" t="str">
        <f t="shared" si="28"/>
        <v>COLPopulation ages 70-74, female</v>
      </c>
      <c r="C1837" t="s">
        <v>459</v>
      </c>
      <c r="D1837" t="s">
        <v>460</v>
      </c>
      <c r="E1837" t="s">
        <v>390</v>
      </c>
      <c r="F1837" t="s">
        <v>719</v>
      </c>
      <c r="G1837">
        <v>616000</v>
      </c>
      <c r="H1837">
        <v>650000</v>
      </c>
    </row>
    <row r="1838" spans="2:8" x14ac:dyDescent="0.25">
      <c r="B1838" t="str">
        <f t="shared" si="28"/>
        <v>COLPopulation ages 70-74, male</v>
      </c>
      <c r="C1838" t="s">
        <v>459</v>
      </c>
      <c r="D1838" t="s">
        <v>460</v>
      </c>
      <c r="E1838" t="s">
        <v>391</v>
      </c>
      <c r="F1838" t="s">
        <v>720</v>
      </c>
      <c r="G1838">
        <v>509000</v>
      </c>
      <c r="H1838">
        <v>538000</v>
      </c>
    </row>
    <row r="1839" spans="2:8" x14ac:dyDescent="0.25">
      <c r="B1839" t="str">
        <f t="shared" si="28"/>
        <v>COLPopulation ages 75-79, female</v>
      </c>
      <c r="C1839" t="s">
        <v>459</v>
      </c>
      <c r="D1839" t="s">
        <v>460</v>
      </c>
      <c r="E1839" t="s">
        <v>392</v>
      </c>
      <c r="F1839" t="s">
        <v>721</v>
      </c>
      <c r="G1839">
        <v>427000</v>
      </c>
      <c r="H1839">
        <v>446000</v>
      </c>
    </row>
    <row r="1840" spans="2:8" x14ac:dyDescent="0.25">
      <c r="B1840" t="str">
        <f t="shared" si="28"/>
        <v>COLPopulation ages 75-79, male</v>
      </c>
      <c r="C1840" t="s">
        <v>459</v>
      </c>
      <c r="D1840" t="s">
        <v>460</v>
      </c>
      <c r="E1840" t="s">
        <v>393</v>
      </c>
      <c r="F1840" t="s">
        <v>722</v>
      </c>
      <c r="G1840">
        <v>331000</v>
      </c>
      <c r="H1840">
        <v>346000</v>
      </c>
    </row>
    <row r="1841" spans="2:8" x14ac:dyDescent="0.25">
      <c r="B1841" t="str">
        <f t="shared" si="28"/>
        <v>COLPopulation ages 80 and above, female</v>
      </c>
      <c r="C1841" t="s">
        <v>459</v>
      </c>
      <c r="D1841" t="s">
        <v>460</v>
      </c>
      <c r="E1841" t="s">
        <v>394</v>
      </c>
      <c r="F1841" t="s">
        <v>723</v>
      </c>
      <c r="G1841">
        <v>536000</v>
      </c>
      <c r="H1841">
        <v>557000</v>
      </c>
    </row>
    <row r="1842" spans="2:8" x14ac:dyDescent="0.25">
      <c r="B1842" t="str">
        <f t="shared" si="28"/>
        <v>COLPopulation ages 80 and above, male</v>
      </c>
      <c r="C1842" t="s">
        <v>459</v>
      </c>
      <c r="D1842" t="s">
        <v>460</v>
      </c>
      <c r="E1842" t="s">
        <v>395</v>
      </c>
      <c r="F1842" t="s">
        <v>724</v>
      </c>
      <c r="G1842">
        <v>376000</v>
      </c>
      <c r="H1842">
        <v>389000</v>
      </c>
    </row>
    <row r="1843" spans="2:8" x14ac:dyDescent="0.25">
      <c r="B1843" t="str">
        <f t="shared" si="28"/>
        <v>COLPopulation, male</v>
      </c>
      <c r="C1843" t="s">
        <v>459</v>
      </c>
      <c r="D1843" t="s">
        <v>460</v>
      </c>
      <c r="E1843" t="s">
        <v>397</v>
      </c>
      <c r="F1843" t="s">
        <v>725</v>
      </c>
      <c r="G1843">
        <v>24713000</v>
      </c>
      <c r="H1843">
        <v>24985000</v>
      </c>
    </row>
    <row r="1844" spans="2:8" x14ac:dyDescent="0.25">
      <c r="B1844" t="str">
        <f t="shared" si="28"/>
        <v>COLPopulation, total</v>
      </c>
      <c r="C1844" t="s">
        <v>459</v>
      </c>
      <c r="D1844" t="s">
        <v>460</v>
      </c>
      <c r="E1844" t="s">
        <v>398</v>
      </c>
      <c r="F1844" t="s">
        <v>726</v>
      </c>
      <c r="G1844">
        <v>50339000</v>
      </c>
      <c r="H1844">
        <v>50883000</v>
      </c>
    </row>
    <row r="1845" spans="2:8" x14ac:dyDescent="0.25">
      <c r="B1845" t="str">
        <f t="shared" si="28"/>
        <v>COLPopulation, female</v>
      </c>
      <c r="C1845" t="s">
        <v>459</v>
      </c>
      <c r="D1845" t="s">
        <v>460</v>
      </c>
      <c r="E1845" t="s">
        <v>396</v>
      </c>
      <c r="F1845" t="s">
        <v>727</v>
      </c>
      <c r="G1845">
        <v>25626000</v>
      </c>
      <c r="H1845">
        <v>25898000</v>
      </c>
    </row>
    <row r="1846" spans="2:8" x14ac:dyDescent="0.25">
      <c r="B1846" t="str">
        <f t="shared" si="28"/>
        <v>COLPopulation growth (annual %)</v>
      </c>
      <c r="C1846" t="s">
        <v>459</v>
      </c>
      <c r="D1846" t="s">
        <v>460</v>
      </c>
      <c r="E1846" t="s">
        <v>399</v>
      </c>
      <c r="F1846" t="s">
        <v>728</v>
      </c>
      <c r="G1846">
        <v>0</v>
      </c>
      <c r="H1846">
        <v>0</v>
      </c>
    </row>
    <row r="1847" spans="2:8" x14ac:dyDescent="0.25">
      <c r="B1847" t="str">
        <f t="shared" si="28"/>
        <v>COMPopulation ages 0-14, female</v>
      </c>
      <c r="C1847" t="s">
        <v>190</v>
      </c>
      <c r="D1847" t="s">
        <v>157</v>
      </c>
      <c r="E1847" t="s">
        <v>687</v>
      </c>
      <c r="F1847" t="s">
        <v>688</v>
      </c>
      <c r="G1847">
        <v>164000</v>
      </c>
      <c r="H1847">
        <v>167000</v>
      </c>
    </row>
    <row r="1848" spans="2:8" x14ac:dyDescent="0.25">
      <c r="B1848" t="str">
        <f t="shared" si="28"/>
        <v>COMPopulation ages 0-14, male</v>
      </c>
      <c r="C1848" t="s">
        <v>190</v>
      </c>
      <c r="D1848" t="s">
        <v>157</v>
      </c>
      <c r="E1848" t="s">
        <v>689</v>
      </c>
      <c r="F1848" t="s">
        <v>690</v>
      </c>
      <c r="G1848">
        <v>170000</v>
      </c>
      <c r="H1848">
        <v>173000</v>
      </c>
    </row>
    <row r="1849" spans="2:8" x14ac:dyDescent="0.25">
      <c r="B1849" t="str">
        <f t="shared" si="28"/>
        <v>COMPopulation ages 00-04, female</v>
      </c>
      <c r="C1849" t="s">
        <v>190</v>
      </c>
      <c r="D1849" t="s">
        <v>157</v>
      </c>
      <c r="E1849" t="s">
        <v>362</v>
      </c>
      <c r="F1849" t="s">
        <v>691</v>
      </c>
      <c r="G1849">
        <v>60000</v>
      </c>
      <c r="H1849">
        <v>61000</v>
      </c>
    </row>
    <row r="1850" spans="2:8" x14ac:dyDescent="0.25">
      <c r="B1850" t="str">
        <f t="shared" si="28"/>
        <v>COMPopulation ages 00-04, male</v>
      </c>
      <c r="C1850" t="s">
        <v>190</v>
      </c>
      <c r="D1850" t="s">
        <v>157</v>
      </c>
      <c r="E1850" t="s">
        <v>363</v>
      </c>
      <c r="F1850" t="s">
        <v>692</v>
      </c>
      <c r="G1850">
        <v>62000</v>
      </c>
      <c r="H1850">
        <v>63000</v>
      </c>
    </row>
    <row r="1851" spans="2:8" x14ac:dyDescent="0.25">
      <c r="B1851" t="str">
        <f t="shared" si="28"/>
        <v>COMPopulation ages 05-09, female</v>
      </c>
      <c r="C1851" t="s">
        <v>190</v>
      </c>
      <c r="D1851" t="s">
        <v>157</v>
      </c>
      <c r="E1851" t="s">
        <v>364</v>
      </c>
      <c r="F1851" t="s">
        <v>693</v>
      </c>
      <c r="G1851">
        <v>55000</v>
      </c>
      <c r="H1851">
        <v>56000</v>
      </c>
    </row>
    <row r="1852" spans="2:8" x14ac:dyDescent="0.25">
      <c r="B1852" t="str">
        <f t="shared" si="28"/>
        <v>COMPopulation ages 05-09, male</v>
      </c>
      <c r="C1852" t="s">
        <v>190</v>
      </c>
      <c r="D1852" t="s">
        <v>157</v>
      </c>
      <c r="E1852" t="s">
        <v>365</v>
      </c>
      <c r="F1852" t="s">
        <v>694</v>
      </c>
      <c r="G1852">
        <v>57000</v>
      </c>
      <c r="H1852">
        <v>58000</v>
      </c>
    </row>
    <row r="1853" spans="2:8" x14ac:dyDescent="0.25">
      <c r="B1853" t="str">
        <f t="shared" si="28"/>
        <v>COMPopulation ages 10-14, female</v>
      </c>
      <c r="C1853" t="s">
        <v>190</v>
      </c>
      <c r="D1853" t="s">
        <v>157</v>
      </c>
      <c r="E1853" t="s">
        <v>366</v>
      </c>
      <c r="F1853" t="s">
        <v>695</v>
      </c>
      <c r="G1853">
        <v>49000</v>
      </c>
      <c r="H1853">
        <v>50000</v>
      </c>
    </row>
    <row r="1854" spans="2:8" x14ac:dyDescent="0.25">
      <c r="B1854" t="str">
        <f t="shared" si="28"/>
        <v>COMPopulation ages 10-14, male</v>
      </c>
      <c r="C1854" t="s">
        <v>190</v>
      </c>
      <c r="D1854" t="s">
        <v>157</v>
      </c>
      <c r="E1854" t="s">
        <v>367</v>
      </c>
      <c r="F1854" t="s">
        <v>696</v>
      </c>
      <c r="G1854">
        <v>51000</v>
      </c>
      <c r="H1854">
        <v>52000</v>
      </c>
    </row>
    <row r="1855" spans="2:8" x14ac:dyDescent="0.25">
      <c r="B1855" t="str">
        <f t="shared" si="28"/>
        <v>COMPopulation ages 15-19, female</v>
      </c>
      <c r="C1855" t="s">
        <v>190</v>
      </c>
      <c r="D1855" t="s">
        <v>157</v>
      </c>
      <c r="E1855" t="s">
        <v>368</v>
      </c>
      <c r="F1855" t="s">
        <v>697</v>
      </c>
      <c r="G1855">
        <v>43000</v>
      </c>
      <c r="H1855">
        <v>44000</v>
      </c>
    </row>
    <row r="1856" spans="2:8" x14ac:dyDescent="0.25">
      <c r="B1856" t="str">
        <f t="shared" si="28"/>
        <v>COMPopulation ages 15-19, male</v>
      </c>
      <c r="C1856" t="s">
        <v>190</v>
      </c>
      <c r="D1856" t="s">
        <v>157</v>
      </c>
      <c r="E1856" t="s">
        <v>369</v>
      </c>
      <c r="F1856" t="s">
        <v>698</v>
      </c>
      <c r="G1856">
        <v>45000</v>
      </c>
      <c r="H1856">
        <v>46000</v>
      </c>
    </row>
    <row r="1857" spans="2:8" x14ac:dyDescent="0.25">
      <c r="B1857" t="str">
        <f t="shared" si="28"/>
        <v>COMPopulation ages 20-24, female</v>
      </c>
      <c r="C1857" t="s">
        <v>190</v>
      </c>
      <c r="D1857" t="s">
        <v>157</v>
      </c>
      <c r="E1857" t="s">
        <v>370</v>
      </c>
      <c r="F1857" t="s">
        <v>699</v>
      </c>
      <c r="G1857">
        <v>38000</v>
      </c>
      <c r="H1857">
        <v>39000</v>
      </c>
    </row>
    <row r="1858" spans="2:8" x14ac:dyDescent="0.25">
      <c r="B1858" t="str">
        <f t="shared" si="28"/>
        <v>COMPopulation ages 20-24, male</v>
      </c>
      <c r="C1858" t="s">
        <v>190</v>
      </c>
      <c r="D1858" t="s">
        <v>157</v>
      </c>
      <c r="E1858" t="s">
        <v>371</v>
      </c>
      <c r="F1858" t="s">
        <v>700</v>
      </c>
      <c r="G1858">
        <v>40000</v>
      </c>
      <c r="H1858">
        <v>40000</v>
      </c>
    </row>
    <row r="1859" spans="2:8" x14ac:dyDescent="0.25">
      <c r="B1859" t="str">
        <f t="shared" si="28"/>
        <v>COMPopulation ages 25-29, female</v>
      </c>
      <c r="C1859" t="s">
        <v>190</v>
      </c>
      <c r="D1859" t="s">
        <v>157</v>
      </c>
      <c r="E1859" t="s">
        <v>372</v>
      </c>
      <c r="F1859" t="s">
        <v>701</v>
      </c>
      <c r="G1859">
        <v>35000</v>
      </c>
      <c r="H1859">
        <v>35000</v>
      </c>
    </row>
    <row r="1860" spans="2:8" x14ac:dyDescent="0.25">
      <c r="B1860" t="str">
        <f t="shared" si="28"/>
        <v>COMPopulation ages 25-29, male</v>
      </c>
      <c r="C1860" t="s">
        <v>190</v>
      </c>
      <c r="D1860" t="s">
        <v>157</v>
      </c>
      <c r="E1860" t="s">
        <v>373</v>
      </c>
      <c r="F1860" t="s">
        <v>702</v>
      </c>
      <c r="G1860">
        <v>36000</v>
      </c>
      <c r="H1860">
        <v>36000</v>
      </c>
    </row>
    <row r="1861" spans="2:8" x14ac:dyDescent="0.25">
      <c r="B1861" t="str">
        <f t="shared" si="28"/>
        <v>COMPopulation ages 30-34, female</v>
      </c>
      <c r="C1861" t="s">
        <v>190</v>
      </c>
      <c r="D1861" t="s">
        <v>157</v>
      </c>
      <c r="E1861" t="s">
        <v>374</v>
      </c>
      <c r="F1861" t="s">
        <v>703</v>
      </c>
      <c r="G1861">
        <v>31000</v>
      </c>
      <c r="H1861">
        <v>31000</v>
      </c>
    </row>
    <row r="1862" spans="2:8" x14ac:dyDescent="0.25">
      <c r="B1862" t="str">
        <f t="shared" si="28"/>
        <v>COMPopulation ages 30-34, male</v>
      </c>
      <c r="C1862" t="s">
        <v>190</v>
      </c>
      <c r="D1862" t="s">
        <v>157</v>
      </c>
      <c r="E1862" t="s">
        <v>375</v>
      </c>
      <c r="F1862" t="s">
        <v>704</v>
      </c>
      <c r="G1862">
        <v>31000</v>
      </c>
      <c r="H1862">
        <v>32000</v>
      </c>
    </row>
    <row r="1863" spans="2:8" x14ac:dyDescent="0.25">
      <c r="B1863" t="str">
        <f t="shared" ref="B1863:B1926" si="29">CONCATENATE(D1863,E1863)</f>
        <v>COMPopulation ages 35-39, female</v>
      </c>
      <c r="C1863" t="s">
        <v>190</v>
      </c>
      <c r="D1863" t="s">
        <v>157</v>
      </c>
      <c r="E1863" t="s">
        <v>376</v>
      </c>
      <c r="F1863" t="s">
        <v>705</v>
      </c>
      <c r="G1863">
        <v>26000</v>
      </c>
      <c r="H1863">
        <v>27000</v>
      </c>
    </row>
    <row r="1864" spans="2:8" x14ac:dyDescent="0.25">
      <c r="B1864" t="str">
        <f t="shared" si="29"/>
        <v>COMPopulation ages 35-39, male</v>
      </c>
      <c r="C1864" t="s">
        <v>190</v>
      </c>
      <c r="D1864" t="s">
        <v>157</v>
      </c>
      <c r="E1864" t="s">
        <v>377</v>
      </c>
      <c r="F1864" t="s">
        <v>706</v>
      </c>
      <c r="G1864">
        <v>26000</v>
      </c>
      <c r="H1864">
        <v>27000</v>
      </c>
    </row>
    <row r="1865" spans="2:8" x14ac:dyDescent="0.25">
      <c r="B1865" t="str">
        <f t="shared" si="29"/>
        <v>COMPopulation ages 40-44, female</v>
      </c>
      <c r="C1865" t="s">
        <v>190</v>
      </c>
      <c r="D1865" t="s">
        <v>157</v>
      </c>
      <c r="E1865" t="s">
        <v>378</v>
      </c>
      <c r="F1865" t="s">
        <v>707</v>
      </c>
      <c r="G1865">
        <v>20000</v>
      </c>
      <c r="H1865">
        <v>21000</v>
      </c>
    </row>
    <row r="1866" spans="2:8" x14ac:dyDescent="0.25">
      <c r="B1866" t="str">
        <f t="shared" si="29"/>
        <v>COMPopulation ages 40-44, male</v>
      </c>
      <c r="C1866" t="s">
        <v>190</v>
      </c>
      <c r="D1866" t="s">
        <v>157</v>
      </c>
      <c r="E1866" t="s">
        <v>379</v>
      </c>
      <c r="F1866" t="s">
        <v>708</v>
      </c>
      <c r="G1866">
        <v>21000</v>
      </c>
      <c r="H1866">
        <v>21000</v>
      </c>
    </row>
    <row r="1867" spans="2:8" x14ac:dyDescent="0.25">
      <c r="B1867" t="str">
        <f t="shared" si="29"/>
        <v>COMPopulation ages 45-49, female</v>
      </c>
      <c r="C1867" t="s">
        <v>190</v>
      </c>
      <c r="D1867" t="s">
        <v>157</v>
      </c>
      <c r="E1867" t="s">
        <v>380</v>
      </c>
      <c r="F1867" t="s">
        <v>709</v>
      </c>
      <c r="G1867">
        <v>17000</v>
      </c>
      <c r="H1867">
        <v>17000</v>
      </c>
    </row>
    <row r="1868" spans="2:8" x14ac:dyDescent="0.25">
      <c r="B1868" t="str">
        <f t="shared" si="29"/>
        <v>COMPopulation ages 45-49, male</v>
      </c>
      <c r="C1868" t="s">
        <v>190</v>
      </c>
      <c r="D1868" t="s">
        <v>157</v>
      </c>
      <c r="E1868" t="s">
        <v>381</v>
      </c>
      <c r="F1868" t="s">
        <v>710</v>
      </c>
      <c r="G1868">
        <v>17000</v>
      </c>
      <c r="H1868">
        <v>17000</v>
      </c>
    </row>
    <row r="1869" spans="2:8" x14ac:dyDescent="0.25">
      <c r="B1869" t="str">
        <f t="shared" si="29"/>
        <v>COMPopulation ages 50-54, female</v>
      </c>
      <c r="C1869" t="s">
        <v>190</v>
      </c>
      <c r="D1869" t="s">
        <v>157</v>
      </c>
      <c r="E1869" t="s">
        <v>382</v>
      </c>
      <c r="F1869" t="s">
        <v>711</v>
      </c>
      <c r="G1869">
        <v>14000</v>
      </c>
      <c r="H1869">
        <v>14000</v>
      </c>
    </row>
    <row r="1870" spans="2:8" x14ac:dyDescent="0.25">
      <c r="B1870" t="str">
        <f t="shared" si="29"/>
        <v>COMPopulation ages 50-54, male</v>
      </c>
      <c r="C1870" t="s">
        <v>190</v>
      </c>
      <c r="D1870" t="s">
        <v>157</v>
      </c>
      <c r="E1870" t="s">
        <v>383</v>
      </c>
      <c r="F1870" t="s">
        <v>712</v>
      </c>
      <c r="G1870">
        <v>14000</v>
      </c>
      <c r="H1870">
        <v>14000</v>
      </c>
    </row>
    <row r="1871" spans="2:8" x14ac:dyDescent="0.25">
      <c r="B1871" t="str">
        <f t="shared" si="29"/>
        <v>COMPopulation ages 55-59, male</v>
      </c>
      <c r="C1871" t="s">
        <v>190</v>
      </c>
      <c r="D1871" t="s">
        <v>157</v>
      </c>
      <c r="E1871" t="s">
        <v>385</v>
      </c>
      <c r="F1871" t="s">
        <v>713</v>
      </c>
      <c r="G1871">
        <v>11000</v>
      </c>
      <c r="H1871">
        <v>11000</v>
      </c>
    </row>
    <row r="1872" spans="2:8" x14ac:dyDescent="0.25">
      <c r="B1872" t="str">
        <f t="shared" si="29"/>
        <v>COMPopulation ages 55-59, female</v>
      </c>
      <c r="C1872" t="s">
        <v>190</v>
      </c>
      <c r="D1872" t="s">
        <v>157</v>
      </c>
      <c r="E1872" t="s">
        <v>384</v>
      </c>
      <c r="F1872" t="s">
        <v>714</v>
      </c>
      <c r="G1872">
        <v>11000</v>
      </c>
      <c r="H1872">
        <v>12000</v>
      </c>
    </row>
    <row r="1873" spans="2:8" x14ac:dyDescent="0.25">
      <c r="B1873" t="str">
        <f t="shared" si="29"/>
        <v>COMPopulation ages 65-69, male</v>
      </c>
      <c r="C1873" t="s">
        <v>190</v>
      </c>
      <c r="D1873" t="s">
        <v>157</v>
      </c>
      <c r="E1873" t="s">
        <v>389</v>
      </c>
      <c r="F1873" t="s">
        <v>715</v>
      </c>
      <c r="G1873">
        <v>5400</v>
      </c>
      <c r="H1873">
        <v>5700</v>
      </c>
    </row>
    <row r="1874" spans="2:8" x14ac:dyDescent="0.25">
      <c r="B1874" t="str">
        <f t="shared" si="29"/>
        <v>COMPopulation ages 65-69, female</v>
      </c>
      <c r="C1874" t="s">
        <v>190</v>
      </c>
      <c r="D1874" t="s">
        <v>157</v>
      </c>
      <c r="E1874" t="s">
        <v>388</v>
      </c>
      <c r="F1874" t="s">
        <v>716</v>
      </c>
      <c r="G1874">
        <v>6000</v>
      </c>
      <c r="H1874">
        <v>6400</v>
      </c>
    </row>
    <row r="1875" spans="2:8" x14ac:dyDescent="0.25">
      <c r="B1875" t="str">
        <f t="shared" si="29"/>
        <v>COMPopulation ages 60-64, female</v>
      </c>
      <c r="C1875" t="s">
        <v>190</v>
      </c>
      <c r="D1875" t="s">
        <v>157</v>
      </c>
      <c r="E1875" t="s">
        <v>386</v>
      </c>
      <c r="F1875" t="s">
        <v>717</v>
      </c>
      <c r="G1875">
        <v>8700</v>
      </c>
      <c r="H1875">
        <v>9100</v>
      </c>
    </row>
    <row r="1876" spans="2:8" x14ac:dyDescent="0.25">
      <c r="B1876" t="str">
        <f t="shared" si="29"/>
        <v>COMPopulation ages 60-64, male</v>
      </c>
      <c r="C1876" t="s">
        <v>190</v>
      </c>
      <c r="D1876" t="s">
        <v>157</v>
      </c>
      <c r="E1876" t="s">
        <v>387</v>
      </c>
      <c r="F1876" t="s">
        <v>718</v>
      </c>
      <c r="G1876">
        <v>8100</v>
      </c>
      <c r="H1876">
        <v>8500</v>
      </c>
    </row>
    <row r="1877" spans="2:8" x14ac:dyDescent="0.25">
      <c r="B1877" t="str">
        <f t="shared" si="29"/>
        <v>COMPopulation ages 70-74, female</v>
      </c>
      <c r="C1877" t="s">
        <v>190</v>
      </c>
      <c r="D1877" t="s">
        <v>157</v>
      </c>
      <c r="E1877" t="s">
        <v>390</v>
      </c>
      <c r="F1877" t="s">
        <v>719</v>
      </c>
      <c r="G1877">
        <v>3700</v>
      </c>
      <c r="H1877">
        <v>3800</v>
      </c>
    </row>
    <row r="1878" spans="2:8" x14ac:dyDescent="0.25">
      <c r="B1878" t="str">
        <f t="shared" si="29"/>
        <v>COMPopulation ages 70-74, male</v>
      </c>
      <c r="C1878" t="s">
        <v>190</v>
      </c>
      <c r="D1878" t="s">
        <v>157</v>
      </c>
      <c r="E1878" t="s">
        <v>391</v>
      </c>
      <c r="F1878" t="s">
        <v>720</v>
      </c>
      <c r="G1878">
        <v>3200</v>
      </c>
      <c r="H1878">
        <v>3300</v>
      </c>
    </row>
    <row r="1879" spans="2:8" x14ac:dyDescent="0.25">
      <c r="B1879" t="str">
        <f t="shared" si="29"/>
        <v>COMPopulation ages 75-79, female</v>
      </c>
      <c r="C1879" t="s">
        <v>190</v>
      </c>
      <c r="D1879" t="s">
        <v>157</v>
      </c>
      <c r="E1879" t="s">
        <v>392</v>
      </c>
      <c r="F1879" t="s">
        <v>721</v>
      </c>
      <c r="G1879">
        <v>2500</v>
      </c>
      <c r="H1879">
        <v>2500</v>
      </c>
    </row>
    <row r="1880" spans="2:8" x14ac:dyDescent="0.25">
      <c r="B1880" t="str">
        <f t="shared" si="29"/>
        <v>COMPopulation ages 75-79, male</v>
      </c>
      <c r="C1880" t="s">
        <v>190</v>
      </c>
      <c r="D1880" t="s">
        <v>157</v>
      </c>
      <c r="E1880" t="s">
        <v>393</v>
      </c>
      <c r="F1880" t="s">
        <v>722</v>
      </c>
      <c r="G1880">
        <v>2000</v>
      </c>
      <c r="H1880">
        <v>2000</v>
      </c>
    </row>
    <row r="1881" spans="2:8" x14ac:dyDescent="0.25">
      <c r="B1881" t="str">
        <f t="shared" si="29"/>
        <v>COMPopulation ages 80 and above, female</v>
      </c>
      <c r="C1881" t="s">
        <v>190</v>
      </c>
      <c r="D1881" t="s">
        <v>157</v>
      </c>
      <c r="E1881" t="s">
        <v>394</v>
      </c>
      <c r="F1881" t="s">
        <v>723</v>
      </c>
      <c r="G1881">
        <v>1900</v>
      </c>
      <c r="H1881">
        <v>1900</v>
      </c>
    </row>
    <row r="1882" spans="2:8" x14ac:dyDescent="0.25">
      <c r="B1882" t="str">
        <f t="shared" si="29"/>
        <v>COMPopulation ages 80 and above, male</v>
      </c>
      <c r="C1882" t="s">
        <v>190</v>
      </c>
      <c r="D1882" t="s">
        <v>157</v>
      </c>
      <c r="E1882" t="s">
        <v>395</v>
      </c>
      <c r="F1882" t="s">
        <v>724</v>
      </c>
      <c r="G1882">
        <v>1300</v>
      </c>
      <c r="H1882">
        <v>1300</v>
      </c>
    </row>
    <row r="1883" spans="2:8" x14ac:dyDescent="0.25">
      <c r="B1883" t="str">
        <f t="shared" si="29"/>
        <v>COMPopulation, male</v>
      </c>
      <c r="C1883" t="s">
        <v>190</v>
      </c>
      <c r="D1883" t="s">
        <v>157</v>
      </c>
      <c r="E1883" t="s">
        <v>397</v>
      </c>
      <c r="F1883" t="s">
        <v>725</v>
      </c>
      <c r="G1883">
        <v>429000</v>
      </c>
      <c r="H1883">
        <v>439000</v>
      </c>
    </row>
    <row r="1884" spans="2:8" x14ac:dyDescent="0.25">
      <c r="B1884" t="str">
        <f t="shared" si="29"/>
        <v>COMPopulation, total</v>
      </c>
      <c r="C1884" t="s">
        <v>190</v>
      </c>
      <c r="D1884" t="s">
        <v>157</v>
      </c>
      <c r="E1884" t="s">
        <v>398</v>
      </c>
      <c r="F1884" t="s">
        <v>726</v>
      </c>
      <c r="G1884">
        <v>851000</v>
      </c>
      <c r="H1884">
        <v>870000</v>
      </c>
    </row>
    <row r="1885" spans="2:8" x14ac:dyDescent="0.25">
      <c r="B1885" t="str">
        <f t="shared" si="29"/>
        <v>COMPopulation, female</v>
      </c>
      <c r="C1885" t="s">
        <v>190</v>
      </c>
      <c r="D1885" t="s">
        <v>157</v>
      </c>
      <c r="E1885" t="s">
        <v>396</v>
      </c>
      <c r="F1885" t="s">
        <v>727</v>
      </c>
      <c r="G1885">
        <v>422000</v>
      </c>
      <c r="H1885">
        <v>431000</v>
      </c>
    </row>
    <row r="1886" spans="2:8" x14ac:dyDescent="0.25">
      <c r="B1886" t="str">
        <f t="shared" si="29"/>
        <v>COMPopulation growth (annual %)</v>
      </c>
      <c r="C1886" t="s">
        <v>190</v>
      </c>
      <c r="D1886" t="s">
        <v>157</v>
      </c>
      <c r="E1886" t="s">
        <v>399</v>
      </c>
      <c r="F1886" t="s">
        <v>728</v>
      </c>
      <c r="G1886">
        <v>0</v>
      </c>
      <c r="H1886">
        <v>0</v>
      </c>
    </row>
    <row r="1887" spans="2:8" x14ac:dyDescent="0.25">
      <c r="B1887" t="str">
        <f t="shared" si="29"/>
        <v>CODPopulation ages 0-14, female</v>
      </c>
      <c r="C1887" t="s">
        <v>461</v>
      </c>
      <c r="D1887" t="s">
        <v>28</v>
      </c>
      <c r="E1887" t="s">
        <v>687</v>
      </c>
      <c r="F1887" t="s">
        <v>688</v>
      </c>
      <c r="G1887">
        <v>19790000</v>
      </c>
      <c r="H1887">
        <v>20329000</v>
      </c>
    </row>
    <row r="1888" spans="2:8" x14ac:dyDescent="0.25">
      <c r="B1888" t="str">
        <f t="shared" si="29"/>
        <v>CODPopulation ages 0-14, male</v>
      </c>
      <c r="C1888" t="s">
        <v>461</v>
      </c>
      <c r="D1888" t="s">
        <v>28</v>
      </c>
      <c r="E1888" t="s">
        <v>689</v>
      </c>
      <c r="F1888" t="s">
        <v>690</v>
      </c>
      <c r="G1888">
        <v>20135000</v>
      </c>
      <c r="H1888">
        <v>20686000</v>
      </c>
    </row>
    <row r="1889" spans="2:8" x14ac:dyDescent="0.25">
      <c r="B1889" t="str">
        <f t="shared" si="29"/>
        <v>CODPopulation ages 00-04, female</v>
      </c>
      <c r="C1889" t="s">
        <v>461</v>
      </c>
      <c r="D1889" t="s">
        <v>28</v>
      </c>
      <c r="E1889" t="s">
        <v>362</v>
      </c>
      <c r="F1889" t="s">
        <v>691</v>
      </c>
      <c r="G1889">
        <v>7675000</v>
      </c>
      <c r="H1889">
        <v>7836000</v>
      </c>
    </row>
    <row r="1890" spans="2:8" x14ac:dyDescent="0.25">
      <c r="B1890" t="str">
        <f t="shared" si="29"/>
        <v>CODPopulation ages 00-04, male</v>
      </c>
      <c r="C1890" t="s">
        <v>461</v>
      </c>
      <c r="D1890" t="s">
        <v>28</v>
      </c>
      <c r="E1890" t="s">
        <v>363</v>
      </c>
      <c r="F1890" t="s">
        <v>692</v>
      </c>
      <c r="G1890">
        <v>7828000</v>
      </c>
      <c r="H1890">
        <v>7992000</v>
      </c>
    </row>
    <row r="1891" spans="2:8" x14ac:dyDescent="0.25">
      <c r="B1891" t="str">
        <f t="shared" si="29"/>
        <v>CODPopulation ages 05-09, female</v>
      </c>
      <c r="C1891" t="s">
        <v>461</v>
      </c>
      <c r="D1891" t="s">
        <v>28</v>
      </c>
      <c r="E1891" t="s">
        <v>364</v>
      </c>
      <c r="F1891" t="s">
        <v>693</v>
      </c>
      <c r="G1891">
        <v>6592000</v>
      </c>
      <c r="H1891">
        <v>6771000</v>
      </c>
    </row>
    <row r="1892" spans="2:8" x14ac:dyDescent="0.25">
      <c r="B1892" t="str">
        <f t="shared" si="29"/>
        <v>CODPopulation ages 05-09, male</v>
      </c>
      <c r="C1892" t="s">
        <v>461</v>
      </c>
      <c r="D1892" t="s">
        <v>28</v>
      </c>
      <c r="E1892" t="s">
        <v>365</v>
      </c>
      <c r="F1892" t="s">
        <v>694</v>
      </c>
      <c r="G1892">
        <v>6706000</v>
      </c>
      <c r="H1892">
        <v>6888000</v>
      </c>
    </row>
    <row r="1893" spans="2:8" x14ac:dyDescent="0.25">
      <c r="B1893" t="str">
        <f t="shared" si="29"/>
        <v>CODPopulation ages 10-14, female</v>
      </c>
      <c r="C1893" t="s">
        <v>461</v>
      </c>
      <c r="D1893" t="s">
        <v>28</v>
      </c>
      <c r="E1893" t="s">
        <v>366</v>
      </c>
      <c r="F1893" t="s">
        <v>695</v>
      </c>
      <c r="G1893">
        <v>5523000</v>
      </c>
      <c r="H1893">
        <v>5722000</v>
      </c>
    </row>
    <row r="1894" spans="2:8" x14ac:dyDescent="0.25">
      <c r="B1894" t="str">
        <f t="shared" si="29"/>
        <v>CODPopulation ages 10-14, male</v>
      </c>
      <c r="C1894" t="s">
        <v>461</v>
      </c>
      <c r="D1894" t="s">
        <v>28</v>
      </c>
      <c r="E1894" t="s">
        <v>367</v>
      </c>
      <c r="F1894" t="s">
        <v>696</v>
      </c>
      <c r="G1894">
        <v>5601000</v>
      </c>
      <c r="H1894">
        <v>5806000</v>
      </c>
    </row>
    <row r="1895" spans="2:8" x14ac:dyDescent="0.25">
      <c r="B1895" t="str">
        <f t="shared" si="29"/>
        <v>CODPopulation ages 15-19, female</v>
      </c>
      <c r="C1895" t="s">
        <v>461</v>
      </c>
      <c r="D1895" t="s">
        <v>28</v>
      </c>
      <c r="E1895" t="s">
        <v>368</v>
      </c>
      <c r="F1895" t="s">
        <v>697</v>
      </c>
      <c r="G1895">
        <v>4534000</v>
      </c>
      <c r="H1895">
        <v>4712000</v>
      </c>
    </row>
    <row r="1896" spans="2:8" x14ac:dyDescent="0.25">
      <c r="B1896" t="str">
        <f t="shared" si="29"/>
        <v>CODPopulation ages 15-19, male</v>
      </c>
      <c r="C1896" t="s">
        <v>461</v>
      </c>
      <c r="D1896" t="s">
        <v>28</v>
      </c>
      <c r="E1896" t="s">
        <v>369</v>
      </c>
      <c r="F1896" t="s">
        <v>698</v>
      </c>
      <c r="G1896">
        <v>4576000</v>
      </c>
      <c r="H1896">
        <v>4761000</v>
      </c>
    </row>
    <row r="1897" spans="2:8" x14ac:dyDescent="0.25">
      <c r="B1897" t="str">
        <f t="shared" si="29"/>
        <v>CODPopulation ages 20-24, female</v>
      </c>
      <c r="C1897" t="s">
        <v>461</v>
      </c>
      <c r="D1897" t="s">
        <v>28</v>
      </c>
      <c r="E1897" t="s">
        <v>370</v>
      </c>
      <c r="F1897" t="s">
        <v>699</v>
      </c>
      <c r="G1897">
        <v>3727000</v>
      </c>
      <c r="H1897">
        <v>3861000</v>
      </c>
    </row>
    <row r="1898" spans="2:8" x14ac:dyDescent="0.25">
      <c r="B1898" t="str">
        <f t="shared" si="29"/>
        <v>CODPopulation ages 20-24, male</v>
      </c>
      <c r="C1898" t="s">
        <v>461</v>
      </c>
      <c r="D1898" t="s">
        <v>28</v>
      </c>
      <c r="E1898" t="s">
        <v>371</v>
      </c>
      <c r="F1898" t="s">
        <v>700</v>
      </c>
      <c r="G1898">
        <v>3734000</v>
      </c>
      <c r="H1898">
        <v>3869000</v>
      </c>
    </row>
    <row r="1899" spans="2:8" x14ac:dyDescent="0.25">
      <c r="B1899" t="str">
        <f t="shared" si="29"/>
        <v>CODPopulation ages 25-29, female</v>
      </c>
      <c r="C1899" t="s">
        <v>461</v>
      </c>
      <c r="D1899" t="s">
        <v>28</v>
      </c>
      <c r="E1899" t="s">
        <v>372</v>
      </c>
      <c r="F1899" t="s">
        <v>701</v>
      </c>
      <c r="G1899">
        <v>3118000</v>
      </c>
      <c r="H1899">
        <v>3223000</v>
      </c>
    </row>
    <row r="1900" spans="2:8" x14ac:dyDescent="0.25">
      <c r="B1900" t="str">
        <f t="shared" si="29"/>
        <v>CODPopulation ages 25-29, male</v>
      </c>
      <c r="C1900" t="s">
        <v>461</v>
      </c>
      <c r="D1900" t="s">
        <v>28</v>
      </c>
      <c r="E1900" t="s">
        <v>373</v>
      </c>
      <c r="F1900" t="s">
        <v>702</v>
      </c>
      <c r="G1900">
        <v>3112000</v>
      </c>
      <c r="H1900">
        <v>3216000</v>
      </c>
    </row>
    <row r="1901" spans="2:8" x14ac:dyDescent="0.25">
      <c r="B1901" t="str">
        <f t="shared" si="29"/>
        <v>CODPopulation ages 30-34, female</v>
      </c>
      <c r="C1901" t="s">
        <v>461</v>
      </c>
      <c r="D1901" t="s">
        <v>28</v>
      </c>
      <c r="E1901" t="s">
        <v>374</v>
      </c>
      <c r="F1901" t="s">
        <v>703</v>
      </c>
      <c r="G1901">
        <v>2592000</v>
      </c>
      <c r="H1901">
        <v>2681000</v>
      </c>
    </row>
    <row r="1902" spans="2:8" x14ac:dyDescent="0.25">
      <c r="B1902" t="str">
        <f t="shared" si="29"/>
        <v>CODPopulation ages 30-34, male</v>
      </c>
      <c r="C1902" t="s">
        <v>461</v>
      </c>
      <c r="D1902" t="s">
        <v>28</v>
      </c>
      <c r="E1902" t="s">
        <v>375</v>
      </c>
      <c r="F1902" t="s">
        <v>704</v>
      </c>
      <c r="G1902">
        <v>2571000</v>
      </c>
      <c r="H1902">
        <v>2660000</v>
      </c>
    </row>
    <row r="1903" spans="2:8" x14ac:dyDescent="0.25">
      <c r="B1903" t="str">
        <f t="shared" si="29"/>
        <v>CODPopulation ages 35-39, female</v>
      </c>
      <c r="C1903" t="s">
        <v>461</v>
      </c>
      <c r="D1903" t="s">
        <v>28</v>
      </c>
      <c r="E1903" t="s">
        <v>376</v>
      </c>
      <c r="F1903" t="s">
        <v>705</v>
      </c>
      <c r="G1903">
        <v>2150000</v>
      </c>
      <c r="H1903">
        <v>2225000</v>
      </c>
    </row>
    <row r="1904" spans="2:8" x14ac:dyDescent="0.25">
      <c r="B1904" t="str">
        <f t="shared" si="29"/>
        <v>CODPopulation ages 35-39, male</v>
      </c>
      <c r="C1904" t="s">
        <v>461</v>
      </c>
      <c r="D1904" t="s">
        <v>28</v>
      </c>
      <c r="E1904" t="s">
        <v>377</v>
      </c>
      <c r="F1904" t="s">
        <v>706</v>
      </c>
      <c r="G1904">
        <v>2121000</v>
      </c>
      <c r="H1904">
        <v>2196000</v>
      </c>
    </row>
    <row r="1905" spans="2:8" x14ac:dyDescent="0.25">
      <c r="B1905" t="str">
        <f t="shared" si="29"/>
        <v>CODPopulation ages 40-44, female</v>
      </c>
      <c r="C1905" t="s">
        <v>461</v>
      </c>
      <c r="D1905" t="s">
        <v>28</v>
      </c>
      <c r="E1905" t="s">
        <v>378</v>
      </c>
      <c r="F1905" t="s">
        <v>707</v>
      </c>
      <c r="G1905">
        <v>1771000</v>
      </c>
      <c r="H1905">
        <v>1833000</v>
      </c>
    </row>
    <row r="1906" spans="2:8" x14ac:dyDescent="0.25">
      <c r="B1906" t="str">
        <f t="shared" si="29"/>
        <v>CODPopulation ages 40-44, male</v>
      </c>
      <c r="C1906" t="s">
        <v>461</v>
      </c>
      <c r="D1906" t="s">
        <v>28</v>
      </c>
      <c r="E1906" t="s">
        <v>379</v>
      </c>
      <c r="F1906" t="s">
        <v>708</v>
      </c>
      <c r="G1906">
        <v>1735000</v>
      </c>
      <c r="H1906">
        <v>1796000</v>
      </c>
    </row>
    <row r="1907" spans="2:8" x14ac:dyDescent="0.25">
      <c r="B1907" t="str">
        <f t="shared" si="29"/>
        <v>CODPopulation ages 45-49, female</v>
      </c>
      <c r="C1907" t="s">
        <v>461</v>
      </c>
      <c r="D1907" t="s">
        <v>28</v>
      </c>
      <c r="E1907" t="s">
        <v>380</v>
      </c>
      <c r="F1907" t="s">
        <v>709</v>
      </c>
      <c r="G1907">
        <v>1459000</v>
      </c>
      <c r="H1907">
        <v>1509000</v>
      </c>
    </row>
    <row r="1908" spans="2:8" x14ac:dyDescent="0.25">
      <c r="B1908" t="str">
        <f t="shared" si="29"/>
        <v>CODPopulation ages 45-49, male</v>
      </c>
      <c r="C1908" t="s">
        <v>461</v>
      </c>
      <c r="D1908" t="s">
        <v>28</v>
      </c>
      <c r="E1908" t="s">
        <v>381</v>
      </c>
      <c r="F1908" t="s">
        <v>710</v>
      </c>
      <c r="G1908">
        <v>1419000</v>
      </c>
      <c r="H1908">
        <v>1468000</v>
      </c>
    </row>
    <row r="1909" spans="2:8" x14ac:dyDescent="0.25">
      <c r="B1909" t="str">
        <f t="shared" si="29"/>
        <v>CODPopulation ages 50-54, female</v>
      </c>
      <c r="C1909" t="s">
        <v>461</v>
      </c>
      <c r="D1909" t="s">
        <v>28</v>
      </c>
      <c r="E1909" t="s">
        <v>382</v>
      </c>
      <c r="F1909" t="s">
        <v>711</v>
      </c>
      <c r="G1909">
        <v>1194000</v>
      </c>
      <c r="H1909">
        <v>1235000</v>
      </c>
    </row>
    <row r="1910" spans="2:8" x14ac:dyDescent="0.25">
      <c r="B1910" t="str">
        <f t="shared" si="29"/>
        <v>CODPopulation ages 50-54, male</v>
      </c>
      <c r="C1910" t="s">
        <v>461</v>
      </c>
      <c r="D1910" t="s">
        <v>28</v>
      </c>
      <c r="E1910" t="s">
        <v>383</v>
      </c>
      <c r="F1910" t="s">
        <v>712</v>
      </c>
      <c r="G1910">
        <v>1145000</v>
      </c>
      <c r="H1910">
        <v>1186000</v>
      </c>
    </row>
    <row r="1911" spans="2:8" x14ac:dyDescent="0.25">
      <c r="B1911" t="str">
        <f t="shared" si="29"/>
        <v>CODPopulation ages 55-59, male</v>
      </c>
      <c r="C1911" t="s">
        <v>461</v>
      </c>
      <c r="D1911" t="s">
        <v>28</v>
      </c>
      <c r="E1911" t="s">
        <v>385</v>
      </c>
      <c r="F1911" t="s">
        <v>713</v>
      </c>
      <c r="G1911">
        <v>900000</v>
      </c>
      <c r="H1911">
        <v>934000</v>
      </c>
    </row>
    <row r="1912" spans="2:8" x14ac:dyDescent="0.25">
      <c r="B1912" t="str">
        <f t="shared" si="29"/>
        <v>CODPopulation ages 55-59, female</v>
      </c>
      <c r="C1912" t="s">
        <v>461</v>
      </c>
      <c r="D1912" t="s">
        <v>28</v>
      </c>
      <c r="E1912" t="s">
        <v>384</v>
      </c>
      <c r="F1912" t="s">
        <v>714</v>
      </c>
      <c r="G1912">
        <v>956000</v>
      </c>
      <c r="H1912">
        <v>991000</v>
      </c>
    </row>
    <row r="1913" spans="2:8" x14ac:dyDescent="0.25">
      <c r="B1913" t="str">
        <f t="shared" si="29"/>
        <v>CODPopulation ages 65-69, male</v>
      </c>
      <c r="C1913" t="s">
        <v>461</v>
      </c>
      <c r="D1913" t="s">
        <v>28</v>
      </c>
      <c r="E1913" t="s">
        <v>389</v>
      </c>
      <c r="F1913" t="s">
        <v>715</v>
      </c>
      <c r="G1913">
        <v>500000</v>
      </c>
      <c r="H1913">
        <v>518000</v>
      </c>
    </row>
    <row r="1914" spans="2:8" x14ac:dyDescent="0.25">
      <c r="B1914" t="str">
        <f t="shared" si="29"/>
        <v>CODPopulation ages 65-69, female</v>
      </c>
      <c r="C1914" t="s">
        <v>461</v>
      </c>
      <c r="D1914" t="s">
        <v>28</v>
      </c>
      <c r="E1914" t="s">
        <v>388</v>
      </c>
      <c r="F1914" t="s">
        <v>716</v>
      </c>
      <c r="G1914">
        <v>564000</v>
      </c>
      <c r="H1914">
        <v>581000</v>
      </c>
    </row>
    <row r="1915" spans="2:8" x14ac:dyDescent="0.25">
      <c r="B1915" t="str">
        <f t="shared" si="29"/>
        <v>CODPopulation ages 60-64, female</v>
      </c>
      <c r="C1915" t="s">
        <v>461</v>
      </c>
      <c r="D1915" t="s">
        <v>28</v>
      </c>
      <c r="E1915" t="s">
        <v>386</v>
      </c>
      <c r="F1915" t="s">
        <v>717</v>
      </c>
      <c r="G1915">
        <v>746000</v>
      </c>
      <c r="H1915">
        <v>774000</v>
      </c>
    </row>
    <row r="1916" spans="2:8" x14ac:dyDescent="0.25">
      <c r="B1916" t="str">
        <f t="shared" si="29"/>
        <v>CODPopulation ages 60-64, male</v>
      </c>
      <c r="C1916" t="s">
        <v>461</v>
      </c>
      <c r="D1916" t="s">
        <v>28</v>
      </c>
      <c r="E1916" t="s">
        <v>387</v>
      </c>
      <c r="F1916" t="s">
        <v>718</v>
      </c>
      <c r="G1916">
        <v>685000</v>
      </c>
      <c r="H1916">
        <v>712000</v>
      </c>
    </row>
    <row r="1917" spans="2:8" x14ac:dyDescent="0.25">
      <c r="B1917" t="str">
        <f t="shared" si="29"/>
        <v>CODPopulation ages 70-74, female</v>
      </c>
      <c r="C1917" t="s">
        <v>461</v>
      </c>
      <c r="D1917" t="s">
        <v>28</v>
      </c>
      <c r="E1917" t="s">
        <v>390</v>
      </c>
      <c r="F1917" t="s">
        <v>719</v>
      </c>
      <c r="G1917">
        <v>417000</v>
      </c>
      <c r="H1917">
        <v>429000</v>
      </c>
    </row>
    <row r="1918" spans="2:8" x14ac:dyDescent="0.25">
      <c r="B1918" t="str">
        <f t="shared" si="29"/>
        <v>CODPopulation ages 70-74, male</v>
      </c>
      <c r="C1918" t="s">
        <v>461</v>
      </c>
      <c r="D1918" t="s">
        <v>28</v>
      </c>
      <c r="E1918" t="s">
        <v>391</v>
      </c>
      <c r="F1918" t="s">
        <v>720</v>
      </c>
      <c r="G1918">
        <v>347000</v>
      </c>
      <c r="H1918">
        <v>360000</v>
      </c>
    </row>
    <row r="1919" spans="2:8" x14ac:dyDescent="0.25">
      <c r="B1919" t="str">
        <f t="shared" si="29"/>
        <v>CODPopulation ages 75-79, female</v>
      </c>
      <c r="C1919" t="s">
        <v>461</v>
      </c>
      <c r="D1919" t="s">
        <v>28</v>
      </c>
      <c r="E1919" t="s">
        <v>392</v>
      </c>
      <c r="F1919" t="s">
        <v>721</v>
      </c>
      <c r="G1919">
        <v>259000</v>
      </c>
      <c r="H1919">
        <v>269000</v>
      </c>
    </row>
    <row r="1920" spans="2:8" x14ac:dyDescent="0.25">
      <c r="B1920" t="str">
        <f t="shared" si="29"/>
        <v>CODPopulation ages 75-79, male</v>
      </c>
      <c r="C1920" t="s">
        <v>461</v>
      </c>
      <c r="D1920" t="s">
        <v>28</v>
      </c>
      <c r="E1920" t="s">
        <v>393</v>
      </c>
      <c r="F1920" t="s">
        <v>722</v>
      </c>
      <c r="G1920">
        <v>202000</v>
      </c>
      <c r="H1920">
        <v>211000</v>
      </c>
    </row>
    <row r="1921" spans="2:8" x14ac:dyDescent="0.25">
      <c r="B1921" t="str">
        <f t="shared" si="29"/>
        <v>CODPopulation ages 80 and above, female</v>
      </c>
      <c r="C1921" t="s">
        <v>461</v>
      </c>
      <c r="D1921" t="s">
        <v>28</v>
      </c>
      <c r="E1921" t="s">
        <v>394</v>
      </c>
      <c r="F1921" t="s">
        <v>723</v>
      </c>
      <c r="G1921">
        <v>195000</v>
      </c>
      <c r="H1921">
        <v>198000</v>
      </c>
    </row>
    <row r="1922" spans="2:8" x14ac:dyDescent="0.25">
      <c r="B1922" t="str">
        <f t="shared" si="29"/>
        <v>CODPopulation ages 80 and above, male</v>
      </c>
      <c r="C1922" t="s">
        <v>461</v>
      </c>
      <c r="D1922" t="s">
        <v>28</v>
      </c>
      <c r="E1922" t="s">
        <v>395</v>
      </c>
      <c r="F1922" t="s">
        <v>724</v>
      </c>
      <c r="G1922">
        <v>135000</v>
      </c>
      <c r="H1922">
        <v>137000</v>
      </c>
    </row>
    <row r="1923" spans="2:8" x14ac:dyDescent="0.25">
      <c r="B1923" t="str">
        <f t="shared" si="29"/>
        <v>CODPopulation, male</v>
      </c>
      <c r="C1923" t="s">
        <v>461</v>
      </c>
      <c r="D1923" t="s">
        <v>28</v>
      </c>
      <c r="E1923" t="s">
        <v>397</v>
      </c>
      <c r="F1923" t="s">
        <v>725</v>
      </c>
      <c r="G1923">
        <v>43319000</v>
      </c>
      <c r="H1923">
        <v>44710000</v>
      </c>
    </row>
    <row r="1924" spans="2:8" x14ac:dyDescent="0.25">
      <c r="B1924" t="str">
        <f t="shared" si="29"/>
        <v>CODPopulation, total</v>
      </c>
      <c r="C1924" t="s">
        <v>461</v>
      </c>
      <c r="D1924" t="s">
        <v>28</v>
      </c>
      <c r="E1924" t="s">
        <v>398</v>
      </c>
      <c r="F1924" t="s">
        <v>726</v>
      </c>
      <c r="G1924">
        <v>86791000</v>
      </c>
      <c r="H1924">
        <v>89561000</v>
      </c>
    </row>
    <row r="1925" spans="2:8" x14ac:dyDescent="0.25">
      <c r="B1925" t="str">
        <f t="shared" si="29"/>
        <v>CODPopulation, female</v>
      </c>
      <c r="C1925" t="s">
        <v>461</v>
      </c>
      <c r="D1925" t="s">
        <v>28</v>
      </c>
      <c r="E1925" t="s">
        <v>396</v>
      </c>
      <c r="F1925" t="s">
        <v>727</v>
      </c>
      <c r="G1925">
        <v>43471000</v>
      </c>
      <c r="H1925">
        <v>44851000</v>
      </c>
    </row>
    <row r="1926" spans="2:8" x14ac:dyDescent="0.25">
      <c r="B1926" t="str">
        <f t="shared" si="29"/>
        <v>CODPopulation growth (annual %)</v>
      </c>
      <c r="C1926" t="s">
        <v>461</v>
      </c>
      <c r="D1926" t="s">
        <v>28</v>
      </c>
      <c r="E1926" t="s">
        <v>399</v>
      </c>
      <c r="F1926" t="s">
        <v>728</v>
      </c>
      <c r="G1926">
        <v>0</v>
      </c>
      <c r="H1926">
        <v>0</v>
      </c>
    </row>
    <row r="1927" spans="2:8" x14ac:dyDescent="0.25">
      <c r="B1927" t="str">
        <f t="shared" ref="B1927:B1990" si="30">CONCATENATE(D1927,E1927)</f>
        <v>COGPopulation ages 0-14, female</v>
      </c>
      <c r="C1927" t="s">
        <v>462</v>
      </c>
      <c r="D1927" t="s">
        <v>29</v>
      </c>
      <c r="E1927" t="s">
        <v>687</v>
      </c>
      <c r="F1927" t="s">
        <v>688</v>
      </c>
      <c r="G1927">
        <v>1107000</v>
      </c>
      <c r="H1927">
        <v>1128000</v>
      </c>
    </row>
    <row r="1928" spans="2:8" x14ac:dyDescent="0.25">
      <c r="B1928" t="str">
        <f t="shared" si="30"/>
        <v>COGPopulation ages 0-14, male</v>
      </c>
      <c r="C1928" t="s">
        <v>462</v>
      </c>
      <c r="D1928" t="s">
        <v>29</v>
      </c>
      <c r="E1928" t="s">
        <v>689</v>
      </c>
      <c r="F1928" t="s">
        <v>690</v>
      </c>
      <c r="G1928">
        <v>1127000</v>
      </c>
      <c r="H1928">
        <v>1149000</v>
      </c>
    </row>
    <row r="1929" spans="2:8" x14ac:dyDescent="0.25">
      <c r="B1929" t="str">
        <f t="shared" si="30"/>
        <v>COGPopulation ages 00-04, female</v>
      </c>
      <c r="C1929" t="s">
        <v>462</v>
      </c>
      <c r="D1929" t="s">
        <v>29</v>
      </c>
      <c r="E1929" t="s">
        <v>362</v>
      </c>
      <c r="F1929" t="s">
        <v>691</v>
      </c>
      <c r="G1929">
        <v>402000</v>
      </c>
      <c r="H1929">
        <v>407000</v>
      </c>
    </row>
    <row r="1930" spans="2:8" x14ac:dyDescent="0.25">
      <c r="B1930" t="str">
        <f t="shared" si="30"/>
        <v>COGPopulation ages 00-04, male</v>
      </c>
      <c r="C1930" t="s">
        <v>462</v>
      </c>
      <c r="D1930" t="s">
        <v>29</v>
      </c>
      <c r="E1930" t="s">
        <v>363</v>
      </c>
      <c r="F1930" t="s">
        <v>692</v>
      </c>
      <c r="G1930">
        <v>411000</v>
      </c>
      <c r="H1930">
        <v>415000</v>
      </c>
    </row>
    <row r="1931" spans="2:8" x14ac:dyDescent="0.25">
      <c r="B1931" t="str">
        <f t="shared" si="30"/>
        <v>COGPopulation ages 05-09, female</v>
      </c>
      <c r="C1931" t="s">
        <v>462</v>
      </c>
      <c r="D1931" t="s">
        <v>29</v>
      </c>
      <c r="E1931" t="s">
        <v>364</v>
      </c>
      <c r="F1931" t="s">
        <v>693</v>
      </c>
      <c r="G1931">
        <v>375000</v>
      </c>
      <c r="H1931">
        <v>382000</v>
      </c>
    </row>
    <row r="1932" spans="2:8" x14ac:dyDescent="0.25">
      <c r="B1932" t="str">
        <f t="shared" si="30"/>
        <v>COGPopulation ages 05-09, male</v>
      </c>
      <c r="C1932" t="s">
        <v>462</v>
      </c>
      <c r="D1932" t="s">
        <v>29</v>
      </c>
      <c r="E1932" t="s">
        <v>365</v>
      </c>
      <c r="F1932" t="s">
        <v>694</v>
      </c>
      <c r="G1932">
        <v>382000</v>
      </c>
      <c r="H1932">
        <v>389000</v>
      </c>
    </row>
    <row r="1933" spans="2:8" x14ac:dyDescent="0.25">
      <c r="B1933" t="str">
        <f t="shared" si="30"/>
        <v>COGPopulation ages 10-14, female</v>
      </c>
      <c r="C1933" t="s">
        <v>462</v>
      </c>
      <c r="D1933" t="s">
        <v>29</v>
      </c>
      <c r="E1933" t="s">
        <v>366</v>
      </c>
      <c r="F1933" t="s">
        <v>695</v>
      </c>
      <c r="G1933">
        <v>330000</v>
      </c>
      <c r="H1933">
        <v>340000</v>
      </c>
    </row>
    <row r="1934" spans="2:8" x14ac:dyDescent="0.25">
      <c r="B1934" t="str">
        <f t="shared" si="30"/>
        <v>COGPopulation ages 10-14, male</v>
      </c>
      <c r="C1934" t="s">
        <v>462</v>
      </c>
      <c r="D1934" t="s">
        <v>29</v>
      </c>
      <c r="E1934" t="s">
        <v>367</v>
      </c>
      <c r="F1934" t="s">
        <v>696</v>
      </c>
      <c r="G1934">
        <v>335000</v>
      </c>
      <c r="H1934">
        <v>345000</v>
      </c>
    </row>
    <row r="1935" spans="2:8" x14ac:dyDescent="0.25">
      <c r="B1935" t="str">
        <f t="shared" si="30"/>
        <v>COGPopulation ages 15-19, female</v>
      </c>
      <c r="C1935" t="s">
        <v>462</v>
      </c>
      <c r="D1935" t="s">
        <v>29</v>
      </c>
      <c r="E1935" t="s">
        <v>368</v>
      </c>
      <c r="F1935" t="s">
        <v>697</v>
      </c>
      <c r="G1935">
        <v>275000</v>
      </c>
      <c r="H1935">
        <v>285000</v>
      </c>
    </row>
    <row r="1936" spans="2:8" x14ac:dyDescent="0.25">
      <c r="B1936" t="str">
        <f t="shared" si="30"/>
        <v>COGPopulation ages 15-19, male</v>
      </c>
      <c r="C1936" t="s">
        <v>462</v>
      </c>
      <c r="D1936" t="s">
        <v>29</v>
      </c>
      <c r="E1936" t="s">
        <v>369</v>
      </c>
      <c r="F1936" t="s">
        <v>698</v>
      </c>
      <c r="G1936">
        <v>278000</v>
      </c>
      <c r="H1936">
        <v>288000</v>
      </c>
    </row>
    <row r="1937" spans="2:8" x14ac:dyDescent="0.25">
      <c r="B1937" t="str">
        <f t="shared" si="30"/>
        <v>COGPopulation ages 20-24, female</v>
      </c>
      <c r="C1937" t="s">
        <v>462</v>
      </c>
      <c r="D1937" t="s">
        <v>29</v>
      </c>
      <c r="E1937" t="s">
        <v>370</v>
      </c>
      <c r="F1937" t="s">
        <v>699</v>
      </c>
      <c r="G1937">
        <v>229000</v>
      </c>
      <c r="H1937">
        <v>237000</v>
      </c>
    </row>
    <row r="1938" spans="2:8" x14ac:dyDescent="0.25">
      <c r="B1938" t="str">
        <f t="shared" si="30"/>
        <v>COGPopulation ages 20-24, male</v>
      </c>
      <c r="C1938" t="s">
        <v>462</v>
      </c>
      <c r="D1938" t="s">
        <v>29</v>
      </c>
      <c r="E1938" t="s">
        <v>371</v>
      </c>
      <c r="F1938" t="s">
        <v>700</v>
      </c>
      <c r="G1938">
        <v>231000</v>
      </c>
      <c r="H1938">
        <v>239000</v>
      </c>
    </row>
    <row r="1939" spans="2:8" x14ac:dyDescent="0.25">
      <c r="B1939" t="str">
        <f t="shared" si="30"/>
        <v>COGPopulation ages 25-29, female</v>
      </c>
      <c r="C1939" t="s">
        <v>462</v>
      </c>
      <c r="D1939" t="s">
        <v>29</v>
      </c>
      <c r="E1939" t="s">
        <v>372</v>
      </c>
      <c r="F1939" t="s">
        <v>701</v>
      </c>
      <c r="G1939">
        <v>194000</v>
      </c>
      <c r="H1939">
        <v>199000</v>
      </c>
    </row>
    <row r="1940" spans="2:8" x14ac:dyDescent="0.25">
      <c r="B1940" t="str">
        <f t="shared" si="30"/>
        <v>COGPopulation ages 25-29, male</v>
      </c>
      <c r="C1940" t="s">
        <v>462</v>
      </c>
      <c r="D1940" t="s">
        <v>29</v>
      </c>
      <c r="E1940" t="s">
        <v>373</v>
      </c>
      <c r="F1940" t="s">
        <v>702</v>
      </c>
      <c r="G1940">
        <v>195000</v>
      </c>
      <c r="H1940">
        <v>199000</v>
      </c>
    </row>
    <row r="1941" spans="2:8" x14ac:dyDescent="0.25">
      <c r="B1941" t="str">
        <f t="shared" si="30"/>
        <v>COGPopulation ages 30-34, female</v>
      </c>
      <c r="C1941" t="s">
        <v>462</v>
      </c>
      <c r="D1941" t="s">
        <v>29</v>
      </c>
      <c r="E1941" t="s">
        <v>374</v>
      </c>
      <c r="F1941" t="s">
        <v>703</v>
      </c>
      <c r="G1941">
        <v>175000</v>
      </c>
      <c r="H1941">
        <v>177000</v>
      </c>
    </row>
    <row r="1942" spans="2:8" x14ac:dyDescent="0.25">
      <c r="B1942" t="str">
        <f t="shared" si="30"/>
        <v>COGPopulation ages 30-34, male</v>
      </c>
      <c r="C1942" t="s">
        <v>462</v>
      </c>
      <c r="D1942" t="s">
        <v>29</v>
      </c>
      <c r="E1942" t="s">
        <v>375</v>
      </c>
      <c r="F1942" t="s">
        <v>704</v>
      </c>
      <c r="G1942">
        <v>175000</v>
      </c>
      <c r="H1942">
        <v>177000</v>
      </c>
    </row>
    <row r="1943" spans="2:8" x14ac:dyDescent="0.25">
      <c r="B1943" t="str">
        <f t="shared" si="30"/>
        <v>COGPopulation ages 35-39, female</v>
      </c>
      <c r="C1943" t="s">
        <v>462</v>
      </c>
      <c r="D1943" t="s">
        <v>29</v>
      </c>
      <c r="E1943" t="s">
        <v>376</v>
      </c>
      <c r="F1943" t="s">
        <v>705</v>
      </c>
      <c r="G1943">
        <v>162000</v>
      </c>
      <c r="H1943">
        <v>163000</v>
      </c>
    </row>
    <row r="1944" spans="2:8" x14ac:dyDescent="0.25">
      <c r="B1944" t="str">
        <f t="shared" si="30"/>
        <v>COGPopulation ages 35-39, male</v>
      </c>
      <c r="C1944" t="s">
        <v>462</v>
      </c>
      <c r="D1944" t="s">
        <v>29</v>
      </c>
      <c r="E1944" t="s">
        <v>377</v>
      </c>
      <c r="F1944" t="s">
        <v>706</v>
      </c>
      <c r="G1944">
        <v>161000</v>
      </c>
      <c r="H1944">
        <v>163000</v>
      </c>
    </row>
    <row r="1945" spans="2:8" x14ac:dyDescent="0.25">
      <c r="B1945" t="str">
        <f t="shared" si="30"/>
        <v>COGPopulation ages 40-44, female</v>
      </c>
      <c r="C1945" t="s">
        <v>462</v>
      </c>
      <c r="D1945" t="s">
        <v>29</v>
      </c>
      <c r="E1945" t="s">
        <v>378</v>
      </c>
      <c r="F1945" t="s">
        <v>707</v>
      </c>
      <c r="G1945">
        <v>143000</v>
      </c>
      <c r="H1945">
        <v>147000</v>
      </c>
    </row>
    <row r="1946" spans="2:8" x14ac:dyDescent="0.25">
      <c r="B1946" t="str">
        <f t="shared" si="30"/>
        <v>COGPopulation ages 40-44, male</v>
      </c>
      <c r="C1946" t="s">
        <v>462</v>
      </c>
      <c r="D1946" t="s">
        <v>29</v>
      </c>
      <c r="E1946" t="s">
        <v>379</v>
      </c>
      <c r="F1946" t="s">
        <v>708</v>
      </c>
      <c r="G1946">
        <v>143000</v>
      </c>
      <c r="H1946">
        <v>147000</v>
      </c>
    </row>
    <row r="1947" spans="2:8" x14ac:dyDescent="0.25">
      <c r="B1947" t="str">
        <f t="shared" si="30"/>
        <v>COGPopulation ages 45-49, female</v>
      </c>
      <c r="C1947" t="s">
        <v>462</v>
      </c>
      <c r="D1947" t="s">
        <v>29</v>
      </c>
      <c r="E1947" t="s">
        <v>380</v>
      </c>
      <c r="F1947" t="s">
        <v>709</v>
      </c>
      <c r="G1947">
        <v>117000</v>
      </c>
      <c r="H1947">
        <v>121000</v>
      </c>
    </row>
    <row r="1948" spans="2:8" x14ac:dyDescent="0.25">
      <c r="B1948" t="str">
        <f t="shared" si="30"/>
        <v>COGPopulation ages 45-49, male</v>
      </c>
      <c r="C1948" t="s">
        <v>462</v>
      </c>
      <c r="D1948" t="s">
        <v>29</v>
      </c>
      <c r="E1948" t="s">
        <v>381</v>
      </c>
      <c r="F1948" t="s">
        <v>710</v>
      </c>
      <c r="G1948">
        <v>117000</v>
      </c>
      <c r="H1948">
        <v>121000</v>
      </c>
    </row>
    <row r="1949" spans="2:8" x14ac:dyDescent="0.25">
      <c r="B1949" t="str">
        <f t="shared" si="30"/>
        <v>COGPopulation ages 50-54, female</v>
      </c>
      <c r="C1949" t="s">
        <v>462</v>
      </c>
      <c r="D1949" t="s">
        <v>29</v>
      </c>
      <c r="E1949" t="s">
        <v>382</v>
      </c>
      <c r="F1949" t="s">
        <v>711</v>
      </c>
      <c r="G1949">
        <v>91000</v>
      </c>
      <c r="H1949">
        <v>95000</v>
      </c>
    </row>
    <row r="1950" spans="2:8" x14ac:dyDescent="0.25">
      <c r="B1950" t="str">
        <f t="shared" si="30"/>
        <v>COGPopulation ages 50-54, male</v>
      </c>
      <c r="C1950" t="s">
        <v>462</v>
      </c>
      <c r="D1950" t="s">
        <v>29</v>
      </c>
      <c r="E1950" t="s">
        <v>383</v>
      </c>
      <c r="F1950" t="s">
        <v>712</v>
      </c>
      <c r="G1950">
        <v>90000</v>
      </c>
      <c r="H1950">
        <v>94000</v>
      </c>
    </row>
    <row r="1951" spans="2:8" x14ac:dyDescent="0.25">
      <c r="B1951" t="str">
        <f t="shared" si="30"/>
        <v>COGPopulation ages 55-59, male</v>
      </c>
      <c r="C1951" t="s">
        <v>462</v>
      </c>
      <c r="D1951" t="s">
        <v>29</v>
      </c>
      <c r="E1951" t="s">
        <v>385</v>
      </c>
      <c r="F1951" t="s">
        <v>713</v>
      </c>
      <c r="G1951">
        <v>64000</v>
      </c>
      <c r="H1951">
        <v>68000</v>
      </c>
    </row>
    <row r="1952" spans="2:8" x14ac:dyDescent="0.25">
      <c r="B1952" t="str">
        <f t="shared" si="30"/>
        <v>COGPopulation ages 55-59, female</v>
      </c>
      <c r="C1952" t="s">
        <v>462</v>
      </c>
      <c r="D1952" t="s">
        <v>29</v>
      </c>
      <c r="E1952" t="s">
        <v>384</v>
      </c>
      <c r="F1952" t="s">
        <v>714</v>
      </c>
      <c r="G1952">
        <v>67000</v>
      </c>
      <c r="H1952">
        <v>71000</v>
      </c>
    </row>
    <row r="1953" spans="2:8" x14ac:dyDescent="0.25">
      <c r="B1953" t="str">
        <f t="shared" si="30"/>
        <v>COGPopulation ages 65-69, male</v>
      </c>
      <c r="C1953" t="s">
        <v>462</v>
      </c>
      <c r="D1953" t="s">
        <v>29</v>
      </c>
      <c r="E1953" t="s">
        <v>389</v>
      </c>
      <c r="F1953" t="s">
        <v>715</v>
      </c>
      <c r="G1953">
        <v>29000</v>
      </c>
      <c r="H1953">
        <v>31000</v>
      </c>
    </row>
    <row r="1954" spans="2:8" x14ac:dyDescent="0.25">
      <c r="B1954" t="str">
        <f t="shared" si="30"/>
        <v>COGPopulation ages 65-69, female</v>
      </c>
      <c r="C1954" t="s">
        <v>462</v>
      </c>
      <c r="D1954" t="s">
        <v>29</v>
      </c>
      <c r="E1954" t="s">
        <v>388</v>
      </c>
      <c r="F1954" t="s">
        <v>716</v>
      </c>
      <c r="G1954">
        <v>35000</v>
      </c>
      <c r="H1954">
        <v>37000</v>
      </c>
    </row>
    <row r="1955" spans="2:8" x14ac:dyDescent="0.25">
      <c r="B1955" t="str">
        <f t="shared" si="30"/>
        <v>COGPopulation ages 60-64, female</v>
      </c>
      <c r="C1955" t="s">
        <v>462</v>
      </c>
      <c r="D1955" t="s">
        <v>29</v>
      </c>
      <c r="E1955" t="s">
        <v>386</v>
      </c>
      <c r="F1955" t="s">
        <v>717</v>
      </c>
      <c r="G1955">
        <v>49000</v>
      </c>
      <c r="H1955">
        <v>51000</v>
      </c>
    </row>
    <row r="1956" spans="2:8" x14ac:dyDescent="0.25">
      <c r="B1956" t="str">
        <f t="shared" si="30"/>
        <v>COGPopulation ages 60-64, male</v>
      </c>
      <c r="C1956" t="s">
        <v>462</v>
      </c>
      <c r="D1956" t="s">
        <v>29</v>
      </c>
      <c r="E1956" t="s">
        <v>387</v>
      </c>
      <c r="F1956" t="s">
        <v>718</v>
      </c>
      <c r="G1956">
        <v>44000</v>
      </c>
      <c r="H1956">
        <v>46000</v>
      </c>
    </row>
    <row r="1957" spans="2:8" x14ac:dyDescent="0.25">
      <c r="B1957" t="str">
        <f t="shared" si="30"/>
        <v>COGPopulation ages 70-74, female</v>
      </c>
      <c r="C1957" t="s">
        <v>462</v>
      </c>
      <c r="D1957" t="s">
        <v>29</v>
      </c>
      <c r="E1957" t="s">
        <v>390</v>
      </c>
      <c r="F1957" t="s">
        <v>719</v>
      </c>
      <c r="G1957">
        <v>24000</v>
      </c>
      <c r="H1957">
        <v>25000</v>
      </c>
    </row>
    <row r="1958" spans="2:8" x14ac:dyDescent="0.25">
      <c r="B1958" t="str">
        <f t="shared" si="30"/>
        <v>COGPopulation ages 70-74, male</v>
      </c>
      <c r="C1958" t="s">
        <v>462</v>
      </c>
      <c r="D1958" t="s">
        <v>29</v>
      </c>
      <c r="E1958" t="s">
        <v>391</v>
      </c>
      <c r="F1958" t="s">
        <v>720</v>
      </c>
      <c r="G1958">
        <v>18000</v>
      </c>
      <c r="H1958">
        <v>19000</v>
      </c>
    </row>
    <row r="1959" spans="2:8" x14ac:dyDescent="0.25">
      <c r="B1959" t="str">
        <f t="shared" si="30"/>
        <v>COGPopulation ages 75-79, female</v>
      </c>
      <c r="C1959" t="s">
        <v>462</v>
      </c>
      <c r="D1959" t="s">
        <v>29</v>
      </c>
      <c r="E1959" t="s">
        <v>392</v>
      </c>
      <c r="F1959" t="s">
        <v>721</v>
      </c>
      <c r="G1959">
        <v>15000</v>
      </c>
      <c r="H1959">
        <v>15000</v>
      </c>
    </row>
    <row r="1960" spans="2:8" x14ac:dyDescent="0.25">
      <c r="B1960" t="str">
        <f t="shared" si="30"/>
        <v>COGPopulation ages 75-79, male</v>
      </c>
      <c r="C1960" t="s">
        <v>462</v>
      </c>
      <c r="D1960" t="s">
        <v>29</v>
      </c>
      <c r="E1960" t="s">
        <v>393</v>
      </c>
      <c r="F1960" t="s">
        <v>722</v>
      </c>
      <c r="G1960">
        <v>9900</v>
      </c>
      <c r="H1960">
        <v>10000</v>
      </c>
    </row>
    <row r="1961" spans="2:8" x14ac:dyDescent="0.25">
      <c r="B1961" t="str">
        <f t="shared" si="30"/>
        <v>COGPopulation ages 80 and above, female</v>
      </c>
      <c r="C1961" t="s">
        <v>462</v>
      </c>
      <c r="D1961" t="s">
        <v>29</v>
      </c>
      <c r="E1961" t="s">
        <v>394</v>
      </c>
      <c r="F1961" t="s">
        <v>723</v>
      </c>
      <c r="G1961">
        <v>9900</v>
      </c>
      <c r="H1961">
        <v>10000</v>
      </c>
    </row>
    <row r="1962" spans="2:8" x14ac:dyDescent="0.25">
      <c r="B1962" t="str">
        <f t="shared" si="30"/>
        <v>COGPopulation ages 80 and above, male</v>
      </c>
      <c r="C1962" t="s">
        <v>462</v>
      </c>
      <c r="D1962" t="s">
        <v>29</v>
      </c>
      <c r="E1962" t="s">
        <v>395</v>
      </c>
      <c r="F1962" t="s">
        <v>724</v>
      </c>
      <c r="G1962">
        <v>5600</v>
      </c>
      <c r="H1962">
        <v>5600</v>
      </c>
    </row>
    <row r="1963" spans="2:8" x14ac:dyDescent="0.25">
      <c r="B1963" t="str">
        <f t="shared" si="30"/>
        <v>COGPopulation, male</v>
      </c>
      <c r="C1963" t="s">
        <v>462</v>
      </c>
      <c r="D1963" t="s">
        <v>29</v>
      </c>
      <c r="E1963" t="s">
        <v>397</v>
      </c>
      <c r="F1963" t="s">
        <v>725</v>
      </c>
      <c r="G1963">
        <v>2687000</v>
      </c>
      <c r="H1963">
        <v>2757000</v>
      </c>
    </row>
    <row r="1964" spans="2:8" x14ac:dyDescent="0.25">
      <c r="B1964" t="str">
        <f t="shared" si="30"/>
        <v>COGPopulation, total</v>
      </c>
      <c r="C1964" t="s">
        <v>462</v>
      </c>
      <c r="D1964" t="s">
        <v>29</v>
      </c>
      <c r="E1964" t="s">
        <v>398</v>
      </c>
      <c r="F1964" t="s">
        <v>726</v>
      </c>
      <c r="G1964">
        <v>5381000</v>
      </c>
      <c r="H1964">
        <v>5518000</v>
      </c>
    </row>
    <row r="1965" spans="2:8" x14ac:dyDescent="0.25">
      <c r="B1965" t="str">
        <f t="shared" si="30"/>
        <v>COGPopulation, female</v>
      </c>
      <c r="C1965" t="s">
        <v>462</v>
      </c>
      <c r="D1965" t="s">
        <v>29</v>
      </c>
      <c r="E1965" t="s">
        <v>396</v>
      </c>
      <c r="F1965" t="s">
        <v>727</v>
      </c>
      <c r="G1965">
        <v>2693000</v>
      </c>
      <c r="H1965">
        <v>2761000</v>
      </c>
    </row>
    <row r="1966" spans="2:8" x14ac:dyDescent="0.25">
      <c r="B1966" t="str">
        <f t="shared" si="30"/>
        <v>COGPopulation growth (annual %)</v>
      </c>
      <c r="C1966" t="s">
        <v>462</v>
      </c>
      <c r="D1966" t="s">
        <v>29</v>
      </c>
      <c r="E1966" t="s">
        <v>399</v>
      </c>
      <c r="F1966" t="s">
        <v>728</v>
      </c>
      <c r="G1966">
        <v>0</v>
      </c>
      <c r="H1966">
        <v>0</v>
      </c>
    </row>
    <row r="1967" spans="2:8" x14ac:dyDescent="0.25">
      <c r="B1967" t="str">
        <f t="shared" si="30"/>
        <v>CRIPopulation ages 0-14, female</v>
      </c>
      <c r="C1967" t="s">
        <v>463</v>
      </c>
      <c r="D1967" t="s">
        <v>31</v>
      </c>
      <c r="E1967" t="s">
        <v>687</v>
      </c>
      <c r="F1967" t="s">
        <v>688</v>
      </c>
      <c r="G1967">
        <v>520000</v>
      </c>
      <c r="H1967">
        <v>518000</v>
      </c>
    </row>
    <row r="1968" spans="2:8" x14ac:dyDescent="0.25">
      <c r="B1968" t="str">
        <f t="shared" si="30"/>
        <v>CRIPopulation ages 0-14, male</v>
      </c>
      <c r="C1968" t="s">
        <v>463</v>
      </c>
      <c r="D1968" t="s">
        <v>31</v>
      </c>
      <c r="E1968" t="s">
        <v>689</v>
      </c>
      <c r="F1968" t="s">
        <v>690</v>
      </c>
      <c r="G1968">
        <v>544000</v>
      </c>
      <c r="H1968">
        <v>543000</v>
      </c>
    </row>
    <row r="1969" spans="2:8" x14ac:dyDescent="0.25">
      <c r="B1969" t="str">
        <f t="shared" si="30"/>
        <v>CRIPopulation ages 00-04, female</v>
      </c>
      <c r="C1969" t="s">
        <v>463</v>
      </c>
      <c r="D1969" t="s">
        <v>31</v>
      </c>
      <c r="E1969" t="s">
        <v>362</v>
      </c>
      <c r="F1969" t="s">
        <v>691</v>
      </c>
      <c r="G1969">
        <v>171000</v>
      </c>
      <c r="H1969">
        <v>170000</v>
      </c>
    </row>
    <row r="1970" spans="2:8" x14ac:dyDescent="0.25">
      <c r="B1970" t="str">
        <f t="shared" si="30"/>
        <v>CRIPopulation ages 00-04, male</v>
      </c>
      <c r="C1970" t="s">
        <v>463</v>
      </c>
      <c r="D1970" t="s">
        <v>31</v>
      </c>
      <c r="E1970" t="s">
        <v>363</v>
      </c>
      <c r="F1970" t="s">
        <v>692</v>
      </c>
      <c r="G1970">
        <v>180000</v>
      </c>
      <c r="H1970">
        <v>178000</v>
      </c>
    </row>
    <row r="1971" spans="2:8" x14ac:dyDescent="0.25">
      <c r="B1971" t="str">
        <f t="shared" si="30"/>
        <v>CRIPopulation ages 05-09, female</v>
      </c>
      <c r="C1971" t="s">
        <v>463</v>
      </c>
      <c r="D1971" t="s">
        <v>31</v>
      </c>
      <c r="E1971" t="s">
        <v>364</v>
      </c>
      <c r="F1971" t="s">
        <v>693</v>
      </c>
      <c r="G1971">
        <v>175000</v>
      </c>
      <c r="H1971">
        <v>175000</v>
      </c>
    </row>
    <row r="1972" spans="2:8" x14ac:dyDescent="0.25">
      <c r="B1972" t="str">
        <f t="shared" si="30"/>
        <v>CRIPopulation ages 05-09, male</v>
      </c>
      <c r="C1972" t="s">
        <v>463</v>
      </c>
      <c r="D1972" t="s">
        <v>31</v>
      </c>
      <c r="E1972" t="s">
        <v>365</v>
      </c>
      <c r="F1972" t="s">
        <v>694</v>
      </c>
      <c r="G1972">
        <v>183000</v>
      </c>
      <c r="H1972">
        <v>183000</v>
      </c>
    </row>
    <row r="1973" spans="2:8" x14ac:dyDescent="0.25">
      <c r="B1973" t="str">
        <f t="shared" si="30"/>
        <v>CRIPopulation ages 10-14, female</v>
      </c>
      <c r="C1973" t="s">
        <v>463</v>
      </c>
      <c r="D1973" t="s">
        <v>31</v>
      </c>
      <c r="E1973" t="s">
        <v>366</v>
      </c>
      <c r="F1973" t="s">
        <v>695</v>
      </c>
      <c r="G1973">
        <v>174000</v>
      </c>
      <c r="H1973">
        <v>174000</v>
      </c>
    </row>
    <row r="1974" spans="2:8" x14ac:dyDescent="0.25">
      <c r="B1974" t="str">
        <f t="shared" si="30"/>
        <v>CRIPopulation ages 10-14, male</v>
      </c>
      <c r="C1974" t="s">
        <v>463</v>
      </c>
      <c r="D1974" t="s">
        <v>31</v>
      </c>
      <c r="E1974" t="s">
        <v>367</v>
      </c>
      <c r="F1974" t="s">
        <v>696</v>
      </c>
      <c r="G1974">
        <v>182000</v>
      </c>
      <c r="H1974">
        <v>182000</v>
      </c>
    </row>
    <row r="1975" spans="2:8" x14ac:dyDescent="0.25">
      <c r="B1975" t="str">
        <f t="shared" si="30"/>
        <v>CRIPopulation ages 15-19, female</v>
      </c>
      <c r="C1975" t="s">
        <v>463</v>
      </c>
      <c r="D1975" t="s">
        <v>31</v>
      </c>
      <c r="E1975" t="s">
        <v>368</v>
      </c>
      <c r="F1975" t="s">
        <v>697</v>
      </c>
      <c r="G1975">
        <v>180000</v>
      </c>
      <c r="H1975">
        <v>178000</v>
      </c>
    </row>
    <row r="1976" spans="2:8" x14ac:dyDescent="0.25">
      <c r="B1976" t="str">
        <f t="shared" si="30"/>
        <v>CRIPopulation ages 15-19, male</v>
      </c>
      <c r="C1976" t="s">
        <v>463</v>
      </c>
      <c r="D1976" t="s">
        <v>31</v>
      </c>
      <c r="E1976" t="s">
        <v>369</v>
      </c>
      <c r="F1976" t="s">
        <v>698</v>
      </c>
      <c r="G1976">
        <v>189000</v>
      </c>
      <c r="H1976">
        <v>186000</v>
      </c>
    </row>
    <row r="1977" spans="2:8" x14ac:dyDescent="0.25">
      <c r="B1977" t="str">
        <f t="shared" si="30"/>
        <v>CRIPopulation ages 20-24, female</v>
      </c>
      <c r="C1977" t="s">
        <v>463</v>
      </c>
      <c r="D1977" t="s">
        <v>31</v>
      </c>
      <c r="E1977" t="s">
        <v>370</v>
      </c>
      <c r="F1977" t="s">
        <v>699</v>
      </c>
      <c r="G1977">
        <v>199000</v>
      </c>
      <c r="H1977">
        <v>196000</v>
      </c>
    </row>
    <row r="1978" spans="2:8" x14ac:dyDescent="0.25">
      <c r="B1978" t="str">
        <f t="shared" si="30"/>
        <v>CRIPopulation ages 20-24, male</v>
      </c>
      <c r="C1978" t="s">
        <v>463</v>
      </c>
      <c r="D1978" t="s">
        <v>31</v>
      </c>
      <c r="E1978" t="s">
        <v>371</v>
      </c>
      <c r="F1978" t="s">
        <v>700</v>
      </c>
      <c r="G1978">
        <v>207000</v>
      </c>
      <c r="H1978">
        <v>204000</v>
      </c>
    </row>
    <row r="1979" spans="2:8" x14ac:dyDescent="0.25">
      <c r="B1979" t="str">
        <f t="shared" si="30"/>
        <v>CRIPopulation ages 25-29, female</v>
      </c>
      <c r="C1979" t="s">
        <v>463</v>
      </c>
      <c r="D1979" t="s">
        <v>31</v>
      </c>
      <c r="E1979" t="s">
        <v>372</v>
      </c>
      <c r="F1979" t="s">
        <v>701</v>
      </c>
      <c r="G1979">
        <v>210000</v>
      </c>
      <c r="H1979">
        <v>209000</v>
      </c>
    </row>
    <row r="1980" spans="2:8" x14ac:dyDescent="0.25">
      <c r="B1980" t="str">
        <f t="shared" si="30"/>
        <v>CRIPopulation ages 25-29, male</v>
      </c>
      <c r="C1980" t="s">
        <v>463</v>
      </c>
      <c r="D1980" t="s">
        <v>31</v>
      </c>
      <c r="E1980" t="s">
        <v>373</v>
      </c>
      <c r="F1980" t="s">
        <v>702</v>
      </c>
      <c r="G1980">
        <v>217000</v>
      </c>
      <c r="H1980">
        <v>216000</v>
      </c>
    </row>
    <row r="1981" spans="2:8" x14ac:dyDescent="0.25">
      <c r="B1981" t="str">
        <f t="shared" si="30"/>
        <v>CRIPopulation ages 30-34, female</v>
      </c>
      <c r="C1981" t="s">
        <v>463</v>
      </c>
      <c r="D1981" t="s">
        <v>31</v>
      </c>
      <c r="E1981" t="s">
        <v>374</v>
      </c>
      <c r="F1981" t="s">
        <v>703</v>
      </c>
      <c r="G1981">
        <v>211000</v>
      </c>
      <c r="H1981">
        <v>213000</v>
      </c>
    </row>
    <row r="1982" spans="2:8" x14ac:dyDescent="0.25">
      <c r="B1982" t="str">
        <f t="shared" si="30"/>
        <v>CRIPopulation ages 30-34, male</v>
      </c>
      <c r="C1982" t="s">
        <v>463</v>
      </c>
      <c r="D1982" t="s">
        <v>31</v>
      </c>
      <c r="E1982" t="s">
        <v>375</v>
      </c>
      <c r="F1982" t="s">
        <v>704</v>
      </c>
      <c r="G1982">
        <v>216000</v>
      </c>
      <c r="H1982">
        <v>218000</v>
      </c>
    </row>
    <row r="1983" spans="2:8" x14ac:dyDescent="0.25">
      <c r="B1983" t="str">
        <f t="shared" si="30"/>
        <v>CRIPopulation ages 35-39, female</v>
      </c>
      <c r="C1983" t="s">
        <v>463</v>
      </c>
      <c r="D1983" t="s">
        <v>31</v>
      </c>
      <c r="E1983" t="s">
        <v>376</v>
      </c>
      <c r="F1983" t="s">
        <v>705</v>
      </c>
      <c r="G1983">
        <v>192000</v>
      </c>
      <c r="H1983">
        <v>196000</v>
      </c>
    </row>
    <row r="1984" spans="2:8" x14ac:dyDescent="0.25">
      <c r="B1984" t="str">
        <f t="shared" si="30"/>
        <v>CRIPopulation ages 35-39, male</v>
      </c>
      <c r="C1984" t="s">
        <v>463</v>
      </c>
      <c r="D1984" t="s">
        <v>31</v>
      </c>
      <c r="E1984" t="s">
        <v>377</v>
      </c>
      <c r="F1984" t="s">
        <v>706</v>
      </c>
      <c r="G1984">
        <v>194000</v>
      </c>
      <c r="H1984">
        <v>199000</v>
      </c>
    </row>
    <row r="1985" spans="2:8" x14ac:dyDescent="0.25">
      <c r="B1985" t="str">
        <f t="shared" si="30"/>
        <v>CRIPopulation ages 40-44, female</v>
      </c>
      <c r="C1985" t="s">
        <v>463</v>
      </c>
      <c r="D1985" t="s">
        <v>31</v>
      </c>
      <c r="E1985" t="s">
        <v>378</v>
      </c>
      <c r="F1985" t="s">
        <v>707</v>
      </c>
      <c r="G1985">
        <v>169000</v>
      </c>
      <c r="H1985">
        <v>174000</v>
      </c>
    </row>
    <row r="1986" spans="2:8" x14ac:dyDescent="0.25">
      <c r="B1986" t="str">
        <f t="shared" si="30"/>
        <v>CRIPopulation ages 40-44, male</v>
      </c>
      <c r="C1986" t="s">
        <v>463</v>
      </c>
      <c r="D1986" t="s">
        <v>31</v>
      </c>
      <c r="E1986" t="s">
        <v>379</v>
      </c>
      <c r="F1986" t="s">
        <v>708</v>
      </c>
      <c r="G1986">
        <v>169000</v>
      </c>
      <c r="H1986">
        <v>174000</v>
      </c>
    </row>
    <row r="1987" spans="2:8" x14ac:dyDescent="0.25">
      <c r="B1987" t="str">
        <f t="shared" si="30"/>
        <v>CRIPopulation ages 45-49, female</v>
      </c>
      <c r="C1987" t="s">
        <v>463</v>
      </c>
      <c r="D1987" t="s">
        <v>31</v>
      </c>
      <c r="E1987" t="s">
        <v>380</v>
      </c>
      <c r="F1987" t="s">
        <v>709</v>
      </c>
      <c r="G1987">
        <v>152000</v>
      </c>
      <c r="H1987">
        <v>153000</v>
      </c>
    </row>
    <row r="1988" spans="2:8" x14ac:dyDescent="0.25">
      <c r="B1988" t="str">
        <f t="shared" si="30"/>
        <v>CRIPopulation ages 45-49, male</v>
      </c>
      <c r="C1988" t="s">
        <v>463</v>
      </c>
      <c r="D1988" t="s">
        <v>31</v>
      </c>
      <c r="E1988" t="s">
        <v>381</v>
      </c>
      <c r="F1988" t="s">
        <v>710</v>
      </c>
      <c r="G1988">
        <v>148000</v>
      </c>
      <c r="H1988">
        <v>149000</v>
      </c>
    </row>
    <row r="1989" spans="2:8" x14ac:dyDescent="0.25">
      <c r="B1989" t="str">
        <f t="shared" si="30"/>
        <v>CRIPopulation ages 50-54, female</v>
      </c>
      <c r="C1989" t="s">
        <v>463</v>
      </c>
      <c r="D1989" t="s">
        <v>31</v>
      </c>
      <c r="E1989" t="s">
        <v>382</v>
      </c>
      <c r="F1989" t="s">
        <v>711</v>
      </c>
      <c r="G1989">
        <v>156000</v>
      </c>
      <c r="H1989">
        <v>155000</v>
      </c>
    </row>
    <row r="1990" spans="2:8" x14ac:dyDescent="0.25">
      <c r="B1990" t="str">
        <f t="shared" si="30"/>
        <v>CRIPopulation ages 50-54, male</v>
      </c>
      <c r="C1990" t="s">
        <v>463</v>
      </c>
      <c r="D1990" t="s">
        <v>31</v>
      </c>
      <c r="E1990" t="s">
        <v>383</v>
      </c>
      <c r="F1990" t="s">
        <v>712</v>
      </c>
      <c r="G1990">
        <v>151000</v>
      </c>
      <c r="H1990">
        <v>150000</v>
      </c>
    </row>
    <row r="1991" spans="2:8" x14ac:dyDescent="0.25">
      <c r="B1991" t="str">
        <f t="shared" ref="B1991:B2054" si="31">CONCATENATE(D1991,E1991)</f>
        <v>CRIPopulation ages 55-59, male</v>
      </c>
      <c r="C1991" t="s">
        <v>463</v>
      </c>
      <c r="D1991" t="s">
        <v>31</v>
      </c>
      <c r="E1991" t="s">
        <v>385</v>
      </c>
      <c r="F1991" t="s">
        <v>713</v>
      </c>
      <c r="G1991">
        <v>143000</v>
      </c>
      <c r="H1991">
        <v>146000</v>
      </c>
    </row>
    <row r="1992" spans="2:8" x14ac:dyDescent="0.25">
      <c r="B1992" t="str">
        <f t="shared" si="31"/>
        <v>CRIPopulation ages 55-59, female</v>
      </c>
      <c r="C1992" t="s">
        <v>463</v>
      </c>
      <c r="D1992" t="s">
        <v>31</v>
      </c>
      <c r="E1992" t="s">
        <v>384</v>
      </c>
      <c r="F1992" t="s">
        <v>714</v>
      </c>
      <c r="G1992">
        <v>149000</v>
      </c>
      <c r="H1992">
        <v>152000</v>
      </c>
    </row>
    <row r="1993" spans="2:8" x14ac:dyDescent="0.25">
      <c r="B1993" t="str">
        <f t="shared" si="31"/>
        <v>CRIPopulation ages 65-69, male</v>
      </c>
      <c r="C1993" t="s">
        <v>463</v>
      </c>
      <c r="D1993" t="s">
        <v>31</v>
      </c>
      <c r="E1993" t="s">
        <v>389</v>
      </c>
      <c r="F1993" t="s">
        <v>715</v>
      </c>
      <c r="G1993">
        <v>82000</v>
      </c>
      <c r="H1993">
        <v>86000</v>
      </c>
    </row>
    <row r="1994" spans="2:8" x14ac:dyDescent="0.25">
      <c r="B1994" t="str">
        <f t="shared" si="31"/>
        <v>CRIPopulation ages 65-69, female</v>
      </c>
      <c r="C1994" t="s">
        <v>463</v>
      </c>
      <c r="D1994" t="s">
        <v>31</v>
      </c>
      <c r="E1994" t="s">
        <v>388</v>
      </c>
      <c r="F1994" t="s">
        <v>716</v>
      </c>
      <c r="G1994">
        <v>89000</v>
      </c>
      <c r="H1994">
        <v>93000</v>
      </c>
    </row>
    <row r="1995" spans="2:8" x14ac:dyDescent="0.25">
      <c r="B1995" t="str">
        <f t="shared" si="31"/>
        <v>CRIPopulation ages 60-64, female</v>
      </c>
      <c r="C1995" t="s">
        <v>463</v>
      </c>
      <c r="D1995" t="s">
        <v>31</v>
      </c>
      <c r="E1995" t="s">
        <v>386</v>
      </c>
      <c r="F1995" t="s">
        <v>717</v>
      </c>
      <c r="G1995">
        <v>119000</v>
      </c>
      <c r="H1995">
        <v>125000</v>
      </c>
    </row>
    <row r="1996" spans="2:8" x14ac:dyDescent="0.25">
      <c r="B1996" t="str">
        <f t="shared" si="31"/>
        <v>CRIPopulation ages 60-64, male</v>
      </c>
      <c r="C1996" t="s">
        <v>463</v>
      </c>
      <c r="D1996" t="s">
        <v>31</v>
      </c>
      <c r="E1996" t="s">
        <v>387</v>
      </c>
      <c r="F1996" t="s">
        <v>718</v>
      </c>
      <c r="G1996">
        <v>113000</v>
      </c>
      <c r="H1996">
        <v>119000</v>
      </c>
    </row>
    <row r="1997" spans="2:8" x14ac:dyDescent="0.25">
      <c r="B1997" t="str">
        <f t="shared" si="31"/>
        <v>CRIPopulation ages 70-74, female</v>
      </c>
      <c r="C1997" t="s">
        <v>463</v>
      </c>
      <c r="D1997" t="s">
        <v>31</v>
      </c>
      <c r="E1997" t="s">
        <v>390</v>
      </c>
      <c r="F1997" t="s">
        <v>719</v>
      </c>
      <c r="G1997">
        <v>69000</v>
      </c>
      <c r="H1997">
        <v>73000</v>
      </c>
    </row>
    <row r="1998" spans="2:8" x14ac:dyDescent="0.25">
      <c r="B1998" t="str">
        <f t="shared" si="31"/>
        <v>CRIPopulation ages 70-74, male</v>
      </c>
      <c r="C1998" t="s">
        <v>463</v>
      </c>
      <c r="D1998" t="s">
        <v>31</v>
      </c>
      <c r="E1998" t="s">
        <v>391</v>
      </c>
      <c r="F1998" t="s">
        <v>720</v>
      </c>
      <c r="G1998">
        <v>63000</v>
      </c>
      <c r="H1998">
        <v>66000</v>
      </c>
    </row>
    <row r="1999" spans="2:8" x14ac:dyDescent="0.25">
      <c r="B1999" t="str">
        <f t="shared" si="31"/>
        <v>CRIPopulation ages 75-79, female</v>
      </c>
      <c r="C1999" t="s">
        <v>463</v>
      </c>
      <c r="D1999" t="s">
        <v>31</v>
      </c>
      <c r="E1999" t="s">
        <v>392</v>
      </c>
      <c r="F1999" t="s">
        <v>721</v>
      </c>
      <c r="G1999">
        <v>47000</v>
      </c>
      <c r="H1999">
        <v>50000</v>
      </c>
    </row>
    <row r="2000" spans="2:8" x14ac:dyDescent="0.25">
      <c r="B2000" t="str">
        <f t="shared" si="31"/>
        <v>CRIPopulation ages 75-79, male</v>
      </c>
      <c r="C2000" t="s">
        <v>463</v>
      </c>
      <c r="D2000" t="s">
        <v>31</v>
      </c>
      <c r="E2000" t="s">
        <v>393</v>
      </c>
      <c r="F2000" t="s">
        <v>722</v>
      </c>
      <c r="G2000">
        <v>40000</v>
      </c>
      <c r="H2000">
        <v>43000</v>
      </c>
    </row>
    <row r="2001" spans="2:8" x14ac:dyDescent="0.25">
      <c r="B2001" t="str">
        <f t="shared" si="31"/>
        <v>CRIPopulation ages 80 and above, female</v>
      </c>
      <c r="C2001" t="s">
        <v>463</v>
      </c>
      <c r="D2001" t="s">
        <v>31</v>
      </c>
      <c r="E2001" t="s">
        <v>394</v>
      </c>
      <c r="F2001" t="s">
        <v>723</v>
      </c>
      <c r="G2001">
        <v>62000</v>
      </c>
      <c r="H2001">
        <v>65000</v>
      </c>
    </row>
    <row r="2002" spans="2:8" x14ac:dyDescent="0.25">
      <c r="B2002" t="str">
        <f t="shared" si="31"/>
        <v>CRIPopulation ages 80 and above, male</v>
      </c>
      <c r="C2002" t="s">
        <v>463</v>
      </c>
      <c r="D2002" t="s">
        <v>31</v>
      </c>
      <c r="E2002" t="s">
        <v>395</v>
      </c>
      <c r="F2002" t="s">
        <v>724</v>
      </c>
      <c r="G2002">
        <v>46000</v>
      </c>
      <c r="H2002">
        <v>48000</v>
      </c>
    </row>
    <row r="2003" spans="2:8" x14ac:dyDescent="0.25">
      <c r="B2003" t="str">
        <f t="shared" si="31"/>
        <v>CRIPopulation, male</v>
      </c>
      <c r="C2003" t="s">
        <v>463</v>
      </c>
      <c r="D2003" t="s">
        <v>31</v>
      </c>
      <c r="E2003" t="s">
        <v>397</v>
      </c>
      <c r="F2003" t="s">
        <v>725</v>
      </c>
      <c r="G2003">
        <v>2523000</v>
      </c>
      <c r="H2003">
        <v>2545000</v>
      </c>
    </row>
    <row r="2004" spans="2:8" x14ac:dyDescent="0.25">
      <c r="B2004" t="str">
        <f t="shared" si="31"/>
        <v>CRIPopulation, total</v>
      </c>
      <c r="C2004" t="s">
        <v>463</v>
      </c>
      <c r="D2004" t="s">
        <v>31</v>
      </c>
      <c r="E2004" t="s">
        <v>398</v>
      </c>
      <c r="F2004" t="s">
        <v>726</v>
      </c>
      <c r="G2004">
        <v>5048000</v>
      </c>
      <c r="H2004">
        <v>5094000</v>
      </c>
    </row>
    <row r="2005" spans="2:8" x14ac:dyDescent="0.25">
      <c r="B2005" t="str">
        <f t="shared" si="31"/>
        <v>CRIPopulation, female</v>
      </c>
      <c r="C2005" t="s">
        <v>463</v>
      </c>
      <c r="D2005" t="s">
        <v>31</v>
      </c>
      <c r="E2005" t="s">
        <v>396</v>
      </c>
      <c r="F2005" t="s">
        <v>727</v>
      </c>
      <c r="G2005">
        <v>2525000</v>
      </c>
      <c r="H2005">
        <v>2549000</v>
      </c>
    </row>
    <row r="2006" spans="2:8" x14ac:dyDescent="0.25">
      <c r="B2006" t="str">
        <f t="shared" si="31"/>
        <v>CRIPopulation growth (annual %)</v>
      </c>
      <c r="C2006" t="s">
        <v>463</v>
      </c>
      <c r="D2006" t="s">
        <v>31</v>
      </c>
      <c r="E2006" t="s">
        <v>399</v>
      </c>
      <c r="F2006" t="s">
        <v>728</v>
      </c>
      <c r="G2006">
        <v>0</v>
      </c>
      <c r="H2006">
        <v>0</v>
      </c>
    </row>
    <row r="2007" spans="2:8" x14ac:dyDescent="0.25">
      <c r="B2007" t="str">
        <f t="shared" si="31"/>
        <v>CIVPopulation ages 0-14, female</v>
      </c>
      <c r="C2007" t="s">
        <v>464</v>
      </c>
      <c r="D2007" t="s">
        <v>26</v>
      </c>
      <c r="E2007" t="s">
        <v>687</v>
      </c>
      <c r="F2007" t="s">
        <v>688</v>
      </c>
      <c r="G2007">
        <v>5338000</v>
      </c>
      <c r="H2007">
        <v>5447000</v>
      </c>
    </row>
    <row r="2008" spans="2:8" x14ac:dyDescent="0.25">
      <c r="B2008" t="str">
        <f t="shared" si="31"/>
        <v>CIVPopulation ages 0-14, male</v>
      </c>
      <c r="C2008" t="s">
        <v>464</v>
      </c>
      <c r="D2008" t="s">
        <v>26</v>
      </c>
      <c r="E2008" t="s">
        <v>689</v>
      </c>
      <c r="F2008" t="s">
        <v>690</v>
      </c>
      <c r="G2008">
        <v>5390000</v>
      </c>
      <c r="H2008">
        <v>5502000</v>
      </c>
    </row>
    <row r="2009" spans="2:8" x14ac:dyDescent="0.25">
      <c r="B2009" t="str">
        <f t="shared" si="31"/>
        <v>CIVPopulation ages 00-04, female</v>
      </c>
      <c r="C2009" t="s">
        <v>464</v>
      </c>
      <c r="D2009" t="s">
        <v>26</v>
      </c>
      <c r="E2009" t="s">
        <v>362</v>
      </c>
      <c r="F2009" t="s">
        <v>691</v>
      </c>
      <c r="G2009">
        <v>2013000</v>
      </c>
      <c r="H2009">
        <v>2053000</v>
      </c>
    </row>
    <row r="2010" spans="2:8" x14ac:dyDescent="0.25">
      <c r="B2010" t="str">
        <f t="shared" si="31"/>
        <v>CIVPopulation ages 00-04, male</v>
      </c>
      <c r="C2010" t="s">
        <v>464</v>
      </c>
      <c r="D2010" t="s">
        <v>26</v>
      </c>
      <c r="E2010" t="s">
        <v>363</v>
      </c>
      <c r="F2010" t="s">
        <v>692</v>
      </c>
      <c r="G2010">
        <v>2038000</v>
      </c>
      <c r="H2010">
        <v>2078000</v>
      </c>
    </row>
    <row r="2011" spans="2:8" x14ac:dyDescent="0.25">
      <c r="B2011" t="str">
        <f t="shared" si="31"/>
        <v>CIVPopulation ages 05-09, female</v>
      </c>
      <c r="C2011" t="s">
        <v>464</v>
      </c>
      <c r="D2011" t="s">
        <v>26</v>
      </c>
      <c r="E2011" t="s">
        <v>364</v>
      </c>
      <c r="F2011" t="s">
        <v>693</v>
      </c>
      <c r="G2011">
        <v>1760000</v>
      </c>
      <c r="H2011">
        <v>1801000</v>
      </c>
    </row>
    <row r="2012" spans="2:8" x14ac:dyDescent="0.25">
      <c r="B2012" t="str">
        <f t="shared" si="31"/>
        <v>CIVPopulation ages 05-09, male</v>
      </c>
      <c r="C2012" t="s">
        <v>464</v>
      </c>
      <c r="D2012" t="s">
        <v>26</v>
      </c>
      <c r="E2012" t="s">
        <v>365</v>
      </c>
      <c r="F2012" t="s">
        <v>694</v>
      </c>
      <c r="G2012">
        <v>1777000</v>
      </c>
      <c r="H2012">
        <v>1818000</v>
      </c>
    </row>
    <row r="2013" spans="2:8" x14ac:dyDescent="0.25">
      <c r="B2013" t="str">
        <f t="shared" si="31"/>
        <v>CIVPopulation ages 10-14, female</v>
      </c>
      <c r="C2013" t="s">
        <v>464</v>
      </c>
      <c r="D2013" t="s">
        <v>26</v>
      </c>
      <c r="E2013" t="s">
        <v>366</v>
      </c>
      <c r="F2013" t="s">
        <v>695</v>
      </c>
      <c r="G2013">
        <v>1565000</v>
      </c>
      <c r="H2013">
        <v>1594000</v>
      </c>
    </row>
    <row r="2014" spans="2:8" x14ac:dyDescent="0.25">
      <c r="B2014" t="str">
        <f t="shared" si="31"/>
        <v>CIVPopulation ages 10-14, male</v>
      </c>
      <c r="C2014" t="s">
        <v>464</v>
      </c>
      <c r="D2014" t="s">
        <v>26</v>
      </c>
      <c r="E2014" t="s">
        <v>367</v>
      </c>
      <c r="F2014" t="s">
        <v>696</v>
      </c>
      <c r="G2014">
        <v>1575000</v>
      </c>
      <c r="H2014">
        <v>1605000</v>
      </c>
    </row>
    <row r="2015" spans="2:8" x14ac:dyDescent="0.25">
      <c r="B2015" t="str">
        <f t="shared" si="31"/>
        <v>CIVPopulation ages 15-19, female</v>
      </c>
      <c r="C2015" t="s">
        <v>464</v>
      </c>
      <c r="D2015" t="s">
        <v>26</v>
      </c>
      <c r="E2015" t="s">
        <v>368</v>
      </c>
      <c r="F2015" t="s">
        <v>697</v>
      </c>
      <c r="G2015">
        <v>1424000</v>
      </c>
      <c r="H2015">
        <v>1452000</v>
      </c>
    </row>
    <row r="2016" spans="2:8" x14ac:dyDescent="0.25">
      <c r="B2016" t="str">
        <f t="shared" si="31"/>
        <v>CIVPopulation ages 15-19, male</v>
      </c>
      <c r="C2016" t="s">
        <v>464</v>
      </c>
      <c r="D2016" t="s">
        <v>26</v>
      </c>
      <c r="E2016" t="s">
        <v>369</v>
      </c>
      <c r="F2016" t="s">
        <v>698</v>
      </c>
      <c r="G2016">
        <v>1423000</v>
      </c>
      <c r="H2016">
        <v>1453000</v>
      </c>
    </row>
    <row r="2017" spans="2:8" x14ac:dyDescent="0.25">
      <c r="B2017" t="str">
        <f t="shared" si="31"/>
        <v>CIVPopulation ages 20-24, female</v>
      </c>
      <c r="C2017" t="s">
        <v>464</v>
      </c>
      <c r="D2017" t="s">
        <v>26</v>
      </c>
      <c r="E2017" t="s">
        <v>370</v>
      </c>
      <c r="F2017" t="s">
        <v>699</v>
      </c>
      <c r="G2017">
        <v>1239000</v>
      </c>
      <c r="H2017">
        <v>1274000</v>
      </c>
    </row>
    <row r="2018" spans="2:8" x14ac:dyDescent="0.25">
      <c r="B2018" t="str">
        <f t="shared" si="31"/>
        <v>CIVPopulation ages 20-24, male</v>
      </c>
      <c r="C2018" t="s">
        <v>464</v>
      </c>
      <c r="D2018" t="s">
        <v>26</v>
      </c>
      <c r="E2018" t="s">
        <v>371</v>
      </c>
      <c r="F2018" t="s">
        <v>700</v>
      </c>
      <c r="G2018">
        <v>1228000</v>
      </c>
      <c r="H2018">
        <v>1264000</v>
      </c>
    </row>
    <row r="2019" spans="2:8" x14ac:dyDescent="0.25">
      <c r="B2019" t="str">
        <f t="shared" si="31"/>
        <v>CIVPopulation ages 25-29, female</v>
      </c>
      <c r="C2019" t="s">
        <v>464</v>
      </c>
      <c r="D2019" t="s">
        <v>26</v>
      </c>
      <c r="E2019" t="s">
        <v>372</v>
      </c>
      <c r="F2019" t="s">
        <v>701</v>
      </c>
      <c r="G2019">
        <v>1031000</v>
      </c>
      <c r="H2019">
        <v>1066000</v>
      </c>
    </row>
    <row r="2020" spans="2:8" x14ac:dyDescent="0.25">
      <c r="B2020" t="str">
        <f t="shared" si="31"/>
        <v>CIVPopulation ages 25-29, male</v>
      </c>
      <c r="C2020" t="s">
        <v>464</v>
      </c>
      <c r="D2020" t="s">
        <v>26</v>
      </c>
      <c r="E2020" t="s">
        <v>373</v>
      </c>
      <c r="F2020" t="s">
        <v>702</v>
      </c>
      <c r="G2020">
        <v>1022000</v>
      </c>
      <c r="H2020">
        <v>1057000</v>
      </c>
    </row>
    <row r="2021" spans="2:8" x14ac:dyDescent="0.25">
      <c r="B2021" t="str">
        <f t="shared" si="31"/>
        <v>CIVPopulation ages 30-34, female</v>
      </c>
      <c r="C2021" t="s">
        <v>464</v>
      </c>
      <c r="D2021" t="s">
        <v>26</v>
      </c>
      <c r="E2021" t="s">
        <v>374</v>
      </c>
      <c r="F2021" t="s">
        <v>703</v>
      </c>
      <c r="G2021">
        <v>845000</v>
      </c>
      <c r="H2021">
        <v>874000</v>
      </c>
    </row>
    <row r="2022" spans="2:8" x14ac:dyDescent="0.25">
      <c r="B2022" t="str">
        <f t="shared" si="31"/>
        <v>CIVPopulation ages 30-34, male</v>
      </c>
      <c r="C2022" t="s">
        <v>464</v>
      </c>
      <c r="D2022" t="s">
        <v>26</v>
      </c>
      <c r="E2022" t="s">
        <v>375</v>
      </c>
      <c r="F2022" t="s">
        <v>704</v>
      </c>
      <c r="G2022">
        <v>839000</v>
      </c>
      <c r="H2022">
        <v>867000</v>
      </c>
    </row>
    <row r="2023" spans="2:8" x14ac:dyDescent="0.25">
      <c r="B2023" t="str">
        <f t="shared" si="31"/>
        <v>CIVPopulation ages 35-39, female</v>
      </c>
      <c r="C2023" t="s">
        <v>464</v>
      </c>
      <c r="D2023" t="s">
        <v>26</v>
      </c>
      <c r="E2023" t="s">
        <v>376</v>
      </c>
      <c r="F2023" t="s">
        <v>705</v>
      </c>
      <c r="G2023">
        <v>693000</v>
      </c>
      <c r="H2023">
        <v>715000</v>
      </c>
    </row>
    <row r="2024" spans="2:8" x14ac:dyDescent="0.25">
      <c r="B2024" t="str">
        <f t="shared" si="31"/>
        <v>CIVPopulation ages 35-39, male</v>
      </c>
      <c r="C2024" t="s">
        <v>464</v>
      </c>
      <c r="D2024" t="s">
        <v>26</v>
      </c>
      <c r="E2024" t="s">
        <v>377</v>
      </c>
      <c r="F2024" t="s">
        <v>706</v>
      </c>
      <c r="G2024">
        <v>697000</v>
      </c>
      <c r="H2024">
        <v>716000</v>
      </c>
    </row>
    <row r="2025" spans="2:8" x14ac:dyDescent="0.25">
      <c r="B2025" t="str">
        <f t="shared" si="31"/>
        <v>CIVPopulation ages 40-44, female</v>
      </c>
      <c r="C2025" t="s">
        <v>464</v>
      </c>
      <c r="D2025" t="s">
        <v>26</v>
      </c>
      <c r="E2025" t="s">
        <v>378</v>
      </c>
      <c r="F2025" t="s">
        <v>707</v>
      </c>
      <c r="G2025">
        <v>563000</v>
      </c>
      <c r="H2025">
        <v>584000</v>
      </c>
    </row>
    <row r="2026" spans="2:8" x14ac:dyDescent="0.25">
      <c r="B2026" t="str">
        <f t="shared" si="31"/>
        <v>CIVPopulation ages 40-44, male</v>
      </c>
      <c r="C2026" t="s">
        <v>464</v>
      </c>
      <c r="D2026" t="s">
        <v>26</v>
      </c>
      <c r="E2026" t="s">
        <v>379</v>
      </c>
      <c r="F2026" t="s">
        <v>708</v>
      </c>
      <c r="G2026">
        <v>583000</v>
      </c>
      <c r="H2026">
        <v>601000</v>
      </c>
    </row>
    <row r="2027" spans="2:8" x14ac:dyDescent="0.25">
      <c r="B2027" t="str">
        <f t="shared" si="31"/>
        <v>CIVPopulation ages 45-49, female</v>
      </c>
      <c r="C2027" t="s">
        <v>464</v>
      </c>
      <c r="D2027" t="s">
        <v>26</v>
      </c>
      <c r="E2027" t="s">
        <v>380</v>
      </c>
      <c r="F2027" t="s">
        <v>709</v>
      </c>
      <c r="G2027">
        <v>433000</v>
      </c>
      <c r="H2027">
        <v>451000</v>
      </c>
    </row>
    <row r="2028" spans="2:8" x14ac:dyDescent="0.25">
      <c r="B2028" t="str">
        <f t="shared" si="31"/>
        <v>CIVPopulation ages 45-49, male</v>
      </c>
      <c r="C2028" t="s">
        <v>464</v>
      </c>
      <c r="D2028" t="s">
        <v>26</v>
      </c>
      <c r="E2028" t="s">
        <v>381</v>
      </c>
      <c r="F2028" t="s">
        <v>710</v>
      </c>
      <c r="G2028">
        <v>466000</v>
      </c>
      <c r="H2028">
        <v>481000</v>
      </c>
    </row>
    <row r="2029" spans="2:8" x14ac:dyDescent="0.25">
      <c r="B2029" t="str">
        <f t="shared" si="31"/>
        <v>CIVPopulation ages 50-54, female</v>
      </c>
      <c r="C2029" t="s">
        <v>464</v>
      </c>
      <c r="D2029" t="s">
        <v>26</v>
      </c>
      <c r="E2029" t="s">
        <v>382</v>
      </c>
      <c r="F2029" t="s">
        <v>711</v>
      </c>
      <c r="G2029">
        <v>339000</v>
      </c>
      <c r="H2029">
        <v>351000</v>
      </c>
    </row>
    <row r="2030" spans="2:8" x14ac:dyDescent="0.25">
      <c r="B2030" t="str">
        <f t="shared" si="31"/>
        <v>CIVPopulation ages 50-54, male</v>
      </c>
      <c r="C2030" t="s">
        <v>464</v>
      </c>
      <c r="D2030" t="s">
        <v>26</v>
      </c>
      <c r="E2030" t="s">
        <v>383</v>
      </c>
      <c r="F2030" t="s">
        <v>712</v>
      </c>
      <c r="G2030">
        <v>379000</v>
      </c>
      <c r="H2030">
        <v>388000</v>
      </c>
    </row>
    <row r="2031" spans="2:8" x14ac:dyDescent="0.25">
      <c r="B2031" t="str">
        <f t="shared" si="31"/>
        <v>CIVPopulation ages 55-59, male</v>
      </c>
      <c r="C2031" t="s">
        <v>464</v>
      </c>
      <c r="D2031" t="s">
        <v>26</v>
      </c>
      <c r="E2031" t="s">
        <v>385</v>
      </c>
      <c r="F2031" t="s">
        <v>713</v>
      </c>
      <c r="G2031">
        <v>312000</v>
      </c>
      <c r="H2031">
        <v>318000</v>
      </c>
    </row>
    <row r="2032" spans="2:8" x14ac:dyDescent="0.25">
      <c r="B2032" t="str">
        <f t="shared" si="31"/>
        <v>CIVPopulation ages 55-59, female</v>
      </c>
      <c r="C2032" t="s">
        <v>464</v>
      </c>
      <c r="D2032" t="s">
        <v>26</v>
      </c>
      <c r="E2032" t="s">
        <v>384</v>
      </c>
      <c r="F2032" t="s">
        <v>714</v>
      </c>
      <c r="G2032">
        <v>273000</v>
      </c>
      <c r="H2032">
        <v>281000</v>
      </c>
    </row>
    <row r="2033" spans="2:8" x14ac:dyDescent="0.25">
      <c r="B2033" t="str">
        <f t="shared" si="31"/>
        <v>CIVPopulation ages 65-69, male</v>
      </c>
      <c r="C2033" t="s">
        <v>464</v>
      </c>
      <c r="D2033" t="s">
        <v>26</v>
      </c>
      <c r="E2033" t="s">
        <v>389</v>
      </c>
      <c r="F2033" t="s">
        <v>715</v>
      </c>
      <c r="G2033">
        <v>179000</v>
      </c>
      <c r="H2033">
        <v>185000</v>
      </c>
    </row>
    <row r="2034" spans="2:8" x14ac:dyDescent="0.25">
      <c r="B2034" t="str">
        <f t="shared" si="31"/>
        <v>CIVPopulation ages 65-69, female</v>
      </c>
      <c r="C2034" t="s">
        <v>464</v>
      </c>
      <c r="D2034" t="s">
        <v>26</v>
      </c>
      <c r="E2034" t="s">
        <v>388</v>
      </c>
      <c r="F2034" t="s">
        <v>716</v>
      </c>
      <c r="G2034">
        <v>155000</v>
      </c>
      <c r="H2034">
        <v>162000</v>
      </c>
    </row>
    <row r="2035" spans="2:8" x14ac:dyDescent="0.25">
      <c r="B2035" t="str">
        <f t="shared" si="31"/>
        <v>CIVPopulation ages 60-64, female</v>
      </c>
      <c r="C2035" t="s">
        <v>464</v>
      </c>
      <c r="D2035" t="s">
        <v>26</v>
      </c>
      <c r="E2035" t="s">
        <v>386</v>
      </c>
      <c r="F2035" t="s">
        <v>717</v>
      </c>
      <c r="G2035">
        <v>215000</v>
      </c>
      <c r="H2035">
        <v>221000</v>
      </c>
    </row>
    <row r="2036" spans="2:8" x14ac:dyDescent="0.25">
      <c r="B2036" t="str">
        <f t="shared" si="31"/>
        <v>CIVPopulation ages 60-64, male</v>
      </c>
      <c r="C2036" t="s">
        <v>464</v>
      </c>
      <c r="D2036" t="s">
        <v>26</v>
      </c>
      <c r="E2036" t="s">
        <v>387</v>
      </c>
      <c r="F2036" t="s">
        <v>718</v>
      </c>
      <c r="G2036">
        <v>248000</v>
      </c>
      <c r="H2036">
        <v>253000</v>
      </c>
    </row>
    <row r="2037" spans="2:8" x14ac:dyDescent="0.25">
      <c r="B2037" t="str">
        <f t="shared" si="31"/>
        <v>CIVPopulation ages 70-74, female</v>
      </c>
      <c r="C2037" t="s">
        <v>464</v>
      </c>
      <c r="D2037" t="s">
        <v>26</v>
      </c>
      <c r="E2037" t="s">
        <v>390</v>
      </c>
      <c r="F2037" t="s">
        <v>719</v>
      </c>
      <c r="G2037">
        <v>96000</v>
      </c>
      <c r="H2037">
        <v>99000</v>
      </c>
    </row>
    <row r="2038" spans="2:8" x14ac:dyDescent="0.25">
      <c r="B2038" t="str">
        <f t="shared" si="31"/>
        <v>CIVPopulation ages 70-74, male</v>
      </c>
      <c r="C2038" t="s">
        <v>464</v>
      </c>
      <c r="D2038" t="s">
        <v>26</v>
      </c>
      <c r="E2038" t="s">
        <v>391</v>
      </c>
      <c r="F2038" t="s">
        <v>720</v>
      </c>
      <c r="G2038">
        <v>112000</v>
      </c>
      <c r="H2038">
        <v>115000</v>
      </c>
    </row>
    <row r="2039" spans="2:8" x14ac:dyDescent="0.25">
      <c r="B2039" t="str">
        <f t="shared" si="31"/>
        <v>CIVPopulation ages 75-79, female</v>
      </c>
      <c r="C2039" t="s">
        <v>464</v>
      </c>
      <c r="D2039" t="s">
        <v>26</v>
      </c>
      <c r="E2039" t="s">
        <v>392</v>
      </c>
      <c r="F2039" t="s">
        <v>721</v>
      </c>
      <c r="G2039">
        <v>61000</v>
      </c>
      <c r="H2039">
        <v>61000</v>
      </c>
    </row>
    <row r="2040" spans="2:8" x14ac:dyDescent="0.25">
      <c r="B2040" t="str">
        <f t="shared" si="31"/>
        <v>CIVPopulation ages 75-79, male</v>
      </c>
      <c r="C2040" t="s">
        <v>464</v>
      </c>
      <c r="D2040" t="s">
        <v>26</v>
      </c>
      <c r="E2040" t="s">
        <v>393</v>
      </c>
      <c r="F2040" t="s">
        <v>722</v>
      </c>
      <c r="G2040">
        <v>64000</v>
      </c>
      <c r="H2040">
        <v>66000</v>
      </c>
    </row>
    <row r="2041" spans="2:8" x14ac:dyDescent="0.25">
      <c r="B2041" t="str">
        <f t="shared" si="31"/>
        <v>CIVPopulation ages 80 and above, female</v>
      </c>
      <c r="C2041" t="s">
        <v>464</v>
      </c>
      <c r="D2041" t="s">
        <v>26</v>
      </c>
      <c r="E2041" t="s">
        <v>394</v>
      </c>
      <c r="F2041" t="s">
        <v>723</v>
      </c>
      <c r="G2041">
        <v>38000</v>
      </c>
      <c r="H2041">
        <v>37000</v>
      </c>
    </row>
    <row r="2042" spans="2:8" x14ac:dyDescent="0.25">
      <c r="B2042" t="str">
        <f t="shared" si="31"/>
        <v>CIVPopulation ages 80 and above, male</v>
      </c>
      <c r="C2042" t="s">
        <v>464</v>
      </c>
      <c r="D2042" t="s">
        <v>26</v>
      </c>
      <c r="E2042" t="s">
        <v>395</v>
      </c>
      <c r="F2042" t="s">
        <v>724</v>
      </c>
      <c r="G2042">
        <v>34000</v>
      </c>
      <c r="H2042">
        <v>34000</v>
      </c>
    </row>
    <row r="2043" spans="2:8" x14ac:dyDescent="0.25">
      <c r="B2043" t="str">
        <f t="shared" si="31"/>
        <v>CIVPopulation, male</v>
      </c>
      <c r="C2043" t="s">
        <v>464</v>
      </c>
      <c r="D2043" t="s">
        <v>26</v>
      </c>
      <c r="E2043" t="s">
        <v>397</v>
      </c>
      <c r="F2043" t="s">
        <v>725</v>
      </c>
      <c r="G2043">
        <v>12974000</v>
      </c>
      <c r="H2043">
        <v>13300000</v>
      </c>
    </row>
    <row r="2044" spans="2:8" x14ac:dyDescent="0.25">
      <c r="B2044" t="str">
        <f t="shared" si="31"/>
        <v>CIVPopulation, total</v>
      </c>
      <c r="C2044" t="s">
        <v>464</v>
      </c>
      <c r="D2044" t="s">
        <v>26</v>
      </c>
      <c r="E2044" t="s">
        <v>398</v>
      </c>
      <c r="F2044" t="s">
        <v>726</v>
      </c>
      <c r="G2044">
        <v>25717000</v>
      </c>
      <c r="H2044">
        <v>26378000</v>
      </c>
    </row>
    <row r="2045" spans="2:8" x14ac:dyDescent="0.25">
      <c r="B2045" t="str">
        <f t="shared" si="31"/>
        <v>CIVPopulation, female</v>
      </c>
      <c r="C2045" t="s">
        <v>464</v>
      </c>
      <c r="D2045" t="s">
        <v>26</v>
      </c>
      <c r="E2045" t="s">
        <v>396</v>
      </c>
      <c r="F2045" t="s">
        <v>727</v>
      </c>
      <c r="G2045">
        <v>12742000</v>
      </c>
      <c r="H2045">
        <v>13078000</v>
      </c>
    </row>
    <row r="2046" spans="2:8" x14ac:dyDescent="0.25">
      <c r="B2046" t="str">
        <f t="shared" si="31"/>
        <v>CIVPopulation growth (annual %)</v>
      </c>
      <c r="C2046" t="s">
        <v>464</v>
      </c>
      <c r="D2046" t="s">
        <v>26</v>
      </c>
      <c r="E2046" t="s">
        <v>399</v>
      </c>
      <c r="F2046" t="s">
        <v>728</v>
      </c>
      <c r="G2046">
        <v>0</v>
      </c>
      <c r="H2046">
        <v>0</v>
      </c>
    </row>
    <row r="2047" spans="2:8" x14ac:dyDescent="0.25">
      <c r="B2047" t="str">
        <f t="shared" si="31"/>
        <v>HRVPopulation ages 0-14, female</v>
      </c>
      <c r="C2047" t="s">
        <v>465</v>
      </c>
      <c r="D2047" t="s">
        <v>55</v>
      </c>
      <c r="E2047" t="s">
        <v>687</v>
      </c>
      <c r="F2047" t="s">
        <v>688</v>
      </c>
      <c r="G2047">
        <v>288000</v>
      </c>
      <c r="H2047">
        <v>286000</v>
      </c>
    </row>
    <row r="2048" spans="2:8" x14ac:dyDescent="0.25">
      <c r="B2048" t="str">
        <f t="shared" si="31"/>
        <v>HRVPopulation ages 0-14, male</v>
      </c>
      <c r="C2048" t="s">
        <v>465</v>
      </c>
      <c r="D2048" t="s">
        <v>55</v>
      </c>
      <c r="E2048" t="s">
        <v>689</v>
      </c>
      <c r="F2048" t="s">
        <v>690</v>
      </c>
      <c r="G2048">
        <v>305000</v>
      </c>
      <c r="H2048">
        <v>303000</v>
      </c>
    </row>
    <row r="2049" spans="2:8" x14ac:dyDescent="0.25">
      <c r="B2049" t="str">
        <f t="shared" si="31"/>
        <v>HRVPopulation ages 00-04, female</v>
      </c>
      <c r="C2049" t="s">
        <v>465</v>
      </c>
      <c r="D2049" t="s">
        <v>55</v>
      </c>
      <c r="E2049" t="s">
        <v>362</v>
      </c>
      <c r="F2049" t="s">
        <v>691</v>
      </c>
      <c r="G2049">
        <v>89000</v>
      </c>
      <c r="H2049">
        <v>88000</v>
      </c>
    </row>
    <row r="2050" spans="2:8" x14ac:dyDescent="0.25">
      <c r="B2050" t="str">
        <f t="shared" si="31"/>
        <v>HRVPopulation ages 00-04, male</v>
      </c>
      <c r="C2050" t="s">
        <v>465</v>
      </c>
      <c r="D2050" t="s">
        <v>55</v>
      </c>
      <c r="E2050" t="s">
        <v>363</v>
      </c>
      <c r="F2050" t="s">
        <v>692</v>
      </c>
      <c r="G2050">
        <v>95000</v>
      </c>
      <c r="H2050">
        <v>94000</v>
      </c>
    </row>
    <row r="2051" spans="2:8" x14ac:dyDescent="0.25">
      <c r="B2051" t="str">
        <f t="shared" si="31"/>
        <v>HRVPopulation ages 05-09, female</v>
      </c>
      <c r="C2051" t="s">
        <v>465</v>
      </c>
      <c r="D2051" t="s">
        <v>55</v>
      </c>
      <c r="E2051" t="s">
        <v>364</v>
      </c>
      <c r="F2051" t="s">
        <v>693</v>
      </c>
      <c r="G2051">
        <v>98000</v>
      </c>
      <c r="H2051">
        <v>96000</v>
      </c>
    </row>
    <row r="2052" spans="2:8" x14ac:dyDescent="0.25">
      <c r="B2052" t="str">
        <f t="shared" si="31"/>
        <v>HRVPopulation ages 05-09, male</v>
      </c>
      <c r="C2052" t="s">
        <v>465</v>
      </c>
      <c r="D2052" t="s">
        <v>55</v>
      </c>
      <c r="E2052" t="s">
        <v>365</v>
      </c>
      <c r="F2052" t="s">
        <v>694</v>
      </c>
      <c r="G2052">
        <v>105000</v>
      </c>
      <c r="H2052">
        <v>103000</v>
      </c>
    </row>
    <row r="2053" spans="2:8" x14ac:dyDescent="0.25">
      <c r="B2053" t="str">
        <f t="shared" si="31"/>
        <v>HRVPopulation ages 10-14, female</v>
      </c>
      <c r="C2053" t="s">
        <v>465</v>
      </c>
      <c r="D2053" t="s">
        <v>55</v>
      </c>
      <c r="E2053" t="s">
        <v>366</v>
      </c>
      <c r="F2053" t="s">
        <v>695</v>
      </c>
      <c r="G2053">
        <v>100000</v>
      </c>
      <c r="H2053">
        <v>102000</v>
      </c>
    </row>
    <row r="2054" spans="2:8" x14ac:dyDescent="0.25">
      <c r="B2054" t="str">
        <f t="shared" si="31"/>
        <v>HRVPopulation ages 10-14, male</v>
      </c>
      <c r="C2054" t="s">
        <v>465</v>
      </c>
      <c r="D2054" t="s">
        <v>55</v>
      </c>
      <c r="E2054" t="s">
        <v>367</v>
      </c>
      <c r="F2054" t="s">
        <v>696</v>
      </c>
      <c r="G2054">
        <v>105000</v>
      </c>
      <c r="H2054">
        <v>107000</v>
      </c>
    </row>
    <row r="2055" spans="2:8" x14ac:dyDescent="0.25">
      <c r="B2055" t="str">
        <f t="shared" ref="B2055:B2118" si="32">CONCATENATE(D2055,E2055)</f>
        <v>HRVPopulation ages 15-19, female</v>
      </c>
      <c r="C2055" t="s">
        <v>465</v>
      </c>
      <c r="D2055" t="s">
        <v>55</v>
      </c>
      <c r="E2055" t="s">
        <v>368</v>
      </c>
      <c r="F2055" t="s">
        <v>697</v>
      </c>
      <c r="G2055">
        <v>97000</v>
      </c>
      <c r="H2055">
        <v>94000</v>
      </c>
    </row>
    <row r="2056" spans="2:8" x14ac:dyDescent="0.25">
      <c r="B2056" t="str">
        <f t="shared" si="32"/>
        <v>HRVPopulation ages 15-19, male</v>
      </c>
      <c r="C2056" t="s">
        <v>465</v>
      </c>
      <c r="D2056" t="s">
        <v>55</v>
      </c>
      <c r="E2056" t="s">
        <v>369</v>
      </c>
      <c r="F2056" t="s">
        <v>698</v>
      </c>
      <c r="G2056">
        <v>102000</v>
      </c>
      <c r="H2056">
        <v>100000</v>
      </c>
    </row>
    <row r="2057" spans="2:8" x14ac:dyDescent="0.25">
      <c r="B2057" t="str">
        <f t="shared" si="32"/>
        <v>HRVPopulation ages 20-24, female</v>
      </c>
      <c r="C2057" t="s">
        <v>465</v>
      </c>
      <c r="D2057" t="s">
        <v>55</v>
      </c>
      <c r="E2057" t="s">
        <v>370</v>
      </c>
      <c r="F2057" t="s">
        <v>699</v>
      </c>
      <c r="G2057">
        <v>116000</v>
      </c>
      <c r="H2057">
        <v>114000</v>
      </c>
    </row>
    <row r="2058" spans="2:8" x14ac:dyDescent="0.25">
      <c r="B2058" t="str">
        <f t="shared" si="32"/>
        <v>HRVPopulation ages 20-24, male</v>
      </c>
      <c r="C2058" t="s">
        <v>465</v>
      </c>
      <c r="D2058" t="s">
        <v>55</v>
      </c>
      <c r="E2058" t="s">
        <v>371</v>
      </c>
      <c r="F2058" t="s">
        <v>700</v>
      </c>
      <c r="G2058">
        <v>121000</v>
      </c>
      <c r="H2058">
        <v>120000</v>
      </c>
    </row>
    <row r="2059" spans="2:8" x14ac:dyDescent="0.25">
      <c r="B2059" t="str">
        <f t="shared" si="32"/>
        <v>HRVPopulation ages 25-29, female</v>
      </c>
      <c r="C2059" t="s">
        <v>465</v>
      </c>
      <c r="D2059" t="s">
        <v>55</v>
      </c>
      <c r="E2059" t="s">
        <v>372</v>
      </c>
      <c r="F2059" t="s">
        <v>701</v>
      </c>
      <c r="G2059">
        <v>116000</v>
      </c>
      <c r="H2059">
        <v>114000</v>
      </c>
    </row>
    <row r="2060" spans="2:8" x14ac:dyDescent="0.25">
      <c r="B2060" t="str">
        <f t="shared" si="32"/>
        <v>HRVPopulation ages 25-29, male</v>
      </c>
      <c r="C2060" t="s">
        <v>465</v>
      </c>
      <c r="D2060" t="s">
        <v>55</v>
      </c>
      <c r="E2060" t="s">
        <v>373</v>
      </c>
      <c r="F2060" t="s">
        <v>702</v>
      </c>
      <c r="G2060">
        <v>121000</v>
      </c>
      <c r="H2060">
        <v>119000</v>
      </c>
    </row>
    <row r="2061" spans="2:8" x14ac:dyDescent="0.25">
      <c r="B2061" t="str">
        <f t="shared" si="32"/>
        <v>HRVPopulation ages 30-34, female</v>
      </c>
      <c r="C2061" t="s">
        <v>465</v>
      </c>
      <c r="D2061" t="s">
        <v>55</v>
      </c>
      <c r="E2061" t="s">
        <v>374</v>
      </c>
      <c r="F2061" t="s">
        <v>703</v>
      </c>
      <c r="G2061">
        <v>128000</v>
      </c>
      <c r="H2061">
        <v>125000</v>
      </c>
    </row>
    <row r="2062" spans="2:8" x14ac:dyDescent="0.25">
      <c r="B2062" t="str">
        <f t="shared" si="32"/>
        <v>HRVPopulation ages 30-34, male</v>
      </c>
      <c r="C2062" t="s">
        <v>465</v>
      </c>
      <c r="D2062" t="s">
        <v>55</v>
      </c>
      <c r="E2062" t="s">
        <v>375</v>
      </c>
      <c r="F2062" t="s">
        <v>704</v>
      </c>
      <c r="G2062">
        <v>132000</v>
      </c>
      <c r="H2062">
        <v>129000</v>
      </c>
    </row>
    <row r="2063" spans="2:8" x14ac:dyDescent="0.25">
      <c r="B2063" t="str">
        <f t="shared" si="32"/>
        <v>HRVPopulation ages 35-39, female</v>
      </c>
      <c r="C2063" t="s">
        <v>465</v>
      </c>
      <c r="D2063" t="s">
        <v>55</v>
      </c>
      <c r="E2063" t="s">
        <v>376</v>
      </c>
      <c r="F2063" t="s">
        <v>705</v>
      </c>
      <c r="G2063">
        <v>138000</v>
      </c>
      <c r="H2063">
        <v>137000</v>
      </c>
    </row>
    <row r="2064" spans="2:8" x14ac:dyDescent="0.25">
      <c r="B2064" t="str">
        <f t="shared" si="32"/>
        <v>HRVPopulation ages 35-39, male</v>
      </c>
      <c r="C2064" t="s">
        <v>465</v>
      </c>
      <c r="D2064" t="s">
        <v>55</v>
      </c>
      <c r="E2064" t="s">
        <v>377</v>
      </c>
      <c r="F2064" t="s">
        <v>706</v>
      </c>
      <c r="G2064">
        <v>143000</v>
      </c>
      <c r="H2064">
        <v>141000</v>
      </c>
    </row>
    <row r="2065" spans="2:8" x14ac:dyDescent="0.25">
      <c r="B2065" t="str">
        <f t="shared" si="32"/>
        <v>HRVPopulation ages 40-44, female</v>
      </c>
      <c r="C2065" t="s">
        <v>465</v>
      </c>
      <c r="D2065" t="s">
        <v>55</v>
      </c>
      <c r="E2065" t="s">
        <v>378</v>
      </c>
      <c r="F2065" t="s">
        <v>707</v>
      </c>
      <c r="G2065">
        <v>139000</v>
      </c>
      <c r="H2065">
        <v>140000</v>
      </c>
    </row>
    <row r="2066" spans="2:8" x14ac:dyDescent="0.25">
      <c r="B2066" t="str">
        <f t="shared" si="32"/>
        <v>HRVPopulation ages 40-44, male</v>
      </c>
      <c r="C2066" t="s">
        <v>465</v>
      </c>
      <c r="D2066" t="s">
        <v>55</v>
      </c>
      <c r="E2066" t="s">
        <v>379</v>
      </c>
      <c r="F2066" t="s">
        <v>708</v>
      </c>
      <c r="G2066">
        <v>143000</v>
      </c>
      <c r="H2066">
        <v>144000</v>
      </c>
    </row>
    <row r="2067" spans="2:8" x14ac:dyDescent="0.25">
      <c r="B2067" t="str">
        <f t="shared" si="32"/>
        <v>HRVPopulation ages 45-49, female</v>
      </c>
      <c r="C2067" t="s">
        <v>465</v>
      </c>
      <c r="D2067" t="s">
        <v>55</v>
      </c>
      <c r="E2067" t="s">
        <v>380</v>
      </c>
      <c r="F2067" t="s">
        <v>709</v>
      </c>
      <c r="G2067">
        <v>133000</v>
      </c>
      <c r="H2067">
        <v>132000</v>
      </c>
    </row>
    <row r="2068" spans="2:8" x14ac:dyDescent="0.25">
      <c r="B2068" t="str">
        <f t="shared" si="32"/>
        <v>HRVPopulation ages 45-49, male</v>
      </c>
      <c r="C2068" t="s">
        <v>465</v>
      </c>
      <c r="D2068" t="s">
        <v>55</v>
      </c>
      <c r="E2068" t="s">
        <v>381</v>
      </c>
      <c r="F2068" t="s">
        <v>710</v>
      </c>
      <c r="G2068">
        <v>133000</v>
      </c>
      <c r="H2068">
        <v>133000</v>
      </c>
    </row>
    <row r="2069" spans="2:8" x14ac:dyDescent="0.25">
      <c r="B2069" t="str">
        <f t="shared" si="32"/>
        <v>HRVPopulation ages 50-54, female</v>
      </c>
      <c r="C2069" t="s">
        <v>465</v>
      </c>
      <c r="D2069" t="s">
        <v>55</v>
      </c>
      <c r="E2069" t="s">
        <v>382</v>
      </c>
      <c r="F2069" t="s">
        <v>711</v>
      </c>
      <c r="G2069">
        <v>143000</v>
      </c>
      <c r="H2069">
        <v>140000</v>
      </c>
    </row>
    <row r="2070" spans="2:8" x14ac:dyDescent="0.25">
      <c r="B2070" t="str">
        <f t="shared" si="32"/>
        <v>HRVPopulation ages 50-54, male</v>
      </c>
      <c r="C2070" t="s">
        <v>465</v>
      </c>
      <c r="D2070" t="s">
        <v>55</v>
      </c>
      <c r="E2070" t="s">
        <v>383</v>
      </c>
      <c r="F2070" t="s">
        <v>712</v>
      </c>
      <c r="G2070">
        <v>139000</v>
      </c>
      <c r="H2070">
        <v>137000</v>
      </c>
    </row>
    <row r="2071" spans="2:8" x14ac:dyDescent="0.25">
      <c r="B2071" t="str">
        <f t="shared" si="32"/>
        <v>HRVPopulation ages 55-59, male</v>
      </c>
      <c r="C2071" t="s">
        <v>465</v>
      </c>
      <c r="D2071" t="s">
        <v>55</v>
      </c>
      <c r="E2071" t="s">
        <v>385</v>
      </c>
      <c r="F2071" t="s">
        <v>713</v>
      </c>
      <c r="G2071">
        <v>144000</v>
      </c>
      <c r="H2071">
        <v>144000</v>
      </c>
    </row>
    <row r="2072" spans="2:8" x14ac:dyDescent="0.25">
      <c r="B2072" t="str">
        <f t="shared" si="32"/>
        <v>HRVPopulation ages 55-59, female</v>
      </c>
      <c r="C2072" t="s">
        <v>465</v>
      </c>
      <c r="D2072" t="s">
        <v>55</v>
      </c>
      <c r="E2072" t="s">
        <v>384</v>
      </c>
      <c r="F2072" t="s">
        <v>714</v>
      </c>
      <c r="G2072">
        <v>154000</v>
      </c>
      <c r="H2072">
        <v>153000</v>
      </c>
    </row>
    <row r="2073" spans="2:8" x14ac:dyDescent="0.25">
      <c r="B2073" t="str">
        <f t="shared" si="32"/>
        <v>HRVPopulation ages 65-69, male</v>
      </c>
      <c r="C2073" t="s">
        <v>465</v>
      </c>
      <c r="D2073" t="s">
        <v>55</v>
      </c>
      <c r="E2073" t="s">
        <v>389</v>
      </c>
      <c r="F2073" t="s">
        <v>715</v>
      </c>
      <c r="G2073">
        <v>124000</v>
      </c>
      <c r="H2073">
        <v>128000</v>
      </c>
    </row>
    <row r="2074" spans="2:8" x14ac:dyDescent="0.25">
      <c r="B2074" t="str">
        <f t="shared" si="32"/>
        <v>HRVPopulation ages 65-69, female</v>
      </c>
      <c r="C2074" t="s">
        <v>465</v>
      </c>
      <c r="D2074" t="s">
        <v>55</v>
      </c>
      <c r="E2074" t="s">
        <v>388</v>
      </c>
      <c r="F2074" t="s">
        <v>716</v>
      </c>
      <c r="G2074">
        <v>142000</v>
      </c>
      <c r="H2074">
        <v>145000</v>
      </c>
    </row>
    <row r="2075" spans="2:8" x14ac:dyDescent="0.25">
      <c r="B2075" t="str">
        <f t="shared" si="32"/>
        <v>HRVPopulation ages 60-64, female</v>
      </c>
      <c r="C2075" t="s">
        <v>465</v>
      </c>
      <c r="D2075" t="s">
        <v>55</v>
      </c>
      <c r="E2075" t="s">
        <v>386</v>
      </c>
      <c r="F2075" t="s">
        <v>717</v>
      </c>
      <c r="G2075">
        <v>150000</v>
      </c>
      <c r="H2075">
        <v>150000</v>
      </c>
    </row>
    <row r="2076" spans="2:8" x14ac:dyDescent="0.25">
      <c r="B2076" t="str">
        <f t="shared" si="32"/>
        <v>HRVPopulation ages 60-64, male</v>
      </c>
      <c r="C2076" t="s">
        <v>465</v>
      </c>
      <c r="D2076" t="s">
        <v>55</v>
      </c>
      <c r="E2076" t="s">
        <v>387</v>
      </c>
      <c r="F2076" t="s">
        <v>718</v>
      </c>
      <c r="G2076">
        <v>137000</v>
      </c>
      <c r="H2076">
        <v>136000</v>
      </c>
    </row>
    <row r="2077" spans="2:8" x14ac:dyDescent="0.25">
      <c r="B2077" t="str">
        <f t="shared" si="32"/>
        <v>HRVPopulation ages 70-74, female</v>
      </c>
      <c r="C2077" t="s">
        <v>465</v>
      </c>
      <c r="D2077" t="s">
        <v>55</v>
      </c>
      <c r="E2077" t="s">
        <v>390</v>
      </c>
      <c r="F2077" t="s">
        <v>719</v>
      </c>
      <c r="G2077">
        <v>112000</v>
      </c>
      <c r="H2077">
        <v>116000</v>
      </c>
    </row>
    <row r="2078" spans="2:8" x14ac:dyDescent="0.25">
      <c r="B2078" t="str">
        <f t="shared" si="32"/>
        <v>HRVPopulation ages 70-74, male</v>
      </c>
      <c r="C2078" t="s">
        <v>465</v>
      </c>
      <c r="D2078" t="s">
        <v>55</v>
      </c>
      <c r="E2078" t="s">
        <v>391</v>
      </c>
      <c r="F2078" t="s">
        <v>720</v>
      </c>
      <c r="G2078">
        <v>83000</v>
      </c>
      <c r="H2078">
        <v>88000</v>
      </c>
    </row>
    <row r="2079" spans="2:8" x14ac:dyDescent="0.25">
      <c r="B2079" t="str">
        <f t="shared" si="32"/>
        <v>HRVPopulation ages 75-79, female</v>
      </c>
      <c r="C2079" t="s">
        <v>465</v>
      </c>
      <c r="D2079" t="s">
        <v>55</v>
      </c>
      <c r="E2079" t="s">
        <v>392</v>
      </c>
      <c r="F2079" t="s">
        <v>721</v>
      </c>
      <c r="G2079">
        <v>95000</v>
      </c>
      <c r="H2079">
        <v>94000</v>
      </c>
    </row>
    <row r="2080" spans="2:8" x14ac:dyDescent="0.25">
      <c r="B2080" t="str">
        <f t="shared" si="32"/>
        <v>HRVPopulation ages 75-79, male</v>
      </c>
      <c r="C2080" t="s">
        <v>465</v>
      </c>
      <c r="D2080" t="s">
        <v>55</v>
      </c>
      <c r="E2080" t="s">
        <v>393</v>
      </c>
      <c r="F2080" t="s">
        <v>722</v>
      </c>
      <c r="G2080">
        <v>60000</v>
      </c>
      <c r="H2080">
        <v>60000</v>
      </c>
    </row>
    <row r="2081" spans="2:8" x14ac:dyDescent="0.25">
      <c r="B2081" t="str">
        <f t="shared" si="32"/>
        <v>HRVPopulation ages 80 and above, female</v>
      </c>
      <c r="C2081" t="s">
        <v>465</v>
      </c>
      <c r="D2081" t="s">
        <v>55</v>
      </c>
      <c r="E2081" t="s">
        <v>394</v>
      </c>
      <c r="F2081" t="s">
        <v>723</v>
      </c>
      <c r="G2081">
        <v>160000</v>
      </c>
      <c r="H2081">
        <v>159000</v>
      </c>
    </row>
    <row r="2082" spans="2:8" x14ac:dyDescent="0.25">
      <c r="B2082" t="str">
        <f t="shared" si="32"/>
        <v>HRVPopulation ages 80 and above, male</v>
      </c>
      <c r="C2082" t="s">
        <v>465</v>
      </c>
      <c r="D2082" t="s">
        <v>55</v>
      </c>
      <c r="E2082" t="s">
        <v>395</v>
      </c>
      <c r="F2082" t="s">
        <v>724</v>
      </c>
      <c r="G2082">
        <v>73000</v>
      </c>
      <c r="H2082">
        <v>72000</v>
      </c>
    </row>
    <row r="2083" spans="2:8" x14ac:dyDescent="0.25">
      <c r="B2083" t="str">
        <f t="shared" si="32"/>
        <v>HRVPopulation, male</v>
      </c>
      <c r="C2083" t="s">
        <v>465</v>
      </c>
      <c r="D2083" t="s">
        <v>55</v>
      </c>
      <c r="E2083" t="s">
        <v>397</v>
      </c>
      <c r="F2083" t="s">
        <v>725</v>
      </c>
      <c r="G2083">
        <v>1961000</v>
      </c>
      <c r="H2083">
        <v>1954000</v>
      </c>
    </row>
    <row r="2084" spans="2:8" x14ac:dyDescent="0.25">
      <c r="B2084" t="str">
        <f t="shared" si="32"/>
        <v>HRVPopulation, total</v>
      </c>
      <c r="C2084" t="s">
        <v>465</v>
      </c>
      <c r="D2084" t="s">
        <v>55</v>
      </c>
      <c r="E2084" t="s">
        <v>398</v>
      </c>
      <c r="F2084" t="s">
        <v>726</v>
      </c>
      <c r="G2084">
        <v>4071000</v>
      </c>
      <c r="H2084">
        <v>4052000</v>
      </c>
    </row>
    <row r="2085" spans="2:8" x14ac:dyDescent="0.25">
      <c r="B2085" t="str">
        <f t="shared" si="32"/>
        <v>HRVPopulation, female</v>
      </c>
      <c r="C2085" t="s">
        <v>465</v>
      </c>
      <c r="D2085" t="s">
        <v>55</v>
      </c>
      <c r="E2085" t="s">
        <v>396</v>
      </c>
      <c r="F2085" t="s">
        <v>727</v>
      </c>
      <c r="G2085">
        <v>2109000</v>
      </c>
      <c r="H2085">
        <v>2099000</v>
      </c>
    </row>
    <row r="2086" spans="2:8" x14ac:dyDescent="0.25">
      <c r="B2086" t="str">
        <f t="shared" si="32"/>
        <v>HRVPopulation growth (annual %)</v>
      </c>
      <c r="C2086" t="s">
        <v>465</v>
      </c>
      <c r="D2086" t="s">
        <v>55</v>
      </c>
      <c r="E2086" t="s">
        <v>399</v>
      </c>
      <c r="F2086" t="s">
        <v>728</v>
      </c>
      <c r="G2086">
        <v>0</v>
      </c>
      <c r="H2086">
        <v>0</v>
      </c>
    </row>
    <row r="2087" spans="2:8" x14ac:dyDescent="0.25">
      <c r="B2087" t="str">
        <f t="shared" si="32"/>
        <v>CUBPopulation ages 0-14, female</v>
      </c>
      <c r="C2087" t="s">
        <v>221</v>
      </c>
      <c r="D2087" t="s">
        <v>161</v>
      </c>
      <c r="E2087" t="s">
        <v>687</v>
      </c>
      <c r="F2087" t="s">
        <v>688</v>
      </c>
      <c r="G2087">
        <v>884000</v>
      </c>
      <c r="H2087">
        <v>877000</v>
      </c>
    </row>
    <row r="2088" spans="2:8" x14ac:dyDescent="0.25">
      <c r="B2088" t="str">
        <f t="shared" si="32"/>
        <v>CUBPopulation ages 0-14, male</v>
      </c>
      <c r="C2088" t="s">
        <v>221</v>
      </c>
      <c r="D2088" t="s">
        <v>161</v>
      </c>
      <c r="E2088" t="s">
        <v>689</v>
      </c>
      <c r="F2088" t="s">
        <v>690</v>
      </c>
      <c r="G2088">
        <v>934000</v>
      </c>
      <c r="H2088">
        <v>927000</v>
      </c>
    </row>
    <row r="2089" spans="2:8" x14ac:dyDescent="0.25">
      <c r="B2089" t="str">
        <f t="shared" si="32"/>
        <v>CUBPopulation ages 00-04, female</v>
      </c>
      <c r="C2089" t="s">
        <v>221</v>
      </c>
      <c r="D2089" t="s">
        <v>161</v>
      </c>
      <c r="E2089" t="s">
        <v>362</v>
      </c>
      <c r="F2089" t="s">
        <v>691</v>
      </c>
      <c r="G2089">
        <v>286000</v>
      </c>
      <c r="H2089">
        <v>278000</v>
      </c>
    </row>
    <row r="2090" spans="2:8" x14ac:dyDescent="0.25">
      <c r="B2090" t="str">
        <f t="shared" si="32"/>
        <v>CUBPopulation ages 00-04, male</v>
      </c>
      <c r="C2090" t="s">
        <v>221</v>
      </c>
      <c r="D2090" t="s">
        <v>161</v>
      </c>
      <c r="E2090" t="s">
        <v>363</v>
      </c>
      <c r="F2090" t="s">
        <v>692</v>
      </c>
      <c r="G2090">
        <v>302000</v>
      </c>
      <c r="H2090">
        <v>294000</v>
      </c>
    </row>
    <row r="2091" spans="2:8" x14ac:dyDescent="0.25">
      <c r="B2091" t="str">
        <f t="shared" si="32"/>
        <v>CUBPopulation ages 05-09, female</v>
      </c>
      <c r="C2091" t="s">
        <v>221</v>
      </c>
      <c r="D2091" t="s">
        <v>161</v>
      </c>
      <c r="E2091" t="s">
        <v>364</v>
      </c>
      <c r="F2091" t="s">
        <v>693</v>
      </c>
      <c r="G2091">
        <v>303000</v>
      </c>
      <c r="H2091">
        <v>305000</v>
      </c>
    </row>
    <row r="2092" spans="2:8" x14ac:dyDescent="0.25">
      <c r="B2092" t="str">
        <f t="shared" si="32"/>
        <v>CUBPopulation ages 05-09, male</v>
      </c>
      <c r="C2092" t="s">
        <v>221</v>
      </c>
      <c r="D2092" t="s">
        <v>161</v>
      </c>
      <c r="E2092" t="s">
        <v>365</v>
      </c>
      <c r="F2092" t="s">
        <v>694</v>
      </c>
      <c r="G2092">
        <v>320000</v>
      </c>
      <c r="H2092">
        <v>323000</v>
      </c>
    </row>
    <row r="2093" spans="2:8" x14ac:dyDescent="0.25">
      <c r="B2093" t="str">
        <f t="shared" si="32"/>
        <v>CUBPopulation ages 10-14, female</v>
      </c>
      <c r="C2093" t="s">
        <v>221</v>
      </c>
      <c r="D2093" t="s">
        <v>161</v>
      </c>
      <c r="E2093" t="s">
        <v>366</v>
      </c>
      <c r="F2093" t="s">
        <v>695</v>
      </c>
      <c r="G2093">
        <v>295000</v>
      </c>
      <c r="H2093">
        <v>293000</v>
      </c>
    </row>
    <row r="2094" spans="2:8" x14ac:dyDescent="0.25">
      <c r="B2094" t="str">
        <f t="shared" si="32"/>
        <v>CUBPopulation ages 10-14, male</v>
      </c>
      <c r="C2094" t="s">
        <v>221</v>
      </c>
      <c r="D2094" t="s">
        <v>161</v>
      </c>
      <c r="E2094" t="s">
        <v>367</v>
      </c>
      <c r="F2094" t="s">
        <v>696</v>
      </c>
      <c r="G2094">
        <v>312000</v>
      </c>
      <c r="H2094">
        <v>310000</v>
      </c>
    </row>
    <row r="2095" spans="2:8" x14ac:dyDescent="0.25">
      <c r="B2095" t="str">
        <f t="shared" si="32"/>
        <v>CUBPopulation ages 15-19, female</v>
      </c>
      <c r="C2095" t="s">
        <v>221</v>
      </c>
      <c r="D2095" t="s">
        <v>161</v>
      </c>
      <c r="E2095" t="s">
        <v>368</v>
      </c>
      <c r="F2095" t="s">
        <v>697</v>
      </c>
      <c r="G2095">
        <v>320000</v>
      </c>
      <c r="H2095">
        <v>312000</v>
      </c>
    </row>
    <row r="2096" spans="2:8" x14ac:dyDescent="0.25">
      <c r="B2096" t="str">
        <f t="shared" si="32"/>
        <v>CUBPopulation ages 15-19, male</v>
      </c>
      <c r="C2096" t="s">
        <v>221</v>
      </c>
      <c r="D2096" t="s">
        <v>161</v>
      </c>
      <c r="E2096" t="s">
        <v>369</v>
      </c>
      <c r="F2096" t="s">
        <v>698</v>
      </c>
      <c r="G2096">
        <v>338000</v>
      </c>
      <c r="H2096">
        <v>331000</v>
      </c>
    </row>
    <row r="2097" spans="2:8" x14ac:dyDescent="0.25">
      <c r="B2097" t="str">
        <f t="shared" si="32"/>
        <v>CUBPopulation ages 20-24, female</v>
      </c>
      <c r="C2097" t="s">
        <v>221</v>
      </c>
      <c r="D2097" t="s">
        <v>161</v>
      </c>
      <c r="E2097" t="s">
        <v>370</v>
      </c>
      <c r="F2097" t="s">
        <v>699</v>
      </c>
      <c r="G2097">
        <v>344000</v>
      </c>
      <c r="H2097">
        <v>341000</v>
      </c>
    </row>
    <row r="2098" spans="2:8" x14ac:dyDescent="0.25">
      <c r="B2098" t="str">
        <f t="shared" si="32"/>
        <v>CUBPopulation ages 20-24, male</v>
      </c>
      <c r="C2098" t="s">
        <v>221</v>
      </c>
      <c r="D2098" t="s">
        <v>161</v>
      </c>
      <c r="E2098" t="s">
        <v>371</v>
      </c>
      <c r="F2098" t="s">
        <v>700</v>
      </c>
      <c r="G2098">
        <v>365000</v>
      </c>
      <c r="H2098">
        <v>360000</v>
      </c>
    </row>
    <row r="2099" spans="2:8" x14ac:dyDescent="0.25">
      <c r="B2099" t="str">
        <f t="shared" si="32"/>
        <v>CUBPopulation ages 25-29, female</v>
      </c>
      <c r="C2099" t="s">
        <v>221</v>
      </c>
      <c r="D2099" t="s">
        <v>161</v>
      </c>
      <c r="E2099" t="s">
        <v>372</v>
      </c>
      <c r="F2099" t="s">
        <v>701</v>
      </c>
      <c r="G2099">
        <v>360000</v>
      </c>
      <c r="H2099">
        <v>347000</v>
      </c>
    </row>
    <row r="2100" spans="2:8" x14ac:dyDescent="0.25">
      <c r="B2100" t="str">
        <f t="shared" si="32"/>
        <v>CUBPopulation ages 25-29, male</v>
      </c>
      <c r="C2100" t="s">
        <v>221</v>
      </c>
      <c r="D2100" t="s">
        <v>161</v>
      </c>
      <c r="E2100" t="s">
        <v>373</v>
      </c>
      <c r="F2100" t="s">
        <v>702</v>
      </c>
      <c r="G2100">
        <v>384000</v>
      </c>
      <c r="H2100">
        <v>372000</v>
      </c>
    </row>
    <row r="2101" spans="2:8" x14ac:dyDescent="0.25">
      <c r="B2101" t="str">
        <f t="shared" si="32"/>
        <v>CUBPopulation ages 30-34, female</v>
      </c>
      <c r="C2101" t="s">
        <v>221</v>
      </c>
      <c r="D2101" t="s">
        <v>161</v>
      </c>
      <c r="E2101" t="s">
        <v>374</v>
      </c>
      <c r="F2101" t="s">
        <v>703</v>
      </c>
      <c r="G2101">
        <v>405000</v>
      </c>
      <c r="H2101">
        <v>408000</v>
      </c>
    </row>
    <row r="2102" spans="2:8" x14ac:dyDescent="0.25">
      <c r="B2102" t="str">
        <f t="shared" si="32"/>
        <v>CUBPopulation ages 30-34, male</v>
      </c>
      <c r="C2102" t="s">
        <v>221</v>
      </c>
      <c r="D2102" t="s">
        <v>161</v>
      </c>
      <c r="E2102" t="s">
        <v>375</v>
      </c>
      <c r="F2102" t="s">
        <v>704</v>
      </c>
      <c r="G2102">
        <v>419000</v>
      </c>
      <c r="H2102">
        <v>423000</v>
      </c>
    </row>
    <row r="2103" spans="2:8" x14ac:dyDescent="0.25">
      <c r="B2103" t="str">
        <f t="shared" si="32"/>
        <v>CUBPopulation ages 35-39, female</v>
      </c>
      <c r="C2103" t="s">
        <v>221</v>
      </c>
      <c r="D2103" t="s">
        <v>161</v>
      </c>
      <c r="E2103" t="s">
        <v>376</v>
      </c>
      <c r="F2103" t="s">
        <v>705</v>
      </c>
      <c r="G2103">
        <v>325000</v>
      </c>
      <c r="H2103">
        <v>340000</v>
      </c>
    </row>
    <row r="2104" spans="2:8" x14ac:dyDescent="0.25">
      <c r="B2104" t="str">
        <f t="shared" si="32"/>
        <v>CUBPopulation ages 35-39, male</v>
      </c>
      <c r="C2104" t="s">
        <v>221</v>
      </c>
      <c r="D2104" t="s">
        <v>161</v>
      </c>
      <c r="E2104" t="s">
        <v>377</v>
      </c>
      <c r="F2104" t="s">
        <v>706</v>
      </c>
      <c r="G2104">
        <v>337000</v>
      </c>
      <c r="H2104">
        <v>352000</v>
      </c>
    </row>
    <row r="2105" spans="2:8" x14ac:dyDescent="0.25">
      <c r="B2105" t="str">
        <f t="shared" si="32"/>
        <v>CUBPopulation ages 40-44, female</v>
      </c>
      <c r="C2105" t="s">
        <v>221</v>
      </c>
      <c r="D2105" t="s">
        <v>161</v>
      </c>
      <c r="E2105" t="s">
        <v>378</v>
      </c>
      <c r="F2105" t="s">
        <v>707</v>
      </c>
      <c r="G2105">
        <v>328000</v>
      </c>
      <c r="H2105">
        <v>305000</v>
      </c>
    </row>
    <row r="2106" spans="2:8" x14ac:dyDescent="0.25">
      <c r="B2106" t="str">
        <f t="shared" si="32"/>
        <v>CUBPopulation ages 40-44, male</v>
      </c>
      <c r="C2106" t="s">
        <v>221</v>
      </c>
      <c r="D2106" t="s">
        <v>161</v>
      </c>
      <c r="E2106" t="s">
        <v>379</v>
      </c>
      <c r="F2106" t="s">
        <v>708</v>
      </c>
      <c r="G2106">
        <v>335000</v>
      </c>
      <c r="H2106">
        <v>313000</v>
      </c>
    </row>
    <row r="2107" spans="2:8" x14ac:dyDescent="0.25">
      <c r="B2107" t="str">
        <f t="shared" si="32"/>
        <v>CUBPopulation ages 45-49, female</v>
      </c>
      <c r="C2107" t="s">
        <v>221</v>
      </c>
      <c r="D2107" t="s">
        <v>161</v>
      </c>
      <c r="E2107" t="s">
        <v>380</v>
      </c>
      <c r="F2107" t="s">
        <v>709</v>
      </c>
      <c r="G2107">
        <v>492000</v>
      </c>
      <c r="H2107">
        <v>470000</v>
      </c>
    </row>
    <row r="2108" spans="2:8" x14ac:dyDescent="0.25">
      <c r="B2108" t="str">
        <f t="shared" si="32"/>
        <v>CUBPopulation ages 45-49, male</v>
      </c>
      <c r="C2108" t="s">
        <v>221</v>
      </c>
      <c r="D2108" t="s">
        <v>161</v>
      </c>
      <c r="E2108" t="s">
        <v>381</v>
      </c>
      <c r="F2108" t="s">
        <v>710</v>
      </c>
      <c r="G2108">
        <v>493000</v>
      </c>
      <c r="H2108">
        <v>474000</v>
      </c>
    </row>
    <row r="2109" spans="2:8" x14ac:dyDescent="0.25">
      <c r="B2109" t="str">
        <f t="shared" si="32"/>
        <v>CUBPopulation ages 50-54, female</v>
      </c>
      <c r="C2109" t="s">
        <v>221</v>
      </c>
      <c r="D2109" t="s">
        <v>161</v>
      </c>
      <c r="E2109" t="s">
        <v>382</v>
      </c>
      <c r="F2109" t="s">
        <v>711</v>
      </c>
      <c r="G2109">
        <v>515000</v>
      </c>
      <c r="H2109">
        <v>509000</v>
      </c>
    </row>
    <row r="2110" spans="2:8" x14ac:dyDescent="0.25">
      <c r="B2110" t="str">
        <f t="shared" si="32"/>
        <v>CUBPopulation ages 50-54, male</v>
      </c>
      <c r="C2110" t="s">
        <v>221</v>
      </c>
      <c r="D2110" t="s">
        <v>161</v>
      </c>
      <c r="E2110" t="s">
        <v>383</v>
      </c>
      <c r="F2110" t="s">
        <v>712</v>
      </c>
      <c r="G2110">
        <v>493000</v>
      </c>
      <c r="H2110">
        <v>489000</v>
      </c>
    </row>
    <row r="2111" spans="2:8" x14ac:dyDescent="0.25">
      <c r="B2111" t="str">
        <f t="shared" si="32"/>
        <v>CUBPopulation ages 55-59, male</v>
      </c>
      <c r="C2111" t="s">
        <v>221</v>
      </c>
      <c r="D2111" t="s">
        <v>161</v>
      </c>
      <c r="E2111" t="s">
        <v>385</v>
      </c>
      <c r="F2111" t="s">
        <v>713</v>
      </c>
      <c r="G2111">
        <v>446000</v>
      </c>
      <c r="H2111">
        <v>470000</v>
      </c>
    </row>
    <row r="2112" spans="2:8" x14ac:dyDescent="0.25">
      <c r="B2112" t="str">
        <f t="shared" si="32"/>
        <v>CUBPopulation ages 55-59, female</v>
      </c>
      <c r="C2112" t="s">
        <v>221</v>
      </c>
      <c r="D2112" t="s">
        <v>161</v>
      </c>
      <c r="E2112" t="s">
        <v>384</v>
      </c>
      <c r="F2112" t="s">
        <v>714</v>
      </c>
      <c r="G2112">
        <v>472000</v>
      </c>
      <c r="H2112">
        <v>498000</v>
      </c>
    </row>
    <row r="2113" spans="2:8" x14ac:dyDescent="0.25">
      <c r="B2113" t="str">
        <f t="shared" si="32"/>
        <v>CUBPopulation ages 65-69, male</v>
      </c>
      <c r="C2113" t="s">
        <v>221</v>
      </c>
      <c r="D2113" t="s">
        <v>161</v>
      </c>
      <c r="E2113" t="s">
        <v>389</v>
      </c>
      <c r="F2113" t="s">
        <v>715</v>
      </c>
      <c r="G2113">
        <v>264000</v>
      </c>
      <c r="H2113">
        <v>266000</v>
      </c>
    </row>
    <row r="2114" spans="2:8" x14ac:dyDescent="0.25">
      <c r="B2114" t="str">
        <f t="shared" si="32"/>
        <v>CUBPopulation ages 65-69, female</v>
      </c>
      <c r="C2114" t="s">
        <v>221</v>
      </c>
      <c r="D2114" t="s">
        <v>161</v>
      </c>
      <c r="E2114" t="s">
        <v>388</v>
      </c>
      <c r="F2114" t="s">
        <v>716</v>
      </c>
      <c r="G2114">
        <v>298000</v>
      </c>
      <c r="H2114">
        <v>301000</v>
      </c>
    </row>
    <row r="2115" spans="2:8" x14ac:dyDescent="0.25">
      <c r="B2115" t="str">
        <f t="shared" si="32"/>
        <v>CUBPopulation ages 60-64, female</v>
      </c>
      <c r="C2115" t="s">
        <v>221</v>
      </c>
      <c r="D2115" t="s">
        <v>161</v>
      </c>
      <c r="E2115" t="s">
        <v>386</v>
      </c>
      <c r="F2115" t="s">
        <v>717</v>
      </c>
      <c r="G2115">
        <v>301000</v>
      </c>
      <c r="H2115">
        <v>315000</v>
      </c>
    </row>
    <row r="2116" spans="2:8" x14ac:dyDescent="0.25">
      <c r="B2116" t="str">
        <f t="shared" si="32"/>
        <v>CUBPopulation ages 60-64, male</v>
      </c>
      <c r="C2116" t="s">
        <v>221</v>
      </c>
      <c r="D2116" t="s">
        <v>161</v>
      </c>
      <c r="E2116" t="s">
        <v>387</v>
      </c>
      <c r="F2116" t="s">
        <v>718</v>
      </c>
      <c r="G2116">
        <v>278000</v>
      </c>
      <c r="H2116">
        <v>292000</v>
      </c>
    </row>
    <row r="2117" spans="2:8" x14ac:dyDescent="0.25">
      <c r="B2117" t="str">
        <f t="shared" si="32"/>
        <v>CUBPopulation ages 70-74, female</v>
      </c>
      <c r="C2117" t="s">
        <v>221</v>
      </c>
      <c r="D2117" t="s">
        <v>161</v>
      </c>
      <c r="E2117" t="s">
        <v>390</v>
      </c>
      <c r="F2117" t="s">
        <v>719</v>
      </c>
      <c r="G2117">
        <v>233000</v>
      </c>
      <c r="H2117">
        <v>239000</v>
      </c>
    </row>
    <row r="2118" spans="2:8" x14ac:dyDescent="0.25">
      <c r="B2118" t="str">
        <f t="shared" si="32"/>
        <v>CUBPopulation ages 70-74, male</v>
      </c>
      <c r="C2118" t="s">
        <v>221</v>
      </c>
      <c r="D2118" t="s">
        <v>161</v>
      </c>
      <c r="E2118" t="s">
        <v>391</v>
      </c>
      <c r="F2118" t="s">
        <v>720</v>
      </c>
      <c r="G2118">
        <v>206000</v>
      </c>
      <c r="H2118">
        <v>210000</v>
      </c>
    </row>
    <row r="2119" spans="2:8" x14ac:dyDescent="0.25">
      <c r="B2119" t="str">
        <f t="shared" ref="B2119:B2182" si="33">CONCATENATE(D2119,E2119)</f>
        <v>CUBPopulation ages 75-79, female</v>
      </c>
      <c r="C2119" t="s">
        <v>221</v>
      </c>
      <c r="D2119" t="s">
        <v>161</v>
      </c>
      <c r="E2119" t="s">
        <v>392</v>
      </c>
      <c r="F2119" t="s">
        <v>721</v>
      </c>
      <c r="G2119">
        <v>188000</v>
      </c>
      <c r="H2119">
        <v>193000</v>
      </c>
    </row>
    <row r="2120" spans="2:8" x14ac:dyDescent="0.25">
      <c r="B2120" t="str">
        <f t="shared" si="33"/>
        <v>CUBPopulation ages 75-79, male</v>
      </c>
      <c r="C2120" t="s">
        <v>221</v>
      </c>
      <c r="D2120" t="s">
        <v>161</v>
      </c>
      <c r="E2120" t="s">
        <v>393</v>
      </c>
      <c r="F2120" t="s">
        <v>722</v>
      </c>
      <c r="G2120">
        <v>158000</v>
      </c>
      <c r="H2120">
        <v>162000</v>
      </c>
    </row>
    <row r="2121" spans="2:8" x14ac:dyDescent="0.25">
      <c r="B2121" t="str">
        <f t="shared" si="33"/>
        <v>CUBPopulation ages 80 and above, female</v>
      </c>
      <c r="C2121" t="s">
        <v>221</v>
      </c>
      <c r="D2121" t="s">
        <v>161</v>
      </c>
      <c r="E2121" t="s">
        <v>394</v>
      </c>
      <c r="F2121" t="s">
        <v>723</v>
      </c>
      <c r="G2121">
        <v>241000</v>
      </c>
      <c r="H2121">
        <v>248000</v>
      </c>
    </row>
    <row r="2122" spans="2:8" x14ac:dyDescent="0.25">
      <c r="B2122" t="str">
        <f t="shared" si="33"/>
        <v>CUBPopulation ages 80 and above, male</v>
      </c>
      <c r="C2122" t="s">
        <v>221</v>
      </c>
      <c r="D2122" t="s">
        <v>161</v>
      </c>
      <c r="E2122" t="s">
        <v>395</v>
      </c>
      <c r="F2122" t="s">
        <v>724</v>
      </c>
      <c r="G2122">
        <v>176000</v>
      </c>
      <c r="H2122">
        <v>181000</v>
      </c>
    </row>
    <row r="2123" spans="2:8" x14ac:dyDescent="0.25">
      <c r="B2123" t="str">
        <f t="shared" si="33"/>
        <v>CUBPopulation, male</v>
      </c>
      <c r="C2123" t="s">
        <v>221</v>
      </c>
      <c r="D2123" t="s">
        <v>161</v>
      </c>
      <c r="E2123" t="s">
        <v>397</v>
      </c>
      <c r="F2123" t="s">
        <v>725</v>
      </c>
      <c r="G2123">
        <v>5628000</v>
      </c>
      <c r="H2123">
        <v>5623000</v>
      </c>
    </row>
    <row r="2124" spans="2:8" x14ac:dyDescent="0.25">
      <c r="B2124" t="str">
        <f t="shared" si="33"/>
        <v>CUBPopulation, total</v>
      </c>
      <c r="C2124" t="s">
        <v>221</v>
      </c>
      <c r="D2124" t="s">
        <v>161</v>
      </c>
      <c r="E2124" t="s">
        <v>398</v>
      </c>
      <c r="F2124" t="s">
        <v>726</v>
      </c>
      <c r="G2124">
        <v>11333000</v>
      </c>
      <c r="H2124">
        <v>11327000</v>
      </c>
    </row>
    <row r="2125" spans="2:8" x14ac:dyDescent="0.25">
      <c r="B2125" t="str">
        <f t="shared" si="33"/>
        <v>CUBPopulation, female</v>
      </c>
      <c r="C2125" t="s">
        <v>221</v>
      </c>
      <c r="D2125" t="s">
        <v>161</v>
      </c>
      <c r="E2125" t="s">
        <v>396</v>
      </c>
      <c r="F2125" t="s">
        <v>727</v>
      </c>
      <c r="G2125">
        <v>5706000</v>
      </c>
      <c r="H2125">
        <v>5703000</v>
      </c>
    </row>
    <row r="2126" spans="2:8" x14ac:dyDescent="0.25">
      <c r="B2126" t="str">
        <f t="shared" si="33"/>
        <v>CUBPopulation growth (annual %)</v>
      </c>
      <c r="C2126" t="s">
        <v>221</v>
      </c>
      <c r="D2126" t="s">
        <v>161</v>
      </c>
      <c r="E2126" t="s">
        <v>399</v>
      </c>
      <c r="F2126" t="s">
        <v>728</v>
      </c>
      <c r="G2126">
        <v>0</v>
      </c>
      <c r="H2126">
        <v>0</v>
      </c>
    </row>
    <row r="2127" spans="2:8" x14ac:dyDescent="0.25">
      <c r="B2127" t="str">
        <f t="shared" si="33"/>
        <v>CUWPopulation ages 0-14, female</v>
      </c>
      <c r="C2127" t="s">
        <v>466</v>
      </c>
      <c r="D2127" t="s">
        <v>467</v>
      </c>
      <c r="E2127" t="s">
        <v>687</v>
      </c>
      <c r="F2127" t="s">
        <v>688</v>
      </c>
      <c r="G2127">
        <v>15000</v>
      </c>
      <c r="H2127">
        <v>14000</v>
      </c>
    </row>
    <row r="2128" spans="2:8" x14ac:dyDescent="0.25">
      <c r="B2128" t="str">
        <f t="shared" si="33"/>
        <v>CUWPopulation ages 0-14, male</v>
      </c>
      <c r="C2128" t="s">
        <v>466</v>
      </c>
      <c r="D2128" t="s">
        <v>467</v>
      </c>
      <c r="E2128" t="s">
        <v>689</v>
      </c>
      <c r="F2128" t="s">
        <v>690</v>
      </c>
      <c r="G2128">
        <v>15000</v>
      </c>
      <c r="H2128">
        <v>15000</v>
      </c>
    </row>
    <row r="2129" spans="2:8" x14ac:dyDescent="0.25">
      <c r="B2129" t="str">
        <f t="shared" si="33"/>
        <v>CUWPopulation ages 00-04, female</v>
      </c>
      <c r="C2129" t="s">
        <v>466</v>
      </c>
      <c r="D2129" t="s">
        <v>467</v>
      </c>
      <c r="E2129" t="s">
        <v>362</v>
      </c>
      <c r="F2129" t="s">
        <v>691</v>
      </c>
      <c r="G2129">
        <v>4400</v>
      </c>
      <c r="H2129">
        <v>4300</v>
      </c>
    </row>
    <row r="2130" spans="2:8" x14ac:dyDescent="0.25">
      <c r="B2130" t="str">
        <f t="shared" si="33"/>
        <v>CUWPopulation ages 00-04, male</v>
      </c>
      <c r="C2130" t="s">
        <v>466</v>
      </c>
      <c r="D2130" t="s">
        <v>467</v>
      </c>
      <c r="E2130" t="s">
        <v>363</v>
      </c>
      <c r="F2130" t="s">
        <v>692</v>
      </c>
      <c r="G2130">
        <v>4700</v>
      </c>
      <c r="H2130">
        <v>4500</v>
      </c>
    </row>
    <row r="2131" spans="2:8" x14ac:dyDescent="0.25">
      <c r="B2131" t="str">
        <f t="shared" si="33"/>
        <v>CUWPopulation ages 05-09, female</v>
      </c>
      <c r="C2131" t="s">
        <v>466</v>
      </c>
      <c r="D2131" t="s">
        <v>467</v>
      </c>
      <c r="E2131" t="s">
        <v>364</v>
      </c>
      <c r="F2131" t="s">
        <v>693</v>
      </c>
      <c r="G2131">
        <v>5000</v>
      </c>
      <c r="H2131">
        <v>5000</v>
      </c>
    </row>
    <row r="2132" spans="2:8" x14ac:dyDescent="0.25">
      <c r="B2132" t="str">
        <f t="shared" si="33"/>
        <v>CUWPopulation ages 05-09, male</v>
      </c>
      <c r="C2132" t="s">
        <v>466</v>
      </c>
      <c r="D2132" t="s">
        <v>467</v>
      </c>
      <c r="E2132" t="s">
        <v>365</v>
      </c>
      <c r="F2132" t="s">
        <v>694</v>
      </c>
      <c r="G2132">
        <v>5200</v>
      </c>
      <c r="H2132">
        <v>5200</v>
      </c>
    </row>
    <row r="2133" spans="2:8" x14ac:dyDescent="0.25">
      <c r="B2133" t="str">
        <f t="shared" si="33"/>
        <v>CUWPopulation ages 10-14, female</v>
      </c>
      <c r="C2133" t="s">
        <v>466</v>
      </c>
      <c r="D2133" t="s">
        <v>467</v>
      </c>
      <c r="E2133" t="s">
        <v>366</v>
      </c>
      <c r="F2133" t="s">
        <v>695</v>
      </c>
      <c r="G2133">
        <v>5100</v>
      </c>
      <c r="H2133">
        <v>5100</v>
      </c>
    </row>
    <row r="2134" spans="2:8" x14ac:dyDescent="0.25">
      <c r="B2134" t="str">
        <f t="shared" si="33"/>
        <v>CUWPopulation ages 10-14, male</v>
      </c>
      <c r="C2134" t="s">
        <v>466</v>
      </c>
      <c r="D2134" t="s">
        <v>467</v>
      </c>
      <c r="E2134" t="s">
        <v>367</v>
      </c>
      <c r="F2134" t="s">
        <v>696</v>
      </c>
      <c r="G2134">
        <v>5300</v>
      </c>
      <c r="H2134">
        <v>5300</v>
      </c>
    </row>
    <row r="2135" spans="2:8" x14ac:dyDescent="0.25">
      <c r="B2135" t="str">
        <f t="shared" si="33"/>
        <v>CUWPopulation ages 15-19, female</v>
      </c>
      <c r="C2135" t="s">
        <v>466</v>
      </c>
      <c r="D2135" t="s">
        <v>467</v>
      </c>
      <c r="E2135" t="s">
        <v>368</v>
      </c>
      <c r="F2135" t="s">
        <v>697</v>
      </c>
      <c r="G2135">
        <v>5200</v>
      </c>
      <c r="H2135">
        <v>5300</v>
      </c>
    </row>
    <row r="2136" spans="2:8" x14ac:dyDescent="0.25">
      <c r="B2136" t="str">
        <f t="shared" si="33"/>
        <v>CUWPopulation ages 15-19, male</v>
      </c>
      <c r="C2136" t="s">
        <v>466</v>
      </c>
      <c r="D2136" t="s">
        <v>467</v>
      </c>
      <c r="E2136" t="s">
        <v>369</v>
      </c>
      <c r="F2136" t="s">
        <v>698</v>
      </c>
      <c r="G2136">
        <v>5500</v>
      </c>
      <c r="H2136">
        <v>5600</v>
      </c>
    </row>
    <row r="2137" spans="2:8" x14ac:dyDescent="0.25">
      <c r="B2137" t="str">
        <f t="shared" si="33"/>
        <v>CUWPopulation ages 20-24, female</v>
      </c>
      <c r="C2137" t="s">
        <v>466</v>
      </c>
      <c r="D2137" t="s">
        <v>467</v>
      </c>
      <c r="E2137" t="s">
        <v>370</v>
      </c>
      <c r="F2137" t="s">
        <v>699</v>
      </c>
      <c r="G2137">
        <v>4700</v>
      </c>
      <c r="H2137">
        <v>4600</v>
      </c>
    </row>
    <row r="2138" spans="2:8" x14ac:dyDescent="0.25">
      <c r="B2138" t="str">
        <f t="shared" si="33"/>
        <v>CUWPopulation ages 20-24, male</v>
      </c>
      <c r="C2138" t="s">
        <v>466</v>
      </c>
      <c r="D2138" t="s">
        <v>467</v>
      </c>
      <c r="E2138" t="s">
        <v>371</v>
      </c>
      <c r="F2138" t="s">
        <v>700</v>
      </c>
      <c r="G2138">
        <v>4800</v>
      </c>
      <c r="H2138">
        <v>4800</v>
      </c>
    </row>
    <row r="2139" spans="2:8" x14ac:dyDescent="0.25">
      <c r="B2139" t="str">
        <f t="shared" si="33"/>
        <v>CUWPopulation ages 25-29, female</v>
      </c>
      <c r="C2139" t="s">
        <v>466</v>
      </c>
      <c r="D2139" t="s">
        <v>467</v>
      </c>
      <c r="E2139" t="s">
        <v>372</v>
      </c>
      <c r="F2139" t="s">
        <v>701</v>
      </c>
      <c r="G2139">
        <v>5000</v>
      </c>
      <c r="H2139">
        <v>5000</v>
      </c>
    </row>
    <row r="2140" spans="2:8" x14ac:dyDescent="0.25">
      <c r="B2140" t="str">
        <f t="shared" si="33"/>
        <v>CUWPopulation ages 25-29, male</v>
      </c>
      <c r="C2140" t="s">
        <v>466</v>
      </c>
      <c r="D2140" t="s">
        <v>467</v>
      </c>
      <c r="E2140" t="s">
        <v>373</v>
      </c>
      <c r="F2140" t="s">
        <v>702</v>
      </c>
      <c r="G2140">
        <v>4700</v>
      </c>
      <c r="H2140">
        <v>4900</v>
      </c>
    </row>
    <row r="2141" spans="2:8" x14ac:dyDescent="0.25">
      <c r="B2141" t="str">
        <f t="shared" si="33"/>
        <v>CUWPopulation ages 30-34, female</v>
      </c>
      <c r="C2141" t="s">
        <v>466</v>
      </c>
      <c r="D2141" t="s">
        <v>467</v>
      </c>
      <c r="E2141" t="s">
        <v>374</v>
      </c>
      <c r="F2141" t="s">
        <v>703</v>
      </c>
      <c r="G2141">
        <v>5000</v>
      </c>
      <c r="H2141">
        <v>5000</v>
      </c>
    </row>
    <row r="2142" spans="2:8" x14ac:dyDescent="0.25">
      <c r="B2142" t="str">
        <f t="shared" si="33"/>
        <v>CUWPopulation ages 30-34, male</v>
      </c>
      <c r="C2142" t="s">
        <v>466</v>
      </c>
      <c r="D2142" t="s">
        <v>467</v>
      </c>
      <c r="E2142" t="s">
        <v>375</v>
      </c>
      <c r="F2142" t="s">
        <v>704</v>
      </c>
      <c r="G2142">
        <v>4100</v>
      </c>
      <c r="H2142">
        <v>4200</v>
      </c>
    </row>
    <row r="2143" spans="2:8" x14ac:dyDescent="0.25">
      <c r="B2143" t="str">
        <f t="shared" si="33"/>
        <v>CUWPopulation ages 35-39, female</v>
      </c>
      <c r="C2143" t="s">
        <v>466</v>
      </c>
      <c r="D2143" t="s">
        <v>467</v>
      </c>
      <c r="E2143" t="s">
        <v>376</v>
      </c>
      <c r="F2143" t="s">
        <v>705</v>
      </c>
      <c r="G2143">
        <v>5200</v>
      </c>
      <c r="H2143">
        <v>5200</v>
      </c>
    </row>
    <row r="2144" spans="2:8" x14ac:dyDescent="0.25">
      <c r="B2144" t="str">
        <f t="shared" si="33"/>
        <v>CUWPopulation ages 35-39, male</v>
      </c>
      <c r="C2144" t="s">
        <v>466</v>
      </c>
      <c r="D2144" t="s">
        <v>467</v>
      </c>
      <c r="E2144" t="s">
        <v>377</v>
      </c>
      <c r="F2144" t="s">
        <v>706</v>
      </c>
      <c r="G2144">
        <v>4000</v>
      </c>
      <c r="H2144">
        <v>4100</v>
      </c>
    </row>
    <row r="2145" spans="2:8" x14ac:dyDescent="0.25">
      <c r="B2145" t="str">
        <f t="shared" si="33"/>
        <v>CUWPopulation ages 40-44, female</v>
      </c>
      <c r="C2145" t="s">
        <v>466</v>
      </c>
      <c r="D2145" t="s">
        <v>467</v>
      </c>
      <c r="E2145" t="s">
        <v>378</v>
      </c>
      <c r="F2145" t="s">
        <v>707</v>
      </c>
      <c r="G2145">
        <v>5300</v>
      </c>
      <c r="H2145">
        <v>5200</v>
      </c>
    </row>
    <row r="2146" spans="2:8" x14ac:dyDescent="0.25">
      <c r="B2146" t="str">
        <f t="shared" si="33"/>
        <v>CUWPopulation ages 40-44, male</v>
      </c>
      <c r="C2146" t="s">
        <v>466</v>
      </c>
      <c r="D2146" t="s">
        <v>467</v>
      </c>
      <c r="E2146" t="s">
        <v>379</v>
      </c>
      <c r="F2146" t="s">
        <v>708</v>
      </c>
      <c r="G2146">
        <v>4000</v>
      </c>
      <c r="H2146">
        <v>3900</v>
      </c>
    </row>
    <row r="2147" spans="2:8" x14ac:dyDescent="0.25">
      <c r="B2147" t="str">
        <f t="shared" si="33"/>
        <v>CUWPopulation ages 45-49, female</v>
      </c>
      <c r="C2147" t="s">
        <v>466</v>
      </c>
      <c r="D2147" t="s">
        <v>467</v>
      </c>
      <c r="E2147" t="s">
        <v>380</v>
      </c>
      <c r="F2147" t="s">
        <v>709</v>
      </c>
      <c r="G2147">
        <v>6200</v>
      </c>
      <c r="H2147">
        <v>6100</v>
      </c>
    </row>
    <row r="2148" spans="2:8" x14ac:dyDescent="0.25">
      <c r="B2148" t="str">
        <f t="shared" si="33"/>
        <v>CUWPopulation ages 45-49, male</v>
      </c>
      <c r="C2148" t="s">
        <v>466</v>
      </c>
      <c r="D2148" t="s">
        <v>467</v>
      </c>
      <c r="E2148" t="s">
        <v>381</v>
      </c>
      <c r="F2148" t="s">
        <v>710</v>
      </c>
      <c r="G2148">
        <v>4900</v>
      </c>
      <c r="H2148">
        <v>4800</v>
      </c>
    </row>
    <row r="2149" spans="2:8" x14ac:dyDescent="0.25">
      <c r="B2149" t="str">
        <f t="shared" si="33"/>
        <v>CUWPopulation ages 50-54, female</v>
      </c>
      <c r="C2149" t="s">
        <v>466</v>
      </c>
      <c r="D2149" t="s">
        <v>467</v>
      </c>
      <c r="E2149" t="s">
        <v>382</v>
      </c>
      <c r="F2149" t="s">
        <v>711</v>
      </c>
      <c r="G2149">
        <v>6600</v>
      </c>
      <c r="H2149">
        <v>6400</v>
      </c>
    </row>
    <row r="2150" spans="2:8" x14ac:dyDescent="0.25">
      <c r="B2150" t="str">
        <f t="shared" si="33"/>
        <v>CUWPopulation ages 50-54, male</v>
      </c>
      <c r="C2150" t="s">
        <v>466</v>
      </c>
      <c r="D2150" t="s">
        <v>467</v>
      </c>
      <c r="E2150" t="s">
        <v>383</v>
      </c>
      <c r="F2150" t="s">
        <v>712</v>
      </c>
      <c r="G2150">
        <v>5200</v>
      </c>
      <c r="H2150">
        <v>5100</v>
      </c>
    </row>
    <row r="2151" spans="2:8" x14ac:dyDescent="0.25">
      <c r="B2151" t="str">
        <f t="shared" si="33"/>
        <v>CUWPopulation ages 55-59, male</v>
      </c>
      <c r="C2151" t="s">
        <v>466</v>
      </c>
      <c r="D2151" t="s">
        <v>467</v>
      </c>
      <c r="E2151" t="s">
        <v>385</v>
      </c>
      <c r="F2151" t="s">
        <v>713</v>
      </c>
      <c r="G2151">
        <v>5500</v>
      </c>
      <c r="H2151">
        <v>5500</v>
      </c>
    </row>
    <row r="2152" spans="2:8" x14ac:dyDescent="0.25">
      <c r="B2152" t="str">
        <f t="shared" si="33"/>
        <v>CUWPopulation ages 55-59, female</v>
      </c>
      <c r="C2152" t="s">
        <v>466</v>
      </c>
      <c r="D2152" t="s">
        <v>467</v>
      </c>
      <c r="E2152" t="s">
        <v>384</v>
      </c>
      <c r="F2152" t="s">
        <v>714</v>
      </c>
      <c r="G2152">
        <v>7100</v>
      </c>
      <c r="H2152">
        <v>7100</v>
      </c>
    </row>
    <row r="2153" spans="2:8" x14ac:dyDescent="0.25">
      <c r="B2153" t="str">
        <f t="shared" si="33"/>
        <v>CUWPopulation ages 65-69, male</v>
      </c>
      <c r="C2153" t="s">
        <v>466</v>
      </c>
      <c r="D2153" t="s">
        <v>467</v>
      </c>
      <c r="E2153" t="s">
        <v>389</v>
      </c>
      <c r="F2153" t="s">
        <v>715</v>
      </c>
      <c r="G2153">
        <v>3900</v>
      </c>
      <c r="H2153">
        <v>4000</v>
      </c>
    </row>
    <row r="2154" spans="2:8" x14ac:dyDescent="0.25">
      <c r="B2154" t="str">
        <f t="shared" si="33"/>
        <v>CUWPopulation ages 65-69, female</v>
      </c>
      <c r="C2154" t="s">
        <v>466</v>
      </c>
      <c r="D2154" t="s">
        <v>467</v>
      </c>
      <c r="E2154" t="s">
        <v>388</v>
      </c>
      <c r="F2154" t="s">
        <v>716</v>
      </c>
      <c r="G2154">
        <v>5200</v>
      </c>
      <c r="H2154">
        <v>5300</v>
      </c>
    </row>
    <row r="2155" spans="2:8" x14ac:dyDescent="0.25">
      <c r="B2155" t="str">
        <f t="shared" si="33"/>
        <v>CUWPopulation ages 60-64, female</v>
      </c>
      <c r="C2155" t="s">
        <v>466</v>
      </c>
      <c r="D2155" t="s">
        <v>467</v>
      </c>
      <c r="E2155" t="s">
        <v>386</v>
      </c>
      <c r="F2155" t="s">
        <v>717</v>
      </c>
      <c r="G2155">
        <v>6100</v>
      </c>
      <c r="H2155">
        <v>6300</v>
      </c>
    </row>
    <row r="2156" spans="2:8" x14ac:dyDescent="0.25">
      <c r="B2156" t="str">
        <f t="shared" si="33"/>
        <v>CUWPopulation ages 60-64, male</v>
      </c>
      <c r="C2156" t="s">
        <v>466</v>
      </c>
      <c r="D2156" t="s">
        <v>467</v>
      </c>
      <c r="E2156" t="s">
        <v>387</v>
      </c>
      <c r="F2156" t="s">
        <v>718</v>
      </c>
      <c r="G2156">
        <v>4600</v>
      </c>
      <c r="H2156">
        <v>4800</v>
      </c>
    </row>
    <row r="2157" spans="2:8" x14ac:dyDescent="0.25">
      <c r="B2157" t="str">
        <f t="shared" si="33"/>
        <v>CUWPopulation ages 70-74, female</v>
      </c>
      <c r="C2157" t="s">
        <v>466</v>
      </c>
      <c r="D2157" t="s">
        <v>467</v>
      </c>
      <c r="E2157" t="s">
        <v>390</v>
      </c>
      <c r="F2157" t="s">
        <v>719</v>
      </c>
      <c r="G2157">
        <v>4200</v>
      </c>
      <c r="H2157">
        <v>4400</v>
      </c>
    </row>
    <row r="2158" spans="2:8" x14ac:dyDescent="0.25">
      <c r="B2158" t="str">
        <f t="shared" si="33"/>
        <v>CUWPopulation ages 70-74, male</v>
      </c>
      <c r="C2158" t="s">
        <v>466</v>
      </c>
      <c r="D2158" t="s">
        <v>467</v>
      </c>
      <c r="E2158" t="s">
        <v>391</v>
      </c>
      <c r="F2158" t="s">
        <v>720</v>
      </c>
      <c r="G2158">
        <v>3200</v>
      </c>
      <c r="H2158">
        <v>3300</v>
      </c>
    </row>
    <row r="2159" spans="2:8" x14ac:dyDescent="0.25">
      <c r="B2159" t="str">
        <f t="shared" si="33"/>
        <v>CUWPopulation ages 75-79, female</v>
      </c>
      <c r="C2159" t="s">
        <v>466</v>
      </c>
      <c r="D2159" t="s">
        <v>467</v>
      </c>
      <c r="E2159" t="s">
        <v>392</v>
      </c>
      <c r="F2159" t="s">
        <v>721</v>
      </c>
      <c r="G2159">
        <v>2900</v>
      </c>
      <c r="H2159">
        <v>3100</v>
      </c>
    </row>
    <row r="2160" spans="2:8" x14ac:dyDescent="0.25">
      <c r="B2160" t="str">
        <f t="shared" si="33"/>
        <v>CUWPopulation ages 75-79, male</v>
      </c>
      <c r="C2160" t="s">
        <v>466</v>
      </c>
      <c r="D2160" t="s">
        <v>467</v>
      </c>
      <c r="E2160" t="s">
        <v>393</v>
      </c>
      <c r="F2160" t="s">
        <v>722</v>
      </c>
      <c r="G2160">
        <v>2000</v>
      </c>
      <c r="H2160">
        <v>2100</v>
      </c>
    </row>
    <row r="2161" spans="2:8" x14ac:dyDescent="0.25">
      <c r="B2161" t="str">
        <f t="shared" si="33"/>
        <v>CUWPopulation ages 80 and above, female</v>
      </c>
      <c r="C2161" t="s">
        <v>466</v>
      </c>
      <c r="D2161" t="s">
        <v>467</v>
      </c>
      <c r="E2161" t="s">
        <v>394</v>
      </c>
      <c r="F2161" t="s">
        <v>723</v>
      </c>
      <c r="G2161">
        <v>3800</v>
      </c>
      <c r="H2161">
        <v>4000</v>
      </c>
    </row>
    <row r="2162" spans="2:8" x14ac:dyDescent="0.25">
      <c r="B2162" t="str">
        <f t="shared" si="33"/>
        <v>CUWPopulation ages 80 and above, male</v>
      </c>
      <c r="C2162" t="s">
        <v>466</v>
      </c>
      <c r="D2162" t="s">
        <v>467</v>
      </c>
      <c r="E2162" t="s">
        <v>395</v>
      </c>
      <c r="F2162" t="s">
        <v>724</v>
      </c>
      <c r="G2162">
        <v>2400</v>
      </c>
      <c r="H2162">
        <v>2400</v>
      </c>
    </row>
    <row r="2163" spans="2:8" x14ac:dyDescent="0.25">
      <c r="B2163" t="str">
        <f t="shared" si="33"/>
        <v>CUWPopulation, male</v>
      </c>
      <c r="C2163" t="s">
        <v>466</v>
      </c>
      <c r="D2163" t="s">
        <v>467</v>
      </c>
      <c r="E2163" t="s">
        <v>397</v>
      </c>
      <c r="F2163" t="s">
        <v>725</v>
      </c>
      <c r="G2163">
        <v>74000</v>
      </c>
      <c r="H2163">
        <v>74000</v>
      </c>
    </row>
    <row r="2164" spans="2:8" x14ac:dyDescent="0.25">
      <c r="B2164" t="str">
        <f t="shared" si="33"/>
        <v>CUWPopulation, total</v>
      </c>
      <c r="C2164" t="s">
        <v>466</v>
      </c>
      <c r="D2164" t="s">
        <v>467</v>
      </c>
      <c r="E2164" t="s">
        <v>398</v>
      </c>
      <c r="F2164" t="s">
        <v>726</v>
      </c>
      <c r="G2164">
        <v>161000</v>
      </c>
      <c r="H2164">
        <v>162000</v>
      </c>
    </row>
    <row r="2165" spans="2:8" x14ac:dyDescent="0.25">
      <c r="B2165" t="str">
        <f t="shared" si="33"/>
        <v>CUWPopulation, female</v>
      </c>
      <c r="C2165" t="s">
        <v>466</v>
      </c>
      <c r="D2165" t="s">
        <v>467</v>
      </c>
      <c r="E2165" t="s">
        <v>396</v>
      </c>
      <c r="F2165" t="s">
        <v>727</v>
      </c>
      <c r="G2165">
        <v>87000</v>
      </c>
      <c r="H2165">
        <v>87000</v>
      </c>
    </row>
    <row r="2166" spans="2:8" x14ac:dyDescent="0.25">
      <c r="B2166" t="str">
        <f t="shared" si="33"/>
        <v>CUWPopulation growth (annual %)</v>
      </c>
      <c r="C2166" t="s">
        <v>466</v>
      </c>
      <c r="D2166" t="s">
        <v>467</v>
      </c>
      <c r="E2166" t="s">
        <v>399</v>
      </c>
      <c r="F2166" t="s">
        <v>728</v>
      </c>
      <c r="G2166">
        <v>0</v>
      </c>
      <c r="H2166">
        <v>0</v>
      </c>
    </row>
    <row r="2167" spans="2:8" x14ac:dyDescent="0.25">
      <c r="B2167" t="str">
        <f t="shared" si="33"/>
        <v>CYPPopulation ages 0-14, female</v>
      </c>
      <c r="C2167" t="s">
        <v>468</v>
      </c>
      <c r="D2167" t="s">
        <v>32</v>
      </c>
      <c r="E2167" t="s">
        <v>687</v>
      </c>
      <c r="F2167" t="s">
        <v>688</v>
      </c>
      <c r="G2167">
        <v>97000</v>
      </c>
      <c r="H2167">
        <v>97000</v>
      </c>
    </row>
    <row r="2168" spans="2:8" x14ac:dyDescent="0.25">
      <c r="B2168" t="str">
        <f t="shared" si="33"/>
        <v>CYPPopulation ages 0-14, male</v>
      </c>
      <c r="C2168" t="s">
        <v>468</v>
      </c>
      <c r="D2168" t="s">
        <v>32</v>
      </c>
      <c r="E2168" t="s">
        <v>689</v>
      </c>
      <c r="F2168" t="s">
        <v>690</v>
      </c>
      <c r="G2168">
        <v>103000</v>
      </c>
      <c r="H2168">
        <v>103000</v>
      </c>
    </row>
    <row r="2169" spans="2:8" x14ac:dyDescent="0.25">
      <c r="B2169" t="str">
        <f t="shared" si="33"/>
        <v>CYPPopulation ages 00-04, female</v>
      </c>
      <c r="C2169" t="s">
        <v>468</v>
      </c>
      <c r="D2169" t="s">
        <v>32</v>
      </c>
      <c r="E2169" t="s">
        <v>362</v>
      </c>
      <c r="F2169" t="s">
        <v>691</v>
      </c>
      <c r="G2169">
        <v>32000</v>
      </c>
      <c r="H2169">
        <v>31000</v>
      </c>
    </row>
    <row r="2170" spans="2:8" x14ac:dyDescent="0.25">
      <c r="B2170" t="str">
        <f t="shared" si="33"/>
        <v>CYPPopulation ages 00-04, male</v>
      </c>
      <c r="C2170" t="s">
        <v>468</v>
      </c>
      <c r="D2170" t="s">
        <v>32</v>
      </c>
      <c r="E2170" t="s">
        <v>363</v>
      </c>
      <c r="F2170" t="s">
        <v>692</v>
      </c>
      <c r="G2170">
        <v>34000</v>
      </c>
      <c r="H2170">
        <v>33000</v>
      </c>
    </row>
    <row r="2171" spans="2:8" x14ac:dyDescent="0.25">
      <c r="B2171" t="str">
        <f t="shared" si="33"/>
        <v>CYPPopulation ages 05-09, female</v>
      </c>
      <c r="C2171" t="s">
        <v>468</v>
      </c>
      <c r="D2171" t="s">
        <v>32</v>
      </c>
      <c r="E2171" t="s">
        <v>364</v>
      </c>
      <c r="F2171" t="s">
        <v>693</v>
      </c>
      <c r="G2171">
        <v>33000</v>
      </c>
      <c r="H2171">
        <v>33000</v>
      </c>
    </row>
    <row r="2172" spans="2:8" x14ac:dyDescent="0.25">
      <c r="B2172" t="str">
        <f t="shared" si="33"/>
        <v>CYPPopulation ages 05-09, male</v>
      </c>
      <c r="C2172" t="s">
        <v>468</v>
      </c>
      <c r="D2172" t="s">
        <v>32</v>
      </c>
      <c r="E2172" t="s">
        <v>365</v>
      </c>
      <c r="F2172" t="s">
        <v>694</v>
      </c>
      <c r="G2172">
        <v>35000</v>
      </c>
      <c r="H2172">
        <v>35000</v>
      </c>
    </row>
    <row r="2173" spans="2:8" x14ac:dyDescent="0.25">
      <c r="B2173" t="str">
        <f t="shared" si="33"/>
        <v>CYPPopulation ages 10-14, female</v>
      </c>
      <c r="C2173" t="s">
        <v>468</v>
      </c>
      <c r="D2173" t="s">
        <v>32</v>
      </c>
      <c r="E2173" t="s">
        <v>366</v>
      </c>
      <c r="F2173" t="s">
        <v>695</v>
      </c>
      <c r="G2173">
        <v>33000</v>
      </c>
      <c r="H2173">
        <v>33000</v>
      </c>
    </row>
    <row r="2174" spans="2:8" x14ac:dyDescent="0.25">
      <c r="B2174" t="str">
        <f t="shared" si="33"/>
        <v>CYPPopulation ages 10-14, male</v>
      </c>
      <c r="C2174" t="s">
        <v>468</v>
      </c>
      <c r="D2174" t="s">
        <v>32</v>
      </c>
      <c r="E2174" t="s">
        <v>367</v>
      </c>
      <c r="F2174" t="s">
        <v>696</v>
      </c>
      <c r="G2174">
        <v>35000</v>
      </c>
      <c r="H2174">
        <v>35000</v>
      </c>
    </row>
    <row r="2175" spans="2:8" x14ac:dyDescent="0.25">
      <c r="B2175" t="str">
        <f t="shared" si="33"/>
        <v>CYPPopulation ages 15-19, female</v>
      </c>
      <c r="C2175" t="s">
        <v>468</v>
      </c>
      <c r="D2175" t="s">
        <v>32</v>
      </c>
      <c r="E2175" t="s">
        <v>368</v>
      </c>
      <c r="F2175" t="s">
        <v>697</v>
      </c>
      <c r="G2175">
        <v>36000</v>
      </c>
      <c r="H2175">
        <v>35000</v>
      </c>
    </row>
    <row r="2176" spans="2:8" x14ac:dyDescent="0.25">
      <c r="B2176" t="str">
        <f t="shared" si="33"/>
        <v>CYPPopulation ages 15-19, male</v>
      </c>
      <c r="C2176" t="s">
        <v>468</v>
      </c>
      <c r="D2176" t="s">
        <v>32</v>
      </c>
      <c r="E2176" t="s">
        <v>369</v>
      </c>
      <c r="F2176" t="s">
        <v>698</v>
      </c>
      <c r="G2176">
        <v>39000</v>
      </c>
      <c r="H2176">
        <v>38000</v>
      </c>
    </row>
    <row r="2177" spans="2:8" x14ac:dyDescent="0.25">
      <c r="B2177" t="str">
        <f t="shared" si="33"/>
        <v>CYPPopulation ages 20-24, female</v>
      </c>
      <c r="C2177" t="s">
        <v>468</v>
      </c>
      <c r="D2177" t="s">
        <v>32</v>
      </c>
      <c r="E2177" t="s">
        <v>370</v>
      </c>
      <c r="F2177" t="s">
        <v>699</v>
      </c>
      <c r="G2177">
        <v>44000</v>
      </c>
      <c r="H2177">
        <v>44000</v>
      </c>
    </row>
    <row r="2178" spans="2:8" x14ac:dyDescent="0.25">
      <c r="B2178" t="str">
        <f t="shared" si="33"/>
        <v>CYPPopulation ages 20-24, male</v>
      </c>
      <c r="C2178" t="s">
        <v>468</v>
      </c>
      <c r="D2178" t="s">
        <v>32</v>
      </c>
      <c r="E2178" t="s">
        <v>371</v>
      </c>
      <c r="F2178" t="s">
        <v>700</v>
      </c>
      <c r="G2178">
        <v>49000</v>
      </c>
      <c r="H2178">
        <v>50000</v>
      </c>
    </row>
    <row r="2179" spans="2:8" x14ac:dyDescent="0.25">
      <c r="B2179" t="str">
        <f t="shared" si="33"/>
        <v>CYPPopulation ages 25-29, female</v>
      </c>
      <c r="C2179" t="s">
        <v>468</v>
      </c>
      <c r="D2179" t="s">
        <v>32</v>
      </c>
      <c r="E2179" t="s">
        <v>372</v>
      </c>
      <c r="F2179" t="s">
        <v>701</v>
      </c>
      <c r="G2179">
        <v>47000</v>
      </c>
      <c r="H2179">
        <v>46000</v>
      </c>
    </row>
    <row r="2180" spans="2:8" x14ac:dyDescent="0.25">
      <c r="B2180" t="str">
        <f t="shared" si="33"/>
        <v>CYPPopulation ages 25-29, male</v>
      </c>
      <c r="C2180" t="s">
        <v>468</v>
      </c>
      <c r="D2180" t="s">
        <v>32</v>
      </c>
      <c r="E2180" t="s">
        <v>373</v>
      </c>
      <c r="F2180" t="s">
        <v>702</v>
      </c>
      <c r="G2180">
        <v>53000</v>
      </c>
      <c r="H2180">
        <v>52000</v>
      </c>
    </row>
    <row r="2181" spans="2:8" x14ac:dyDescent="0.25">
      <c r="B2181" t="str">
        <f t="shared" si="33"/>
        <v>CYPPopulation ages 30-34, female</v>
      </c>
      <c r="C2181" t="s">
        <v>468</v>
      </c>
      <c r="D2181" t="s">
        <v>32</v>
      </c>
      <c r="E2181" t="s">
        <v>374</v>
      </c>
      <c r="F2181" t="s">
        <v>703</v>
      </c>
      <c r="G2181">
        <v>47000</v>
      </c>
      <c r="H2181">
        <v>47000</v>
      </c>
    </row>
    <row r="2182" spans="2:8" x14ac:dyDescent="0.25">
      <c r="B2182" t="str">
        <f t="shared" si="33"/>
        <v>CYPPopulation ages 30-34, male</v>
      </c>
      <c r="C2182" t="s">
        <v>468</v>
      </c>
      <c r="D2182" t="s">
        <v>32</v>
      </c>
      <c r="E2182" t="s">
        <v>375</v>
      </c>
      <c r="F2182" t="s">
        <v>704</v>
      </c>
      <c r="G2182">
        <v>50000</v>
      </c>
      <c r="H2182">
        <v>50000</v>
      </c>
    </row>
    <row r="2183" spans="2:8" x14ac:dyDescent="0.25">
      <c r="B2183" t="str">
        <f t="shared" ref="B2183:B2246" si="34">CONCATENATE(D2183,E2183)</f>
        <v>CYPPopulation ages 35-39, female</v>
      </c>
      <c r="C2183" t="s">
        <v>468</v>
      </c>
      <c r="D2183" t="s">
        <v>32</v>
      </c>
      <c r="E2183" t="s">
        <v>376</v>
      </c>
      <c r="F2183" t="s">
        <v>705</v>
      </c>
      <c r="G2183">
        <v>47000</v>
      </c>
      <c r="H2183">
        <v>47000</v>
      </c>
    </row>
    <row r="2184" spans="2:8" x14ac:dyDescent="0.25">
      <c r="B2184" t="str">
        <f t="shared" si="34"/>
        <v>CYPPopulation ages 35-39, male</v>
      </c>
      <c r="C2184" t="s">
        <v>468</v>
      </c>
      <c r="D2184" t="s">
        <v>32</v>
      </c>
      <c r="E2184" t="s">
        <v>377</v>
      </c>
      <c r="F2184" t="s">
        <v>706</v>
      </c>
      <c r="G2184">
        <v>45000</v>
      </c>
      <c r="H2184">
        <v>45000</v>
      </c>
    </row>
    <row r="2185" spans="2:8" x14ac:dyDescent="0.25">
      <c r="B2185" t="str">
        <f t="shared" si="34"/>
        <v>CYPPopulation ages 40-44, female</v>
      </c>
      <c r="C2185" t="s">
        <v>468</v>
      </c>
      <c r="D2185" t="s">
        <v>32</v>
      </c>
      <c r="E2185" t="s">
        <v>378</v>
      </c>
      <c r="F2185" t="s">
        <v>707</v>
      </c>
      <c r="G2185">
        <v>44000</v>
      </c>
      <c r="H2185">
        <v>45000</v>
      </c>
    </row>
    <row r="2186" spans="2:8" x14ac:dyDescent="0.25">
      <c r="B2186" t="str">
        <f t="shared" si="34"/>
        <v>CYPPopulation ages 40-44, male</v>
      </c>
      <c r="C2186" t="s">
        <v>468</v>
      </c>
      <c r="D2186" t="s">
        <v>32</v>
      </c>
      <c r="E2186" t="s">
        <v>379</v>
      </c>
      <c r="F2186" t="s">
        <v>708</v>
      </c>
      <c r="G2186">
        <v>42000</v>
      </c>
      <c r="H2186">
        <v>42000</v>
      </c>
    </row>
    <row r="2187" spans="2:8" x14ac:dyDescent="0.25">
      <c r="B2187" t="str">
        <f t="shared" si="34"/>
        <v>CYPPopulation ages 45-49, female</v>
      </c>
      <c r="C2187" t="s">
        <v>468</v>
      </c>
      <c r="D2187" t="s">
        <v>32</v>
      </c>
      <c r="E2187" t="s">
        <v>380</v>
      </c>
      <c r="F2187" t="s">
        <v>709</v>
      </c>
      <c r="G2187">
        <v>40000</v>
      </c>
      <c r="H2187">
        <v>40000</v>
      </c>
    </row>
    <row r="2188" spans="2:8" x14ac:dyDescent="0.25">
      <c r="B2188" t="str">
        <f t="shared" si="34"/>
        <v>CYPPopulation ages 45-49, male</v>
      </c>
      <c r="C2188" t="s">
        <v>468</v>
      </c>
      <c r="D2188" t="s">
        <v>32</v>
      </c>
      <c r="E2188" t="s">
        <v>381</v>
      </c>
      <c r="F2188" t="s">
        <v>710</v>
      </c>
      <c r="G2188">
        <v>38000</v>
      </c>
      <c r="H2188">
        <v>39000</v>
      </c>
    </row>
    <row r="2189" spans="2:8" x14ac:dyDescent="0.25">
      <c r="B2189" t="str">
        <f t="shared" si="34"/>
        <v>CYPPopulation ages 50-54, female</v>
      </c>
      <c r="C2189" t="s">
        <v>468</v>
      </c>
      <c r="D2189" t="s">
        <v>32</v>
      </c>
      <c r="E2189" t="s">
        <v>382</v>
      </c>
      <c r="F2189" t="s">
        <v>711</v>
      </c>
      <c r="G2189">
        <v>38000</v>
      </c>
      <c r="H2189">
        <v>39000</v>
      </c>
    </row>
    <row r="2190" spans="2:8" x14ac:dyDescent="0.25">
      <c r="B2190" t="str">
        <f t="shared" si="34"/>
        <v>CYPPopulation ages 50-54, male</v>
      </c>
      <c r="C2190" t="s">
        <v>468</v>
      </c>
      <c r="D2190" t="s">
        <v>32</v>
      </c>
      <c r="E2190" t="s">
        <v>383</v>
      </c>
      <c r="F2190" t="s">
        <v>712</v>
      </c>
      <c r="G2190">
        <v>37000</v>
      </c>
      <c r="H2190">
        <v>37000</v>
      </c>
    </row>
    <row r="2191" spans="2:8" x14ac:dyDescent="0.25">
      <c r="B2191" t="str">
        <f t="shared" si="34"/>
        <v>CYPPopulation ages 55-59, male</v>
      </c>
      <c r="C2191" t="s">
        <v>468</v>
      </c>
      <c r="D2191" t="s">
        <v>32</v>
      </c>
      <c r="E2191" t="s">
        <v>385</v>
      </c>
      <c r="F2191" t="s">
        <v>713</v>
      </c>
      <c r="G2191">
        <v>36000</v>
      </c>
      <c r="H2191">
        <v>36000</v>
      </c>
    </row>
    <row r="2192" spans="2:8" x14ac:dyDescent="0.25">
      <c r="B2192" t="str">
        <f t="shared" si="34"/>
        <v>CYPPopulation ages 55-59, female</v>
      </c>
      <c r="C2192" t="s">
        <v>468</v>
      </c>
      <c r="D2192" t="s">
        <v>32</v>
      </c>
      <c r="E2192" t="s">
        <v>384</v>
      </c>
      <c r="F2192" t="s">
        <v>714</v>
      </c>
      <c r="G2192">
        <v>35000</v>
      </c>
      <c r="H2192">
        <v>36000</v>
      </c>
    </row>
    <row r="2193" spans="2:8" x14ac:dyDescent="0.25">
      <c r="B2193" t="str">
        <f t="shared" si="34"/>
        <v>CYPPopulation ages 65-69, male</v>
      </c>
      <c r="C2193" t="s">
        <v>468</v>
      </c>
      <c r="D2193" t="s">
        <v>32</v>
      </c>
      <c r="E2193" t="s">
        <v>389</v>
      </c>
      <c r="F2193" t="s">
        <v>715</v>
      </c>
      <c r="G2193">
        <v>26000</v>
      </c>
      <c r="H2193">
        <v>27000</v>
      </c>
    </row>
    <row r="2194" spans="2:8" x14ac:dyDescent="0.25">
      <c r="B2194" t="str">
        <f t="shared" si="34"/>
        <v>CYPPopulation ages 65-69, female</v>
      </c>
      <c r="C2194" t="s">
        <v>468</v>
      </c>
      <c r="D2194" t="s">
        <v>32</v>
      </c>
      <c r="E2194" t="s">
        <v>388</v>
      </c>
      <c r="F2194" t="s">
        <v>716</v>
      </c>
      <c r="G2194">
        <v>28000</v>
      </c>
      <c r="H2194">
        <v>28000</v>
      </c>
    </row>
    <row r="2195" spans="2:8" x14ac:dyDescent="0.25">
      <c r="B2195" t="str">
        <f t="shared" si="34"/>
        <v>CYPPopulation ages 60-64, female</v>
      </c>
      <c r="C2195" t="s">
        <v>468</v>
      </c>
      <c r="D2195" t="s">
        <v>32</v>
      </c>
      <c r="E2195" t="s">
        <v>386</v>
      </c>
      <c r="F2195" t="s">
        <v>717</v>
      </c>
      <c r="G2195">
        <v>33000</v>
      </c>
      <c r="H2195">
        <v>33000</v>
      </c>
    </row>
    <row r="2196" spans="2:8" x14ac:dyDescent="0.25">
      <c r="B2196" t="str">
        <f t="shared" si="34"/>
        <v>CYPPopulation ages 60-64, male</v>
      </c>
      <c r="C2196" t="s">
        <v>468</v>
      </c>
      <c r="D2196" t="s">
        <v>32</v>
      </c>
      <c r="E2196" t="s">
        <v>387</v>
      </c>
      <c r="F2196" t="s">
        <v>718</v>
      </c>
      <c r="G2196">
        <v>31000</v>
      </c>
      <c r="H2196">
        <v>31000</v>
      </c>
    </row>
    <row r="2197" spans="2:8" x14ac:dyDescent="0.25">
      <c r="B2197" t="str">
        <f t="shared" si="34"/>
        <v>CYPPopulation ages 70-74, female</v>
      </c>
      <c r="C2197" t="s">
        <v>468</v>
      </c>
      <c r="D2197" t="s">
        <v>32</v>
      </c>
      <c r="E2197" t="s">
        <v>390</v>
      </c>
      <c r="F2197" t="s">
        <v>719</v>
      </c>
      <c r="G2197">
        <v>23000</v>
      </c>
      <c r="H2197">
        <v>24000</v>
      </c>
    </row>
    <row r="2198" spans="2:8" x14ac:dyDescent="0.25">
      <c r="B2198" t="str">
        <f t="shared" si="34"/>
        <v>CYPPopulation ages 70-74, male</v>
      </c>
      <c r="C2198" t="s">
        <v>468</v>
      </c>
      <c r="D2198" t="s">
        <v>32</v>
      </c>
      <c r="E2198" t="s">
        <v>391</v>
      </c>
      <c r="F2198" t="s">
        <v>720</v>
      </c>
      <c r="G2198">
        <v>21000</v>
      </c>
      <c r="H2198">
        <v>22000</v>
      </c>
    </row>
    <row r="2199" spans="2:8" x14ac:dyDescent="0.25">
      <c r="B2199" t="str">
        <f t="shared" si="34"/>
        <v>CYPPopulation ages 75-79, female</v>
      </c>
      <c r="C2199" t="s">
        <v>468</v>
      </c>
      <c r="D2199" t="s">
        <v>32</v>
      </c>
      <c r="E2199" t="s">
        <v>392</v>
      </c>
      <c r="F2199" t="s">
        <v>721</v>
      </c>
      <c r="G2199">
        <v>17000</v>
      </c>
      <c r="H2199">
        <v>18000</v>
      </c>
    </row>
    <row r="2200" spans="2:8" x14ac:dyDescent="0.25">
      <c r="B2200" t="str">
        <f t="shared" si="34"/>
        <v>CYPPopulation ages 75-79, male</v>
      </c>
      <c r="C2200" t="s">
        <v>468</v>
      </c>
      <c r="D2200" t="s">
        <v>32</v>
      </c>
      <c r="E2200" t="s">
        <v>393</v>
      </c>
      <c r="F2200" t="s">
        <v>722</v>
      </c>
      <c r="G2200">
        <v>14000</v>
      </c>
      <c r="H2200">
        <v>15000</v>
      </c>
    </row>
    <row r="2201" spans="2:8" x14ac:dyDescent="0.25">
      <c r="B2201" t="str">
        <f t="shared" si="34"/>
        <v>CYPPopulation ages 80 and above, female</v>
      </c>
      <c r="C2201" t="s">
        <v>468</v>
      </c>
      <c r="D2201" t="s">
        <v>32</v>
      </c>
      <c r="E2201" t="s">
        <v>394</v>
      </c>
      <c r="F2201" t="s">
        <v>723</v>
      </c>
      <c r="G2201">
        <v>23000</v>
      </c>
      <c r="H2201">
        <v>24000</v>
      </c>
    </row>
    <row r="2202" spans="2:8" x14ac:dyDescent="0.25">
      <c r="B2202" t="str">
        <f t="shared" si="34"/>
        <v>CYPPopulation ages 80 and above, male</v>
      </c>
      <c r="C2202" t="s">
        <v>468</v>
      </c>
      <c r="D2202" t="s">
        <v>32</v>
      </c>
      <c r="E2202" t="s">
        <v>395</v>
      </c>
      <c r="F2202" t="s">
        <v>724</v>
      </c>
      <c r="G2202">
        <v>15000</v>
      </c>
      <c r="H2202">
        <v>16000</v>
      </c>
    </row>
    <row r="2203" spans="2:8" x14ac:dyDescent="0.25">
      <c r="B2203" t="str">
        <f t="shared" si="34"/>
        <v>CYPPopulation, male</v>
      </c>
      <c r="C2203" t="s">
        <v>468</v>
      </c>
      <c r="D2203" t="s">
        <v>32</v>
      </c>
      <c r="E2203" t="s">
        <v>397</v>
      </c>
      <c r="F2203" t="s">
        <v>725</v>
      </c>
      <c r="G2203">
        <v>599000</v>
      </c>
      <c r="H2203">
        <v>604000</v>
      </c>
    </row>
    <row r="2204" spans="2:8" x14ac:dyDescent="0.25">
      <c r="B2204" t="str">
        <f t="shared" si="34"/>
        <v>CYPPopulation, total</v>
      </c>
      <c r="C2204" t="s">
        <v>468</v>
      </c>
      <c r="D2204" t="s">
        <v>32</v>
      </c>
      <c r="E2204" t="s">
        <v>398</v>
      </c>
      <c r="F2204" t="s">
        <v>726</v>
      </c>
      <c r="G2204">
        <v>1199000</v>
      </c>
      <c r="H2204">
        <v>1207000</v>
      </c>
    </row>
    <row r="2205" spans="2:8" x14ac:dyDescent="0.25">
      <c r="B2205" t="str">
        <f t="shared" si="34"/>
        <v>CYPPopulation, female</v>
      </c>
      <c r="C2205" t="s">
        <v>468</v>
      </c>
      <c r="D2205" t="s">
        <v>32</v>
      </c>
      <c r="E2205" t="s">
        <v>396</v>
      </c>
      <c r="F2205" t="s">
        <v>727</v>
      </c>
      <c r="G2205">
        <v>599000</v>
      </c>
      <c r="H2205">
        <v>604000</v>
      </c>
    </row>
    <row r="2206" spans="2:8" x14ac:dyDescent="0.25">
      <c r="B2206" t="str">
        <f t="shared" si="34"/>
        <v>CYPPopulation growth (annual %)</v>
      </c>
      <c r="C2206" t="s">
        <v>468</v>
      </c>
      <c r="D2206" t="s">
        <v>32</v>
      </c>
      <c r="E2206" t="s">
        <v>399</v>
      </c>
      <c r="F2206" t="s">
        <v>728</v>
      </c>
      <c r="G2206">
        <v>0</v>
      </c>
      <c r="H2206">
        <v>0</v>
      </c>
    </row>
    <row r="2207" spans="2:8" x14ac:dyDescent="0.25">
      <c r="B2207" t="str">
        <f t="shared" si="34"/>
        <v>CZEPopulation ages 0-14, female</v>
      </c>
      <c r="C2207" t="s">
        <v>469</v>
      </c>
      <c r="D2207" t="s">
        <v>33</v>
      </c>
      <c r="E2207" t="s">
        <v>687</v>
      </c>
      <c r="F2207" t="s">
        <v>688</v>
      </c>
      <c r="G2207">
        <v>813000</v>
      </c>
      <c r="H2207">
        <v>815000</v>
      </c>
    </row>
    <row r="2208" spans="2:8" x14ac:dyDescent="0.25">
      <c r="B2208" t="str">
        <f t="shared" si="34"/>
        <v>CZEPopulation ages 0-14, male</v>
      </c>
      <c r="C2208" t="s">
        <v>469</v>
      </c>
      <c r="D2208" t="s">
        <v>33</v>
      </c>
      <c r="E2208" t="s">
        <v>689</v>
      </c>
      <c r="F2208" t="s">
        <v>690</v>
      </c>
      <c r="G2208">
        <v>858000</v>
      </c>
      <c r="H2208">
        <v>860000</v>
      </c>
    </row>
    <row r="2209" spans="2:8" x14ac:dyDescent="0.25">
      <c r="B2209" t="str">
        <f t="shared" si="34"/>
        <v>CZEPopulation ages 00-04, female</v>
      </c>
      <c r="C2209" t="s">
        <v>469</v>
      </c>
      <c r="D2209" t="s">
        <v>33</v>
      </c>
      <c r="E2209" t="s">
        <v>362</v>
      </c>
      <c r="F2209" t="s">
        <v>691</v>
      </c>
      <c r="G2209">
        <v>269000</v>
      </c>
      <c r="H2209">
        <v>270000</v>
      </c>
    </row>
    <row r="2210" spans="2:8" x14ac:dyDescent="0.25">
      <c r="B2210" t="str">
        <f t="shared" si="34"/>
        <v>CZEPopulation ages 00-04, male</v>
      </c>
      <c r="C2210" t="s">
        <v>469</v>
      </c>
      <c r="D2210" t="s">
        <v>33</v>
      </c>
      <c r="E2210" t="s">
        <v>363</v>
      </c>
      <c r="F2210" t="s">
        <v>692</v>
      </c>
      <c r="G2210">
        <v>284000</v>
      </c>
      <c r="H2210">
        <v>285000</v>
      </c>
    </row>
    <row r="2211" spans="2:8" x14ac:dyDescent="0.25">
      <c r="B2211" t="str">
        <f t="shared" si="34"/>
        <v>CZEPopulation ages 05-09, female</v>
      </c>
      <c r="C2211" t="s">
        <v>469</v>
      </c>
      <c r="D2211" t="s">
        <v>33</v>
      </c>
      <c r="E2211" t="s">
        <v>364</v>
      </c>
      <c r="F2211" t="s">
        <v>693</v>
      </c>
      <c r="G2211">
        <v>273000</v>
      </c>
      <c r="H2211">
        <v>268000</v>
      </c>
    </row>
    <row r="2212" spans="2:8" x14ac:dyDescent="0.25">
      <c r="B2212" t="str">
        <f t="shared" si="34"/>
        <v>CZEPopulation ages 05-09, male</v>
      </c>
      <c r="C2212" t="s">
        <v>469</v>
      </c>
      <c r="D2212" t="s">
        <v>33</v>
      </c>
      <c r="E2212" t="s">
        <v>365</v>
      </c>
      <c r="F2212" t="s">
        <v>694</v>
      </c>
      <c r="G2212">
        <v>288000</v>
      </c>
      <c r="H2212">
        <v>283000</v>
      </c>
    </row>
    <row r="2213" spans="2:8" x14ac:dyDescent="0.25">
      <c r="B2213" t="str">
        <f t="shared" si="34"/>
        <v>CZEPopulation ages 10-14, female</v>
      </c>
      <c r="C2213" t="s">
        <v>469</v>
      </c>
      <c r="D2213" t="s">
        <v>33</v>
      </c>
      <c r="E2213" t="s">
        <v>366</v>
      </c>
      <c r="F2213" t="s">
        <v>695</v>
      </c>
      <c r="G2213">
        <v>272000</v>
      </c>
      <c r="H2213">
        <v>277000</v>
      </c>
    </row>
    <row r="2214" spans="2:8" x14ac:dyDescent="0.25">
      <c r="B2214" t="str">
        <f t="shared" si="34"/>
        <v>CZEPopulation ages 10-14, male</v>
      </c>
      <c r="C2214" t="s">
        <v>469</v>
      </c>
      <c r="D2214" t="s">
        <v>33</v>
      </c>
      <c r="E2214" t="s">
        <v>367</v>
      </c>
      <c r="F2214" t="s">
        <v>696</v>
      </c>
      <c r="G2214">
        <v>287000</v>
      </c>
      <c r="H2214">
        <v>292000</v>
      </c>
    </row>
    <row r="2215" spans="2:8" x14ac:dyDescent="0.25">
      <c r="B2215" t="str">
        <f t="shared" si="34"/>
        <v>CZEPopulation ages 15-19, female</v>
      </c>
      <c r="C2215" t="s">
        <v>469</v>
      </c>
      <c r="D2215" t="s">
        <v>33</v>
      </c>
      <c r="E2215" t="s">
        <v>368</v>
      </c>
      <c r="F2215" t="s">
        <v>697</v>
      </c>
      <c r="G2215">
        <v>229000</v>
      </c>
      <c r="H2215">
        <v>236000</v>
      </c>
    </row>
    <row r="2216" spans="2:8" x14ac:dyDescent="0.25">
      <c r="B2216" t="str">
        <f t="shared" si="34"/>
        <v>CZEPopulation ages 15-19, male</v>
      </c>
      <c r="C2216" t="s">
        <v>469</v>
      </c>
      <c r="D2216" t="s">
        <v>33</v>
      </c>
      <c r="E2216" t="s">
        <v>369</v>
      </c>
      <c r="F2216" t="s">
        <v>698</v>
      </c>
      <c r="G2216">
        <v>241000</v>
      </c>
      <c r="H2216">
        <v>248000</v>
      </c>
    </row>
    <row r="2217" spans="2:8" x14ac:dyDescent="0.25">
      <c r="B2217" t="str">
        <f t="shared" si="34"/>
        <v>CZEPopulation ages 20-24, female</v>
      </c>
      <c r="C2217" t="s">
        <v>469</v>
      </c>
      <c r="D2217" t="s">
        <v>33</v>
      </c>
      <c r="E2217" t="s">
        <v>370</v>
      </c>
      <c r="F2217" t="s">
        <v>699</v>
      </c>
      <c r="G2217">
        <v>238000</v>
      </c>
      <c r="H2217">
        <v>229000</v>
      </c>
    </row>
    <row r="2218" spans="2:8" x14ac:dyDescent="0.25">
      <c r="B2218" t="str">
        <f t="shared" si="34"/>
        <v>CZEPopulation ages 20-24, male</v>
      </c>
      <c r="C2218" t="s">
        <v>469</v>
      </c>
      <c r="D2218" t="s">
        <v>33</v>
      </c>
      <c r="E2218" t="s">
        <v>371</v>
      </c>
      <c r="F2218" t="s">
        <v>700</v>
      </c>
      <c r="G2218">
        <v>249000</v>
      </c>
      <c r="H2218">
        <v>239000</v>
      </c>
    </row>
    <row r="2219" spans="2:8" x14ac:dyDescent="0.25">
      <c r="B2219" t="str">
        <f t="shared" si="34"/>
        <v>CZEPopulation ages 25-29, female</v>
      </c>
      <c r="C2219" t="s">
        <v>469</v>
      </c>
      <c r="D2219" t="s">
        <v>33</v>
      </c>
      <c r="E2219" t="s">
        <v>372</v>
      </c>
      <c r="F2219" t="s">
        <v>701</v>
      </c>
      <c r="G2219">
        <v>319000</v>
      </c>
      <c r="H2219">
        <v>308000</v>
      </c>
    </row>
    <row r="2220" spans="2:8" x14ac:dyDescent="0.25">
      <c r="B2220" t="str">
        <f t="shared" si="34"/>
        <v>CZEPopulation ages 25-29, male</v>
      </c>
      <c r="C2220" t="s">
        <v>469</v>
      </c>
      <c r="D2220" t="s">
        <v>33</v>
      </c>
      <c r="E2220" t="s">
        <v>373</v>
      </c>
      <c r="F2220" t="s">
        <v>702</v>
      </c>
      <c r="G2220">
        <v>333000</v>
      </c>
      <c r="H2220">
        <v>321000</v>
      </c>
    </row>
    <row r="2221" spans="2:8" x14ac:dyDescent="0.25">
      <c r="B2221" t="str">
        <f t="shared" si="34"/>
        <v>CZEPopulation ages 30-34, female</v>
      </c>
      <c r="C2221" t="s">
        <v>469</v>
      </c>
      <c r="D2221" t="s">
        <v>33</v>
      </c>
      <c r="E2221" t="s">
        <v>374</v>
      </c>
      <c r="F2221" t="s">
        <v>703</v>
      </c>
      <c r="G2221">
        <v>349000</v>
      </c>
      <c r="H2221">
        <v>346000</v>
      </c>
    </row>
    <row r="2222" spans="2:8" x14ac:dyDescent="0.25">
      <c r="B2222" t="str">
        <f t="shared" si="34"/>
        <v>CZEPopulation ages 30-34, male</v>
      </c>
      <c r="C2222" t="s">
        <v>469</v>
      </c>
      <c r="D2222" t="s">
        <v>33</v>
      </c>
      <c r="E2222" t="s">
        <v>375</v>
      </c>
      <c r="F2222" t="s">
        <v>704</v>
      </c>
      <c r="G2222">
        <v>369000</v>
      </c>
      <c r="H2222">
        <v>365000</v>
      </c>
    </row>
    <row r="2223" spans="2:8" x14ac:dyDescent="0.25">
      <c r="B2223" t="str">
        <f t="shared" si="34"/>
        <v>CZEPopulation ages 35-39, female</v>
      </c>
      <c r="C2223" t="s">
        <v>469</v>
      </c>
      <c r="D2223" t="s">
        <v>33</v>
      </c>
      <c r="E2223" t="s">
        <v>376</v>
      </c>
      <c r="F2223" t="s">
        <v>705</v>
      </c>
      <c r="G2223">
        <v>380000</v>
      </c>
      <c r="H2223">
        <v>366000</v>
      </c>
    </row>
    <row r="2224" spans="2:8" x14ac:dyDescent="0.25">
      <c r="B2224" t="str">
        <f t="shared" si="34"/>
        <v>CZEPopulation ages 35-39, male</v>
      </c>
      <c r="C2224" t="s">
        <v>469</v>
      </c>
      <c r="D2224" t="s">
        <v>33</v>
      </c>
      <c r="E2224" t="s">
        <v>377</v>
      </c>
      <c r="F2224" t="s">
        <v>706</v>
      </c>
      <c r="G2224">
        <v>404000</v>
      </c>
      <c r="H2224">
        <v>389000</v>
      </c>
    </row>
    <row r="2225" spans="2:8" x14ac:dyDescent="0.25">
      <c r="B2225" t="str">
        <f t="shared" si="34"/>
        <v>CZEPopulation ages 40-44, female</v>
      </c>
      <c r="C2225" t="s">
        <v>469</v>
      </c>
      <c r="D2225" t="s">
        <v>33</v>
      </c>
      <c r="E2225" t="s">
        <v>378</v>
      </c>
      <c r="F2225" t="s">
        <v>707</v>
      </c>
      <c r="G2225">
        <v>454000</v>
      </c>
      <c r="H2225">
        <v>450000</v>
      </c>
    </row>
    <row r="2226" spans="2:8" x14ac:dyDescent="0.25">
      <c r="B2226" t="str">
        <f t="shared" si="34"/>
        <v>CZEPopulation ages 40-44, male</v>
      </c>
      <c r="C2226" t="s">
        <v>469</v>
      </c>
      <c r="D2226" t="s">
        <v>33</v>
      </c>
      <c r="E2226" t="s">
        <v>379</v>
      </c>
      <c r="F2226" t="s">
        <v>708</v>
      </c>
      <c r="G2226">
        <v>479000</v>
      </c>
      <c r="H2226">
        <v>474000</v>
      </c>
    </row>
    <row r="2227" spans="2:8" x14ac:dyDescent="0.25">
      <c r="B2227" t="str">
        <f t="shared" si="34"/>
        <v>CZEPopulation ages 45-49, female</v>
      </c>
      <c r="C2227" t="s">
        <v>469</v>
      </c>
      <c r="D2227" t="s">
        <v>33</v>
      </c>
      <c r="E2227" t="s">
        <v>380</v>
      </c>
      <c r="F2227" t="s">
        <v>709</v>
      </c>
      <c r="G2227">
        <v>406000</v>
      </c>
      <c r="H2227">
        <v>421000</v>
      </c>
    </row>
    <row r="2228" spans="2:8" x14ac:dyDescent="0.25">
      <c r="B2228" t="str">
        <f t="shared" si="34"/>
        <v>CZEPopulation ages 45-49, male</v>
      </c>
      <c r="C2228" t="s">
        <v>469</v>
      </c>
      <c r="D2228" t="s">
        <v>33</v>
      </c>
      <c r="E2228" t="s">
        <v>381</v>
      </c>
      <c r="F2228" t="s">
        <v>710</v>
      </c>
      <c r="G2228">
        <v>425000</v>
      </c>
      <c r="H2228">
        <v>441000</v>
      </c>
    </row>
    <row r="2229" spans="2:8" x14ac:dyDescent="0.25">
      <c r="B2229" t="str">
        <f t="shared" si="34"/>
        <v>CZEPopulation ages 50-54, female</v>
      </c>
      <c r="C2229" t="s">
        <v>469</v>
      </c>
      <c r="D2229" t="s">
        <v>33</v>
      </c>
      <c r="E2229" t="s">
        <v>382</v>
      </c>
      <c r="F2229" t="s">
        <v>711</v>
      </c>
      <c r="G2229">
        <v>331000</v>
      </c>
      <c r="H2229">
        <v>338000</v>
      </c>
    </row>
    <row r="2230" spans="2:8" x14ac:dyDescent="0.25">
      <c r="B2230" t="str">
        <f t="shared" si="34"/>
        <v>CZEPopulation ages 50-54, male</v>
      </c>
      <c r="C2230" t="s">
        <v>469</v>
      </c>
      <c r="D2230" t="s">
        <v>33</v>
      </c>
      <c r="E2230" t="s">
        <v>383</v>
      </c>
      <c r="F2230" t="s">
        <v>712</v>
      </c>
      <c r="G2230">
        <v>342000</v>
      </c>
      <c r="H2230">
        <v>351000</v>
      </c>
    </row>
    <row r="2231" spans="2:8" x14ac:dyDescent="0.25">
      <c r="B2231" t="str">
        <f t="shared" si="34"/>
        <v>CZEPopulation ages 55-59, male</v>
      </c>
      <c r="C2231" t="s">
        <v>469</v>
      </c>
      <c r="D2231" t="s">
        <v>33</v>
      </c>
      <c r="E2231" t="s">
        <v>385</v>
      </c>
      <c r="F2231" t="s">
        <v>713</v>
      </c>
      <c r="G2231">
        <v>326000</v>
      </c>
      <c r="H2231">
        <v>327000</v>
      </c>
    </row>
    <row r="2232" spans="2:8" x14ac:dyDescent="0.25">
      <c r="B2232" t="str">
        <f t="shared" si="34"/>
        <v>CZEPopulation ages 55-59, female</v>
      </c>
      <c r="C2232" t="s">
        <v>469</v>
      </c>
      <c r="D2232" t="s">
        <v>33</v>
      </c>
      <c r="E2232" t="s">
        <v>384</v>
      </c>
      <c r="F2232" t="s">
        <v>714</v>
      </c>
      <c r="G2232">
        <v>327000</v>
      </c>
      <c r="H2232">
        <v>326000</v>
      </c>
    </row>
    <row r="2233" spans="2:8" x14ac:dyDescent="0.25">
      <c r="B2233" t="str">
        <f t="shared" si="34"/>
        <v>CZEPopulation ages 65-69, male</v>
      </c>
      <c r="C2233" t="s">
        <v>469</v>
      </c>
      <c r="D2233" t="s">
        <v>33</v>
      </c>
      <c r="E2233" t="s">
        <v>389</v>
      </c>
      <c r="F2233" t="s">
        <v>715</v>
      </c>
      <c r="G2233">
        <v>318000</v>
      </c>
      <c r="H2233">
        <v>315000</v>
      </c>
    </row>
    <row r="2234" spans="2:8" x14ac:dyDescent="0.25">
      <c r="B2234" t="str">
        <f t="shared" si="34"/>
        <v>CZEPopulation ages 65-69, female</v>
      </c>
      <c r="C2234" t="s">
        <v>469</v>
      </c>
      <c r="D2234" t="s">
        <v>33</v>
      </c>
      <c r="E2234" t="s">
        <v>388</v>
      </c>
      <c r="F2234" t="s">
        <v>716</v>
      </c>
      <c r="G2234">
        <v>367000</v>
      </c>
      <c r="H2234">
        <v>361000</v>
      </c>
    </row>
    <row r="2235" spans="2:8" x14ac:dyDescent="0.25">
      <c r="B2235" t="str">
        <f t="shared" si="34"/>
        <v>CZEPopulation ages 60-64, female</v>
      </c>
      <c r="C2235" t="s">
        <v>469</v>
      </c>
      <c r="D2235" t="s">
        <v>33</v>
      </c>
      <c r="E2235" t="s">
        <v>386</v>
      </c>
      <c r="F2235" t="s">
        <v>717</v>
      </c>
      <c r="G2235">
        <v>336000</v>
      </c>
      <c r="H2235">
        <v>328000</v>
      </c>
    </row>
    <row r="2236" spans="2:8" x14ac:dyDescent="0.25">
      <c r="B2236" t="str">
        <f t="shared" si="34"/>
        <v>CZEPopulation ages 60-64, male</v>
      </c>
      <c r="C2236" t="s">
        <v>469</v>
      </c>
      <c r="D2236" t="s">
        <v>33</v>
      </c>
      <c r="E2236" t="s">
        <v>387</v>
      </c>
      <c r="F2236" t="s">
        <v>718</v>
      </c>
      <c r="G2236">
        <v>316000</v>
      </c>
      <c r="H2236">
        <v>311000</v>
      </c>
    </row>
    <row r="2237" spans="2:8" x14ac:dyDescent="0.25">
      <c r="B2237" t="str">
        <f t="shared" si="34"/>
        <v>CZEPopulation ages 70-74, female</v>
      </c>
      <c r="C2237" t="s">
        <v>469</v>
      </c>
      <c r="D2237" t="s">
        <v>33</v>
      </c>
      <c r="E2237" t="s">
        <v>390</v>
      </c>
      <c r="F2237" t="s">
        <v>719</v>
      </c>
      <c r="G2237">
        <v>331000</v>
      </c>
      <c r="H2237">
        <v>340000</v>
      </c>
    </row>
    <row r="2238" spans="2:8" x14ac:dyDescent="0.25">
      <c r="B2238" t="str">
        <f t="shared" si="34"/>
        <v>CZEPopulation ages 70-74, male</v>
      </c>
      <c r="C2238" t="s">
        <v>469</v>
      </c>
      <c r="D2238" t="s">
        <v>33</v>
      </c>
      <c r="E2238" t="s">
        <v>391</v>
      </c>
      <c r="F2238" t="s">
        <v>720</v>
      </c>
      <c r="G2238">
        <v>261000</v>
      </c>
      <c r="H2238">
        <v>269000</v>
      </c>
    </row>
    <row r="2239" spans="2:8" x14ac:dyDescent="0.25">
      <c r="B2239" t="str">
        <f t="shared" si="34"/>
        <v>CZEPopulation ages 75-79, female</v>
      </c>
      <c r="C2239" t="s">
        <v>469</v>
      </c>
      <c r="D2239" t="s">
        <v>33</v>
      </c>
      <c r="E2239" t="s">
        <v>392</v>
      </c>
      <c r="F2239" t="s">
        <v>721</v>
      </c>
      <c r="G2239">
        <v>230000</v>
      </c>
      <c r="H2239">
        <v>244000</v>
      </c>
    </row>
    <row r="2240" spans="2:8" x14ac:dyDescent="0.25">
      <c r="B2240" t="str">
        <f t="shared" si="34"/>
        <v>CZEPopulation ages 75-79, male</v>
      </c>
      <c r="C2240" t="s">
        <v>469</v>
      </c>
      <c r="D2240" t="s">
        <v>33</v>
      </c>
      <c r="E2240" t="s">
        <v>393</v>
      </c>
      <c r="F2240" t="s">
        <v>722</v>
      </c>
      <c r="G2240">
        <v>160000</v>
      </c>
      <c r="H2240">
        <v>171000</v>
      </c>
    </row>
    <row r="2241" spans="2:8" x14ac:dyDescent="0.25">
      <c r="B2241" t="str">
        <f t="shared" si="34"/>
        <v>CZEPopulation ages 80 and above, female</v>
      </c>
      <c r="C2241" t="s">
        <v>469</v>
      </c>
      <c r="D2241" t="s">
        <v>33</v>
      </c>
      <c r="E2241" t="s">
        <v>394</v>
      </c>
      <c r="F2241" t="s">
        <v>723</v>
      </c>
      <c r="G2241">
        <v>288000</v>
      </c>
      <c r="H2241">
        <v>290000</v>
      </c>
    </row>
    <row r="2242" spans="2:8" x14ac:dyDescent="0.25">
      <c r="B2242" t="str">
        <f t="shared" si="34"/>
        <v>CZEPopulation ages 80 and above, male</v>
      </c>
      <c r="C2242" t="s">
        <v>469</v>
      </c>
      <c r="D2242" t="s">
        <v>33</v>
      </c>
      <c r="E2242" t="s">
        <v>395</v>
      </c>
      <c r="F2242" t="s">
        <v>724</v>
      </c>
      <c r="G2242">
        <v>150000</v>
      </c>
      <c r="H2242">
        <v>152000</v>
      </c>
    </row>
    <row r="2243" spans="2:8" x14ac:dyDescent="0.25">
      <c r="B2243" t="str">
        <f t="shared" si="34"/>
        <v>CZEPopulation, male</v>
      </c>
      <c r="C2243" t="s">
        <v>469</v>
      </c>
      <c r="D2243" t="s">
        <v>33</v>
      </c>
      <c r="E2243" t="s">
        <v>397</v>
      </c>
      <c r="F2243" t="s">
        <v>725</v>
      </c>
      <c r="G2243">
        <v>5231000</v>
      </c>
      <c r="H2243">
        <v>5234000</v>
      </c>
    </row>
    <row r="2244" spans="2:8" x14ac:dyDescent="0.25">
      <c r="B2244" t="str">
        <f t="shared" si="34"/>
        <v>CZEPopulation, total</v>
      </c>
      <c r="C2244" t="s">
        <v>469</v>
      </c>
      <c r="D2244" t="s">
        <v>33</v>
      </c>
      <c r="E2244" t="s">
        <v>398</v>
      </c>
      <c r="F2244" t="s">
        <v>726</v>
      </c>
      <c r="G2244">
        <v>10629000</v>
      </c>
      <c r="H2244">
        <v>10631000</v>
      </c>
    </row>
    <row r="2245" spans="2:8" x14ac:dyDescent="0.25">
      <c r="B2245" t="str">
        <f t="shared" si="34"/>
        <v>CZEPopulation, female</v>
      </c>
      <c r="C2245" t="s">
        <v>469</v>
      </c>
      <c r="D2245" t="s">
        <v>33</v>
      </c>
      <c r="E2245" t="s">
        <v>396</v>
      </c>
      <c r="F2245" t="s">
        <v>727</v>
      </c>
      <c r="G2245">
        <v>5398000</v>
      </c>
      <c r="H2245">
        <v>5397000</v>
      </c>
    </row>
    <row r="2246" spans="2:8" x14ac:dyDescent="0.25">
      <c r="B2246" t="str">
        <f t="shared" si="34"/>
        <v>CZEPopulation growth (annual %)</v>
      </c>
      <c r="C2246" t="s">
        <v>469</v>
      </c>
      <c r="D2246" t="s">
        <v>33</v>
      </c>
      <c r="E2246" t="s">
        <v>399</v>
      </c>
      <c r="F2246" t="s">
        <v>728</v>
      </c>
      <c r="G2246">
        <v>0</v>
      </c>
      <c r="H2246">
        <v>0</v>
      </c>
    </row>
    <row r="2247" spans="2:8" x14ac:dyDescent="0.25">
      <c r="B2247" t="str">
        <f t="shared" ref="B2247:B2310" si="35">CONCATENATE(D2247,E2247)</f>
        <v>DNKPopulation ages 0-14, female</v>
      </c>
      <c r="C2247" t="s">
        <v>470</v>
      </c>
      <c r="D2247" t="s">
        <v>36</v>
      </c>
      <c r="E2247" t="s">
        <v>687</v>
      </c>
      <c r="F2247" t="s">
        <v>688</v>
      </c>
      <c r="G2247">
        <v>464000</v>
      </c>
      <c r="H2247">
        <v>463000</v>
      </c>
    </row>
    <row r="2248" spans="2:8" x14ac:dyDescent="0.25">
      <c r="B2248" t="str">
        <f t="shared" si="35"/>
        <v>DNKPopulation ages 0-14, male</v>
      </c>
      <c r="C2248" t="s">
        <v>470</v>
      </c>
      <c r="D2248" t="s">
        <v>36</v>
      </c>
      <c r="E2248" t="s">
        <v>689</v>
      </c>
      <c r="F2248" t="s">
        <v>690</v>
      </c>
      <c r="G2248">
        <v>490000</v>
      </c>
      <c r="H2248">
        <v>488000</v>
      </c>
    </row>
    <row r="2249" spans="2:8" x14ac:dyDescent="0.25">
      <c r="B2249" t="str">
        <f t="shared" si="35"/>
        <v>DNKPopulation ages 00-04, female</v>
      </c>
      <c r="C2249" t="s">
        <v>470</v>
      </c>
      <c r="D2249" t="s">
        <v>36</v>
      </c>
      <c r="E2249" t="s">
        <v>362</v>
      </c>
      <c r="F2249" t="s">
        <v>691</v>
      </c>
      <c r="G2249">
        <v>148000</v>
      </c>
      <c r="H2249">
        <v>151000</v>
      </c>
    </row>
    <row r="2250" spans="2:8" x14ac:dyDescent="0.25">
      <c r="B2250" t="str">
        <f t="shared" si="35"/>
        <v>DNKPopulation ages 00-04, male</v>
      </c>
      <c r="C2250" t="s">
        <v>470</v>
      </c>
      <c r="D2250" t="s">
        <v>36</v>
      </c>
      <c r="E2250" t="s">
        <v>363</v>
      </c>
      <c r="F2250" t="s">
        <v>692</v>
      </c>
      <c r="G2250">
        <v>156000</v>
      </c>
      <c r="H2250">
        <v>160000</v>
      </c>
    </row>
    <row r="2251" spans="2:8" x14ac:dyDescent="0.25">
      <c r="B2251" t="str">
        <f t="shared" si="35"/>
        <v>DNKPopulation ages 05-09, female</v>
      </c>
      <c r="C2251" t="s">
        <v>470</v>
      </c>
      <c r="D2251" t="s">
        <v>36</v>
      </c>
      <c r="E2251" t="s">
        <v>364</v>
      </c>
      <c r="F2251" t="s">
        <v>693</v>
      </c>
      <c r="G2251">
        <v>150000</v>
      </c>
      <c r="H2251">
        <v>146000</v>
      </c>
    </row>
    <row r="2252" spans="2:8" x14ac:dyDescent="0.25">
      <c r="B2252" t="str">
        <f t="shared" si="35"/>
        <v>DNKPopulation ages 05-09, male</v>
      </c>
      <c r="C2252" t="s">
        <v>470</v>
      </c>
      <c r="D2252" t="s">
        <v>36</v>
      </c>
      <c r="E2252" t="s">
        <v>365</v>
      </c>
      <c r="F2252" t="s">
        <v>694</v>
      </c>
      <c r="G2252">
        <v>158000</v>
      </c>
      <c r="H2252">
        <v>154000</v>
      </c>
    </row>
    <row r="2253" spans="2:8" x14ac:dyDescent="0.25">
      <c r="B2253" t="str">
        <f t="shared" si="35"/>
        <v>DNKPopulation ages 10-14, female</v>
      </c>
      <c r="C2253" t="s">
        <v>470</v>
      </c>
      <c r="D2253" t="s">
        <v>36</v>
      </c>
      <c r="E2253" t="s">
        <v>366</v>
      </c>
      <c r="F2253" t="s">
        <v>695</v>
      </c>
      <c r="G2253">
        <v>166000</v>
      </c>
      <c r="H2253">
        <v>165000</v>
      </c>
    </row>
    <row r="2254" spans="2:8" x14ac:dyDescent="0.25">
      <c r="B2254" t="str">
        <f t="shared" si="35"/>
        <v>DNKPopulation ages 10-14, male</v>
      </c>
      <c r="C2254" t="s">
        <v>470</v>
      </c>
      <c r="D2254" t="s">
        <v>36</v>
      </c>
      <c r="E2254" t="s">
        <v>367</v>
      </c>
      <c r="F2254" t="s">
        <v>696</v>
      </c>
      <c r="G2254">
        <v>175000</v>
      </c>
      <c r="H2254">
        <v>175000</v>
      </c>
    </row>
    <row r="2255" spans="2:8" x14ac:dyDescent="0.25">
      <c r="B2255" t="str">
        <f t="shared" si="35"/>
        <v>DNKPopulation ages 15-19, female</v>
      </c>
      <c r="C2255" t="s">
        <v>470</v>
      </c>
      <c r="D2255" t="s">
        <v>36</v>
      </c>
      <c r="E2255" t="s">
        <v>368</v>
      </c>
      <c r="F2255" t="s">
        <v>697</v>
      </c>
      <c r="G2255">
        <v>168000</v>
      </c>
      <c r="H2255">
        <v>168000</v>
      </c>
    </row>
    <row r="2256" spans="2:8" x14ac:dyDescent="0.25">
      <c r="B2256" t="str">
        <f t="shared" si="35"/>
        <v>DNKPopulation ages 15-19, male</v>
      </c>
      <c r="C2256" t="s">
        <v>470</v>
      </c>
      <c r="D2256" t="s">
        <v>36</v>
      </c>
      <c r="E2256" t="s">
        <v>369</v>
      </c>
      <c r="F2256" t="s">
        <v>698</v>
      </c>
      <c r="G2256">
        <v>175000</v>
      </c>
      <c r="H2256">
        <v>174000</v>
      </c>
    </row>
    <row r="2257" spans="2:8" x14ac:dyDescent="0.25">
      <c r="B2257" t="str">
        <f t="shared" si="35"/>
        <v>DNKPopulation ages 20-24, female</v>
      </c>
      <c r="C2257" t="s">
        <v>470</v>
      </c>
      <c r="D2257" t="s">
        <v>36</v>
      </c>
      <c r="E2257" t="s">
        <v>370</v>
      </c>
      <c r="F2257" t="s">
        <v>699</v>
      </c>
      <c r="G2257">
        <v>186000</v>
      </c>
      <c r="H2257">
        <v>184000</v>
      </c>
    </row>
    <row r="2258" spans="2:8" x14ac:dyDescent="0.25">
      <c r="B2258" t="str">
        <f t="shared" si="35"/>
        <v>DNKPopulation ages 20-24, male</v>
      </c>
      <c r="C2258" t="s">
        <v>470</v>
      </c>
      <c r="D2258" t="s">
        <v>36</v>
      </c>
      <c r="E2258" t="s">
        <v>371</v>
      </c>
      <c r="F2258" t="s">
        <v>700</v>
      </c>
      <c r="G2258">
        <v>196000</v>
      </c>
      <c r="H2258">
        <v>193000</v>
      </c>
    </row>
    <row r="2259" spans="2:8" x14ac:dyDescent="0.25">
      <c r="B2259" t="str">
        <f t="shared" si="35"/>
        <v>DNKPopulation ages 25-29, female</v>
      </c>
      <c r="C2259" t="s">
        <v>470</v>
      </c>
      <c r="D2259" t="s">
        <v>36</v>
      </c>
      <c r="E2259" t="s">
        <v>372</v>
      </c>
      <c r="F2259" t="s">
        <v>701</v>
      </c>
      <c r="G2259">
        <v>195000</v>
      </c>
      <c r="H2259">
        <v>198000</v>
      </c>
    </row>
    <row r="2260" spans="2:8" x14ac:dyDescent="0.25">
      <c r="B2260" t="str">
        <f t="shared" si="35"/>
        <v>DNKPopulation ages 25-29, male</v>
      </c>
      <c r="C2260" t="s">
        <v>470</v>
      </c>
      <c r="D2260" t="s">
        <v>36</v>
      </c>
      <c r="E2260" t="s">
        <v>373</v>
      </c>
      <c r="F2260" t="s">
        <v>702</v>
      </c>
      <c r="G2260">
        <v>204000</v>
      </c>
      <c r="H2260">
        <v>207000</v>
      </c>
    </row>
    <row r="2261" spans="2:8" x14ac:dyDescent="0.25">
      <c r="B2261" t="str">
        <f t="shared" si="35"/>
        <v>DNKPopulation ages 30-34, female</v>
      </c>
      <c r="C2261" t="s">
        <v>470</v>
      </c>
      <c r="D2261" t="s">
        <v>36</v>
      </c>
      <c r="E2261" t="s">
        <v>374</v>
      </c>
      <c r="F2261" t="s">
        <v>703</v>
      </c>
      <c r="G2261">
        <v>170000</v>
      </c>
      <c r="H2261">
        <v>176000</v>
      </c>
    </row>
    <row r="2262" spans="2:8" x14ac:dyDescent="0.25">
      <c r="B2262" t="str">
        <f t="shared" si="35"/>
        <v>DNKPopulation ages 30-34, male</v>
      </c>
      <c r="C2262" t="s">
        <v>470</v>
      </c>
      <c r="D2262" t="s">
        <v>36</v>
      </c>
      <c r="E2262" t="s">
        <v>375</v>
      </c>
      <c r="F2262" t="s">
        <v>704</v>
      </c>
      <c r="G2262">
        <v>176000</v>
      </c>
      <c r="H2262">
        <v>182000</v>
      </c>
    </row>
    <row r="2263" spans="2:8" x14ac:dyDescent="0.25">
      <c r="B2263" t="str">
        <f t="shared" si="35"/>
        <v>DNKPopulation ages 35-39, female</v>
      </c>
      <c r="C2263" t="s">
        <v>470</v>
      </c>
      <c r="D2263" t="s">
        <v>36</v>
      </c>
      <c r="E2263" t="s">
        <v>376</v>
      </c>
      <c r="F2263" t="s">
        <v>705</v>
      </c>
      <c r="G2263">
        <v>161000</v>
      </c>
      <c r="H2263">
        <v>159000</v>
      </c>
    </row>
    <row r="2264" spans="2:8" x14ac:dyDescent="0.25">
      <c r="B2264" t="str">
        <f t="shared" si="35"/>
        <v>DNKPopulation ages 35-39, male</v>
      </c>
      <c r="C2264" t="s">
        <v>470</v>
      </c>
      <c r="D2264" t="s">
        <v>36</v>
      </c>
      <c r="E2264" t="s">
        <v>377</v>
      </c>
      <c r="F2264" t="s">
        <v>706</v>
      </c>
      <c r="G2264">
        <v>162000</v>
      </c>
      <c r="H2264">
        <v>161000</v>
      </c>
    </row>
    <row r="2265" spans="2:8" x14ac:dyDescent="0.25">
      <c r="B2265" t="str">
        <f t="shared" si="35"/>
        <v>DNKPopulation ages 40-44, female</v>
      </c>
      <c r="C2265" t="s">
        <v>470</v>
      </c>
      <c r="D2265" t="s">
        <v>36</v>
      </c>
      <c r="E2265" t="s">
        <v>378</v>
      </c>
      <c r="F2265" t="s">
        <v>707</v>
      </c>
      <c r="G2265">
        <v>185000</v>
      </c>
      <c r="H2265">
        <v>182000</v>
      </c>
    </row>
    <row r="2266" spans="2:8" x14ac:dyDescent="0.25">
      <c r="B2266" t="str">
        <f t="shared" si="35"/>
        <v>DNKPopulation ages 40-44, male</v>
      </c>
      <c r="C2266" t="s">
        <v>470</v>
      </c>
      <c r="D2266" t="s">
        <v>36</v>
      </c>
      <c r="E2266" t="s">
        <v>379</v>
      </c>
      <c r="F2266" t="s">
        <v>708</v>
      </c>
      <c r="G2266">
        <v>185000</v>
      </c>
      <c r="H2266">
        <v>182000</v>
      </c>
    </row>
    <row r="2267" spans="2:8" x14ac:dyDescent="0.25">
      <c r="B2267" t="str">
        <f t="shared" si="35"/>
        <v>DNKPopulation ages 45-49, female</v>
      </c>
      <c r="C2267" t="s">
        <v>470</v>
      </c>
      <c r="D2267" t="s">
        <v>36</v>
      </c>
      <c r="E2267" t="s">
        <v>380</v>
      </c>
      <c r="F2267" t="s">
        <v>709</v>
      </c>
      <c r="G2267">
        <v>195000</v>
      </c>
      <c r="H2267">
        <v>191000</v>
      </c>
    </row>
    <row r="2268" spans="2:8" x14ac:dyDescent="0.25">
      <c r="B2268" t="str">
        <f t="shared" si="35"/>
        <v>DNKPopulation ages 45-49, male</v>
      </c>
      <c r="C2268" t="s">
        <v>470</v>
      </c>
      <c r="D2268" t="s">
        <v>36</v>
      </c>
      <c r="E2268" t="s">
        <v>381</v>
      </c>
      <c r="F2268" t="s">
        <v>710</v>
      </c>
      <c r="G2268">
        <v>194000</v>
      </c>
      <c r="H2268">
        <v>189000</v>
      </c>
    </row>
    <row r="2269" spans="2:8" x14ac:dyDescent="0.25">
      <c r="B2269" t="str">
        <f t="shared" si="35"/>
        <v>DNKPopulation ages 50-54, female</v>
      </c>
      <c r="C2269" t="s">
        <v>470</v>
      </c>
      <c r="D2269" t="s">
        <v>36</v>
      </c>
      <c r="E2269" t="s">
        <v>382</v>
      </c>
      <c r="F2269" t="s">
        <v>711</v>
      </c>
      <c r="G2269">
        <v>210000</v>
      </c>
      <c r="H2269">
        <v>210000</v>
      </c>
    </row>
    <row r="2270" spans="2:8" x14ac:dyDescent="0.25">
      <c r="B2270" t="str">
        <f t="shared" si="35"/>
        <v>DNKPopulation ages 50-54, male</v>
      </c>
      <c r="C2270" t="s">
        <v>470</v>
      </c>
      <c r="D2270" t="s">
        <v>36</v>
      </c>
      <c r="E2270" t="s">
        <v>383</v>
      </c>
      <c r="F2270" t="s">
        <v>712</v>
      </c>
      <c r="G2270">
        <v>216000</v>
      </c>
      <c r="H2270">
        <v>216000</v>
      </c>
    </row>
    <row r="2271" spans="2:8" x14ac:dyDescent="0.25">
      <c r="B2271" t="str">
        <f t="shared" si="35"/>
        <v>DNKPopulation ages 55-59, male</v>
      </c>
      <c r="C2271" t="s">
        <v>470</v>
      </c>
      <c r="D2271" t="s">
        <v>36</v>
      </c>
      <c r="E2271" t="s">
        <v>385</v>
      </c>
      <c r="F2271" t="s">
        <v>713</v>
      </c>
      <c r="G2271">
        <v>191000</v>
      </c>
      <c r="H2271">
        <v>195000</v>
      </c>
    </row>
    <row r="2272" spans="2:8" x14ac:dyDescent="0.25">
      <c r="B2272" t="str">
        <f t="shared" si="35"/>
        <v>DNKPopulation ages 55-59, female</v>
      </c>
      <c r="C2272" t="s">
        <v>470</v>
      </c>
      <c r="D2272" t="s">
        <v>36</v>
      </c>
      <c r="E2272" t="s">
        <v>384</v>
      </c>
      <c r="F2272" t="s">
        <v>714</v>
      </c>
      <c r="G2272">
        <v>193000</v>
      </c>
      <c r="H2272">
        <v>196000</v>
      </c>
    </row>
    <row r="2273" spans="2:8" x14ac:dyDescent="0.25">
      <c r="B2273" t="str">
        <f t="shared" si="35"/>
        <v>DNKPopulation ages 65-69, male</v>
      </c>
      <c r="C2273" t="s">
        <v>470</v>
      </c>
      <c r="D2273" t="s">
        <v>36</v>
      </c>
      <c r="E2273" t="s">
        <v>389</v>
      </c>
      <c r="F2273" t="s">
        <v>715</v>
      </c>
      <c r="G2273">
        <v>157000</v>
      </c>
      <c r="H2273">
        <v>151000</v>
      </c>
    </row>
    <row r="2274" spans="2:8" x14ac:dyDescent="0.25">
      <c r="B2274" t="str">
        <f t="shared" si="35"/>
        <v>DNKPopulation ages 65-69, female</v>
      </c>
      <c r="C2274" t="s">
        <v>470</v>
      </c>
      <c r="D2274" t="s">
        <v>36</v>
      </c>
      <c r="E2274" t="s">
        <v>388</v>
      </c>
      <c r="F2274" t="s">
        <v>716</v>
      </c>
      <c r="G2274">
        <v>165000</v>
      </c>
      <c r="H2274">
        <v>160000</v>
      </c>
    </row>
    <row r="2275" spans="2:8" x14ac:dyDescent="0.25">
      <c r="B2275" t="str">
        <f t="shared" si="35"/>
        <v>DNKPopulation ages 60-64, female</v>
      </c>
      <c r="C2275" t="s">
        <v>470</v>
      </c>
      <c r="D2275" t="s">
        <v>36</v>
      </c>
      <c r="E2275" t="s">
        <v>386</v>
      </c>
      <c r="F2275" t="s">
        <v>717</v>
      </c>
      <c r="G2275">
        <v>173000</v>
      </c>
      <c r="H2275">
        <v>177000</v>
      </c>
    </row>
    <row r="2276" spans="2:8" x14ac:dyDescent="0.25">
      <c r="B2276" t="str">
        <f t="shared" si="35"/>
        <v>DNKPopulation ages 60-64, male</v>
      </c>
      <c r="C2276" t="s">
        <v>470</v>
      </c>
      <c r="D2276" t="s">
        <v>36</v>
      </c>
      <c r="E2276" t="s">
        <v>387</v>
      </c>
      <c r="F2276" t="s">
        <v>718</v>
      </c>
      <c r="G2276">
        <v>168000</v>
      </c>
      <c r="H2276">
        <v>172000</v>
      </c>
    </row>
    <row r="2277" spans="2:8" x14ac:dyDescent="0.25">
      <c r="B2277" t="str">
        <f t="shared" si="35"/>
        <v>DNKPopulation ages 70-74, female</v>
      </c>
      <c r="C2277" t="s">
        <v>470</v>
      </c>
      <c r="D2277" t="s">
        <v>36</v>
      </c>
      <c r="E2277" t="s">
        <v>390</v>
      </c>
      <c r="F2277" t="s">
        <v>719</v>
      </c>
      <c r="G2277">
        <v>179000</v>
      </c>
      <c r="H2277">
        <v>181000</v>
      </c>
    </row>
    <row r="2278" spans="2:8" x14ac:dyDescent="0.25">
      <c r="B2278" t="str">
        <f t="shared" si="35"/>
        <v>DNKPopulation ages 70-74, male</v>
      </c>
      <c r="C2278" t="s">
        <v>470</v>
      </c>
      <c r="D2278" t="s">
        <v>36</v>
      </c>
      <c r="E2278" t="s">
        <v>391</v>
      </c>
      <c r="F2278" t="s">
        <v>720</v>
      </c>
      <c r="G2278">
        <v>171000</v>
      </c>
      <c r="H2278">
        <v>173000</v>
      </c>
    </row>
    <row r="2279" spans="2:8" x14ac:dyDescent="0.25">
      <c r="B2279" t="str">
        <f t="shared" si="35"/>
        <v>DNKPopulation ages 75-79, female</v>
      </c>
      <c r="C2279" t="s">
        <v>470</v>
      </c>
      <c r="D2279" t="s">
        <v>36</v>
      </c>
      <c r="E2279" t="s">
        <v>392</v>
      </c>
      <c r="F2279" t="s">
        <v>721</v>
      </c>
      <c r="G2279">
        <v>120000</v>
      </c>
      <c r="H2279">
        <v>127000</v>
      </c>
    </row>
    <row r="2280" spans="2:8" x14ac:dyDescent="0.25">
      <c r="B2280" t="str">
        <f t="shared" si="35"/>
        <v>DNKPopulation ages 75-79, male</v>
      </c>
      <c r="C2280" t="s">
        <v>470</v>
      </c>
      <c r="D2280" t="s">
        <v>36</v>
      </c>
      <c r="E2280" t="s">
        <v>393</v>
      </c>
      <c r="F2280" t="s">
        <v>722</v>
      </c>
      <c r="G2280">
        <v>102000</v>
      </c>
      <c r="H2280">
        <v>110000</v>
      </c>
    </row>
    <row r="2281" spans="2:8" x14ac:dyDescent="0.25">
      <c r="B2281" t="str">
        <f t="shared" si="35"/>
        <v>DNKPopulation ages 80 and above, female</v>
      </c>
      <c r="C2281" t="s">
        <v>470</v>
      </c>
      <c r="D2281" t="s">
        <v>36</v>
      </c>
      <c r="E2281" t="s">
        <v>394</v>
      </c>
      <c r="F2281" t="s">
        <v>723</v>
      </c>
      <c r="G2281">
        <v>162000</v>
      </c>
      <c r="H2281">
        <v>166000</v>
      </c>
    </row>
    <row r="2282" spans="2:8" x14ac:dyDescent="0.25">
      <c r="B2282" t="str">
        <f t="shared" si="35"/>
        <v>DNKPopulation ages 80 and above, male</v>
      </c>
      <c r="C2282" t="s">
        <v>470</v>
      </c>
      <c r="D2282" t="s">
        <v>36</v>
      </c>
      <c r="E2282" t="s">
        <v>395</v>
      </c>
      <c r="F2282" t="s">
        <v>724</v>
      </c>
      <c r="G2282">
        <v>106000</v>
      </c>
      <c r="H2282">
        <v>109000</v>
      </c>
    </row>
    <row r="2283" spans="2:8" x14ac:dyDescent="0.25">
      <c r="B2283" t="str">
        <f t="shared" si="35"/>
        <v>DNKPopulation, male</v>
      </c>
      <c r="C2283" t="s">
        <v>470</v>
      </c>
      <c r="D2283" t="s">
        <v>36</v>
      </c>
      <c r="E2283" t="s">
        <v>397</v>
      </c>
      <c r="F2283" t="s">
        <v>725</v>
      </c>
      <c r="G2283">
        <v>2893000</v>
      </c>
      <c r="H2283">
        <v>2903000</v>
      </c>
    </row>
    <row r="2284" spans="2:8" x14ac:dyDescent="0.25">
      <c r="B2284" t="str">
        <f t="shared" si="35"/>
        <v>DNKPopulation, total</v>
      </c>
      <c r="C2284" t="s">
        <v>470</v>
      </c>
      <c r="D2284" t="s">
        <v>36</v>
      </c>
      <c r="E2284" t="s">
        <v>398</v>
      </c>
      <c r="F2284" t="s">
        <v>726</v>
      </c>
      <c r="G2284">
        <v>5818000</v>
      </c>
      <c r="H2284">
        <v>5840000</v>
      </c>
    </row>
    <row r="2285" spans="2:8" x14ac:dyDescent="0.25">
      <c r="B2285" t="str">
        <f t="shared" si="35"/>
        <v>DNKPopulation, female</v>
      </c>
      <c r="C2285" t="s">
        <v>470</v>
      </c>
      <c r="D2285" t="s">
        <v>36</v>
      </c>
      <c r="E2285" t="s">
        <v>396</v>
      </c>
      <c r="F2285" t="s">
        <v>727</v>
      </c>
      <c r="G2285">
        <v>2925000</v>
      </c>
      <c r="H2285">
        <v>2937000</v>
      </c>
    </row>
    <row r="2286" spans="2:8" x14ac:dyDescent="0.25">
      <c r="B2286" t="str">
        <f t="shared" si="35"/>
        <v>DNKPopulation growth (annual %)</v>
      </c>
      <c r="C2286" t="s">
        <v>470</v>
      </c>
      <c r="D2286" t="s">
        <v>36</v>
      </c>
      <c r="E2286" t="s">
        <v>399</v>
      </c>
      <c r="F2286" t="s">
        <v>728</v>
      </c>
      <c r="G2286">
        <v>0</v>
      </c>
      <c r="H2286">
        <v>0</v>
      </c>
    </row>
    <row r="2287" spans="2:8" x14ac:dyDescent="0.25">
      <c r="B2287" t="str">
        <f t="shared" si="35"/>
        <v>DJIPopulation ages 0-14, female</v>
      </c>
      <c r="C2287" t="s">
        <v>231</v>
      </c>
      <c r="D2287" t="s">
        <v>35</v>
      </c>
      <c r="E2287" t="s">
        <v>687</v>
      </c>
      <c r="F2287" t="s">
        <v>688</v>
      </c>
      <c r="G2287">
        <v>136000</v>
      </c>
      <c r="H2287">
        <v>137000</v>
      </c>
    </row>
    <row r="2288" spans="2:8" x14ac:dyDescent="0.25">
      <c r="B2288" t="str">
        <f t="shared" si="35"/>
        <v>DJIPopulation ages 0-14, male</v>
      </c>
      <c r="C2288" t="s">
        <v>231</v>
      </c>
      <c r="D2288" t="s">
        <v>35</v>
      </c>
      <c r="E2288" t="s">
        <v>689</v>
      </c>
      <c r="F2288" t="s">
        <v>690</v>
      </c>
      <c r="G2288">
        <v>149000</v>
      </c>
      <c r="H2288">
        <v>148000</v>
      </c>
    </row>
    <row r="2289" spans="2:8" x14ac:dyDescent="0.25">
      <c r="B2289" t="str">
        <f t="shared" si="35"/>
        <v>DJIPopulation ages 00-04, female</v>
      </c>
      <c r="C2289" t="s">
        <v>231</v>
      </c>
      <c r="D2289" t="s">
        <v>35</v>
      </c>
      <c r="E2289" t="s">
        <v>362</v>
      </c>
      <c r="F2289" t="s">
        <v>691</v>
      </c>
      <c r="G2289">
        <v>50000</v>
      </c>
      <c r="H2289">
        <v>49000</v>
      </c>
    </row>
    <row r="2290" spans="2:8" x14ac:dyDescent="0.25">
      <c r="B2290" t="str">
        <f t="shared" si="35"/>
        <v>DJIPopulation ages 00-04, male</v>
      </c>
      <c r="C2290" t="s">
        <v>231</v>
      </c>
      <c r="D2290" t="s">
        <v>35</v>
      </c>
      <c r="E2290" t="s">
        <v>363</v>
      </c>
      <c r="F2290" t="s">
        <v>692</v>
      </c>
      <c r="G2290">
        <v>50000</v>
      </c>
      <c r="H2290">
        <v>50000</v>
      </c>
    </row>
    <row r="2291" spans="2:8" x14ac:dyDescent="0.25">
      <c r="B2291" t="str">
        <f t="shared" si="35"/>
        <v>DJIPopulation ages 05-09, female</v>
      </c>
      <c r="C2291" t="s">
        <v>231</v>
      </c>
      <c r="D2291" t="s">
        <v>35</v>
      </c>
      <c r="E2291" t="s">
        <v>364</v>
      </c>
      <c r="F2291" t="s">
        <v>693</v>
      </c>
      <c r="G2291">
        <v>47000</v>
      </c>
      <c r="H2291">
        <v>48000</v>
      </c>
    </row>
    <row r="2292" spans="2:8" x14ac:dyDescent="0.25">
      <c r="B2292" t="str">
        <f t="shared" si="35"/>
        <v>DJIPopulation ages 05-09, male</v>
      </c>
      <c r="C2292" t="s">
        <v>231</v>
      </c>
      <c r="D2292" t="s">
        <v>35</v>
      </c>
      <c r="E2292" t="s">
        <v>365</v>
      </c>
      <c r="F2292" t="s">
        <v>694</v>
      </c>
      <c r="G2292">
        <v>49000</v>
      </c>
      <c r="H2292">
        <v>50000</v>
      </c>
    </row>
    <row r="2293" spans="2:8" x14ac:dyDescent="0.25">
      <c r="B2293" t="str">
        <f t="shared" si="35"/>
        <v>DJIPopulation ages 10-14, female</v>
      </c>
      <c r="C2293" t="s">
        <v>231</v>
      </c>
      <c r="D2293" t="s">
        <v>35</v>
      </c>
      <c r="E2293" t="s">
        <v>366</v>
      </c>
      <c r="F2293" t="s">
        <v>695</v>
      </c>
      <c r="G2293">
        <v>39000</v>
      </c>
      <c r="H2293">
        <v>40000</v>
      </c>
    </row>
    <row r="2294" spans="2:8" x14ac:dyDescent="0.25">
      <c r="B2294" t="str">
        <f t="shared" si="35"/>
        <v>DJIPopulation ages 10-14, male</v>
      </c>
      <c r="C2294" t="s">
        <v>231</v>
      </c>
      <c r="D2294" t="s">
        <v>35</v>
      </c>
      <c r="E2294" t="s">
        <v>367</v>
      </c>
      <c r="F2294" t="s">
        <v>696</v>
      </c>
      <c r="G2294">
        <v>49000</v>
      </c>
      <c r="H2294">
        <v>49000</v>
      </c>
    </row>
    <row r="2295" spans="2:8" x14ac:dyDescent="0.25">
      <c r="B2295" t="str">
        <f t="shared" si="35"/>
        <v>DJIPopulation ages 15-19, female</v>
      </c>
      <c r="C2295" t="s">
        <v>231</v>
      </c>
      <c r="D2295" t="s">
        <v>35</v>
      </c>
      <c r="E2295" t="s">
        <v>368</v>
      </c>
      <c r="F2295" t="s">
        <v>697</v>
      </c>
      <c r="G2295">
        <v>41000</v>
      </c>
      <c r="H2295">
        <v>41000</v>
      </c>
    </row>
    <row r="2296" spans="2:8" x14ac:dyDescent="0.25">
      <c r="B2296" t="str">
        <f t="shared" si="35"/>
        <v>DJIPopulation ages 15-19, male</v>
      </c>
      <c r="C2296" t="s">
        <v>231</v>
      </c>
      <c r="D2296" t="s">
        <v>35</v>
      </c>
      <c r="E2296" t="s">
        <v>369</v>
      </c>
      <c r="F2296" t="s">
        <v>698</v>
      </c>
      <c r="G2296">
        <v>50000</v>
      </c>
      <c r="H2296">
        <v>50000</v>
      </c>
    </row>
    <row r="2297" spans="2:8" x14ac:dyDescent="0.25">
      <c r="B2297" t="str">
        <f t="shared" si="35"/>
        <v>DJIPopulation ages 20-24, female</v>
      </c>
      <c r="C2297" t="s">
        <v>231</v>
      </c>
      <c r="D2297" t="s">
        <v>35</v>
      </c>
      <c r="E2297" t="s">
        <v>370</v>
      </c>
      <c r="F2297" t="s">
        <v>699</v>
      </c>
      <c r="G2297">
        <v>41000</v>
      </c>
      <c r="H2297">
        <v>41000</v>
      </c>
    </row>
    <row r="2298" spans="2:8" x14ac:dyDescent="0.25">
      <c r="B2298" t="str">
        <f t="shared" si="35"/>
        <v>DJIPopulation ages 20-24, male</v>
      </c>
      <c r="C2298" t="s">
        <v>231</v>
      </c>
      <c r="D2298" t="s">
        <v>35</v>
      </c>
      <c r="E2298" t="s">
        <v>371</v>
      </c>
      <c r="F2298" t="s">
        <v>700</v>
      </c>
      <c r="G2298">
        <v>49000</v>
      </c>
      <c r="H2298">
        <v>49000</v>
      </c>
    </row>
    <row r="2299" spans="2:8" x14ac:dyDescent="0.25">
      <c r="B2299" t="str">
        <f t="shared" si="35"/>
        <v>DJIPopulation ages 25-29, female</v>
      </c>
      <c r="C2299" t="s">
        <v>231</v>
      </c>
      <c r="D2299" t="s">
        <v>35</v>
      </c>
      <c r="E2299" t="s">
        <v>372</v>
      </c>
      <c r="F2299" t="s">
        <v>701</v>
      </c>
      <c r="G2299">
        <v>40000</v>
      </c>
      <c r="H2299">
        <v>40000</v>
      </c>
    </row>
    <row r="2300" spans="2:8" x14ac:dyDescent="0.25">
      <c r="B2300" t="str">
        <f t="shared" si="35"/>
        <v>DJIPopulation ages 25-29, male</v>
      </c>
      <c r="C2300" t="s">
        <v>231</v>
      </c>
      <c r="D2300" t="s">
        <v>35</v>
      </c>
      <c r="E2300" t="s">
        <v>373</v>
      </c>
      <c r="F2300" t="s">
        <v>702</v>
      </c>
      <c r="G2300">
        <v>47000</v>
      </c>
      <c r="H2300">
        <v>47000</v>
      </c>
    </row>
    <row r="2301" spans="2:8" x14ac:dyDescent="0.25">
      <c r="B2301" t="str">
        <f t="shared" si="35"/>
        <v>DJIPopulation ages 30-34, female</v>
      </c>
      <c r="C2301" t="s">
        <v>231</v>
      </c>
      <c r="D2301" t="s">
        <v>35</v>
      </c>
      <c r="E2301" t="s">
        <v>374</v>
      </c>
      <c r="F2301" t="s">
        <v>703</v>
      </c>
      <c r="G2301">
        <v>41000</v>
      </c>
      <c r="H2301">
        <v>41000</v>
      </c>
    </row>
    <row r="2302" spans="2:8" x14ac:dyDescent="0.25">
      <c r="B2302" t="str">
        <f t="shared" si="35"/>
        <v>DJIPopulation ages 30-34, male</v>
      </c>
      <c r="C2302" t="s">
        <v>231</v>
      </c>
      <c r="D2302" t="s">
        <v>35</v>
      </c>
      <c r="E2302" t="s">
        <v>375</v>
      </c>
      <c r="F2302" t="s">
        <v>704</v>
      </c>
      <c r="G2302">
        <v>44000</v>
      </c>
      <c r="H2302">
        <v>45000</v>
      </c>
    </row>
    <row r="2303" spans="2:8" x14ac:dyDescent="0.25">
      <c r="B2303" t="str">
        <f t="shared" si="35"/>
        <v>DJIPopulation ages 35-39, female</v>
      </c>
      <c r="C2303" t="s">
        <v>231</v>
      </c>
      <c r="D2303" t="s">
        <v>35</v>
      </c>
      <c r="E2303" t="s">
        <v>376</v>
      </c>
      <c r="F2303" t="s">
        <v>705</v>
      </c>
      <c r="G2303">
        <v>36000</v>
      </c>
      <c r="H2303">
        <v>37000</v>
      </c>
    </row>
    <row r="2304" spans="2:8" x14ac:dyDescent="0.25">
      <c r="B2304" t="str">
        <f t="shared" si="35"/>
        <v>DJIPopulation ages 35-39, male</v>
      </c>
      <c r="C2304" t="s">
        <v>231</v>
      </c>
      <c r="D2304" t="s">
        <v>35</v>
      </c>
      <c r="E2304" t="s">
        <v>377</v>
      </c>
      <c r="F2304" t="s">
        <v>706</v>
      </c>
      <c r="G2304">
        <v>38000</v>
      </c>
      <c r="H2304">
        <v>39000</v>
      </c>
    </row>
    <row r="2305" spans="2:8" x14ac:dyDescent="0.25">
      <c r="B2305" t="str">
        <f t="shared" si="35"/>
        <v>DJIPopulation ages 40-44, female</v>
      </c>
      <c r="C2305" t="s">
        <v>231</v>
      </c>
      <c r="D2305" t="s">
        <v>35</v>
      </c>
      <c r="E2305" t="s">
        <v>378</v>
      </c>
      <c r="F2305" t="s">
        <v>707</v>
      </c>
      <c r="G2305">
        <v>30000</v>
      </c>
      <c r="H2305">
        <v>31000</v>
      </c>
    </row>
    <row r="2306" spans="2:8" x14ac:dyDescent="0.25">
      <c r="B2306" t="str">
        <f t="shared" si="35"/>
        <v>DJIPopulation ages 40-44, male</v>
      </c>
      <c r="C2306" t="s">
        <v>231</v>
      </c>
      <c r="D2306" t="s">
        <v>35</v>
      </c>
      <c r="E2306" t="s">
        <v>379</v>
      </c>
      <c r="F2306" t="s">
        <v>708</v>
      </c>
      <c r="G2306">
        <v>35000</v>
      </c>
      <c r="H2306">
        <v>35000</v>
      </c>
    </row>
    <row r="2307" spans="2:8" x14ac:dyDescent="0.25">
      <c r="B2307" t="str">
        <f t="shared" si="35"/>
        <v>DJIPopulation ages 45-49, female</v>
      </c>
      <c r="C2307" t="s">
        <v>231</v>
      </c>
      <c r="D2307" t="s">
        <v>35</v>
      </c>
      <c r="E2307" t="s">
        <v>380</v>
      </c>
      <c r="F2307" t="s">
        <v>709</v>
      </c>
      <c r="G2307">
        <v>24000</v>
      </c>
      <c r="H2307">
        <v>25000</v>
      </c>
    </row>
    <row r="2308" spans="2:8" x14ac:dyDescent="0.25">
      <c r="B2308" t="str">
        <f t="shared" si="35"/>
        <v>DJIPopulation ages 45-49, male</v>
      </c>
      <c r="C2308" t="s">
        <v>231</v>
      </c>
      <c r="D2308" t="s">
        <v>35</v>
      </c>
      <c r="E2308" t="s">
        <v>381</v>
      </c>
      <c r="F2308" t="s">
        <v>710</v>
      </c>
      <c r="G2308">
        <v>28000</v>
      </c>
      <c r="H2308">
        <v>29000</v>
      </c>
    </row>
    <row r="2309" spans="2:8" x14ac:dyDescent="0.25">
      <c r="B2309" t="str">
        <f t="shared" si="35"/>
        <v>DJIPopulation ages 50-54, female</v>
      </c>
      <c r="C2309" t="s">
        <v>231</v>
      </c>
      <c r="D2309" t="s">
        <v>35</v>
      </c>
      <c r="E2309" t="s">
        <v>382</v>
      </c>
      <c r="F2309" t="s">
        <v>711</v>
      </c>
      <c r="G2309">
        <v>20000</v>
      </c>
      <c r="H2309">
        <v>21000</v>
      </c>
    </row>
    <row r="2310" spans="2:8" x14ac:dyDescent="0.25">
      <c r="B2310" t="str">
        <f t="shared" si="35"/>
        <v>DJIPopulation ages 50-54, male</v>
      </c>
      <c r="C2310" t="s">
        <v>231</v>
      </c>
      <c r="D2310" t="s">
        <v>35</v>
      </c>
      <c r="E2310" t="s">
        <v>383</v>
      </c>
      <c r="F2310" t="s">
        <v>712</v>
      </c>
      <c r="G2310">
        <v>21000</v>
      </c>
      <c r="H2310">
        <v>22000</v>
      </c>
    </row>
    <row r="2311" spans="2:8" x14ac:dyDescent="0.25">
      <c r="B2311" t="str">
        <f t="shared" ref="B2311:B2374" si="36">CONCATENATE(D2311,E2311)</f>
        <v>DJIPopulation ages 55-59, male</v>
      </c>
      <c r="C2311" t="s">
        <v>231</v>
      </c>
      <c r="D2311" t="s">
        <v>35</v>
      </c>
      <c r="E2311" t="s">
        <v>385</v>
      </c>
      <c r="F2311" t="s">
        <v>713</v>
      </c>
      <c r="G2311">
        <v>18000</v>
      </c>
      <c r="H2311">
        <v>19000</v>
      </c>
    </row>
    <row r="2312" spans="2:8" x14ac:dyDescent="0.25">
      <c r="B2312" t="str">
        <f t="shared" si="36"/>
        <v>DJIPopulation ages 55-59, female</v>
      </c>
      <c r="C2312" t="s">
        <v>231</v>
      </c>
      <c r="D2312" t="s">
        <v>35</v>
      </c>
      <c r="E2312" t="s">
        <v>384</v>
      </c>
      <c r="F2312" t="s">
        <v>714</v>
      </c>
      <c r="G2312">
        <v>16000</v>
      </c>
      <c r="H2312">
        <v>17000</v>
      </c>
    </row>
    <row r="2313" spans="2:8" x14ac:dyDescent="0.25">
      <c r="B2313" t="str">
        <f t="shared" si="36"/>
        <v>DJIPopulation ages 65-69, male</v>
      </c>
      <c r="C2313" t="s">
        <v>231</v>
      </c>
      <c r="D2313" t="s">
        <v>35</v>
      </c>
      <c r="E2313" t="s">
        <v>389</v>
      </c>
      <c r="F2313" t="s">
        <v>715</v>
      </c>
      <c r="G2313">
        <v>8500</v>
      </c>
      <c r="H2313">
        <v>8800</v>
      </c>
    </row>
    <row r="2314" spans="2:8" x14ac:dyDescent="0.25">
      <c r="B2314" t="str">
        <f t="shared" si="36"/>
        <v>DJIPopulation ages 65-69, female</v>
      </c>
      <c r="C2314" t="s">
        <v>231</v>
      </c>
      <c r="D2314" t="s">
        <v>35</v>
      </c>
      <c r="E2314" t="s">
        <v>388</v>
      </c>
      <c r="F2314" t="s">
        <v>716</v>
      </c>
      <c r="G2314">
        <v>8900</v>
      </c>
      <c r="H2314">
        <v>9200</v>
      </c>
    </row>
    <row r="2315" spans="2:8" x14ac:dyDescent="0.25">
      <c r="B2315" t="str">
        <f t="shared" si="36"/>
        <v>DJIPopulation ages 60-64, female</v>
      </c>
      <c r="C2315" t="s">
        <v>231</v>
      </c>
      <c r="D2315" t="s">
        <v>35</v>
      </c>
      <c r="E2315" t="s">
        <v>386</v>
      </c>
      <c r="F2315" t="s">
        <v>717</v>
      </c>
      <c r="G2315">
        <v>12000</v>
      </c>
      <c r="H2315">
        <v>13000</v>
      </c>
    </row>
    <row r="2316" spans="2:8" x14ac:dyDescent="0.25">
      <c r="B2316" t="str">
        <f t="shared" si="36"/>
        <v>DJIPopulation ages 60-64, male</v>
      </c>
      <c r="C2316" t="s">
        <v>231</v>
      </c>
      <c r="D2316" t="s">
        <v>35</v>
      </c>
      <c r="E2316" t="s">
        <v>387</v>
      </c>
      <c r="F2316" t="s">
        <v>718</v>
      </c>
      <c r="G2316">
        <v>13000</v>
      </c>
      <c r="H2316">
        <v>13000</v>
      </c>
    </row>
    <row r="2317" spans="2:8" x14ac:dyDescent="0.25">
      <c r="B2317" t="str">
        <f t="shared" si="36"/>
        <v>DJIPopulation ages 70-74, female</v>
      </c>
      <c r="C2317" t="s">
        <v>231</v>
      </c>
      <c r="D2317" t="s">
        <v>35</v>
      </c>
      <c r="E2317" t="s">
        <v>390</v>
      </c>
      <c r="F2317" t="s">
        <v>719</v>
      </c>
      <c r="G2317">
        <v>6900</v>
      </c>
      <c r="H2317">
        <v>7100</v>
      </c>
    </row>
    <row r="2318" spans="2:8" x14ac:dyDescent="0.25">
      <c r="B2318" t="str">
        <f t="shared" si="36"/>
        <v>DJIPopulation ages 70-74, male</v>
      </c>
      <c r="C2318" t="s">
        <v>231</v>
      </c>
      <c r="D2318" t="s">
        <v>35</v>
      </c>
      <c r="E2318" t="s">
        <v>391</v>
      </c>
      <c r="F2318" t="s">
        <v>720</v>
      </c>
      <c r="G2318">
        <v>6600</v>
      </c>
      <c r="H2318">
        <v>6800</v>
      </c>
    </row>
    <row r="2319" spans="2:8" x14ac:dyDescent="0.25">
      <c r="B2319" t="str">
        <f t="shared" si="36"/>
        <v>DJIPopulation ages 75-79, female</v>
      </c>
      <c r="C2319" t="s">
        <v>231</v>
      </c>
      <c r="D2319" t="s">
        <v>35</v>
      </c>
      <c r="E2319" t="s">
        <v>392</v>
      </c>
      <c r="F2319" t="s">
        <v>721</v>
      </c>
      <c r="G2319">
        <v>4200</v>
      </c>
      <c r="H2319">
        <v>4400</v>
      </c>
    </row>
    <row r="2320" spans="2:8" x14ac:dyDescent="0.25">
      <c r="B2320" t="str">
        <f t="shared" si="36"/>
        <v>DJIPopulation ages 75-79, male</v>
      </c>
      <c r="C2320" t="s">
        <v>231</v>
      </c>
      <c r="D2320" t="s">
        <v>35</v>
      </c>
      <c r="E2320" t="s">
        <v>393</v>
      </c>
      <c r="F2320" t="s">
        <v>722</v>
      </c>
      <c r="G2320">
        <v>3800</v>
      </c>
      <c r="H2320">
        <v>4000</v>
      </c>
    </row>
    <row r="2321" spans="2:8" x14ac:dyDescent="0.25">
      <c r="B2321" t="str">
        <f t="shared" si="36"/>
        <v>DJIPopulation ages 80 and above, female</v>
      </c>
      <c r="C2321" t="s">
        <v>231</v>
      </c>
      <c r="D2321" t="s">
        <v>35</v>
      </c>
      <c r="E2321" t="s">
        <v>394</v>
      </c>
      <c r="F2321" t="s">
        <v>723</v>
      </c>
      <c r="G2321">
        <v>3300</v>
      </c>
      <c r="H2321">
        <v>3400</v>
      </c>
    </row>
    <row r="2322" spans="2:8" x14ac:dyDescent="0.25">
      <c r="B2322" t="str">
        <f t="shared" si="36"/>
        <v>DJIPopulation ages 80 and above, male</v>
      </c>
      <c r="C2322" t="s">
        <v>231</v>
      </c>
      <c r="D2322" t="s">
        <v>35</v>
      </c>
      <c r="E2322" t="s">
        <v>395</v>
      </c>
      <c r="F2322" t="s">
        <v>724</v>
      </c>
      <c r="G2322">
        <v>2700</v>
      </c>
      <c r="H2322">
        <v>2700</v>
      </c>
    </row>
    <row r="2323" spans="2:8" x14ac:dyDescent="0.25">
      <c r="B2323" t="str">
        <f t="shared" si="36"/>
        <v>DJIPopulation, male</v>
      </c>
      <c r="C2323" t="s">
        <v>231</v>
      </c>
      <c r="D2323" t="s">
        <v>35</v>
      </c>
      <c r="E2323" t="s">
        <v>397</v>
      </c>
      <c r="F2323" t="s">
        <v>725</v>
      </c>
      <c r="G2323">
        <v>512000</v>
      </c>
      <c r="H2323">
        <v>519000</v>
      </c>
    </row>
    <row r="2324" spans="2:8" x14ac:dyDescent="0.25">
      <c r="B2324" t="str">
        <f t="shared" si="36"/>
        <v>DJIPopulation, total</v>
      </c>
      <c r="C2324" t="s">
        <v>231</v>
      </c>
      <c r="D2324" t="s">
        <v>35</v>
      </c>
      <c r="E2324" t="s">
        <v>398</v>
      </c>
      <c r="F2324" t="s">
        <v>726</v>
      </c>
      <c r="G2324">
        <v>974000</v>
      </c>
      <c r="H2324">
        <v>988000</v>
      </c>
    </row>
    <row r="2325" spans="2:8" x14ac:dyDescent="0.25">
      <c r="B2325" t="str">
        <f t="shared" si="36"/>
        <v>DJIPopulation, female</v>
      </c>
      <c r="C2325" t="s">
        <v>231</v>
      </c>
      <c r="D2325" t="s">
        <v>35</v>
      </c>
      <c r="E2325" t="s">
        <v>396</v>
      </c>
      <c r="F2325" t="s">
        <v>727</v>
      </c>
      <c r="G2325">
        <v>462000</v>
      </c>
      <c r="H2325">
        <v>469000</v>
      </c>
    </row>
    <row r="2326" spans="2:8" x14ac:dyDescent="0.25">
      <c r="B2326" t="str">
        <f t="shared" si="36"/>
        <v>DJIPopulation growth (annual %)</v>
      </c>
      <c r="C2326" t="s">
        <v>231</v>
      </c>
      <c r="D2326" t="s">
        <v>35</v>
      </c>
      <c r="E2326" t="s">
        <v>399</v>
      </c>
      <c r="F2326" t="s">
        <v>728</v>
      </c>
      <c r="G2326">
        <v>0</v>
      </c>
      <c r="H2326">
        <v>0</v>
      </c>
    </row>
    <row r="2327" spans="2:8" x14ac:dyDescent="0.25">
      <c r="B2327" t="str">
        <f t="shared" si="36"/>
        <v>DMAPopulation ages 0-14, female</v>
      </c>
      <c r="C2327" t="s">
        <v>471</v>
      </c>
      <c r="D2327" t="s">
        <v>472</v>
      </c>
      <c r="E2327" t="s">
        <v>687</v>
      </c>
      <c r="F2327" t="s">
        <v>688</v>
      </c>
      <c r="G2327">
        <v>0</v>
      </c>
      <c r="H2327">
        <v>0</v>
      </c>
    </row>
    <row r="2328" spans="2:8" x14ac:dyDescent="0.25">
      <c r="B2328" t="str">
        <f t="shared" si="36"/>
        <v>DMAPopulation ages 0-14, male</v>
      </c>
      <c r="C2328" t="s">
        <v>471</v>
      </c>
      <c r="D2328" t="s">
        <v>472</v>
      </c>
      <c r="E2328" t="s">
        <v>689</v>
      </c>
      <c r="F2328" t="s">
        <v>690</v>
      </c>
      <c r="G2328">
        <v>0</v>
      </c>
      <c r="H2328">
        <v>0</v>
      </c>
    </row>
    <row r="2329" spans="2:8" x14ac:dyDescent="0.25">
      <c r="B2329" t="str">
        <f t="shared" si="36"/>
        <v>DMAPopulation ages 00-04, female</v>
      </c>
      <c r="C2329" t="s">
        <v>471</v>
      </c>
      <c r="D2329" t="s">
        <v>472</v>
      </c>
      <c r="E2329" t="s">
        <v>362</v>
      </c>
      <c r="F2329" t="s">
        <v>691</v>
      </c>
      <c r="G2329">
        <v>0</v>
      </c>
      <c r="H2329">
        <v>0</v>
      </c>
    </row>
    <row r="2330" spans="2:8" x14ac:dyDescent="0.25">
      <c r="B2330" t="str">
        <f t="shared" si="36"/>
        <v>DMAPopulation ages 00-04, male</v>
      </c>
      <c r="C2330" t="s">
        <v>471</v>
      </c>
      <c r="D2330" t="s">
        <v>472</v>
      </c>
      <c r="E2330" t="s">
        <v>363</v>
      </c>
      <c r="F2330" t="s">
        <v>692</v>
      </c>
      <c r="G2330">
        <v>0</v>
      </c>
      <c r="H2330">
        <v>0</v>
      </c>
    </row>
    <row r="2331" spans="2:8" x14ac:dyDescent="0.25">
      <c r="B2331" t="str">
        <f t="shared" si="36"/>
        <v>DMAPopulation ages 05-09, female</v>
      </c>
      <c r="C2331" t="s">
        <v>471</v>
      </c>
      <c r="D2331" t="s">
        <v>472</v>
      </c>
      <c r="E2331" t="s">
        <v>364</v>
      </c>
      <c r="F2331" t="s">
        <v>693</v>
      </c>
      <c r="G2331">
        <v>0</v>
      </c>
      <c r="H2331">
        <v>0</v>
      </c>
    </row>
    <row r="2332" spans="2:8" x14ac:dyDescent="0.25">
      <c r="B2332" t="str">
        <f t="shared" si="36"/>
        <v>DMAPopulation ages 05-09, male</v>
      </c>
      <c r="C2332" t="s">
        <v>471</v>
      </c>
      <c r="D2332" t="s">
        <v>472</v>
      </c>
      <c r="E2332" t="s">
        <v>365</v>
      </c>
      <c r="F2332" t="s">
        <v>694</v>
      </c>
      <c r="G2332">
        <v>0</v>
      </c>
      <c r="H2332">
        <v>0</v>
      </c>
    </row>
    <row r="2333" spans="2:8" x14ac:dyDescent="0.25">
      <c r="B2333" t="str">
        <f t="shared" si="36"/>
        <v>DMAPopulation ages 10-14, female</v>
      </c>
      <c r="C2333" t="s">
        <v>471</v>
      </c>
      <c r="D2333" t="s">
        <v>472</v>
      </c>
      <c r="E2333" t="s">
        <v>366</v>
      </c>
      <c r="F2333" t="s">
        <v>695</v>
      </c>
      <c r="G2333">
        <v>0</v>
      </c>
      <c r="H2333">
        <v>0</v>
      </c>
    </row>
    <row r="2334" spans="2:8" x14ac:dyDescent="0.25">
      <c r="B2334" t="str">
        <f t="shared" si="36"/>
        <v>DMAPopulation ages 10-14, male</v>
      </c>
      <c r="C2334" t="s">
        <v>471</v>
      </c>
      <c r="D2334" t="s">
        <v>472</v>
      </c>
      <c r="E2334" t="s">
        <v>367</v>
      </c>
      <c r="F2334" t="s">
        <v>696</v>
      </c>
      <c r="G2334">
        <v>0</v>
      </c>
      <c r="H2334">
        <v>0</v>
      </c>
    </row>
    <row r="2335" spans="2:8" x14ac:dyDescent="0.25">
      <c r="B2335" t="str">
        <f t="shared" si="36"/>
        <v>DMAPopulation ages 15-19, female</v>
      </c>
      <c r="C2335" t="s">
        <v>471</v>
      </c>
      <c r="D2335" t="s">
        <v>472</v>
      </c>
      <c r="E2335" t="s">
        <v>368</v>
      </c>
      <c r="F2335" t="s">
        <v>697</v>
      </c>
      <c r="G2335">
        <v>0</v>
      </c>
      <c r="H2335">
        <v>0</v>
      </c>
    </row>
    <row r="2336" spans="2:8" x14ac:dyDescent="0.25">
      <c r="B2336" t="str">
        <f t="shared" si="36"/>
        <v>DMAPopulation ages 15-19, male</v>
      </c>
      <c r="C2336" t="s">
        <v>471</v>
      </c>
      <c r="D2336" t="s">
        <v>472</v>
      </c>
      <c r="E2336" t="s">
        <v>369</v>
      </c>
      <c r="F2336" t="s">
        <v>698</v>
      </c>
      <c r="G2336">
        <v>0</v>
      </c>
      <c r="H2336">
        <v>0</v>
      </c>
    </row>
    <row r="2337" spans="2:8" x14ac:dyDescent="0.25">
      <c r="B2337" t="str">
        <f t="shared" si="36"/>
        <v>DMAPopulation ages 20-24, female</v>
      </c>
      <c r="C2337" t="s">
        <v>471</v>
      </c>
      <c r="D2337" t="s">
        <v>472</v>
      </c>
      <c r="E2337" t="s">
        <v>370</v>
      </c>
      <c r="F2337" t="s">
        <v>699</v>
      </c>
      <c r="G2337">
        <v>0</v>
      </c>
      <c r="H2337">
        <v>0</v>
      </c>
    </row>
    <row r="2338" spans="2:8" x14ac:dyDescent="0.25">
      <c r="B2338" t="str">
        <f t="shared" si="36"/>
        <v>DMAPopulation ages 20-24, male</v>
      </c>
      <c r="C2338" t="s">
        <v>471</v>
      </c>
      <c r="D2338" t="s">
        <v>472</v>
      </c>
      <c r="E2338" t="s">
        <v>371</v>
      </c>
      <c r="F2338" t="s">
        <v>700</v>
      </c>
      <c r="G2338">
        <v>0</v>
      </c>
      <c r="H2338">
        <v>0</v>
      </c>
    </row>
    <row r="2339" spans="2:8" x14ac:dyDescent="0.25">
      <c r="B2339" t="str">
        <f t="shared" si="36"/>
        <v>DMAPopulation ages 25-29, female</v>
      </c>
      <c r="C2339" t="s">
        <v>471</v>
      </c>
      <c r="D2339" t="s">
        <v>472</v>
      </c>
      <c r="E2339" t="s">
        <v>372</v>
      </c>
      <c r="F2339" t="s">
        <v>701</v>
      </c>
      <c r="G2339">
        <v>0</v>
      </c>
      <c r="H2339">
        <v>0</v>
      </c>
    </row>
    <row r="2340" spans="2:8" x14ac:dyDescent="0.25">
      <c r="B2340" t="str">
        <f t="shared" si="36"/>
        <v>DMAPopulation ages 25-29, male</v>
      </c>
      <c r="C2340" t="s">
        <v>471</v>
      </c>
      <c r="D2340" t="s">
        <v>472</v>
      </c>
      <c r="E2340" t="s">
        <v>373</v>
      </c>
      <c r="F2340" t="s">
        <v>702</v>
      </c>
      <c r="G2340">
        <v>0</v>
      </c>
      <c r="H2340">
        <v>0</v>
      </c>
    </row>
    <row r="2341" spans="2:8" x14ac:dyDescent="0.25">
      <c r="B2341" t="str">
        <f t="shared" si="36"/>
        <v>DMAPopulation ages 30-34, female</v>
      </c>
      <c r="C2341" t="s">
        <v>471</v>
      </c>
      <c r="D2341" t="s">
        <v>472</v>
      </c>
      <c r="E2341" t="s">
        <v>374</v>
      </c>
      <c r="F2341" t="s">
        <v>703</v>
      </c>
      <c r="G2341">
        <v>0</v>
      </c>
      <c r="H2341">
        <v>0</v>
      </c>
    </row>
    <row r="2342" spans="2:8" x14ac:dyDescent="0.25">
      <c r="B2342" t="str">
        <f t="shared" si="36"/>
        <v>DMAPopulation ages 30-34, male</v>
      </c>
      <c r="C2342" t="s">
        <v>471</v>
      </c>
      <c r="D2342" t="s">
        <v>472</v>
      </c>
      <c r="E2342" t="s">
        <v>375</v>
      </c>
      <c r="F2342" t="s">
        <v>704</v>
      </c>
      <c r="G2342">
        <v>0</v>
      </c>
      <c r="H2342">
        <v>0</v>
      </c>
    </row>
    <row r="2343" spans="2:8" x14ac:dyDescent="0.25">
      <c r="B2343" t="str">
        <f t="shared" si="36"/>
        <v>DMAPopulation ages 35-39, female</v>
      </c>
      <c r="C2343" t="s">
        <v>471</v>
      </c>
      <c r="D2343" t="s">
        <v>472</v>
      </c>
      <c r="E2343" t="s">
        <v>376</v>
      </c>
      <c r="F2343" t="s">
        <v>705</v>
      </c>
      <c r="G2343">
        <v>0</v>
      </c>
      <c r="H2343">
        <v>0</v>
      </c>
    </row>
    <row r="2344" spans="2:8" x14ac:dyDescent="0.25">
      <c r="B2344" t="str">
        <f t="shared" si="36"/>
        <v>DMAPopulation ages 35-39, male</v>
      </c>
      <c r="C2344" t="s">
        <v>471</v>
      </c>
      <c r="D2344" t="s">
        <v>472</v>
      </c>
      <c r="E2344" t="s">
        <v>377</v>
      </c>
      <c r="F2344" t="s">
        <v>706</v>
      </c>
      <c r="G2344">
        <v>0</v>
      </c>
      <c r="H2344">
        <v>0</v>
      </c>
    </row>
    <row r="2345" spans="2:8" x14ac:dyDescent="0.25">
      <c r="B2345" t="str">
        <f t="shared" si="36"/>
        <v>DMAPopulation ages 40-44, female</v>
      </c>
      <c r="C2345" t="s">
        <v>471</v>
      </c>
      <c r="D2345" t="s">
        <v>472</v>
      </c>
      <c r="E2345" t="s">
        <v>378</v>
      </c>
      <c r="F2345" t="s">
        <v>707</v>
      </c>
      <c r="G2345">
        <v>0</v>
      </c>
      <c r="H2345">
        <v>0</v>
      </c>
    </row>
    <row r="2346" spans="2:8" x14ac:dyDescent="0.25">
      <c r="B2346" t="str">
        <f t="shared" si="36"/>
        <v>DMAPopulation ages 40-44, male</v>
      </c>
      <c r="C2346" t="s">
        <v>471</v>
      </c>
      <c r="D2346" t="s">
        <v>472</v>
      </c>
      <c r="E2346" t="s">
        <v>379</v>
      </c>
      <c r="F2346" t="s">
        <v>708</v>
      </c>
      <c r="G2346">
        <v>0</v>
      </c>
      <c r="H2346">
        <v>0</v>
      </c>
    </row>
    <row r="2347" spans="2:8" x14ac:dyDescent="0.25">
      <c r="B2347" t="str">
        <f t="shared" si="36"/>
        <v>DMAPopulation ages 45-49, female</v>
      </c>
      <c r="C2347" t="s">
        <v>471</v>
      </c>
      <c r="D2347" t="s">
        <v>472</v>
      </c>
      <c r="E2347" t="s">
        <v>380</v>
      </c>
      <c r="F2347" t="s">
        <v>709</v>
      </c>
      <c r="G2347">
        <v>0</v>
      </c>
      <c r="H2347">
        <v>0</v>
      </c>
    </row>
    <row r="2348" spans="2:8" x14ac:dyDescent="0.25">
      <c r="B2348" t="str">
        <f t="shared" si="36"/>
        <v>DMAPopulation ages 45-49, male</v>
      </c>
      <c r="C2348" t="s">
        <v>471</v>
      </c>
      <c r="D2348" t="s">
        <v>472</v>
      </c>
      <c r="E2348" t="s">
        <v>381</v>
      </c>
      <c r="F2348" t="s">
        <v>710</v>
      </c>
      <c r="G2348">
        <v>0</v>
      </c>
      <c r="H2348">
        <v>0</v>
      </c>
    </row>
    <row r="2349" spans="2:8" x14ac:dyDescent="0.25">
      <c r="B2349" t="str">
        <f t="shared" si="36"/>
        <v>DMAPopulation ages 50-54, female</v>
      </c>
      <c r="C2349" t="s">
        <v>471</v>
      </c>
      <c r="D2349" t="s">
        <v>472</v>
      </c>
      <c r="E2349" t="s">
        <v>382</v>
      </c>
      <c r="F2349" t="s">
        <v>711</v>
      </c>
      <c r="G2349">
        <v>0</v>
      </c>
      <c r="H2349">
        <v>0</v>
      </c>
    </row>
    <row r="2350" spans="2:8" x14ac:dyDescent="0.25">
      <c r="B2350" t="str">
        <f t="shared" si="36"/>
        <v>DMAPopulation ages 50-54, male</v>
      </c>
      <c r="C2350" t="s">
        <v>471</v>
      </c>
      <c r="D2350" t="s">
        <v>472</v>
      </c>
      <c r="E2350" t="s">
        <v>383</v>
      </c>
      <c r="F2350" t="s">
        <v>712</v>
      </c>
      <c r="G2350">
        <v>0</v>
      </c>
      <c r="H2350">
        <v>0</v>
      </c>
    </row>
    <row r="2351" spans="2:8" x14ac:dyDescent="0.25">
      <c r="B2351" t="str">
        <f t="shared" si="36"/>
        <v>DMAPopulation ages 55-59, male</v>
      </c>
      <c r="C2351" t="s">
        <v>471</v>
      </c>
      <c r="D2351" t="s">
        <v>472</v>
      </c>
      <c r="E2351" t="s">
        <v>385</v>
      </c>
      <c r="F2351" t="s">
        <v>713</v>
      </c>
      <c r="G2351">
        <v>0</v>
      </c>
      <c r="H2351">
        <v>0</v>
      </c>
    </row>
    <row r="2352" spans="2:8" x14ac:dyDescent="0.25">
      <c r="B2352" t="str">
        <f t="shared" si="36"/>
        <v>DMAPopulation ages 55-59, female</v>
      </c>
      <c r="C2352" t="s">
        <v>471</v>
      </c>
      <c r="D2352" t="s">
        <v>472</v>
      </c>
      <c r="E2352" t="s">
        <v>384</v>
      </c>
      <c r="F2352" t="s">
        <v>714</v>
      </c>
      <c r="G2352">
        <v>0</v>
      </c>
      <c r="H2352">
        <v>0</v>
      </c>
    </row>
    <row r="2353" spans="2:8" x14ac:dyDescent="0.25">
      <c r="B2353" t="str">
        <f t="shared" si="36"/>
        <v>DMAPopulation ages 65-69, male</v>
      </c>
      <c r="C2353" t="s">
        <v>471</v>
      </c>
      <c r="D2353" t="s">
        <v>472</v>
      </c>
      <c r="E2353" t="s">
        <v>389</v>
      </c>
      <c r="F2353" t="s">
        <v>715</v>
      </c>
      <c r="G2353">
        <v>0</v>
      </c>
      <c r="H2353">
        <v>0</v>
      </c>
    </row>
    <row r="2354" spans="2:8" x14ac:dyDescent="0.25">
      <c r="B2354" t="str">
        <f t="shared" si="36"/>
        <v>DMAPopulation ages 65-69, female</v>
      </c>
      <c r="C2354" t="s">
        <v>471</v>
      </c>
      <c r="D2354" t="s">
        <v>472</v>
      </c>
      <c r="E2354" t="s">
        <v>388</v>
      </c>
      <c r="F2354" t="s">
        <v>716</v>
      </c>
      <c r="G2354">
        <v>0</v>
      </c>
      <c r="H2354">
        <v>0</v>
      </c>
    </row>
    <row r="2355" spans="2:8" x14ac:dyDescent="0.25">
      <c r="B2355" t="str">
        <f t="shared" si="36"/>
        <v>DMAPopulation ages 60-64, female</v>
      </c>
      <c r="C2355" t="s">
        <v>471</v>
      </c>
      <c r="D2355" t="s">
        <v>472</v>
      </c>
      <c r="E2355" t="s">
        <v>386</v>
      </c>
      <c r="F2355" t="s">
        <v>717</v>
      </c>
      <c r="G2355">
        <v>0</v>
      </c>
      <c r="H2355">
        <v>0</v>
      </c>
    </row>
    <row r="2356" spans="2:8" x14ac:dyDescent="0.25">
      <c r="B2356" t="str">
        <f t="shared" si="36"/>
        <v>DMAPopulation ages 60-64, male</v>
      </c>
      <c r="C2356" t="s">
        <v>471</v>
      </c>
      <c r="D2356" t="s">
        <v>472</v>
      </c>
      <c r="E2356" t="s">
        <v>387</v>
      </c>
      <c r="F2356" t="s">
        <v>718</v>
      </c>
      <c r="G2356">
        <v>0</v>
      </c>
      <c r="H2356">
        <v>0</v>
      </c>
    </row>
    <row r="2357" spans="2:8" x14ac:dyDescent="0.25">
      <c r="B2357" t="str">
        <f t="shared" si="36"/>
        <v>DMAPopulation ages 70-74, female</v>
      </c>
      <c r="C2357" t="s">
        <v>471</v>
      </c>
      <c r="D2357" t="s">
        <v>472</v>
      </c>
      <c r="E2357" t="s">
        <v>390</v>
      </c>
      <c r="F2357" t="s">
        <v>719</v>
      </c>
      <c r="G2357">
        <v>0</v>
      </c>
      <c r="H2357">
        <v>0</v>
      </c>
    </row>
    <row r="2358" spans="2:8" x14ac:dyDescent="0.25">
      <c r="B2358" t="str">
        <f t="shared" si="36"/>
        <v>DMAPopulation ages 70-74, male</v>
      </c>
      <c r="C2358" t="s">
        <v>471</v>
      </c>
      <c r="D2358" t="s">
        <v>472</v>
      </c>
      <c r="E2358" t="s">
        <v>391</v>
      </c>
      <c r="F2358" t="s">
        <v>720</v>
      </c>
      <c r="G2358">
        <v>0</v>
      </c>
      <c r="H2358">
        <v>0</v>
      </c>
    </row>
    <row r="2359" spans="2:8" x14ac:dyDescent="0.25">
      <c r="B2359" t="str">
        <f t="shared" si="36"/>
        <v>DMAPopulation ages 75-79, female</v>
      </c>
      <c r="C2359" t="s">
        <v>471</v>
      </c>
      <c r="D2359" t="s">
        <v>472</v>
      </c>
      <c r="E2359" t="s">
        <v>392</v>
      </c>
      <c r="F2359" t="s">
        <v>721</v>
      </c>
      <c r="G2359">
        <v>0</v>
      </c>
      <c r="H2359">
        <v>0</v>
      </c>
    </row>
    <row r="2360" spans="2:8" x14ac:dyDescent="0.25">
      <c r="B2360" t="str">
        <f t="shared" si="36"/>
        <v>DMAPopulation ages 75-79, male</v>
      </c>
      <c r="C2360" t="s">
        <v>471</v>
      </c>
      <c r="D2360" t="s">
        <v>472</v>
      </c>
      <c r="E2360" t="s">
        <v>393</v>
      </c>
      <c r="F2360" t="s">
        <v>722</v>
      </c>
      <c r="G2360">
        <v>0</v>
      </c>
      <c r="H2360">
        <v>0</v>
      </c>
    </row>
    <row r="2361" spans="2:8" x14ac:dyDescent="0.25">
      <c r="B2361" t="str">
        <f t="shared" si="36"/>
        <v>DMAPopulation ages 80 and above, female</v>
      </c>
      <c r="C2361" t="s">
        <v>471</v>
      </c>
      <c r="D2361" t="s">
        <v>472</v>
      </c>
      <c r="E2361" t="s">
        <v>394</v>
      </c>
      <c r="F2361" t="s">
        <v>723</v>
      </c>
      <c r="G2361">
        <v>0</v>
      </c>
      <c r="H2361">
        <v>0</v>
      </c>
    </row>
    <row r="2362" spans="2:8" x14ac:dyDescent="0.25">
      <c r="B2362" t="str">
        <f t="shared" si="36"/>
        <v>DMAPopulation ages 80 and above, male</v>
      </c>
      <c r="C2362" t="s">
        <v>471</v>
      </c>
      <c r="D2362" t="s">
        <v>472</v>
      </c>
      <c r="E2362" t="s">
        <v>395</v>
      </c>
      <c r="F2362" t="s">
        <v>724</v>
      </c>
      <c r="G2362">
        <v>0</v>
      </c>
      <c r="H2362">
        <v>0</v>
      </c>
    </row>
    <row r="2363" spans="2:8" x14ac:dyDescent="0.25">
      <c r="B2363" t="str">
        <f t="shared" si="36"/>
        <v>DMAPopulation, male</v>
      </c>
      <c r="C2363" t="s">
        <v>471</v>
      </c>
      <c r="D2363" t="s">
        <v>472</v>
      </c>
      <c r="E2363" t="s">
        <v>397</v>
      </c>
      <c r="F2363" t="s">
        <v>725</v>
      </c>
      <c r="G2363">
        <v>0</v>
      </c>
      <c r="H2363">
        <v>0</v>
      </c>
    </row>
    <row r="2364" spans="2:8" x14ac:dyDescent="0.25">
      <c r="B2364" t="str">
        <f t="shared" si="36"/>
        <v>DMAPopulation, total</v>
      </c>
      <c r="C2364" t="s">
        <v>471</v>
      </c>
      <c r="D2364" t="s">
        <v>472</v>
      </c>
      <c r="E2364" t="s">
        <v>398</v>
      </c>
      <c r="F2364" t="s">
        <v>726</v>
      </c>
      <c r="G2364">
        <v>72000</v>
      </c>
      <c r="H2364">
        <v>72000</v>
      </c>
    </row>
    <row r="2365" spans="2:8" x14ac:dyDescent="0.25">
      <c r="B2365" t="str">
        <f t="shared" si="36"/>
        <v>DMAPopulation, female</v>
      </c>
      <c r="C2365" t="s">
        <v>471</v>
      </c>
      <c r="D2365" t="s">
        <v>472</v>
      </c>
      <c r="E2365" t="s">
        <v>396</v>
      </c>
      <c r="F2365" t="s">
        <v>727</v>
      </c>
      <c r="G2365">
        <v>0</v>
      </c>
      <c r="H2365">
        <v>0</v>
      </c>
    </row>
    <row r="2366" spans="2:8" x14ac:dyDescent="0.25">
      <c r="B2366" t="str">
        <f t="shared" si="36"/>
        <v>DMAPopulation growth (annual %)</v>
      </c>
      <c r="C2366" t="s">
        <v>471</v>
      </c>
      <c r="D2366" t="s">
        <v>472</v>
      </c>
      <c r="E2366" t="s">
        <v>399</v>
      </c>
      <c r="F2366" t="s">
        <v>728</v>
      </c>
      <c r="G2366">
        <v>0</v>
      </c>
      <c r="H2366">
        <v>0</v>
      </c>
    </row>
    <row r="2367" spans="2:8" x14ac:dyDescent="0.25">
      <c r="B2367" t="str">
        <f t="shared" si="36"/>
        <v>DOMPopulation ages 0-14, female</v>
      </c>
      <c r="C2367" t="s">
        <v>473</v>
      </c>
      <c r="D2367" t="s">
        <v>474</v>
      </c>
      <c r="E2367" t="s">
        <v>687</v>
      </c>
      <c r="F2367" t="s">
        <v>688</v>
      </c>
      <c r="G2367">
        <v>1458000</v>
      </c>
      <c r="H2367">
        <v>1458000</v>
      </c>
    </row>
    <row r="2368" spans="2:8" x14ac:dyDescent="0.25">
      <c r="B2368" t="str">
        <f t="shared" si="36"/>
        <v>DOMPopulation ages 0-14, male</v>
      </c>
      <c r="C2368" t="s">
        <v>473</v>
      </c>
      <c r="D2368" t="s">
        <v>474</v>
      </c>
      <c r="E2368" t="s">
        <v>689</v>
      </c>
      <c r="F2368" t="s">
        <v>690</v>
      </c>
      <c r="G2368">
        <v>1518000</v>
      </c>
      <c r="H2368">
        <v>1518000</v>
      </c>
    </row>
    <row r="2369" spans="2:8" x14ac:dyDescent="0.25">
      <c r="B2369" t="str">
        <f t="shared" si="36"/>
        <v>DOMPopulation ages 00-04, female</v>
      </c>
      <c r="C2369" t="s">
        <v>473</v>
      </c>
      <c r="D2369" t="s">
        <v>474</v>
      </c>
      <c r="E2369" t="s">
        <v>362</v>
      </c>
      <c r="F2369" t="s">
        <v>691</v>
      </c>
      <c r="G2369">
        <v>493000</v>
      </c>
      <c r="H2369">
        <v>491000</v>
      </c>
    </row>
    <row r="2370" spans="2:8" x14ac:dyDescent="0.25">
      <c r="B2370" t="str">
        <f t="shared" si="36"/>
        <v>DOMPopulation ages 00-04, male</v>
      </c>
      <c r="C2370" t="s">
        <v>473</v>
      </c>
      <c r="D2370" t="s">
        <v>474</v>
      </c>
      <c r="E2370" t="s">
        <v>363</v>
      </c>
      <c r="F2370" t="s">
        <v>692</v>
      </c>
      <c r="G2370">
        <v>514000</v>
      </c>
      <c r="H2370">
        <v>512000</v>
      </c>
    </row>
    <row r="2371" spans="2:8" x14ac:dyDescent="0.25">
      <c r="B2371" t="str">
        <f t="shared" si="36"/>
        <v>DOMPopulation ages 05-09, female</v>
      </c>
      <c r="C2371" t="s">
        <v>473</v>
      </c>
      <c r="D2371" t="s">
        <v>474</v>
      </c>
      <c r="E2371" t="s">
        <v>364</v>
      </c>
      <c r="F2371" t="s">
        <v>693</v>
      </c>
      <c r="G2371">
        <v>487000</v>
      </c>
      <c r="H2371">
        <v>488000</v>
      </c>
    </row>
    <row r="2372" spans="2:8" x14ac:dyDescent="0.25">
      <c r="B2372" t="str">
        <f t="shared" si="36"/>
        <v>DOMPopulation ages 05-09, male</v>
      </c>
      <c r="C2372" t="s">
        <v>473</v>
      </c>
      <c r="D2372" t="s">
        <v>474</v>
      </c>
      <c r="E2372" t="s">
        <v>365</v>
      </c>
      <c r="F2372" t="s">
        <v>694</v>
      </c>
      <c r="G2372">
        <v>507000</v>
      </c>
      <c r="H2372">
        <v>508000</v>
      </c>
    </row>
    <row r="2373" spans="2:8" x14ac:dyDescent="0.25">
      <c r="B2373" t="str">
        <f t="shared" si="36"/>
        <v>DOMPopulation ages 10-14, female</v>
      </c>
      <c r="C2373" t="s">
        <v>473</v>
      </c>
      <c r="D2373" t="s">
        <v>474</v>
      </c>
      <c r="E2373" t="s">
        <v>366</v>
      </c>
      <c r="F2373" t="s">
        <v>695</v>
      </c>
      <c r="G2373">
        <v>478000</v>
      </c>
      <c r="H2373">
        <v>479000</v>
      </c>
    </row>
    <row r="2374" spans="2:8" x14ac:dyDescent="0.25">
      <c r="B2374" t="str">
        <f t="shared" si="36"/>
        <v>DOMPopulation ages 10-14, male</v>
      </c>
      <c r="C2374" t="s">
        <v>473</v>
      </c>
      <c r="D2374" t="s">
        <v>474</v>
      </c>
      <c r="E2374" t="s">
        <v>367</v>
      </c>
      <c r="F2374" t="s">
        <v>696</v>
      </c>
      <c r="G2374">
        <v>497000</v>
      </c>
      <c r="H2374">
        <v>498000</v>
      </c>
    </row>
    <row r="2375" spans="2:8" x14ac:dyDescent="0.25">
      <c r="B2375" t="str">
        <f t="shared" ref="B2375:B2438" si="37">CONCATENATE(D2375,E2375)</f>
        <v>DOMPopulation ages 15-19, female</v>
      </c>
      <c r="C2375" t="s">
        <v>473</v>
      </c>
      <c r="D2375" t="s">
        <v>474</v>
      </c>
      <c r="E2375" t="s">
        <v>368</v>
      </c>
      <c r="F2375" t="s">
        <v>697</v>
      </c>
      <c r="G2375">
        <v>471000</v>
      </c>
      <c r="H2375">
        <v>470000</v>
      </c>
    </row>
    <row r="2376" spans="2:8" x14ac:dyDescent="0.25">
      <c r="B2376" t="str">
        <f t="shared" si="37"/>
        <v>DOMPopulation ages 15-19, male</v>
      </c>
      <c r="C2376" t="s">
        <v>473</v>
      </c>
      <c r="D2376" t="s">
        <v>474</v>
      </c>
      <c r="E2376" t="s">
        <v>369</v>
      </c>
      <c r="F2376" t="s">
        <v>698</v>
      </c>
      <c r="G2376">
        <v>489000</v>
      </c>
      <c r="H2376">
        <v>489000</v>
      </c>
    </row>
    <row r="2377" spans="2:8" x14ac:dyDescent="0.25">
      <c r="B2377" t="str">
        <f t="shared" si="37"/>
        <v>DOMPopulation ages 20-24, female</v>
      </c>
      <c r="C2377" t="s">
        <v>473</v>
      </c>
      <c r="D2377" t="s">
        <v>474</v>
      </c>
      <c r="E2377" t="s">
        <v>370</v>
      </c>
      <c r="F2377" t="s">
        <v>699</v>
      </c>
      <c r="G2377">
        <v>465000</v>
      </c>
      <c r="H2377">
        <v>462000</v>
      </c>
    </row>
    <row r="2378" spans="2:8" x14ac:dyDescent="0.25">
      <c r="B2378" t="str">
        <f t="shared" si="37"/>
        <v>DOMPopulation ages 20-24, male</v>
      </c>
      <c r="C2378" t="s">
        <v>473</v>
      </c>
      <c r="D2378" t="s">
        <v>474</v>
      </c>
      <c r="E2378" t="s">
        <v>371</v>
      </c>
      <c r="F2378" t="s">
        <v>700</v>
      </c>
      <c r="G2378">
        <v>479000</v>
      </c>
      <c r="H2378">
        <v>477000</v>
      </c>
    </row>
    <row r="2379" spans="2:8" x14ac:dyDescent="0.25">
      <c r="B2379" t="str">
        <f t="shared" si="37"/>
        <v>DOMPopulation ages 25-29, female</v>
      </c>
      <c r="C2379" t="s">
        <v>473</v>
      </c>
      <c r="D2379" t="s">
        <v>474</v>
      </c>
      <c r="E2379" t="s">
        <v>372</v>
      </c>
      <c r="F2379" t="s">
        <v>701</v>
      </c>
      <c r="G2379">
        <v>454000</v>
      </c>
      <c r="H2379">
        <v>456000</v>
      </c>
    </row>
    <row r="2380" spans="2:8" x14ac:dyDescent="0.25">
      <c r="B2380" t="str">
        <f t="shared" si="37"/>
        <v>DOMPopulation ages 25-29, male</v>
      </c>
      <c r="C2380" t="s">
        <v>473</v>
      </c>
      <c r="D2380" t="s">
        <v>474</v>
      </c>
      <c r="E2380" t="s">
        <v>373</v>
      </c>
      <c r="F2380" t="s">
        <v>702</v>
      </c>
      <c r="G2380">
        <v>455000</v>
      </c>
      <c r="H2380">
        <v>458000</v>
      </c>
    </row>
    <row r="2381" spans="2:8" x14ac:dyDescent="0.25">
      <c r="B2381" t="str">
        <f t="shared" si="37"/>
        <v>DOMPopulation ages 30-34, female</v>
      </c>
      <c r="C2381" t="s">
        <v>473</v>
      </c>
      <c r="D2381" t="s">
        <v>474</v>
      </c>
      <c r="E2381" t="s">
        <v>374</v>
      </c>
      <c r="F2381" t="s">
        <v>703</v>
      </c>
      <c r="G2381">
        <v>408000</v>
      </c>
      <c r="H2381">
        <v>416000</v>
      </c>
    </row>
    <row r="2382" spans="2:8" x14ac:dyDescent="0.25">
      <c r="B2382" t="str">
        <f t="shared" si="37"/>
        <v>DOMPopulation ages 30-34, male</v>
      </c>
      <c r="C2382" t="s">
        <v>473</v>
      </c>
      <c r="D2382" t="s">
        <v>474</v>
      </c>
      <c r="E2382" t="s">
        <v>375</v>
      </c>
      <c r="F2382" t="s">
        <v>704</v>
      </c>
      <c r="G2382">
        <v>404000</v>
      </c>
      <c r="H2382">
        <v>410000</v>
      </c>
    </row>
    <row r="2383" spans="2:8" x14ac:dyDescent="0.25">
      <c r="B2383" t="str">
        <f t="shared" si="37"/>
        <v>DOMPopulation ages 35-39, female</v>
      </c>
      <c r="C2383" t="s">
        <v>473</v>
      </c>
      <c r="D2383" t="s">
        <v>474</v>
      </c>
      <c r="E2383" t="s">
        <v>376</v>
      </c>
      <c r="F2383" t="s">
        <v>705</v>
      </c>
      <c r="G2383">
        <v>361000</v>
      </c>
      <c r="H2383">
        <v>366000</v>
      </c>
    </row>
    <row r="2384" spans="2:8" x14ac:dyDescent="0.25">
      <c r="B2384" t="str">
        <f t="shared" si="37"/>
        <v>DOMPopulation ages 35-39, male</v>
      </c>
      <c r="C2384" t="s">
        <v>473</v>
      </c>
      <c r="D2384" t="s">
        <v>474</v>
      </c>
      <c r="E2384" t="s">
        <v>377</v>
      </c>
      <c r="F2384" t="s">
        <v>706</v>
      </c>
      <c r="G2384">
        <v>367000</v>
      </c>
      <c r="H2384">
        <v>372000</v>
      </c>
    </row>
    <row r="2385" spans="2:8" x14ac:dyDescent="0.25">
      <c r="B2385" t="str">
        <f t="shared" si="37"/>
        <v>DOMPopulation ages 40-44, female</v>
      </c>
      <c r="C2385" t="s">
        <v>473</v>
      </c>
      <c r="D2385" t="s">
        <v>474</v>
      </c>
      <c r="E2385" t="s">
        <v>378</v>
      </c>
      <c r="F2385" t="s">
        <v>707</v>
      </c>
      <c r="G2385">
        <v>333000</v>
      </c>
      <c r="H2385">
        <v>337000</v>
      </c>
    </row>
    <row r="2386" spans="2:8" x14ac:dyDescent="0.25">
      <c r="B2386" t="str">
        <f t="shared" si="37"/>
        <v>DOMPopulation ages 40-44, male</v>
      </c>
      <c r="C2386" t="s">
        <v>473</v>
      </c>
      <c r="D2386" t="s">
        <v>474</v>
      </c>
      <c r="E2386" t="s">
        <v>379</v>
      </c>
      <c r="F2386" t="s">
        <v>708</v>
      </c>
      <c r="G2386">
        <v>327000</v>
      </c>
      <c r="H2386">
        <v>332000</v>
      </c>
    </row>
    <row r="2387" spans="2:8" x14ac:dyDescent="0.25">
      <c r="B2387" t="str">
        <f t="shared" si="37"/>
        <v>DOMPopulation ages 45-49, female</v>
      </c>
      <c r="C2387" t="s">
        <v>473</v>
      </c>
      <c r="D2387" t="s">
        <v>474</v>
      </c>
      <c r="E2387" t="s">
        <v>380</v>
      </c>
      <c r="F2387" t="s">
        <v>709</v>
      </c>
      <c r="G2387">
        <v>303000</v>
      </c>
      <c r="H2387">
        <v>308000</v>
      </c>
    </row>
    <row r="2388" spans="2:8" x14ac:dyDescent="0.25">
      <c r="B2388" t="str">
        <f t="shared" si="37"/>
        <v>DOMPopulation ages 45-49, male</v>
      </c>
      <c r="C2388" t="s">
        <v>473</v>
      </c>
      <c r="D2388" t="s">
        <v>474</v>
      </c>
      <c r="E2388" t="s">
        <v>381</v>
      </c>
      <c r="F2388" t="s">
        <v>710</v>
      </c>
      <c r="G2388">
        <v>294000</v>
      </c>
      <c r="H2388">
        <v>299000</v>
      </c>
    </row>
    <row r="2389" spans="2:8" x14ac:dyDescent="0.25">
      <c r="B2389" t="str">
        <f t="shared" si="37"/>
        <v>DOMPopulation ages 50-54, female</v>
      </c>
      <c r="C2389" t="s">
        <v>473</v>
      </c>
      <c r="D2389" t="s">
        <v>474</v>
      </c>
      <c r="E2389" t="s">
        <v>382</v>
      </c>
      <c r="F2389" t="s">
        <v>711</v>
      </c>
      <c r="G2389">
        <v>273000</v>
      </c>
      <c r="H2389">
        <v>277000</v>
      </c>
    </row>
    <row r="2390" spans="2:8" x14ac:dyDescent="0.25">
      <c r="B2390" t="str">
        <f t="shared" si="37"/>
        <v>DOMPopulation ages 50-54, male</v>
      </c>
      <c r="C2390" t="s">
        <v>473</v>
      </c>
      <c r="D2390" t="s">
        <v>474</v>
      </c>
      <c r="E2390" t="s">
        <v>383</v>
      </c>
      <c r="F2390" t="s">
        <v>712</v>
      </c>
      <c r="G2390">
        <v>260000</v>
      </c>
      <c r="H2390">
        <v>264000</v>
      </c>
    </row>
    <row r="2391" spans="2:8" x14ac:dyDescent="0.25">
      <c r="B2391" t="str">
        <f t="shared" si="37"/>
        <v>DOMPopulation ages 55-59, male</v>
      </c>
      <c r="C2391" t="s">
        <v>473</v>
      </c>
      <c r="D2391" t="s">
        <v>474</v>
      </c>
      <c r="E2391" t="s">
        <v>385</v>
      </c>
      <c r="F2391" t="s">
        <v>713</v>
      </c>
      <c r="G2391">
        <v>225000</v>
      </c>
      <c r="H2391">
        <v>230000</v>
      </c>
    </row>
    <row r="2392" spans="2:8" x14ac:dyDescent="0.25">
      <c r="B2392" t="str">
        <f t="shared" si="37"/>
        <v>DOMPopulation ages 55-59, female</v>
      </c>
      <c r="C2392" t="s">
        <v>473</v>
      </c>
      <c r="D2392" t="s">
        <v>474</v>
      </c>
      <c r="E2392" t="s">
        <v>384</v>
      </c>
      <c r="F2392" t="s">
        <v>714</v>
      </c>
      <c r="G2392">
        <v>237000</v>
      </c>
      <c r="H2392">
        <v>243000</v>
      </c>
    </row>
    <row r="2393" spans="2:8" x14ac:dyDescent="0.25">
      <c r="B2393" t="str">
        <f t="shared" si="37"/>
        <v>DOMPopulation ages 65-69, male</v>
      </c>
      <c r="C2393" t="s">
        <v>473</v>
      </c>
      <c r="D2393" t="s">
        <v>474</v>
      </c>
      <c r="E2393" t="s">
        <v>389</v>
      </c>
      <c r="F2393" t="s">
        <v>715</v>
      </c>
      <c r="G2393">
        <v>135000</v>
      </c>
      <c r="H2393">
        <v>141000</v>
      </c>
    </row>
    <row r="2394" spans="2:8" x14ac:dyDescent="0.25">
      <c r="B2394" t="str">
        <f t="shared" si="37"/>
        <v>DOMPopulation ages 65-69, female</v>
      </c>
      <c r="C2394" t="s">
        <v>473</v>
      </c>
      <c r="D2394" t="s">
        <v>474</v>
      </c>
      <c r="E2394" t="s">
        <v>388</v>
      </c>
      <c r="F2394" t="s">
        <v>716</v>
      </c>
      <c r="G2394">
        <v>145000</v>
      </c>
      <c r="H2394">
        <v>152000</v>
      </c>
    </row>
    <row r="2395" spans="2:8" x14ac:dyDescent="0.25">
      <c r="B2395" t="str">
        <f t="shared" si="37"/>
        <v>DOMPopulation ages 60-64, female</v>
      </c>
      <c r="C2395" t="s">
        <v>473</v>
      </c>
      <c r="D2395" t="s">
        <v>474</v>
      </c>
      <c r="E2395" t="s">
        <v>386</v>
      </c>
      <c r="F2395" t="s">
        <v>717</v>
      </c>
      <c r="G2395">
        <v>193000</v>
      </c>
      <c r="H2395">
        <v>200000</v>
      </c>
    </row>
    <row r="2396" spans="2:8" x14ac:dyDescent="0.25">
      <c r="B2396" t="str">
        <f t="shared" si="37"/>
        <v>DOMPopulation ages 60-64, male</v>
      </c>
      <c r="C2396" t="s">
        <v>473</v>
      </c>
      <c r="D2396" t="s">
        <v>474</v>
      </c>
      <c r="E2396" t="s">
        <v>387</v>
      </c>
      <c r="F2396" t="s">
        <v>718</v>
      </c>
      <c r="G2396">
        <v>183000</v>
      </c>
      <c r="H2396">
        <v>189000</v>
      </c>
    </row>
    <row r="2397" spans="2:8" x14ac:dyDescent="0.25">
      <c r="B2397" t="str">
        <f t="shared" si="37"/>
        <v>DOMPopulation ages 70-74, female</v>
      </c>
      <c r="C2397" t="s">
        <v>473</v>
      </c>
      <c r="D2397" t="s">
        <v>474</v>
      </c>
      <c r="E2397" t="s">
        <v>390</v>
      </c>
      <c r="F2397" t="s">
        <v>719</v>
      </c>
      <c r="G2397">
        <v>102000</v>
      </c>
      <c r="H2397">
        <v>108000</v>
      </c>
    </row>
    <row r="2398" spans="2:8" x14ac:dyDescent="0.25">
      <c r="B2398" t="str">
        <f t="shared" si="37"/>
        <v>DOMPopulation ages 70-74, male</v>
      </c>
      <c r="C2398" t="s">
        <v>473</v>
      </c>
      <c r="D2398" t="s">
        <v>474</v>
      </c>
      <c r="E2398" t="s">
        <v>391</v>
      </c>
      <c r="F2398" t="s">
        <v>720</v>
      </c>
      <c r="G2398">
        <v>92000</v>
      </c>
      <c r="H2398">
        <v>96000</v>
      </c>
    </row>
    <row r="2399" spans="2:8" x14ac:dyDescent="0.25">
      <c r="B2399" t="str">
        <f t="shared" si="37"/>
        <v>DOMPopulation ages 75-79, female</v>
      </c>
      <c r="C2399" t="s">
        <v>473</v>
      </c>
      <c r="D2399" t="s">
        <v>474</v>
      </c>
      <c r="E2399" t="s">
        <v>392</v>
      </c>
      <c r="F2399" t="s">
        <v>721</v>
      </c>
      <c r="G2399">
        <v>71000</v>
      </c>
      <c r="H2399">
        <v>74000</v>
      </c>
    </row>
    <row r="2400" spans="2:8" x14ac:dyDescent="0.25">
      <c r="B2400" t="str">
        <f t="shared" si="37"/>
        <v>DOMPopulation ages 75-79, male</v>
      </c>
      <c r="C2400" t="s">
        <v>473</v>
      </c>
      <c r="D2400" t="s">
        <v>474</v>
      </c>
      <c r="E2400" t="s">
        <v>393</v>
      </c>
      <c r="F2400" t="s">
        <v>722</v>
      </c>
      <c r="G2400">
        <v>62000</v>
      </c>
      <c r="H2400">
        <v>64000</v>
      </c>
    </row>
    <row r="2401" spans="2:8" x14ac:dyDescent="0.25">
      <c r="B2401" t="str">
        <f t="shared" si="37"/>
        <v>DOMPopulation ages 80 and above, female</v>
      </c>
      <c r="C2401" t="s">
        <v>473</v>
      </c>
      <c r="D2401" t="s">
        <v>474</v>
      </c>
      <c r="E2401" t="s">
        <v>394</v>
      </c>
      <c r="F2401" t="s">
        <v>723</v>
      </c>
      <c r="G2401">
        <v>98000</v>
      </c>
      <c r="H2401">
        <v>102000</v>
      </c>
    </row>
    <row r="2402" spans="2:8" x14ac:dyDescent="0.25">
      <c r="B2402" t="str">
        <f t="shared" si="37"/>
        <v>DOMPopulation ages 80 and above, male</v>
      </c>
      <c r="C2402" t="s">
        <v>473</v>
      </c>
      <c r="D2402" t="s">
        <v>474</v>
      </c>
      <c r="E2402" t="s">
        <v>395</v>
      </c>
      <c r="F2402" t="s">
        <v>724</v>
      </c>
      <c r="G2402">
        <v>78000</v>
      </c>
      <c r="H2402">
        <v>80000</v>
      </c>
    </row>
    <row r="2403" spans="2:8" x14ac:dyDescent="0.25">
      <c r="B2403" t="str">
        <f t="shared" si="37"/>
        <v>DOMPopulation, male</v>
      </c>
      <c r="C2403" t="s">
        <v>473</v>
      </c>
      <c r="D2403" t="s">
        <v>474</v>
      </c>
      <c r="E2403" t="s">
        <v>397</v>
      </c>
      <c r="F2403" t="s">
        <v>725</v>
      </c>
      <c r="G2403">
        <v>5366000</v>
      </c>
      <c r="H2403">
        <v>5418000</v>
      </c>
    </row>
    <row r="2404" spans="2:8" x14ac:dyDescent="0.25">
      <c r="B2404" t="str">
        <f t="shared" si="37"/>
        <v>DOMPopulation, total</v>
      </c>
      <c r="C2404" t="s">
        <v>473</v>
      </c>
      <c r="D2404" t="s">
        <v>474</v>
      </c>
      <c r="E2404" t="s">
        <v>398</v>
      </c>
      <c r="F2404" t="s">
        <v>726</v>
      </c>
      <c r="G2404">
        <v>10739000</v>
      </c>
      <c r="H2404">
        <v>10848000</v>
      </c>
    </row>
    <row r="2405" spans="2:8" x14ac:dyDescent="0.25">
      <c r="B2405" t="str">
        <f t="shared" si="37"/>
        <v>DOMPopulation, female</v>
      </c>
      <c r="C2405" t="s">
        <v>473</v>
      </c>
      <c r="D2405" t="s">
        <v>474</v>
      </c>
      <c r="E2405" t="s">
        <v>396</v>
      </c>
      <c r="F2405" t="s">
        <v>727</v>
      </c>
      <c r="G2405">
        <v>5373000</v>
      </c>
      <c r="H2405">
        <v>5430000</v>
      </c>
    </row>
    <row r="2406" spans="2:8" x14ac:dyDescent="0.25">
      <c r="B2406" t="str">
        <f t="shared" si="37"/>
        <v>DOMPopulation growth (annual %)</v>
      </c>
      <c r="C2406" t="s">
        <v>473</v>
      </c>
      <c r="D2406" t="s">
        <v>474</v>
      </c>
      <c r="E2406" t="s">
        <v>399</v>
      </c>
      <c r="F2406" t="s">
        <v>728</v>
      </c>
      <c r="G2406">
        <v>0</v>
      </c>
      <c r="H2406">
        <v>0</v>
      </c>
    </row>
    <row r="2407" spans="2:8" x14ac:dyDescent="0.25">
      <c r="B2407" t="str">
        <f t="shared" si="37"/>
        <v>EARPopulation ages 0-14, female</v>
      </c>
      <c r="C2407" t="s">
        <v>475</v>
      </c>
      <c r="D2407" t="s">
        <v>476</v>
      </c>
      <c r="E2407" t="s">
        <v>687</v>
      </c>
      <c r="F2407" t="s">
        <v>688</v>
      </c>
      <c r="G2407">
        <v>454504000</v>
      </c>
      <c r="H2407">
        <v>455023000</v>
      </c>
    </row>
    <row r="2408" spans="2:8" x14ac:dyDescent="0.25">
      <c r="B2408" t="str">
        <f t="shared" si="37"/>
        <v>EARPopulation ages 0-14, male</v>
      </c>
      <c r="C2408" t="s">
        <v>475</v>
      </c>
      <c r="D2408" t="s">
        <v>476</v>
      </c>
      <c r="E2408" t="s">
        <v>689</v>
      </c>
      <c r="F2408" t="s">
        <v>690</v>
      </c>
      <c r="G2408">
        <v>485657000</v>
      </c>
      <c r="H2408">
        <v>485934000</v>
      </c>
    </row>
    <row r="2409" spans="2:8" x14ac:dyDescent="0.25">
      <c r="B2409" t="str">
        <f t="shared" si="37"/>
        <v>EARPopulation ages 00-04, female</v>
      </c>
      <c r="C2409" t="s">
        <v>475</v>
      </c>
      <c r="D2409" t="s">
        <v>476</v>
      </c>
      <c r="E2409" t="s">
        <v>362</v>
      </c>
      <c r="F2409" t="s">
        <v>691</v>
      </c>
      <c r="G2409">
        <v>153458500</v>
      </c>
      <c r="H2409">
        <v>153428700</v>
      </c>
    </row>
    <row r="2410" spans="2:8" x14ac:dyDescent="0.25">
      <c r="B2410" t="str">
        <f t="shared" si="37"/>
        <v>EARPopulation ages 00-04, male</v>
      </c>
      <c r="C2410" t="s">
        <v>475</v>
      </c>
      <c r="D2410" t="s">
        <v>476</v>
      </c>
      <c r="E2410" t="s">
        <v>363</v>
      </c>
      <c r="F2410" t="s">
        <v>692</v>
      </c>
      <c r="G2410">
        <v>163759900</v>
      </c>
      <c r="H2410">
        <v>163715000</v>
      </c>
    </row>
    <row r="2411" spans="2:8" x14ac:dyDescent="0.25">
      <c r="B2411" t="str">
        <f t="shared" si="37"/>
        <v>EARPopulation ages 05-09, female</v>
      </c>
      <c r="C2411" t="s">
        <v>475</v>
      </c>
      <c r="D2411" t="s">
        <v>476</v>
      </c>
      <c r="E2411" t="s">
        <v>364</v>
      </c>
      <c r="F2411" t="s">
        <v>693</v>
      </c>
      <c r="G2411">
        <v>151825100</v>
      </c>
      <c r="H2411">
        <v>151831000</v>
      </c>
    </row>
    <row r="2412" spans="2:8" x14ac:dyDescent="0.25">
      <c r="B2412" t="str">
        <f t="shared" si="37"/>
        <v>EARPopulation ages 05-09, male</v>
      </c>
      <c r="C2412" t="s">
        <v>475</v>
      </c>
      <c r="D2412" t="s">
        <v>476</v>
      </c>
      <c r="E2412" t="s">
        <v>365</v>
      </c>
      <c r="F2412" t="s">
        <v>694</v>
      </c>
      <c r="G2412">
        <v>162018600</v>
      </c>
      <c r="H2412">
        <v>162004700</v>
      </c>
    </row>
    <row r="2413" spans="2:8" x14ac:dyDescent="0.25">
      <c r="B2413" t="str">
        <f t="shared" si="37"/>
        <v>EARPopulation ages 10-14, female</v>
      </c>
      <c r="C2413" t="s">
        <v>475</v>
      </c>
      <c r="D2413" t="s">
        <v>476</v>
      </c>
      <c r="E2413" t="s">
        <v>366</v>
      </c>
      <c r="F2413" t="s">
        <v>695</v>
      </c>
      <c r="G2413">
        <v>149220900</v>
      </c>
      <c r="H2413">
        <v>149760300</v>
      </c>
    </row>
    <row r="2414" spans="2:8" x14ac:dyDescent="0.25">
      <c r="B2414" t="str">
        <f t="shared" si="37"/>
        <v>EARPopulation ages 10-14, male</v>
      </c>
      <c r="C2414" t="s">
        <v>475</v>
      </c>
      <c r="D2414" t="s">
        <v>476</v>
      </c>
      <c r="E2414" t="s">
        <v>367</v>
      </c>
      <c r="F2414" t="s">
        <v>696</v>
      </c>
      <c r="G2414">
        <v>159873100</v>
      </c>
      <c r="H2414">
        <v>160221600</v>
      </c>
    </row>
    <row r="2415" spans="2:8" x14ac:dyDescent="0.25">
      <c r="B2415" t="str">
        <f t="shared" si="37"/>
        <v>EARPopulation ages 15-19, female</v>
      </c>
      <c r="C2415" t="s">
        <v>475</v>
      </c>
      <c r="D2415" t="s">
        <v>476</v>
      </c>
      <c r="E2415" t="s">
        <v>368</v>
      </c>
      <c r="F2415" t="s">
        <v>697</v>
      </c>
      <c r="G2415">
        <v>144675700</v>
      </c>
      <c r="H2415">
        <v>145233100</v>
      </c>
    </row>
    <row r="2416" spans="2:8" x14ac:dyDescent="0.25">
      <c r="B2416" t="str">
        <f t="shared" si="37"/>
        <v>EARPopulation ages 15-19, male</v>
      </c>
      <c r="C2416" t="s">
        <v>475</v>
      </c>
      <c r="D2416" t="s">
        <v>476</v>
      </c>
      <c r="E2416" t="s">
        <v>369</v>
      </c>
      <c r="F2416" t="s">
        <v>698</v>
      </c>
      <c r="G2416">
        <v>155825700</v>
      </c>
      <c r="H2416">
        <v>156412800</v>
      </c>
    </row>
    <row r="2417" spans="2:8" x14ac:dyDescent="0.25">
      <c r="B2417" t="str">
        <f t="shared" si="37"/>
        <v>EARPopulation ages 20-24, female</v>
      </c>
      <c r="C2417" t="s">
        <v>475</v>
      </c>
      <c r="D2417" t="s">
        <v>476</v>
      </c>
      <c r="E2417" t="s">
        <v>370</v>
      </c>
      <c r="F2417" t="s">
        <v>699</v>
      </c>
      <c r="G2417">
        <v>140484900</v>
      </c>
      <c r="H2417">
        <v>141055800</v>
      </c>
    </row>
    <row r="2418" spans="2:8" x14ac:dyDescent="0.25">
      <c r="B2418" t="str">
        <f t="shared" si="37"/>
        <v>EARPopulation ages 20-24, male</v>
      </c>
      <c r="C2418" t="s">
        <v>475</v>
      </c>
      <c r="D2418" t="s">
        <v>476</v>
      </c>
      <c r="E2418" t="s">
        <v>371</v>
      </c>
      <c r="F2418" t="s">
        <v>700</v>
      </c>
      <c r="G2418">
        <v>150245800</v>
      </c>
      <c r="H2418">
        <v>151028700</v>
      </c>
    </row>
    <row r="2419" spans="2:8" x14ac:dyDescent="0.25">
      <c r="B2419" t="str">
        <f t="shared" si="37"/>
        <v>EARPopulation ages 25-29, female</v>
      </c>
      <c r="C2419" t="s">
        <v>475</v>
      </c>
      <c r="D2419" t="s">
        <v>476</v>
      </c>
      <c r="E2419" t="s">
        <v>372</v>
      </c>
      <c r="F2419" t="s">
        <v>701</v>
      </c>
      <c r="G2419">
        <v>135107900</v>
      </c>
      <c r="H2419">
        <v>135962200</v>
      </c>
    </row>
    <row r="2420" spans="2:8" x14ac:dyDescent="0.25">
      <c r="B2420" t="str">
        <f t="shared" si="37"/>
        <v>EARPopulation ages 25-29, male</v>
      </c>
      <c r="C2420" t="s">
        <v>475</v>
      </c>
      <c r="D2420" t="s">
        <v>476</v>
      </c>
      <c r="E2420" t="s">
        <v>373</v>
      </c>
      <c r="F2420" t="s">
        <v>702</v>
      </c>
      <c r="G2420">
        <v>142851400</v>
      </c>
      <c r="H2420">
        <v>144080800</v>
      </c>
    </row>
    <row r="2421" spans="2:8" x14ac:dyDescent="0.25">
      <c r="B2421" t="str">
        <f t="shared" si="37"/>
        <v>EARPopulation ages 30-34, female</v>
      </c>
      <c r="C2421" t="s">
        <v>475</v>
      </c>
      <c r="D2421" t="s">
        <v>476</v>
      </c>
      <c r="E2421" t="s">
        <v>374</v>
      </c>
      <c r="F2421" t="s">
        <v>703</v>
      </c>
      <c r="G2421">
        <v>128327700</v>
      </c>
      <c r="H2421">
        <v>129604900</v>
      </c>
    </row>
    <row r="2422" spans="2:8" x14ac:dyDescent="0.25">
      <c r="B2422" t="str">
        <f t="shared" si="37"/>
        <v>EARPopulation ages 30-34, male</v>
      </c>
      <c r="C2422" t="s">
        <v>475</v>
      </c>
      <c r="D2422" t="s">
        <v>476</v>
      </c>
      <c r="E2422" t="s">
        <v>375</v>
      </c>
      <c r="F2422" t="s">
        <v>704</v>
      </c>
      <c r="G2422">
        <v>133720200</v>
      </c>
      <c r="H2422">
        <v>135305700</v>
      </c>
    </row>
    <row r="2423" spans="2:8" x14ac:dyDescent="0.25">
      <c r="B2423" t="str">
        <f t="shared" si="37"/>
        <v>EARPopulation ages 35-39, female</v>
      </c>
      <c r="C2423" t="s">
        <v>475</v>
      </c>
      <c r="D2423" t="s">
        <v>476</v>
      </c>
      <c r="E2423" t="s">
        <v>376</v>
      </c>
      <c r="F2423" t="s">
        <v>705</v>
      </c>
      <c r="G2423">
        <v>117840600</v>
      </c>
      <c r="H2423">
        <v>120217200</v>
      </c>
    </row>
    <row r="2424" spans="2:8" x14ac:dyDescent="0.25">
      <c r="B2424" t="str">
        <f t="shared" si="37"/>
        <v>EARPopulation ages 35-39, male</v>
      </c>
      <c r="C2424" t="s">
        <v>475</v>
      </c>
      <c r="D2424" t="s">
        <v>476</v>
      </c>
      <c r="E2424" t="s">
        <v>377</v>
      </c>
      <c r="F2424" t="s">
        <v>706</v>
      </c>
      <c r="G2424">
        <v>122016000</v>
      </c>
      <c r="H2424">
        <v>124582500</v>
      </c>
    </row>
    <row r="2425" spans="2:8" x14ac:dyDescent="0.25">
      <c r="B2425" t="str">
        <f t="shared" si="37"/>
        <v>EARPopulation ages 40-44, female</v>
      </c>
      <c r="C2425" t="s">
        <v>475</v>
      </c>
      <c r="D2425" t="s">
        <v>476</v>
      </c>
      <c r="E2425" t="s">
        <v>378</v>
      </c>
      <c r="F2425" t="s">
        <v>707</v>
      </c>
      <c r="G2425">
        <v>102647500</v>
      </c>
      <c r="H2425">
        <v>105185100</v>
      </c>
    </row>
    <row r="2426" spans="2:8" x14ac:dyDescent="0.25">
      <c r="B2426" t="str">
        <f t="shared" si="37"/>
        <v>EARPopulation ages 40-44, male</v>
      </c>
      <c r="C2426" t="s">
        <v>475</v>
      </c>
      <c r="D2426" t="s">
        <v>476</v>
      </c>
      <c r="E2426" t="s">
        <v>379</v>
      </c>
      <c r="F2426" t="s">
        <v>708</v>
      </c>
      <c r="G2426">
        <v>105561600</v>
      </c>
      <c r="H2426">
        <v>108242100</v>
      </c>
    </row>
    <row r="2427" spans="2:8" x14ac:dyDescent="0.25">
      <c r="B2427" t="str">
        <f t="shared" si="37"/>
        <v>EARPopulation ages 45-49, female</v>
      </c>
      <c r="C2427" t="s">
        <v>475</v>
      </c>
      <c r="D2427" t="s">
        <v>476</v>
      </c>
      <c r="E2427" t="s">
        <v>380</v>
      </c>
      <c r="F2427" t="s">
        <v>709</v>
      </c>
      <c r="G2427">
        <v>89886700</v>
      </c>
      <c r="H2427">
        <v>92007100</v>
      </c>
    </row>
    <row r="2428" spans="2:8" x14ac:dyDescent="0.25">
      <c r="B2428" t="str">
        <f t="shared" si="37"/>
        <v>EARPopulation ages 45-49, male</v>
      </c>
      <c r="C2428" t="s">
        <v>475</v>
      </c>
      <c r="D2428" t="s">
        <v>476</v>
      </c>
      <c r="E2428" t="s">
        <v>381</v>
      </c>
      <c r="F2428" t="s">
        <v>710</v>
      </c>
      <c r="G2428">
        <v>91740200</v>
      </c>
      <c r="H2428">
        <v>93938400</v>
      </c>
    </row>
    <row r="2429" spans="2:8" x14ac:dyDescent="0.25">
      <c r="B2429" t="str">
        <f t="shared" si="37"/>
        <v>EARPopulation ages 50-54, female</v>
      </c>
      <c r="C2429" t="s">
        <v>475</v>
      </c>
      <c r="D2429" t="s">
        <v>476</v>
      </c>
      <c r="E2429" t="s">
        <v>382</v>
      </c>
      <c r="F2429" t="s">
        <v>711</v>
      </c>
      <c r="G2429">
        <v>77861100</v>
      </c>
      <c r="H2429">
        <v>79742800</v>
      </c>
    </row>
    <row r="2430" spans="2:8" x14ac:dyDescent="0.25">
      <c r="B2430" t="str">
        <f t="shared" si="37"/>
        <v>EARPopulation ages 50-54, male</v>
      </c>
      <c r="C2430" t="s">
        <v>475</v>
      </c>
      <c r="D2430" t="s">
        <v>476</v>
      </c>
      <c r="E2430" t="s">
        <v>383</v>
      </c>
      <c r="F2430" t="s">
        <v>712</v>
      </c>
      <c r="G2430">
        <v>78652300</v>
      </c>
      <c r="H2430">
        <v>80589800</v>
      </c>
    </row>
    <row r="2431" spans="2:8" x14ac:dyDescent="0.25">
      <c r="B2431" t="str">
        <f t="shared" si="37"/>
        <v>EARPopulation ages 55-59, male</v>
      </c>
      <c r="C2431" t="s">
        <v>475</v>
      </c>
      <c r="D2431" t="s">
        <v>476</v>
      </c>
      <c r="E2431" t="s">
        <v>385</v>
      </c>
      <c r="F2431" t="s">
        <v>713</v>
      </c>
      <c r="G2431">
        <v>65701800</v>
      </c>
      <c r="H2431">
        <v>67568600</v>
      </c>
    </row>
    <row r="2432" spans="2:8" x14ac:dyDescent="0.25">
      <c r="B2432" t="str">
        <f t="shared" si="37"/>
        <v>EARPopulation ages 55-59, female</v>
      </c>
      <c r="C2432" t="s">
        <v>475</v>
      </c>
      <c r="D2432" t="s">
        <v>476</v>
      </c>
      <c r="E2432" t="s">
        <v>384</v>
      </c>
      <c r="F2432" t="s">
        <v>714</v>
      </c>
      <c r="G2432">
        <v>65978300</v>
      </c>
      <c r="H2432">
        <v>67864700</v>
      </c>
    </row>
    <row r="2433" spans="2:8" x14ac:dyDescent="0.25">
      <c r="B2433" t="str">
        <f t="shared" si="37"/>
        <v>EARPopulation ages 65-69, male</v>
      </c>
      <c r="C2433" t="s">
        <v>475</v>
      </c>
      <c r="D2433" t="s">
        <v>476</v>
      </c>
      <c r="E2433" t="s">
        <v>389</v>
      </c>
      <c r="F2433" t="s">
        <v>715</v>
      </c>
      <c r="G2433">
        <v>38280600</v>
      </c>
      <c r="H2433">
        <v>40104500</v>
      </c>
    </row>
    <row r="2434" spans="2:8" x14ac:dyDescent="0.25">
      <c r="B2434" t="str">
        <f t="shared" si="37"/>
        <v>EARPopulation ages 65-69, female</v>
      </c>
      <c r="C2434" t="s">
        <v>475</v>
      </c>
      <c r="D2434" t="s">
        <v>476</v>
      </c>
      <c r="E2434" t="s">
        <v>388</v>
      </c>
      <c r="F2434" t="s">
        <v>716</v>
      </c>
      <c r="G2434">
        <v>40206000</v>
      </c>
      <c r="H2434">
        <v>42029400</v>
      </c>
    </row>
    <row r="2435" spans="2:8" x14ac:dyDescent="0.25">
      <c r="B2435" t="str">
        <f t="shared" si="37"/>
        <v>EARPopulation ages 60-64, female</v>
      </c>
      <c r="C2435" t="s">
        <v>475</v>
      </c>
      <c r="D2435" t="s">
        <v>476</v>
      </c>
      <c r="E2435" t="s">
        <v>386</v>
      </c>
      <c r="F2435" t="s">
        <v>717</v>
      </c>
      <c r="G2435">
        <v>53227500</v>
      </c>
      <c r="H2435">
        <v>55083700</v>
      </c>
    </row>
    <row r="2436" spans="2:8" x14ac:dyDescent="0.25">
      <c r="B2436" t="str">
        <f t="shared" si="37"/>
        <v>EARPopulation ages 60-64, male</v>
      </c>
      <c r="C2436" t="s">
        <v>475</v>
      </c>
      <c r="D2436" t="s">
        <v>476</v>
      </c>
      <c r="E2436" t="s">
        <v>387</v>
      </c>
      <c r="F2436" t="s">
        <v>718</v>
      </c>
      <c r="G2436">
        <v>52038800</v>
      </c>
      <c r="H2436">
        <v>53749400</v>
      </c>
    </row>
    <row r="2437" spans="2:8" x14ac:dyDescent="0.25">
      <c r="B2437" t="str">
        <f t="shared" si="37"/>
        <v>EARPopulation ages 70-74, female</v>
      </c>
      <c r="C2437" t="s">
        <v>475</v>
      </c>
      <c r="D2437" t="s">
        <v>476</v>
      </c>
      <c r="E2437" t="s">
        <v>390</v>
      </c>
      <c r="F2437" t="s">
        <v>719</v>
      </c>
      <c r="G2437">
        <v>27574400</v>
      </c>
      <c r="H2437">
        <v>28840000</v>
      </c>
    </row>
    <row r="2438" spans="2:8" x14ac:dyDescent="0.25">
      <c r="B2438" t="str">
        <f t="shared" si="37"/>
        <v>EARPopulation ages 70-74, male</v>
      </c>
      <c r="C2438" t="s">
        <v>475</v>
      </c>
      <c r="D2438" t="s">
        <v>476</v>
      </c>
      <c r="E2438" t="s">
        <v>391</v>
      </c>
      <c r="F2438" t="s">
        <v>720</v>
      </c>
      <c r="G2438">
        <v>24399600</v>
      </c>
      <c r="H2438">
        <v>25601400</v>
      </c>
    </row>
    <row r="2439" spans="2:8" x14ac:dyDescent="0.25">
      <c r="B2439" t="str">
        <f t="shared" ref="B2439:B2502" si="38">CONCATENATE(D2439,E2439)</f>
        <v>EARPopulation ages 75-79, female</v>
      </c>
      <c r="C2439" t="s">
        <v>475</v>
      </c>
      <c r="D2439" t="s">
        <v>476</v>
      </c>
      <c r="E2439" t="s">
        <v>392</v>
      </c>
      <c r="F2439" t="s">
        <v>721</v>
      </c>
      <c r="G2439">
        <v>18496400</v>
      </c>
      <c r="H2439">
        <v>19110900</v>
      </c>
    </row>
    <row r="2440" spans="2:8" x14ac:dyDescent="0.25">
      <c r="B2440" t="str">
        <f t="shared" si="38"/>
        <v>EARPopulation ages 75-79, male</v>
      </c>
      <c r="C2440" t="s">
        <v>475</v>
      </c>
      <c r="D2440" t="s">
        <v>476</v>
      </c>
      <c r="E2440" t="s">
        <v>393</v>
      </c>
      <c r="F2440" t="s">
        <v>722</v>
      </c>
      <c r="G2440">
        <v>15554000</v>
      </c>
      <c r="H2440">
        <v>16009300</v>
      </c>
    </row>
    <row r="2441" spans="2:8" x14ac:dyDescent="0.25">
      <c r="B2441" t="str">
        <f t="shared" si="38"/>
        <v>EARPopulation ages 80 and above, female</v>
      </c>
      <c r="C2441" t="s">
        <v>475</v>
      </c>
      <c r="D2441" t="s">
        <v>476</v>
      </c>
      <c r="E2441" t="s">
        <v>394</v>
      </c>
      <c r="F2441" t="s">
        <v>723</v>
      </c>
      <c r="G2441">
        <v>18236600</v>
      </c>
      <c r="H2441">
        <v>18612200</v>
      </c>
    </row>
    <row r="2442" spans="2:8" x14ac:dyDescent="0.25">
      <c r="B2442" t="str">
        <f t="shared" si="38"/>
        <v>EARPopulation ages 80 and above, male</v>
      </c>
      <c r="C2442" t="s">
        <v>475</v>
      </c>
      <c r="D2442" t="s">
        <v>476</v>
      </c>
      <c r="E2442" t="s">
        <v>395</v>
      </c>
      <c r="F2442" t="s">
        <v>724</v>
      </c>
      <c r="G2442">
        <v>13690400</v>
      </c>
      <c r="H2442">
        <v>13823900</v>
      </c>
    </row>
    <row r="2443" spans="2:8" x14ac:dyDescent="0.25">
      <c r="B2443" t="str">
        <f t="shared" si="38"/>
        <v>EARPopulation, male</v>
      </c>
      <c r="C2443" t="s">
        <v>475</v>
      </c>
      <c r="D2443" t="s">
        <v>476</v>
      </c>
      <c r="E2443" t="s">
        <v>397</v>
      </c>
      <c r="F2443" t="s">
        <v>725</v>
      </c>
      <c r="G2443">
        <v>1675924000</v>
      </c>
      <c r="H2443">
        <v>1696964000</v>
      </c>
    </row>
    <row r="2444" spans="2:8" x14ac:dyDescent="0.25">
      <c r="B2444" t="str">
        <f t="shared" si="38"/>
        <v>EARPopulation, total</v>
      </c>
      <c r="C2444" t="s">
        <v>475</v>
      </c>
      <c r="D2444" t="s">
        <v>476</v>
      </c>
      <c r="E2444" t="s">
        <v>398</v>
      </c>
      <c r="F2444" t="s">
        <v>726</v>
      </c>
      <c r="G2444">
        <v>3290981000</v>
      </c>
      <c r="H2444">
        <v>3332556000</v>
      </c>
    </row>
    <row r="2445" spans="2:8" x14ac:dyDescent="0.25">
      <c r="B2445" t="str">
        <f t="shared" si="38"/>
        <v>EARPopulation, female</v>
      </c>
      <c r="C2445" t="s">
        <v>475</v>
      </c>
      <c r="D2445" t="s">
        <v>476</v>
      </c>
      <c r="E2445" t="s">
        <v>396</v>
      </c>
      <c r="F2445" t="s">
        <v>727</v>
      </c>
      <c r="G2445">
        <v>1615057000</v>
      </c>
      <c r="H2445">
        <v>1635590000</v>
      </c>
    </row>
    <row r="2446" spans="2:8" x14ac:dyDescent="0.25">
      <c r="B2446" t="str">
        <f t="shared" si="38"/>
        <v>EARPopulation growth (annual %)</v>
      </c>
      <c r="C2446" t="s">
        <v>475</v>
      </c>
      <c r="D2446" t="s">
        <v>476</v>
      </c>
      <c r="E2446" t="s">
        <v>399</v>
      </c>
      <c r="F2446" t="s">
        <v>728</v>
      </c>
      <c r="G2446">
        <v>1.2877372846103867</v>
      </c>
      <c r="H2446">
        <v>1.2633011251052437</v>
      </c>
    </row>
    <row r="2447" spans="2:8" x14ac:dyDescent="0.25">
      <c r="B2447" t="str">
        <f t="shared" si="38"/>
        <v>EASPopulation ages 0-14, female</v>
      </c>
      <c r="C2447" t="s">
        <v>477</v>
      </c>
      <c r="D2447" t="s">
        <v>478</v>
      </c>
      <c r="E2447" t="s">
        <v>687</v>
      </c>
      <c r="F2447" t="s">
        <v>688</v>
      </c>
      <c r="G2447">
        <v>218323000</v>
      </c>
      <c r="H2447">
        <v>218101000</v>
      </c>
    </row>
    <row r="2448" spans="2:8" x14ac:dyDescent="0.25">
      <c r="B2448" t="str">
        <f t="shared" si="38"/>
        <v>EASPopulation ages 0-14, male</v>
      </c>
      <c r="C2448" t="s">
        <v>477</v>
      </c>
      <c r="D2448" t="s">
        <v>478</v>
      </c>
      <c r="E2448" t="s">
        <v>689</v>
      </c>
      <c r="F2448" t="s">
        <v>690</v>
      </c>
      <c r="G2448">
        <v>241337000</v>
      </c>
      <c r="H2448">
        <v>240749000</v>
      </c>
    </row>
    <row r="2449" spans="2:8" x14ac:dyDescent="0.25">
      <c r="B2449" t="str">
        <f t="shared" si="38"/>
        <v>EASPopulation ages 00-04, female</v>
      </c>
      <c r="C2449" t="s">
        <v>477</v>
      </c>
      <c r="D2449" t="s">
        <v>478</v>
      </c>
      <c r="E2449" t="s">
        <v>362</v>
      </c>
      <c r="F2449" t="s">
        <v>691</v>
      </c>
      <c r="G2449">
        <v>73059400</v>
      </c>
      <c r="H2449">
        <v>72270600</v>
      </c>
    </row>
    <row r="2450" spans="2:8" x14ac:dyDescent="0.25">
      <c r="B2450" t="str">
        <f t="shared" si="38"/>
        <v>EASPopulation ages 00-04, male</v>
      </c>
      <c r="C2450" t="s">
        <v>477</v>
      </c>
      <c r="D2450" t="s">
        <v>478</v>
      </c>
      <c r="E2450" t="s">
        <v>363</v>
      </c>
      <c r="F2450" t="s">
        <v>692</v>
      </c>
      <c r="G2450">
        <v>80036300</v>
      </c>
      <c r="H2450">
        <v>79040400</v>
      </c>
    </row>
    <row r="2451" spans="2:8" x14ac:dyDescent="0.25">
      <c r="B2451" t="str">
        <f t="shared" si="38"/>
        <v>EASPopulation ages 05-09, female</v>
      </c>
      <c r="C2451" t="s">
        <v>477</v>
      </c>
      <c r="D2451" t="s">
        <v>478</v>
      </c>
      <c r="E2451" t="s">
        <v>364</v>
      </c>
      <c r="F2451" t="s">
        <v>693</v>
      </c>
      <c r="G2451">
        <v>73841100</v>
      </c>
      <c r="H2451">
        <v>74138400</v>
      </c>
    </row>
    <row r="2452" spans="2:8" x14ac:dyDescent="0.25">
      <c r="B2452" t="str">
        <f t="shared" si="38"/>
        <v>EASPopulation ages 05-09, male</v>
      </c>
      <c r="C2452" t="s">
        <v>477</v>
      </c>
      <c r="D2452" t="s">
        <v>478</v>
      </c>
      <c r="E2452" t="s">
        <v>365</v>
      </c>
      <c r="F2452" t="s">
        <v>694</v>
      </c>
      <c r="G2452">
        <v>81705800</v>
      </c>
      <c r="H2452">
        <v>81807900</v>
      </c>
    </row>
    <row r="2453" spans="2:8" x14ac:dyDescent="0.25">
      <c r="B2453" t="str">
        <f t="shared" si="38"/>
        <v>EASPopulation ages 10-14, female</v>
      </c>
      <c r="C2453" t="s">
        <v>477</v>
      </c>
      <c r="D2453" t="s">
        <v>478</v>
      </c>
      <c r="E2453" t="s">
        <v>366</v>
      </c>
      <c r="F2453" t="s">
        <v>695</v>
      </c>
      <c r="G2453">
        <v>71418300</v>
      </c>
      <c r="H2453">
        <v>71699600</v>
      </c>
    </row>
    <row r="2454" spans="2:8" x14ac:dyDescent="0.25">
      <c r="B2454" t="str">
        <f t="shared" si="38"/>
        <v>EASPopulation ages 10-14, male</v>
      </c>
      <c r="C2454" t="s">
        <v>477</v>
      </c>
      <c r="D2454" t="s">
        <v>478</v>
      </c>
      <c r="E2454" t="s">
        <v>367</v>
      </c>
      <c r="F2454" t="s">
        <v>696</v>
      </c>
      <c r="G2454">
        <v>79593700</v>
      </c>
      <c r="H2454">
        <v>79897000</v>
      </c>
    </row>
    <row r="2455" spans="2:8" x14ac:dyDescent="0.25">
      <c r="B2455" t="str">
        <f t="shared" si="38"/>
        <v>EASPopulation ages 15-19, female</v>
      </c>
      <c r="C2455" t="s">
        <v>477</v>
      </c>
      <c r="D2455" t="s">
        <v>478</v>
      </c>
      <c r="E2455" t="s">
        <v>368</v>
      </c>
      <c r="F2455" t="s">
        <v>697</v>
      </c>
      <c r="G2455">
        <v>71665800</v>
      </c>
      <c r="H2455">
        <v>71173100</v>
      </c>
    </row>
    <row r="2456" spans="2:8" x14ac:dyDescent="0.25">
      <c r="B2456" t="str">
        <f t="shared" si="38"/>
        <v>EASPopulation ages 15-19, male</v>
      </c>
      <c r="C2456" t="s">
        <v>477</v>
      </c>
      <c r="D2456" t="s">
        <v>478</v>
      </c>
      <c r="E2456" t="s">
        <v>369</v>
      </c>
      <c r="F2456" t="s">
        <v>698</v>
      </c>
      <c r="G2456">
        <v>79198000</v>
      </c>
      <c r="H2456">
        <v>78828100</v>
      </c>
    </row>
    <row r="2457" spans="2:8" x14ac:dyDescent="0.25">
      <c r="B2457" t="str">
        <f t="shared" si="38"/>
        <v>EASPopulation ages 20-24, female</v>
      </c>
      <c r="C2457" t="s">
        <v>477</v>
      </c>
      <c r="D2457" t="s">
        <v>478</v>
      </c>
      <c r="E2457" t="s">
        <v>370</v>
      </c>
      <c r="F2457" t="s">
        <v>699</v>
      </c>
      <c r="G2457">
        <v>75421000</v>
      </c>
      <c r="H2457">
        <v>74484100</v>
      </c>
    </row>
    <row r="2458" spans="2:8" x14ac:dyDescent="0.25">
      <c r="B2458" t="str">
        <f t="shared" si="38"/>
        <v>EASPopulation ages 20-24, male</v>
      </c>
      <c r="C2458" t="s">
        <v>477</v>
      </c>
      <c r="D2458" t="s">
        <v>478</v>
      </c>
      <c r="E2458" t="s">
        <v>371</v>
      </c>
      <c r="F2458" t="s">
        <v>700</v>
      </c>
      <c r="G2458">
        <v>82337400</v>
      </c>
      <c r="H2458">
        <v>81493500</v>
      </c>
    </row>
    <row r="2459" spans="2:8" x14ac:dyDescent="0.25">
      <c r="B2459" t="str">
        <f t="shared" si="38"/>
        <v>EASPopulation ages 25-29, female</v>
      </c>
      <c r="C2459" t="s">
        <v>477</v>
      </c>
      <c r="D2459" t="s">
        <v>478</v>
      </c>
      <c r="E2459" t="s">
        <v>372</v>
      </c>
      <c r="F2459" t="s">
        <v>701</v>
      </c>
      <c r="G2459">
        <v>83205700</v>
      </c>
      <c r="H2459">
        <v>80149900</v>
      </c>
    </row>
    <row r="2460" spans="2:8" x14ac:dyDescent="0.25">
      <c r="B2460" t="str">
        <f t="shared" si="38"/>
        <v>EASPopulation ages 25-29, male</v>
      </c>
      <c r="C2460" t="s">
        <v>477</v>
      </c>
      <c r="D2460" t="s">
        <v>478</v>
      </c>
      <c r="E2460" t="s">
        <v>373</v>
      </c>
      <c r="F2460" t="s">
        <v>702</v>
      </c>
      <c r="G2460">
        <v>89193900</v>
      </c>
      <c r="H2460">
        <v>86367400</v>
      </c>
    </row>
    <row r="2461" spans="2:8" x14ac:dyDescent="0.25">
      <c r="B2461" t="str">
        <f t="shared" si="38"/>
        <v>EASPopulation ages 30-34, female</v>
      </c>
      <c r="C2461" t="s">
        <v>477</v>
      </c>
      <c r="D2461" t="s">
        <v>478</v>
      </c>
      <c r="E2461" t="s">
        <v>374</v>
      </c>
      <c r="F2461" t="s">
        <v>703</v>
      </c>
      <c r="G2461">
        <v>94021800</v>
      </c>
      <c r="H2461">
        <v>94469100</v>
      </c>
    </row>
    <row r="2462" spans="2:8" x14ac:dyDescent="0.25">
      <c r="B2462" t="str">
        <f t="shared" si="38"/>
        <v>EASPopulation ages 30-34, male</v>
      </c>
      <c r="C2462" t="s">
        <v>477</v>
      </c>
      <c r="D2462" t="s">
        <v>478</v>
      </c>
      <c r="E2462" t="s">
        <v>375</v>
      </c>
      <c r="F2462" t="s">
        <v>704</v>
      </c>
      <c r="G2462">
        <v>98202100</v>
      </c>
      <c r="H2462">
        <v>98970800</v>
      </c>
    </row>
    <row r="2463" spans="2:8" x14ac:dyDescent="0.25">
      <c r="B2463" t="str">
        <f t="shared" si="38"/>
        <v>EASPopulation ages 35-39, female</v>
      </c>
      <c r="C2463" t="s">
        <v>477</v>
      </c>
      <c r="D2463" t="s">
        <v>478</v>
      </c>
      <c r="E2463" t="s">
        <v>376</v>
      </c>
      <c r="F2463" t="s">
        <v>705</v>
      </c>
      <c r="G2463">
        <v>80120200</v>
      </c>
      <c r="H2463">
        <v>81996800</v>
      </c>
    </row>
    <row r="2464" spans="2:8" x14ac:dyDescent="0.25">
      <c r="B2464" t="str">
        <f t="shared" si="38"/>
        <v>EASPopulation ages 35-39, male</v>
      </c>
      <c r="C2464" t="s">
        <v>477</v>
      </c>
      <c r="D2464" t="s">
        <v>478</v>
      </c>
      <c r="E2464" t="s">
        <v>377</v>
      </c>
      <c r="F2464" t="s">
        <v>706</v>
      </c>
      <c r="G2464">
        <v>82791700</v>
      </c>
      <c r="H2464">
        <v>84823200</v>
      </c>
    </row>
    <row r="2465" spans="2:8" x14ac:dyDescent="0.25">
      <c r="B2465" t="str">
        <f t="shared" si="38"/>
        <v>EASPopulation ages 40-44, female</v>
      </c>
      <c r="C2465" t="s">
        <v>477</v>
      </c>
      <c r="D2465" t="s">
        <v>478</v>
      </c>
      <c r="E2465" t="s">
        <v>378</v>
      </c>
      <c r="F2465" t="s">
        <v>707</v>
      </c>
      <c r="G2465">
        <v>80139600</v>
      </c>
      <c r="H2465">
        <v>78428900</v>
      </c>
    </row>
    <row r="2466" spans="2:8" x14ac:dyDescent="0.25">
      <c r="B2466" t="str">
        <f t="shared" si="38"/>
        <v>EASPopulation ages 40-44, male</v>
      </c>
      <c r="C2466" t="s">
        <v>477</v>
      </c>
      <c r="D2466" t="s">
        <v>478</v>
      </c>
      <c r="E2466" t="s">
        <v>379</v>
      </c>
      <c r="F2466" t="s">
        <v>708</v>
      </c>
      <c r="G2466">
        <v>82540100</v>
      </c>
      <c r="H2466">
        <v>80747400</v>
      </c>
    </row>
    <row r="2467" spans="2:8" x14ac:dyDescent="0.25">
      <c r="B2467" t="str">
        <f t="shared" si="38"/>
        <v>EASPopulation ages 45-49, female</v>
      </c>
      <c r="C2467" t="s">
        <v>477</v>
      </c>
      <c r="D2467" t="s">
        <v>478</v>
      </c>
      <c r="E2467" t="s">
        <v>380</v>
      </c>
      <c r="F2467" t="s">
        <v>709</v>
      </c>
      <c r="G2467">
        <v>91117800</v>
      </c>
      <c r="H2467">
        <v>89565200</v>
      </c>
    </row>
    <row r="2468" spans="2:8" x14ac:dyDescent="0.25">
      <c r="B2468" t="str">
        <f t="shared" si="38"/>
        <v>EASPopulation ages 45-49, male</v>
      </c>
      <c r="C2468" t="s">
        <v>477</v>
      </c>
      <c r="D2468" t="s">
        <v>478</v>
      </c>
      <c r="E2468" t="s">
        <v>381</v>
      </c>
      <c r="F2468" t="s">
        <v>710</v>
      </c>
      <c r="G2468">
        <v>93303200</v>
      </c>
      <c r="H2468">
        <v>91881300</v>
      </c>
    </row>
    <row r="2469" spans="2:8" x14ac:dyDescent="0.25">
      <c r="B2469" t="str">
        <f t="shared" si="38"/>
        <v>EASPopulation ages 50-54, female</v>
      </c>
      <c r="C2469" t="s">
        <v>477</v>
      </c>
      <c r="D2469" t="s">
        <v>478</v>
      </c>
      <c r="E2469" t="s">
        <v>382</v>
      </c>
      <c r="F2469" t="s">
        <v>711</v>
      </c>
      <c r="G2469">
        <v>87422600</v>
      </c>
      <c r="H2469">
        <v>89257100</v>
      </c>
    </row>
    <row r="2470" spans="2:8" x14ac:dyDescent="0.25">
      <c r="B2470" t="str">
        <f t="shared" si="38"/>
        <v>EASPopulation ages 50-54, male</v>
      </c>
      <c r="C2470" t="s">
        <v>477</v>
      </c>
      <c r="D2470" t="s">
        <v>478</v>
      </c>
      <c r="E2470" t="s">
        <v>383</v>
      </c>
      <c r="F2470" t="s">
        <v>712</v>
      </c>
      <c r="G2470">
        <v>87982800</v>
      </c>
      <c r="H2470">
        <v>89838500</v>
      </c>
    </row>
    <row r="2471" spans="2:8" x14ac:dyDescent="0.25">
      <c r="B2471" t="str">
        <f t="shared" si="38"/>
        <v>EASPopulation ages 55-59, male</v>
      </c>
      <c r="C2471" t="s">
        <v>477</v>
      </c>
      <c r="D2471" t="s">
        <v>478</v>
      </c>
      <c r="E2471" t="s">
        <v>385</v>
      </c>
      <c r="F2471" t="s">
        <v>713</v>
      </c>
      <c r="G2471">
        <v>71196000</v>
      </c>
      <c r="H2471">
        <v>73977700</v>
      </c>
    </row>
    <row r="2472" spans="2:8" x14ac:dyDescent="0.25">
      <c r="B2472" t="str">
        <f t="shared" si="38"/>
        <v>EASPopulation ages 55-59, female</v>
      </c>
      <c r="C2472" t="s">
        <v>477</v>
      </c>
      <c r="D2472" t="s">
        <v>478</v>
      </c>
      <c r="E2472" t="s">
        <v>384</v>
      </c>
      <c r="F2472" t="s">
        <v>714</v>
      </c>
      <c r="G2472">
        <v>71019800</v>
      </c>
      <c r="H2472">
        <v>73861300</v>
      </c>
    </row>
    <row r="2473" spans="2:8" x14ac:dyDescent="0.25">
      <c r="B2473" t="str">
        <f t="shared" si="38"/>
        <v>EASPopulation ages 65-69, male</v>
      </c>
      <c r="C2473" t="s">
        <v>477</v>
      </c>
      <c r="D2473" t="s">
        <v>478</v>
      </c>
      <c r="E2473" t="s">
        <v>389</v>
      </c>
      <c r="F2473" t="s">
        <v>715</v>
      </c>
      <c r="G2473">
        <v>50204600</v>
      </c>
      <c r="H2473">
        <v>52028200</v>
      </c>
    </row>
    <row r="2474" spans="2:8" x14ac:dyDescent="0.25">
      <c r="B2474" t="str">
        <f t="shared" si="38"/>
        <v>EASPopulation ages 65-69, female</v>
      </c>
      <c r="C2474" t="s">
        <v>477</v>
      </c>
      <c r="D2474" t="s">
        <v>478</v>
      </c>
      <c r="E2474" t="s">
        <v>388</v>
      </c>
      <c r="F2474" t="s">
        <v>716</v>
      </c>
      <c r="G2474">
        <v>52935700</v>
      </c>
      <c r="H2474">
        <v>54797300</v>
      </c>
    </row>
    <row r="2475" spans="2:8" x14ac:dyDescent="0.25">
      <c r="B2475" t="str">
        <f t="shared" si="38"/>
        <v>EASPopulation ages 60-64, female</v>
      </c>
      <c r="C2475" t="s">
        <v>477</v>
      </c>
      <c r="D2475" t="s">
        <v>478</v>
      </c>
      <c r="E2475" t="s">
        <v>386</v>
      </c>
      <c r="F2475" t="s">
        <v>717</v>
      </c>
      <c r="G2475">
        <v>59469300</v>
      </c>
      <c r="H2475">
        <v>60346300</v>
      </c>
    </row>
    <row r="2476" spans="2:8" x14ac:dyDescent="0.25">
      <c r="B2476" t="str">
        <f t="shared" si="38"/>
        <v>EASPopulation ages 60-64, male</v>
      </c>
      <c r="C2476" t="s">
        <v>477</v>
      </c>
      <c r="D2476" t="s">
        <v>478</v>
      </c>
      <c r="E2476" t="s">
        <v>387</v>
      </c>
      <c r="F2476" t="s">
        <v>718</v>
      </c>
      <c r="G2476">
        <v>58319800</v>
      </c>
      <c r="H2476">
        <v>59194600</v>
      </c>
    </row>
    <row r="2477" spans="2:8" x14ac:dyDescent="0.25">
      <c r="B2477" t="str">
        <f t="shared" si="38"/>
        <v>EASPopulation ages 70-74, female</v>
      </c>
      <c r="C2477" t="s">
        <v>477</v>
      </c>
      <c r="D2477" t="s">
        <v>478</v>
      </c>
      <c r="E2477" t="s">
        <v>390</v>
      </c>
      <c r="F2477" t="s">
        <v>719</v>
      </c>
      <c r="G2477">
        <v>35213600</v>
      </c>
      <c r="H2477">
        <v>37544500</v>
      </c>
    </row>
    <row r="2478" spans="2:8" x14ac:dyDescent="0.25">
      <c r="B2478" t="str">
        <f t="shared" si="38"/>
        <v>EASPopulation ages 70-74, male</v>
      </c>
      <c r="C2478" t="s">
        <v>477</v>
      </c>
      <c r="D2478" t="s">
        <v>478</v>
      </c>
      <c r="E2478" t="s">
        <v>391</v>
      </c>
      <c r="F2478" t="s">
        <v>720</v>
      </c>
      <c r="G2478">
        <v>30993100</v>
      </c>
      <c r="H2478">
        <v>33089000</v>
      </c>
    </row>
    <row r="2479" spans="2:8" x14ac:dyDescent="0.25">
      <c r="B2479" t="str">
        <f t="shared" si="38"/>
        <v>EASPopulation ages 75-79, female</v>
      </c>
      <c r="C2479" t="s">
        <v>477</v>
      </c>
      <c r="D2479" t="s">
        <v>478</v>
      </c>
      <c r="E2479" t="s">
        <v>392</v>
      </c>
      <c r="F2479" t="s">
        <v>721</v>
      </c>
      <c r="G2479">
        <v>23718000</v>
      </c>
      <c r="H2479">
        <v>24659400</v>
      </c>
    </row>
    <row r="2480" spans="2:8" x14ac:dyDescent="0.25">
      <c r="B2480" t="str">
        <f t="shared" si="38"/>
        <v>EASPopulation ages 75-79, male</v>
      </c>
      <c r="C2480" t="s">
        <v>477</v>
      </c>
      <c r="D2480" t="s">
        <v>478</v>
      </c>
      <c r="E2480" t="s">
        <v>393</v>
      </c>
      <c r="F2480" t="s">
        <v>722</v>
      </c>
      <c r="G2480">
        <v>19294700</v>
      </c>
      <c r="H2480">
        <v>19976200</v>
      </c>
    </row>
    <row r="2481" spans="2:8" x14ac:dyDescent="0.25">
      <c r="B2481" t="str">
        <f t="shared" si="38"/>
        <v>EASPopulation ages 80 and above, female</v>
      </c>
      <c r="C2481" t="s">
        <v>477</v>
      </c>
      <c r="D2481" t="s">
        <v>478</v>
      </c>
      <c r="E2481" t="s">
        <v>394</v>
      </c>
      <c r="F2481" t="s">
        <v>723</v>
      </c>
      <c r="G2481">
        <v>30318100</v>
      </c>
      <c r="H2481">
        <v>31118700</v>
      </c>
    </row>
    <row r="2482" spans="2:8" x14ac:dyDescent="0.25">
      <c r="B2482" t="str">
        <f t="shared" si="38"/>
        <v>EASPopulation ages 80 and above, male</v>
      </c>
      <c r="C2482" t="s">
        <v>477</v>
      </c>
      <c r="D2482" t="s">
        <v>478</v>
      </c>
      <c r="E2482" t="s">
        <v>395</v>
      </c>
      <c r="F2482" t="s">
        <v>724</v>
      </c>
      <c r="G2482">
        <v>18868300</v>
      </c>
      <c r="H2482">
        <v>19174700</v>
      </c>
    </row>
    <row r="2483" spans="2:8" x14ac:dyDescent="0.25">
      <c r="B2483" t="str">
        <f t="shared" si="38"/>
        <v>EASPopulation, male</v>
      </c>
      <c r="C2483" t="s">
        <v>477</v>
      </c>
      <c r="D2483" t="s">
        <v>478</v>
      </c>
      <c r="E2483" t="s">
        <v>397</v>
      </c>
      <c r="F2483" t="s">
        <v>725</v>
      </c>
      <c r="G2483">
        <v>1185761000</v>
      </c>
      <c r="H2483">
        <v>1191134000</v>
      </c>
    </row>
    <row r="2484" spans="2:8" x14ac:dyDescent="0.25">
      <c r="B2484" t="str">
        <f t="shared" si="38"/>
        <v>EASPopulation, total</v>
      </c>
      <c r="C2484" t="s">
        <v>477</v>
      </c>
      <c r="D2484" t="s">
        <v>478</v>
      </c>
      <c r="E2484" t="s">
        <v>398</v>
      </c>
      <c r="F2484" t="s">
        <v>726</v>
      </c>
      <c r="G2484">
        <v>2340080000</v>
      </c>
      <c r="H2484">
        <v>2351307000</v>
      </c>
    </row>
    <row r="2485" spans="2:8" x14ac:dyDescent="0.25">
      <c r="B2485" t="str">
        <f t="shared" si="38"/>
        <v>EASPopulation, female</v>
      </c>
      <c r="C2485" t="s">
        <v>477</v>
      </c>
      <c r="D2485" t="s">
        <v>478</v>
      </c>
      <c r="E2485" t="s">
        <v>396</v>
      </c>
      <c r="F2485" t="s">
        <v>727</v>
      </c>
      <c r="G2485">
        <v>1154107000</v>
      </c>
      <c r="H2485">
        <v>1159958000</v>
      </c>
    </row>
    <row r="2486" spans="2:8" x14ac:dyDescent="0.25">
      <c r="B2486" t="str">
        <f t="shared" si="38"/>
        <v>EASPopulation growth (annual %)</v>
      </c>
      <c r="C2486" t="s">
        <v>477</v>
      </c>
      <c r="D2486" t="s">
        <v>478</v>
      </c>
      <c r="E2486" t="s">
        <v>399</v>
      </c>
      <c r="F2486" t="s">
        <v>728</v>
      </c>
      <c r="G2486">
        <v>0.50936447451397271</v>
      </c>
      <c r="H2486">
        <v>0.47976992239581762</v>
      </c>
    </row>
    <row r="2487" spans="2:8" x14ac:dyDescent="0.25">
      <c r="B2487" t="str">
        <f t="shared" si="38"/>
        <v>EAPPopulation ages 0-14, female</v>
      </c>
      <c r="C2487" t="s">
        <v>479</v>
      </c>
      <c r="D2487" t="s">
        <v>480</v>
      </c>
      <c r="E2487" t="s">
        <v>687</v>
      </c>
      <c r="F2487" t="s">
        <v>688</v>
      </c>
      <c r="G2487">
        <v>202155000</v>
      </c>
      <c r="H2487">
        <v>202037000</v>
      </c>
    </row>
    <row r="2488" spans="2:8" x14ac:dyDescent="0.25">
      <c r="B2488" t="str">
        <f t="shared" si="38"/>
        <v>EAPPopulation ages 0-14, male</v>
      </c>
      <c r="C2488" t="s">
        <v>479</v>
      </c>
      <c r="D2488" t="s">
        <v>480</v>
      </c>
      <c r="E2488" t="s">
        <v>689</v>
      </c>
      <c r="F2488" t="s">
        <v>690</v>
      </c>
      <c r="G2488">
        <v>224204000</v>
      </c>
      <c r="H2488">
        <v>223722000</v>
      </c>
    </row>
    <row r="2489" spans="2:8" x14ac:dyDescent="0.25">
      <c r="B2489" t="str">
        <f t="shared" si="38"/>
        <v>EAPPopulation ages 00-04, female</v>
      </c>
      <c r="C2489" t="s">
        <v>479</v>
      </c>
      <c r="D2489" t="s">
        <v>480</v>
      </c>
      <c r="E2489" t="s">
        <v>362</v>
      </c>
      <c r="F2489" t="s">
        <v>691</v>
      </c>
      <c r="G2489">
        <v>67926100</v>
      </c>
      <c r="H2489">
        <v>67219300</v>
      </c>
    </row>
    <row r="2490" spans="2:8" x14ac:dyDescent="0.25">
      <c r="B2490" t="str">
        <f t="shared" si="38"/>
        <v>EAPPopulation ages 00-04, male</v>
      </c>
      <c r="C2490" t="s">
        <v>479</v>
      </c>
      <c r="D2490" t="s">
        <v>480</v>
      </c>
      <c r="E2490" t="s">
        <v>363</v>
      </c>
      <c r="F2490" t="s">
        <v>692</v>
      </c>
      <c r="G2490">
        <v>74601300</v>
      </c>
      <c r="H2490">
        <v>73692400</v>
      </c>
    </row>
    <row r="2491" spans="2:8" x14ac:dyDescent="0.25">
      <c r="B2491" t="str">
        <f t="shared" si="38"/>
        <v>EAPPopulation ages 05-09, female</v>
      </c>
      <c r="C2491" t="s">
        <v>479</v>
      </c>
      <c r="D2491" t="s">
        <v>480</v>
      </c>
      <c r="E2491" t="s">
        <v>364</v>
      </c>
      <c r="F2491" t="s">
        <v>693</v>
      </c>
      <c r="G2491">
        <v>68342700</v>
      </c>
      <c r="H2491">
        <v>68650500</v>
      </c>
    </row>
    <row r="2492" spans="2:8" x14ac:dyDescent="0.25">
      <c r="B2492" t="str">
        <f t="shared" si="38"/>
        <v>EAPPopulation ages 05-09, male</v>
      </c>
      <c r="C2492" t="s">
        <v>479</v>
      </c>
      <c r="D2492" t="s">
        <v>480</v>
      </c>
      <c r="E2492" t="s">
        <v>365</v>
      </c>
      <c r="F2492" t="s">
        <v>694</v>
      </c>
      <c r="G2492">
        <v>75879900</v>
      </c>
      <c r="H2492">
        <v>75994000</v>
      </c>
    </row>
    <row r="2493" spans="2:8" x14ac:dyDescent="0.25">
      <c r="B2493" t="str">
        <f t="shared" si="38"/>
        <v>EAPPopulation ages 10-14, female</v>
      </c>
      <c r="C2493" t="s">
        <v>479</v>
      </c>
      <c r="D2493" t="s">
        <v>480</v>
      </c>
      <c r="E2493" t="s">
        <v>366</v>
      </c>
      <c r="F2493" t="s">
        <v>695</v>
      </c>
      <c r="G2493">
        <v>65884800</v>
      </c>
      <c r="H2493">
        <v>66172100</v>
      </c>
    </row>
    <row r="2494" spans="2:8" x14ac:dyDescent="0.25">
      <c r="B2494" t="str">
        <f t="shared" si="38"/>
        <v>EAPPopulation ages 10-14, male</v>
      </c>
      <c r="C2494" t="s">
        <v>479</v>
      </c>
      <c r="D2494" t="s">
        <v>480</v>
      </c>
      <c r="E2494" t="s">
        <v>367</v>
      </c>
      <c r="F2494" t="s">
        <v>696</v>
      </c>
      <c r="G2494">
        <v>73722800</v>
      </c>
      <c r="H2494">
        <v>74035200</v>
      </c>
    </row>
    <row r="2495" spans="2:8" x14ac:dyDescent="0.25">
      <c r="B2495" t="str">
        <f t="shared" si="38"/>
        <v>EAPPopulation ages 15-19, female</v>
      </c>
      <c r="C2495" t="s">
        <v>479</v>
      </c>
      <c r="D2495" t="s">
        <v>480</v>
      </c>
      <c r="E2495" t="s">
        <v>368</v>
      </c>
      <c r="F2495" t="s">
        <v>697</v>
      </c>
      <c r="G2495">
        <v>65804000</v>
      </c>
      <c r="H2495">
        <v>65426400</v>
      </c>
    </row>
    <row r="2496" spans="2:8" x14ac:dyDescent="0.25">
      <c r="B2496" t="str">
        <f t="shared" si="38"/>
        <v>EAPPopulation ages 15-19, male</v>
      </c>
      <c r="C2496" t="s">
        <v>479</v>
      </c>
      <c r="D2496" t="s">
        <v>480</v>
      </c>
      <c r="E2496" t="s">
        <v>369</v>
      </c>
      <c r="F2496" t="s">
        <v>698</v>
      </c>
      <c r="G2496">
        <v>72957800</v>
      </c>
      <c r="H2496">
        <v>72715000</v>
      </c>
    </row>
    <row r="2497" spans="2:8" x14ac:dyDescent="0.25">
      <c r="B2497" t="str">
        <f t="shared" si="38"/>
        <v>EAPPopulation ages 20-24, female</v>
      </c>
      <c r="C2497" t="s">
        <v>479</v>
      </c>
      <c r="D2497" t="s">
        <v>480</v>
      </c>
      <c r="E2497" t="s">
        <v>370</v>
      </c>
      <c r="F2497" t="s">
        <v>699</v>
      </c>
      <c r="G2497">
        <v>68766400</v>
      </c>
      <c r="H2497">
        <v>67936500</v>
      </c>
    </row>
    <row r="2498" spans="2:8" x14ac:dyDescent="0.25">
      <c r="B2498" t="str">
        <f t="shared" si="38"/>
        <v>EAPPopulation ages 20-24, male</v>
      </c>
      <c r="C2498" t="s">
        <v>479</v>
      </c>
      <c r="D2498" t="s">
        <v>480</v>
      </c>
      <c r="E2498" t="s">
        <v>371</v>
      </c>
      <c r="F2498" t="s">
        <v>700</v>
      </c>
      <c r="G2498">
        <v>75211200</v>
      </c>
      <c r="H2498">
        <v>74497300</v>
      </c>
    </row>
    <row r="2499" spans="2:8" x14ac:dyDescent="0.25">
      <c r="B2499" t="str">
        <f t="shared" si="38"/>
        <v>EAPPopulation ages 25-29, female</v>
      </c>
      <c r="C2499" t="s">
        <v>479</v>
      </c>
      <c r="D2499" t="s">
        <v>480</v>
      </c>
      <c r="E2499" t="s">
        <v>372</v>
      </c>
      <c r="F2499" t="s">
        <v>701</v>
      </c>
      <c r="G2499">
        <v>76179100</v>
      </c>
      <c r="H2499">
        <v>73162500</v>
      </c>
    </row>
    <row r="2500" spans="2:8" x14ac:dyDescent="0.25">
      <c r="B2500" t="str">
        <f t="shared" si="38"/>
        <v>EAPPopulation ages 25-29, male</v>
      </c>
      <c r="C2500" t="s">
        <v>479</v>
      </c>
      <c r="D2500" t="s">
        <v>480</v>
      </c>
      <c r="E2500" t="s">
        <v>373</v>
      </c>
      <c r="F2500" t="s">
        <v>702</v>
      </c>
      <c r="G2500">
        <v>81682500</v>
      </c>
      <c r="H2500">
        <v>78881000</v>
      </c>
    </row>
    <row r="2501" spans="2:8" x14ac:dyDescent="0.25">
      <c r="B2501" t="str">
        <f t="shared" si="38"/>
        <v>EAPPopulation ages 30-34, female</v>
      </c>
      <c r="C2501" t="s">
        <v>479</v>
      </c>
      <c r="D2501" t="s">
        <v>480</v>
      </c>
      <c r="E2501" t="s">
        <v>374</v>
      </c>
      <c r="F2501" t="s">
        <v>703</v>
      </c>
      <c r="G2501">
        <v>86535100</v>
      </c>
      <c r="H2501">
        <v>87114300</v>
      </c>
    </row>
    <row r="2502" spans="2:8" x14ac:dyDescent="0.25">
      <c r="B2502" t="str">
        <f t="shared" si="38"/>
        <v>EAPPopulation ages 30-34, male</v>
      </c>
      <c r="C2502" t="s">
        <v>479</v>
      </c>
      <c r="D2502" t="s">
        <v>480</v>
      </c>
      <c r="E2502" t="s">
        <v>375</v>
      </c>
      <c r="F2502" t="s">
        <v>704</v>
      </c>
      <c r="G2502">
        <v>90418400</v>
      </c>
      <c r="H2502">
        <v>91297900</v>
      </c>
    </row>
    <row r="2503" spans="2:8" x14ac:dyDescent="0.25">
      <c r="B2503" t="str">
        <f t="shared" ref="B2503:B2566" si="39">CONCATENATE(D2503,E2503)</f>
        <v>EAPPopulation ages 35-39, female</v>
      </c>
      <c r="C2503" t="s">
        <v>479</v>
      </c>
      <c r="D2503" t="s">
        <v>480</v>
      </c>
      <c r="E2503" t="s">
        <v>376</v>
      </c>
      <c r="F2503" t="s">
        <v>705</v>
      </c>
      <c r="G2503">
        <v>71754300</v>
      </c>
      <c r="H2503">
        <v>73735800</v>
      </c>
    </row>
    <row r="2504" spans="2:8" x14ac:dyDescent="0.25">
      <c r="B2504" t="str">
        <f t="shared" si="39"/>
        <v>EAPPopulation ages 35-39, male</v>
      </c>
      <c r="C2504" t="s">
        <v>479</v>
      </c>
      <c r="D2504" t="s">
        <v>480</v>
      </c>
      <c r="E2504" t="s">
        <v>377</v>
      </c>
      <c r="F2504" t="s">
        <v>706</v>
      </c>
      <c r="G2504">
        <v>74239700</v>
      </c>
      <c r="H2504">
        <v>76356100</v>
      </c>
    </row>
    <row r="2505" spans="2:8" x14ac:dyDescent="0.25">
      <c r="B2505" t="str">
        <f t="shared" si="39"/>
        <v>EAPPopulation ages 40-44, female</v>
      </c>
      <c r="C2505" t="s">
        <v>479</v>
      </c>
      <c r="D2505" t="s">
        <v>480</v>
      </c>
      <c r="E2505" t="s">
        <v>378</v>
      </c>
      <c r="F2505" t="s">
        <v>707</v>
      </c>
      <c r="G2505">
        <v>71281400</v>
      </c>
      <c r="H2505">
        <v>69740800</v>
      </c>
    </row>
    <row r="2506" spans="2:8" x14ac:dyDescent="0.25">
      <c r="B2506" t="str">
        <f t="shared" si="39"/>
        <v>EAPPopulation ages 40-44, male</v>
      </c>
      <c r="C2506" t="s">
        <v>479</v>
      </c>
      <c r="D2506" t="s">
        <v>480</v>
      </c>
      <c r="E2506" t="s">
        <v>379</v>
      </c>
      <c r="F2506" t="s">
        <v>708</v>
      </c>
      <c r="G2506">
        <v>73561400</v>
      </c>
      <c r="H2506">
        <v>71943800</v>
      </c>
    </row>
    <row r="2507" spans="2:8" x14ac:dyDescent="0.25">
      <c r="B2507" t="str">
        <f t="shared" si="39"/>
        <v>EAPPopulation ages 45-49, female</v>
      </c>
      <c r="C2507" t="s">
        <v>479</v>
      </c>
      <c r="D2507" t="s">
        <v>480</v>
      </c>
      <c r="E2507" t="s">
        <v>380</v>
      </c>
      <c r="F2507" t="s">
        <v>709</v>
      </c>
      <c r="G2507">
        <v>81579700</v>
      </c>
      <c r="H2507">
        <v>80017100</v>
      </c>
    </row>
    <row r="2508" spans="2:8" x14ac:dyDescent="0.25">
      <c r="B2508" t="str">
        <f t="shared" si="39"/>
        <v>EAPPopulation ages 45-49, male</v>
      </c>
      <c r="C2508" t="s">
        <v>479</v>
      </c>
      <c r="D2508" t="s">
        <v>480</v>
      </c>
      <c r="E2508" t="s">
        <v>381</v>
      </c>
      <c r="F2508" t="s">
        <v>710</v>
      </c>
      <c r="G2508">
        <v>83647000</v>
      </c>
      <c r="H2508">
        <v>82205100</v>
      </c>
    </row>
    <row r="2509" spans="2:8" x14ac:dyDescent="0.25">
      <c r="B2509" t="str">
        <f t="shared" si="39"/>
        <v>EAPPopulation ages 50-54, female</v>
      </c>
      <c r="C2509" t="s">
        <v>479</v>
      </c>
      <c r="D2509" t="s">
        <v>480</v>
      </c>
      <c r="E2509" t="s">
        <v>382</v>
      </c>
      <c r="F2509" t="s">
        <v>711</v>
      </c>
      <c r="G2509">
        <v>78603500</v>
      </c>
      <c r="H2509">
        <v>80342700</v>
      </c>
    </row>
    <row r="2510" spans="2:8" x14ac:dyDescent="0.25">
      <c r="B2510" t="str">
        <f t="shared" si="39"/>
        <v>EAPPopulation ages 50-54, male</v>
      </c>
      <c r="C2510" t="s">
        <v>479</v>
      </c>
      <c r="D2510" t="s">
        <v>480</v>
      </c>
      <c r="E2510" t="s">
        <v>383</v>
      </c>
      <c r="F2510" t="s">
        <v>712</v>
      </c>
      <c r="G2510">
        <v>79185800</v>
      </c>
      <c r="H2510">
        <v>80945100</v>
      </c>
    </row>
    <row r="2511" spans="2:8" x14ac:dyDescent="0.25">
      <c r="B2511" t="str">
        <f t="shared" si="39"/>
        <v>EAPPopulation ages 55-59, male</v>
      </c>
      <c r="C2511" t="s">
        <v>479</v>
      </c>
      <c r="D2511" t="s">
        <v>480</v>
      </c>
      <c r="E2511" t="s">
        <v>385</v>
      </c>
      <c r="F2511" t="s">
        <v>713</v>
      </c>
      <c r="G2511">
        <v>62785800</v>
      </c>
      <c r="H2511">
        <v>65495800</v>
      </c>
    </row>
    <row r="2512" spans="2:8" x14ac:dyDescent="0.25">
      <c r="B2512" t="str">
        <f t="shared" si="39"/>
        <v>EAPPopulation ages 55-59, female</v>
      </c>
      <c r="C2512" t="s">
        <v>479</v>
      </c>
      <c r="D2512" t="s">
        <v>480</v>
      </c>
      <c r="E2512" t="s">
        <v>384</v>
      </c>
      <c r="F2512" t="s">
        <v>714</v>
      </c>
      <c r="G2512">
        <v>62577800</v>
      </c>
      <c r="H2512">
        <v>65338600</v>
      </c>
    </row>
    <row r="2513" spans="2:8" x14ac:dyDescent="0.25">
      <c r="B2513" t="str">
        <f t="shared" si="39"/>
        <v>EAPPopulation ages 65-69, male</v>
      </c>
      <c r="C2513" t="s">
        <v>479</v>
      </c>
      <c r="D2513" t="s">
        <v>480</v>
      </c>
      <c r="E2513" t="s">
        <v>389</v>
      </c>
      <c r="F2513" t="s">
        <v>715</v>
      </c>
      <c r="G2513">
        <v>43004600</v>
      </c>
      <c r="H2513">
        <v>44819300</v>
      </c>
    </row>
    <row r="2514" spans="2:8" x14ac:dyDescent="0.25">
      <c r="B2514" t="str">
        <f t="shared" si="39"/>
        <v>EAPPopulation ages 65-69, female</v>
      </c>
      <c r="C2514" t="s">
        <v>479</v>
      </c>
      <c r="D2514" t="s">
        <v>480</v>
      </c>
      <c r="E2514" t="s">
        <v>388</v>
      </c>
      <c r="F2514" t="s">
        <v>716</v>
      </c>
      <c r="G2514">
        <v>45316500</v>
      </c>
      <c r="H2514">
        <v>47189000</v>
      </c>
    </row>
    <row r="2515" spans="2:8" x14ac:dyDescent="0.25">
      <c r="B2515" t="str">
        <f t="shared" si="39"/>
        <v>EAPPopulation ages 60-64, female</v>
      </c>
      <c r="C2515" t="s">
        <v>479</v>
      </c>
      <c r="D2515" t="s">
        <v>480</v>
      </c>
      <c r="E2515" t="s">
        <v>386</v>
      </c>
      <c r="F2515" t="s">
        <v>717</v>
      </c>
      <c r="G2515">
        <v>51566300</v>
      </c>
      <c r="H2515">
        <v>52381200</v>
      </c>
    </row>
    <row r="2516" spans="2:8" x14ac:dyDescent="0.25">
      <c r="B2516" t="str">
        <f t="shared" si="39"/>
        <v>EAPPopulation ages 60-64, male</v>
      </c>
      <c r="C2516" t="s">
        <v>479</v>
      </c>
      <c r="D2516" t="s">
        <v>480</v>
      </c>
      <c r="E2516" t="s">
        <v>387</v>
      </c>
      <c r="F2516" t="s">
        <v>718</v>
      </c>
      <c r="G2516">
        <v>50572300</v>
      </c>
      <c r="H2516">
        <v>51376000</v>
      </c>
    </row>
    <row r="2517" spans="2:8" x14ac:dyDescent="0.25">
      <c r="B2517" t="str">
        <f t="shared" si="39"/>
        <v>EAPPopulation ages 70-74, female</v>
      </c>
      <c r="C2517" t="s">
        <v>479</v>
      </c>
      <c r="D2517" t="s">
        <v>480</v>
      </c>
      <c r="E2517" t="s">
        <v>390</v>
      </c>
      <c r="F2517" t="s">
        <v>719</v>
      </c>
      <c r="G2517">
        <v>28075600</v>
      </c>
      <c r="H2517">
        <v>30241500</v>
      </c>
    </row>
    <row r="2518" spans="2:8" x14ac:dyDescent="0.25">
      <c r="B2518" t="str">
        <f t="shared" si="39"/>
        <v>EAPPopulation ages 70-74, male</v>
      </c>
      <c r="C2518" t="s">
        <v>479</v>
      </c>
      <c r="D2518" t="s">
        <v>480</v>
      </c>
      <c r="E2518" t="s">
        <v>391</v>
      </c>
      <c r="F2518" t="s">
        <v>720</v>
      </c>
      <c r="G2518">
        <v>24600900</v>
      </c>
      <c r="H2518">
        <v>26512600</v>
      </c>
    </row>
    <row r="2519" spans="2:8" x14ac:dyDescent="0.25">
      <c r="B2519" t="str">
        <f t="shared" si="39"/>
        <v>EAPPopulation ages 75-79, female</v>
      </c>
      <c r="C2519" t="s">
        <v>479</v>
      </c>
      <c r="D2519" t="s">
        <v>480</v>
      </c>
      <c r="E2519" t="s">
        <v>392</v>
      </c>
      <c r="F2519" t="s">
        <v>721</v>
      </c>
      <c r="G2519">
        <v>18161400</v>
      </c>
      <c r="H2519">
        <v>18909000</v>
      </c>
    </row>
    <row r="2520" spans="2:8" x14ac:dyDescent="0.25">
      <c r="B2520" t="str">
        <f t="shared" si="39"/>
        <v>EAPPopulation ages 75-79, male</v>
      </c>
      <c r="C2520" t="s">
        <v>479</v>
      </c>
      <c r="D2520" t="s">
        <v>480</v>
      </c>
      <c r="E2520" t="s">
        <v>393</v>
      </c>
      <c r="F2520" t="s">
        <v>722</v>
      </c>
      <c r="G2520">
        <v>14842300</v>
      </c>
      <c r="H2520">
        <v>15324800</v>
      </c>
    </row>
    <row r="2521" spans="2:8" x14ac:dyDescent="0.25">
      <c r="B2521" t="str">
        <f t="shared" si="39"/>
        <v>EAPPopulation ages 80 and above, female</v>
      </c>
      <c r="C2521" t="s">
        <v>479</v>
      </c>
      <c r="D2521" t="s">
        <v>480</v>
      </c>
      <c r="E2521" t="s">
        <v>394</v>
      </c>
      <c r="F2521" t="s">
        <v>723</v>
      </c>
      <c r="G2521">
        <v>20622500</v>
      </c>
      <c r="H2521">
        <v>21116600</v>
      </c>
    </row>
    <row r="2522" spans="2:8" x14ac:dyDescent="0.25">
      <c r="B2522" t="str">
        <f t="shared" si="39"/>
        <v>EAPPopulation ages 80 and above, male</v>
      </c>
      <c r="C2522" t="s">
        <v>479</v>
      </c>
      <c r="D2522" t="s">
        <v>480</v>
      </c>
      <c r="E2522" t="s">
        <v>395</v>
      </c>
      <c r="F2522" t="s">
        <v>724</v>
      </c>
      <c r="G2522">
        <v>13241200</v>
      </c>
      <c r="H2522">
        <v>13359300</v>
      </c>
    </row>
    <row r="2523" spans="2:8" x14ac:dyDescent="0.25">
      <c r="B2523" t="str">
        <f t="shared" si="39"/>
        <v>EAPPopulation, male</v>
      </c>
      <c r="C2523" t="s">
        <v>479</v>
      </c>
      <c r="D2523" t="s">
        <v>480</v>
      </c>
      <c r="E2523" t="s">
        <v>397</v>
      </c>
      <c r="F2523" t="s">
        <v>725</v>
      </c>
      <c r="G2523">
        <v>1064150000</v>
      </c>
      <c r="H2523">
        <v>1069450000</v>
      </c>
    </row>
    <row r="2524" spans="2:8" x14ac:dyDescent="0.25">
      <c r="B2524" t="str">
        <f t="shared" si="39"/>
        <v>EAPPopulation, total</v>
      </c>
      <c r="C2524" t="s">
        <v>479</v>
      </c>
      <c r="D2524" t="s">
        <v>480</v>
      </c>
      <c r="E2524" t="s">
        <v>398</v>
      </c>
      <c r="F2524" t="s">
        <v>726</v>
      </c>
      <c r="G2524">
        <v>2093269000</v>
      </c>
      <c r="H2524">
        <v>2104283000</v>
      </c>
    </row>
    <row r="2525" spans="2:8" x14ac:dyDescent="0.25">
      <c r="B2525" t="str">
        <f t="shared" si="39"/>
        <v>EAPPopulation, female</v>
      </c>
      <c r="C2525" t="s">
        <v>479</v>
      </c>
      <c r="D2525" t="s">
        <v>480</v>
      </c>
      <c r="E2525" t="s">
        <v>396</v>
      </c>
      <c r="F2525" t="s">
        <v>727</v>
      </c>
      <c r="G2525">
        <v>1028981000</v>
      </c>
      <c r="H2525">
        <v>1034694000</v>
      </c>
    </row>
    <row r="2526" spans="2:8" x14ac:dyDescent="0.25">
      <c r="B2526" t="str">
        <f t="shared" si="39"/>
        <v>EAPPopulation growth (annual %)</v>
      </c>
      <c r="C2526" t="s">
        <v>479</v>
      </c>
      <c r="D2526" t="s">
        <v>480</v>
      </c>
      <c r="E2526" t="s">
        <v>399</v>
      </c>
      <c r="F2526" t="s">
        <v>728</v>
      </c>
      <c r="G2526">
        <v>0.55807599495838645</v>
      </c>
      <c r="H2526">
        <v>0.52616266710107595</v>
      </c>
    </row>
    <row r="2527" spans="2:8" x14ac:dyDescent="0.25">
      <c r="B2527" t="str">
        <f t="shared" si="39"/>
        <v>TEAPopulation ages 0-14, female</v>
      </c>
      <c r="C2527" t="s">
        <v>481</v>
      </c>
      <c r="D2527" t="s">
        <v>482</v>
      </c>
      <c r="E2527" t="s">
        <v>687</v>
      </c>
      <c r="F2527" t="s">
        <v>688</v>
      </c>
      <c r="G2527">
        <v>199647000</v>
      </c>
      <c r="H2527">
        <v>199538000</v>
      </c>
    </row>
    <row r="2528" spans="2:8" x14ac:dyDescent="0.25">
      <c r="B2528" t="str">
        <f t="shared" si="39"/>
        <v>TEAPopulation ages 0-14, male</v>
      </c>
      <c r="C2528" t="s">
        <v>481</v>
      </c>
      <c r="D2528" t="s">
        <v>482</v>
      </c>
      <c r="E2528" t="s">
        <v>689</v>
      </c>
      <c r="F2528" t="s">
        <v>690</v>
      </c>
      <c r="G2528">
        <v>221580000</v>
      </c>
      <c r="H2528">
        <v>221106000</v>
      </c>
    </row>
    <row r="2529" spans="2:8" x14ac:dyDescent="0.25">
      <c r="B2529" t="str">
        <f t="shared" si="39"/>
        <v>TEAPopulation ages 00-04, female</v>
      </c>
      <c r="C2529" t="s">
        <v>481</v>
      </c>
      <c r="D2529" t="s">
        <v>482</v>
      </c>
      <c r="E2529" t="s">
        <v>362</v>
      </c>
      <c r="F2529" t="s">
        <v>691</v>
      </c>
      <c r="G2529">
        <v>67075100</v>
      </c>
      <c r="H2529">
        <v>66367300</v>
      </c>
    </row>
    <row r="2530" spans="2:8" x14ac:dyDescent="0.25">
      <c r="B2530" t="str">
        <f t="shared" si="39"/>
        <v>TEAPopulation ages 00-04, male</v>
      </c>
      <c r="C2530" t="s">
        <v>481</v>
      </c>
      <c r="D2530" t="s">
        <v>482</v>
      </c>
      <c r="E2530" t="s">
        <v>363</v>
      </c>
      <c r="F2530" t="s">
        <v>692</v>
      </c>
      <c r="G2530">
        <v>73709300</v>
      </c>
      <c r="H2530">
        <v>72798400</v>
      </c>
    </row>
    <row r="2531" spans="2:8" x14ac:dyDescent="0.25">
      <c r="B2531" t="str">
        <f t="shared" si="39"/>
        <v>TEAPopulation ages 05-09, female</v>
      </c>
      <c r="C2531" t="s">
        <v>481</v>
      </c>
      <c r="D2531" t="s">
        <v>482</v>
      </c>
      <c r="E2531" t="s">
        <v>364</v>
      </c>
      <c r="F2531" t="s">
        <v>693</v>
      </c>
      <c r="G2531">
        <v>67525700</v>
      </c>
      <c r="H2531">
        <v>67827500</v>
      </c>
    </row>
    <row r="2532" spans="2:8" x14ac:dyDescent="0.25">
      <c r="B2532" t="str">
        <f t="shared" si="39"/>
        <v>TEAPopulation ages 05-09, male</v>
      </c>
      <c r="C2532" t="s">
        <v>481</v>
      </c>
      <c r="D2532" t="s">
        <v>482</v>
      </c>
      <c r="E2532" t="s">
        <v>365</v>
      </c>
      <c r="F2532" t="s">
        <v>694</v>
      </c>
      <c r="G2532">
        <v>75024900</v>
      </c>
      <c r="H2532">
        <v>75132000</v>
      </c>
    </row>
    <row r="2533" spans="2:8" x14ac:dyDescent="0.25">
      <c r="B2533" t="str">
        <f t="shared" si="39"/>
        <v>TEAPopulation ages 10-14, female</v>
      </c>
      <c r="C2533" t="s">
        <v>481</v>
      </c>
      <c r="D2533" t="s">
        <v>482</v>
      </c>
      <c r="E2533" t="s">
        <v>366</v>
      </c>
      <c r="F2533" t="s">
        <v>695</v>
      </c>
      <c r="G2533">
        <v>65044800</v>
      </c>
      <c r="H2533">
        <v>65348100</v>
      </c>
    </row>
    <row r="2534" spans="2:8" x14ac:dyDescent="0.25">
      <c r="B2534" t="str">
        <f t="shared" si="39"/>
        <v>TEAPopulation ages 10-14, male</v>
      </c>
      <c r="C2534" t="s">
        <v>481</v>
      </c>
      <c r="D2534" t="s">
        <v>482</v>
      </c>
      <c r="E2534" t="s">
        <v>367</v>
      </c>
      <c r="F2534" t="s">
        <v>696</v>
      </c>
      <c r="G2534">
        <v>72846800</v>
      </c>
      <c r="H2534">
        <v>73174200</v>
      </c>
    </row>
    <row r="2535" spans="2:8" x14ac:dyDescent="0.25">
      <c r="B2535" t="str">
        <f t="shared" si="39"/>
        <v>TEAPopulation ages 15-19, female</v>
      </c>
      <c r="C2535" t="s">
        <v>481</v>
      </c>
      <c r="D2535" t="s">
        <v>482</v>
      </c>
      <c r="E2535" t="s">
        <v>368</v>
      </c>
      <c r="F2535" t="s">
        <v>697</v>
      </c>
      <c r="G2535">
        <v>64872000</v>
      </c>
      <c r="H2535">
        <v>64507400</v>
      </c>
    </row>
    <row r="2536" spans="2:8" x14ac:dyDescent="0.25">
      <c r="B2536" t="str">
        <f t="shared" si="39"/>
        <v>TEAPopulation ages 15-19, male</v>
      </c>
      <c r="C2536" t="s">
        <v>481</v>
      </c>
      <c r="D2536" t="s">
        <v>482</v>
      </c>
      <c r="E2536" t="s">
        <v>369</v>
      </c>
      <c r="F2536" t="s">
        <v>698</v>
      </c>
      <c r="G2536">
        <v>71985800</v>
      </c>
      <c r="H2536">
        <v>71758000</v>
      </c>
    </row>
    <row r="2537" spans="2:8" x14ac:dyDescent="0.25">
      <c r="B2537" t="str">
        <f t="shared" si="39"/>
        <v>TEAPopulation ages 20-24, female</v>
      </c>
      <c r="C2537" t="s">
        <v>481</v>
      </c>
      <c r="D2537" t="s">
        <v>482</v>
      </c>
      <c r="E2537" t="s">
        <v>370</v>
      </c>
      <c r="F2537" t="s">
        <v>699</v>
      </c>
      <c r="G2537">
        <v>67810400</v>
      </c>
      <c r="H2537">
        <v>66988500</v>
      </c>
    </row>
    <row r="2538" spans="2:8" x14ac:dyDescent="0.25">
      <c r="B2538" t="str">
        <f t="shared" si="39"/>
        <v>TEAPopulation ages 20-24, male</v>
      </c>
      <c r="C2538" t="s">
        <v>481</v>
      </c>
      <c r="D2538" t="s">
        <v>482</v>
      </c>
      <c r="E2538" t="s">
        <v>371</v>
      </c>
      <c r="F2538" t="s">
        <v>700</v>
      </c>
      <c r="G2538">
        <v>74210200</v>
      </c>
      <c r="H2538">
        <v>73504300</v>
      </c>
    </row>
    <row r="2539" spans="2:8" x14ac:dyDescent="0.25">
      <c r="B2539" t="str">
        <f t="shared" si="39"/>
        <v>TEAPopulation ages 25-29, female</v>
      </c>
      <c r="C2539" t="s">
        <v>481</v>
      </c>
      <c r="D2539" t="s">
        <v>482</v>
      </c>
      <c r="E2539" t="s">
        <v>372</v>
      </c>
      <c r="F2539" t="s">
        <v>701</v>
      </c>
      <c r="G2539">
        <v>75210100</v>
      </c>
      <c r="H2539">
        <v>72188500</v>
      </c>
    </row>
    <row r="2540" spans="2:8" x14ac:dyDescent="0.25">
      <c r="B2540" t="str">
        <f t="shared" si="39"/>
        <v>TEAPopulation ages 25-29, male</v>
      </c>
      <c r="C2540" t="s">
        <v>481</v>
      </c>
      <c r="D2540" t="s">
        <v>482</v>
      </c>
      <c r="E2540" t="s">
        <v>373</v>
      </c>
      <c r="F2540" t="s">
        <v>702</v>
      </c>
      <c r="G2540">
        <v>80678500</v>
      </c>
      <c r="H2540">
        <v>77871000</v>
      </c>
    </row>
    <row r="2541" spans="2:8" x14ac:dyDescent="0.25">
      <c r="B2541" t="str">
        <f t="shared" si="39"/>
        <v>TEAPopulation ages 30-34, female</v>
      </c>
      <c r="C2541" t="s">
        <v>481</v>
      </c>
      <c r="D2541" t="s">
        <v>482</v>
      </c>
      <c r="E2541" t="s">
        <v>374</v>
      </c>
      <c r="F2541" t="s">
        <v>703</v>
      </c>
      <c r="G2541">
        <v>85628100</v>
      </c>
      <c r="H2541">
        <v>86203300</v>
      </c>
    </row>
    <row r="2542" spans="2:8" x14ac:dyDescent="0.25">
      <c r="B2542" t="str">
        <f t="shared" si="39"/>
        <v>TEAPopulation ages 30-34, male</v>
      </c>
      <c r="C2542" t="s">
        <v>481</v>
      </c>
      <c r="D2542" t="s">
        <v>482</v>
      </c>
      <c r="E2542" t="s">
        <v>375</v>
      </c>
      <c r="F2542" t="s">
        <v>704</v>
      </c>
      <c r="G2542">
        <v>89483400</v>
      </c>
      <c r="H2542">
        <v>90357900</v>
      </c>
    </row>
    <row r="2543" spans="2:8" x14ac:dyDescent="0.25">
      <c r="B2543" t="str">
        <f t="shared" si="39"/>
        <v>TEAPopulation ages 35-39, female</v>
      </c>
      <c r="C2543" t="s">
        <v>481</v>
      </c>
      <c r="D2543" t="s">
        <v>482</v>
      </c>
      <c r="E2543" t="s">
        <v>376</v>
      </c>
      <c r="F2543" t="s">
        <v>705</v>
      </c>
      <c r="G2543">
        <v>70894300</v>
      </c>
      <c r="H2543">
        <v>72851800</v>
      </c>
    </row>
    <row r="2544" spans="2:8" x14ac:dyDescent="0.25">
      <c r="B2544" t="str">
        <f t="shared" si="39"/>
        <v>TEAPopulation ages 35-39, male</v>
      </c>
      <c r="C2544" t="s">
        <v>481</v>
      </c>
      <c r="D2544" t="s">
        <v>482</v>
      </c>
      <c r="E2544" t="s">
        <v>377</v>
      </c>
      <c r="F2544" t="s">
        <v>706</v>
      </c>
      <c r="G2544">
        <v>73357700</v>
      </c>
      <c r="H2544">
        <v>75449100</v>
      </c>
    </row>
    <row r="2545" spans="2:8" x14ac:dyDescent="0.25">
      <c r="B2545" t="str">
        <f t="shared" si="39"/>
        <v>TEAPopulation ages 40-44, female</v>
      </c>
      <c r="C2545" t="s">
        <v>481</v>
      </c>
      <c r="D2545" t="s">
        <v>482</v>
      </c>
      <c r="E2545" t="s">
        <v>378</v>
      </c>
      <c r="F2545" t="s">
        <v>707</v>
      </c>
      <c r="G2545">
        <v>70471400</v>
      </c>
      <c r="H2545">
        <v>68968800</v>
      </c>
    </row>
    <row r="2546" spans="2:8" x14ac:dyDescent="0.25">
      <c r="B2546" t="str">
        <f t="shared" si="39"/>
        <v>TEAPopulation ages 40-44, male</v>
      </c>
      <c r="C2546" t="s">
        <v>481</v>
      </c>
      <c r="D2546" t="s">
        <v>482</v>
      </c>
      <c r="E2546" t="s">
        <v>379</v>
      </c>
      <c r="F2546" t="s">
        <v>708</v>
      </c>
      <c r="G2546">
        <v>72739400</v>
      </c>
      <c r="H2546">
        <v>71158800</v>
      </c>
    </row>
    <row r="2547" spans="2:8" x14ac:dyDescent="0.25">
      <c r="B2547" t="str">
        <f t="shared" si="39"/>
        <v>TEAPopulation ages 45-49, female</v>
      </c>
      <c r="C2547" t="s">
        <v>481</v>
      </c>
      <c r="D2547" t="s">
        <v>482</v>
      </c>
      <c r="E2547" t="s">
        <v>380</v>
      </c>
      <c r="F2547" t="s">
        <v>709</v>
      </c>
      <c r="G2547">
        <v>80464700</v>
      </c>
      <c r="H2547">
        <v>78940100</v>
      </c>
    </row>
    <row r="2548" spans="2:8" x14ac:dyDescent="0.25">
      <c r="B2548" t="str">
        <f t="shared" si="39"/>
        <v>TEAPopulation ages 45-49, male</v>
      </c>
      <c r="C2548" t="s">
        <v>481</v>
      </c>
      <c r="D2548" t="s">
        <v>482</v>
      </c>
      <c r="E2548" t="s">
        <v>381</v>
      </c>
      <c r="F2548" t="s">
        <v>710</v>
      </c>
      <c r="G2548">
        <v>82530000</v>
      </c>
      <c r="H2548">
        <v>81124100</v>
      </c>
    </row>
    <row r="2549" spans="2:8" x14ac:dyDescent="0.25">
      <c r="B2549" t="str">
        <f t="shared" si="39"/>
        <v>TEAPopulation ages 50-54, female</v>
      </c>
      <c r="C2549" t="s">
        <v>481</v>
      </c>
      <c r="D2549" t="s">
        <v>482</v>
      </c>
      <c r="E2549" t="s">
        <v>382</v>
      </c>
      <c r="F2549" t="s">
        <v>711</v>
      </c>
      <c r="G2549">
        <v>77574500</v>
      </c>
      <c r="H2549">
        <v>79264700</v>
      </c>
    </row>
    <row r="2550" spans="2:8" x14ac:dyDescent="0.25">
      <c r="B2550" t="str">
        <f t="shared" si="39"/>
        <v>TEAPopulation ages 50-54, male</v>
      </c>
      <c r="C2550" t="s">
        <v>481</v>
      </c>
      <c r="D2550" t="s">
        <v>482</v>
      </c>
      <c r="E2550" t="s">
        <v>383</v>
      </c>
      <c r="F2550" t="s">
        <v>712</v>
      </c>
      <c r="G2550">
        <v>78173800</v>
      </c>
      <c r="H2550">
        <v>79883100</v>
      </c>
    </row>
    <row r="2551" spans="2:8" x14ac:dyDescent="0.25">
      <c r="B2551" t="str">
        <f t="shared" si="39"/>
        <v>TEAPopulation ages 55-59, male</v>
      </c>
      <c r="C2551" t="s">
        <v>481</v>
      </c>
      <c r="D2551" t="s">
        <v>482</v>
      </c>
      <c r="E2551" t="s">
        <v>385</v>
      </c>
      <c r="F2551" t="s">
        <v>713</v>
      </c>
      <c r="G2551">
        <v>62077800</v>
      </c>
      <c r="H2551">
        <v>64773800</v>
      </c>
    </row>
    <row r="2552" spans="2:8" x14ac:dyDescent="0.25">
      <c r="B2552" t="str">
        <f t="shared" si="39"/>
        <v>TEAPopulation ages 55-59, female</v>
      </c>
      <c r="C2552" t="s">
        <v>481</v>
      </c>
      <c r="D2552" t="s">
        <v>482</v>
      </c>
      <c r="E2552" t="s">
        <v>384</v>
      </c>
      <c r="F2552" t="s">
        <v>714</v>
      </c>
      <c r="G2552">
        <v>61827800</v>
      </c>
      <c r="H2552">
        <v>64578600</v>
      </c>
    </row>
    <row r="2553" spans="2:8" x14ac:dyDescent="0.25">
      <c r="B2553" t="str">
        <f t="shared" si="39"/>
        <v>TEAPopulation ages 65-69, male</v>
      </c>
      <c r="C2553" t="s">
        <v>481</v>
      </c>
      <c r="D2553" t="s">
        <v>482</v>
      </c>
      <c r="E2553" t="s">
        <v>389</v>
      </c>
      <c r="F2553" t="s">
        <v>715</v>
      </c>
      <c r="G2553">
        <v>42739600</v>
      </c>
      <c r="H2553">
        <v>44535300</v>
      </c>
    </row>
    <row r="2554" spans="2:8" x14ac:dyDescent="0.25">
      <c r="B2554" t="str">
        <f t="shared" si="39"/>
        <v>TEAPopulation ages 65-69, female</v>
      </c>
      <c r="C2554" t="s">
        <v>481</v>
      </c>
      <c r="D2554" t="s">
        <v>482</v>
      </c>
      <c r="E2554" t="s">
        <v>388</v>
      </c>
      <c r="F2554" t="s">
        <v>716</v>
      </c>
      <c r="G2554">
        <v>44952500</v>
      </c>
      <c r="H2554">
        <v>46811000</v>
      </c>
    </row>
    <row r="2555" spans="2:8" x14ac:dyDescent="0.25">
      <c r="B2555" t="str">
        <f t="shared" si="39"/>
        <v>TEAPopulation ages 60-64, female</v>
      </c>
      <c r="C2555" t="s">
        <v>481</v>
      </c>
      <c r="D2555" t="s">
        <v>482</v>
      </c>
      <c r="E2555" t="s">
        <v>386</v>
      </c>
      <c r="F2555" t="s">
        <v>717</v>
      </c>
      <c r="G2555">
        <v>50837300</v>
      </c>
      <c r="H2555">
        <v>51603200</v>
      </c>
    </row>
    <row r="2556" spans="2:8" x14ac:dyDescent="0.25">
      <c r="B2556" t="str">
        <f t="shared" si="39"/>
        <v>TEAPopulation ages 60-64, male</v>
      </c>
      <c r="C2556" t="s">
        <v>481</v>
      </c>
      <c r="D2556" t="s">
        <v>482</v>
      </c>
      <c r="E2556" t="s">
        <v>387</v>
      </c>
      <c r="F2556" t="s">
        <v>718</v>
      </c>
      <c r="G2556">
        <v>49922300</v>
      </c>
      <c r="H2556">
        <v>50681000</v>
      </c>
    </row>
    <row r="2557" spans="2:8" x14ac:dyDescent="0.25">
      <c r="B2557" t="str">
        <f t="shared" si="39"/>
        <v>TEAPopulation ages 70-74, female</v>
      </c>
      <c r="C2557" t="s">
        <v>481</v>
      </c>
      <c r="D2557" t="s">
        <v>482</v>
      </c>
      <c r="E2557" t="s">
        <v>390</v>
      </c>
      <c r="F2557" t="s">
        <v>719</v>
      </c>
      <c r="G2557">
        <v>27599600</v>
      </c>
      <c r="H2557">
        <v>29780500</v>
      </c>
    </row>
    <row r="2558" spans="2:8" x14ac:dyDescent="0.25">
      <c r="B2558" t="str">
        <f t="shared" si="39"/>
        <v>TEAPopulation ages 70-74, male</v>
      </c>
      <c r="C2558" t="s">
        <v>481</v>
      </c>
      <c r="D2558" t="s">
        <v>482</v>
      </c>
      <c r="E2558" t="s">
        <v>391</v>
      </c>
      <c r="F2558" t="s">
        <v>720</v>
      </c>
      <c r="G2558">
        <v>24303900</v>
      </c>
      <c r="H2558">
        <v>26227600</v>
      </c>
    </row>
    <row r="2559" spans="2:8" x14ac:dyDescent="0.25">
      <c r="B2559" t="str">
        <f t="shared" si="39"/>
        <v>TEAPopulation ages 75-79, female</v>
      </c>
      <c r="C2559" t="s">
        <v>481</v>
      </c>
      <c r="D2559" t="s">
        <v>482</v>
      </c>
      <c r="E2559" t="s">
        <v>392</v>
      </c>
      <c r="F2559" t="s">
        <v>721</v>
      </c>
      <c r="G2559">
        <v>17789400</v>
      </c>
      <c r="H2559">
        <v>18529000</v>
      </c>
    </row>
    <row r="2560" spans="2:8" x14ac:dyDescent="0.25">
      <c r="B2560" t="str">
        <f t="shared" si="39"/>
        <v>TEAPopulation ages 75-79, male</v>
      </c>
      <c r="C2560" t="s">
        <v>481</v>
      </c>
      <c r="D2560" t="s">
        <v>482</v>
      </c>
      <c r="E2560" t="s">
        <v>393</v>
      </c>
      <c r="F2560" t="s">
        <v>722</v>
      </c>
      <c r="G2560">
        <v>14666300</v>
      </c>
      <c r="H2560">
        <v>15145800</v>
      </c>
    </row>
    <row r="2561" spans="2:8" x14ac:dyDescent="0.25">
      <c r="B2561" t="str">
        <f t="shared" si="39"/>
        <v>TEAPopulation ages 80 and above, female</v>
      </c>
      <c r="C2561" t="s">
        <v>481</v>
      </c>
      <c r="D2561" t="s">
        <v>482</v>
      </c>
      <c r="E2561" t="s">
        <v>394</v>
      </c>
      <c r="F2561" t="s">
        <v>723</v>
      </c>
      <c r="G2561">
        <v>20285500</v>
      </c>
      <c r="H2561">
        <v>20764600</v>
      </c>
    </row>
    <row r="2562" spans="2:8" x14ac:dyDescent="0.25">
      <c r="B2562" t="str">
        <f t="shared" si="39"/>
        <v>TEAPopulation ages 80 and above, male</v>
      </c>
      <c r="C2562" t="s">
        <v>481</v>
      </c>
      <c r="D2562" t="s">
        <v>482</v>
      </c>
      <c r="E2562" t="s">
        <v>395</v>
      </c>
      <c r="F2562" t="s">
        <v>724</v>
      </c>
      <c r="G2562">
        <v>13153200</v>
      </c>
      <c r="H2562">
        <v>13267300</v>
      </c>
    </row>
    <row r="2563" spans="2:8" x14ac:dyDescent="0.25">
      <c r="B2563" t="str">
        <f t="shared" si="39"/>
        <v>TEAPopulation, male</v>
      </c>
      <c r="C2563" t="s">
        <v>481</v>
      </c>
      <c r="D2563" t="s">
        <v>482</v>
      </c>
      <c r="E2563" t="s">
        <v>397</v>
      </c>
      <c r="F2563" t="s">
        <v>725</v>
      </c>
      <c r="G2563">
        <v>1051597000</v>
      </c>
      <c r="H2563">
        <v>1056842000</v>
      </c>
    </row>
    <row r="2564" spans="2:8" x14ac:dyDescent="0.25">
      <c r="B2564" t="str">
        <f t="shared" si="39"/>
        <v>TEAPopulation, total</v>
      </c>
      <c r="C2564" t="s">
        <v>481</v>
      </c>
      <c r="D2564" t="s">
        <v>482</v>
      </c>
      <c r="E2564" t="s">
        <v>398</v>
      </c>
      <c r="F2564" t="s">
        <v>726</v>
      </c>
      <c r="G2564">
        <v>2067566000</v>
      </c>
      <c r="H2564">
        <v>2078467000</v>
      </c>
    </row>
    <row r="2565" spans="2:8" x14ac:dyDescent="0.25">
      <c r="B2565" t="str">
        <f t="shared" si="39"/>
        <v>TEAPopulation, female</v>
      </c>
      <c r="C2565" t="s">
        <v>481</v>
      </c>
      <c r="D2565" t="s">
        <v>482</v>
      </c>
      <c r="E2565" t="s">
        <v>396</v>
      </c>
      <c r="F2565" t="s">
        <v>727</v>
      </c>
      <c r="G2565">
        <v>1015868000</v>
      </c>
      <c r="H2565">
        <v>1021524000</v>
      </c>
    </row>
    <row r="2566" spans="2:8" x14ac:dyDescent="0.25">
      <c r="B2566" t="str">
        <f t="shared" si="39"/>
        <v>TEAPopulation growth (annual %)</v>
      </c>
      <c r="C2566" t="s">
        <v>481</v>
      </c>
      <c r="D2566" t="s">
        <v>482</v>
      </c>
      <c r="E2566" t="s">
        <v>399</v>
      </c>
      <c r="F2566" t="s">
        <v>728</v>
      </c>
      <c r="G2566">
        <v>0.55939764657880175</v>
      </c>
      <c r="H2566">
        <v>0.52723830823295259</v>
      </c>
    </row>
    <row r="2567" spans="2:8" x14ac:dyDescent="0.25">
      <c r="B2567" t="str">
        <f t="shared" ref="B2567:B2630" si="40">CONCATENATE(D2567,E2567)</f>
        <v>ECUPopulation ages 0-14, female</v>
      </c>
      <c r="C2567" t="s">
        <v>483</v>
      </c>
      <c r="D2567" t="s">
        <v>38</v>
      </c>
      <c r="E2567" t="s">
        <v>687</v>
      </c>
      <c r="F2567" t="s">
        <v>688</v>
      </c>
      <c r="G2567">
        <v>2354000</v>
      </c>
      <c r="H2567">
        <v>2363000</v>
      </c>
    </row>
    <row r="2568" spans="2:8" x14ac:dyDescent="0.25">
      <c r="B2568" t="str">
        <f t="shared" si="40"/>
        <v>ECUPopulation ages 0-14, male</v>
      </c>
      <c r="C2568" t="s">
        <v>483</v>
      </c>
      <c r="D2568" t="s">
        <v>38</v>
      </c>
      <c r="E2568" t="s">
        <v>689</v>
      </c>
      <c r="F2568" t="s">
        <v>690</v>
      </c>
      <c r="G2568">
        <v>2460000</v>
      </c>
      <c r="H2568">
        <v>2470000</v>
      </c>
    </row>
    <row r="2569" spans="2:8" x14ac:dyDescent="0.25">
      <c r="B2569" t="str">
        <f t="shared" si="40"/>
        <v>ECUPopulation ages 00-04, female</v>
      </c>
      <c r="C2569" t="s">
        <v>483</v>
      </c>
      <c r="D2569" t="s">
        <v>38</v>
      </c>
      <c r="E2569" t="s">
        <v>362</v>
      </c>
      <c r="F2569" t="s">
        <v>691</v>
      </c>
      <c r="G2569">
        <v>812000</v>
      </c>
      <c r="H2569">
        <v>815000</v>
      </c>
    </row>
    <row r="2570" spans="2:8" x14ac:dyDescent="0.25">
      <c r="B2570" t="str">
        <f t="shared" si="40"/>
        <v>ECUPopulation ages 00-04, male</v>
      </c>
      <c r="C2570" t="s">
        <v>483</v>
      </c>
      <c r="D2570" t="s">
        <v>38</v>
      </c>
      <c r="E2570" t="s">
        <v>363</v>
      </c>
      <c r="F2570" t="s">
        <v>692</v>
      </c>
      <c r="G2570">
        <v>850000</v>
      </c>
      <c r="H2570">
        <v>852000</v>
      </c>
    </row>
    <row r="2571" spans="2:8" x14ac:dyDescent="0.25">
      <c r="B2571" t="str">
        <f t="shared" si="40"/>
        <v>ECUPopulation ages 05-09, female</v>
      </c>
      <c r="C2571" t="s">
        <v>483</v>
      </c>
      <c r="D2571" t="s">
        <v>38</v>
      </c>
      <c r="E2571" t="s">
        <v>364</v>
      </c>
      <c r="F2571" t="s">
        <v>693</v>
      </c>
      <c r="G2571">
        <v>782000</v>
      </c>
      <c r="H2571">
        <v>788000</v>
      </c>
    </row>
    <row r="2572" spans="2:8" x14ac:dyDescent="0.25">
      <c r="B2572" t="str">
        <f t="shared" si="40"/>
        <v>ECUPopulation ages 05-09, male</v>
      </c>
      <c r="C2572" t="s">
        <v>483</v>
      </c>
      <c r="D2572" t="s">
        <v>38</v>
      </c>
      <c r="E2572" t="s">
        <v>365</v>
      </c>
      <c r="F2572" t="s">
        <v>694</v>
      </c>
      <c r="G2572">
        <v>817000</v>
      </c>
      <c r="H2572">
        <v>823000</v>
      </c>
    </row>
    <row r="2573" spans="2:8" x14ac:dyDescent="0.25">
      <c r="B2573" t="str">
        <f t="shared" si="40"/>
        <v>ECUPopulation ages 10-14, female</v>
      </c>
      <c r="C2573" t="s">
        <v>483</v>
      </c>
      <c r="D2573" t="s">
        <v>38</v>
      </c>
      <c r="E2573" t="s">
        <v>366</v>
      </c>
      <c r="F2573" t="s">
        <v>695</v>
      </c>
      <c r="G2573">
        <v>760000</v>
      </c>
      <c r="H2573">
        <v>761000</v>
      </c>
    </row>
    <row r="2574" spans="2:8" x14ac:dyDescent="0.25">
      <c r="B2574" t="str">
        <f t="shared" si="40"/>
        <v>ECUPopulation ages 10-14, male</v>
      </c>
      <c r="C2574" t="s">
        <v>483</v>
      </c>
      <c r="D2574" t="s">
        <v>38</v>
      </c>
      <c r="E2574" t="s">
        <v>367</v>
      </c>
      <c r="F2574" t="s">
        <v>696</v>
      </c>
      <c r="G2574">
        <v>793000</v>
      </c>
      <c r="H2574">
        <v>794000</v>
      </c>
    </row>
    <row r="2575" spans="2:8" x14ac:dyDescent="0.25">
      <c r="B2575" t="str">
        <f t="shared" si="40"/>
        <v>ECUPopulation ages 15-19, female</v>
      </c>
      <c r="C2575" t="s">
        <v>483</v>
      </c>
      <c r="D2575" t="s">
        <v>38</v>
      </c>
      <c r="E2575" t="s">
        <v>368</v>
      </c>
      <c r="F2575" t="s">
        <v>697</v>
      </c>
      <c r="G2575">
        <v>767000</v>
      </c>
      <c r="H2575">
        <v>766000</v>
      </c>
    </row>
    <row r="2576" spans="2:8" x14ac:dyDescent="0.25">
      <c r="B2576" t="str">
        <f t="shared" si="40"/>
        <v>ECUPopulation ages 15-19, male</v>
      </c>
      <c r="C2576" t="s">
        <v>483</v>
      </c>
      <c r="D2576" t="s">
        <v>38</v>
      </c>
      <c r="E2576" t="s">
        <v>369</v>
      </c>
      <c r="F2576" t="s">
        <v>698</v>
      </c>
      <c r="G2576">
        <v>797000</v>
      </c>
      <c r="H2576">
        <v>795000</v>
      </c>
    </row>
    <row r="2577" spans="2:8" x14ac:dyDescent="0.25">
      <c r="B2577" t="str">
        <f t="shared" si="40"/>
        <v>ECUPopulation ages 20-24, female</v>
      </c>
      <c r="C2577" t="s">
        <v>483</v>
      </c>
      <c r="D2577" t="s">
        <v>38</v>
      </c>
      <c r="E2577" t="s">
        <v>370</v>
      </c>
      <c r="F2577" t="s">
        <v>699</v>
      </c>
      <c r="G2577">
        <v>763000</v>
      </c>
      <c r="H2577">
        <v>771000</v>
      </c>
    </row>
    <row r="2578" spans="2:8" x14ac:dyDescent="0.25">
      <c r="B2578" t="str">
        <f t="shared" si="40"/>
        <v>ECUPopulation ages 20-24, male</v>
      </c>
      <c r="C2578" t="s">
        <v>483</v>
      </c>
      <c r="D2578" t="s">
        <v>38</v>
      </c>
      <c r="E2578" t="s">
        <v>371</v>
      </c>
      <c r="F2578" t="s">
        <v>700</v>
      </c>
      <c r="G2578">
        <v>788000</v>
      </c>
      <c r="H2578">
        <v>796000</v>
      </c>
    </row>
    <row r="2579" spans="2:8" x14ac:dyDescent="0.25">
      <c r="B2579" t="str">
        <f t="shared" si="40"/>
        <v>ECUPopulation ages 25-29, female</v>
      </c>
      <c r="C2579" t="s">
        <v>483</v>
      </c>
      <c r="D2579" t="s">
        <v>38</v>
      </c>
      <c r="E2579" t="s">
        <v>372</v>
      </c>
      <c r="F2579" t="s">
        <v>701</v>
      </c>
      <c r="G2579">
        <v>716000</v>
      </c>
      <c r="H2579">
        <v>728000</v>
      </c>
    </row>
    <row r="2580" spans="2:8" x14ac:dyDescent="0.25">
      <c r="B2580" t="str">
        <f t="shared" si="40"/>
        <v>ECUPopulation ages 25-29, male</v>
      </c>
      <c r="C2580" t="s">
        <v>483</v>
      </c>
      <c r="D2580" t="s">
        <v>38</v>
      </c>
      <c r="E2580" t="s">
        <v>373</v>
      </c>
      <c r="F2580" t="s">
        <v>702</v>
      </c>
      <c r="G2580">
        <v>730000</v>
      </c>
      <c r="H2580">
        <v>742000</v>
      </c>
    </row>
    <row r="2581" spans="2:8" x14ac:dyDescent="0.25">
      <c r="B2581" t="str">
        <f t="shared" si="40"/>
        <v>ECUPopulation ages 30-34, female</v>
      </c>
      <c r="C2581" t="s">
        <v>483</v>
      </c>
      <c r="D2581" t="s">
        <v>38</v>
      </c>
      <c r="E2581" t="s">
        <v>374</v>
      </c>
      <c r="F2581" t="s">
        <v>703</v>
      </c>
      <c r="G2581">
        <v>666000</v>
      </c>
      <c r="H2581">
        <v>679000</v>
      </c>
    </row>
    <row r="2582" spans="2:8" x14ac:dyDescent="0.25">
      <c r="B2582" t="str">
        <f t="shared" si="40"/>
        <v>ECUPopulation ages 30-34, male</v>
      </c>
      <c r="C2582" t="s">
        <v>483</v>
      </c>
      <c r="D2582" t="s">
        <v>38</v>
      </c>
      <c r="E2582" t="s">
        <v>375</v>
      </c>
      <c r="F2582" t="s">
        <v>704</v>
      </c>
      <c r="G2582">
        <v>671000</v>
      </c>
      <c r="H2582">
        <v>684000</v>
      </c>
    </row>
    <row r="2583" spans="2:8" x14ac:dyDescent="0.25">
      <c r="B2583" t="str">
        <f t="shared" si="40"/>
        <v>ECUPopulation ages 35-39, female</v>
      </c>
      <c r="C2583" t="s">
        <v>483</v>
      </c>
      <c r="D2583" t="s">
        <v>38</v>
      </c>
      <c r="E2583" t="s">
        <v>376</v>
      </c>
      <c r="F2583" t="s">
        <v>705</v>
      </c>
      <c r="G2583">
        <v>602000</v>
      </c>
      <c r="H2583">
        <v>615000</v>
      </c>
    </row>
    <row r="2584" spans="2:8" x14ac:dyDescent="0.25">
      <c r="B2584" t="str">
        <f t="shared" si="40"/>
        <v>ECUPopulation ages 35-39, male</v>
      </c>
      <c r="C2584" t="s">
        <v>483</v>
      </c>
      <c r="D2584" t="s">
        <v>38</v>
      </c>
      <c r="E2584" t="s">
        <v>377</v>
      </c>
      <c r="F2584" t="s">
        <v>706</v>
      </c>
      <c r="G2584">
        <v>601000</v>
      </c>
      <c r="H2584">
        <v>614000</v>
      </c>
    </row>
    <row r="2585" spans="2:8" x14ac:dyDescent="0.25">
      <c r="B2585" t="str">
        <f t="shared" si="40"/>
        <v>ECUPopulation ages 40-44, female</v>
      </c>
      <c r="C2585" t="s">
        <v>483</v>
      </c>
      <c r="D2585" t="s">
        <v>38</v>
      </c>
      <c r="E2585" t="s">
        <v>378</v>
      </c>
      <c r="F2585" t="s">
        <v>707</v>
      </c>
      <c r="G2585">
        <v>544000</v>
      </c>
      <c r="H2585">
        <v>554000</v>
      </c>
    </row>
    <row r="2586" spans="2:8" x14ac:dyDescent="0.25">
      <c r="B2586" t="str">
        <f t="shared" si="40"/>
        <v>ECUPopulation ages 40-44, male</v>
      </c>
      <c r="C2586" t="s">
        <v>483</v>
      </c>
      <c r="D2586" t="s">
        <v>38</v>
      </c>
      <c r="E2586" t="s">
        <v>379</v>
      </c>
      <c r="F2586" t="s">
        <v>708</v>
      </c>
      <c r="G2586">
        <v>534000</v>
      </c>
      <c r="H2586">
        <v>545000</v>
      </c>
    </row>
    <row r="2587" spans="2:8" x14ac:dyDescent="0.25">
      <c r="B2587" t="str">
        <f t="shared" si="40"/>
        <v>ECUPopulation ages 45-49, female</v>
      </c>
      <c r="C2587" t="s">
        <v>483</v>
      </c>
      <c r="D2587" t="s">
        <v>38</v>
      </c>
      <c r="E2587" t="s">
        <v>380</v>
      </c>
      <c r="F2587" t="s">
        <v>709</v>
      </c>
      <c r="G2587">
        <v>491000</v>
      </c>
      <c r="H2587">
        <v>502000</v>
      </c>
    </row>
    <row r="2588" spans="2:8" x14ac:dyDescent="0.25">
      <c r="B2588" t="str">
        <f t="shared" si="40"/>
        <v>ECUPopulation ages 45-49, male</v>
      </c>
      <c r="C2588" t="s">
        <v>483</v>
      </c>
      <c r="D2588" t="s">
        <v>38</v>
      </c>
      <c r="E2588" t="s">
        <v>381</v>
      </c>
      <c r="F2588" t="s">
        <v>710</v>
      </c>
      <c r="G2588">
        <v>477000</v>
      </c>
      <c r="H2588">
        <v>487000</v>
      </c>
    </row>
    <row r="2589" spans="2:8" x14ac:dyDescent="0.25">
      <c r="B2589" t="str">
        <f t="shared" si="40"/>
        <v>ECUPopulation ages 50-54, female</v>
      </c>
      <c r="C2589" t="s">
        <v>483</v>
      </c>
      <c r="D2589" t="s">
        <v>38</v>
      </c>
      <c r="E2589" t="s">
        <v>382</v>
      </c>
      <c r="F2589" t="s">
        <v>711</v>
      </c>
      <c r="G2589">
        <v>428000</v>
      </c>
      <c r="H2589">
        <v>440000</v>
      </c>
    </row>
    <row r="2590" spans="2:8" x14ac:dyDescent="0.25">
      <c r="B2590" t="str">
        <f t="shared" si="40"/>
        <v>ECUPopulation ages 50-54, male</v>
      </c>
      <c r="C2590" t="s">
        <v>483</v>
      </c>
      <c r="D2590" t="s">
        <v>38</v>
      </c>
      <c r="E2590" t="s">
        <v>383</v>
      </c>
      <c r="F2590" t="s">
        <v>712</v>
      </c>
      <c r="G2590">
        <v>413000</v>
      </c>
      <c r="H2590">
        <v>424000</v>
      </c>
    </row>
    <row r="2591" spans="2:8" x14ac:dyDescent="0.25">
      <c r="B2591" t="str">
        <f t="shared" si="40"/>
        <v>ECUPopulation ages 55-59, male</v>
      </c>
      <c r="C2591" t="s">
        <v>483</v>
      </c>
      <c r="D2591" t="s">
        <v>38</v>
      </c>
      <c r="E2591" t="s">
        <v>385</v>
      </c>
      <c r="F2591" t="s">
        <v>713</v>
      </c>
      <c r="G2591">
        <v>344000</v>
      </c>
      <c r="H2591">
        <v>355000</v>
      </c>
    </row>
    <row r="2592" spans="2:8" x14ac:dyDescent="0.25">
      <c r="B2592" t="str">
        <f t="shared" si="40"/>
        <v>ECUPopulation ages 55-59, female</v>
      </c>
      <c r="C2592" t="s">
        <v>483</v>
      </c>
      <c r="D2592" t="s">
        <v>38</v>
      </c>
      <c r="E2592" t="s">
        <v>384</v>
      </c>
      <c r="F2592" t="s">
        <v>714</v>
      </c>
      <c r="G2592">
        <v>361000</v>
      </c>
      <c r="H2592">
        <v>372000</v>
      </c>
    </row>
    <row r="2593" spans="2:8" x14ac:dyDescent="0.25">
      <c r="B2593" t="str">
        <f t="shared" si="40"/>
        <v>ECUPopulation ages 65-69, male</v>
      </c>
      <c r="C2593" t="s">
        <v>483</v>
      </c>
      <c r="D2593" t="s">
        <v>38</v>
      </c>
      <c r="E2593" t="s">
        <v>389</v>
      </c>
      <c r="F2593" t="s">
        <v>715</v>
      </c>
      <c r="G2593">
        <v>222000</v>
      </c>
      <c r="H2593">
        <v>233000</v>
      </c>
    </row>
    <row r="2594" spans="2:8" x14ac:dyDescent="0.25">
      <c r="B2594" t="str">
        <f t="shared" si="40"/>
        <v>ECUPopulation ages 65-69, female</v>
      </c>
      <c r="C2594" t="s">
        <v>483</v>
      </c>
      <c r="D2594" t="s">
        <v>38</v>
      </c>
      <c r="E2594" t="s">
        <v>388</v>
      </c>
      <c r="F2594" t="s">
        <v>716</v>
      </c>
      <c r="G2594">
        <v>241000</v>
      </c>
      <c r="H2594">
        <v>253000</v>
      </c>
    </row>
    <row r="2595" spans="2:8" x14ac:dyDescent="0.25">
      <c r="B2595" t="str">
        <f t="shared" si="40"/>
        <v>ECUPopulation ages 60-64, female</v>
      </c>
      <c r="C2595" t="s">
        <v>483</v>
      </c>
      <c r="D2595" t="s">
        <v>38</v>
      </c>
      <c r="E2595" t="s">
        <v>386</v>
      </c>
      <c r="F2595" t="s">
        <v>717</v>
      </c>
      <c r="G2595">
        <v>302000</v>
      </c>
      <c r="H2595">
        <v>310000</v>
      </c>
    </row>
    <row r="2596" spans="2:8" x14ac:dyDescent="0.25">
      <c r="B2596" t="str">
        <f t="shared" si="40"/>
        <v>ECUPopulation ages 60-64, male</v>
      </c>
      <c r="C2596" t="s">
        <v>483</v>
      </c>
      <c r="D2596" t="s">
        <v>38</v>
      </c>
      <c r="E2596" t="s">
        <v>387</v>
      </c>
      <c r="F2596" t="s">
        <v>718</v>
      </c>
      <c r="G2596">
        <v>283000</v>
      </c>
      <c r="H2596">
        <v>291000</v>
      </c>
    </row>
    <row r="2597" spans="2:8" x14ac:dyDescent="0.25">
      <c r="B2597" t="str">
        <f t="shared" si="40"/>
        <v>ECUPopulation ages 70-74, female</v>
      </c>
      <c r="C2597" t="s">
        <v>483</v>
      </c>
      <c r="D2597" t="s">
        <v>38</v>
      </c>
      <c r="E2597" t="s">
        <v>390</v>
      </c>
      <c r="F2597" t="s">
        <v>719</v>
      </c>
      <c r="G2597">
        <v>165000</v>
      </c>
      <c r="H2597">
        <v>173000</v>
      </c>
    </row>
    <row r="2598" spans="2:8" x14ac:dyDescent="0.25">
      <c r="B2598" t="str">
        <f t="shared" si="40"/>
        <v>ECUPopulation ages 70-74, male</v>
      </c>
      <c r="C2598" t="s">
        <v>483</v>
      </c>
      <c r="D2598" t="s">
        <v>38</v>
      </c>
      <c r="E2598" t="s">
        <v>391</v>
      </c>
      <c r="F2598" t="s">
        <v>720</v>
      </c>
      <c r="G2598">
        <v>147000</v>
      </c>
      <c r="H2598">
        <v>155000</v>
      </c>
    </row>
    <row r="2599" spans="2:8" x14ac:dyDescent="0.25">
      <c r="B2599" t="str">
        <f t="shared" si="40"/>
        <v>ECUPopulation ages 75-79, female</v>
      </c>
      <c r="C2599" t="s">
        <v>483</v>
      </c>
      <c r="D2599" t="s">
        <v>38</v>
      </c>
      <c r="E2599" t="s">
        <v>392</v>
      </c>
      <c r="F2599" t="s">
        <v>721</v>
      </c>
      <c r="G2599">
        <v>126000</v>
      </c>
      <c r="H2599">
        <v>130000</v>
      </c>
    </row>
    <row r="2600" spans="2:8" x14ac:dyDescent="0.25">
      <c r="B2600" t="str">
        <f t="shared" si="40"/>
        <v>ECUPopulation ages 75-79, male</v>
      </c>
      <c r="C2600" t="s">
        <v>483</v>
      </c>
      <c r="D2600" t="s">
        <v>38</v>
      </c>
      <c r="E2600" t="s">
        <v>393</v>
      </c>
      <c r="F2600" t="s">
        <v>722</v>
      </c>
      <c r="G2600">
        <v>108000</v>
      </c>
      <c r="H2600">
        <v>112000</v>
      </c>
    </row>
    <row r="2601" spans="2:8" x14ac:dyDescent="0.25">
      <c r="B2601" t="str">
        <f t="shared" si="40"/>
        <v>ECUPopulation ages 80 and above, female</v>
      </c>
      <c r="C2601" t="s">
        <v>483</v>
      </c>
      <c r="D2601" t="s">
        <v>38</v>
      </c>
      <c r="E2601" t="s">
        <v>394</v>
      </c>
      <c r="F2601" t="s">
        <v>723</v>
      </c>
      <c r="G2601">
        <v>157000</v>
      </c>
      <c r="H2601">
        <v>163000</v>
      </c>
    </row>
    <row r="2602" spans="2:8" x14ac:dyDescent="0.25">
      <c r="B2602" t="str">
        <f t="shared" si="40"/>
        <v>ECUPopulation ages 80 and above, male</v>
      </c>
      <c r="C2602" t="s">
        <v>483</v>
      </c>
      <c r="D2602" t="s">
        <v>38</v>
      </c>
      <c r="E2602" t="s">
        <v>395</v>
      </c>
      <c r="F2602" t="s">
        <v>724</v>
      </c>
      <c r="G2602">
        <v>116000</v>
      </c>
      <c r="H2602">
        <v>120000</v>
      </c>
    </row>
    <row r="2603" spans="2:8" x14ac:dyDescent="0.25">
      <c r="B2603" t="str">
        <f t="shared" si="40"/>
        <v>ECUPopulation, male</v>
      </c>
      <c r="C2603" t="s">
        <v>483</v>
      </c>
      <c r="D2603" t="s">
        <v>38</v>
      </c>
      <c r="E2603" t="s">
        <v>397</v>
      </c>
      <c r="F2603" t="s">
        <v>725</v>
      </c>
      <c r="G2603">
        <v>8690000</v>
      </c>
      <c r="H2603">
        <v>8824000</v>
      </c>
    </row>
    <row r="2604" spans="2:8" x14ac:dyDescent="0.25">
      <c r="B2604" t="str">
        <f t="shared" si="40"/>
        <v>ECUPopulation, total</v>
      </c>
      <c r="C2604" t="s">
        <v>483</v>
      </c>
      <c r="D2604" t="s">
        <v>38</v>
      </c>
      <c r="E2604" t="s">
        <v>398</v>
      </c>
      <c r="F2604" t="s">
        <v>726</v>
      </c>
      <c r="G2604">
        <v>17374000</v>
      </c>
      <c r="H2604">
        <v>17643000</v>
      </c>
    </row>
    <row r="2605" spans="2:8" x14ac:dyDescent="0.25">
      <c r="B2605" t="str">
        <f t="shared" si="40"/>
        <v>ECUPopulation, female</v>
      </c>
      <c r="C2605" t="s">
        <v>483</v>
      </c>
      <c r="D2605" t="s">
        <v>38</v>
      </c>
      <c r="E2605" t="s">
        <v>396</v>
      </c>
      <c r="F2605" t="s">
        <v>727</v>
      </c>
      <c r="G2605">
        <v>8683000</v>
      </c>
      <c r="H2605">
        <v>8819000</v>
      </c>
    </row>
    <row r="2606" spans="2:8" x14ac:dyDescent="0.25">
      <c r="B2606" t="str">
        <f t="shared" si="40"/>
        <v>ECUPopulation growth (annual %)</v>
      </c>
      <c r="C2606" t="s">
        <v>483</v>
      </c>
      <c r="D2606" t="s">
        <v>38</v>
      </c>
      <c r="E2606" t="s">
        <v>399</v>
      </c>
      <c r="F2606" t="s">
        <v>728</v>
      </c>
      <c r="G2606">
        <v>0</v>
      </c>
      <c r="H2606">
        <v>0</v>
      </c>
    </row>
    <row r="2607" spans="2:8" x14ac:dyDescent="0.25">
      <c r="B2607" t="str">
        <f t="shared" si="40"/>
        <v>EGYPopulation ages 0-14, female</v>
      </c>
      <c r="C2607" t="s">
        <v>484</v>
      </c>
      <c r="D2607" t="s">
        <v>39</v>
      </c>
      <c r="E2607" t="s">
        <v>687</v>
      </c>
      <c r="F2607" t="s">
        <v>688</v>
      </c>
      <c r="G2607">
        <v>16478000</v>
      </c>
      <c r="H2607">
        <v>16843000</v>
      </c>
    </row>
    <row r="2608" spans="2:8" x14ac:dyDescent="0.25">
      <c r="B2608" t="str">
        <f t="shared" si="40"/>
        <v>EGYPopulation ages 0-14, male</v>
      </c>
      <c r="C2608" t="s">
        <v>484</v>
      </c>
      <c r="D2608" t="s">
        <v>39</v>
      </c>
      <c r="E2608" t="s">
        <v>689</v>
      </c>
      <c r="F2608" t="s">
        <v>690</v>
      </c>
      <c r="G2608">
        <v>17488000</v>
      </c>
      <c r="H2608">
        <v>17869000</v>
      </c>
    </row>
    <row r="2609" spans="2:8" x14ac:dyDescent="0.25">
      <c r="B2609" t="str">
        <f t="shared" si="40"/>
        <v>EGYPopulation ages 00-04, female</v>
      </c>
      <c r="C2609" t="s">
        <v>484</v>
      </c>
      <c r="D2609" t="s">
        <v>39</v>
      </c>
      <c r="E2609" t="s">
        <v>362</v>
      </c>
      <c r="F2609" t="s">
        <v>691</v>
      </c>
      <c r="G2609">
        <v>6217000</v>
      </c>
      <c r="H2609">
        <v>6169000</v>
      </c>
    </row>
    <row r="2610" spans="2:8" x14ac:dyDescent="0.25">
      <c r="B2610" t="str">
        <f t="shared" si="40"/>
        <v>EGYPopulation ages 00-04, male</v>
      </c>
      <c r="C2610" t="s">
        <v>484</v>
      </c>
      <c r="D2610" t="s">
        <v>39</v>
      </c>
      <c r="E2610" t="s">
        <v>363</v>
      </c>
      <c r="F2610" t="s">
        <v>692</v>
      </c>
      <c r="G2610">
        <v>6587000</v>
      </c>
      <c r="H2610">
        <v>6529000</v>
      </c>
    </row>
    <row r="2611" spans="2:8" x14ac:dyDescent="0.25">
      <c r="B2611" t="str">
        <f t="shared" si="40"/>
        <v>EGYPopulation ages 05-09, female</v>
      </c>
      <c r="C2611" t="s">
        <v>484</v>
      </c>
      <c r="D2611" t="s">
        <v>39</v>
      </c>
      <c r="E2611" t="s">
        <v>364</v>
      </c>
      <c r="F2611" t="s">
        <v>693</v>
      </c>
      <c r="G2611">
        <v>5728000</v>
      </c>
      <c r="H2611">
        <v>5977000</v>
      </c>
    </row>
    <row r="2612" spans="2:8" x14ac:dyDescent="0.25">
      <c r="B2612" t="str">
        <f t="shared" si="40"/>
        <v>EGYPopulation ages 05-09, male</v>
      </c>
      <c r="C2612" t="s">
        <v>484</v>
      </c>
      <c r="D2612" t="s">
        <v>39</v>
      </c>
      <c r="E2612" t="s">
        <v>365</v>
      </c>
      <c r="F2612" t="s">
        <v>694</v>
      </c>
      <c r="G2612">
        <v>6090000</v>
      </c>
      <c r="H2612">
        <v>6355000</v>
      </c>
    </row>
    <row r="2613" spans="2:8" x14ac:dyDescent="0.25">
      <c r="B2613" t="str">
        <f t="shared" si="40"/>
        <v>EGYPopulation ages 10-14, female</v>
      </c>
      <c r="C2613" t="s">
        <v>484</v>
      </c>
      <c r="D2613" t="s">
        <v>39</v>
      </c>
      <c r="E2613" t="s">
        <v>366</v>
      </c>
      <c r="F2613" t="s">
        <v>695</v>
      </c>
      <c r="G2613">
        <v>4534000</v>
      </c>
      <c r="H2613">
        <v>4698000</v>
      </c>
    </row>
    <row r="2614" spans="2:8" x14ac:dyDescent="0.25">
      <c r="B2614" t="str">
        <f t="shared" si="40"/>
        <v>EGYPopulation ages 10-14, male</v>
      </c>
      <c r="C2614" t="s">
        <v>484</v>
      </c>
      <c r="D2614" t="s">
        <v>39</v>
      </c>
      <c r="E2614" t="s">
        <v>367</v>
      </c>
      <c r="F2614" t="s">
        <v>696</v>
      </c>
      <c r="G2614">
        <v>4810000</v>
      </c>
      <c r="H2614">
        <v>4986000</v>
      </c>
    </row>
    <row r="2615" spans="2:8" x14ac:dyDescent="0.25">
      <c r="B2615" t="str">
        <f t="shared" si="40"/>
        <v>EGYPopulation ages 15-19, female</v>
      </c>
      <c r="C2615" t="s">
        <v>484</v>
      </c>
      <c r="D2615" t="s">
        <v>39</v>
      </c>
      <c r="E2615" t="s">
        <v>368</v>
      </c>
      <c r="F2615" t="s">
        <v>697</v>
      </c>
      <c r="G2615">
        <v>4190000</v>
      </c>
      <c r="H2615">
        <v>4225000</v>
      </c>
    </row>
    <row r="2616" spans="2:8" x14ac:dyDescent="0.25">
      <c r="B2616" t="str">
        <f t="shared" si="40"/>
        <v>EGYPopulation ages 15-19, male</v>
      </c>
      <c r="C2616" t="s">
        <v>484</v>
      </c>
      <c r="D2616" t="s">
        <v>39</v>
      </c>
      <c r="E2616" t="s">
        <v>369</v>
      </c>
      <c r="F2616" t="s">
        <v>698</v>
      </c>
      <c r="G2616">
        <v>4435000</v>
      </c>
      <c r="H2616">
        <v>4476000</v>
      </c>
    </row>
    <row r="2617" spans="2:8" x14ac:dyDescent="0.25">
      <c r="B2617" t="str">
        <f t="shared" si="40"/>
        <v>EGYPopulation ages 20-24, female</v>
      </c>
      <c r="C2617" t="s">
        <v>484</v>
      </c>
      <c r="D2617" t="s">
        <v>39</v>
      </c>
      <c r="E2617" t="s">
        <v>370</v>
      </c>
      <c r="F2617" t="s">
        <v>699</v>
      </c>
      <c r="G2617">
        <v>4088000</v>
      </c>
      <c r="H2617">
        <v>4105000</v>
      </c>
    </row>
    <row r="2618" spans="2:8" x14ac:dyDescent="0.25">
      <c r="B2618" t="str">
        <f t="shared" si="40"/>
        <v>EGYPopulation ages 20-24, male</v>
      </c>
      <c r="C2618" t="s">
        <v>484</v>
      </c>
      <c r="D2618" t="s">
        <v>39</v>
      </c>
      <c r="E2618" t="s">
        <v>371</v>
      </c>
      <c r="F2618" t="s">
        <v>700</v>
      </c>
      <c r="G2618">
        <v>4279000</v>
      </c>
      <c r="H2618">
        <v>4311000</v>
      </c>
    </row>
    <row r="2619" spans="2:8" x14ac:dyDescent="0.25">
      <c r="B2619" t="str">
        <f t="shared" si="40"/>
        <v>EGYPopulation ages 25-29, female</v>
      </c>
      <c r="C2619" t="s">
        <v>484</v>
      </c>
      <c r="D2619" t="s">
        <v>39</v>
      </c>
      <c r="E2619" t="s">
        <v>372</v>
      </c>
      <c r="F2619" t="s">
        <v>701</v>
      </c>
      <c r="G2619">
        <v>4007000</v>
      </c>
      <c r="H2619">
        <v>3998000</v>
      </c>
    </row>
    <row r="2620" spans="2:8" x14ac:dyDescent="0.25">
      <c r="B2620" t="str">
        <f t="shared" si="40"/>
        <v>EGYPopulation ages 25-29, male</v>
      </c>
      <c r="C2620" t="s">
        <v>484</v>
      </c>
      <c r="D2620" t="s">
        <v>39</v>
      </c>
      <c r="E2620" t="s">
        <v>373</v>
      </c>
      <c r="F2620" t="s">
        <v>702</v>
      </c>
      <c r="G2620">
        <v>4100000</v>
      </c>
      <c r="H2620">
        <v>4096000</v>
      </c>
    </row>
    <row r="2621" spans="2:8" x14ac:dyDescent="0.25">
      <c r="B2621" t="str">
        <f t="shared" si="40"/>
        <v>EGYPopulation ages 30-34, female</v>
      </c>
      <c r="C2621" t="s">
        <v>484</v>
      </c>
      <c r="D2621" t="s">
        <v>39</v>
      </c>
      <c r="E2621" t="s">
        <v>374</v>
      </c>
      <c r="F2621" t="s">
        <v>703</v>
      </c>
      <c r="G2621">
        <v>3951000</v>
      </c>
      <c r="H2621">
        <v>3999000</v>
      </c>
    </row>
    <row r="2622" spans="2:8" x14ac:dyDescent="0.25">
      <c r="B2622" t="str">
        <f t="shared" si="40"/>
        <v>EGYPopulation ages 30-34, male</v>
      </c>
      <c r="C2622" t="s">
        <v>484</v>
      </c>
      <c r="D2622" t="s">
        <v>39</v>
      </c>
      <c r="E2622" t="s">
        <v>375</v>
      </c>
      <c r="F2622" t="s">
        <v>704</v>
      </c>
      <c r="G2622">
        <v>4031000</v>
      </c>
      <c r="H2622">
        <v>4066000</v>
      </c>
    </row>
    <row r="2623" spans="2:8" x14ac:dyDescent="0.25">
      <c r="B2623" t="str">
        <f t="shared" si="40"/>
        <v>EGYPopulation ages 35-39, female</v>
      </c>
      <c r="C2623" t="s">
        <v>484</v>
      </c>
      <c r="D2623" t="s">
        <v>39</v>
      </c>
      <c r="E2623" t="s">
        <v>376</v>
      </c>
      <c r="F2623" t="s">
        <v>705</v>
      </c>
      <c r="G2623">
        <v>3414000</v>
      </c>
      <c r="H2623">
        <v>3512000</v>
      </c>
    </row>
    <row r="2624" spans="2:8" x14ac:dyDescent="0.25">
      <c r="B2624" t="str">
        <f t="shared" si="40"/>
        <v>EGYPopulation ages 35-39, male</v>
      </c>
      <c r="C2624" t="s">
        <v>484</v>
      </c>
      <c r="D2624" t="s">
        <v>39</v>
      </c>
      <c r="E2624" t="s">
        <v>377</v>
      </c>
      <c r="F2624" t="s">
        <v>706</v>
      </c>
      <c r="G2624">
        <v>3526000</v>
      </c>
      <c r="H2624">
        <v>3621000</v>
      </c>
    </row>
    <row r="2625" spans="2:8" x14ac:dyDescent="0.25">
      <c r="B2625" t="str">
        <f t="shared" si="40"/>
        <v>EGYPopulation ages 40-44, female</v>
      </c>
      <c r="C2625" t="s">
        <v>484</v>
      </c>
      <c r="D2625" t="s">
        <v>39</v>
      </c>
      <c r="E2625" t="s">
        <v>378</v>
      </c>
      <c r="F2625" t="s">
        <v>707</v>
      </c>
      <c r="G2625">
        <v>2879000</v>
      </c>
      <c r="H2625">
        <v>2979000</v>
      </c>
    </row>
    <row r="2626" spans="2:8" x14ac:dyDescent="0.25">
      <c r="B2626" t="str">
        <f t="shared" si="40"/>
        <v>EGYPopulation ages 40-44, male</v>
      </c>
      <c r="C2626" t="s">
        <v>484</v>
      </c>
      <c r="D2626" t="s">
        <v>39</v>
      </c>
      <c r="E2626" t="s">
        <v>379</v>
      </c>
      <c r="F2626" t="s">
        <v>708</v>
      </c>
      <c r="G2626">
        <v>2941000</v>
      </c>
      <c r="H2626">
        <v>3061000</v>
      </c>
    </row>
    <row r="2627" spans="2:8" x14ac:dyDescent="0.25">
      <c r="B2627" t="str">
        <f t="shared" si="40"/>
        <v>EGYPopulation ages 45-49, female</v>
      </c>
      <c r="C2627" t="s">
        <v>484</v>
      </c>
      <c r="D2627" t="s">
        <v>39</v>
      </c>
      <c r="E2627" t="s">
        <v>380</v>
      </c>
      <c r="F2627" t="s">
        <v>709</v>
      </c>
      <c r="G2627">
        <v>2410000</v>
      </c>
      <c r="H2627">
        <v>2481000</v>
      </c>
    </row>
    <row r="2628" spans="2:8" x14ac:dyDescent="0.25">
      <c r="B2628" t="str">
        <f t="shared" si="40"/>
        <v>EGYPopulation ages 45-49, male</v>
      </c>
      <c r="C2628" t="s">
        <v>484</v>
      </c>
      <c r="D2628" t="s">
        <v>39</v>
      </c>
      <c r="E2628" t="s">
        <v>381</v>
      </c>
      <c r="F2628" t="s">
        <v>710</v>
      </c>
      <c r="G2628">
        <v>2345000</v>
      </c>
      <c r="H2628">
        <v>2427000</v>
      </c>
    </row>
    <row r="2629" spans="2:8" x14ac:dyDescent="0.25">
      <c r="B2629" t="str">
        <f t="shared" si="40"/>
        <v>EGYPopulation ages 50-54, female</v>
      </c>
      <c r="C2629" t="s">
        <v>484</v>
      </c>
      <c r="D2629" t="s">
        <v>39</v>
      </c>
      <c r="E2629" t="s">
        <v>382</v>
      </c>
      <c r="F2629" t="s">
        <v>711</v>
      </c>
      <c r="G2629">
        <v>2093000</v>
      </c>
      <c r="H2629">
        <v>2144000</v>
      </c>
    </row>
    <row r="2630" spans="2:8" x14ac:dyDescent="0.25">
      <c r="B2630" t="str">
        <f t="shared" si="40"/>
        <v>EGYPopulation ages 50-54, male</v>
      </c>
      <c r="C2630" t="s">
        <v>484</v>
      </c>
      <c r="D2630" t="s">
        <v>39</v>
      </c>
      <c r="E2630" t="s">
        <v>383</v>
      </c>
      <c r="F2630" t="s">
        <v>712</v>
      </c>
      <c r="G2630">
        <v>2035000</v>
      </c>
      <c r="H2630">
        <v>2070000</v>
      </c>
    </row>
    <row r="2631" spans="2:8" x14ac:dyDescent="0.25">
      <c r="B2631" t="str">
        <f t="shared" ref="B2631:B2694" si="41">CONCATENATE(D2631,E2631)</f>
        <v>EGYPopulation ages 55-59, male</v>
      </c>
      <c r="C2631" t="s">
        <v>484</v>
      </c>
      <c r="D2631" t="s">
        <v>39</v>
      </c>
      <c r="E2631" t="s">
        <v>385</v>
      </c>
      <c r="F2631" t="s">
        <v>713</v>
      </c>
      <c r="G2631">
        <v>1768000</v>
      </c>
      <c r="H2631">
        <v>1803000</v>
      </c>
    </row>
    <row r="2632" spans="2:8" x14ac:dyDescent="0.25">
      <c r="B2632" t="str">
        <f t="shared" si="41"/>
        <v>EGYPopulation ages 55-59, female</v>
      </c>
      <c r="C2632" t="s">
        <v>484</v>
      </c>
      <c r="D2632" t="s">
        <v>39</v>
      </c>
      <c r="E2632" t="s">
        <v>384</v>
      </c>
      <c r="F2632" t="s">
        <v>714</v>
      </c>
      <c r="G2632">
        <v>1782000</v>
      </c>
      <c r="H2632">
        <v>1828000</v>
      </c>
    </row>
    <row r="2633" spans="2:8" x14ac:dyDescent="0.25">
      <c r="B2633" t="str">
        <f t="shared" si="41"/>
        <v>EGYPopulation ages 65-69, male</v>
      </c>
      <c r="C2633" t="s">
        <v>484</v>
      </c>
      <c r="D2633" t="s">
        <v>39</v>
      </c>
      <c r="E2633" t="s">
        <v>389</v>
      </c>
      <c r="F2633" t="s">
        <v>715</v>
      </c>
      <c r="G2633">
        <v>1012000</v>
      </c>
      <c r="H2633">
        <v>1040000</v>
      </c>
    </row>
    <row r="2634" spans="2:8" x14ac:dyDescent="0.25">
      <c r="B2634" t="str">
        <f t="shared" si="41"/>
        <v>EGYPopulation ages 65-69, female</v>
      </c>
      <c r="C2634" t="s">
        <v>484</v>
      </c>
      <c r="D2634" t="s">
        <v>39</v>
      </c>
      <c r="E2634" t="s">
        <v>388</v>
      </c>
      <c r="F2634" t="s">
        <v>716</v>
      </c>
      <c r="G2634">
        <v>1094000</v>
      </c>
      <c r="H2634">
        <v>1121000</v>
      </c>
    </row>
    <row r="2635" spans="2:8" x14ac:dyDescent="0.25">
      <c r="B2635" t="str">
        <f t="shared" si="41"/>
        <v>EGYPopulation ages 60-64, female</v>
      </c>
      <c r="C2635" t="s">
        <v>484</v>
      </c>
      <c r="D2635" t="s">
        <v>39</v>
      </c>
      <c r="E2635" t="s">
        <v>386</v>
      </c>
      <c r="F2635" t="s">
        <v>717</v>
      </c>
      <c r="G2635">
        <v>1452000</v>
      </c>
      <c r="H2635">
        <v>1510000</v>
      </c>
    </row>
    <row r="2636" spans="2:8" x14ac:dyDescent="0.25">
      <c r="B2636" t="str">
        <f t="shared" si="41"/>
        <v>EGYPopulation ages 60-64, male</v>
      </c>
      <c r="C2636" t="s">
        <v>484</v>
      </c>
      <c r="D2636" t="s">
        <v>39</v>
      </c>
      <c r="E2636" t="s">
        <v>387</v>
      </c>
      <c r="F2636" t="s">
        <v>718</v>
      </c>
      <c r="G2636">
        <v>1400000</v>
      </c>
      <c r="H2636">
        <v>1452000</v>
      </c>
    </row>
    <row r="2637" spans="2:8" x14ac:dyDescent="0.25">
      <c r="B2637" t="str">
        <f t="shared" si="41"/>
        <v>EGYPopulation ages 70-74, female</v>
      </c>
      <c r="C2637" t="s">
        <v>484</v>
      </c>
      <c r="D2637" t="s">
        <v>39</v>
      </c>
      <c r="E2637" t="s">
        <v>390</v>
      </c>
      <c r="F2637" t="s">
        <v>719</v>
      </c>
      <c r="G2637">
        <v>871000</v>
      </c>
      <c r="H2637">
        <v>908000</v>
      </c>
    </row>
    <row r="2638" spans="2:8" x14ac:dyDescent="0.25">
      <c r="B2638" t="str">
        <f t="shared" si="41"/>
        <v>EGYPopulation ages 70-74, male</v>
      </c>
      <c r="C2638" t="s">
        <v>484</v>
      </c>
      <c r="D2638" t="s">
        <v>39</v>
      </c>
      <c r="E2638" t="s">
        <v>391</v>
      </c>
      <c r="F2638" t="s">
        <v>720</v>
      </c>
      <c r="G2638">
        <v>723000</v>
      </c>
      <c r="H2638">
        <v>758000</v>
      </c>
    </row>
    <row r="2639" spans="2:8" x14ac:dyDescent="0.25">
      <c r="B2639" t="str">
        <f t="shared" si="41"/>
        <v>EGYPopulation ages 75-79, female</v>
      </c>
      <c r="C2639" t="s">
        <v>484</v>
      </c>
      <c r="D2639" t="s">
        <v>39</v>
      </c>
      <c r="E2639" t="s">
        <v>392</v>
      </c>
      <c r="F2639" t="s">
        <v>721</v>
      </c>
      <c r="G2639">
        <v>474000</v>
      </c>
      <c r="H2639">
        <v>500000</v>
      </c>
    </row>
    <row r="2640" spans="2:8" x14ac:dyDescent="0.25">
      <c r="B2640" t="str">
        <f t="shared" si="41"/>
        <v>EGYPopulation ages 75-79, male</v>
      </c>
      <c r="C2640" t="s">
        <v>484</v>
      </c>
      <c r="D2640" t="s">
        <v>39</v>
      </c>
      <c r="E2640" t="s">
        <v>393</v>
      </c>
      <c r="F2640" t="s">
        <v>722</v>
      </c>
      <c r="G2640">
        <v>344000</v>
      </c>
      <c r="H2640">
        <v>365000</v>
      </c>
    </row>
    <row r="2641" spans="2:8" x14ac:dyDescent="0.25">
      <c r="B2641" t="str">
        <f t="shared" si="41"/>
        <v>EGYPopulation ages 80 and above, female</v>
      </c>
      <c r="C2641" t="s">
        <v>484</v>
      </c>
      <c r="D2641" t="s">
        <v>39</v>
      </c>
      <c r="E2641" t="s">
        <v>394</v>
      </c>
      <c r="F2641" t="s">
        <v>723</v>
      </c>
      <c r="G2641">
        <v>483000</v>
      </c>
      <c r="H2641">
        <v>477000</v>
      </c>
    </row>
    <row r="2642" spans="2:8" x14ac:dyDescent="0.25">
      <c r="B2642" t="str">
        <f t="shared" si="41"/>
        <v>EGYPopulation ages 80 and above, male</v>
      </c>
      <c r="C2642" t="s">
        <v>484</v>
      </c>
      <c r="D2642" t="s">
        <v>39</v>
      </c>
      <c r="E2642" t="s">
        <v>395</v>
      </c>
      <c r="F2642" t="s">
        <v>724</v>
      </c>
      <c r="G2642">
        <v>295000</v>
      </c>
      <c r="H2642">
        <v>287000</v>
      </c>
    </row>
    <row r="2643" spans="2:8" x14ac:dyDescent="0.25">
      <c r="B2643" t="str">
        <f t="shared" si="41"/>
        <v>EGYPopulation, male</v>
      </c>
      <c r="C2643" t="s">
        <v>484</v>
      </c>
      <c r="D2643" t="s">
        <v>39</v>
      </c>
      <c r="E2643" t="s">
        <v>397</v>
      </c>
      <c r="F2643" t="s">
        <v>725</v>
      </c>
      <c r="G2643">
        <v>50723000</v>
      </c>
      <c r="H2643">
        <v>51703000</v>
      </c>
    </row>
    <row r="2644" spans="2:8" x14ac:dyDescent="0.25">
      <c r="B2644" t="str">
        <f t="shared" si="41"/>
        <v>EGYPopulation, total</v>
      </c>
      <c r="C2644" t="s">
        <v>484</v>
      </c>
      <c r="D2644" t="s">
        <v>39</v>
      </c>
      <c r="E2644" t="s">
        <v>398</v>
      </c>
      <c r="F2644" t="s">
        <v>726</v>
      </c>
      <c r="G2644">
        <v>100388000</v>
      </c>
      <c r="H2644">
        <v>102334000</v>
      </c>
    </row>
    <row r="2645" spans="2:8" x14ac:dyDescent="0.25">
      <c r="B2645" t="str">
        <f t="shared" si="41"/>
        <v>EGYPopulation, female</v>
      </c>
      <c r="C2645" t="s">
        <v>484</v>
      </c>
      <c r="D2645" t="s">
        <v>39</v>
      </c>
      <c r="E2645" t="s">
        <v>396</v>
      </c>
      <c r="F2645" t="s">
        <v>727</v>
      </c>
      <c r="G2645">
        <v>49665000</v>
      </c>
      <c r="H2645">
        <v>50632000</v>
      </c>
    </row>
    <row r="2646" spans="2:8" x14ac:dyDescent="0.25">
      <c r="B2646" t="str">
        <f t="shared" si="41"/>
        <v>EGYPopulation growth (annual %)</v>
      </c>
      <c r="C2646" t="s">
        <v>484</v>
      </c>
      <c r="D2646" t="s">
        <v>39</v>
      </c>
      <c r="E2646" t="s">
        <v>399</v>
      </c>
      <c r="F2646" t="s">
        <v>728</v>
      </c>
      <c r="G2646">
        <v>0</v>
      </c>
      <c r="H2646">
        <v>0</v>
      </c>
    </row>
    <row r="2647" spans="2:8" x14ac:dyDescent="0.25">
      <c r="B2647" t="str">
        <f t="shared" si="41"/>
        <v>SLVPopulation ages 0-14, female</v>
      </c>
      <c r="C2647" t="s">
        <v>222</v>
      </c>
      <c r="D2647" t="s">
        <v>164</v>
      </c>
      <c r="E2647" t="s">
        <v>687</v>
      </c>
      <c r="F2647" t="s">
        <v>688</v>
      </c>
      <c r="G2647">
        <v>848000</v>
      </c>
      <c r="H2647">
        <v>843000</v>
      </c>
    </row>
    <row r="2648" spans="2:8" x14ac:dyDescent="0.25">
      <c r="B2648" t="str">
        <f t="shared" si="41"/>
        <v>SLVPopulation ages 0-14, male</v>
      </c>
      <c r="C2648" t="s">
        <v>222</v>
      </c>
      <c r="D2648" t="s">
        <v>164</v>
      </c>
      <c r="E2648" t="s">
        <v>689</v>
      </c>
      <c r="F2648" t="s">
        <v>690</v>
      </c>
      <c r="G2648">
        <v>886000</v>
      </c>
      <c r="H2648">
        <v>882000</v>
      </c>
    </row>
    <row r="2649" spans="2:8" x14ac:dyDescent="0.25">
      <c r="B2649" t="str">
        <f t="shared" si="41"/>
        <v>SLVPopulation ages 00-04, female</v>
      </c>
      <c r="C2649" t="s">
        <v>222</v>
      </c>
      <c r="D2649" t="s">
        <v>164</v>
      </c>
      <c r="E2649" t="s">
        <v>362</v>
      </c>
      <c r="F2649" t="s">
        <v>691</v>
      </c>
      <c r="G2649">
        <v>282000</v>
      </c>
      <c r="H2649">
        <v>281000</v>
      </c>
    </row>
    <row r="2650" spans="2:8" x14ac:dyDescent="0.25">
      <c r="B2650" t="str">
        <f t="shared" si="41"/>
        <v>SLVPopulation ages 00-04, male</v>
      </c>
      <c r="C2650" t="s">
        <v>222</v>
      </c>
      <c r="D2650" t="s">
        <v>164</v>
      </c>
      <c r="E2650" t="s">
        <v>363</v>
      </c>
      <c r="F2650" t="s">
        <v>692</v>
      </c>
      <c r="G2650">
        <v>296000</v>
      </c>
      <c r="H2650">
        <v>295000</v>
      </c>
    </row>
    <row r="2651" spans="2:8" x14ac:dyDescent="0.25">
      <c r="B2651" t="str">
        <f t="shared" si="41"/>
        <v>SLVPopulation ages 05-09, female</v>
      </c>
      <c r="C2651" t="s">
        <v>222</v>
      </c>
      <c r="D2651" t="s">
        <v>164</v>
      </c>
      <c r="E2651" t="s">
        <v>364</v>
      </c>
      <c r="F2651" t="s">
        <v>693</v>
      </c>
      <c r="G2651">
        <v>280000</v>
      </c>
      <c r="H2651">
        <v>279000</v>
      </c>
    </row>
    <row r="2652" spans="2:8" x14ac:dyDescent="0.25">
      <c r="B2652" t="str">
        <f t="shared" si="41"/>
        <v>SLVPopulation ages 05-09, male</v>
      </c>
      <c r="C2652" t="s">
        <v>222</v>
      </c>
      <c r="D2652" t="s">
        <v>164</v>
      </c>
      <c r="E2652" t="s">
        <v>365</v>
      </c>
      <c r="F2652" t="s">
        <v>694</v>
      </c>
      <c r="G2652">
        <v>293000</v>
      </c>
      <c r="H2652">
        <v>292000</v>
      </c>
    </row>
    <row r="2653" spans="2:8" x14ac:dyDescent="0.25">
      <c r="B2653" t="str">
        <f t="shared" si="41"/>
        <v>SLVPopulation ages 10-14, female</v>
      </c>
      <c r="C2653" t="s">
        <v>222</v>
      </c>
      <c r="D2653" t="s">
        <v>164</v>
      </c>
      <c r="E2653" t="s">
        <v>366</v>
      </c>
      <c r="F2653" t="s">
        <v>695</v>
      </c>
      <c r="G2653">
        <v>285000</v>
      </c>
      <c r="H2653">
        <v>283000</v>
      </c>
    </row>
    <row r="2654" spans="2:8" x14ac:dyDescent="0.25">
      <c r="B2654" t="str">
        <f t="shared" si="41"/>
        <v>SLVPopulation ages 10-14, male</v>
      </c>
      <c r="C2654" t="s">
        <v>222</v>
      </c>
      <c r="D2654" t="s">
        <v>164</v>
      </c>
      <c r="E2654" t="s">
        <v>367</v>
      </c>
      <c r="F2654" t="s">
        <v>696</v>
      </c>
      <c r="G2654">
        <v>297000</v>
      </c>
      <c r="H2654">
        <v>295000</v>
      </c>
    </row>
    <row r="2655" spans="2:8" x14ac:dyDescent="0.25">
      <c r="B2655" t="str">
        <f t="shared" si="41"/>
        <v>SLVPopulation ages 15-19, female</v>
      </c>
      <c r="C2655" t="s">
        <v>222</v>
      </c>
      <c r="D2655" t="s">
        <v>164</v>
      </c>
      <c r="E2655" t="s">
        <v>368</v>
      </c>
      <c r="F2655" t="s">
        <v>697</v>
      </c>
      <c r="G2655">
        <v>300000</v>
      </c>
      <c r="H2655">
        <v>292000</v>
      </c>
    </row>
    <row r="2656" spans="2:8" x14ac:dyDescent="0.25">
      <c r="B2656" t="str">
        <f t="shared" si="41"/>
        <v>SLVPopulation ages 15-19, male</v>
      </c>
      <c r="C2656" t="s">
        <v>222</v>
      </c>
      <c r="D2656" t="s">
        <v>164</v>
      </c>
      <c r="E2656" t="s">
        <v>369</v>
      </c>
      <c r="F2656" t="s">
        <v>698</v>
      </c>
      <c r="G2656">
        <v>303000</v>
      </c>
      <c r="H2656">
        <v>296000</v>
      </c>
    </row>
    <row r="2657" spans="2:8" x14ac:dyDescent="0.25">
      <c r="B2657" t="str">
        <f t="shared" si="41"/>
        <v>SLVPopulation ages 20-24, female</v>
      </c>
      <c r="C2657" t="s">
        <v>222</v>
      </c>
      <c r="D2657" t="s">
        <v>164</v>
      </c>
      <c r="E2657" t="s">
        <v>370</v>
      </c>
      <c r="F2657" t="s">
        <v>699</v>
      </c>
      <c r="G2657">
        <v>326000</v>
      </c>
      <c r="H2657">
        <v>322000</v>
      </c>
    </row>
    <row r="2658" spans="2:8" x14ac:dyDescent="0.25">
      <c r="B2658" t="str">
        <f t="shared" si="41"/>
        <v>SLVPopulation ages 20-24, male</v>
      </c>
      <c r="C2658" t="s">
        <v>222</v>
      </c>
      <c r="D2658" t="s">
        <v>164</v>
      </c>
      <c r="E2658" t="s">
        <v>371</v>
      </c>
      <c r="F2658" t="s">
        <v>700</v>
      </c>
      <c r="G2658">
        <v>314000</v>
      </c>
      <c r="H2658">
        <v>311000</v>
      </c>
    </row>
    <row r="2659" spans="2:8" x14ac:dyDescent="0.25">
      <c r="B2659" t="str">
        <f t="shared" si="41"/>
        <v>SLVPopulation ages 25-29, female</v>
      </c>
      <c r="C2659" t="s">
        <v>222</v>
      </c>
      <c r="D2659" t="s">
        <v>164</v>
      </c>
      <c r="E2659" t="s">
        <v>372</v>
      </c>
      <c r="F2659" t="s">
        <v>701</v>
      </c>
      <c r="G2659">
        <v>301000</v>
      </c>
      <c r="H2659">
        <v>307000</v>
      </c>
    </row>
    <row r="2660" spans="2:8" x14ac:dyDescent="0.25">
      <c r="B2660" t="str">
        <f t="shared" si="41"/>
        <v>SLVPopulation ages 25-29, male</v>
      </c>
      <c r="C2660" t="s">
        <v>222</v>
      </c>
      <c r="D2660" t="s">
        <v>164</v>
      </c>
      <c r="E2660" t="s">
        <v>373</v>
      </c>
      <c r="F2660" t="s">
        <v>702</v>
      </c>
      <c r="G2660">
        <v>269000</v>
      </c>
      <c r="H2660">
        <v>276000</v>
      </c>
    </row>
    <row r="2661" spans="2:8" x14ac:dyDescent="0.25">
      <c r="B2661" t="str">
        <f t="shared" si="41"/>
        <v>SLVPopulation ages 30-34, female</v>
      </c>
      <c r="C2661" t="s">
        <v>222</v>
      </c>
      <c r="D2661" t="s">
        <v>164</v>
      </c>
      <c r="E2661" t="s">
        <v>374</v>
      </c>
      <c r="F2661" t="s">
        <v>703</v>
      </c>
      <c r="G2661">
        <v>254000</v>
      </c>
      <c r="H2661">
        <v>260000</v>
      </c>
    </row>
    <row r="2662" spans="2:8" x14ac:dyDescent="0.25">
      <c r="B2662" t="str">
        <f t="shared" si="41"/>
        <v>SLVPopulation ages 30-34, male</v>
      </c>
      <c r="C2662" t="s">
        <v>222</v>
      </c>
      <c r="D2662" t="s">
        <v>164</v>
      </c>
      <c r="E2662" t="s">
        <v>375</v>
      </c>
      <c r="F2662" t="s">
        <v>704</v>
      </c>
      <c r="G2662">
        <v>208000</v>
      </c>
      <c r="H2662">
        <v>214000</v>
      </c>
    </row>
    <row r="2663" spans="2:8" x14ac:dyDescent="0.25">
      <c r="B2663" t="str">
        <f t="shared" si="41"/>
        <v>SLVPopulation ages 35-39, female</v>
      </c>
      <c r="C2663" t="s">
        <v>222</v>
      </c>
      <c r="D2663" t="s">
        <v>164</v>
      </c>
      <c r="E2663" t="s">
        <v>376</v>
      </c>
      <c r="F2663" t="s">
        <v>705</v>
      </c>
      <c r="G2663">
        <v>228000</v>
      </c>
      <c r="H2663">
        <v>230000</v>
      </c>
    </row>
    <row r="2664" spans="2:8" x14ac:dyDescent="0.25">
      <c r="B2664" t="str">
        <f t="shared" si="41"/>
        <v>SLVPopulation ages 35-39, male</v>
      </c>
      <c r="C2664" t="s">
        <v>222</v>
      </c>
      <c r="D2664" t="s">
        <v>164</v>
      </c>
      <c r="E2664" t="s">
        <v>377</v>
      </c>
      <c r="F2664" t="s">
        <v>706</v>
      </c>
      <c r="G2664">
        <v>177000</v>
      </c>
      <c r="H2664">
        <v>178000</v>
      </c>
    </row>
    <row r="2665" spans="2:8" x14ac:dyDescent="0.25">
      <c r="B2665" t="str">
        <f t="shared" si="41"/>
        <v>SLVPopulation ages 40-44, female</v>
      </c>
      <c r="C2665" t="s">
        <v>222</v>
      </c>
      <c r="D2665" t="s">
        <v>164</v>
      </c>
      <c r="E2665" t="s">
        <v>378</v>
      </c>
      <c r="F2665" t="s">
        <v>707</v>
      </c>
      <c r="G2665">
        <v>215000</v>
      </c>
      <c r="H2665">
        <v>217000</v>
      </c>
    </row>
    <row r="2666" spans="2:8" x14ac:dyDescent="0.25">
      <c r="B2666" t="str">
        <f t="shared" si="41"/>
        <v>SLVPopulation ages 40-44, male</v>
      </c>
      <c r="C2666" t="s">
        <v>222</v>
      </c>
      <c r="D2666" t="s">
        <v>164</v>
      </c>
      <c r="E2666" t="s">
        <v>379</v>
      </c>
      <c r="F2666" t="s">
        <v>708</v>
      </c>
      <c r="G2666">
        <v>164000</v>
      </c>
      <c r="H2666">
        <v>165000</v>
      </c>
    </row>
    <row r="2667" spans="2:8" x14ac:dyDescent="0.25">
      <c r="B2667" t="str">
        <f t="shared" si="41"/>
        <v>SLVPopulation ages 45-49, female</v>
      </c>
      <c r="C2667" t="s">
        <v>222</v>
      </c>
      <c r="D2667" t="s">
        <v>164</v>
      </c>
      <c r="E2667" t="s">
        <v>380</v>
      </c>
      <c r="F2667" t="s">
        <v>709</v>
      </c>
      <c r="G2667">
        <v>193000</v>
      </c>
      <c r="H2667">
        <v>196000</v>
      </c>
    </row>
    <row r="2668" spans="2:8" x14ac:dyDescent="0.25">
      <c r="B2668" t="str">
        <f t="shared" si="41"/>
        <v>SLVPopulation ages 45-49, male</v>
      </c>
      <c r="C2668" t="s">
        <v>222</v>
      </c>
      <c r="D2668" t="s">
        <v>164</v>
      </c>
      <c r="E2668" t="s">
        <v>381</v>
      </c>
      <c r="F2668" t="s">
        <v>710</v>
      </c>
      <c r="G2668">
        <v>146000</v>
      </c>
      <c r="H2668">
        <v>147000</v>
      </c>
    </row>
    <row r="2669" spans="2:8" x14ac:dyDescent="0.25">
      <c r="B2669" t="str">
        <f t="shared" si="41"/>
        <v>SLVPopulation ages 50-54, female</v>
      </c>
      <c r="C2669" t="s">
        <v>222</v>
      </c>
      <c r="D2669" t="s">
        <v>164</v>
      </c>
      <c r="E2669" t="s">
        <v>382</v>
      </c>
      <c r="F2669" t="s">
        <v>711</v>
      </c>
      <c r="G2669">
        <v>171000</v>
      </c>
      <c r="H2669">
        <v>174000</v>
      </c>
    </row>
    <row r="2670" spans="2:8" x14ac:dyDescent="0.25">
      <c r="B2670" t="str">
        <f t="shared" si="41"/>
        <v>SLVPopulation ages 50-54, male</v>
      </c>
      <c r="C2670" t="s">
        <v>222</v>
      </c>
      <c r="D2670" t="s">
        <v>164</v>
      </c>
      <c r="E2670" t="s">
        <v>383</v>
      </c>
      <c r="F2670" t="s">
        <v>712</v>
      </c>
      <c r="G2670">
        <v>128000</v>
      </c>
      <c r="H2670">
        <v>129000</v>
      </c>
    </row>
    <row r="2671" spans="2:8" x14ac:dyDescent="0.25">
      <c r="B2671" t="str">
        <f t="shared" si="41"/>
        <v>SLVPopulation ages 55-59, male</v>
      </c>
      <c r="C2671" t="s">
        <v>222</v>
      </c>
      <c r="D2671" t="s">
        <v>164</v>
      </c>
      <c r="E2671" t="s">
        <v>385</v>
      </c>
      <c r="F2671" t="s">
        <v>713</v>
      </c>
      <c r="G2671">
        <v>110000</v>
      </c>
      <c r="H2671">
        <v>112000</v>
      </c>
    </row>
    <row r="2672" spans="2:8" x14ac:dyDescent="0.25">
      <c r="B2672" t="str">
        <f t="shared" si="41"/>
        <v>SLVPopulation ages 55-59, female</v>
      </c>
      <c r="C2672" t="s">
        <v>222</v>
      </c>
      <c r="D2672" t="s">
        <v>164</v>
      </c>
      <c r="E2672" t="s">
        <v>384</v>
      </c>
      <c r="F2672" t="s">
        <v>714</v>
      </c>
      <c r="G2672">
        <v>149000</v>
      </c>
      <c r="H2672">
        <v>153000</v>
      </c>
    </row>
    <row r="2673" spans="2:8" x14ac:dyDescent="0.25">
      <c r="B2673" t="str">
        <f t="shared" si="41"/>
        <v>SLVPopulation ages 65-69, male</v>
      </c>
      <c r="C2673" t="s">
        <v>222</v>
      </c>
      <c r="D2673" t="s">
        <v>164</v>
      </c>
      <c r="E2673" t="s">
        <v>389</v>
      </c>
      <c r="F2673" t="s">
        <v>715</v>
      </c>
      <c r="G2673">
        <v>75000</v>
      </c>
      <c r="H2673">
        <v>76000</v>
      </c>
    </row>
    <row r="2674" spans="2:8" x14ac:dyDescent="0.25">
      <c r="B2674" t="str">
        <f t="shared" si="41"/>
        <v>SLVPopulation ages 65-69, female</v>
      </c>
      <c r="C2674" t="s">
        <v>222</v>
      </c>
      <c r="D2674" t="s">
        <v>164</v>
      </c>
      <c r="E2674" t="s">
        <v>388</v>
      </c>
      <c r="F2674" t="s">
        <v>716</v>
      </c>
      <c r="G2674">
        <v>106000</v>
      </c>
      <c r="H2674">
        <v>109000</v>
      </c>
    </row>
    <row r="2675" spans="2:8" x14ac:dyDescent="0.25">
      <c r="B2675" t="str">
        <f t="shared" si="41"/>
        <v>SLVPopulation ages 60-64, female</v>
      </c>
      <c r="C2675" t="s">
        <v>222</v>
      </c>
      <c r="D2675" t="s">
        <v>164</v>
      </c>
      <c r="E2675" t="s">
        <v>386</v>
      </c>
      <c r="F2675" t="s">
        <v>717</v>
      </c>
      <c r="G2675">
        <v>126000</v>
      </c>
      <c r="H2675">
        <v>128000</v>
      </c>
    </row>
    <row r="2676" spans="2:8" x14ac:dyDescent="0.25">
      <c r="B2676" t="str">
        <f t="shared" si="41"/>
        <v>SLVPopulation ages 60-64, male</v>
      </c>
      <c r="C2676" t="s">
        <v>222</v>
      </c>
      <c r="D2676" t="s">
        <v>164</v>
      </c>
      <c r="E2676" t="s">
        <v>387</v>
      </c>
      <c r="F2676" t="s">
        <v>718</v>
      </c>
      <c r="G2676">
        <v>91000</v>
      </c>
      <c r="H2676">
        <v>93000</v>
      </c>
    </row>
    <row r="2677" spans="2:8" x14ac:dyDescent="0.25">
      <c r="B2677" t="str">
        <f t="shared" si="41"/>
        <v>SLVPopulation ages 70-74, female</v>
      </c>
      <c r="C2677" t="s">
        <v>222</v>
      </c>
      <c r="D2677" t="s">
        <v>164</v>
      </c>
      <c r="E2677" t="s">
        <v>390</v>
      </c>
      <c r="F2677" t="s">
        <v>719</v>
      </c>
      <c r="G2677">
        <v>79000</v>
      </c>
      <c r="H2677">
        <v>81000</v>
      </c>
    </row>
    <row r="2678" spans="2:8" x14ac:dyDescent="0.25">
      <c r="B2678" t="str">
        <f t="shared" si="41"/>
        <v>SLVPopulation ages 70-74, male</v>
      </c>
      <c r="C2678" t="s">
        <v>222</v>
      </c>
      <c r="D2678" t="s">
        <v>164</v>
      </c>
      <c r="E2678" t="s">
        <v>391</v>
      </c>
      <c r="F2678" t="s">
        <v>720</v>
      </c>
      <c r="G2678">
        <v>57000</v>
      </c>
      <c r="H2678">
        <v>58000</v>
      </c>
    </row>
    <row r="2679" spans="2:8" x14ac:dyDescent="0.25">
      <c r="B2679" t="str">
        <f t="shared" si="41"/>
        <v>SLVPopulation ages 75-79, female</v>
      </c>
      <c r="C2679" t="s">
        <v>222</v>
      </c>
      <c r="D2679" t="s">
        <v>164</v>
      </c>
      <c r="E2679" t="s">
        <v>392</v>
      </c>
      <c r="F2679" t="s">
        <v>721</v>
      </c>
      <c r="G2679">
        <v>62000</v>
      </c>
      <c r="H2679">
        <v>63000</v>
      </c>
    </row>
    <row r="2680" spans="2:8" x14ac:dyDescent="0.25">
      <c r="B2680" t="str">
        <f t="shared" si="41"/>
        <v>SLVPopulation ages 75-79, male</v>
      </c>
      <c r="C2680" t="s">
        <v>222</v>
      </c>
      <c r="D2680" t="s">
        <v>164</v>
      </c>
      <c r="E2680" t="s">
        <v>393</v>
      </c>
      <c r="F2680" t="s">
        <v>722</v>
      </c>
      <c r="G2680">
        <v>45000</v>
      </c>
      <c r="H2680">
        <v>46000</v>
      </c>
    </row>
    <row r="2681" spans="2:8" x14ac:dyDescent="0.25">
      <c r="B2681" t="str">
        <f t="shared" si="41"/>
        <v>SLVPopulation ages 80 and above, female</v>
      </c>
      <c r="C2681" t="s">
        <v>222</v>
      </c>
      <c r="D2681" t="s">
        <v>164</v>
      </c>
      <c r="E2681" t="s">
        <v>394</v>
      </c>
      <c r="F2681" t="s">
        <v>723</v>
      </c>
      <c r="G2681">
        <v>72000</v>
      </c>
      <c r="H2681">
        <v>75000</v>
      </c>
    </row>
    <row r="2682" spans="2:8" x14ac:dyDescent="0.25">
      <c r="B2682" t="str">
        <f t="shared" si="41"/>
        <v>SLVPopulation ages 80 and above, male</v>
      </c>
      <c r="C2682" t="s">
        <v>222</v>
      </c>
      <c r="D2682" t="s">
        <v>164</v>
      </c>
      <c r="E2682" t="s">
        <v>395</v>
      </c>
      <c r="F2682" t="s">
        <v>724</v>
      </c>
      <c r="G2682">
        <v>51000</v>
      </c>
      <c r="H2682">
        <v>52000</v>
      </c>
    </row>
    <row r="2683" spans="2:8" x14ac:dyDescent="0.25">
      <c r="B2683" t="str">
        <f t="shared" si="41"/>
        <v>SLVPopulation, male</v>
      </c>
      <c r="C2683" t="s">
        <v>222</v>
      </c>
      <c r="D2683" t="s">
        <v>164</v>
      </c>
      <c r="E2683" t="s">
        <v>397</v>
      </c>
      <c r="F2683" t="s">
        <v>725</v>
      </c>
      <c r="G2683">
        <v>3023000</v>
      </c>
      <c r="H2683">
        <v>3036000</v>
      </c>
    </row>
    <row r="2684" spans="2:8" x14ac:dyDescent="0.25">
      <c r="B2684" t="str">
        <f t="shared" si="41"/>
        <v>SLVPopulation, total</v>
      </c>
      <c r="C2684" t="s">
        <v>222</v>
      </c>
      <c r="D2684" t="s">
        <v>164</v>
      </c>
      <c r="E2684" t="s">
        <v>398</v>
      </c>
      <c r="F2684" t="s">
        <v>726</v>
      </c>
      <c r="G2684">
        <v>6454000</v>
      </c>
      <c r="H2684">
        <v>6486000</v>
      </c>
    </row>
    <row r="2685" spans="2:8" x14ac:dyDescent="0.25">
      <c r="B2685" t="str">
        <f t="shared" si="41"/>
        <v>SLVPopulation, female</v>
      </c>
      <c r="C2685" t="s">
        <v>222</v>
      </c>
      <c r="D2685" t="s">
        <v>164</v>
      </c>
      <c r="E2685" t="s">
        <v>396</v>
      </c>
      <c r="F2685" t="s">
        <v>727</v>
      </c>
      <c r="G2685">
        <v>3430000</v>
      </c>
      <c r="H2685">
        <v>3450000</v>
      </c>
    </row>
    <row r="2686" spans="2:8" x14ac:dyDescent="0.25">
      <c r="B2686" t="str">
        <f t="shared" si="41"/>
        <v>SLVPopulation growth (annual %)</v>
      </c>
      <c r="C2686" t="s">
        <v>222</v>
      </c>
      <c r="D2686" t="s">
        <v>164</v>
      </c>
      <c r="E2686" t="s">
        <v>399</v>
      </c>
      <c r="F2686" t="s">
        <v>728</v>
      </c>
      <c r="G2686">
        <v>0</v>
      </c>
      <c r="H2686">
        <v>0</v>
      </c>
    </row>
    <row r="2687" spans="2:8" x14ac:dyDescent="0.25">
      <c r="B2687" t="str">
        <f t="shared" si="41"/>
        <v>GNQPopulation ages 0-14, female</v>
      </c>
      <c r="C2687" t="s">
        <v>191</v>
      </c>
      <c r="D2687" t="s">
        <v>174</v>
      </c>
      <c r="E2687" t="s">
        <v>687</v>
      </c>
      <c r="F2687" t="s">
        <v>688</v>
      </c>
      <c r="G2687">
        <v>247000</v>
      </c>
      <c r="H2687">
        <v>255000</v>
      </c>
    </row>
    <row r="2688" spans="2:8" x14ac:dyDescent="0.25">
      <c r="B2688" t="str">
        <f t="shared" si="41"/>
        <v>GNQPopulation ages 0-14, male</v>
      </c>
      <c r="C2688" t="s">
        <v>191</v>
      </c>
      <c r="D2688" t="s">
        <v>174</v>
      </c>
      <c r="E2688" t="s">
        <v>689</v>
      </c>
      <c r="F2688" t="s">
        <v>690</v>
      </c>
      <c r="G2688">
        <v>254000</v>
      </c>
      <c r="H2688">
        <v>261000</v>
      </c>
    </row>
    <row r="2689" spans="2:8" x14ac:dyDescent="0.25">
      <c r="B2689" t="str">
        <f t="shared" si="41"/>
        <v>GNQPopulation ages 00-04, female</v>
      </c>
      <c r="C2689" t="s">
        <v>191</v>
      </c>
      <c r="D2689" t="s">
        <v>174</v>
      </c>
      <c r="E2689" t="s">
        <v>362</v>
      </c>
      <c r="F2689" t="s">
        <v>691</v>
      </c>
      <c r="G2689">
        <v>96000</v>
      </c>
      <c r="H2689">
        <v>99000</v>
      </c>
    </row>
    <row r="2690" spans="2:8" x14ac:dyDescent="0.25">
      <c r="B2690" t="str">
        <f t="shared" si="41"/>
        <v>GNQPopulation ages 00-04, male</v>
      </c>
      <c r="C2690" t="s">
        <v>191</v>
      </c>
      <c r="D2690" t="s">
        <v>174</v>
      </c>
      <c r="E2690" t="s">
        <v>363</v>
      </c>
      <c r="F2690" t="s">
        <v>692</v>
      </c>
      <c r="G2690">
        <v>99000</v>
      </c>
      <c r="H2690">
        <v>101000</v>
      </c>
    </row>
    <row r="2691" spans="2:8" x14ac:dyDescent="0.25">
      <c r="B2691" t="str">
        <f t="shared" si="41"/>
        <v>GNQPopulation ages 05-09, female</v>
      </c>
      <c r="C2691" t="s">
        <v>191</v>
      </c>
      <c r="D2691" t="s">
        <v>174</v>
      </c>
      <c r="E2691" t="s">
        <v>364</v>
      </c>
      <c r="F2691" t="s">
        <v>693</v>
      </c>
      <c r="G2691">
        <v>82000</v>
      </c>
      <c r="H2691">
        <v>85000</v>
      </c>
    </row>
    <row r="2692" spans="2:8" x14ac:dyDescent="0.25">
      <c r="B2692" t="str">
        <f t="shared" si="41"/>
        <v>GNQPopulation ages 05-09, male</v>
      </c>
      <c r="C2692" t="s">
        <v>191</v>
      </c>
      <c r="D2692" t="s">
        <v>174</v>
      </c>
      <c r="E2692" t="s">
        <v>365</v>
      </c>
      <c r="F2692" t="s">
        <v>694</v>
      </c>
      <c r="G2692">
        <v>85000</v>
      </c>
      <c r="H2692">
        <v>87000</v>
      </c>
    </row>
    <row r="2693" spans="2:8" x14ac:dyDescent="0.25">
      <c r="B2693" t="str">
        <f t="shared" si="41"/>
        <v>GNQPopulation ages 10-14, female</v>
      </c>
      <c r="C2693" t="s">
        <v>191</v>
      </c>
      <c r="D2693" t="s">
        <v>174</v>
      </c>
      <c r="E2693" t="s">
        <v>366</v>
      </c>
      <c r="F2693" t="s">
        <v>695</v>
      </c>
      <c r="G2693">
        <v>68000</v>
      </c>
      <c r="H2693">
        <v>71000</v>
      </c>
    </row>
    <row r="2694" spans="2:8" x14ac:dyDescent="0.25">
      <c r="B2694" t="str">
        <f t="shared" si="41"/>
        <v>GNQPopulation ages 10-14, male</v>
      </c>
      <c r="C2694" t="s">
        <v>191</v>
      </c>
      <c r="D2694" t="s">
        <v>174</v>
      </c>
      <c r="E2694" t="s">
        <v>367</v>
      </c>
      <c r="F2694" t="s">
        <v>696</v>
      </c>
      <c r="G2694">
        <v>70000</v>
      </c>
      <c r="H2694">
        <v>73000</v>
      </c>
    </row>
    <row r="2695" spans="2:8" x14ac:dyDescent="0.25">
      <c r="B2695" t="str">
        <f t="shared" ref="B2695:B2758" si="42">CONCATENATE(D2695,E2695)</f>
        <v>GNQPopulation ages 15-19, female</v>
      </c>
      <c r="C2695" t="s">
        <v>191</v>
      </c>
      <c r="D2695" t="s">
        <v>174</v>
      </c>
      <c r="E2695" t="s">
        <v>368</v>
      </c>
      <c r="F2695" t="s">
        <v>697</v>
      </c>
      <c r="G2695">
        <v>58000</v>
      </c>
      <c r="H2695">
        <v>60000</v>
      </c>
    </row>
    <row r="2696" spans="2:8" x14ac:dyDescent="0.25">
      <c r="B2696" t="str">
        <f t="shared" si="42"/>
        <v>GNQPopulation ages 15-19, male</v>
      </c>
      <c r="C2696" t="s">
        <v>191</v>
      </c>
      <c r="D2696" t="s">
        <v>174</v>
      </c>
      <c r="E2696" t="s">
        <v>369</v>
      </c>
      <c r="F2696" t="s">
        <v>698</v>
      </c>
      <c r="G2696">
        <v>62000</v>
      </c>
      <c r="H2696">
        <v>61000</v>
      </c>
    </row>
    <row r="2697" spans="2:8" x14ac:dyDescent="0.25">
      <c r="B2697" t="str">
        <f t="shared" si="42"/>
        <v>GNQPopulation ages 20-24, female</v>
      </c>
      <c r="C2697" t="s">
        <v>191</v>
      </c>
      <c r="D2697" t="s">
        <v>174</v>
      </c>
      <c r="E2697" t="s">
        <v>370</v>
      </c>
      <c r="F2697" t="s">
        <v>699</v>
      </c>
      <c r="G2697">
        <v>55000</v>
      </c>
      <c r="H2697">
        <v>58000</v>
      </c>
    </row>
    <row r="2698" spans="2:8" x14ac:dyDescent="0.25">
      <c r="B2698" t="str">
        <f t="shared" si="42"/>
        <v>GNQPopulation ages 20-24, male</v>
      </c>
      <c r="C2698" t="s">
        <v>191</v>
      </c>
      <c r="D2698" t="s">
        <v>174</v>
      </c>
      <c r="E2698" t="s">
        <v>371</v>
      </c>
      <c r="F2698" t="s">
        <v>700</v>
      </c>
      <c r="G2698">
        <v>78000</v>
      </c>
      <c r="H2698">
        <v>80000</v>
      </c>
    </row>
    <row r="2699" spans="2:8" x14ac:dyDescent="0.25">
      <c r="B2699" t="str">
        <f t="shared" si="42"/>
        <v>GNQPopulation ages 25-29, female</v>
      </c>
      <c r="C2699" t="s">
        <v>191</v>
      </c>
      <c r="D2699" t="s">
        <v>174</v>
      </c>
      <c r="E2699" t="s">
        <v>372</v>
      </c>
      <c r="F2699" t="s">
        <v>701</v>
      </c>
      <c r="G2699">
        <v>54000</v>
      </c>
      <c r="H2699">
        <v>56000</v>
      </c>
    </row>
    <row r="2700" spans="2:8" x14ac:dyDescent="0.25">
      <c r="B2700" t="str">
        <f t="shared" si="42"/>
        <v>GNQPopulation ages 25-29, male</v>
      </c>
      <c r="C2700" t="s">
        <v>191</v>
      </c>
      <c r="D2700" t="s">
        <v>174</v>
      </c>
      <c r="E2700" t="s">
        <v>373</v>
      </c>
      <c r="F2700" t="s">
        <v>702</v>
      </c>
      <c r="G2700">
        <v>88000</v>
      </c>
      <c r="H2700">
        <v>92000</v>
      </c>
    </row>
    <row r="2701" spans="2:8" x14ac:dyDescent="0.25">
      <c r="B2701" t="str">
        <f t="shared" si="42"/>
        <v>GNQPopulation ages 30-34, female</v>
      </c>
      <c r="C2701" t="s">
        <v>191</v>
      </c>
      <c r="D2701" t="s">
        <v>174</v>
      </c>
      <c r="E2701" t="s">
        <v>374</v>
      </c>
      <c r="F2701" t="s">
        <v>703</v>
      </c>
      <c r="G2701">
        <v>50000</v>
      </c>
      <c r="H2701">
        <v>53000</v>
      </c>
    </row>
    <row r="2702" spans="2:8" x14ac:dyDescent="0.25">
      <c r="B2702" t="str">
        <f t="shared" si="42"/>
        <v>GNQPopulation ages 30-34, male</v>
      </c>
      <c r="C2702" t="s">
        <v>191</v>
      </c>
      <c r="D2702" t="s">
        <v>174</v>
      </c>
      <c r="E2702" t="s">
        <v>375</v>
      </c>
      <c r="F2702" t="s">
        <v>704</v>
      </c>
      <c r="G2702">
        <v>85000</v>
      </c>
      <c r="H2702">
        <v>91000</v>
      </c>
    </row>
    <row r="2703" spans="2:8" x14ac:dyDescent="0.25">
      <c r="B2703" t="str">
        <f t="shared" si="42"/>
        <v>GNQPopulation ages 35-39, female</v>
      </c>
      <c r="C2703" t="s">
        <v>191</v>
      </c>
      <c r="D2703" t="s">
        <v>174</v>
      </c>
      <c r="E2703" t="s">
        <v>376</v>
      </c>
      <c r="F2703" t="s">
        <v>705</v>
      </c>
      <c r="G2703">
        <v>38000</v>
      </c>
      <c r="H2703">
        <v>39000</v>
      </c>
    </row>
    <row r="2704" spans="2:8" x14ac:dyDescent="0.25">
      <c r="B2704" t="str">
        <f t="shared" si="42"/>
        <v>GNQPopulation ages 35-39, male</v>
      </c>
      <c r="C2704" t="s">
        <v>191</v>
      </c>
      <c r="D2704" t="s">
        <v>174</v>
      </c>
      <c r="E2704" t="s">
        <v>377</v>
      </c>
      <c r="F2704" t="s">
        <v>706</v>
      </c>
      <c r="G2704">
        <v>62000</v>
      </c>
      <c r="H2704">
        <v>66000</v>
      </c>
    </row>
    <row r="2705" spans="2:8" x14ac:dyDescent="0.25">
      <c r="B2705" t="str">
        <f t="shared" si="42"/>
        <v>GNQPopulation ages 40-44, female</v>
      </c>
      <c r="C2705" t="s">
        <v>191</v>
      </c>
      <c r="D2705" t="s">
        <v>174</v>
      </c>
      <c r="E2705" t="s">
        <v>378</v>
      </c>
      <c r="F2705" t="s">
        <v>707</v>
      </c>
      <c r="G2705">
        <v>26000</v>
      </c>
      <c r="H2705">
        <v>27000</v>
      </c>
    </row>
    <row r="2706" spans="2:8" x14ac:dyDescent="0.25">
      <c r="B2706" t="str">
        <f t="shared" si="42"/>
        <v>GNQPopulation ages 40-44, male</v>
      </c>
      <c r="C2706" t="s">
        <v>191</v>
      </c>
      <c r="D2706" t="s">
        <v>174</v>
      </c>
      <c r="E2706" t="s">
        <v>379</v>
      </c>
      <c r="F2706" t="s">
        <v>708</v>
      </c>
      <c r="G2706">
        <v>40000</v>
      </c>
      <c r="H2706">
        <v>42000</v>
      </c>
    </row>
    <row r="2707" spans="2:8" x14ac:dyDescent="0.25">
      <c r="B2707" t="str">
        <f t="shared" si="42"/>
        <v>GNQPopulation ages 45-49, female</v>
      </c>
      <c r="C2707" t="s">
        <v>191</v>
      </c>
      <c r="D2707" t="s">
        <v>174</v>
      </c>
      <c r="E2707" t="s">
        <v>380</v>
      </c>
      <c r="F2707" t="s">
        <v>709</v>
      </c>
      <c r="G2707">
        <v>19000</v>
      </c>
      <c r="H2707">
        <v>20000</v>
      </c>
    </row>
    <row r="2708" spans="2:8" x14ac:dyDescent="0.25">
      <c r="B2708" t="str">
        <f t="shared" si="42"/>
        <v>GNQPopulation ages 45-49, male</v>
      </c>
      <c r="C2708" t="s">
        <v>191</v>
      </c>
      <c r="D2708" t="s">
        <v>174</v>
      </c>
      <c r="E2708" t="s">
        <v>381</v>
      </c>
      <c r="F2708" t="s">
        <v>710</v>
      </c>
      <c r="G2708">
        <v>27000</v>
      </c>
      <c r="H2708">
        <v>27000</v>
      </c>
    </row>
    <row r="2709" spans="2:8" x14ac:dyDescent="0.25">
      <c r="B2709" t="str">
        <f t="shared" si="42"/>
        <v>GNQPopulation ages 50-54, female</v>
      </c>
      <c r="C2709" t="s">
        <v>191</v>
      </c>
      <c r="D2709" t="s">
        <v>174</v>
      </c>
      <c r="E2709" t="s">
        <v>382</v>
      </c>
      <c r="F2709" t="s">
        <v>711</v>
      </c>
      <c r="G2709">
        <v>16000</v>
      </c>
      <c r="H2709">
        <v>17000</v>
      </c>
    </row>
    <row r="2710" spans="2:8" x14ac:dyDescent="0.25">
      <c r="B2710" t="str">
        <f t="shared" si="42"/>
        <v>GNQPopulation ages 50-54, male</v>
      </c>
      <c r="C2710" t="s">
        <v>191</v>
      </c>
      <c r="D2710" t="s">
        <v>174</v>
      </c>
      <c r="E2710" t="s">
        <v>383</v>
      </c>
      <c r="F2710" t="s">
        <v>712</v>
      </c>
      <c r="G2710">
        <v>20000</v>
      </c>
      <c r="H2710">
        <v>20000</v>
      </c>
    </row>
    <row r="2711" spans="2:8" x14ac:dyDescent="0.25">
      <c r="B2711" t="str">
        <f t="shared" si="42"/>
        <v>GNQPopulation ages 55-59, male</v>
      </c>
      <c r="C2711" t="s">
        <v>191</v>
      </c>
      <c r="D2711" t="s">
        <v>174</v>
      </c>
      <c r="E2711" t="s">
        <v>385</v>
      </c>
      <c r="F2711" t="s">
        <v>713</v>
      </c>
      <c r="G2711">
        <v>13000</v>
      </c>
      <c r="H2711">
        <v>13000</v>
      </c>
    </row>
    <row r="2712" spans="2:8" x14ac:dyDescent="0.25">
      <c r="B2712" t="str">
        <f t="shared" si="42"/>
        <v>GNQPopulation ages 55-59, female</v>
      </c>
      <c r="C2712" t="s">
        <v>191</v>
      </c>
      <c r="D2712" t="s">
        <v>174</v>
      </c>
      <c r="E2712" t="s">
        <v>384</v>
      </c>
      <c r="F2712" t="s">
        <v>714</v>
      </c>
      <c r="G2712">
        <v>12000</v>
      </c>
      <c r="H2712">
        <v>12000</v>
      </c>
    </row>
    <row r="2713" spans="2:8" x14ac:dyDescent="0.25">
      <c r="B2713" t="str">
        <f t="shared" si="42"/>
        <v>GNQPopulation ages 65-69, male</v>
      </c>
      <c r="C2713" t="s">
        <v>191</v>
      </c>
      <c r="D2713" t="s">
        <v>174</v>
      </c>
      <c r="E2713" t="s">
        <v>389</v>
      </c>
      <c r="F2713" t="s">
        <v>715</v>
      </c>
      <c r="G2713">
        <v>7300</v>
      </c>
      <c r="H2713">
        <v>7500</v>
      </c>
    </row>
    <row r="2714" spans="2:8" x14ac:dyDescent="0.25">
      <c r="B2714" t="str">
        <f t="shared" si="42"/>
        <v>GNQPopulation ages 65-69, female</v>
      </c>
      <c r="C2714" t="s">
        <v>191</v>
      </c>
      <c r="D2714" t="s">
        <v>174</v>
      </c>
      <c r="E2714" t="s">
        <v>388</v>
      </c>
      <c r="F2714" t="s">
        <v>716</v>
      </c>
      <c r="G2714">
        <v>7500</v>
      </c>
      <c r="H2714">
        <v>7700</v>
      </c>
    </row>
    <row r="2715" spans="2:8" x14ac:dyDescent="0.25">
      <c r="B2715" t="str">
        <f t="shared" si="42"/>
        <v>GNQPopulation ages 60-64, female</v>
      </c>
      <c r="C2715" t="s">
        <v>191</v>
      </c>
      <c r="D2715" t="s">
        <v>174</v>
      </c>
      <c r="E2715" t="s">
        <v>386</v>
      </c>
      <c r="F2715" t="s">
        <v>717</v>
      </c>
      <c r="G2715">
        <v>9700</v>
      </c>
      <c r="H2715">
        <v>9800</v>
      </c>
    </row>
    <row r="2716" spans="2:8" x14ac:dyDescent="0.25">
      <c r="B2716" t="str">
        <f t="shared" si="42"/>
        <v>GNQPopulation ages 60-64, male</v>
      </c>
      <c r="C2716" t="s">
        <v>191</v>
      </c>
      <c r="D2716" t="s">
        <v>174</v>
      </c>
      <c r="E2716" t="s">
        <v>387</v>
      </c>
      <c r="F2716" t="s">
        <v>718</v>
      </c>
      <c r="G2716">
        <v>9900</v>
      </c>
      <c r="H2716">
        <v>9900</v>
      </c>
    </row>
    <row r="2717" spans="2:8" x14ac:dyDescent="0.25">
      <c r="B2717" t="str">
        <f t="shared" si="42"/>
        <v>GNQPopulation ages 70-74, female</v>
      </c>
      <c r="C2717" t="s">
        <v>191</v>
      </c>
      <c r="D2717" t="s">
        <v>174</v>
      </c>
      <c r="E2717" t="s">
        <v>390</v>
      </c>
      <c r="F2717" t="s">
        <v>719</v>
      </c>
      <c r="G2717">
        <v>4600</v>
      </c>
      <c r="H2717">
        <v>4700</v>
      </c>
    </row>
    <row r="2718" spans="2:8" x14ac:dyDescent="0.25">
      <c r="B2718" t="str">
        <f t="shared" si="42"/>
        <v>GNQPopulation ages 70-74, male</v>
      </c>
      <c r="C2718" t="s">
        <v>191</v>
      </c>
      <c r="D2718" t="s">
        <v>174</v>
      </c>
      <c r="E2718" t="s">
        <v>391</v>
      </c>
      <c r="F2718" t="s">
        <v>720</v>
      </c>
      <c r="G2718">
        <v>4300</v>
      </c>
      <c r="H2718">
        <v>4400</v>
      </c>
    </row>
    <row r="2719" spans="2:8" x14ac:dyDescent="0.25">
      <c r="B2719" t="str">
        <f t="shared" si="42"/>
        <v>GNQPopulation ages 75-79, female</v>
      </c>
      <c r="C2719" t="s">
        <v>191</v>
      </c>
      <c r="D2719" t="s">
        <v>174</v>
      </c>
      <c r="E2719" t="s">
        <v>392</v>
      </c>
      <c r="F2719" t="s">
        <v>721</v>
      </c>
      <c r="G2719">
        <v>3000</v>
      </c>
      <c r="H2719">
        <v>3000</v>
      </c>
    </row>
    <row r="2720" spans="2:8" x14ac:dyDescent="0.25">
      <c r="B2720" t="str">
        <f t="shared" si="42"/>
        <v>GNQPopulation ages 75-79, male</v>
      </c>
      <c r="C2720" t="s">
        <v>191</v>
      </c>
      <c r="D2720" t="s">
        <v>174</v>
      </c>
      <c r="E2720" t="s">
        <v>393</v>
      </c>
      <c r="F2720" t="s">
        <v>722</v>
      </c>
      <c r="G2720">
        <v>2600</v>
      </c>
      <c r="H2720">
        <v>2600</v>
      </c>
    </row>
    <row r="2721" spans="2:8" x14ac:dyDescent="0.25">
      <c r="B2721" t="str">
        <f t="shared" si="42"/>
        <v>GNQPopulation ages 80 and above, female</v>
      </c>
      <c r="C2721" t="s">
        <v>191</v>
      </c>
      <c r="D2721" t="s">
        <v>174</v>
      </c>
      <c r="E2721" t="s">
        <v>394</v>
      </c>
      <c r="F2721" t="s">
        <v>723</v>
      </c>
      <c r="G2721">
        <v>2000</v>
      </c>
      <c r="H2721">
        <v>1900</v>
      </c>
    </row>
    <row r="2722" spans="2:8" x14ac:dyDescent="0.25">
      <c r="B2722" t="str">
        <f t="shared" si="42"/>
        <v>GNQPopulation ages 80 and above, male</v>
      </c>
      <c r="C2722" t="s">
        <v>191</v>
      </c>
      <c r="D2722" t="s">
        <v>174</v>
      </c>
      <c r="E2722" t="s">
        <v>395</v>
      </c>
      <c r="F2722" t="s">
        <v>724</v>
      </c>
      <c r="G2722">
        <v>1600</v>
      </c>
      <c r="H2722">
        <v>1500</v>
      </c>
    </row>
    <row r="2723" spans="2:8" x14ac:dyDescent="0.25">
      <c r="B2723" t="str">
        <f t="shared" si="42"/>
        <v>GNQPopulation, male</v>
      </c>
      <c r="C2723" t="s">
        <v>191</v>
      </c>
      <c r="D2723" t="s">
        <v>174</v>
      </c>
      <c r="E2723" t="s">
        <v>397</v>
      </c>
      <c r="F2723" t="s">
        <v>725</v>
      </c>
      <c r="G2723">
        <v>754000</v>
      </c>
      <c r="H2723">
        <v>780000</v>
      </c>
    </row>
    <row r="2724" spans="2:8" x14ac:dyDescent="0.25">
      <c r="B2724" t="str">
        <f t="shared" si="42"/>
        <v>GNQPopulation, total</v>
      </c>
      <c r="C2724" t="s">
        <v>191</v>
      </c>
      <c r="D2724" t="s">
        <v>174</v>
      </c>
      <c r="E2724" t="s">
        <v>398</v>
      </c>
      <c r="F2724" t="s">
        <v>726</v>
      </c>
      <c r="G2724">
        <v>1356000</v>
      </c>
      <c r="H2724">
        <v>1403000</v>
      </c>
    </row>
    <row r="2725" spans="2:8" x14ac:dyDescent="0.25">
      <c r="B2725" t="str">
        <f t="shared" si="42"/>
        <v>GNQPopulation, female</v>
      </c>
      <c r="C2725" t="s">
        <v>191</v>
      </c>
      <c r="D2725" t="s">
        <v>174</v>
      </c>
      <c r="E2725" t="s">
        <v>396</v>
      </c>
      <c r="F2725" t="s">
        <v>727</v>
      </c>
      <c r="G2725">
        <v>602000</v>
      </c>
      <c r="H2725">
        <v>623000</v>
      </c>
    </row>
    <row r="2726" spans="2:8" x14ac:dyDescent="0.25">
      <c r="B2726" t="str">
        <f t="shared" si="42"/>
        <v>GNQPopulation growth (annual %)</v>
      </c>
      <c r="C2726" t="s">
        <v>191</v>
      </c>
      <c r="D2726" t="s">
        <v>174</v>
      </c>
      <c r="E2726" t="s">
        <v>399</v>
      </c>
      <c r="F2726" t="s">
        <v>728</v>
      </c>
      <c r="G2726">
        <v>0</v>
      </c>
      <c r="H2726">
        <v>0</v>
      </c>
    </row>
    <row r="2727" spans="2:8" x14ac:dyDescent="0.25">
      <c r="B2727" t="str">
        <f t="shared" si="42"/>
        <v>ERIPopulation ages 0-14, female</v>
      </c>
      <c r="C2727" t="s">
        <v>192</v>
      </c>
      <c r="D2727" t="s">
        <v>168</v>
      </c>
      <c r="E2727" t="s">
        <v>687</v>
      </c>
      <c r="F2727" t="s">
        <v>688</v>
      </c>
      <c r="G2727">
        <v>0</v>
      </c>
      <c r="H2727">
        <v>0</v>
      </c>
    </row>
    <row r="2728" spans="2:8" x14ac:dyDescent="0.25">
      <c r="B2728" t="str">
        <f t="shared" si="42"/>
        <v>ERIPopulation ages 0-14, male</v>
      </c>
      <c r="C2728" t="s">
        <v>192</v>
      </c>
      <c r="D2728" t="s">
        <v>168</v>
      </c>
      <c r="E2728" t="s">
        <v>689</v>
      </c>
      <c r="F2728" t="s">
        <v>690</v>
      </c>
      <c r="G2728">
        <v>0</v>
      </c>
      <c r="H2728">
        <v>0</v>
      </c>
    </row>
    <row r="2729" spans="2:8" x14ac:dyDescent="0.25">
      <c r="B2729" t="str">
        <f t="shared" si="42"/>
        <v>ERIPopulation ages 00-04, female</v>
      </c>
      <c r="C2729" t="s">
        <v>192</v>
      </c>
      <c r="D2729" t="s">
        <v>168</v>
      </c>
      <c r="E2729" t="s">
        <v>362</v>
      </c>
      <c r="F2729" t="s">
        <v>691</v>
      </c>
      <c r="G2729">
        <v>0</v>
      </c>
      <c r="H2729">
        <v>0</v>
      </c>
    </row>
    <row r="2730" spans="2:8" x14ac:dyDescent="0.25">
      <c r="B2730" t="str">
        <f t="shared" si="42"/>
        <v>ERIPopulation ages 00-04, male</v>
      </c>
      <c r="C2730" t="s">
        <v>192</v>
      </c>
      <c r="D2730" t="s">
        <v>168</v>
      </c>
      <c r="E2730" t="s">
        <v>363</v>
      </c>
      <c r="F2730" t="s">
        <v>692</v>
      </c>
      <c r="G2730">
        <v>0</v>
      </c>
      <c r="H2730">
        <v>0</v>
      </c>
    </row>
    <row r="2731" spans="2:8" x14ac:dyDescent="0.25">
      <c r="B2731" t="str">
        <f t="shared" si="42"/>
        <v>ERIPopulation ages 05-09, female</v>
      </c>
      <c r="C2731" t="s">
        <v>192</v>
      </c>
      <c r="D2731" t="s">
        <v>168</v>
      </c>
      <c r="E2731" t="s">
        <v>364</v>
      </c>
      <c r="F2731" t="s">
        <v>693</v>
      </c>
      <c r="G2731">
        <v>0</v>
      </c>
      <c r="H2731">
        <v>0</v>
      </c>
    </row>
    <row r="2732" spans="2:8" x14ac:dyDescent="0.25">
      <c r="B2732" t="str">
        <f t="shared" si="42"/>
        <v>ERIPopulation ages 05-09, male</v>
      </c>
      <c r="C2732" t="s">
        <v>192</v>
      </c>
      <c r="D2732" t="s">
        <v>168</v>
      </c>
      <c r="E2732" t="s">
        <v>365</v>
      </c>
      <c r="F2732" t="s">
        <v>694</v>
      </c>
      <c r="G2732">
        <v>0</v>
      </c>
      <c r="H2732">
        <v>0</v>
      </c>
    </row>
    <row r="2733" spans="2:8" x14ac:dyDescent="0.25">
      <c r="B2733" t="str">
        <f t="shared" si="42"/>
        <v>ERIPopulation ages 10-14, female</v>
      </c>
      <c r="C2733" t="s">
        <v>192</v>
      </c>
      <c r="D2733" t="s">
        <v>168</v>
      </c>
      <c r="E2733" t="s">
        <v>366</v>
      </c>
      <c r="F2733" t="s">
        <v>695</v>
      </c>
      <c r="G2733">
        <v>0</v>
      </c>
      <c r="H2733">
        <v>0</v>
      </c>
    </row>
    <row r="2734" spans="2:8" x14ac:dyDescent="0.25">
      <c r="B2734" t="str">
        <f t="shared" si="42"/>
        <v>ERIPopulation ages 10-14, male</v>
      </c>
      <c r="C2734" t="s">
        <v>192</v>
      </c>
      <c r="D2734" t="s">
        <v>168</v>
      </c>
      <c r="E2734" t="s">
        <v>367</v>
      </c>
      <c r="F2734" t="s">
        <v>696</v>
      </c>
      <c r="G2734">
        <v>0</v>
      </c>
      <c r="H2734">
        <v>0</v>
      </c>
    </row>
    <row r="2735" spans="2:8" x14ac:dyDescent="0.25">
      <c r="B2735" t="str">
        <f t="shared" si="42"/>
        <v>ERIPopulation ages 15-19, female</v>
      </c>
      <c r="C2735" t="s">
        <v>192</v>
      </c>
      <c r="D2735" t="s">
        <v>168</v>
      </c>
      <c r="E2735" t="s">
        <v>368</v>
      </c>
      <c r="F2735" t="s">
        <v>697</v>
      </c>
      <c r="G2735">
        <v>0</v>
      </c>
      <c r="H2735">
        <v>0</v>
      </c>
    </row>
    <row r="2736" spans="2:8" x14ac:dyDescent="0.25">
      <c r="B2736" t="str">
        <f t="shared" si="42"/>
        <v>ERIPopulation ages 15-19, male</v>
      </c>
      <c r="C2736" t="s">
        <v>192</v>
      </c>
      <c r="D2736" t="s">
        <v>168</v>
      </c>
      <c r="E2736" t="s">
        <v>369</v>
      </c>
      <c r="F2736" t="s">
        <v>698</v>
      </c>
      <c r="G2736">
        <v>0</v>
      </c>
      <c r="H2736">
        <v>0</v>
      </c>
    </row>
    <row r="2737" spans="2:8" x14ac:dyDescent="0.25">
      <c r="B2737" t="str">
        <f t="shared" si="42"/>
        <v>ERIPopulation ages 20-24, female</v>
      </c>
      <c r="C2737" t="s">
        <v>192</v>
      </c>
      <c r="D2737" t="s">
        <v>168</v>
      </c>
      <c r="E2737" t="s">
        <v>370</v>
      </c>
      <c r="F2737" t="s">
        <v>699</v>
      </c>
      <c r="G2737">
        <v>0</v>
      </c>
      <c r="H2737">
        <v>0</v>
      </c>
    </row>
    <row r="2738" spans="2:8" x14ac:dyDescent="0.25">
      <c r="B2738" t="str">
        <f t="shared" si="42"/>
        <v>ERIPopulation ages 20-24, male</v>
      </c>
      <c r="C2738" t="s">
        <v>192</v>
      </c>
      <c r="D2738" t="s">
        <v>168</v>
      </c>
      <c r="E2738" t="s">
        <v>371</v>
      </c>
      <c r="F2738" t="s">
        <v>700</v>
      </c>
      <c r="G2738">
        <v>0</v>
      </c>
      <c r="H2738">
        <v>0</v>
      </c>
    </row>
    <row r="2739" spans="2:8" x14ac:dyDescent="0.25">
      <c r="B2739" t="str">
        <f t="shared" si="42"/>
        <v>ERIPopulation ages 25-29, female</v>
      </c>
      <c r="C2739" t="s">
        <v>192</v>
      </c>
      <c r="D2739" t="s">
        <v>168</v>
      </c>
      <c r="E2739" t="s">
        <v>372</v>
      </c>
      <c r="F2739" t="s">
        <v>701</v>
      </c>
      <c r="G2739">
        <v>0</v>
      </c>
      <c r="H2739">
        <v>0</v>
      </c>
    </row>
    <row r="2740" spans="2:8" x14ac:dyDescent="0.25">
      <c r="B2740" t="str">
        <f t="shared" si="42"/>
        <v>ERIPopulation ages 25-29, male</v>
      </c>
      <c r="C2740" t="s">
        <v>192</v>
      </c>
      <c r="D2740" t="s">
        <v>168</v>
      </c>
      <c r="E2740" t="s">
        <v>373</v>
      </c>
      <c r="F2740" t="s">
        <v>702</v>
      </c>
      <c r="G2740">
        <v>0</v>
      </c>
      <c r="H2740">
        <v>0</v>
      </c>
    </row>
    <row r="2741" spans="2:8" x14ac:dyDescent="0.25">
      <c r="B2741" t="str">
        <f t="shared" si="42"/>
        <v>ERIPopulation ages 30-34, female</v>
      </c>
      <c r="C2741" t="s">
        <v>192</v>
      </c>
      <c r="D2741" t="s">
        <v>168</v>
      </c>
      <c r="E2741" t="s">
        <v>374</v>
      </c>
      <c r="F2741" t="s">
        <v>703</v>
      </c>
      <c r="G2741">
        <v>0</v>
      </c>
      <c r="H2741">
        <v>0</v>
      </c>
    </row>
    <row r="2742" spans="2:8" x14ac:dyDescent="0.25">
      <c r="B2742" t="str">
        <f t="shared" si="42"/>
        <v>ERIPopulation ages 30-34, male</v>
      </c>
      <c r="C2742" t="s">
        <v>192</v>
      </c>
      <c r="D2742" t="s">
        <v>168</v>
      </c>
      <c r="E2742" t="s">
        <v>375</v>
      </c>
      <c r="F2742" t="s">
        <v>704</v>
      </c>
      <c r="G2742">
        <v>0</v>
      </c>
      <c r="H2742">
        <v>0</v>
      </c>
    </row>
    <row r="2743" spans="2:8" x14ac:dyDescent="0.25">
      <c r="B2743" t="str">
        <f t="shared" si="42"/>
        <v>ERIPopulation ages 35-39, female</v>
      </c>
      <c r="C2743" t="s">
        <v>192</v>
      </c>
      <c r="D2743" t="s">
        <v>168</v>
      </c>
      <c r="E2743" t="s">
        <v>376</v>
      </c>
      <c r="F2743" t="s">
        <v>705</v>
      </c>
      <c r="G2743">
        <v>0</v>
      </c>
      <c r="H2743">
        <v>0</v>
      </c>
    </row>
    <row r="2744" spans="2:8" x14ac:dyDescent="0.25">
      <c r="B2744" t="str">
        <f t="shared" si="42"/>
        <v>ERIPopulation ages 35-39, male</v>
      </c>
      <c r="C2744" t="s">
        <v>192</v>
      </c>
      <c r="D2744" t="s">
        <v>168</v>
      </c>
      <c r="E2744" t="s">
        <v>377</v>
      </c>
      <c r="F2744" t="s">
        <v>706</v>
      </c>
      <c r="G2744">
        <v>0</v>
      </c>
      <c r="H2744">
        <v>0</v>
      </c>
    </row>
    <row r="2745" spans="2:8" x14ac:dyDescent="0.25">
      <c r="B2745" t="str">
        <f t="shared" si="42"/>
        <v>ERIPopulation ages 40-44, female</v>
      </c>
      <c r="C2745" t="s">
        <v>192</v>
      </c>
      <c r="D2745" t="s">
        <v>168</v>
      </c>
      <c r="E2745" t="s">
        <v>378</v>
      </c>
      <c r="F2745" t="s">
        <v>707</v>
      </c>
      <c r="G2745">
        <v>0</v>
      </c>
      <c r="H2745">
        <v>0</v>
      </c>
    </row>
    <row r="2746" spans="2:8" x14ac:dyDescent="0.25">
      <c r="B2746" t="str">
        <f t="shared" si="42"/>
        <v>ERIPopulation ages 40-44, male</v>
      </c>
      <c r="C2746" t="s">
        <v>192</v>
      </c>
      <c r="D2746" t="s">
        <v>168</v>
      </c>
      <c r="E2746" t="s">
        <v>379</v>
      </c>
      <c r="F2746" t="s">
        <v>708</v>
      </c>
      <c r="G2746">
        <v>0</v>
      </c>
      <c r="H2746">
        <v>0</v>
      </c>
    </row>
    <row r="2747" spans="2:8" x14ac:dyDescent="0.25">
      <c r="B2747" t="str">
        <f t="shared" si="42"/>
        <v>ERIPopulation ages 45-49, female</v>
      </c>
      <c r="C2747" t="s">
        <v>192</v>
      </c>
      <c r="D2747" t="s">
        <v>168</v>
      </c>
      <c r="E2747" t="s">
        <v>380</v>
      </c>
      <c r="F2747" t="s">
        <v>709</v>
      </c>
      <c r="G2747">
        <v>0</v>
      </c>
      <c r="H2747">
        <v>0</v>
      </c>
    </row>
    <row r="2748" spans="2:8" x14ac:dyDescent="0.25">
      <c r="B2748" t="str">
        <f t="shared" si="42"/>
        <v>ERIPopulation ages 45-49, male</v>
      </c>
      <c r="C2748" t="s">
        <v>192</v>
      </c>
      <c r="D2748" t="s">
        <v>168</v>
      </c>
      <c r="E2748" t="s">
        <v>381</v>
      </c>
      <c r="F2748" t="s">
        <v>710</v>
      </c>
      <c r="G2748">
        <v>0</v>
      </c>
      <c r="H2748">
        <v>0</v>
      </c>
    </row>
    <row r="2749" spans="2:8" x14ac:dyDescent="0.25">
      <c r="B2749" t="str">
        <f t="shared" si="42"/>
        <v>ERIPopulation ages 50-54, female</v>
      </c>
      <c r="C2749" t="s">
        <v>192</v>
      </c>
      <c r="D2749" t="s">
        <v>168</v>
      </c>
      <c r="E2749" t="s">
        <v>382</v>
      </c>
      <c r="F2749" t="s">
        <v>711</v>
      </c>
      <c r="G2749">
        <v>0</v>
      </c>
      <c r="H2749">
        <v>0</v>
      </c>
    </row>
    <row r="2750" spans="2:8" x14ac:dyDescent="0.25">
      <c r="B2750" t="str">
        <f t="shared" si="42"/>
        <v>ERIPopulation ages 50-54, male</v>
      </c>
      <c r="C2750" t="s">
        <v>192</v>
      </c>
      <c r="D2750" t="s">
        <v>168</v>
      </c>
      <c r="E2750" t="s">
        <v>383</v>
      </c>
      <c r="F2750" t="s">
        <v>712</v>
      </c>
      <c r="G2750">
        <v>0</v>
      </c>
      <c r="H2750">
        <v>0</v>
      </c>
    </row>
    <row r="2751" spans="2:8" x14ac:dyDescent="0.25">
      <c r="B2751" t="str">
        <f t="shared" si="42"/>
        <v>ERIPopulation ages 55-59, male</v>
      </c>
      <c r="C2751" t="s">
        <v>192</v>
      </c>
      <c r="D2751" t="s">
        <v>168</v>
      </c>
      <c r="E2751" t="s">
        <v>385</v>
      </c>
      <c r="F2751" t="s">
        <v>713</v>
      </c>
      <c r="G2751">
        <v>0</v>
      </c>
      <c r="H2751">
        <v>0</v>
      </c>
    </row>
    <row r="2752" spans="2:8" x14ac:dyDescent="0.25">
      <c r="B2752" t="str">
        <f t="shared" si="42"/>
        <v>ERIPopulation ages 55-59, female</v>
      </c>
      <c r="C2752" t="s">
        <v>192</v>
      </c>
      <c r="D2752" t="s">
        <v>168</v>
      </c>
      <c r="E2752" t="s">
        <v>384</v>
      </c>
      <c r="F2752" t="s">
        <v>714</v>
      </c>
      <c r="G2752">
        <v>0</v>
      </c>
      <c r="H2752">
        <v>0</v>
      </c>
    </row>
    <row r="2753" spans="2:8" x14ac:dyDescent="0.25">
      <c r="B2753" t="str">
        <f t="shared" si="42"/>
        <v>ERIPopulation ages 65-69, male</v>
      </c>
      <c r="C2753" t="s">
        <v>192</v>
      </c>
      <c r="D2753" t="s">
        <v>168</v>
      </c>
      <c r="E2753" t="s">
        <v>389</v>
      </c>
      <c r="F2753" t="s">
        <v>715</v>
      </c>
      <c r="G2753">
        <v>0</v>
      </c>
      <c r="H2753">
        <v>0</v>
      </c>
    </row>
    <row r="2754" spans="2:8" x14ac:dyDescent="0.25">
      <c r="B2754" t="str">
        <f t="shared" si="42"/>
        <v>ERIPopulation ages 65-69, female</v>
      </c>
      <c r="C2754" t="s">
        <v>192</v>
      </c>
      <c r="D2754" t="s">
        <v>168</v>
      </c>
      <c r="E2754" t="s">
        <v>388</v>
      </c>
      <c r="F2754" t="s">
        <v>716</v>
      </c>
      <c r="G2754">
        <v>0</v>
      </c>
      <c r="H2754">
        <v>0</v>
      </c>
    </row>
    <row r="2755" spans="2:8" x14ac:dyDescent="0.25">
      <c r="B2755" t="str">
        <f t="shared" si="42"/>
        <v>ERIPopulation ages 60-64, female</v>
      </c>
      <c r="C2755" t="s">
        <v>192</v>
      </c>
      <c r="D2755" t="s">
        <v>168</v>
      </c>
      <c r="E2755" t="s">
        <v>386</v>
      </c>
      <c r="F2755" t="s">
        <v>717</v>
      </c>
      <c r="G2755">
        <v>0</v>
      </c>
      <c r="H2755">
        <v>0</v>
      </c>
    </row>
    <row r="2756" spans="2:8" x14ac:dyDescent="0.25">
      <c r="B2756" t="str">
        <f t="shared" si="42"/>
        <v>ERIPopulation ages 60-64, male</v>
      </c>
      <c r="C2756" t="s">
        <v>192</v>
      </c>
      <c r="D2756" t="s">
        <v>168</v>
      </c>
      <c r="E2756" t="s">
        <v>387</v>
      </c>
      <c r="F2756" t="s">
        <v>718</v>
      </c>
      <c r="G2756">
        <v>0</v>
      </c>
      <c r="H2756">
        <v>0</v>
      </c>
    </row>
    <row r="2757" spans="2:8" x14ac:dyDescent="0.25">
      <c r="B2757" t="str">
        <f t="shared" si="42"/>
        <v>ERIPopulation ages 70-74, female</v>
      </c>
      <c r="C2757" t="s">
        <v>192</v>
      </c>
      <c r="D2757" t="s">
        <v>168</v>
      </c>
      <c r="E2757" t="s">
        <v>390</v>
      </c>
      <c r="F2757" t="s">
        <v>719</v>
      </c>
      <c r="G2757">
        <v>0</v>
      </c>
      <c r="H2757">
        <v>0</v>
      </c>
    </row>
    <row r="2758" spans="2:8" x14ac:dyDescent="0.25">
      <c r="B2758" t="str">
        <f t="shared" si="42"/>
        <v>ERIPopulation ages 70-74, male</v>
      </c>
      <c r="C2758" t="s">
        <v>192</v>
      </c>
      <c r="D2758" t="s">
        <v>168</v>
      </c>
      <c r="E2758" t="s">
        <v>391</v>
      </c>
      <c r="F2758" t="s">
        <v>720</v>
      </c>
      <c r="G2758">
        <v>0</v>
      </c>
      <c r="H2758">
        <v>0</v>
      </c>
    </row>
    <row r="2759" spans="2:8" x14ac:dyDescent="0.25">
      <c r="B2759" t="str">
        <f t="shared" ref="B2759:B2822" si="43">CONCATENATE(D2759,E2759)</f>
        <v>ERIPopulation ages 75-79, female</v>
      </c>
      <c r="C2759" t="s">
        <v>192</v>
      </c>
      <c r="D2759" t="s">
        <v>168</v>
      </c>
      <c r="E2759" t="s">
        <v>392</v>
      </c>
      <c r="F2759" t="s">
        <v>721</v>
      </c>
      <c r="G2759">
        <v>0</v>
      </c>
      <c r="H2759">
        <v>0</v>
      </c>
    </row>
    <row r="2760" spans="2:8" x14ac:dyDescent="0.25">
      <c r="B2760" t="str">
        <f t="shared" si="43"/>
        <v>ERIPopulation ages 75-79, male</v>
      </c>
      <c r="C2760" t="s">
        <v>192</v>
      </c>
      <c r="D2760" t="s">
        <v>168</v>
      </c>
      <c r="E2760" t="s">
        <v>393</v>
      </c>
      <c r="F2760" t="s">
        <v>722</v>
      </c>
      <c r="G2760">
        <v>0</v>
      </c>
      <c r="H2760">
        <v>0</v>
      </c>
    </row>
    <row r="2761" spans="2:8" x14ac:dyDescent="0.25">
      <c r="B2761" t="str">
        <f t="shared" si="43"/>
        <v>ERIPopulation ages 80 and above, female</v>
      </c>
      <c r="C2761" t="s">
        <v>192</v>
      </c>
      <c r="D2761" t="s">
        <v>168</v>
      </c>
      <c r="E2761" t="s">
        <v>394</v>
      </c>
      <c r="F2761" t="s">
        <v>723</v>
      </c>
      <c r="G2761">
        <v>0</v>
      </c>
      <c r="H2761">
        <v>0</v>
      </c>
    </row>
    <row r="2762" spans="2:8" x14ac:dyDescent="0.25">
      <c r="B2762" t="str">
        <f t="shared" si="43"/>
        <v>ERIPopulation ages 80 and above, male</v>
      </c>
      <c r="C2762" t="s">
        <v>192</v>
      </c>
      <c r="D2762" t="s">
        <v>168</v>
      </c>
      <c r="E2762" t="s">
        <v>395</v>
      </c>
      <c r="F2762" t="s">
        <v>724</v>
      </c>
      <c r="G2762">
        <v>0</v>
      </c>
      <c r="H2762">
        <v>0</v>
      </c>
    </row>
    <row r="2763" spans="2:8" x14ac:dyDescent="0.25">
      <c r="B2763" t="str">
        <f t="shared" si="43"/>
        <v>ERIPopulation, male</v>
      </c>
      <c r="C2763" t="s">
        <v>192</v>
      </c>
      <c r="D2763" t="s">
        <v>168</v>
      </c>
      <c r="E2763" t="s">
        <v>397</v>
      </c>
      <c r="F2763" t="s">
        <v>725</v>
      </c>
      <c r="G2763">
        <v>0</v>
      </c>
      <c r="H2763">
        <v>0</v>
      </c>
    </row>
    <row r="2764" spans="2:8" x14ac:dyDescent="0.25">
      <c r="B2764" t="str">
        <f t="shared" si="43"/>
        <v>ERIPopulation, total</v>
      </c>
      <c r="C2764" t="s">
        <v>192</v>
      </c>
      <c r="D2764" t="s">
        <v>168</v>
      </c>
      <c r="E2764" t="s">
        <v>398</v>
      </c>
      <c r="F2764" t="s">
        <v>726</v>
      </c>
      <c r="G2764">
        <v>0</v>
      </c>
      <c r="H2764">
        <v>0</v>
      </c>
    </row>
    <row r="2765" spans="2:8" x14ac:dyDescent="0.25">
      <c r="B2765" t="str">
        <f t="shared" si="43"/>
        <v>ERIPopulation, female</v>
      </c>
      <c r="C2765" t="s">
        <v>192</v>
      </c>
      <c r="D2765" t="s">
        <v>168</v>
      </c>
      <c r="E2765" t="s">
        <v>396</v>
      </c>
      <c r="F2765" t="s">
        <v>727</v>
      </c>
      <c r="G2765">
        <v>0</v>
      </c>
      <c r="H2765">
        <v>0</v>
      </c>
    </row>
    <row r="2766" spans="2:8" x14ac:dyDescent="0.25">
      <c r="B2766" t="str">
        <f t="shared" si="43"/>
        <v>ERIPopulation growth (annual %)</v>
      </c>
      <c r="C2766" t="s">
        <v>192</v>
      </c>
      <c r="D2766" t="s">
        <v>168</v>
      </c>
      <c r="E2766" t="s">
        <v>399</v>
      </c>
      <c r="F2766" t="s">
        <v>728</v>
      </c>
      <c r="G2766">
        <v>0</v>
      </c>
      <c r="H2766">
        <v>0</v>
      </c>
    </row>
    <row r="2767" spans="2:8" x14ac:dyDescent="0.25">
      <c r="B2767" t="str">
        <f t="shared" si="43"/>
        <v>ESTPopulation ages 0-14, female</v>
      </c>
      <c r="C2767" t="s">
        <v>485</v>
      </c>
      <c r="D2767" t="s">
        <v>41</v>
      </c>
      <c r="E2767" t="s">
        <v>687</v>
      </c>
      <c r="F2767" t="s">
        <v>688</v>
      </c>
      <c r="G2767">
        <v>105000</v>
      </c>
      <c r="H2767">
        <v>105000</v>
      </c>
    </row>
    <row r="2768" spans="2:8" x14ac:dyDescent="0.25">
      <c r="B2768" t="str">
        <f t="shared" si="43"/>
        <v>ESTPopulation ages 0-14, male</v>
      </c>
      <c r="C2768" t="s">
        <v>485</v>
      </c>
      <c r="D2768" t="s">
        <v>41</v>
      </c>
      <c r="E2768" t="s">
        <v>689</v>
      </c>
      <c r="F2768" t="s">
        <v>690</v>
      </c>
      <c r="G2768">
        <v>112000</v>
      </c>
      <c r="H2768">
        <v>112000</v>
      </c>
    </row>
    <row r="2769" spans="2:8" x14ac:dyDescent="0.25">
      <c r="B2769" t="str">
        <f t="shared" si="43"/>
        <v>ESTPopulation ages 00-04, female</v>
      </c>
      <c r="C2769" t="s">
        <v>485</v>
      </c>
      <c r="D2769" t="s">
        <v>41</v>
      </c>
      <c r="E2769" t="s">
        <v>362</v>
      </c>
      <c r="F2769" t="s">
        <v>691</v>
      </c>
      <c r="G2769">
        <v>33000</v>
      </c>
      <c r="H2769">
        <v>33000</v>
      </c>
    </row>
    <row r="2770" spans="2:8" x14ac:dyDescent="0.25">
      <c r="B2770" t="str">
        <f t="shared" si="43"/>
        <v>ESTPopulation ages 00-04, male</v>
      </c>
      <c r="C2770" t="s">
        <v>485</v>
      </c>
      <c r="D2770" t="s">
        <v>41</v>
      </c>
      <c r="E2770" t="s">
        <v>363</v>
      </c>
      <c r="F2770" t="s">
        <v>692</v>
      </c>
      <c r="G2770">
        <v>35000</v>
      </c>
      <c r="H2770">
        <v>35000</v>
      </c>
    </row>
    <row r="2771" spans="2:8" x14ac:dyDescent="0.25">
      <c r="B2771" t="str">
        <f t="shared" si="43"/>
        <v>ESTPopulation ages 05-09, female</v>
      </c>
      <c r="C2771" t="s">
        <v>485</v>
      </c>
      <c r="D2771" t="s">
        <v>41</v>
      </c>
      <c r="E2771" t="s">
        <v>364</v>
      </c>
      <c r="F2771" t="s">
        <v>693</v>
      </c>
      <c r="G2771">
        <v>37000</v>
      </c>
      <c r="H2771">
        <v>36000</v>
      </c>
    </row>
    <row r="2772" spans="2:8" x14ac:dyDescent="0.25">
      <c r="B2772" t="str">
        <f t="shared" si="43"/>
        <v>ESTPopulation ages 05-09, male</v>
      </c>
      <c r="C2772" t="s">
        <v>485</v>
      </c>
      <c r="D2772" t="s">
        <v>41</v>
      </c>
      <c r="E2772" t="s">
        <v>365</v>
      </c>
      <c r="F2772" t="s">
        <v>694</v>
      </c>
      <c r="G2772">
        <v>38000</v>
      </c>
      <c r="H2772">
        <v>38000</v>
      </c>
    </row>
    <row r="2773" spans="2:8" x14ac:dyDescent="0.25">
      <c r="B2773" t="str">
        <f t="shared" si="43"/>
        <v>ESTPopulation ages 10-14, female</v>
      </c>
      <c r="C2773" t="s">
        <v>485</v>
      </c>
      <c r="D2773" t="s">
        <v>41</v>
      </c>
      <c r="E2773" t="s">
        <v>366</v>
      </c>
      <c r="F2773" t="s">
        <v>695</v>
      </c>
      <c r="G2773">
        <v>36000</v>
      </c>
      <c r="H2773">
        <v>36000</v>
      </c>
    </row>
    <row r="2774" spans="2:8" x14ac:dyDescent="0.25">
      <c r="B2774" t="str">
        <f t="shared" si="43"/>
        <v>ESTPopulation ages 10-14, male</v>
      </c>
      <c r="C2774" t="s">
        <v>485</v>
      </c>
      <c r="D2774" t="s">
        <v>41</v>
      </c>
      <c r="E2774" t="s">
        <v>367</v>
      </c>
      <c r="F2774" t="s">
        <v>696</v>
      </c>
      <c r="G2774">
        <v>38000</v>
      </c>
      <c r="H2774">
        <v>38000</v>
      </c>
    </row>
    <row r="2775" spans="2:8" x14ac:dyDescent="0.25">
      <c r="B2775" t="str">
        <f t="shared" si="43"/>
        <v>ESTPopulation ages 15-19, female</v>
      </c>
      <c r="C2775" t="s">
        <v>485</v>
      </c>
      <c r="D2775" t="s">
        <v>41</v>
      </c>
      <c r="E2775" t="s">
        <v>368</v>
      </c>
      <c r="F2775" t="s">
        <v>697</v>
      </c>
      <c r="G2775">
        <v>29000</v>
      </c>
      <c r="H2775">
        <v>30000</v>
      </c>
    </row>
    <row r="2776" spans="2:8" x14ac:dyDescent="0.25">
      <c r="B2776" t="str">
        <f t="shared" si="43"/>
        <v>ESTPopulation ages 15-19, male</v>
      </c>
      <c r="C2776" t="s">
        <v>485</v>
      </c>
      <c r="D2776" t="s">
        <v>41</v>
      </c>
      <c r="E2776" t="s">
        <v>369</v>
      </c>
      <c r="F2776" t="s">
        <v>698</v>
      </c>
      <c r="G2776">
        <v>31000</v>
      </c>
      <c r="H2776">
        <v>32000</v>
      </c>
    </row>
    <row r="2777" spans="2:8" x14ac:dyDescent="0.25">
      <c r="B2777" t="str">
        <f t="shared" si="43"/>
        <v>ESTPopulation ages 20-24, female</v>
      </c>
      <c r="C2777" t="s">
        <v>485</v>
      </c>
      <c r="D2777" t="s">
        <v>41</v>
      </c>
      <c r="E2777" t="s">
        <v>370</v>
      </c>
      <c r="F2777" t="s">
        <v>699</v>
      </c>
      <c r="G2777">
        <v>30000</v>
      </c>
      <c r="H2777">
        <v>28000</v>
      </c>
    </row>
    <row r="2778" spans="2:8" x14ac:dyDescent="0.25">
      <c r="B2778" t="str">
        <f t="shared" si="43"/>
        <v>ESTPopulation ages 20-24, male</v>
      </c>
      <c r="C2778" t="s">
        <v>485</v>
      </c>
      <c r="D2778" t="s">
        <v>41</v>
      </c>
      <c r="E2778" t="s">
        <v>371</v>
      </c>
      <c r="F2778" t="s">
        <v>700</v>
      </c>
      <c r="G2778">
        <v>31000</v>
      </c>
      <c r="H2778">
        <v>29000</v>
      </c>
    </row>
    <row r="2779" spans="2:8" x14ac:dyDescent="0.25">
      <c r="B2779" t="str">
        <f t="shared" si="43"/>
        <v>ESTPopulation ages 25-29, female</v>
      </c>
      <c r="C2779" t="s">
        <v>485</v>
      </c>
      <c r="D2779" t="s">
        <v>41</v>
      </c>
      <c r="E2779" t="s">
        <v>372</v>
      </c>
      <c r="F2779" t="s">
        <v>701</v>
      </c>
      <c r="G2779">
        <v>42000</v>
      </c>
      <c r="H2779">
        <v>41000</v>
      </c>
    </row>
    <row r="2780" spans="2:8" x14ac:dyDescent="0.25">
      <c r="B2780" t="str">
        <f t="shared" si="43"/>
        <v>ESTPopulation ages 25-29, male</v>
      </c>
      <c r="C2780" t="s">
        <v>485</v>
      </c>
      <c r="D2780" t="s">
        <v>41</v>
      </c>
      <c r="E2780" t="s">
        <v>373</v>
      </c>
      <c r="F2780" t="s">
        <v>702</v>
      </c>
      <c r="G2780">
        <v>47000</v>
      </c>
      <c r="H2780">
        <v>46000</v>
      </c>
    </row>
    <row r="2781" spans="2:8" x14ac:dyDescent="0.25">
      <c r="B2781" t="str">
        <f t="shared" si="43"/>
        <v>ESTPopulation ages 30-34, female</v>
      </c>
      <c r="C2781" t="s">
        <v>485</v>
      </c>
      <c r="D2781" t="s">
        <v>41</v>
      </c>
      <c r="E2781" t="s">
        <v>374</v>
      </c>
      <c r="F2781" t="s">
        <v>703</v>
      </c>
      <c r="G2781">
        <v>48000</v>
      </c>
      <c r="H2781">
        <v>47000</v>
      </c>
    </row>
    <row r="2782" spans="2:8" x14ac:dyDescent="0.25">
      <c r="B2782" t="str">
        <f t="shared" si="43"/>
        <v>ESTPopulation ages 30-34, male</v>
      </c>
      <c r="C2782" t="s">
        <v>485</v>
      </c>
      <c r="D2782" t="s">
        <v>41</v>
      </c>
      <c r="E2782" t="s">
        <v>375</v>
      </c>
      <c r="F2782" t="s">
        <v>704</v>
      </c>
      <c r="G2782">
        <v>53000</v>
      </c>
      <c r="H2782">
        <v>53000</v>
      </c>
    </row>
    <row r="2783" spans="2:8" x14ac:dyDescent="0.25">
      <c r="B2783" t="str">
        <f t="shared" si="43"/>
        <v>ESTPopulation ages 35-39, female</v>
      </c>
      <c r="C2783" t="s">
        <v>485</v>
      </c>
      <c r="D2783" t="s">
        <v>41</v>
      </c>
      <c r="E2783" t="s">
        <v>376</v>
      </c>
      <c r="F2783" t="s">
        <v>705</v>
      </c>
      <c r="G2783">
        <v>44000</v>
      </c>
      <c r="H2783">
        <v>44000</v>
      </c>
    </row>
    <row r="2784" spans="2:8" x14ac:dyDescent="0.25">
      <c r="B2784" t="str">
        <f t="shared" si="43"/>
        <v>ESTPopulation ages 35-39, male</v>
      </c>
      <c r="C2784" t="s">
        <v>485</v>
      </c>
      <c r="D2784" t="s">
        <v>41</v>
      </c>
      <c r="E2784" t="s">
        <v>377</v>
      </c>
      <c r="F2784" t="s">
        <v>706</v>
      </c>
      <c r="G2784">
        <v>46000</v>
      </c>
      <c r="H2784">
        <v>47000</v>
      </c>
    </row>
    <row r="2785" spans="2:8" x14ac:dyDescent="0.25">
      <c r="B2785" t="str">
        <f t="shared" si="43"/>
        <v>ESTPopulation ages 40-44, female</v>
      </c>
      <c r="C2785" t="s">
        <v>485</v>
      </c>
      <c r="D2785" t="s">
        <v>41</v>
      </c>
      <c r="E2785" t="s">
        <v>378</v>
      </c>
      <c r="F2785" t="s">
        <v>707</v>
      </c>
      <c r="G2785">
        <v>43000</v>
      </c>
      <c r="H2785">
        <v>42000</v>
      </c>
    </row>
    <row r="2786" spans="2:8" x14ac:dyDescent="0.25">
      <c r="B2786" t="str">
        <f t="shared" si="43"/>
        <v>ESTPopulation ages 40-44, male</v>
      </c>
      <c r="C2786" t="s">
        <v>485</v>
      </c>
      <c r="D2786" t="s">
        <v>41</v>
      </c>
      <c r="E2786" t="s">
        <v>379</v>
      </c>
      <c r="F2786" t="s">
        <v>708</v>
      </c>
      <c r="G2786">
        <v>46000</v>
      </c>
      <c r="H2786">
        <v>45000</v>
      </c>
    </row>
    <row r="2787" spans="2:8" x14ac:dyDescent="0.25">
      <c r="B2787" t="str">
        <f t="shared" si="43"/>
        <v>ESTPopulation ages 45-49, female</v>
      </c>
      <c r="C2787" t="s">
        <v>485</v>
      </c>
      <c r="D2787" t="s">
        <v>41</v>
      </c>
      <c r="E2787" t="s">
        <v>380</v>
      </c>
      <c r="F2787" t="s">
        <v>709</v>
      </c>
      <c r="G2787">
        <v>46000</v>
      </c>
      <c r="H2787">
        <v>47000</v>
      </c>
    </row>
    <row r="2788" spans="2:8" x14ac:dyDescent="0.25">
      <c r="B2788" t="str">
        <f t="shared" si="43"/>
        <v>ESTPopulation ages 45-49, male</v>
      </c>
      <c r="C2788" t="s">
        <v>485</v>
      </c>
      <c r="D2788" t="s">
        <v>41</v>
      </c>
      <c r="E2788" t="s">
        <v>381</v>
      </c>
      <c r="F2788" t="s">
        <v>710</v>
      </c>
      <c r="G2788">
        <v>47000</v>
      </c>
      <c r="H2788">
        <v>49000</v>
      </c>
    </row>
    <row r="2789" spans="2:8" x14ac:dyDescent="0.25">
      <c r="B2789" t="str">
        <f t="shared" si="43"/>
        <v>ESTPopulation ages 50-54, female</v>
      </c>
      <c r="C2789" t="s">
        <v>485</v>
      </c>
      <c r="D2789" t="s">
        <v>41</v>
      </c>
      <c r="E2789" t="s">
        <v>382</v>
      </c>
      <c r="F2789" t="s">
        <v>711</v>
      </c>
      <c r="G2789">
        <v>40000</v>
      </c>
      <c r="H2789">
        <v>39000</v>
      </c>
    </row>
    <row r="2790" spans="2:8" x14ac:dyDescent="0.25">
      <c r="B2790" t="str">
        <f t="shared" si="43"/>
        <v>ESTPopulation ages 50-54, male</v>
      </c>
      <c r="C2790" t="s">
        <v>485</v>
      </c>
      <c r="D2790" t="s">
        <v>41</v>
      </c>
      <c r="E2790" t="s">
        <v>383</v>
      </c>
      <c r="F2790" t="s">
        <v>712</v>
      </c>
      <c r="G2790">
        <v>38000</v>
      </c>
      <c r="H2790">
        <v>37000</v>
      </c>
    </row>
    <row r="2791" spans="2:8" x14ac:dyDescent="0.25">
      <c r="B2791" t="str">
        <f t="shared" si="43"/>
        <v>ESTPopulation ages 55-59, male</v>
      </c>
      <c r="C2791" t="s">
        <v>485</v>
      </c>
      <c r="D2791" t="s">
        <v>41</v>
      </c>
      <c r="E2791" t="s">
        <v>385</v>
      </c>
      <c r="F2791" t="s">
        <v>713</v>
      </c>
      <c r="G2791">
        <v>42000</v>
      </c>
      <c r="H2791">
        <v>42000</v>
      </c>
    </row>
    <row r="2792" spans="2:8" x14ac:dyDescent="0.25">
      <c r="B2792" t="str">
        <f t="shared" si="43"/>
        <v>ESTPopulation ages 55-59, female</v>
      </c>
      <c r="C2792" t="s">
        <v>485</v>
      </c>
      <c r="D2792" t="s">
        <v>41</v>
      </c>
      <c r="E2792" t="s">
        <v>384</v>
      </c>
      <c r="F2792" t="s">
        <v>714</v>
      </c>
      <c r="G2792">
        <v>47000</v>
      </c>
      <c r="H2792">
        <v>46000</v>
      </c>
    </row>
    <row r="2793" spans="2:8" x14ac:dyDescent="0.25">
      <c r="B2793" t="str">
        <f t="shared" si="43"/>
        <v>ESTPopulation ages 65-69, male</v>
      </c>
      <c r="C2793" t="s">
        <v>485</v>
      </c>
      <c r="D2793" t="s">
        <v>41</v>
      </c>
      <c r="E2793" t="s">
        <v>389</v>
      </c>
      <c r="F2793" t="s">
        <v>715</v>
      </c>
      <c r="G2793">
        <v>32000</v>
      </c>
      <c r="H2793">
        <v>34000</v>
      </c>
    </row>
    <row r="2794" spans="2:8" x14ac:dyDescent="0.25">
      <c r="B2794" t="str">
        <f t="shared" si="43"/>
        <v>ESTPopulation ages 65-69, female</v>
      </c>
      <c r="C2794" t="s">
        <v>485</v>
      </c>
      <c r="D2794" t="s">
        <v>41</v>
      </c>
      <c r="E2794" t="s">
        <v>388</v>
      </c>
      <c r="F2794" t="s">
        <v>716</v>
      </c>
      <c r="G2794">
        <v>46000</v>
      </c>
      <c r="H2794">
        <v>49000</v>
      </c>
    </row>
    <row r="2795" spans="2:8" x14ac:dyDescent="0.25">
      <c r="B2795" t="str">
        <f t="shared" si="43"/>
        <v>ESTPopulation ages 60-64, female</v>
      </c>
      <c r="C2795" t="s">
        <v>485</v>
      </c>
      <c r="D2795" t="s">
        <v>41</v>
      </c>
      <c r="E2795" t="s">
        <v>386</v>
      </c>
      <c r="F2795" t="s">
        <v>717</v>
      </c>
      <c r="G2795">
        <v>48000</v>
      </c>
      <c r="H2795">
        <v>47000</v>
      </c>
    </row>
    <row r="2796" spans="2:8" x14ac:dyDescent="0.25">
      <c r="B2796" t="str">
        <f t="shared" si="43"/>
        <v>ESTPopulation ages 60-64, male</v>
      </c>
      <c r="C2796" t="s">
        <v>485</v>
      </c>
      <c r="D2796" t="s">
        <v>41</v>
      </c>
      <c r="E2796" t="s">
        <v>387</v>
      </c>
      <c r="F2796" t="s">
        <v>718</v>
      </c>
      <c r="G2796">
        <v>38000</v>
      </c>
      <c r="H2796">
        <v>38000</v>
      </c>
    </row>
    <row r="2797" spans="2:8" x14ac:dyDescent="0.25">
      <c r="B2797" t="str">
        <f t="shared" si="43"/>
        <v>ESTPopulation ages 70-74, female</v>
      </c>
      <c r="C2797" t="s">
        <v>485</v>
      </c>
      <c r="D2797" t="s">
        <v>41</v>
      </c>
      <c r="E2797" t="s">
        <v>390</v>
      </c>
      <c r="F2797" t="s">
        <v>719</v>
      </c>
      <c r="G2797">
        <v>33000</v>
      </c>
      <c r="H2797">
        <v>32000</v>
      </c>
    </row>
    <row r="2798" spans="2:8" x14ac:dyDescent="0.25">
      <c r="B2798" t="str">
        <f t="shared" si="43"/>
        <v>ESTPopulation ages 70-74, male</v>
      </c>
      <c r="C2798" t="s">
        <v>485</v>
      </c>
      <c r="D2798" t="s">
        <v>41</v>
      </c>
      <c r="E2798" t="s">
        <v>391</v>
      </c>
      <c r="F2798" t="s">
        <v>720</v>
      </c>
      <c r="G2798">
        <v>21000</v>
      </c>
      <c r="H2798">
        <v>20000</v>
      </c>
    </row>
    <row r="2799" spans="2:8" x14ac:dyDescent="0.25">
      <c r="B2799" t="str">
        <f t="shared" si="43"/>
        <v>ESTPopulation ages 75-79, female</v>
      </c>
      <c r="C2799" t="s">
        <v>485</v>
      </c>
      <c r="D2799" t="s">
        <v>41</v>
      </c>
      <c r="E2799" t="s">
        <v>392</v>
      </c>
      <c r="F2799" t="s">
        <v>721</v>
      </c>
      <c r="G2799">
        <v>36000</v>
      </c>
      <c r="H2799">
        <v>36000</v>
      </c>
    </row>
    <row r="2800" spans="2:8" x14ac:dyDescent="0.25">
      <c r="B2800" t="str">
        <f t="shared" si="43"/>
        <v>ESTPopulation ages 75-79, male</v>
      </c>
      <c r="C2800" t="s">
        <v>485</v>
      </c>
      <c r="D2800" t="s">
        <v>41</v>
      </c>
      <c r="E2800" t="s">
        <v>393</v>
      </c>
      <c r="F2800" t="s">
        <v>722</v>
      </c>
      <c r="G2800">
        <v>18000</v>
      </c>
      <c r="H2800">
        <v>18000</v>
      </c>
    </row>
    <row r="2801" spans="2:8" x14ac:dyDescent="0.25">
      <c r="B2801" t="str">
        <f t="shared" si="43"/>
        <v>ESTPopulation ages 80 and above, female</v>
      </c>
      <c r="C2801" t="s">
        <v>485</v>
      </c>
      <c r="D2801" t="s">
        <v>41</v>
      </c>
      <c r="E2801" t="s">
        <v>394</v>
      </c>
      <c r="F2801" t="s">
        <v>723</v>
      </c>
      <c r="G2801">
        <v>57000</v>
      </c>
      <c r="H2801">
        <v>58000</v>
      </c>
    </row>
    <row r="2802" spans="2:8" x14ac:dyDescent="0.25">
      <c r="B2802" t="str">
        <f t="shared" si="43"/>
        <v>ESTPopulation ages 80 and above, male</v>
      </c>
      <c r="C2802" t="s">
        <v>485</v>
      </c>
      <c r="D2802" t="s">
        <v>41</v>
      </c>
      <c r="E2802" t="s">
        <v>395</v>
      </c>
      <c r="F2802" t="s">
        <v>724</v>
      </c>
      <c r="G2802">
        <v>20000</v>
      </c>
      <c r="H2802">
        <v>20000</v>
      </c>
    </row>
    <row r="2803" spans="2:8" x14ac:dyDescent="0.25">
      <c r="B2803" t="str">
        <f t="shared" si="43"/>
        <v>ESTPopulation, male</v>
      </c>
      <c r="C2803" t="s">
        <v>485</v>
      </c>
      <c r="D2803" t="s">
        <v>41</v>
      </c>
      <c r="E2803" t="s">
        <v>397</v>
      </c>
      <c r="F2803" t="s">
        <v>725</v>
      </c>
      <c r="G2803">
        <v>623000</v>
      </c>
      <c r="H2803">
        <v>622000</v>
      </c>
    </row>
    <row r="2804" spans="2:8" x14ac:dyDescent="0.25">
      <c r="B2804" t="str">
        <f t="shared" si="43"/>
        <v>ESTPopulation, total</v>
      </c>
      <c r="C2804" t="s">
        <v>485</v>
      </c>
      <c r="D2804" t="s">
        <v>41</v>
      </c>
      <c r="E2804" t="s">
        <v>398</v>
      </c>
      <c r="F2804" t="s">
        <v>726</v>
      </c>
      <c r="G2804">
        <v>1317000</v>
      </c>
      <c r="H2804">
        <v>1313000</v>
      </c>
    </row>
    <row r="2805" spans="2:8" x14ac:dyDescent="0.25">
      <c r="B2805" t="str">
        <f t="shared" si="43"/>
        <v>ESTPopulation, female</v>
      </c>
      <c r="C2805" t="s">
        <v>485</v>
      </c>
      <c r="D2805" t="s">
        <v>41</v>
      </c>
      <c r="E2805" t="s">
        <v>396</v>
      </c>
      <c r="F2805" t="s">
        <v>727</v>
      </c>
      <c r="G2805">
        <v>695000</v>
      </c>
      <c r="H2805">
        <v>691000</v>
      </c>
    </row>
    <row r="2806" spans="2:8" x14ac:dyDescent="0.25">
      <c r="B2806" t="str">
        <f t="shared" si="43"/>
        <v>ESTPopulation growth (annual %)</v>
      </c>
      <c r="C2806" t="s">
        <v>485</v>
      </c>
      <c r="D2806" t="s">
        <v>41</v>
      </c>
      <c r="E2806" t="s">
        <v>399</v>
      </c>
      <c r="F2806" t="s">
        <v>728</v>
      </c>
      <c r="G2806">
        <v>0</v>
      </c>
      <c r="H2806">
        <v>0</v>
      </c>
    </row>
    <row r="2807" spans="2:8" x14ac:dyDescent="0.25">
      <c r="B2807" t="str">
        <f t="shared" si="43"/>
        <v>SWZPopulation ages 0-14, female</v>
      </c>
      <c r="C2807" t="s">
        <v>486</v>
      </c>
      <c r="D2807" t="s">
        <v>134</v>
      </c>
      <c r="E2807" t="s">
        <v>687</v>
      </c>
      <c r="F2807" t="s">
        <v>688</v>
      </c>
      <c r="G2807">
        <v>216000</v>
      </c>
      <c r="H2807">
        <v>216000</v>
      </c>
    </row>
    <row r="2808" spans="2:8" x14ac:dyDescent="0.25">
      <c r="B2808" t="str">
        <f t="shared" si="43"/>
        <v>SWZPopulation ages 0-14, male</v>
      </c>
      <c r="C2808" t="s">
        <v>486</v>
      </c>
      <c r="D2808" t="s">
        <v>134</v>
      </c>
      <c r="E2808" t="s">
        <v>689</v>
      </c>
      <c r="F2808" t="s">
        <v>690</v>
      </c>
      <c r="G2808">
        <v>219000</v>
      </c>
      <c r="H2808">
        <v>219000</v>
      </c>
    </row>
    <row r="2809" spans="2:8" x14ac:dyDescent="0.25">
      <c r="B2809" t="str">
        <f t="shared" si="43"/>
        <v>SWZPopulation ages 00-04, female</v>
      </c>
      <c r="C2809" t="s">
        <v>486</v>
      </c>
      <c r="D2809" t="s">
        <v>134</v>
      </c>
      <c r="E2809" t="s">
        <v>362</v>
      </c>
      <c r="F2809" t="s">
        <v>691</v>
      </c>
      <c r="G2809">
        <v>71000</v>
      </c>
      <c r="H2809">
        <v>71000</v>
      </c>
    </row>
    <row r="2810" spans="2:8" x14ac:dyDescent="0.25">
      <c r="B2810" t="str">
        <f t="shared" si="43"/>
        <v>SWZPopulation ages 00-04, male</v>
      </c>
      <c r="C2810" t="s">
        <v>486</v>
      </c>
      <c r="D2810" t="s">
        <v>134</v>
      </c>
      <c r="E2810" t="s">
        <v>363</v>
      </c>
      <c r="F2810" t="s">
        <v>692</v>
      </c>
      <c r="G2810">
        <v>72000</v>
      </c>
      <c r="H2810">
        <v>73000</v>
      </c>
    </row>
    <row r="2811" spans="2:8" x14ac:dyDescent="0.25">
      <c r="B2811" t="str">
        <f t="shared" si="43"/>
        <v>SWZPopulation ages 05-09, female</v>
      </c>
      <c r="C2811" t="s">
        <v>486</v>
      </c>
      <c r="D2811" t="s">
        <v>134</v>
      </c>
      <c r="E2811" t="s">
        <v>364</v>
      </c>
      <c r="F2811" t="s">
        <v>693</v>
      </c>
      <c r="G2811">
        <v>72000</v>
      </c>
      <c r="H2811">
        <v>71000</v>
      </c>
    </row>
    <row r="2812" spans="2:8" x14ac:dyDescent="0.25">
      <c r="B2812" t="str">
        <f t="shared" si="43"/>
        <v>SWZPopulation ages 05-09, male</v>
      </c>
      <c r="C2812" t="s">
        <v>486</v>
      </c>
      <c r="D2812" t="s">
        <v>134</v>
      </c>
      <c r="E2812" t="s">
        <v>365</v>
      </c>
      <c r="F2812" t="s">
        <v>694</v>
      </c>
      <c r="G2812">
        <v>73000</v>
      </c>
      <c r="H2812">
        <v>72000</v>
      </c>
    </row>
    <row r="2813" spans="2:8" x14ac:dyDescent="0.25">
      <c r="B2813" t="str">
        <f t="shared" si="43"/>
        <v>SWZPopulation ages 10-14, female</v>
      </c>
      <c r="C2813" t="s">
        <v>486</v>
      </c>
      <c r="D2813" t="s">
        <v>134</v>
      </c>
      <c r="E2813" t="s">
        <v>366</v>
      </c>
      <c r="F2813" t="s">
        <v>695</v>
      </c>
      <c r="G2813">
        <v>73000</v>
      </c>
      <c r="H2813">
        <v>74000</v>
      </c>
    </row>
    <row r="2814" spans="2:8" x14ac:dyDescent="0.25">
      <c r="B2814" t="str">
        <f t="shared" si="43"/>
        <v>SWZPopulation ages 10-14, male</v>
      </c>
      <c r="C2814" t="s">
        <v>486</v>
      </c>
      <c r="D2814" t="s">
        <v>134</v>
      </c>
      <c r="E2814" t="s">
        <v>367</v>
      </c>
      <c r="F2814" t="s">
        <v>696</v>
      </c>
      <c r="G2814">
        <v>73000</v>
      </c>
      <c r="H2814">
        <v>74000</v>
      </c>
    </row>
    <row r="2815" spans="2:8" x14ac:dyDescent="0.25">
      <c r="B2815" t="str">
        <f t="shared" si="43"/>
        <v>SWZPopulation ages 15-19, female</v>
      </c>
      <c r="C2815" t="s">
        <v>486</v>
      </c>
      <c r="D2815" t="s">
        <v>134</v>
      </c>
      <c r="E2815" t="s">
        <v>368</v>
      </c>
      <c r="F2815" t="s">
        <v>697</v>
      </c>
      <c r="G2815">
        <v>63000</v>
      </c>
      <c r="H2815">
        <v>64000</v>
      </c>
    </row>
    <row r="2816" spans="2:8" x14ac:dyDescent="0.25">
      <c r="B2816" t="str">
        <f t="shared" si="43"/>
        <v>SWZPopulation ages 15-19, male</v>
      </c>
      <c r="C2816" t="s">
        <v>486</v>
      </c>
      <c r="D2816" t="s">
        <v>134</v>
      </c>
      <c r="E2816" t="s">
        <v>369</v>
      </c>
      <c r="F2816" t="s">
        <v>698</v>
      </c>
      <c r="G2816">
        <v>65000</v>
      </c>
      <c r="H2816">
        <v>65000</v>
      </c>
    </row>
    <row r="2817" spans="2:8" x14ac:dyDescent="0.25">
      <c r="B2817" t="str">
        <f t="shared" si="43"/>
        <v>SWZPopulation ages 20-24, female</v>
      </c>
      <c r="C2817" t="s">
        <v>486</v>
      </c>
      <c r="D2817" t="s">
        <v>134</v>
      </c>
      <c r="E2817" t="s">
        <v>370</v>
      </c>
      <c r="F2817" t="s">
        <v>699</v>
      </c>
      <c r="G2817">
        <v>54000</v>
      </c>
      <c r="H2817">
        <v>54000</v>
      </c>
    </row>
    <row r="2818" spans="2:8" x14ac:dyDescent="0.25">
      <c r="B2818" t="str">
        <f t="shared" si="43"/>
        <v>SWZPopulation ages 20-24, male</v>
      </c>
      <c r="C2818" t="s">
        <v>486</v>
      </c>
      <c r="D2818" t="s">
        <v>134</v>
      </c>
      <c r="E2818" t="s">
        <v>371</v>
      </c>
      <c r="F2818" t="s">
        <v>700</v>
      </c>
      <c r="G2818">
        <v>59000</v>
      </c>
      <c r="H2818">
        <v>59000</v>
      </c>
    </row>
    <row r="2819" spans="2:8" x14ac:dyDescent="0.25">
      <c r="B2819" t="str">
        <f t="shared" si="43"/>
        <v>SWZPopulation ages 25-29, female</v>
      </c>
      <c r="C2819" t="s">
        <v>486</v>
      </c>
      <c r="D2819" t="s">
        <v>134</v>
      </c>
      <c r="E2819" t="s">
        <v>372</v>
      </c>
      <c r="F2819" t="s">
        <v>701</v>
      </c>
      <c r="G2819">
        <v>49000</v>
      </c>
      <c r="H2819">
        <v>48000</v>
      </c>
    </row>
    <row r="2820" spans="2:8" x14ac:dyDescent="0.25">
      <c r="B2820" t="str">
        <f t="shared" si="43"/>
        <v>SWZPopulation ages 25-29, male</v>
      </c>
      <c r="C2820" t="s">
        <v>486</v>
      </c>
      <c r="D2820" t="s">
        <v>134</v>
      </c>
      <c r="E2820" t="s">
        <v>373</v>
      </c>
      <c r="F2820" t="s">
        <v>702</v>
      </c>
      <c r="G2820">
        <v>50000</v>
      </c>
      <c r="H2820">
        <v>52000</v>
      </c>
    </row>
    <row r="2821" spans="2:8" x14ac:dyDescent="0.25">
      <c r="B2821" t="str">
        <f t="shared" si="43"/>
        <v>SWZPopulation ages 30-34, female</v>
      </c>
      <c r="C2821" t="s">
        <v>486</v>
      </c>
      <c r="D2821" t="s">
        <v>134</v>
      </c>
      <c r="E2821" t="s">
        <v>374</v>
      </c>
      <c r="F2821" t="s">
        <v>703</v>
      </c>
      <c r="G2821">
        <v>45000</v>
      </c>
      <c r="H2821">
        <v>44000</v>
      </c>
    </row>
    <row r="2822" spans="2:8" x14ac:dyDescent="0.25">
      <c r="B2822" t="str">
        <f t="shared" si="43"/>
        <v>SWZPopulation ages 30-34, male</v>
      </c>
      <c r="C2822" t="s">
        <v>486</v>
      </c>
      <c r="D2822" t="s">
        <v>134</v>
      </c>
      <c r="E2822" t="s">
        <v>375</v>
      </c>
      <c r="F2822" t="s">
        <v>704</v>
      </c>
      <c r="G2822">
        <v>37000</v>
      </c>
      <c r="H2822">
        <v>38000</v>
      </c>
    </row>
    <row r="2823" spans="2:8" x14ac:dyDescent="0.25">
      <c r="B2823" t="str">
        <f t="shared" ref="B2823:B2886" si="44">CONCATENATE(D2823,E2823)</f>
        <v>SWZPopulation ages 35-39, female</v>
      </c>
      <c r="C2823" t="s">
        <v>486</v>
      </c>
      <c r="D2823" t="s">
        <v>134</v>
      </c>
      <c r="E2823" t="s">
        <v>376</v>
      </c>
      <c r="F2823" t="s">
        <v>705</v>
      </c>
      <c r="G2823">
        <v>43000</v>
      </c>
      <c r="H2823">
        <v>45000</v>
      </c>
    </row>
    <row r="2824" spans="2:8" x14ac:dyDescent="0.25">
      <c r="B2824" t="str">
        <f t="shared" si="44"/>
        <v>SWZPopulation ages 35-39, male</v>
      </c>
      <c r="C2824" t="s">
        <v>486</v>
      </c>
      <c r="D2824" t="s">
        <v>134</v>
      </c>
      <c r="E2824" t="s">
        <v>377</v>
      </c>
      <c r="F2824" t="s">
        <v>706</v>
      </c>
      <c r="G2824">
        <v>33000</v>
      </c>
      <c r="H2824">
        <v>34000</v>
      </c>
    </row>
    <row r="2825" spans="2:8" x14ac:dyDescent="0.25">
      <c r="B2825" t="str">
        <f t="shared" si="44"/>
        <v>SWZPopulation ages 40-44, female</v>
      </c>
      <c r="C2825" t="s">
        <v>486</v>
      </c>
      <c r="D2825" t="s">
        <v>134</v>
      </c>
      <c r="E2825" t="s">
        <v>378</v>
      </c>
      <c r="F2825" t="s">
        <v>707</v>
      </c>
      <c r="G2825">
        <v>32000</v>
      </c>
      <c r="H2825">
        <v>34000</v>
      </c>
    </row>
    <row r="2826" spans="2:8" x14ac:dyDescent="0.25">
      <c r="B2826" t="str">
        <f t="shared" si="44"/>
        <v>SWZPopulation ages 40-44, male</v>
      </c>
      <c r="C2826" t="s">
        <v>486</v>
      </c>
      <c r="D2826" t="s">
        <v>134</v>
      </c>
      <c r="E2826" t="s">
        <v>379</v>
      </c>
      <c r="F2826" t="s">
        <v>708</v>
      </c>
      <c r="G2826">
        <v>25000</v>
      </c>
      <c r="H2826">
        <v>26000</v>
      </c>
    </row>
    <row r="2827" spans="2:8" x14ac:dyDescent="0.25">
      <c r="B2827" t="str">
        <f t="shared" si="44"/>
        <v>SWZPopulation ages 45-49, female</v>
      </c>
      <c r="C2827" t="s">
        <v>486</v>
      </c>
      <c r="D2827" t="s">
        <v>134</v>
      </c>
      <c r="E2827" t="s">
        <v>380</v>
      </c>
      <c r="F2827" t="s">
        <v>709</v>
      </c>
      <c r="G2827">
        <v>21000</v>
      </c>
      <c r="H2827">
        <v>22000</v>
      </c>
    </row>
    <row r="2828" spans="2:8" x14ac:dyDescent="0.25">
      <c r="B2828" t="str">
        <f t="shared" si="44"/>
        <v>SWZPopulation ages 45-49, male</v>
      </c>
      <c r="C2828" t="s">
        <v>486</v>
      </c>
      <c r="D2828" t="s">
        <v>134</v>
      </c>
      <c r="E2828" t="s">
        <v>381</v>
      </c>
      <c r="F2828" t="s">
        <v>710</v>
      </c>
      <c r="G2828">
        <v>21000</v>
      </c>
      <c r="H2828">
        <v>22000</v>
      </c>
    </row>
    <row r="2829" spans="2:8" x14ac:dyDescent="0.25">
      <c r="B2829" t="str">
        <f t="shared" si="44"/>
        <v>SWZPopulation ages 50-54, female</v>
      </c>
      <c r="C2829" t="s">
        <v>486</v>
      </c>
      <c r="D2829" t="s">
        <v>134</v>
      </c>
      <c r="E2829" t="s">
        <v>382</v>
      </c>
      <c r="F2829" t="s">
        <v>711</v>
      </c>
      <c r="G2829">
        <v>13000</v>
      </c>
      <c r="H2829">
        <v>13000</v>
      </c>
    </row>
    <row r="2830" spans="2:8" x14ac:dyDescent="0.25">
      <c r="B2830" t="str">
        <f t="shared" si="44"/>
        <v>SWZPopulation ages 50-54, male</v>
      </c>
      <c r="C2830" t="s">
        <v>486</v>
      </c>
      <c r="D2830" t="s">
        <v>134</v>
      </c>
      <c r="E2830" t="s">
        <v>383</v>
      </c>
      <c r="F2830" t="s">
        <v>712</v>
      </c>
      <c r="G2830">
        <v>16000</v>
      </c>
      <c r="H2830">
        <v>17000</v>
      </c>
    </row>
    <row r="2831" spans="2:8" x14ac:dyDescent="0.25">
      <c r="B2831" t="str">
        <f t="shared" si="44"/>
        <v>SWZPopulation ages 55-59, male</v>
      </c>
      <c r="C2831" t="s">
        <v>486</v>
      </c>
      <c r="D2831" t="s">
        <v>134</v>
      </c>
      <c r="E2831" t="s">
        <v>385</v>
      </c>
      <c r="F2831" t="s">
        <v>713</v>
      </c>
      <c r="G2831">
        <v>12000</v>
      </c>
      <c r="H2831">
        <v>12000</v>
      </c>
    </row>
    <row r="2832" spans="2:8" x14ac:dyDescent="0.25">
      <c r="B2832" t="str">
        <f t="shared" si="44"/>
        <v>SWZPopulation ages 55-59, female</v>
      </c>
      <c r="C2832" t="s">
        <v>486</v>
      </c>
      <c r="D2832" t="s">
        <v>134</v>
      </c>
      <c r="E2832" t="s">
        <v>384</v>
      </c>
      <c r="F2832" t="s">
        <v>714</v>
      </c>
      <c r="G2832">
        <v>10000</v>
      </c>
      <c r="H2832">
        <v>10000</v>
      </c>
    </row>
    <row r="2833" spans="2:8" x14ac:dyDescent="0.25">
      <c r="B2833" t="str">
        <f t="shared" si="44"/>
        <v>SWZPopulation ages 65-69, male</v>
      </c>
      <c r="C2833" t="s">
        <v>486</v>
      </c>
      <c r="D2833" t="s">
        <v>134</v>
      </c>
      <c r="E2833" t="s">
        <v>389</v>
      </c>
      <c r="F2833" t="s">
        <v>715</v>
      </c>
      <c r="G2833">
        <v>7300</v>
      </c>
      <c r="H2833">
        <v>7400</v>
      </c>
    </row>
    <row r="2834" spans="2:8" x14ac:dyDescent="0.25">
      <c r="B2834" t="str">
        <f t="shared" si="44"/>
        <v>SWZPopulation ages 65-69, female</v>
      </c>
      <c r="C2834" t="s">
        <v>486</v>
      </c>
      <c r="D2834" t="s">
        <v>134</v>
      </c>
      <c r="E2834" t="s">
        <v>388</v>
      </c>
      <c r="F2834" t="s">
        <v>716</v>
      </c>
      <c r="G2834">
        <v>9500</v>
      </c>
      <c r="H2834">
        <v>9500</v>
      </c>
    </row>
    <row r="2835" spans="2:8" x14ac:dyDescent="0.25">
      <c r="B2835" t="str">
        <f t="shared" si="44"/>
        <v>SWZPopulation ages 60-64, female</v>
      </c>
      <c r="C2835" t="s">
        <v>486</v>
      </c>
      <c r="D2835" t="s">
        <v>134</v>
      </c>
      <c r="E2835" t="s">
        <v>386</v>
      </c>
      <c r="F2835" t="s">
        <v>717</v>
      </c>
      <c r="G2835">
        <v>9800</v>
      </c>
      <c r="H2835">
        <v>9700</v>
      </c>
    </row>
    <row r="2836" spans="2:8" x14ac:dyDescent="0.25">
      <c r="B2836" t="str">
        <f t="shared" si="44"/>
        <v>SWZPopulation ages 60-64, male</v>
      </c>
      <c r="C2836" t="s">
        <v>486</v>
      </c>
      <c r="D2836" t="s">
        <v>134</v>
      </c>
      <c r="E2836" t="s">
        <v>387</v>
      </c>
      <c r="F2836" t="s">
        <v>718</v>
      </c>
      <c r="G2836">
        <v>9900</v>
      </c>
      <c r="H2836">
        <v>10000</v>
      </c>
    </row>
    <row r="2837" spans="2:8" x14ac:dyDescent="0.25">
      <c r="B2837" t="str">
        <f t="shared" si="44"/>
        <v>SWZPopulation ages 70-74, female</v>
      </c>
      <c r="C2837" t="s">
        <v>486</v>
      </c>
      <c r="D2837" t="s">
        <v>134</v>
      </c>
      <c r="E2837" t="s">
        <v>390</v>
      </c>
      <c r="F2837" t="s">
        <v>719</v>
      </c>
      <c r="G2837">
        <v>8400</v>
      </c>
      <c r="H2837">
        <v>8500</v>
      </c>
    </row>
    <row r="2838" spans="2:8" x14ac:dyDescent="0.25">
      <c r="B2838" t="str">
        <f t="shared" si="44"/>
        <v>SWZPopulation ages 70-74, male</v>
      </c>
      <c r="C2838" t="s">
        <v>486</v>
      </c>
      <c r="D2838" t="s">
        <v>134</v>
      </c>
      <c r="E2838" t="s">
        <v>391</v>
      </c>
      <c r="F2838" t="s">
        <v>720</v>
      </c>
      <c r="G2838">
        <v>5000</v>
      </c>
      <c r="H2838">
        <v>5100</v>
      </c>
    </row>
    <row r="2839" spans="2:8" x14ac:dyDescent="0.25">
      <c r="B2839" t="str">
        <f t="shared" si="44"/>
        <v>SWZPopulation ages 75-79, female</v>
      </c>
      <c r="C2839" t="s">
        <v>486</v>
      </c>
      <c r="D2839" t="s">
        <v>134</v>
      </c>
      <c r="E2839" t="s">
        <v>392</v>
      </c>
      <c r="F2839" t="s">
        <v>721</v>
      </c>
      <c r="G2839">
        <v>6000</v>
      </c>
      <c r="H2839">
        <v>6100</v>
      </c>
    </row>
    <row r="2840" spans="2:8" x14ac:dyDescent="0.25">
      <c r="B2840" t="str">
        <f t="shared" si="44"/>
        <v>SWZPopulation ages 75-79, male</v>
      </c>
      <c r="C2840" t="s">
        <v>486</v>
      </c>
      <c r="D2840" t="s">
        <v>134</v>
      </c>
      <c r="E2840" t="s">
        <v>393</v>
      </c>
      <c r="F2840" t="s">
        <v>722</v>
      </c>
      <c r="G2840">
        <v>2800</v>
      </c>
      <c r="H2840">
        <v>2900</v>
      </c>
    </row>
    <row r="2841" spans="2:8" x14ac:dyDescent="0.25">
      <c r="B2841" t="str">
        <f t="shared" si="44"/>
        <v>SWZPopulation ages 80 and above, female</v>
      </c>
      <c r="C2841" t="s">
        <v>486</v>
      </c>
      <c r="D2841" t="s">
        <v>134</v>
      </c>
      <c r="E2841" t="s">
        <v>394</v>
      </c>
      <c r="F2841" t="s">
        <v>723</v>
      </c>
      <c r="G2841">
        <v>5500</v>
      </c>
      <c r="H2841">
        <v>5600</v>
      </c>
    </row>
    <row r="2842" spans="2:8" x14ac:dyDescent="0.25">
      <c r="B2842" t="str">
        <f t="shared" si="44"/>
        <v>SWZPopulation ages 80 and above, male</v>
      </c>
      <c r="C2842" t="s">
        <v>486</v>
      </c>
      <c r="D2842" t="s">
        <v>134</v>
      </c>
      <c r="E2842" t="s">
        <v>395</v>
      </c>
      <c r="F2842" t="s">
        <v>724</v>
      </c>
      <c r="G2842">
        <v>1600</v>
      </c>
      <c r="H2842">
        <v>1500</v>
      </c>
    </row>
    <row r="2843" spans="2:8" x14ac:dyDescent="0.25">
      <c r="B2843" t="str">
        <f t="shared" si="44"/>
        <v>SWZPopulation, male</v>
      </c>
      <c r="C2843" t="s">
        <v>486</v>
      </c>
      <c r="D2843" t="s">
        <v>134</v>
      </c>
      <c r="E2843" t="s">
        <v>397</v>
      </c>
      <c r="F2843" t="s">
        <v>725</v>
      </c>
      <c r="G2843">
        <v>563000</v>
      </c>
      <c r="H2843">
        <v>570000</v>
      </c>
    </row>
    <row r="2844" spans="2:8" x14ac:dyDescent="0.25">
      <c r="B2844" t="str">
        <f t="shared" si="44"/>
        <v>SWZPopulation, total</v>
      </c>
      <c r="C2844" t="s">
        <v>486</v>
      </c>
      <c r="D2844" t="s">
        <v>134</v>
      </c>
      <c r="E2844" t="s">
        <v>398</v>
      </c>
      <c r="F2844" t="s">
        <v>726</v>
      </c>
      <c r="G2844">
        <v>1148000</v>
      </c>
      <c r="H2844">
        <v>1160000</v>
      </c>
    </row>
    <row r="2845" spans="2:8" x14ac:dyDescent="0.25">
      <c r="B2845" t="str">
        <f t="shared" si="44"/>
        <v>SWZPopulation, female</v>
      </c>
      <c r="C2845" t="s">
        <v>486</v>
      </c>
      <c r="D2845" t="s">
        <v>134</v>
      </c>
      <c r="E2845" t="s">
        <v>396</v>
      </c>
      <c r="F2845" t="s">
        <v>727</v>
      </c>
      <c r="G2845">
        <v>585000</v>
      </c>
      <c r="H2845">
        <v>590000</v>
      </c>
    </row>
    <row r="2846" spans="2:8" x14ac:dyDescent="0.25">
      <c r="B2846" t="str">
        <f t="shared" si="44"/>
        <v>SWZPopulation growth (annual %)</v>
      </c>
      <c r="C2846" t="s">
        <v>486</v>
      </c>
      <c r="D2846" t="s">
        <v>134</v>
      </c>
      <c r="E2846" t="s">
        <v>399</v>
      </c>
      <c r="F2846" t="s">
        <v>728</v>
      </c>
      <c r="G2846">
        <v>0</v>
      </c>
      <c r="H2846">
        <v>0</v>
      </c>
    </row>
    <row r="2847" spans="2:8" x14ac:dyDescent="0.25">
      <c r="B2847" t="str">
        <f t="shared" si="44"/>
        <v>ETHPopulation ages 0-14, female</v>
      </c>
      <c r="C2847" t="s">
        <v>194</v>
      </c>
      <c r="D2847" t="s">
        <v>42</v>
      </c>
      <c r="E2847" t="s">
        <v>687</v>
      </c>
      <c r="F2847" t="s">
        <v>688</v>
      </c>
      <c r="G2847">
        <v>22316000</v>
      </c>
      <c r="H2847">
        <v>22651000</v>
      </c>
    </row>
    <row r="2848" spans="2:8" x14ac:dyDescent="0.25">
      <c r="B2848" t="str">
        <f t="shared" si="44"/>
        <v>ETHPopulation ages 0-14, male</v>
      </c>
      <c r="C2848" t="s">
        <v>194</v>
      </c>
      <c r="D2848" t="s">
        <v>42</v>
      </c>
      <c r="E2848" t="s">
        <v>689</v>
      </c>
      <c r="F2848" t="s">
        <v>690</v>
      </c>
      <c r="G2848">
        <v>22893000</v>
      </c>
      <c r="H2848">
        <v>23240000</v>
      </c>
    </row>
    <row r="2849" spans="2:8" x14ac:dyDescent="0.25">
      <c r="B2849" t="str">
        <f t="shared" si="44"/>
        <v>ETHPopulation ages 00-04, female</v>
      </c>
      <c r="C2849" t="s">
        <v>194</v>
      </c>
      <c r="D2849" t="s">
        <v>42</v>
      </c>
      <c r="E2849" t="s">
        <v>362</v>
      </c>
      <c r="F2849" t="s">
        <v>691</v>
      </c>
      <c r="G2849">
        <v>8157000</v>
      </c>
      <c r="H2849">
        <v>8271000</v>
      </c>
    </row>
    <row r="2850" spans="2:8" x14ac:dyDescent="0.25">
      <c r="B2850" t="str">
        <f t="shared" si="44"/>
        <v>ETHPopulation ages 00-04, male</v>
      </c>
      <c r="C2850" t="s">
        <v>194</v>
      </c>
      <c r="D2850" t="s">
        <v>42</v>
      </c>
      <c r="E2850" t="s">
        <v>363</v>
      </c>
      <c r="F2850" t="s">
        <v>692</v>
      </c>
      <c r="G2850">
        <v>8404000</v>
      </c>
      <c r="H2850">
        <v>8520000</v>
      </c>
    </row>
    <row r="2851" spans="2:8" x14ac:dyDescent="0.25">
      <c r="B2851" t="str">
        <f t="shared" si="44"/>
        <v>ETHPopulation ages 05-09, female</v>
      </c>
      <c r="C2851" t="s">
        <v>194</v>
      </c>
      <c r="D2851" t="s">
        <v>42</v>
      </c>
      <c r="E2851" t="s">
        <v>364</v>
      </c>
      <c r="F2851" t="s">
        <v>693</v>
      </c>
      <c r="G2851">
        <v>7391000</v>
      </c>
      <c r="H2851">
        <v>7526000</v>
      </c>
    </row>
    <row r="2852" spans="2:8" x14ac:dyDescent="0.25">
      <c r="B2852" t="str">
        <f t="shared" si="44"/>
        <v>ETHPopulation ages 05-09, male</v>
      </c>
      <c r="C2852" t="s">
        <v>194</v>
      </c>
      <c r="D2852" t="s">
        <v>42</v>
      </c>
      <c r="E2852" t="s">
        <v>365</v>
      </c>
      <c r="F2852" t="s">
        <v>694</v>
      </c>
      <c r="G2852">
        <v>7581000</v>
      </c>
      <c r="H2852">
        <v>7721000</v>
      </c>
    </row>
    <row r="2853" spans="2:8" x14ac:dyDescent="0.25">
      <c r="B2853" t="str">
        <f t="shared" si="44"/>
        <v>ETHPopulation ages 10-14, female</v>
      </c>
      <c r="C2853" t="s">
        <v>194</v>
      </c>
      <c r="D2853" t="s">
        <v>42</v>
      </c>
      <c r="E2853" t="s">
        <v>366</v>
      </c>
      <c r="F2853" t="s">
        <v>695</v>
      </c>
      <c r="G2853">
        <v>6768000</v>
      </c>
      <c r="H2853">
        <v>6854000</v>
      </c>
    </row>
    <row r="2854" spans="2:8" x14ac:dyDescent="0.25">
      <c r="B2854" t="str">
        <f t="shared" si="44"/>
        <v>ETHPopulation ages 10-14, male</v>
      </c>
      <c r="C2854" t="s">
        <v>194</v>
      </c>
      <c r="D2854" t="s">
        <v>42</v>
      </c>
      <c r="E2854" t="s">
        <v>367</v>
      </c>
      <c r="F2854" t="s">
        <v>696</v>
      </c>
      <c r="G2854">
        <v>6908000</v>
      </c>
      <c r="H2854">
        <v>6999000</v>
      </c>
    </row>
    <row r="2855" spans="2:8" x14ac:dyDescent="0.25">
      <c r="B2855" t="str">
        <f t="shared" si="44"/>
        <v>ETHPopulation ages 15-19, female</v>
      </c>
      <c r="C2855" t="s">
        <v>194</v>
      </c>
      <c r="D2855" t="s">
        <v>42</v>
      </c>
      <c r="E2855" t="s">
        <v>368</v>
      </c>
      <c r="F2855" t="s">
        <v>697</v>
      </c>
      <c r="G2855">
        <v>6344000</v>
      </c>
      <c r="H2855">
        <v>6433000</v>
      </c>
    </row>
    <row r="2856" spans="2:8" x14ac:dyDescent="0.25">
      <c r="B2856" t="str">
        <f t="shared" si="44"/>
        <v>ETHPopulation ages 15-19, male</v>
      </c>
      <c r="C2856" t="s">
        <v>194</v>
      </c>
      <c r="D2856" t="s">
        <v>42</v>
      </c>
      <c r="E2856" t="s">
        <v>369</v>
      </c>
      <c r="F2856" t="s">
        <v>698</v>
      </c>
      <c r="G2856">
        <v>6456000</v>
      </c>
      <c r="H2856">
        <v>6543000</v>
      </c>
    </row>
    <row r="2857" spans="2:8" x14ac:dyDescent="0.25">
      <c r="B2857" t="str">
        <f t="shared" si="44"/>
        <v>ETHPopulation ages 20-24, female</v>
      </c>
      <c r="C2857" t="s">
        <v>194</v>
      </c>
      <c r="D2857" t="s">
        <v>42</v>
      </c>
      <c r="E2857" t="s">
        <v>370</v>
      </c>
      <c r="F2857" t="s">
        <v>699</v>
      </c>
      <c r="G2857">
        <v>5649000</v>
      </c>
      <c r="H2857">
        <v>5816000</v>
      </c>
    </row>
    <row r="2858" spans="2:8" x14ac:dyDescent="0.25">
      <c r="B2858" t="str">
        <f t="shared" si="44"/>
        <v>ETHPopulation ages 20-24, male</v>
      </c>
      <c r="C2858" t="s">
        <v>194</v>
      </c>
      <c r="D2858" t="s">
        <v>42</v>
      </c>
      <c r="E2858" t="s">
        <v>371</v>
      </c>
      <c r="F2858" t="s">
        <v>700</v>
      </c>
      <c r="G2858">
        <v>5767000</v>
      </c>
      <c r="H2858">
        <v>5931000</v>
      </c>
    </row>
    <row r="2859" spans="2:8" x14ac:dyDescent="0.25">
      <c r="B2859" t="str">
        <f t="shared" si="44"/>
        <v>ETHPopulation ages 25-29, female</v>
      </c>
      <c r="C2859" t="s">
        <v>194</v>
      </c>
      <c r="D2859" t="s">
        <v>42</v>
      </c>
      <c r="E2859" t="s">
        <v>372</v>
      </c>
      <c r="F2859" t="s">
        <v>701</v>
      </c>
      <c r="G2859">
        <v>4588000</v>
      </c>
      <c r="H2859">
        <v>4802000</v>
      </c>
    </row>
    <row r="2860" spans="2:8" x14ac:dyDescent="0.25">
      <c r="B2860" t="str">
        <f t="shared" si="44"/>
        <v>ETHPopulation ages 25-29, male</v>
      </c>
      <c r="C2860" t="s">
        <v>194</v>
      </c>
      <c r="D2860" t="s">
        <v>42</v>
      </c>
      <c r="E2860" t="s">
        <v>373</v>
      </c>
      <c r="F2860" t="s">
        <v>702</v>
      </c>
      <c r="G2860">
        <v>4666000</v>
      </c>
      <c r="H2860">
        <v>4890000</v>
      </c>
    </row>
    <row r="2861" spans="2:8" x14ac:dyDescent="0.25">
      <c r="B2861" t="str">
        <f t="shared" si="44"/>
        <v>ETHPopulation ages 30-34, female</v>
      </c>
      <c r="C2861" t="s">
        <v>194</v>
      </c>
      <c r="D2861" t="s">
        <v>42</v>
      </c>
      <c r="E2861" t="s">
        <v>374</v>
      </c>
      <c r="F2861" t="s">
        <v>703</v>
      </c>
      <c r="G2861">
        <v>3620000</v>
      </c>
      <c r="H2861">
        <v>3758000</v>
      </c>
    </row>
    <row r="2862" spans="2:8" x14ac:dyDescent="0.25">
      <c r="B2862" t="str">
        <f t="shared" si="44"/>
        <v>ETHPopulation ages 30-34, male</v>
      </c>
      <c r="C2862" t="s">
        <v>194</v>
      </c>
      <c r="D2862" t="s">
        <v>42</v>
      </c>
      <c r="E2862" t="s">
        <v>375</v>
      </c>
      <c r="F2862" t="s">
        <v>704</v>
      </c>
      <c r="G2862">
        <v>3604000</v>
      </c>
      <c r="H2862">
        <v>3761000</v>
      </c>
    </row>
    <row r="2863" spans="2:8" x14ac:dyDescent="0.25">
      <c r="B2863" t="str">
        <f t="shared" si="44"/>
        <v>ETHPopulation ages 35-39, female</v>
      </c>
      <c r="C2863" t="s">
        <v>194</v>
      </c>
      <c r="D2863" t="s">
        <v>42</v>
      </c>
      <c r="E2863" t="s">
        <v>376</v>
      </c>
      <c r="F2863" t="s">
        <v>705</v>
      </c>
      <c r="G2863">
        <v>3065000</v>
      </c>
      <c r="H2863">
        <v>3183000</v>
      </c>
    </row>
    <row r="2864" spans="2:8" x14ac:dyDescent="0.25">
      <c r="B2864" t="str">
        <f t="shared" si="44"/>
        <v>ETHPopulation ages 35-39, male</v>
      </c>
      <c r="C2864" t="s">
        <v>194</v>
      </c>
      <c r="D2864" t="s">
        <v>42</v>
      </c>
      <c r="E2864" t="s">
        <v>377</v>
      </c>
      <c r="F2864" t="s">
        <v>706</v>
      </c>
      <c r="G2864">
        <v>2972000</v>
      </c>
      <c r="H2864">
        <v>3091000</v>
      </c>
    </row>
    <row r="2865" spans="2:8" x14ac:dyDescent="0.25">
      <c r="B2865" t="str">
        <f t="shared" si="44"/>
        <v>ETHPopulation ages 40-44, female</v>
      </c>
      <c r="C2865" t="s">
        <v>194</v>
      </c>
      <c r="D2865" t="s">
        <v>42</v>
      </c>
      <c r="E2865" t="s">
        <v>378</v>
      </c>
      <c r="F2865" t="s">
        <v>707</v>
      </c>
      <c r="G2865">
        <v>2389000</v>
      </c>
      <c r="H2865">
        <v>2488000</v>
      </c>
    </row>
    <row r="2866" spans="2:8" x14ac:dyDescent="0.25">
      <c r="B2866" t="str">
        <f t="shared" si="44"/>
        <v>ETHPopulation ages 40-44, male</v>
      </c>
      <c r="C2866" t="s">
        <v>194</v>
      </c>
      <c r="D2866" t="s">
        <v>42</v>
      </c>
      <c r="E2866" t="s">
        <v>379</v>
      </c>
      <c r="F2866" t="s">
        <v>708</v>
      </c>
      <c r="G2866">
        <v>2368000</v>
      </c>
      <c r="H2866">
        <v>2446000</v>
      </c>
    </row>
    <row r="2867" spans="2:8" x14ac:dyDescent="0.25">
      <c r="B2867" t="str">
        <f t="shared" si="44"/>
        <v>ETHPopulation ages 45-49, female</v>
      </c>
      <c r="C2867" t="s">
        <v>194</v>
      </c>
      <c r="D2867" t="s">
        <v>42</v>
      </c>
      <c r="E2867" t="s">
        <v>380</v>
      </c>
      <c r="F2867" t="s">
        <v>709</v>
      </c>
      <c r="G2867">
        <v>1967000</v>
      </c>
      <c r="H2867">
        <v>2033000</v>
      </c>
    </row>
    <row r="2868" spans="2:8" x14ac:dyDescent="0.25">
      <c r="B2868" t="str">
        <f t="shared" si="44"/>
        <v>ETHPopulation ages 45-49, male</v>
      </c>
      <c r="C2868" t="s">
        <v>194</v>
      </c>
      <c r="D2868" t="s">
        <v>42</v>
      </c>
      <c r="E2868" t="s">
        <v>381</v>
      </c>
      <c r="F2868" t="s">
        <v>710</v>
      </c>
      <c r="G2868">
        <v>1996000</v>
      </c>
      <c r="H2868">
        <v>2071000</v>
      </c>
    </row>
    <row r="2869" spans="2:8" x14ac:dyDescent="0.25">
      <c r="B2869" t="str">
        <f t="shared" si="44"/>
        <v>ETHPopulation ages 50-54, female</v>
      </c>
      <c r="C2869" t="s">
        <v>194</v>
      </c>
      <c r="D2869" t="s">
        <v>42</v>
      </c>
      <c r="E2869" t="s">
        <v>382</v>
      </c>
      <c r="F2869" t="s">
        <v>711</v>
      </c>
      <c r="G2869">
        <v>1599000</v>
      </c>
      <c r="H2869">
        <v>1661000</v>
      </c>
    </row>
    <row r="2870" spans="2:8" x14ac:dyDescent="0.25">
      <c r="B2870" t="str">
        <f t="shared" si="44"/>
        <v>ETHPopulation ages 50-54, male</v>
      </c>
      <c r="C2870" t="s">
        <v>194</v>
      </c>
      <c r="D2870" t="s">
        <v>42</v>
      </c>
      <c r="E2870" t="s">
        <v>383</v>
      </c>
      <c r="F2870" t="s">
        <v>712</v>
      </c>
      <c r="G2870">
        <v>1487000</v>
      </c>
      <c r="H2870">
        <v>1568000</v>
      </c>
    </row>
    <row r="2871" spans="2:8" x14ac:dyDescent="0.25">
      <c r="B2871" t="str">
        <f t="shared" si="44"/>
        <v>ETHPopulation ages 55-59, male</v>
      </c>
      <c r="C2871" t="s">
        <v>194</v>
      </c>
      <c r="D2871" t="s">
        <v>42</v>
      </c>
      <c r="E2871" t="s">
        <v>385</v>
      </c>
      <c r="F2871" t="s">
        <v>713</v>
      </c>
      <c r="G2871">
        <v>1117000</v>
      </c>
      <c r="H2871">
        <v>1159000</v>
      </c>
    </row>
    <row r="2872" spans="2:8" x14ac:dyDescent="0.25">
      <c r="B2872" t="str">
        <f t="shared" si="44"/>
        <v>ETHPopulation ages 55-59, female</v>
      </c>
      <c r="C2872" t="s">
        <v>194</v>
      </c>
      <c r="D2872" t="s">
        <v>42</v>
      </c>
      <c r="E2872" t="s">
        <v>384</v>
      </c>
      <c r="F2872" t="s">
        <v>714</v>
      </c>
      <c r="G2872">
        <v>1279000</v>
      </c>
      <c r="H2872">
        <v>1316000</v>
      </c>
    </row>
    <row r="2873" spans="2:8" x14ac:dyDescent="0.25">
      <c r="B2873" t="str">
        <f t="shared" si="44"/>
        <v>ETHPopulation ages 65-69, male</v>
      </c>
      <c r="C2873" t="s">
        <v>194</v>
      </c>
      <c r="D2873" t="s">
        <v>42</v>
      </c>
      <c r="E2873" t="s">
        <v>389</v>
      </c>
      <c r="F2873" t="s">
        <v>715</v>
      </c>
      <c r="G2873">
        <v>716000</v>
      </c>
      <c r="H2873">
        <v>736000</v>
      </c>
    </row>
    <row r="2874" spans="2:8" x14ac:dyDescent="0.25">
      <c r="B2874" t="str">
        <f t="shared" si="44"/>
        <v>ETHPopulation ages 65-69, female</v>
      </c>
      <c r="C2874" t="s">
        <v>194</v>
      </c>
      <c r="D2874" t="s">
        <v>42</v>
      </c>
      <c r="E2874" t="s">
        <v>388</v>
      </c>
      <c r="F2874" t="s">
        <v>716</v>
      </c>
      <c r="G2874">
        <v>808000</v>
      </c>
      <c r="H2874">
        <v>833000</v>
      </c>
    </row>
    <row r="2875" spans="2:8" x14ac:dyDescent="0.25">
      <c r="B2875" t="str">
        <f t="shared" si="44"/>
        <v>ETHPopulation ages 60-64, female</v>
      </c>
      <c r="C2875" t="s">
        <v>194</v>
      </c>
      <c r="D2875" t="s">
        <v>42</v>
      </c>
      <c r="E2875" t="s">
        <v>386</v>
      </c>
      <c r="F2875" t="s">
        <v>717</v>
      </c>
      <c r="G2875">
        <v>1073000</v>
      </c>
      <c r="H2875">
        <v>1110000</v>
      </c>
    </row>
    <row r="2876" spans="2:8" x14ac:dyDescent="0.25">
      <c r="B2876" t="str">
        <f t="shared" si="44"/>
        <v>ETHPopulation ages 60-64, male</v>
      </c>
      <c r="C2876" t="s">
        <v>194</v>
      </c>
      <c r="D2876" t="s">
        <v>42</v>
      </c>
      <c r="E2876" t="s">
        <v>387</v>
      </c>
      <c r="F2876" t="s">
        <v>718</v>
      </c>
      <c r="G2876">
        <v>923000</v>
      </c>
      <c r="H2876">
        <v>947000</v>
      </c>
    </row>
    <row r="2877" spans="2:8" x14ac:dyDescent="0.25">
      <c r="B2877" t="str">
        <f t="shared" si="44"/>
        <v>ETHPopulation ages 70-74, female</v>
      </c>
      <c r="C2877" t="s">
        <v>194</v>
      </c>
      <c r="D2877" t="s">
        <v>42</v>
      </c>
      <c r="E2877" t="s">
        <v>390</v>
      </c>
      <c r="F2877" t="s">
        <v>719</v>
      </c>
      <c r="G2877">
        <v>627000</v>
      </c>
      <c r="H2877">
        <v>649000</v>
      </c>
    </row>
    <row r="2878" spans="2:8" x14ac:dyDescent="0.25">
      <c r="B2878" t="str">
        <f t="shared" si="44"/>
        <v>ETHPopulation ages 70-74, male</v>
      </c>
      <c r="C2878" t="s">
        <v>194</v>
      </c>
      <c r="D2878" t="s">
        <v>42</v>
      </c>
      <c r="E2878" t="s">
        <v>391</v>
      </c>
      <c r="F2878" t="s">
        <v>720</v>
      </c>
      <c r="G2878">
        <v>524000</v>
      </c>
      <c r="H2878">
        <v>540000</v>
      </c>
    </row>
    <row r="2879" spans="2:8" x14ac:dyDescent="0.25">
      <c r="B2879" t="str">
        <f t="shared" si="44"/>
        <v>ETHPopulation ages 75-79, female</v>
      </c>
      <c r="C2879" t="s">
        <v>194</v>
      </c>
      <c r="D2879" t="s">
        <v>42</v>
      </c>
      <c r="E2879" t="s">
        <v>392</v>
      </c>
      <c r="F2879" t="s">
        <v>721</v>
      </c>
      <c r="G2879">
        <v>380000</v>
      </c>
      <c r="H2879">
        <v>401000</v>
      </c>
    </row>
    <row r="2880" spans="2:8" x14ac:dyDescent="0.25">
      <c r="B2880" t="str">
        <f t="shared" si="44"/>
        <v>ETHPopulation ages 75-79, male</v>
      </c>
      <c r="C2880" t="s">
        <v>194</v>
      </c>
      <c r="D2880" t="s">
        <v>42</v>
      </c>
      <c r="E2880" t="s">
        <v>393</v>
      </c>
      <c r="F2880" t="s">
        <v>722</v>
      </c>
      <c r="G2880">
        <v>327000</v>
      </c>
      <c r="H2880">
        <v>340000</v>
      </c>
    </row>
    <row r="2881" spans="2:8" x14ac:dyDescent="0.25">
      <c r="B2881" t="str">
        <f t="shared" si="44"/>
        <v>ETHPopulation ages 80 and above, female</v>
      </c>
      <c r="C2881" t="s">
        <v>194</v>
      </c>
      <c r="D2881" t="s">
        <v>42</v>
      </c>
      <c r="E2881" t="s">
        <v>394</v>
      </c>
      <c r="F2881" t="s">
        <v>723</v>
      </c>
      <c r="G2881">
        <v>307000</v>
      </c>
      <c r="H2881">
        <v>314000</v>
      </c>
    </row>
    <row r="2882" spans="2:8" x14ac:dyDescent="0.25">
      <c r="B2882" t="str">
        <f t="shared" si="44"/>
        <v>ETHPopulation ages 80 and above, male</v>
      </c>
      <c r="C2882" t="s">
        <v>194</v>
      </c>
      <c r="D2882" t="s">
        <v>42</v>
      </c>
      <c r="E2882" t="s">
        <v>395</v>
      </c>
      <c r="F2882" t="s">
        <v>724</v>
      </c>
      <c r="G2882">
        <v>253000</v>
      </c>
      <c r="H2882">
        <v>255000</v>
      </c>
    </row>
    <row r="2883" spans="2:8" x14ac:dyDescent="0.25">
      <c r="B2883" t="str">
        <f t="shared" si="44"/>
        <v>ETHPopulation, male</v>
      </c>
      <c r="C2883" t="s">
        <v>194</v>
      </c>
      <c r="D2883" t="s">
        <v>42</v>
      </c>
      <c r="E2883" t="s">
        <v>397</v>
      </c>
      <c r="F2883" t="s">
        <v>725</v>
      </c>
      <c r="G2883">
        <v>56069000</v>
      </c>
      <c r="H2883">
        <v>57517000</v>
      </c>
    </row>
    <row r="2884" spans="2:8" x14ac:dyDescent="0.25">
      <c r="B2884" t="str">
        <f t="shared" si="44"/>
        <v>ETHPopulation, total</v>
      </c>
      <c r="C2884" t="s">
        <v>194</v>
      </c>
      <c r="D2884" t="s">
        <v>42</v>
      </c>
      <c r="E2884" t="s">
        <v>398</v>
      </c>
      <c r="F2884" t="s">
        <v>726</v>
      </c>
      <c r="G2884">
        <v>112079000</v>
      </c>
      <c r="H2884">
        <v>114964000</v>
      </c>
    </row>
    <row r="2885" spans="2:8" x14ac:dyDescent="0.25">
      <c r="B2885" t="str">
        <f t="shared" si="44"/>
        <v>ETHPopulation, female</v>
      </c>
      <c r="C2885" t="s">
        <v>194</v>
      </c>
      <c r="D2885" t="s">
        <v>42</v>
      </c>
      <c r="E2885" t="s">
        <v>396</v>
      </c>
      <c r="F2885" t="s">
        <v>727</v>
      </c>
      <c r="G2885">
        <v>56010000</v>
      </c>
      <c r="H2885">
        <v>57447000</v>
      </c>
    </row>
    <row r="2886" spans="2:8" x14ac:dyDescent="0.25">
      <c r="B2886" t="str">
        <f t="shared" si="44"/>
        <v>ETHPopulation growth (annual %)</v>
      </c>
      <c r="C2886" t="s">
        <v>194</v>
      </c>
      <c r="D2886" t="s">
        <v>42</v>
      </c>
      <c r="E2886" t="s">
        <v>399</v>
      </c>
      <c r="F2886" t="s">
        <v>728</v>
      </c>
      <c r="G2886">
        <v>0</v>
      </c>
      <c r="H2886">
        <v>0</v>
      </c>
    </row>
    <row r="2887" spans="2:8" x14ac:dyDescent="0.25">
      <c r="B2887" t="str">
        <f t="shared" ref="B2887:B2950" si="45">CONCATENATE(D2887,E2887)</f>
        <v>EMUPopulation ages 0-14, female</v>
      </c>
      <c r="C2887" t="s">
        <v>487</v>
      </c>
      <c r="D2887" t="s">
        <v>488</v>
      </c>
      <c r="E2887" t="s">
        <v>687</v>
      </c>
      <c r="F2887" t="s">
        <v>688</v>
      </c>
      <c r="G2887">
        <v>24960000</v>
      </c>
      <c r="H2887">
        <v>24846000</v>
      </c>
    </row>
    <row r="2888" spans="2:8" x14ac:dyDescent="0.25">
      <c r="B2888" t="str">
        <f t="shared" si="45"/>
        <v>EMUPopulation ages 0-14, male</v>
      </c>
      <c r="C2888" t="s">
        <v>487</v>
      </c>
      <c r="D2888" t="s">
        <v>488</v>
      </c>
      <c r="E2888" t="s">
        <v>689</v>
      </c>
      <c r="F2888" t="s">
        <v>690</v>
      </c>
      <c r="G2888">
        <v>26404000</v>
      </c>
      <c r="H2888">
        <v>26295000</v>
      </c>
    </row>
    <row r="2889" spans="2:8" x14ac:dyDescent="0.25">
      <c r="B2889" t="str">
        <f t="shared" si="45"/>
        <v>EMUPopulation ages 00-04, female</v>
      </c>
      <c r="C2889" t="s">
        <v>487</v>
      </c>
      <c r="D2889" t="s">
        <v>488</v>
      </c>
      <c r="E2889" t="s">
        <v>362</v>
      </c>
      <c r="F2889" t="s">
        <v>691</v>
      </c>
      <c r="G2889">
        <v>7949000</v>
      </c>
      <c r="H2889">
        <v>7893000</v>
      </c>
    </row>
    <row r="2890" spans="2:8" x14ac:dyDescent="0.25">
      <c r="B2890" t="str">
        <f t="shared" si="45"/>
        <v>EMUPopulation ages 00-04, male</v>
      </c>
      <c r="C2890" t="s">
        <v>487</v>
      </c>
      <c r="D2890" t="s">
        <v>488</v>
      </c>
      <c r="E2890" t="s">
        <v>363</v>
      </c>
      <c r="F2890" t="s">
        <v>692</v>
      </c>
      <c r="G2890">
        <v>8389000</v>
      </c>
      <c r="H2890">
        <v>8330000</v>
      </c>
    </row>
    <row r="2891" spans="2:8" x14ac:dyDescent="0.25">
      <c r="B2891" t="str">
        <f t="shared" si="45"/>
        <v>EMUPopulation ages 05-09, female</v>
      </c>
      <c r="C2891" t="s">
        <v>487</v>
      </c>
      <c r="D2891" t="s">
        <v>488</v>
      </c>
      <c r="E2891" t="s">
        <v>364</v>
      </c>
      <c r="F2891" t="s">
        <v>693</v>
      </c>
      <c r="G2891">
        <v>8386000</v>
      </c>
      <c r="H2891">
        <v>8324000</v>
      </c>
    </row>
    <row r="2892" spans="2:8" x14ac:dyDescent="0.25">
      <c r="B2892" t="str">
        <f t="shared" si="45"/>
        <v>EMUPopulation ages 05-09, male</v>
      </c>
      <c r="C2892" t="s">
        <v>487</v>
      </c>
      <c r="D2892" t="s">
        <v>488</v>
      </c>
      <c r="E2892" t="s">
        <v>365</v>
      </c>
      <c r="F2892" t="s">
        <v>694</v>
      </c>
      <c r="G2892">
        <v>8869000</v>
      </c>
      <c r="H2892">
        <v>8805000</v>
      </c>
    </row>
    <row r="2893" spans="2:8" x14ac:dyDescent="0.25">
      <c r="B2893" t="str">
        <f t="shared" si="45"/>
        <v>EMUPopulation ages 10-14, female</v>
      </c>
      <c r="C2893" t="s">
        <v>487</v>
      </c>
      <c r="D2893" t="s">
        <v>488</v>
      </c>
      <c r="E2893" t="s">
        <v>366</v>
      </c>
      <c r="F2893" t="s">
        <v>695</v>
      </c>
      <c r="G2893">
        <v>8621000</v>
      </c>
      <c r="H2893">
        <v>8628000</v>
      </c>
    </row>
    <row r="2894" spans="2:8" x14ac:dyDescent="0.25">
      <c r="B2894" t="str">
        <f t="shared" si="45"/>
        <v>EMUPopulation ages 10-14, male</v>
      </c>
      <c r="C2894" t="s">
        <v>487</v>
      </c>
      <c r="D2894" t="s">
        <v>488</v>
      </c>
      <c r="E2894" t="s">
        <v>367</v>
      </c>
      <c r="F2894" t="s">
        <v>696</v>
      </c>
      <c r="G2894">
        <v>9143000</v>
      </c>
      <c r="H2894">
        <v>9159000</v>
      </c>
    </row>
    <row r="2895" spans="2:8" x14ac:dyDescent="0.25">
      <c r="B2895" t="str">
        <f t="shared" si="45"/>
        <v>EMUPopulation ages 15-19, female</v>
      </c>
      <c r="C2895" t="s">
        <v>487</v>
      </c>
      <c r="D2895" t="s">
        <v>488</v>
      </c>
      <c r="E2895" t="s">
        <v>368</v>
      </c>
      <c r="F2895" t="s">
        <v>697</v>
      </c>
      <c r="G2895">
        <v>8595000</v>
      </c>
      <c r="H2895">
        <v>8593000</v>
      </c>
    </row>
    <row r="2896" spans="2:8" x14ac:dyDescent="0.25">
      <c r="B2896" t="str">
        <f t="shared" si="45"/>
        <v>EMUPopulation ages 15-19, male</v>
      </c>
      <c r="C2896" t="s">
        <v>487</v>
      </c>
      <c r="D2896" t="s">
        <v>488</v>
      </c>
      <c r="E2896" t="s">
        <v>369</v>
      </c>
      <c r="F2896" t="s">
        <v>698</v>
      </c>
      <c r="G2896">
        <v>9124000</v>
      </c>
      <c r="H2896">
        <v>9133000</v>
      </c>
    </row>
    <row r="2897" spans="2:8" x14ac:dyDescent="0.25">
      <c r="B2897" t="str">
        <f t="shared" si="45"/>
        <v>EMUPopulation ages 20-24, female</v>
      </c>
      <c r="C2897" t="s">
        <v>487</v>
      </c>
      <c r="D2897" t="s">
        <v>488</v>
      </c>
      <c r="E2897" t="s">
        <v>370</v>
      </c>
      <c r="F2897" t="s">
        <v>699</v>
      </c>
      <c r="G2897">
        <v>8890000</v>
      </c>
      <c r="H2897">
        <v>8829000</v>
      </c>
    </row>
    <row r="2898" spans="2:8" x14ac:dyDescent="0.25">
      <c r="B2898" t="str">
        <f t="shared" si="45"/>
        <v>EMUPopulation ages 20-24, male</v>
      </c>
      <c r="C2898" t="s">
        <v>487</v>
      </c>
      <c r="D2898" t="s">
        <v>488</v>
      </c>
      <c r="E2898" t="s">
        <v>371</v>
      </c>
      <c r="F2898" t="s">
        <v>700</v>
      </c>
      <c r="G2898">
        <v>9399000</v>
      </c>
      <c r="H2898">
        <v>9355000</v>
      </c>
    </row>
    <row r="2899" spans="2:8" x14ac:dyDescent="0.25">
      <c r="B2899" t="str">
        <f t="shared" si="45"/>
        <v>EMUPopulation ages 25-29, female</v>
      </c>
      <c r="C2899" t="s">
        <v>487</v>
      </c>
      <c r="D2899" t="s">
        <v>488</v>
      </c>
      <c r="E2899" t="s">
        <v>372</v>
      </c>
      <c r="F2899" t="s">
        <v>701</v>
      </c>
      <c r="G2899">
        <v>9512000</v>
      </c>
      <c r="H2899">
        <v>9394000</v>
      </c>
    </row>
    <row r="2900" spans="2:8" x14ac:dyDescent="0.25">
      <c r="B2900" t="str">
        <f t="shared" si="45"/>
        <v>EMUPopulation ages 25-29, male</v>
      </c>
      <c r="C2900" t="s">
        <v>487</v>
      </c>
      <c r="D2900" t="s">
        <v>488</v>
      </c>
      <c r="E2900" t="s">
        <v>373</v>
      </c>
      <c r="F2900" t="s">
        <v>702</v>
      </c>
      <c r="G2900">
        <v>9926000</v>
      </c>
      <c r="H2900">
        <v>9840000</v>
      </c>
    </row>
    <row r="2901" spans="2:8" x14ac:dyDescent="0.25">
      <c r="B2901" t="str">
        <f t="shared" si="45"/>
        <v>EMUPopulation ages 30-34, female</v>
      </c>
      <c r="C2901" t="s">
        <v>487</v>
      </c>
      <c r="D2901" t="s">
        <v>488</v>
      </c>
      <c r="E2901" t="s">
        <v>374</v>
      </c>
      <c r="F2901" t="s">
        <v>703</v>
      </c>
      <c r="G2901">
        <v>10423000</v>
      </c>
      <c r="H2901">
        <v>10292000</v>
      </c>
    </row>
    <row r="2902" spans="2:8" x14ac:dyDescent="0.25">
      <c r="B2902" t="str">
        <f t="shared" si="45"/>
        <v>EMUPopulation ages 30-34, male</v>
      </c>
      <c r="C2902" t="s">
        <v>487</v>
      </c>
      <c r="D2902" t="s">
        <v>488</v>
      </c>
      <c r="E2902" t="s">
        <v>375</v>
      </c>
      <c r="F2902" t="s">
        <v>704</v>
      </c>
      <c r="G2902">
        <v>10641000</v>
      </c>
      <c r="H2902">
        <v>10551000</v>
      </c>
    </row>
    <row r="2903" spans="2:8" x14ac:dyDescent="0.25">
      <c r="B2903" t="str">
        <f t="shared" si="45"/>
        <v>EMUPopulation ages 35-39, female</v>
      </c>
      <c r="C2903" t="s">
        <v>487</v>
      </c>
      <c r="D2903" t="s">
        <v>488</v>
      </c>
      <c r="E2903" t="s">
        <v>376</v>
      </c>
      <c r="F2903" t="s">
        <v>705</v>
      </c>
      <c r="G2903">
        <v>11117000</v>
      </c>
      <c r="H2903">
        <v>11032000</v>
      </c>
    </row>
    <row r="2904" spans="2:8" x14ac:dyDescent="0.25">
      <c r="B2904" t="str">
        <f t="shared" si="45"/>
        <v>EMUPopulation ages 35-39, male</v>
      </c>
      <c r="C2904" t="s">
        <v>487</v>
      </c>
      <c r="D2904" t="s">
        <v>488</v>
      </c>
      <c r="E2904" t="s">
        <v>377</v>
      </c>
      <c r="F2904" t="s">
        <v>706</v>
      </c>
      <c r="G2904">
        <v>11176000</v>
      </c>
      <c r="H2904">
        <v>11115000</v>
      </c>
    </row>
    <row r="2905" spans="2:8" x14ac:dyDescent="0.25">
      <c r="B2905" t="str">
        <f t="shared" si="45"/>
        <v>EMUPopulation ages 40-44, female</v>
      </c>
      <c r="C2905" t="s">
        <v>487</v>
      </c>
      <c r="D2905" t="s">
        <v>488</v>
      </c>
      <c r="E2905" t="s">
        <v>378</v>
      </c>
      <c r="F2905" t="s">
        <v>707</v>
      </c>
      <c r="G2905">
        <v>11588000</v>
      </c>
      <c r="H2905">
        <v>11482000</v>
      </c>
    </row>
    <row r="2906" spans="2:8" x14ac:dyDescent="0.25">
      <c r="B2906" t="str">
        <f t="shared" si="45"/>
        <v>EMUPopulation ages 40-44, male</v>
      </c>
      <c r="C2906" t="s">
        <v>487</v>
      </c>
      <c r="D2906" t="s">
        <v>488</v>
      </c>
      <c r="E2906" t="s">
        <v>379</v>
      </c>
      <c r="F2906" t="s">
        <v>708</v>
      </c>
      <c r="G2906">
        <v>11647000</v>
      </c>
      <c r="H2906">
        <v>11539000</v>
      </c>
    </row>
    <row r="2907" spans="2:8" x14ac:dyDescent="0.25">
      <c r="B2907" t="str">
        <f t="shared" si="45"/>
        <v>EMUPopulation ages 45-49, female</v>
      </c>
      <c r="C2907" t="s">
        <v>487</v>
      </c>
      <c r="D2907" t="s">
        <v>488</v>
      </c>
      <c r="E2907" t="s">
        <v>380</v>
      </c>
      <c r="F2907" t="s">
        <v>709</v>
      </c>
      <c r="G2907">
        <v>12332000</v>
      </c>
      <c r="H2907">
        <v>12161000</v>
      </c>
    </row>
    <row r="2908" spans="2:8" x14ac:dyDescent="0.25">
      <c r="B2908" t="str">
        <f t="shared" si="45"/>
        <v>EMUPopulation ages 45-49, male</v>
      </c>
      <c r="C2908" t="s">
        <v>487</v>
      </c>
      <c r="D2908" t="s">
        <v>488</v>
      </c>
      <c r="E2908" t="s">
        <v>381</v>
      </c>
      <c r="F2908" t="s">
        <v>710</v>
      </c>
      <c r="G2908">
        <v>12357000</v>
      </c>
      <c r="H2908">
        <v>12198000</v>
      </c>
    </row>
    <row r="2909" spans="2:8" x14ac:dyDescent="0.25">
      <c r="B2909" t="str">
        <f t="shared" si="45"/>
        <v>EMUPopulation ages 50-54, female</v>
      </c>
      <c r="C2909" t="s">
        <v>487</v>
      </c>
      <c r="D2909" t="s">
        <v>488</v>
      </c>
      <c r="E2909" t="s">
        <v>382</v>
      </c>
      <c r="F2909" t="s">
        <v>711</v>
      </c>
      <c r="G2909">
        <v>12997000</v>
      </c>
      <c r="H2909">
        <v>12895000</v>
      </c>
    </row>
    <row r="2910" spans="2:8" x14ac:dyDescent="0.25">
      <c r="B2910" t="str">
        <f t="shared" si="45"/>
        <v>EMUPopulation ages 50-54, male</v>
      </c>
      <c r="C2910" t="s">
        <v>487</v>
      </c>
      <c r="D2910" t="s">
        <v>488</v>
      </c>
      <c r="E2910" t="s">
        <v>383</v>
      </c>
      <c r="F2910" t="s">
        <v>712</v>
      </c>
      <c r="G2910">
        <v>12846000</v>
      </c>
      <c r="H2910">
        <v>12762000</v>
      </c>
    </row>
    <row r="2911" spans="2:8" x14ac:dyDescent="0.25">
      <c r="B2911" t="str">
        <f t="shared" si="45"/>
        <v>EMUPopulation ages 55-59, male</v>
      </c>
      <c r="C2911" t="s">
        <v>487</v>
      </c>
      <c r="D2911" t="s">
        <v>488</v>
      </c>
      <c r="E2911" t="s">
        <v>385</v>
      </c>
      <c r="F2911" t="s">
        <v>713</v>
      </c>
      <c r="G2911">
        <v>12235000</v>
      </c>
      <c r="H2911">
        <v>12398000</v>
      </c>
    </row>
    <row r="2912" spans="2:8" x14ac:dyDescent="0.25">
      <c r="B2912" t="str">
        <f t="shared" si="45"/>
        <v>EMUPopulation ages 55-59, female</v>
      </c>
      <c r="C2912" t="s">
        <v>487</v>
      </c>
      <c r="D2912" t="s">
        <v>488</v>
      </c>
      <c r="E2912" t="s">
        <v>384</v>
      </c>
      <c r="F2912" t="s">
        <v>714</v>
      </c>
      <c r="G2912">
        <v>12641000</v>
      </c>
      <c r="H2912">
        <v>12786000</v>
      </c>
    </row>
    <row r="2913" spans="2:8" x14ac:dyDescent="0.25">
      <c r="B2913" t="str">
        <f t="shared" si="45"/>
        <v>EMUPopulation ages 65-69, male</v>
      </c>
      <c r="C2913" t="s">
        <v>487</v>
      </c>
      <c r="D2913" t="s">
        <v>488</v>
      </c>
      <c r="E2913" t="s">
        <v>389</v>
      </c>
      <c r="F2913" t="s">
        <v>715</v>
      </c>
      <c r="G2913">
        <v>9115000</v>
      </c>
      <c r="H2913">
        <v>9208000</v>
      </c>
    </row>
    <row r="2914" spans="2:8" x14ac:dyDescent="0.25">
      <c r="B2914" t="str">
        <f t="shared" si="45"/>
        <v>EMUPopulation ages 65-69, female</v>
      </c>
      <c r="C2914" t="s">
        <v>487</v>
      </c>
      <c r="D2914" t="s">
        <v>488</v>
      </c>
      <c r="E2914" t="s">
        <v>388</v>
      </c>
      <c r="F2914" t="s">
        <v>716</v>
      </c>
      <c r="G2914">
        <v>10129000</v>
      </c>
      <c r="H2914">
        <v>10238000</v>
      </c>
    </row>
    <row r="2915" spans="2:8" x14ac:dyDescent="0.25">
      <c r="B2915" t="str">
        <f t="shared" si="45"/>
        <v>EMUPopulation ages 60-64, female</v>
      </c>
      <c r="C2915" t="s">
        <v>487</v>
      </c>
      <c r="D2915" t="s">
        <v>488</v>
      </c>
      <c r="E2915" t="s">
        <v>386</v>
      </c>
      <c r="F2915" t="s">
        <v>717</v>
      </c>
      <c r="G2915">
        <v>11241000</v>
      </c>
      <c r="H2915">
        <v>11446000</v>
      </c>
    </row>
    <row r="2916" spans="2:8" x14ac:dyDescent="0.25">
      <c r="B2916" t="str">
        <f t="shared" si="45"/>
        <v>EMUPopulation ages 60-64, male</v>
      </c>
      <c r="C2916" t="s">
        <v>487</v>
      </c>
      <c r="D2916" t="s">
        <v>488</v>
      </c>
      <c r="E2916" t="s">
        <v>387</v>
      </c>
      <c r="F2916" t="s">
        <v>718</v>
      </c>
      <c r="G2916">
        <v>10520000</v>
      </c>
      <c r="H2916">
        <v>10740000</v>
      </c>
    </row>
    <row r="2917" spans="2:8" x14ac:dyDescent="0.25">
      <c r="B2917" t="str">
        <f t="shared" si="45"/>
        <v>EMUPopulation ages 70-74, female</v>
      </c>
      <c r="C2917" t="s">
        <v>487</v>
      </c>
      <c r="D2917" t="s">
        <v>488</v>
      </c>
      <c r="E2917" t="s">
        <v>390</v>
      </c>
      <c r="F2917" t="s">
        <v>719</v>
      </c>
      <c r="G2917">
        <v>9068000</v>
      </c>
      <c r="H2917">
        <v>9260000</v>
      </c>
    </row>
    <row r="2918" spans="2:8" x14ac:dyDescent="0.25">
      <c r="B2918" t="str">
        <f t="shared" si="45"/>
        <v>EMUPopulation ages 70-74, male</v>
      </c>
      <c r="C2918" t="s">
        <v>487</v>
      </c>
      <c r="D2918" t="s">
        <v>488</v>
      </c>
      <c r="E2918" t="s">
        <v>391</v>
      </c>
      <c r="F2918" t="s">
        <v>720</v>
      </c>
      <c r="G2918">
        <v>7856000</v>
      </c>
      <c r="H2918">
        <v>8017000</v>
      </c>
    </row>
    <row r="2919" spans="2:8" x14ac:dyDescent="0.25">
      <c r="B2919" t="str">
        <f t="shared" si="45"/>
        <v>EMUPopulation ages 75-79, female</v>
      </c>
      <c r="C2919" t="s">
        <v>487</v>
      </c>
      <c r="D2919" t="s">
        <v>488</v>
      </c>
      <c r="E2919" t="s">
        <v>392</v>
      </c>
      <c r="F2919" t="s">
        <v>721</v>
      </c>
      <c r="G2919">
        <v>7435100</v>
      </c>
      <c r="H2919">
        <v>7504500</v>
      </c>
    </row>
    <row r="2920" spans="2:8" x14ac:dyDescent="0.25">
      <c r="B2920" t="str">
        <f t="shared" si="45"/>
        <v>EMUPopulation ages 75-79, male</v>
      </c>
      <c r="C2920" t="s">
        <v>487</v>
      </c>
      <c r="D2920" t="s">
        <v>488</v>
      </c>
      <c r="E2920" t="s">
        <v>393</v>
      </c>
      <c r="F2920" t="s">
        <v>722</v>
      </c>
      <c r="G2920">
        <v>5906800</v>
      </c>
      <c r="H2920">
        <v>5999700</v>
      </c>
    </row>
    <row r="2921" spans="2:8" x14ac:dyDescent="0.25">
      <c r="B2921" t="str">
        <f t="shared" si="45"/>
        <v>EMUPopulation ages 80 and above, female</v>
      </c>
      <c r="C2921" t="s">
        <v>487</v>
      </c>
      <c r="D2921" t="s">
        <v>488</v>
      </c>
      <c r="E2921" t="s">
        <v>394</v>
      </c>
      <c r="F2921" t="s">
        <v>723</v>
      </c>
      <c r="G2921">
        <v>13694000</v>
      </c>
      <c r="H2921">
        <v>13825000</v>
      </c>
    </row>
    <row r="2922" spans="2:8" x14ac:dyDescent="0.25">
      <c r="B2922" t="str">
        <f t="shared" si="45"/>
        <v>EMUPopulation ages 80 and above, male</v>
      </c>
      <c r="C2922" t="s">
        <v>487</v>
      </c>
      <c r="D2922" t="s">
        <v>488</v>
      </c>
      <c r="E2922" t="s">
        <v>395</v>
      </c>
      <c r="F2922" t="s">
        <v>724</v>
      </c>
      <c r="G2922">
        <v>8108000</v>
      </c>
      <c r="H2922">
        <v>8249400</v>
      </c>
    </row>
    <row r="2923" spans="2:8" x14ac:dyDescent="0.25">
      <c r="B2923" t="str">
        <f t="shared" si="45"/>
        <v>EMUPopulation, male</v>
      </c>
      <c r="C2923" t="s">
        <v>487</v>
      </c>
      <c r="D2923" t="s">
        <v>488</v>
      </c>
      <c r="E2923" t="s">
        <v>397</v>
      </c>
      <c r="F2923" t="s">
        <v>725</v>
      </c>
      <c r="G2923">
        <v>167266000</v>
      </c>
      <c r="H2923">
        <v>167399000</v>
      </c>
    </row>
    <row r="2924" spans="2:8" x14ac:dyDescent="0.25">
      <c r="B2924" t="str">
        <f t="shared" si="45"/>
        <v>EMUPopulation, total</v>
      </c>
      <c r="C2924" t="s">
        <v>487</v>
      </c>
      <c r="D2924" t="s">
        <v>488</v>
      </c>
      <c r="E2924" t="s">
        <v>398</v>
      </c>
      <c r="F2924" t="s">
        <v>726</v>
      </c>
      <c r="G2924">
        <v>341888000</v>
      </c>
      <c r="H2924">
        <v>341989000</v>
      </c>
    </row>
    <row r="2925" spans="2:8" x14ac:dyDescent="0.25">
      <c r="B2925" t="str">
        <f t="shared" si="45"/>
        <v>EMUPopulation, female</v>
      </c>
      <c r="C2925" t="s">
        <v>487</v>
      </c>
      <c r="D2925" t="s">
        <v>488</v>
      </c>
      <c r="E2925" t="s">
        <v>396</v>
      </c>
      <c r="F2925" t="s">
        <v>727</v>
      </c>
      <c r="G2925">
        <v>174620000</v>
      </c>
      <c r="H2925">
        <v>174590000</v>
      </c>
    </row>
    <row r="2926" spans="2:8" x14ac:dyDescent="0.25">
      <c r="B2926" t="str">
        <f t="shared" si="45"/>
        <v>EMUPopulation growth (annual %)</v>
      </c>
      <c r="C2926" t="s">
        <v>487</v>
      </c>
      <c r="D2926" t="s">
        <v>488</v>
      </c>
      <c r="E2926" t="s">
        <v>399</v>
      </c>
      <c r="F2926" t="s">
        <v>728</v>
      </c>
      <c r="G2926">
        <v>3.0671200016456623E-2</v>
      </c>
      <c r="H2926">
        <v>2.9541838262829856E-2</v>
      </c>
    </row>
    <row r="2927" spans="2:8" x14ac:dyDescent="0.25">
      <c r="B2927" t="str">
        <f t="shared" si="45"/>
        <v>ECSPopulation ages 0-14, female</v>
      </c>
      <c r="C2927" t="s">
        <v>489</v>
      </c>
      <c r="D2927" t="s">
        <v>490</v>
      </c>
      <c r="E2927" t="s">
        <v>687</v>
      </c>
      <c r="F2927" t="s">
        <v>688</v>
      </c>
      <c r="G2927">
        <v>80701000</v>
      </c>
      <c r="H2927">
        <v>80885000</v>
      </c>
    </row>
    <row r="2928" spans="2:8" x14ac:dyDescent="0.25">
      <c r="B2928" t="str">
        <f t="shared" si="45"/>
        <v>ECSPopulation ages 0-14, male</v>
      </c>
      <c r="C2928" t="s">
        <v>489</v>
      </c>
      <c r="D2928" t="s">
        <v>490</v>
      </c>
      <c r="E2928" t="s">
        <v>689</v>
      </c>
      <c r="F2928" t="s">
        <v>690</v>
      </c>
      <c r="G2928">
        <v>85221000</v>
      </c>
      <c r="H2928">
        <v>85426000</v>
      </c>
    </row>
    <row r="2929" spans="2:8" x14ac:dyDescent="0.25">
      <c r="B2929" t="str">
        <f t="shared" si="45"/>
        <v>ECSPopulation ages 00-04, female</v>
      </c>
      <c r="C2929" t="s">
        <v>489</v>
      </c>
      <c r="D2929" t="s">
        <v>490</v>
      </c>
      <c r="E2929" t="s">
        <v>362</v>
      </c>
      <c r="F2929" t="s">
        <v>691</v>
      </c>
      <c r="G2929">
        <v>26975300</v>
      </c>
      <c r="H2929">
        <v>26713200</v>
      </c>
    </row>
    <row r="2930" spans="2:8" x14ac:dyDescent="0.25">
      <c r="B2930" t="str">
        <f t="shared" si="45"/>
        <v>ECSPopulation ages 00-04, male</v>
      </c>
      <c r="C2930" t="s">
        <v>489</v>
      </c>
      <c r="D2930" t="s">
        <v>490</v>
      </c>
      <c r="E2930" t="s">
        <v>363</v>
      </c>
      <c r="F2930" t="s">
        <v>692</v>
      </c>
      <c r="G2930">
        <v>28488400</v>
      </c>
      <c r="H2930">
        <v>28204500</v>
      </c>
    </row>
    <row r="2931" spans="2:8" x14ac:dyDescent="0.25">
      <c r="B2931" t="str">
        <f t="shared" si="45"/>
        <v>ECSPopulation ages 05-09, female</v>
      </c>
      <c r="C2931" t="s">
        <v>489</v>
      </c>
      <c r="D2931" t="s">
        <v>490</v>
      </c>
      <c r="E2931" t="s">
        <v>364</v>
      </c>
      <c r="F2931" t="s">
        <v>693</v>
      </c>
      <c r="G2931">
        <v>27515300</v>
      </c>
      <c r="H2931">
        <v>27579400</v>
      </c>
    </row>
    <row r="2932" spans="2:8" x14ac:dyDescent="0.25">
      <c r="B2932" t="str">
        <f t="shared" si="45"/>
        <v>ECSPopulation ages 05-09, male</v>
      </c>
      <c r="C2932" t="s">
        <v>489</v>
      </c>
      <c r="D2932" t="s">
        <v>490</v>
      </c>
      <c r="E2932" t="s">
        <v>365</v>
      </c>
      <c r="F2932" t="s">
        <v>694</v>
      </c>
      <c r="G2932">
        <v>29055400</v>
      </c>
      <c r="H2932">
        <v>29136400</v>
      </c>
    </row>
    <row r="2933" spans="2:8" x14ac:dyDescent="0.25">
      <c r="B2933" t="str">
        <f t="shared" si="45"/>
        <v>ECSPopulation ages 10-14, female</v>
      </c>
      <c r="C2933" t="s">
        <v>489</v>
      </c>
      <c r="D2933" t="s">
        <v>490</v>
      </c>
      <c r="E2933" t="s">
        <v>366</v>
      </c>
      <c r="F2933" t="s">
        <v>695</v>
      </c>
      <c r="G2933">
        <v>26211100</v>
      </c>
      <c r="H2933">
        <v>26587100</v>
      </c>
    </row>
    <row r="2934" spans="2:8" x14ac:dyDescent="0.25">
      <c r="B2934" t="str">
        <f t="shared" si="45"/>
        <v>ECSPopulation ages 10-14, male</v>
      </c>
      <c r="C2934" t="s">
        <v>489</v>
      </c>
      <c r="D2934" t="s">
        <v>490</v>
      </c>
      <c r="E2934" t="s">
        <v>367</v>
      </c>
      <c r="F2934" t="s">
        <v>696</v>
      </c>
      <c r="G2934">
        <v>27674400</v>
      </c>
      <c r="H2934">
        <v>28089400</v>
      </c>
    </row>
    <row r="2935" spans="2:8" x14ac:dyDescent="0.25">
      <c r="B2935" t="str">
        <f t="shared" si="45"/>
        <v>ECSPopulation ages 15-19, female</v>
      </c>
      <c r="C2935" t="s">
        <v>489</v>
      </c>
      <c r="D2935" t="s">
        <v>490</v>
      </c>
      <c r="E2935" t="s">
        <v>368</v>
      </c>
      <c r="F2935" t="s">
        <v>697</v>
      </c>
      <c r="G2935">
        <v>24729600</v>
      </c>
      <c r="H2935">
        <v>24851600</v>
      </c>
    </row>
    <row r="2936" spans="2:8" x14ac:dyDescent="0.25">
      <c r="B2936" t="str">
        <f t="shared" si="45"/>
        <v>ECSPopulation ages 15-19, male</v>
      </c>
      <c r="C2936" t="s">
        <v>489</v>
      </c>
      <c r="D2936" t="s">
        <v>490</v>
      </c>
      <c r="E2936" t="s">
        <v>369</v>
      </c>
      <c r="F2936" t="s">
        <v>698</v>
      </c>
      <c r="G2936">
        <v>26067800</v>
      </c>
      <c r="H2936">
        <v>26216800</v>
      </c>
    </row>
    <row r="2937" spans="2:8" x14ac:dyDescent="0.25">
      <c r="B2937" t="str">
        <f t="shared" si="45"/>
        <v>ECSPopulation ages 20-24, female</v>
      </c>
      <c r="C2937" t="s">
        <v>489</v>
      </c>
      <c r="D2937" t="s">
        <v>490</v>
      </c>
      <c r="E2937" t="s">
        <v>370</v>
      </c>
      <c r="F2937" t="s">
        <v>699</v>
      </c>
      <c r="G2937">
        <v>26058000</v>
      </c>
      <c r="H2937">
        <v>25586100</v>
      </c>
    </row>
    <row r="2938" spans="2:8" x14ac:dyDescent="0.25">
      <c r="B2938" t="str">
        <f t="shared" si="45"/>
        <v>ECSPopulation ages 20-24, male</v>
      </c>
      <c r="C2938" t="s">
        <v>489</v>
      </c>
      <c r="D2938" t="s">
        <v>490</v>
      </c>
      <c r="E2938" t="s">
        <v>371</v>
      </c>
      <c r="F2938" t="s">
        <v>700</v>
      </c>
      <c r="G2938">
        <v>27332400</v>
      </c>
      <c r="H2938">
        <v>26865400</v>
      </c>
    </row>
    <row r="2939" spans="2:8" x14ac:dyDescent="0.25">
      <c r="B2939" t="str">
        <f t="shared" si="45"/>
        <v>ECSPopulation ages 25-29, female</v>
      </c>
      <c r="C2939" t="s">
        <v>489</v>
      </c>
      <c r="D2939" t="s">
        <v>490</v>
      </c>
      <c r="E2939" t="s">
        <v>372</v>
      </c>
      <c r="F2939" t="s">
        <v>701</v>
      </c>
      <c r="G2939">
        <v>29847500</v>
      </c>
      <c r="H2939">
        <v>29024500</v>
      </c>
    </row>
    <row r="2940" spans="2:8" x14ac:dyDescent="0.25">
      <c r="B2940" t="str">
        <f t="shared" si="45"/>
        <v>ECSPopulation ages 25-29, male</v>
      </c>
      <c r="C2940" t="s">
        <v>489</v>
      </c>
      <c r="D2940" t="s">
        <v>490</v>
      </c>
      <c r="E2940" t="s">
        <v>373</v>
      </c>
      <c r="F2940" t="s">
        <v>702</v>
      </c>
      <c r="G2940">
        <v>30982700</v>
      </c>
      <c r="H2940">
        <v>30206800</v>
      </c>
    </row>
    <row r="2941" spans="2:8" x14ac:dyDescent="0.25">
      <c r="B2941" t="str">
        <f t="shared" si="45"/>
        <v>ECSPopulation ages 30-34, female</v>
      </c>
      <c r="C2941" t="s">
        <v>489</v>
      </c>
      <c r="D2941" t="s">
        <v>490</v>
      </c>
      <c r="E2941" t="s">
        <v>374</v>
      </c>
      <c r="F2941" t="s">
        <v>703</v>
      </c>
      <c r="G2941">
        <v>33201800</v>
      </c>
      <c r="H2941">
        <v>32938800</v>
      </c>
    </row>
    <row r="2942" spans="2:8" x14ac:dyDescent="0.25">
      <c r="B2942" t="str">
        <f t="shared" si="45"/>
        <v>ECSPopulation ages 30-34, male</v>
      </c>
      <c r="C2942" t="s">
        <v>489</v>
      </c>
      <c r="D2942" t="s">
        <v>490</v>
      </c>
      <c r="E2942" t="s">
        <v>375</v>
      </c>
      <c r="F2942" t="s">
        <v>704</v>
      </c>
      <c r="G2942">
        <v>33851900</v>
      </c>
      <c r="H2942">
        <v>33665900</v>
      </c>
    </row>
    <row r="2943" spans="2:8" x14ac:dyDescent="0.25">
      <c r="B2943" t="str">
        <f t="shared" si="45"/>
        <v>ECSPopulation ages 35-39, female</v>
      </c>
      <c r="C2943" t="s">
        <v>489</v>
      </c>
      <c r="D2943" t="s">
        <v>490</v>
      </c>
      <c r="E2943" t="s">
        <v>376</v>
      </c>
      <c r="F2943" t="s">
        <v>705</v>
      </c>
      <c r="G2943">
        <v>32639900</v>
      </c>
      <c r="H2943">
        <v>32789900</v>
      </c>
    </row>
    <row r="2944" spans="2:8" x14ac:dyDescent="0.25">
      <c r="B2944" t="str">
        <f t="shared" si="45"/>
        <v>ECSPopulation ages 35-39, male</v>
      </c>
      <c r="C2944" t="s">
        <v>489</v>
      </c>
      <c r="D2944" t="s">
        <v>490</v>
      </c>
      <c r="E2944" t="s">
        <v>377</v>
      </c>
      <c r="F2944" t="s">
        <v>706</v>
      </c>
      <c r="G2944">
        <v>32758100</v>
      </c>
      <c r="H2944">
        <v>32996200</v>
      </c>
    </row>
    <row r="2945" spans="2:8" x14ac:dyDescent="0.25">
      <c r="B2945" t="str">
        <f t="shared" si="45"/>
        <v>ECSPopulation ages 40-44, female</v>
      </c>
      <c r="C2945" t="s">
        <v>489</v>
      </c>
      <c r="D2945" t="s">
        <v>490</v>
      </c>
      <c r="E2945" t="s">
        <v>378</v>
      </c>
      <c r="F2945" t="s">
        <v>707</v>
      </c>
      <c r="G2945">
        <v>31943900</v>
      </c>
      <c r="H2945">
        <v>32031800</v>
      </c>
    </row>
    <row r="2946" spans="2:8" x14ac:dyDescent="0.25">
      <c r="B2946" t="str">
        <f t="shared" si="45"/>
        <v>ECSPopulation ages 40-44, male</v>
      </c>
      <c r="C2946" t="s">
        <v>489</v>
      </c>
      <c r="D2946" t="s">
        <v>490</v>
      </c>
      <c r="E2946" t="s">
        <v>379</v>
      </c>
      <c r="F2946" t="s">
        <v>708</v>
      </c>
      <c r="G2946">
        <v>31511900</v>
      </c>
      <c r="H2946">
        <v>31640800</v>
      </c>
    </row>
    <row r="2947" spans="2:8" x14ac:dyDescent="0.25">
      <c r="B2947" t="str">
        <f t="shared" si="45"/>
        <v>ECSPopulation ages 45-49, female</v>
      </c>
      <c r="C2947" t="s">
        <v>489</v>
      </c>
      <c r="D2947" t="s">
        <v>490</v>
      </c>
      <c r="E2947" t="s">
        <v>380</v>
      </c>
      <c r="F2947" t="s">
        <v>709</v>
      </c>
      <c r="G2947">
        <v>31448800</v>
      </c>
      <c r="H2947">
        <v>31521700</v>
      </c>
    </row>
    <row r="2948" spans="2:8" x14ac:dyDescent="0.25">
      <c r="B2948" t="str">
        <f t="shared" si="45"/>
        <v>ECSPopulation ages 45-49, male</v>
      </c>
      <c r="C2948" t="s">
        <v>489</v>
      </c>
      <c r="D2948" t="s">
        <v>490</v>
      </c>
      <c r="E2948" t="s">
        <v>381</v>
      </c>
      <c r="F2948" t="s">
        <v>710</v>
      </c>
      <c r="G2948">
        <v>30637700</v>
      </c>
      <c r="H2948">
        <v>30745600</v>
      </c>
    </row>
    <row r="2949" spans="2:8" x14ac:dyDescent="0.25">
      <c r="B2949" t="str">
        <f t="shared" si="45"/>
        <v>ECSPopulation ages 50-54, female</v>
      </c>
      <c r="C2949" t="s">
        <v>489</v>
      </c>
      <c r="D2949" t="s">
        <v>490</v>
      </c>
      <c r="E2949" t="s">
        <v>382</v>
      </c>
      <c r="F2949" t="s">
        <v>711</v>
      </c>
      <c r="G2949">
        <v>31274900</v>
      </c>
      <c r="H2949">
        <v>31026000</v>
      </c>
    </row>
    <row r="2950" spans="2:8" x14ac:dyDescent="0.25">
      <c r="B2950" t="str">
        <f t="shared" si="45"/>
        <v>ECSPopulation ages 50-54, male</v>
      </c>
      <c r="C2950" t="s">
        <v>489</v>
      </c>
      <c r="D2950" t="s">
        <v>490</v>
      </c>
      <c r="E2950" t="s">
        <v>383</v>
      </c>
      <c r="F2950" t="s">
        <v>712</v>
      </c>
      <c r="G2950">
        <v>29732700</v>
      </c>
      <c r="H2950">
        <v>29587800</v>
      </c>
    </row>
    <row r="2951" spans="2:8" x14ac:dyDescent="0.25">
      <c r="B2951" t="str">
        <f t="shared" ref="B2951:B3014" si="46">CONCATENATE(D2951,E2951)</f>
        <v>ECSPopulation ages 55-59, male</v>
      </c>
      <c r="C2951" t="s">
        <v>489</v>
      </c>
      <c r="D2951" t="s">
        <v>490</v>
      </c>
      <c r="E2951" t="s">
        <v>385</v>
      </c>
      <c r="F2951" t="s">
        <v>713</v>
      </c>
      <c r="G2951">
        <v>29169000</v>
      </c>
      <c r="H2951">
        <v>29292100</v>
      </c>
    </row>
    <row r="2952" spans="2:8" x14ac:dyDescent="0.25">
      <c r="B2952" t="str">
        <f t="shared" si="46"/>
        <v>ECSPopulation ages 55-59, female</v>
      </c>
      <c r="C2952" t="s">
        <v>489</v>
      </c>
      <c r="D2952" t="s">
        <v>490</v>
      </c>
      <c r="E2952" t="s">
        <v>384</v>
      </c>
      <c r="F2952" t="s">
        <v>714</v>
      </c>
      <c r="G2952">
        <v>31932200</v>
      </c>
      <c r="H2952">
        <v>31937300</v>
      </c>
    </row>
    <row r="2953" spans="2:8" x14ac:dyDescent="0.25">
      <c r="B2953" t="str">
        <f t="shared" si="46"/>
        <v>ECSPopulation ages 65-69, male</v>
      </c>
      <c r="C2953" t="s">
        <v>489</v>
      </c>
      <c r="D2953" t="s">
        <v>490</v>
      </c>
      <c r="E2953" t="s">
        <v>389</v>
      </c>
      <c r="F2953" t="s">
        <v>715</v>
      </c>
      <c r="G2953">
        <v>21020300</v>
      </c>
      <c r="H2953">
        <v>21451700</v>
      </c>
    </row>
    <row r="2954" spans="2:8" x14ac:dyDescent="0.25">
      <c r="B2954" t="str">
        <f t="shared" si="46"/>
        <v>ECSPopulation ages 65-69, female</v>
      </c>
      <c r="C2954" t="s">
        <v>489</v>
      </c>
      <c r="D2954" t="s">
        <v>490</v>
      </c>
      <c r="E2954" t="s">
        <v>388</v>
      </c>
      <c r="F2954" t="s">
        <v>716</v>
      </c>
      <c r="G2954">
        <v>26012300</v>
      </c>
      <c r="H2954">
        <v>26607700</v>
      </c>
    </row>
    <row r="2955" spans="2:8" x14ac:dyDescent="0.25">
      <c r="B2955" t="str">
        <f t="shared" si="46"/>
        <v>ECSPopulation ages 60-64, female</v>
      </c>
      <c r="C2955" t="s">
        <v>489</v>
      </c>
      <c r="D2955" t="s">
        <v>490</v>
      </c>
      <c r="E2955" t="s">
        <v>386</v>
      </c>
      <c r="F2955" t="s">
        <v>717</v>
      </c>
      <c r="G2955">
        <v>29543300</v>
      </c>
      <c r="H2955">
        <v>29869400</v>
      </c>
    </row>
    <row r="2956" spans="2:8" x14ac:dyDescent="0.25">
      <c r="B2956" t="str">
        <f t="shared" si="46"/>
        <v>ECSPopulation ages 60-64, male</v>
      </c>
      <c r="C2956" t="s">
        <v>489</v>
      </c>
      <c r="D2956" t="s">
        <v>490</v>
      </c>
      <c r="E2956" t="s">
        <v>387</v>
      </c>
      <c r="F2956" t="s">
        <v>718</v>
      </c>
      <c r="G2956">
        <v>25438100</v>
      </c>
      <c r="H2956">
        <v>25852200</v>
      </c>
    </row>
    <row r="2957" spans="2:8" x14ac:dyDescent="0.25">
      <c r="B2957" t="str">
        <f t="shared" si="46"/>
        <v>ECSPopulation ages 70-74, female</v>
      </c>
      <c r="C2957" t="s">
        <v>489</v>
      </c>
      <c r="D2957" t="s">
        <v>490</v>
      </c>
      <c r="E2957" t="s">
        <v>390</v>
      </c>
      <c r="F2957" t="s">
        <v>719</v>
      </c>
      <c r="G2957">
        <v>20695900</v>
      </c>
      <c r="H2957">
        <v>21502300</v>
      </c>
    </row>
    <row r="2958" spans="2:8" x14ac:dyDescent="0.25">
      <c r="B2958" t="str">
        <f t="shared" si="46"/>
        <v>ECSPopulation ages 70-74, male</v>
      </c>
      <c r="C2958" t="s">
        <v>489</v>
      </c>
      <c r="D2958" t="s">
        <v>490</v>
      </c>
      <c r="E2958" t="s">
        <v>391</v>
      </c>
      <c r="F2958" t="s">
        <v>720</v>
      </c>
      <c r="G2958">
        <v>16095200</v>
      </c>
      <c r="H2958">
        <v>16672000</v>
      </c>
    </row>
    <row r="2959" spans="2:8" x14ac:dyDescent="0.25">
      <c r="B2959" t="str">
        <f t="shared" si="46"/>
        <v>ECSPopulation ages 75-79, female</v>
      </c>
      <c r="C2959" t="s">
        <v>489</v>
      </c>
      <c r="D2959" t="s">
        <v>490</v>
      </c>
      <c r="E2959" t="s">
        <v>392</v>
      </c>
      <c r="F2959" t="s">
        <v>721</v>
      </c>
      <c r="G2959">
        <v>15967100</v>
      </c>
      <c r="H2959">
        <v>16014400</v>
      </c>
    </row>
    <row r="2960" spans="2:8" x14ac:dyDescent="0.25">
      <c r="B2960" t="str">
        <f t="shared" si="46"/>
        <v>ECSPopulation ages 75-79, male</v>
      </c>
      <c r="C2960" t="s">
        <v>489</v>
      </c>
      <c r="D2960" t="s">
        <v>490</v>
      </c>
      <c r="E2960" t="s">
        <v>393</v>
      </c>
      <c r="F2960" t="s">
        <v>722</v>
      </c>
      <c r="G2960">
        <v>11107900</v>
      </c>
      <c r="H2960">
        <v>11275400</v>
      </c>
    </row>
    <row r="2961" spans="2:8" x14ac:dyDescent="0.25">
      <c r="B2961" t="str">
        <f t="shared" si="46"/>
        <v>ECSPopulation ages 80 and above, female</v>
      </c>
      <c r="C2961" t="s">
        <v>489</v>
      </c>
      <c r="D2961" t="s">
        <v>490</v>
      </c>
      <c r="E2961" t="s">
        <v>394</v>
      </c>
      <c r="F2961" t="s">
        <v>723</v>
      </c>
      <c r="G2961">
        <v>27269800</v>
      </c>
      <c r="H2961">
        <v>27459900</v>
      </c>
    </row>
    <row r="2962" spans="2:8" x14ac:dyDescent="0.25">
      <c r="B2962" t="str">
        <f t="shared" si="46"/>
        <v>ECSPopulation ages 80 and above, male</v>
      </c>
      <c r="C2962" t="s">
        <v>489</v>
      </c>
      <c r="D2962" t="s">
        <v>490</v>
      </c>
      <c r="E2962" t="s">
        <v>395</v>
      </c>
      <c r="F2962" t="s">
        <v>724</v>
      </c>
      <c r="G2962">
        <v>14505400</v>
      </c>
      <c r="H2962">
        <v>14601400</v>
      </c>
    </row>
    <row r="2963" spans="2:8" x14ac:dyDescent="0.25">
      <c r="B2963" t="str">
        <f t="shared" si="46"/>
        <v>ECSPopulation, male</v>
      </c>
      <c r="C2963" t="s">
        <v>489</v>
      </c>
      <c r="D2963" t="s">
        <v>490</v>
      </c>
      <c r="E2963" t="s">
        <v>397</v>
      </c>
      <c r="F2963" t="s">
        <v>725</v>
      </c>
      <c r="G2963">
        <v>445429000</v>
      </c>
      <c r="H2963">
        <v>446502000</v>
      </c>
    </row>
    <row r="2964" spans="2:8" x14ac:dyDescent="0.25">
      <c r="B2964" t="str">
        <f t="shared" si="46"/>
        <v>ECSPopulation, total</v>
      </c>
      <c r="C2964" t="s">
        <v>489</v>
      </c>
      <c r="D2964" t="s">
        <v>490</v>
      </c>
      <c r="E2964" t="s">
        <v>398</v>
      </c>
      <c r="F2964" t="s">
        <v>726</v>
      </c>
      <c r="G2964">
        <v>920901000</v>
      </c>
      <c r="H2964">
        <v>922779000</v>
      </c>
    </row>
    <row r="2965" spans="2:8" x14ac:dyDescent="0.25">
      <c r="B2965" t="str">
        <f t="shared" si="46"/>
        <v>ECSPopulation, female</v>
      </c>
      <c r="C2965" t="s">
        <v>489</v>
      </c>
      <c r="D2965" t="s">
        <v>490</v>
      </c>
      <c r="E2965" t="s">
        <v>396</v>
      </c>
      <c r="F2965" t="s">
        <v>727</v>
      </c>
      <c r="G2965">
        <v>473256000</v>
      </c>
      <c r="H2965">
        <v>474050000</v>
      </c>
    </row>
    <row r="2966" spans="2:8" x14ac:dyDescent="0.25">
      <c r="B2966" t="str">
        <f t="shared" si="46"/>
        <v>ECSPopulation growth (annual %)</v>
      </c>
      <c r="C2966" t="s">
        <v>489</v>
      </c>
      <c r="D2966" t="s">
        <v>490</v>
      </c>
      <c r="E2966" t="s">
        <v>399</v>
      </c>
      <c r="F2966" t="s">
        <v>728</v>
      </c>
      <c r="G2966">
        <v>0.22936707688612046</v>
      </c>
      <c r="H2966">
        <v>0.20393071567954735</v>
      </c>
    </row>
    <row r="2967" spans="2:8" x14ac:dyDescent="0.25">
      <c r="B2967" t="str">
        <f t="shared" si="46"/>
        <v>ECAPopulation ages 0-14, female</v>
      </c>
      <c r="C2967" t="s">
        <v>491</v>
      </c>
      <c r="D2967" t="s">
        <v>492</v>
      </c>
      <c r="E2967" t="s">
        <v>687</v>
      </c>
      <c r="F2967" t="s">
        <v>688</v>
      </c>
      <c r="G2967">
        <v>42937000</v>
      </c>
      <c r="H2967">
        <v>43206000</v>
      </c>
    </row>
    <row r="2968" spans="2:8" x14ac:dyDescent="0.25">
      <c r="B2968" t="str">
        <f t="shared" si="46"/>
        <v>ECAPopulation ages 0-14, male</v>
      </c>
      <c r="C2968" t="s">
        <v>491</v>
      </c>
      <c r="D2968" t="s">
        <v>492</v>
      </c>
      <c r="E2968" t="s">
        <v>689</v>
      </c>
      <c r="F2968" t="s">
        <v>690</v>
      </c>
      <c r="G2968">
        <v>45362000</v>
      </c>
      <c r="H2968">
        <v>45643000</v>
      </c>
    </row>
    <row r="2969" spans="2:8" x14ac:dyDescent="0.25">
      <c r="B2969" t="str">
        <f t="shared" si="46"/>
        <v>ECAPopulation ages 00-04, female</v>
      </c>
      <c r="C2969" t="s">
        <v>491</v>
      </c>
      <c r="D2969" t="s">
        <v>492</v>
      </c>
      <c r="E2969" t="s">
        <v>362</v>
      </c>
      <c r="F2969" t="s">
        <v>691</v>
      </c>
      <c r="G2969">
        <v>14808000</v>
      </c>
      <c r="H2969">
        <v>14606000</v>
      </c>
    </row>
    <row r="2970" spans="2:8" x14ac:dyDescent="0.25">
      <c r="B2970" t="str">
        <f t="shared" si="46"/>
        <v>ECAPopulation ages 00-04, male</v>
      </c>
      <c r="C2970" t="s">
        <v>491</v>
      </c>
      <c r="D2970" t="s">
        <v>492</v>
      </c>
      <c r="E2970" t="s">
        <v>363</v>
      </c>
      <c r="F2970" t="s">
        <v>692</v>
      </c>
      <c r="G2970">
        <v>15659000</v>
      </c>
      <c r="H2970">
        <v>15436000</v>
      </c>
    </row>
    <row r="2971" spans="2:8" x14ac:dyDescent="0.25">
      <c r="B2971" t="str">
        <f t="shared" si="46"/>
        <v>ECAPopulation ages 05-09, female</v>
      </c>
      <c r="C2971" t="s">
        <v>491</v>
      </c>
      <c r="D2971" t="s">
        <v>492</v>
      </c>
      <c r="E2971" t="s">
        <v>364</v>
      </c>
      <c r="F2971" t="s">
        <v>693</v>
      </c>
      <c r="G2971">
        <v>14793000</v>
      </c>
      <c r="H2971">
        <v>14948000</v>
      </c>
    </row>
    <row r="2972" spans="2:8" x14ac:dyDescent="0.25">
      <c r="B2972" t="str">
        <f t="shared" si="46"/>
        <v>ECAPopulation ages 05-09, male</v>
      </c>
      <c r="C2972" t="s">
        <v>491</v>
      </c>
      <c r="D2972" t="s">
        <v>492</v>
      </c>
      <c r="E2972" t="s">
        <v>365</v>
      </c>
      <c r="F2972" t="s">
        <v>694</v>
      </c>
      <c r="G2972">
        <v>15630000</v>
      </c>
      <c r="H2972">
        <v>15803000</v>
      </c>
    </row>
    <row r="2973" spans="2:8" x14ac:dyDescent="0.25">
      <c r="B2973" t="str">
        <f t="shared" si="46"/>
        <v>ECAPopulation ages 10-14, female</v>
      </c>
      <c r="C2973" t="s">
        <v>491</v>
      </c>
      <c r="D2973" t="s">
        <v>492</v>
      </c>
      <c r="E2973" t="s">
        <v>366</v>
      </c>
      <c r="F2973" t="s">
        <v>695</v>
      </c>
      <c r="G2973">
        <v>13340000</v>
      </c>
      <c r="H2973">
        <v>13651000</v>
      </c>
    </row>
    <row r="2974" spans="2:8" x14ac:dyDescent="0.25">
      <c r="B2974" t="str">
        <f t="shared" si="46"/>
        <v>ECAPopulation ages 10-14, male</v>
      </c>
      <c r="C2974" t="s">
        <v>491</v>
      </c>
      <c r="D2974" t="s">
        <v>492</v>
      </c>
      <c r="E2974" t="s">
        <v>367</v>
      </c>
      <c r="F2974" t="s">
        <v>696</v>
      </c>
      <c r="G2974">
        <v>14073000</v>
      </c>
      <c r="H2974">
        <v>14406000</v>
      </c>
    </row>
    <row r="2975" spans="2:8" x14ac:dyDescent="0.25">
      <c r="B2975" t="str">
        <f t="shared" si="46"/>
        <v>ECAPopulation ages 15-19, female</v>
      </c>
      <c r="C2975" t="s">
        <v>491</v>
      </c>
      <c r="D2975" t="s">
        <v>492</v>
      </c>
      <c r="E2975" t="s">
        <v>368</v>
      </c>
      <c r="F2975" t="s">
        <v>697</v>
      </c>
      <c r="G2975">
        <v>12125000</v>
      </c>
      <c r="H2975">
        <v>12244000</v>
      </c>
    </row>
    <row r="2976" spans="2:8" x14ac:dyDescent="0.25">
      <c r="B2976" t="str">
        <f t="shared" si="46"/>
        <v>ECAPopulation ages 15-19, male</v>
      </c>
      <c r="C2976" t="s">
        <v>491</v>
      </c>
      <c r="D2976" t="s">
        <v>492</v>
      </c>
      <c r="E2976" t="s">
        <v>369</v>
      </c>
      <c r="F2976" t="s">
        <v>698</v>
      </c>
      <c r="G2976">
        <v>12763000</v>
      </c>
      <c r="H2976">
        <v>12901000</v>
      </c>
    </row>
    <row r="2977" spans="2:8" x14ac:dyDescent="0.25">
      <c r="B2977" t="str">
        <f t="shared" si="46"/>
        <v>ECAPopulation ages 20-24, female</v>
      </c>
      <c r="C2977" t="s">
        <v>491</v>
      </c>
      <c r="D2977" t="s">
        <v>492</v>
      </c>
      <c r="E2977" t="s">
        <v>370</v>
      </c>
      <c r="F2977" t="s">
        <v>699</v>
      </c>
      <c r="G2977">
        <v>12652000</v>
      </c>
      <c r="H2977">
        <v>12344000</v>
      </c>
    </row>
    <row r="2978" spans="2:8" x14ac:dyDescent="0.25">
      <c r="B2978" t="str">
        <f t="shared" si="46"/>
        <v>ECAPopulation ages 20-24, male</v>
      </c>
      <c r="C2978" t="s">
        <v>491</v>
      </c>
      <c r="D2978" t="s">
        <v>492</v>
      </c>
      <c r="E2978" t="s">
        <v>371</v>
      </c>
      <c r="F2978" t="s">
        <v>700</v>
      </c>
      <c r="G2978">
        <v>13236000</v>
      </c>
      <c r="H2978">
        <v>12928000</v>
      </c>
    </row>
    <row r="2979" spans="2:8" x14ac:dyDescent="0.25">
      <c r="B2979" t="str">
        <f t="shared" si="46"/>
        <v>ECAPopulation ages 25-29, female</v>
      </c>
      <c r="C2979" t="s">
        <v>491</v>
      </c>
      <c r="D2979" t="s">
        <v>492</v>
      </c>
      <c r="E2979" t="s">
        <v>372</v>
      </c>
      <c r="F2979" t="s">
        <v>701</v>
      </c>
      <c r="G2979">
        <v>15121000</v>
      </c>
      <c r="H2979">
        <v>14487000</v>
      </c>
    </row>
    <row r="2980" spans="2:8" x14ac:dyDescent="0.25">
      <c r="B2980" t="str">
        <f t="shared" si="46"/>
        <v>ECAPopulation ages 25-29, male</v>
      </c>
      <c r="C2980" t="s">
        <v>491</v>
      </c>
      <c r="D2980" t="s">
        <v>492</v>
      </c>
      <c r="E2980" t="s">
        <v>373</v>
      </c>
      <c r="F2980" t="s">
        <v>702</v>
      </c>
      <c r="G2980">
        <v>15636000</v>
      </c>
      <c r="H2980">
        <v>15021000</v>
      </c>
    </row>
    <row r="2981" spans="2:8" x14ac:dyDescent="0.25">
      <c r="B2981" t="str">
        <f t="shared" si="46"/>
        <v>ECAPopulation ages 30-34, female</v>
      </c>
      <c r="C2981" t="s">
        <v>491</v>
      </c>
      <c r="D2981" t="s">
        <v>492</v>
      </c>
      <c r="E2981" t="s">
        <v>374</v>
      </c>
      <c r="F2981" t="s">
        <v>703</v>
      </c>
      <c r="G2981">
        <v>17302000</v>
      </c>
      <c r="H2981">
        <v>17195000</v>
      </c>
    </row>
    <row r="2982" spans="2:8" x14ac:dyDescent="0.25">
      <c r="B2982" t="str">
        <f t="shared" si="46"/>
        <v>ECAPopulation ages 30-34, male</v>
      </c>
      <c r="C2982" t="s">
        <v>491</v>
      </c>
      <c r="D2982" t="s">
        <v>492</v>
      </c>
      <c r="E2982" t="s">
        <v>375</v>
      </c>
      <c r="F2982" t="s">
        <v>704</v>
      </c>
      <c r="G2982">
        <v>17544000</v>
      </c>
      <c r="H2982">
        <v>17465000</v>
      </c>
    </row>
    <row r="2983" spans="2:8" x14ac:dyDescent="0.25">
      <c r="B2983" t="str">
        <f t="shared" si="46"/>
        <v>ECAPopulation ages 35-39, female</v>
      </c>
      <c r="C2983" t="s">
        <v>491</v>
      </c>
      <c r="D2983" t="s">
        <v>492</v>
      </c>
      <c r="E2983" t="s">
        <v>376</v>
      </c>
      <c r="F2983" t="s">
        <v>705</v>
      </c>
      <c r="G2983">
        <v>15932000</v>
      </c>
      <c r="H2983">
        <v>16160000</v>
      </c>
    </row>
    <row r="2984" spans="2:8" x14ac:dyDescent="0.25">
      <c r="B2984" t="str">
        <f t="shared" si="46"/>
        <v>ECAPopulation ages 35-39, male</v>
      </c>
      <c r="C2984" t="s">
        <v>491</v>
      </c>
      <c r="D2984" t="s">
        <v>492</v>
      </c>
      <c r="E2984" t="s">
        <v>377</v>
      </c>
      <c r="F2984" t="s">
        <v>706</v>
      </c>
      <c r="G2984">
        <v>15849000</v>
      </c>
      <c r="H2984">
        <v>16134000</v>
      </c>
    </row>
    <row r="2985" spans="2:8" x14ac:dyDescent="0.25">
      <c r="B2985" t="str">
        <f t="shared" si="46"/>
        <v>ECAPopulation ages 40-44, female</v>
      </c>
      <c r="C2985" t="s">
        <v>491</v>
      </c>
      <c r="D2985" t="s">
        <v>492</v>
      </c>
      <c r="E2985" t="s">
        <v>378</v>
      </c>
      <c r="F2985" t="s">
        <v>707</v>
      </c>
      <c r="G2985">
        <v>14859000</v>
      </c>
      <c r="H2985">
        <v>15024000</v>
      </c>
    </row>
    <row r="2986" spans="2:8" x14ac:dyDescent="0.25">
      <c r="B2986" t="str">
        <f t="shared" si="46"/>
        <v>ECAPopulation ages 40-44, male</v>
      </c>
      <c r="C2986" t="s">
        <v>491</v>
      </c>
      <c r="D2986" t="s">
        <v>492</v>
      </c>
      <c r="E2986" t="s">
        <v>379</v>
      </c>
      <c r="F2986" t="s">
        <v>708</v>
      </c>
      <c r="G2986">
        <v>14281000</v>
      </c>
      <c r="H2986">
        <v>14479000</v>
      </c>
    </row>
    <row r="2987" spans="2:8" x14ac:dyDescent="0.25">
      <c r="B2987" t="str">
        <f t="shared" si="46"/>
        <v>ECAPopulation ages 45-49, female</v>
      </c>
      <c r="C2987" t="s">
        <v>491</v>
      </c>
      <c r="D2987" t="s">
        <v>492</v>
      </c>
      <c r="E2987" t="s">
        <v>380</v>
      </c>
      <c r="F2987" t="s">
        <v>709</v>
      </c>
      <c r="G2987">
        <v>13754000</v>
      </c>
      <c r="H2987">
        <v>13988000</v>
      </c>
    </row>
    <row r="2988" spans="2:8" x14ac:dyDescent="0.25">
      <c r="B2988" t="str">
        <f t="shared" si="46"/>
        <v>ECAPopulation ages 45-49, male</v>
      </c>
      <c r="C2988" t="s">
        <v>491</v>
      </c>
      <c r="D2988" t="s">
        <v>492</v>
      </c>
      <c r="E2988" t="s">
        <v>381</v>
      </c>
      <c r="F2988" t="s">
        <v>710</v>
      </c>
      <c r="G2988">
        <v>12913000</v>
      </c>
      <c r="H2988">
        <v>13162000</v>
      </c>
    </row>
    <row r="2989" spans="2:8" x14ac:dyDescent="0.25">
      <c r="B2989" t="str">
        <f t="shared" si="46"/>
        <v>ECAPopulation ages 50-54, female</v>
      </c>
      <c r="C2989" t="s">
        <v>491</v>
      </c>
      <c r="D2989" t="s">
        <v>492</v>
      </c>
      <c r="E2989" t="s">
        <v>382</v>
      </c>
      <c r="F2989" t="s">
        <v>711</v>
      </c>
      <c r="G2989">
        <v>12938000</v>
      </c>
      <c r="H2989">
        <v>12792000</v>
      </c>
    </row>
    <row r="2990" spans="2:8" x14ac:dyDescent="0.25">
      <c r="B2990" t="str">
        <f t="shared" si="46"/>
        <v>ECAPopulation ages 50-54, male</v>
      </c>
      <c r="C2990" t="s">
        <v>491</v>
      </c>
      <c r="D2990" t="s">
        <v>492</v>
      </c>
      <c r="E2990" t="s">
        <v>383</v>
      </c>
      <c r="F2990" t="s">
        <v>712</v>
      </c>
      <c r="G2990">
        <v>11611000</v>
      </c>
      <c r="H2990">
        <v>11542000</v>
      </c>
    </row>
    <row r="2991" spans="2:8" x14ac:dyDescent="0.25">
      <c r="B2991" t="str">
        <f t="shared" si="46"/>
        <v>ECAPopulation ages 55-59, male</v>
      </c>
      <c r="C2991" t="s">
        <v>491</v>
      </c>
      <c r="D2991" t="s">
        <v>492</v>
      </c>
      <c r="E2991" t="s">
        <v>385</v>
      </c>
      <c r="F2991" t="s">
        <v>713</v>
      </c>
      <c r="G2991">
        <v>11857000</v>
      </c>
      <c r="H2991">
        <v>11810000</v>
      </c>
    </row>
    <row r="2992" spans="2:8" x14ac:dyDescent="0.25">
      <c r="B2992" t="str">
        <f t="shared" si="46"/>
        <v>ECAPopulation ages 55-59, female</v>
      </c>
      <c r="C2992" t="s">
        <v>491</v>
      </c>
      <c r="D2992" t="s">
        <v>492</v>
      </c>
      <c r="E2992" t="s">
        <v>384</v>
      </c>
      <c r="F2992" t="s">
        <v>714</v>
      </c>
      <c r="G2992">
        <v>14045000</v>
      </c>
      <c r="H2992">
        <v>13911000</v>
      </c>
    </row>
    <row r="2993" spans="2:8" x14ac:dyDescent="0.25">
      <c r="B2993" t="str">
        <f t="shared" si="46"/>
        <v>ECAPopulation ages 65-69, male</v>
      </c>
      <c r="C2993" t="s">
        <v>491</v>
      </c>
      <c r="D2993" t="s">
        <v>492</v>
      </c>
      <c r="E2993" t="s">
        <v>389</v>
      </c>
      <c r="F2993" t="s">
        <v>715</v>
      </c>
      <c r="G2993">
        <v>7694000</v>
      </c>
      <c r="H2993">
        <v>8019000</v>
      </c>
    </row>
    <row r="2994" spans="2:8" x14ac:dyDescent="0.25">
      <c r="B2994" t="str">
        <f t="shared" si="46"/>
        <v>ECAPopulation ages 65-69, female</v>
      </c>
      <c r="C2994" t="s">
        <v>491</v>
      </c>
      <c r="D2994" t="s">
        <v>492</v>
      </c>
      <c r="E2994" t="s">
        <v>388</v>
      </c>
      <c r="F2994" t="s">
        <v>716</v>
      </c>
      <c r="G2994">
        <v>11138000</v>
      </c>
      <c r="H2994">
        <v>11616000</v>
      </c>
    </row>
    <row r="2995" spans="2:8" x14ac:dyDescent="0.25">
      <c r="B2995" t="str">
        <f t="shared" si="46"/>
        <v>ECAPopulation ages 60-64, female</v>
      </c>
      <c r="C2995" t="s">
        <v>491</v>
      </c>
      <c r="D2995" t="s">
        <v>492</v>
      </c>
      <c r="E2995" t="s">
        <v>386</v>
      </c>
      <c r="F2995" t="s">
        <v>717</v>
      </c>
      <c r="G2995">
        <v>13203000</v>
      </c>
      <c r="H2995">
        <v>13301000</v>
      </c>
    </row>
    <row r="2996" spans="2:8" x14ac:dyDescent="0.25">
      <c r="B2996" t="str">
        <f t="shared" si="46"/>
        <v>ECAPopulation ages 60-64, male</v>
      </c>
      <c r="C2996" t="s">
        <v>491</v>
      </c>
      <c r="D2996" t="s">
        <v>492</v>
      </c>
      <c r="E2996" t="s">
        <v>387</v>
      </c>
      <c r="F2996" t="s">
        <v>718</v>
      </c>
      <c r="G2996">
        <v>10152000</v>
      </c>
      <c r="H2996">
        <v>10307000</v>
      </c>
    </row>
    <row r="2997" spans="2:8" x14ac:dyDescent="0.25">
      <c r="B2997" t="str">
        <f t="shared" si="46"/>
        <v>ECAPopulation ages 70-74, female</v>
      </c>
      <c r="C2997" t="s">
        <v>491</v>
      </c>
      <c r="D2997" t="s">
        <v>492</v>
      </c>
      <c r="E2997" t="s">
        <v>390</v>
      </c>
      <c r="F2997" t="s">
        <v>719</v>
      </c>
      <c r="G2997">
        <v>7369000</v>
      </c>
      <c r="H2997">
        <v>7851000</v>
      </c>
    </row>
    <row r="2998" spans="2:8" x14ac:dyDescent="0.25">
      <c r="B2998" t="str">
        <f t="shared" si="46"/>
        <v>ECAPopulation ages 70-74, male</v>
      </c>
      <c r="C2998" t="s">
        <v>491</v>
      </c>
      <c r="D2998" t="s">
        <v>492</v>
      </c>
      <c r="E2998" t="s">
        <v>391</v>
      </c>
      <c r="F2998" t="s">
        <v>720</v>
      </c>
      <c r="G2998">
        <v>4633700</v>
      </c>
      <c r="H2998">
        <v>4936000</v>
      </c>
    </row>
    <row r="2999" spans="2:8" x14ac:dyDescent="0.25">
      <c r="B2999" t="str">
        <f t="shared" si="46"/>
        <v>ECAPopulation ages 75-79, female</v>
      </c>
      <c r="C2999" t="s">
        <v>491</v>
      </c>
      <c r="D2999" t="s">
        <v>492</v>
      </c>
      <c r="E2999" t="s">
        <v>392</v>
      </c>
      <c r="F2999" t="s">
        <v>721</v>
      </c>
      <c r="G2999">
        <v>5511700</v>
      </c>
      <c r="H2999">
        <v>5372700</v>
      </c>
    </row>
    <row r="3000" spans="2:8" x14ac:dyDescent="0.25">
      <c r="B3000" t="str">
        <f t="shared" si="46"/>
        <v>ECAPopulation ages 75-79, male</v>
      </c>
      <c r="C3000" t="s">
        <v>491</v>
      </c>
      <c r="D3000" t="s">
        <v>492</v>
      </c>
      <c r="E3000" t="s">
        <v>393</v>
      </c>
      <c r="F3000" t="s">
        <v>722</v>
      </c>
      <c r="G3000">
        <v>2867100</v>
      </c>
      <c r="H3000">
        <v>2827100</v>
      </c>
    </row>
    <row r="3001" spans="2:8" x14ac:dyDescent="0.25">
      <c r="B3001" t="str">
        <f t="shared" si="46"/>
        <v>ECAPopulation ages 80 and above, female</v>
      </c>
      <c r="C3001" t="s">
        <v>491</v>
      </c>
      <c r="D3001" t="s">
        <v>492</v>
      </c>
      <c r="E3001" t="s">
        <v>394</v>
      </c>
      <c r="F3001" t="s">
        <v>723</v>
      </c>
      <c r="G3001">
        <v>8730000</v>
      </c>
      <c r="H3001">
        <v>8751000</v>
      </c>
    </row>
    <row r="3002" spans="2:8" x14ac:dyDescent="0.25">
      <c r="B3002" t="str">
        <f t="shared" si="46"/>
        <v>ECAPopulation ages 80 and above, male</v>
      </c>
      <c r="C3002" t="s">
        <v>491</v>
      </c>
      <c r="D3002" t="s">
        <v>492</v>
      </c>
      <c r="E3002" t="s">
        <v>395</v>
      </c>
      <c r="F3002" t="s">
        <v>724</v>
      </c>
      <c r="G3002">
        <v>3548200</v>
      </c>
      <c r="H3002">
        <v>3466900</v>
      </c>
    </row>
    <row r="3003" spans="2:8" x14ac:dyDescent="0.25">
      <c r="B3003" t="str">
        <f t="shared" si="46"/>
        <v>ECAPopulation, male</v>
      </c>
      <c r="C3003" t="s">
        <v>491</v>
      </c>
      <c r="D3003" t="s">
        <v>492</v>
      </c>
      <c r="E3003" t="s">
        <v>397</v>
      </c>
      <c r="F3003" t="s">
        <v>725</v>
      </c>
      <c r="G3003">
        <v>199943000</v>
      </c>
      <c r="H3003">
        <v>200646000</v>
      </c>
    </row>
    <row r="3004" spans="2:8" x14ac:dyDescent="0.25">
      <c r="B3004" t="str">
        <f t="shared" si="46"/>
        <v>ECAPopulation, total</v>
      </c>
      <c r="C3004" t="s">
        <v>491</v>
      </c>
      <c r="D3004" t="s">
        <v>492</v>
      </c>
      <c r="E3004" t="s">
        <v>398</v>
      </c>
      <c r="F3004" t="s">
        <v>726</v>
      </c>
      <c r="G3004">
        <v>419413000</v>
      </c>
      <c r="H3004">
        <v>420757000</v>
      </c>
    </row>
    <row r="3005" spans="2:8" x14ac:dyDescent="0.25">
      <c r="B3005" t="str">
        <f t="shared" si="46"/>
        <v>ECAPopulation, female</v>
      </c>
      <c r="C3005" t="s">
        <v>491</v>
      </c>
      <c r="D3005" t="s">
        <v>492</v>
      </c>
      <c r="E3005" t="s">
        <v>396</v>
      </c>
      <c r="F3005" t="s">
        <v>727</v>
      </c>
      <c r="G3005">
        <v>217612000</v>
      </c>
      <c r="H3005">
        <v>218240000</v>
      </c>
    </row>
    <row r="3006" spans="2:8" x14ac:dyDescent="0.25">
      <c r="B3006" t="str">
        <f t="shared" si="46"/>
        <v>ECAPopulation growth (annual %)</v>
      </c>
      <c r="C3006" t="s">
        <v>491</v>
      </c>
      <c r="D3006" t="s">
        <v>492</v>
      </c>
      <c r="E3006" t="s">
        <v>399</v>
      </c>
      <c r="F3006" t="s">
        <v>728</v>
      </c>
      <c r="G3006">
        <v>0.38672896313438798</v>
      </c>
      <c r="H3006">
        <v>0.32044786403855596</v>
      </c>
    </row>
    <row r="3007" spans="2:8" x14ac:dyDescent="0.25">
      <c r="B3007" t="str">
        <f t="shared" si="46"/>
        <v>TECPopulation ages 0-14, female</v>
      </c>
      <c r="C3007" t="s">
        <v>493</v>
      </c>
      <c r="D3007" t="s">
        <v>494</v>
      </c>
      <c r="E3007" t="s">
        <v>687</v>
      </c>
      <c r="F3007" t="s">
        <v>688</v>
      </c>
      <c r="G3007">
        <v>46030000</v>
      </c>
      <c r="H3007">
        <v>46296000</v>
      </c>
    </row>
    <row r="3008" spans="2:8" x14ac:dyDescent="0.25">
      <c r="B3008" t="str">
        <f t="shared" si="46"/>
        <v>TECPopulation ages 0-14, male</v>
      </c>
      <c r="C3008" t="s">
        <v>493</v>
      </c>
      <c r="D3008" t="s">
        <v>494</v>
      </c>
      <c r="E3008" t="s">
        <v>689</v>
      </c>
      <c r="F3008" t="s">
        <v>690</v>
      </c>
      <c r="G3008">
        <v>48617000</v>
      </c>
      <c r="H3008">
        <v>48895000</v>
      </c>
    </row>
    <row r="3009" spans="2:8" x14ac:dyDescent="0.25">
      <c r="B3009" t="str">
        <f t="shared" si="46"/>
        <v>TECPopulation ages 00-04, female</v>
      </c>
      <c r="C3009" t="s">
        <v>493</v>
      </c>
      <c r="D3009" t="s">
        <v>494</v>
      </c>
      <c r="E3009" t="s">
        <v>362</v>
      </c>
      <c r="F3009" t="s">
        <v>691</v>
      </c>
      <c r="G3009">
        <v>15812000</v>
      </c>
      <c r="H3009">
        <v>15611000</v>
      </c>
    </row>
    <row r="3010" spans="2:8" x14ac:dyDescent="0.25">
      <c r="B3010" t="str">
        <f t="shared" si="46"/>
        <v>TECPopulation ages 00-04, male</v>
      </c>
      <c r="C3010" t="s">
        <v>493</v>
      </c>
      <c r="D3010" t="s">
        <v>494</v>
      </c>
      <c r="E3010" t="s">
        <v>363</v>
      </c>
      <c r="F3010" t="s">
        <v>692</v>
      </c>
      <c r="G3010">
        <v>16718000</v>
      </c>
      <c r="H3010">
        <v>16496000</v>
      </c>
    </row>
    <row r="3011" spans="2:8" x14ac:dyDescent="0.25">
      <c r="B3011" t="str">
        <f t="shared" si="46"/>
        <v>TECPopulation ages 05-09, female</v>
      </c>
      <c r="C3011" t="s">
        <v>493</v>
      </c>
      <c r="D3011" t="s">
        <v>494</v>
      </c>
      <c r="E3011" t="s">
        <v>364</v>
      </c>
      <c r="F3011" t="s">
        <v>693</v>
      </c>
      <c r="G3011">
        <v>15834000</v>
      </c>
      <c r="H3011">
        <v>15969000</v>
      </c>
    </row>
    <row r="3012" spans="2:8" x14ac:dyDescent="0.25">
      <c r="B3012" t="str">
        <f t="shared" si="46"/>
        <v>TECPopulation ages 05-09, male</v>
      </c>
      <c r="C3012" t="s">
        <v>493</v>
      </c>
      <c r="D3012" t="s">
        <v>494</v>
      </c>
      <c r="E3012" t="s">
        <v>365</v>
      </c>
      <c r="F3012" t="s">
        <v>694</v>
      </c>
      <c r="G3012">
        <v>16727000</v>
      </c>
      <c r="H3012">
        <v>16879000</v>
      </c>
    </row>
    <row r="3013" spans="2:8" x14ac:dyDescent="0.25">
      <c r="B3013" t="str">
        <f t="shared" si="46"/>
        <v>TECPopulation ages 10-14, female</v>
      </c>
      <c r="C3013" t="s">
        <v>493</v>
      </c>
      <c r="D3013" t="s">
        <v>494</v>
      </c>
      <c r="E3013" t="s">
        <v>366</v>
      </c>
      <c r="F3013" t="s">
        <v>695</v>
      </c>
      <c r="G3013">
        <v>14387000</v>
      </c>
      <c r="H3013">
        <v>14715000</v>
      </c>
    </row>
    <row r="3014" spans="2:8" x14ac:dyDescent="0.25">
      <c r="B3014" t="str">
        <f t="shared" si="46"/>
        <v>TECPopulation ages 10-14, male</v>
      </c>
      <c r="C3014" t="s">
        <v>493</v>
      </c>
      <c r="D3014" t="s">
        <v>494</v>
      </c>
      <c r="E3014" t="s">
        <v>367</v>
      </c>
      <c r="F3014" t="s">
        <v>696</v>
      </c>
      <c r="G3014">
        <v>15172000</v>
      </c>
      <c r="H3014">
        <v>15523000</v>
      </c>
    </row>
    <row r="3015" spans="2:8" x14ac:dyDescent="0.25">
      <c r="B3015" t="str">
        <f t="shared" ref="B3015:B3078" si="47">CONCATENATE(D3015,E3015)</f>
        <v>TECPopulation ages 15-19, female</v>
      </c>
      <c r="C3015" t="s">
        <v>493</v>
      </c>
      <c r="D3015" t="s">
        <v>494</v>
      </c>
      <c r="E3015" t="s">
        <v>368</v>
      </c>
      <c r="F3015" t="s">
        <v>697</v>
      </c>
      <c r="G3015">
        <v>13079000</v>
      </c>
      <c r="H3015">
        <v>13190000</v>
      </c>
    </row>
    <row r="3016" spans="2:8" x14ac:dyDescent="0.25">
      <c r="B3016" t="str">
        <f t="shared" si="47"/>
        <v>TECPopulation ages 15-19, male</v>
      </c>
      <c r="C3016" t="s">
        <v>493</v>
      </c>
      <c r="D3016" t="s">
        <v>494</v>
      </c>
      <c r="E3016" t="s">
        <v>369</v>
      </c>
      <c r="F3016" t="s">
        <v>698</v>
      </c>
      <c r="G3016">
        <v>13751000</v>
      </c>
      <c r="H3016">
        <v>13882000</v>
      </c>
    </row>
    <row r="3017" spans="2:8" x14ac:dyDescent="0.25">
      <c r="B3017" t="str">
        <f t="shared" si="47"/>
        <v>TECPopulation ages 20-24, female</v>
      </c>
      <c r="C3017" t="s">
        <v>493</v>
      </c>
      <c r="D3017" t="s">
        <v>494</v>
      </c>
      <c r="E3017" t="s">
        <v>370</v>
      </c>
      <c r="F3017" t="s">
        <v>699</v>
      </c>
      <c r="G3017">
        <v>13783000</v>
      </c>
      <c r="H3017">
        <v>13428000</v>
      </c>
    </row>
    <row r="3018" spans="2:8" x14ac:dyDescent="0.25">
      <c r="B3018" t="str">
        <f t="shared" si="47"/>
        <v>TECPopulation ages 20-24, male</v>
      </c>
      <c r="C3018" t="s">
        <v>493</v>
      </c>
      <c r="D3018" t="s">
        <v>494</v>
      </c>
      <c r="E3018" t="s">
        <v>371</v>
      </c>
      <c r="F3018" t="s">
        <v>700</v>
      </c>
      <c r="G3018">
        <v>14404000</v>
      </c>
      <c r="H3018">
        <v>14042000</v>
      </c>
    </row>
    <row r="3019" spans="2:8" x14ac:dyDescent="0.25">
      <c r="B3019" t="str">
        <f t="shared" si="47"/>
        <v>TECPopulation ages 25-29, female</v>
      </c>
      <c r="C3019" t="s">
        <v>493</v>
      </c>
      <c r="D3019" t="s">
        <v>494</v>
      </c>
      <c r="E3019" t="s">
        <v>372</v>
      </c>
      <c r="F3019" t="s">
        <v>701</v>
      </c>
      <c r="G3019">
        <v>16478000</v>
      </c>
      <c r="H3019">
        <v>15802000</v>
      </c>
    </row>
    <row r="3020" spans="2:8" x14ac:dyDescent="0.25">
      <c r="B3020" t="str">
        <f t="shared" si="47"/>
        <v>TECPopulation ages 25-29, male</v>
      </c>
      <c r="C3020" t="s">
        <v>493</v>
      </c>
      <c r="D3020" t="s">
        <v>494</v>
      </c>
      <c r="E3020" t="s">
        <v>373</v>
      </c>
      <c r="F3020" t="s">
        <v>702</v>
      </c>
      <c r="G3020">
        <v>17070000</v>
      </c>
      <c r="H3020">
        <v>16402000</v>
      </c>
    </row>
    <row r="3021" spans="2:8" x14ac:dyDescent="0.25">
      <c r="B3021" t="str">
        <f t="shared" si="47"/>
        <v>TECPopulation ages 30-34, female</v>
      </c>
      <c r="C3021" t="s">
        <v>493</v>
      </c>
      <c r="D3021" t="s">
        <v>494</v>
      </c>
      <c r="E3021" t="s">
        <v>374</v>
      </c>
      <c r="F3021" t="s">
        <v>703</v>
      </c>
      <c r="G3021">
        <v>18827000</v>
      </c>
      <c r="H3021">
        <v>18674000</v>
      </c>
    </row>
    <row r="3022" spans="2:8" x14ac:dyDescent="0.25">
      <c r="B3022" t="str">
        <f t="shared" si="47"/>
        <v>TECPopulation ages 30-34, male</v>
      </c>
      <c r="C3022" t="s">
        <v>493</v>
      </c>
      <c r="D3022" t="s">
        <v>494</v>
      </c>
      <c r="E3022" t="s">
        <v>375</v>
      </c>
      <c r="F3022" t="s">
        <v>704</v>
      </c>
      <c r="G3022">
        <v>19191000</v>
      </c>
      <c r="H3022">
        <v>19063000</v>
      </c>
    </row>
    <row r="3023" spans="2:8" x14ac:dyDescent="0.25">
      <c r="B3023" t="str">
        <f t="shared" si="47"/>
        <v>TECPopulation ages 35-39, female</v>
      </c>
      <c r="C3023" t="s">
        <v>493</v>
      </c>
      <c r="D3023" t="s">
        <v>494</v>
      </c>
      <c r="E3023" t="s">
        <v>376</v>
      </c>
      <c r="F3023" t="s">
        <v>705</v>
      </c>
      <c r="G3023">
        <v>17612000</v>
      </c>
      <c r="H3023">
        <v>17828000</v>
      </c>
    </row>
    <row r="3024" spans="2:8" x14ac:dyDescent="0.25">
      <c r="B3024" t="str">
        <f t="shared" si="47"/>
        <v>TECPopulation ages 35-39, male</v>
      </c>
      <c r="C3024" t="s">
        <v>493</v>
      </c>
      <c r="D3024" t="s">
        <v>494</v>
      </c>
      <c r="E3024" t="s">
        <v>377</v>
      </c>
      <c r="F3024" t="s">
        <v>706</v>
      </c>
      <c r="G3024">
        <v>17638000</v>
      </c>
      <c r="H3024">
        <v>17920000</v>
      </c>
    </row>
    <row r="3025" spans="2:8" x14ac:dyDescent="0.25">
      <c r="B3025" t="str">
        <f t="shared" si="47"/>
        <v>TECPopulation ages 40-44, female</v>
      </c>
      <c r="C3025" t="s">
        <v>493</v>
      </c>
      <c r="D3025" t="s">
        <v>494</v>
      </c>
      <c r="E3025" t="s">
        <v>378</v>
      </c>
      <c r="F3025" t="s">
        <v>707</v>
      </c>
      <c r="G3025">
        <v>16427000</v>
      </c>
      <c r="H3025">
        <v>16618000</v>
      </c>
    </row>
    <row r="3026" spans="2:8" x14ac:dyDescent="0.25">
      <c r="B3026" t="str">
        <f t="shared" si="47"/>
        <v>TECPopulation ages 40-44, male</v>
      </c>
      <c r="C3026" t="s">
        <v>493</v>
      </c>
      <c r="D3026" t="s">
        <v>494</v>
      </c>
      <c r="E3026" t="s">
        <v>379</v>
      </c>
      <c r="F3026" t="s">
        <v>708</v>
      </c>
      <c r="G3026">
        <v>15890000</v>
      </c>
      <c r="H3026">
        <v>16124000</v>
      </c>
    </row>
    <row r="3027" spans="2:8" x14ac:dyDescent="0.25">
      <c r="B3027" t="str">
        <f t="shared" si="47"/>
        <v>TECPopulation ages 45-49, female</v>
      </c>
      <c r="C3027" t="s">
        <v>493</v>
      </c>
      <c r="D3027" t="s">
        <v>494</v>
      </c>
      <c r="E3027" t="s">
        <v>380</v>
      </c>
      <c r="F3027" t="s">
        <v>709</v>
      </c>
      <c r="G3027">
        <v>15137000</v>
      </c>
      <c r="H3027">
        <v>15404000</v>
      </c>
    </row>
    <row r="3028" spans="2:8" x14ac:dyDescent="0.25">
      <c r="B3028" t="str">
        <f t="shared" si="47"/>
        <v>TECPopulation ages 45-49, male</v>
      </c>
      <c r="C3028" t="s">
        <v>493</v>
      </c>
      <c r="D3028" t="s">
        <v>494</v>
      </c>
      <c r="E3028" t="s">
        <v>381</v>
      </c>
      <c r="F3028" t="s">
        <v>710</v>
      </c>
      <c r="G3028">
        <v>14300000</v>
      </c>
      <c r="H3028">
        <v>14585000</v>
      </c>
    </row>
    <row r="3029" spans="2:8" x14ac:dyDescent="0.25">
      <c r="B3029" t="str">
        <f t="shared" si="47"/>
        <v>TECPopulation ages 50-54, female</v>
      </c>
      <c r="C3029" t="s">
        <v>493</v>
      </c>
      <c r="D3029" t="s">
        <v>494</v>
      </c>
      <c r="E3029" t="s">
        <v>382</v>
      </c>
      <c r="F3029" t="s">
        <v>711</v>
      </c>
      <c r="G3029">
        <v>14206000</v>
      </c>
      <c r="H3029">
        <v>14059000</v>
      </c>
    </row>
    <row r="3030" spans="2:8" x14ac:dyDescent="0.25">
      <c r="B3030" t="str">
        <f t="shared" si="47"/>
        <v>TECPopulation ages 50-54, male</v>
      </c>
      <c r="C3030" t="s">
        <v>493</v>
      </c>
      <c r="D3030" t="s">
        <v>494</v>
      </c>
      <c r="E3030" t="s">
        <v>383</v>
      </c>
      <c r="F3030" t="s">
        <v>712</v>
      </c>
      <c r="G3030">
        <v>12855000</v>
      </c>
      <c r="H3030">
        <v>12788000</v>
      </c>
    </row>
    <row r="3031" spans="2:8" x14ac:dyDescent="0.25">
      <c r="B3031" t="str">
        <f t="shared" si="47"/>
        <v>TECPopulation ages 55-59, male</v>
      </c>
      <c r="C3031" t="s">
        <v>493</v>
      </c>
      <c r="D3031" t="s">
        <v>494</v>
      </c>
      <c r="E3031" t="s">
        <v>385</v>
      </c>
      <c r="F3031" t="s">
        <v>713</v>
      </c>
      <c r="G3031">
        <v>13174000</v>
      </c>
      <c r="H3031">
        <v>13081000</v>
      </c>
    </row>
    <row r="3032" spans="2:8" x14ac:dyDescent="0.25">
      <c r="B3032" t="str">
        <f t="shared" si="47"/>
        <v>TECPopulation ages 55-59, female</v>
      </c>
      <c r="C3032" t="s">
        <v>493</v>
      </c>
      <c r="D3032" t="s">
        <v>494</v>
      </c>
      <c r="E3032" t="s">
        <v>384</v>
      </c>
      <c r="F3032" t="s">
        <v>714</v>
      </c>
      <c r="G3032">
        <v>15449000</v>
      </c>
      <c r="H3032">
        <v>15259000</v>
      </c>
    </row>
    <row r="3033" spans="2:8" x14ac:dyDescent="0.25">
      <c r="B3033" t="str">
        <f t="shared" si="47"/>
        <v>TECPopulation ages 65-69, male</v>
      </c>
      <c r="C3033" t="s">
        <v>493</v>
      </c>
      <c r="D3033" t="s">
        <v>494</v>
      </c>
      <c r="E3033" t="s">
        <v>389</v>
      </c>
      <c r="F3033" t="s">
        <v>715</v>
      </c>
      <c r="G3033">
        <v>8884000</v>
      </c>
      <c r="H3033">
        <v>9240000</v>
      </c>
    </row>
    <row r="3034" spans="2:8" x14ac:dyDescent="0.25">
      <c r="B3034" t="str">
        <f t="shared" si="47"/>
        <v>TECPopulation ages 65-69, female</v>
      </c>
      <c r="C3034" t="s">
        <v>493</v>
      </c>
      <c r="D3034" t="s">
        <v>494</v>
      </c>
      <c r="E3034" t="s">
        <v>388</v>
      </c>
      <c r="F3034" t="s">
        <v>716</v>
      </c>
      <c r="G3034">
        <v>12606000</v>
      </c>
      <c r="H3034">
        <v>13114000</v>
      </c>
    </row>
    <row r="3035" spans="2:8" x14ac:dyDescent="0.25">
      <c r="B3035" t="str">
        <f t="shared" si="47"/>
        <v>TECPopulation ages 60-64, female</v>
      </c>
      <c r="C3035" t="s">
        <v>493</v>
      </c>
      <c r="D3035" t="s">
        <v>494</v>
      </c>
      <c r="E3035" t="s">
        <v>386</v>
      </c>
      <c r="F3035" t="s">
        <v>717</v>
      </c>
      <c r="G3035">
        <v>14822000</v>
      </c>
      <c r="H3035">
        <v>14894000</v>
      </c>
    </row>
    <row r="3036" spans="2:8" x14ac:dyDescent="0.25">
      <c r="B3036" t="str">
        <f t="shared" si="47"/>
        <v>TECPopulation ages 60-64, male</v>
      </c>
      <c r="C3036" t="s">
        <v>493</v>
      </c>
      <c r="D3036" t="s">
        <v>494</v>
      </c>
      <c r="E3036" t="s">
        <v>387</v>
      </c>
      <c r="F3036" t="s">
        <v>718</v>
      </c>
      <c r="G3036">
        <v>11584000</v>
      </c>
      <c r="H3036">
        <v>11722000</v>
      </c>
    </row>
    <row r="3037" spans="2:8" x14ac:dyDescent="0.25">
      <c r="B3037" t="str">
        <f t="shared" si="47"/>
        <v>TECPopulation ages 70-74, female</v>
      </c>
      <c r="C3037" t="s">
        <v>493</v>
      </c>
      <c r="D3037" t="s">
        <v>494</v>
      </c>
      <c r="E3037" t="s">
        <v>390</v>
      </c>
      <c r="F3037" t="s">
        <v>719</v>
      </c>
      <c r="G3037">
        <v>8487000</v>
      </c>
      <c r="H3037">
        <v>9042000</v>
      </c>
    </row>
    <row r="3038" spans="2:8" x14ac:dyDescent="0.25">
      <c r="B3038" t="str">
        <f t="shared" si="47"/>
        <v>TECPopulation ages 70-74, male</v>
      </c>
      <c r="C3038" t="s">
        <v>493</v>
      </c>
      <c r="D3038" t="s">
        <v>494</v>
      </c>
      <c r="E3038" t="s">
        <v>391</v>
      </c>
      <c r="F3038" t="s">
        <v>720</v>
      </c>
      <c r="G3038">
        <v>5442700</v>
      </c>
      <c r="H3038">
        <v>5803000</v>
      </c>
    </row>
    <row r="3039" spans="2:8" x14ac:dyDescent="0.25">
      <c r="B3039" t="str">
        <f t="shared" si="47"/>
        <v>TECPopulation ages 75-79, female</v>
      </c>
      <c r="C3039" t="s">
        <v>493</v>
      </c>
      <c r="D3039" t="s">
        <v>494</v>
      </c>
      <c r="E3039" t="s">
        <v>392</v>
      </c>
      <c r="F3039" t="s">
        <v>721</v>
      </c>
      <c r="G3039">
        <v>6230700</v>
      </c>
      <c r="H3039">
        <v>6110700</v>
      </c>
    </row>
    <row r="3040" spans="2:8" x14ac:dyDescent="0.25">
      <c r="B3040" t="str">
        <f t="shared" si="47"/>
        <v>TECPopulation ages 75-79, male</v>
      </c>
      <c r="C3040" t="s">
        <v>493</v>
      </c>
      <c r="D3040" t="s">
        <v>494</v>
      </c>
      <c r="E3040" t="s">
        <v>393</v>
      </c>
      <c r="F3040" t="s">
        <v>722</v>
      </c>
      <c r="G3040">
        <v>3307100</v>
      </c>
      <c r="H3040">
        <v>3286100</v>
      </c>
    </row>
    <row r="3041" spans="2:8" x14ac:dyDescent="0.25">
      <c r="B3041" t="str">
        <f t="shared" si="47"/>
        <v>TECPopulation ages 80 and above, female</v>
      </c>
      <c r="C3041" t="s">
        <v>493</v>
      </c>
      <c r="D3041" t="s">
        <v>494</v>
      </c>
      <c r="E3041" t="s">
        <v>394</v>
      </c>
      <c r="F3041" t="s">
        <v>723</v>
      </c>
      <c r="G3041">
        <v>10085000</v>
      </c>
      <c r="H3041">
        <v>10110000</v>
      </c>
    </row>
    <row r="3042" spans="2:8" x14ac:dyDescent="0.25">
      <c r="B3042" t="str">
        <f t="shared" si="47"/>
        <v>TECPopulation ages 80 and above, male</v>
      </c>
      <c r="C3042" t="s">
        <v>493</v>
      </c>
      <c r="D3042" t="s">
        <v>494</v>
      </c>
      <c r="E3042" t="s">
        <v>395</v>
      </c>
      <c r="F3042" t="s">
        <v>724</v>
      </c>
      <c r="G3042">
        <v>4163200</v>
      </c>
      <c r="H3042">
        <v>4079900</v>
      </c>
    </row>
    <row r="3043" spans="2:8" x14ac:dyDescent="0.25">
      <c r="B3043" t="str">
        <f t="shared" si="47"/>
        <v>TECPopulation, male</v>
      </c>
      <c r="C3043" t="s">
        <v>493</v>
      </c>
      <c r="D3043" t="s">
        <v>494</v>
      </c>
      <c r="E3043" t="s">
        <v>397</v>
      </c>
      <c r="F3043" t="s">
        <v>725</v>
      </c>
      <c r="G3043">
        <v>220268000</v>
      </c>
      <c r="H3043">
        <v>220918000</v>
      </c>
    </row>
    <row r="3044" spans="2:8" x14ac:dyDescent="0.25">
      <c r="B3044" t="str">
        <f t="shared" si="47"/>
        <v>TECPopulation, total</v>
      </c>
      <c r="C3044" t="s">
        <v>493</v>
      </c>
      <c r="D3044" t="s">
        <v>494</v>
      </c>
      <c r="E3044" t="s">
        <v>398</v>
      </c>
      <c r="F3044" t="s">
        <v>726</v>
      </c>
      <c r="G3044">
        <v>461379000</v>
      </c>
      <c r="H3044">
        <v>462615000</v>
      </c>
    </row>
    <row r="3045" spans="2:8" x14ac:dyDescent="0.25">
      <c r="B3045" t="str">
        <f t="shared" si="47"/>
        <v>TECPopulation, female</v>
      </c>
      <c r="C3045" t="s">
        <v>493</v>
      </c>
      <c r="D3045" t="s">
        <v>494</v>
      </c>
      <c r="E3045" t="s">
        <v>396</v>
      </c>
      <c r="F3045" t="s">
        <v>727</v>
      </c>
      <c r="G3045">
        <v>239252000</v>
      </c>
      <c r="H3045">
        <v>239827000</v>
      </c>
    </row>
    <row r="3046" spans="2:8" x14ac:dyDescent="0.25">
      <c r="B3046" t="str">
        <f t="shared" si="47"/>
        <v>TECPopulation growth (annual %)</v>
      </c>
      <c r="C3046" t="s">
        <v>493</v>
      </c>
      <c r="D3046" t="s">
        <v>494</v>
      </c>
      <c r="E3046" t="s">
        <v>399</v>
      </c>
      <c r="F3046" t="s">
        <v>728</v>
      </c>
      <c r="G3046">
        <v>0.32918233072231828</v>
      </c>
      <c r="H3046">
        <v>0.26789255687840807</v>
      </c>
    </row>
    <row r="3047" spans="2:8" x14ac:dyDescent="0.25">
      <c r="B3047" t="str">
        <f t="shared" si="47"/>
        <v>EUUPopulation ages 0-14, female</v>
      </c>
      <c r="C3047" t="s">
        <v>495</v>
      </c>
      <c r="D3047" t="s">
        <v>496</v>
      </c>
      <c r="E3047" t="s">
        <v>687</v>
      </c>
      <c r="F3047" t="s">
        <v>688</v>
      </c>
      <c r="G3047">
        <v>38635000</v>
      </c>
      <c r="H3047">
        <v>38526000</v>
      </c>
    </row>
    <row r="3048" spans="2:8" x14ac:dyDescent="0.25">
      <c r="B3048" t="str">
        <f t="shared" si="47"/>
        <v>EUUPopulation ages 0-14, male</v>
      </c>
      <c r="C3048" t="s">
        <v>495</v>
      </c>
      <c r="D3048" t="s">
        <v>496</v>
      </c>
      <c r="E3048" t="s">
        <v>689</v>
      </c>
      <c r="F3048" t="s">
        <v>690</v>
      </c>
      <c r="G3048">
        <v>40784000</v>
      </c>
      <c r="H3048">
        <v>40683000</v>
      </c>
    </row>
    <row r="3049" spans="2:8" x14ac:dyDescent="0.25">
      <c r="B3049" t="str">
        <f t="shared" si="47"/>
        <v>EUUPopulation ages 00-04, female</v>
      </c>
      <c r="C3049" t="s">
        <v>495</v>
      </c>
      <c r="D3049" t="s">
        <v>496</v>
      </c>
      <c r="E3049" t="s">
        <v>362</v>
      </c>
      <c r="F3049" t="s">
        <v>691</v>
      </c>
      <c r="G3049">
        <v>12408000</v>
      </c>
      <c r="H3049">
        <v>12347000</v>
      </c>
    </row>
    <row r="3050" spans="2:8" x14ac:dyDescent="0.25">
      <c r="B3050" t="str">
        <f t="shared" si="47"/>
        <v>EUUPopulation ages 00-04, male</v>
      </c>
      <c r="C3050" t="s">
        <v>495</v>
      </c>
      <c r="D3050" t="s">
        <v>496</v>
      </c>
      <c r="E3050" t="s">
        <v>363</v>
      </c>
      <c r="F3050" t="s">
        <v>692</v>
      </c>
      <c r="G3050">
        <v>13085000</v>
      </c>
      <c r="H3050">
        <v>13022000</v>
      </c>
    </row>
    <row r="3051" spans="2:8" x14ac:dyDescent="0.25">
      <c r="B3051" t="str">
        <f t="shared" si="47"/>
        <v>EUUPopulation ages 05-09, female</v>
      </c>
      <c r="C3051" t="s">
        <v>495</v>
      </c>
      <c r="D3051" t="s">
        <v>496</v>
      </c>
      <c r="E3051" t="s">
        <v>364</v>
      </c>
      <c r="F3051" t="s">
        <v>693</v>
      </c>
      <c r="G3051">
        <v>13011000</v>
      </c>
      <c r="H3051">
        <v>12896000</v>
      </c>
    </row>
    <row r="3052" spans="2:8" x14ac:dyDescent="0.25">
      <c r="B3052" t="str">
        <f t="shared" si="47"/>
        <v>EUUPopulation ages 05-09, male</v>
      </c>
      <c r="C3052" t="s">
        <v>495</v>
      </c>
      <c r="D3052" t="s">
        <v>496</v>
      </c>
      <c r="E3052" t="s">
        <v>365</v>
      </c>
      <c r="F3052" t="s">
        <v>694</v>
      </c>
      <c r="G3052">
        <v>13732000</v>
      </c>
      <c r="H3052">
        <v>13616000</v>
      </c>
    </row>
    <row r="3053" spans="2:8" x14ac:dyDescent="0.25">
      <c r="B3053" t="str">
        <f t="shared" si="47"/>
        <v>EUUPopulation ages 10-14, female</v>
      </c>
      <c r="C3053" t="s">
        <v>495</v>
      </c>
      <c r="D3053" t="s">
        <v>496</v>
      </c>
      <c r="E3053" t="s">
        <v>366</v>
      </c>
      <c r="F3053" t="s">
        <v>695</v>
      </c>
      <c r="G3053">
        <v>13211000</v>
      </c>
      <c r="H3053">
        <v>13281000</v>
      </c>
    </row>
    <row r="3054" spans="2:8" x14ac:dyDescent="0.25">
      <c r="B3054" t="str">
        <f t="shared" si="47"/>
        <v>EUUPopulation ages 10-14, male</v>
      </c>
      <c r="C3054" t="s">
        <v>495</v>
      </c>
      <c r="D3054" t="s">
        <v>496</v>
      </c>
      <c r="E3054" t="s">
        <v>367</v>
      </c>
      <c r="F3054" t="s">
        <v>696</v>
      </c>
      <c r="G3054">
        <v>13963000</v>
      </c>
      <c r="H3054">
        <v>14049000</v>
      </c>
    </row>
    <row r="3055" spans="2:8" x14ac:dyDescent="0.25">
      <c r="B3055" t="str">
        <f t="shared" si="47"/>
        <v>EUUPopulation ages 15-19, female</v>
      </c>
      <c r="C3055" t="s">
        <v>495</v>
      </c>
      <c r="D3055" t="s">
        <v>496</v>
      </c>
      <c r="E3055" t="s">
        <v>368</v>
      </c>
      <c r="F3055" t="s">
        <v>697</v>
      </c>
      <c r="G3055">
        <v>12864000</v>
      </c>
      <c r="H3055">
        <v>12873000</v>
      </c>
    </row>
    <row r="3056" spans="2:8" x14ac:dyDescent="0.25">
      <c r="B3056" t="str">
        <f t="shared" si="47"/>
        <v>EUUPopulation ages 15-19, male</v>
      </c>
      <c r="C3056" t="s">
        <v>495</v>
      </c>
      <c r="D3056" t="s">
        <v>496</v>
      </c>
      <c r="E3056" t="s">
        <v>369</v>
      </c>
      <c r="F3056" t="s">
        <v>698</v>
      </c>
      <c r="G3056">
        <v>13586000</v>
      </c>
      <c r="H3056">
        <v>13606000</v>
      </c>
    </row>
    <row r="3057" spans="2:8" x14ac:dyDescent="0.25">
      <c r="B3057" t="str">
        <f t="shared" si="47"/>
        <v>EUUPopulation ages 20-24, female</v>
      </c>
      <c r="C3057" t="s">
        <v>495</v>
      </c>
      <c r="D3057" t="s">
        <v>496</v>
      </c>
      <c r="E3057" t="s">
        <v>370</v>
      </c>
      <c r="F3057" t="s">
        <v>699</v>
      </c>
      <c r="G3057">
        <v>13636000</v>
      </c>
      <c r="H3057">
        <v>13462000</v>
      </c>
    </row>
    <row r="3058" spans="2:8" x14ac:dyDescent="0.25">
      <c r="B3058" t="str">
        <f t="shared" si="47"/>
        <v>EUUPopulation ages 20-24, male</v>
      </c>
      <c r="C3058" t="s">
        <v>495</v>
      </c>
      <c r="D3058" t="s">
        <v>496</v>
      </c>
      <c r="E3058" t="s">
        <v>371</v>
      </c>
      <c r="F3058" t="s">
        <v>700</v>
      </c>
      <c r="G3058">
        <v>14354000</v>
      </c>
      <c r="H3058">
        <v>14183000</v>
      </c>
    </row>
    <row r="3059" spans="2:8" x14ac:dyDescent="0.25">
      <c r="B3059" t="str">
        <f t="shared" si="47"/>
        <v>EUUPopulation ages 25-29, female</v>
      </c>
      <c r="C3059" t="s">
        <v>495</v>
      </c>
      <c r="D3059" t="s">
        <v>496</v>
      </c>
      <c r="E3059" t="s">
        <v>372</v>
      </c>
      <c r="F3059" t="s">
        <v>701</v>
      </c>
      <c r="G3059">
        <v>15016000</v>
      </c>
      <c r="H3059">
        <v>14782000</v>
      </c>
    </row>
    <row r="3060" spans="2:8" x14ac:dyDescent="0.25">
      <c r="B3060" t="str">
        <f t="shared" si="47"/>
        <v>EUUPopulation ages 25-29, male</v>
      </c>
      <c r="C3060" t="s">
        <v>495</v>
      </c>
      <c r="D3060" t="s">
        <v>496</v>
      </c>
      <c r="E3060" t="s">
        <v>373</v>
      </c>
      <c r="F3060" t="s">
        <v>702</v>
      </c>
      <c r="G3060">
        <v>15686000</v>
      </c>
      <c r="H3060">
        <v>15474000</v>
      </c>
    </row>
    <row r="3061" spans="2:8" x14ac:dyDescent="0.25">
      <c r="B3061" t="str">
        <f t="shared" si="47"/>
        <v>EUUPopulation ages 30-34, female</v>
      </c>
      <c r="C3061" t="s">
        <v>495</v>
      </c>
      <c r="D3061" t="s">
        <v>496</v>
      </c>
      <c r="E3061" t="s">
        <v>374</v>
      </c>
      <c r="F3061" t="s">
        <v>703</v>
      </c>
      <c r="G3061">
        <v>16321000</v>
      </c>
      <c r="H3061">
        <v>16162000</v>
      </c>
    </row>
    <row r="3062" spans="2:8" x14ac:dyDescent="0.25">
      <c r="B3062" t="str">
        <f t="shared" si="47"/>
        <v>EUUPopulation ages 30-34, male</v>
      </c>
      <c r="C3062" t="s">
        <v>495</v>
      </c>
      <c r="D3062" t="s">
        <v>496</v>
      </c>
      <c r="E3062" t="s">
        <v>375</v>
      </c>
      <c r="F3062" t="s">
        <v>704</v>
      </c>
      <c r="G3062">
        <v>16794000</v>
      </c>
      <c r="H3062">
        <v>16686000</v>
      </c>
    </row>
    <row r="3063" spans="2:8" x14ac:dyDescent="0.25">
      <c r="B3063" t="str">
        <f t="shared" si="47"/>
        <v>EUUPopulation ages 35-39, female</v>
      </c>
      <c r="C3063" t="s">
        <v>495</v>
      </c>
      <c r="D3063" t="s">
        <v>496</v>
      </c>
      <c r="E3063" t="s">
        <v>376</v>
      </c>
      <c r="F3063" t="s">
        <v>705</v>
      </c>
      <c r="G3063">
        <v>17061000</v>
      </c>
      <c r="H3063">
        <v>16949000</v>
      </c>
    </row>
    <row r="3064" spans="2:8" x14ac:dyDescent="0.25">
      <c r="B3064" t="str">
        <f t="shared" si="47"/>
        <v>EUUPopulation ages 35-39, male</v>
      </c>
      <c r="C3064" t="s">
        <v>495</v>
      </c>
      <c r="D3064" t="s">
        <v>496</v>
      </c>
      <c r="E3064" t="s">
        <v>377</v>
      </c>
      <c r="F3064" t="s">
        <v>706</v>
      </c>
      <c r="G3064">
        <v>17298000</v>
      </c>
      <c r="H3064">
        <v>17224000</v>
      </c>
    </row>
    <row r="3065" spans="2:8" x14ac:dyDescent="0.25">
      <c r="B3065" t="str">
        <f t="shared" si="47"/>
        <v>EUUPopulation ages 40-44, female</v>
      </c>
      <c r="C3065" t="s">
        <v>495</v>
      </c>
      <c r="D3065" t="s">
        <v>496</v>
      </c>
      <c r="E3065" t="s">
        <v>378</v>
      </c>
      <c r="F3065" t="s">
        <v>707</v>
      </c>
      <c r="G3065">
        <v>17663000</v>
      </c>
      <c r="H3065">
        <v>17566000</v>
      </c>
    </row>
    <row r="3066" spans="2:8" x14ac:dyDescent="0.25">
      <c r="B3066" t="str">
        <f t="shared" si="47"/>
        <v>EUUPopulation ages 40-44, male</v>
      </c>
      <c r="C3066" t="s">
        <v>495</v>
      </c>
      <c r="D3066" t="s">
        <v>496</v>
      </c>
      <c r="E3066" t="s">
        <v>379</v>
      </c>
      <c r="F3066" t="s">
        <v>708</v>
      </c>
      <c r="G3066">
        <v>17832000</v>
      </c>
      <c r="H3066">
        <v>17743000</v>
      </c>
    </row>
    <row r="3067" spans="2:8" x14ac:dyDescent="0.25">
      <c r="B3067" t="str">
        <f t="shared" si="47"/>
        <v>EUUPopulation ages 45-49, female</v>
      </c>
      <c r="C3067" t="s">
        <v>495</v>
      </c>
      <c r="D3067" t="s">
        <v>496</v>
      </c>
      <c r="E3067" t="s">
        <v>380</v>
      </c>
      <c r="F3067" t="s">
        <v>709</v>
      </c>
      <c r="G3067">
        <v>18207000</v>
      </c>
      <c r="H3067">
        <v>18049000</v>
      </c>
    </row>
    <row r="3068" spans="2:8" x14ac:dyDescent="0.25">
      <c r="B3068" t="str">
        <f t="shared" si="47"/>
        <v>EUUPopulation ages 45-49, male</v>
      </c>
      <c r="C3068" t="s">
        <v>495</v>
      </c>
      <c r="D3068" t="s">
        <v>496</v>
      </c>
      <c r="E3068" t="s">
        <v>381</v>
      </c>
      <c r="F3068" t="s">
        <v>710</v>
      </c>
      <c r="G3068">
        <v>18256000</v>
      </c>
      <c r="H3068">
        <v>18120000</v>
      </c>
    </row>
    <row r="3069" spans="2:8" x14ac:dyDescent="0.25">
      <c r="B3069" t="str">
        <f t="shared" si="47"/>
        <v>EUUPopulation ages 50-54, female</v>
      </c>
      <c r="C3069" t="s">
        <v>495</v>
      </c>
      <c r="D3069" t="s">
        <v>496</v>
      </c>
      <c r="E3069" t="s">
        <v>382</v>
      </c>
      <c r="F3069" t="s">
        <v>711</v>
      </c>
      <c r="G3069">
        <v>18781000</v>
      </c>
      <c r="H3069">
        <v>18713000</v>
      </c>
    </row>
    <row r="3070" spans="2:8" x14ac:dyDescent="0.25">
      <c r="B3070" t="str">
        <f t="shared" si="47"/>
        <v>EUUPopulation ages 50-54, male</v>
      </c>
      <c r="C3070" t="s">
        <v>495</v>
      </c>
      <c r="D3070" t="s">
        <v>496</v>
      </c>
      <c r="E3070" t="s">
        <v>383</v>
      </c>
      <c r="F3070" t="s">
        <v>712</v>
      </c>
      <c r="G3070">
        <v>18548000</v>
      </c>
      <c r="H3070">
        <v>18507000</v>
      </c>
    </row>
    <row r="3071" spans="2:8" x14ac:dyDescent="0.25">
      <c r="B3071" t="str">
        <f t="shared" si="47"/>
        <v>EUUPopulation ages 55-59, male</v>
      </c>
      <c r="C3071" t="s">
        <v>495</v>
      </c>
      <c r="D3071" t="s">
        <v>496</v>
      </c>
      <c r="E3071" t="s">
        <v>385</v>
      </c>
      <c r="F3071" t="s">
        <v>713</v>
      </c>
      <c r="G3071">
        <v>17563000</v>
      </c>
      <c r="H3071">
        <v>17720000</v>
      </c>
    </row>
    <row r="3072" spans="2:8" x14ac:dyDescent="0.25">
      <c r="B3072" t="str">
        <f t="shared" si="47"/>
        <v>EUUPopulation ages 55-59, female</v>
      </c>
      <c r="C3072" t="s">
        <v>495</v>
      </c>
      <c r="D3072" t="s">
        <v>496</v>
      </c>
      <c r="E3072" t="s">
        <v>384</v>
      </c>
      <c r="F3072" t="s">
        <v>714</v>
      </c>
      <c r="G3072">
        <v>18198000</v>
      </c>
      <c r="H3072">
        <v>18317000</v>
      </c>
    </row>
    <row r="3073" spans="2:8" x14ac:dyDescent="0.25">
      <c r="B3073" t="str">
        <f t="shared" si="47"/>
        <v>EUUPopulation ages 65-69, male</v>
      </c>
      <c r="C3073" t="s">
        <v>495</v>
      </c>
      <c r="D3073" t="s">
        <v>496</v>
      </c>
      <c r="E3073" t="s">
        <v>389</v>
      </c>
      <c r="F3073" t="s">
        <v>715</v>
      </c>
      <c r="G3073">
        <v>13719000</v>
      </c>
      <c r="H3073">
        <v>13830000</v>
      </c>
    </row>
    <row r="3074" spans="2:8" x14ac:dyDescent="0.25">
      <c r="B3074" t="str">
        <f t="shared" si="47"/>
        <v>EUUPopulation ages 65-69, female</v>
      </c>
      <c r="C3074" t="s">
        <v>495</v>
      </c>
      <c r="D3074" t="s">
        <v>496</v>
      </c>
      <c r="E3074" t="s">
        <v>388</v>
      </c>
      <c r="F3074" t="s">
        <v>716</v>
      </c>
      <c r="G3074">
        <v>15458000</v>
      </c>
      <c r="H3074">
        <v>15580000</v>
      </c>
    </row>
    <row r="3075" spans="2:8" x14ac:dyDescent="0.25">
      <c r="B3075" t="str">
        <f t="shared" si="47"/>
        <v>EUUPopulation ages 60-64, female</v>
      </c>
      <c r="C3075" t="s">
        <v>495</v>
      </c>
      <c r="D3075" t="s">
        <v>496</v>
      </c>
      <c r="E3075" t="s">
        <v>386</v>
      </c>
      <c r="F3075" t="s">
        <v>717</v>
      </c>
      <c r="G3075">
        <v>16905000</v>
      </c>
      <c r="H3075">
        <v>17090000</v>
      </c>
    </row>
    <row r="3076" spans="2:8" x14ac:dyDescent="0.25">
      <c r="B3076" t="str">
        <f t="shared" si="47"/>
        <v>EUUPopulation ages 60-64, male</v>
      </c>
      <c r="C3076" t="s">
        <v>495</v>
      </c>
      <c r="D3076" t="s">
        <v>496</v>
      </c>
      <c r="E3076" t="s">
        <v>387</v>
      </c>
      <c r="F3076" t="s">
        <v>718</v>
      </c>
      <c r="G3076">
        <v>15711000</v>
      </c>
      <c r="H3076">
        <v>15933000</v>
      </c>
    </row>
    <row r="3077" spans="2:8" x14ac:dyDescent="0.25">
      <c r="B3077" t="str">
        <f t="shared" si="47"/>
        <v>EUUPopulation ages 70-74, female</v>
      </c>
      <c r="C3077" t="s">
        <v>495</v>
      </c>
      <c r="D3077" t="s">
        <v>496</v>
      </c>
      <c r="E3077" t="s">
        <v>390</v>
      </c>
      <c r="F3077" t="s">
        <v>719</v>
      </c>
      <c r="G3077">
        <v>13739000</v>
      </c>
      <c r="H3077">
        <v>14092000</v>
      </c>
    </row>
    <row r="3078" spans="2:8" x14ac:dyDescent="0.25">
      <c r="B3078" t="str">
        <f t="shared" si="47"/>
        <v>EUUPopulation ages 70-74, male</v>
      </c>
      <c r="C3078" t="s">
        <v>495</v>
      </c>
      <c r="D3078" t="s">
        <v>496</v>
      </c>
      <c r="E3078" t="s">
        <v>391</v>
      </c>
      <c r="F3078" t="s">
        <v>720</v>
      </c>
      <c r="G3078">
        <v>11676000</v>
      </c>
      <c r="H3078">
        <v>11967000</v>
      </c>
    </row>
    <row r="3079" spans="2:8" x14ac:dyDescent="0.25">
      <c r="B3079" t="str">
        <f t="shared" ref="B3079:B3142" si="48">CONCATENATE(D3079,E3079)</f>
        <v>EUUPopulation ages 75-79, female</v>
      </c>
      <c r="C3079" t="s">
        <v>495</v>
      </c>
      <c r="D3079" t="s">
        <v>496</v>
      </c>
      <c r="E3079" t="s">
        <v>392</v>
      </c>
      <c r="F3079" t="s">
        <v>721</v>
      </c>
      <c r="G3079">
        <v>10738100</v>
      </c>
      <c r="H3079">
        <v>10916500</v>
      </c>
    </row>
    <row r="3080" spans="2:8" x14ac:dyDescent="0.25">
      <c r="B3080" t="str">
        <f t="shared" si="48"/>
        <v>EUUPopulation ages 75-79, male</v>
      </c>
      <c r="C3080" t="s">
        <v>495</v>
      </c>
      <c r="D3080" t="s">
        <v>496</v>
      </c>
      <c r="E3080" t="s">
        <v>393</v>
      </c>
      <c r="F3080" t="s">
        <v>722</v>
      </c>
      <c r="G3080">
        <v>8354800</v>
      </c>
      <c r="H3080">
        <v>8553700</v>
      </c>
    </row>
    <row r="3081" spans="2:8" x14ac:dyDescent="0.25">
      <c r="B3081" t="str">
        <f t="shared" si="48"/>
        <v>EUUPopulation ages 80 and above, female</v>
      </c>
      <c r="C3081" t="s">
        <v>495</v>
      </c>
      <c r="D3081" t="s">
        <v>496</v>
      </c>
      <c r="E3081" t="s">
        <v>394</v>
      </c>
      <c r="F3081" t="s">
        <v>723</v>
      </c>
      <c r="G3081">
        <v>18951000</v>
      </c>
      <c r="H3081">
        <v>19111000</v>
      </c>
    </row>
    <row r="3082" spans="2:8" x14ac:dyDescent="0.25">
      <c r="B3082" t="str">
        <f t="shared" si="48"/>
        <v>EUUPopulation ages 80 and above, male</v>
      </c>
      <c r="C3082" t="s">
        <v>495</v>
      </c>
      <c r="D3082" t="s">
        <v>496</v>
      </c>
      <c r="E3082" t="s">
        <v>395</v>
      </c>
      <c r="F3082" t="s">
        <v>724</v>
      </c>
      <c r="G3082">
        <v>11136000</v>
      </c>
      <c r="H3082">
        <v>11293400</v>
      </c>
    </row>
    <row r="3083" spans="2:8" x14ac:dyDescent="0.25">
      <c r="B3083" t="str">
        <f t="shared" si="48"/>
        <v>EUUPopulation, male</v>
      </c>
      <c r="C3083" t="s">
        <v>495</v>
      </c>
      <c r="D3083" t="s">
        <v>496</v>
      </c>
      <c r="E3083" t="s">
        <v>397</v>
      </c>
      <c r="F3083" t="s">
        <v>725</v>
      </c>
      <c r="G3083">
        <v>251298000</v>
      </c>
      <c r="H3083">
        <v>251523000</v>
      </c>
    </row>
    <row r="3084" spans="2:8" x14ac:dyDescent="0.25">
      <c r="B3084" t="str">
        <f t="shared" si="48"/>
        <v>EUUPopulation, total</v>
      </c>
      <c r="C3084" t="s">
        <v>495</v>
      </c>
      <c r="D3084" t="s">
        <v>496</v>
      </c>
      <c r="E3084" t="s">
        <v>398</v>
      </c>
      <c r="F3084" t="s">
        <v>726</v>
      </c>
      <c r="G3084">
        <v>513468000</v>
      </c>
      <c r="H3084">
        <v>513719000</v>
      </c>
    </row>
    <row r="3085" spans="2:8" x14ac:dyDescent="0.25">
      <c r="B3085" t="str">
        <f t="shared" si="48"/>
        <v>EUUPopulation, female</v>
      </c>
      <c r="C3085" t="s">
        <v>495</v>
      </c>
      <c r="D3085" t="s">
        <v>496</v>
      </c>
      <c r="E3085" t="s">
        <v>396</v>
      </c>
      <c r="F3085" t="s">
        <v>727</v>
      </c>
      <c r="G3085">
        <v>262167000</v>
      </c>
      <c r="H3085">
        <v>262195000</v>
      </c>
    </row>
    <row r="3086" spans="2:8" x14ac:dyDescent="0.25">
      <c r="B3086" t="str">
        <f t="shared" si="48"/>
        <v>EUUPopulation growth (annual %)</v>
      </c>
      <c r="C3086" t="s">
        <v>495</v>
      </c>
      <c r="D3086" t="s">
        <v>496</v>
      </c>
      <c r="E3086" t="s">
        <v>399</v>
      </c>
      <c r="F3086" t="s">
        <v>728</v>
      </c>
      <c r="G3086">
        <v>4.9616206115814521E-2</v>
      </c>
      <c r="H3086">
        <v>4.8883279970695526E-2</v>
      </c>
    </row>
    <row r="3087" spans="2:8" x14ac:dyDescent="0.25">
      <c r="B3087" t="str">
        <f t="shared" si="48"/>
        <v>FROPopulation ages 0-14, female</v>
      </c>
      <c r="C3087" t="s">
        <v>497</v>
      </c>
      <c r="D3087" t="s">
        <v>498</v>
      </c>
      <c r="E3087" t="s">
        <v>687</v>
      </c>
      <c r="F3087" t="s">
        <v>688</v>
      </c>
      <c r="G3087">
        <v>0</v>
      </c>
      <c r="H3087">
        <v>0</v>
      </c>
    </row>
    <row r="3088" spans="2:8" x14ac:dyDescent="0.25">
      <c r="B3088" t="str">
        <f t="shared" si="48"/>
        <v>FROPopulation ages 0-14, male</v>
      </c>
      <c r="C3088" t="s">
        <v>497</v>
      </c>
      <c r="D3088" t="s">
        <v>498</v>
      </c>
      <c r="E3088" t="s">
        <v>689</v>
      </c>
      <c r="F3088" t="s">
        <v>690</v>
      </c>
      <c r="G3088">
        <v>0</v>
      </c>
      <c r="H3088">
        <v>0</v>
      </c>
    </row>
    <row r="3089" spans="2:8" x14ac:dyDescent="0.25">
      <c r="B3089" t="str">
        <f t="shared" si="48"/>
        <v>FROPopulation ages 00-04, female</v>
      </c>
      <c r="C3089" t="s">
        <v>497</v>
      </c>
      <c r="D3089" t="s">
        <v>498</v>
      </c>
      <c r="E3089" t="s">
        <v>362</v>
      </c>
      <c r="F3089" t="s">
        <v>691</v>
      </c>
      <c r="G3089">
        <v>0</v>
      </c>
      <c r="H3089">
        <v>0</v>
      </c>
    </row>
    <row r="3090" spans="2:8" x14ac:dyDescent="0.25">
      <c r="B3090" t="str">
        <f t="shared" si="48"/>
        <v>FROPopulation ages 00-04, male</v>
      </c>
      <c r="C3090" t="s">
        <v>497</v>
      </c>
      <c r="D3090" t="s">
        <v>498</v>
      </c>
      <c r="E3090" t="s">
        <v>363</v>
      </c>
      <c r="F3090" t="s">
        <v>692</v>
      </c>
      <c r="G3090">
        <v>0</v>
      </c>
      <c r="H3090">
        <v>0</v>
      </c>
    </row>
    <row r="3091" spans="2:8" x14ac:dyDescent="0.25">
      <c r="B3091" t="str">
        <f t="shared" si="48"/>
        <v>FROPopulation ages 05-09, female</v>
      </c>
      <c r="C3091" t="s">
        <v>497</v>
      </c>
      <c r="D3091" t="s">
        <v>498</v>
      </c>
      <c r="E3091" t="s">
        <v>364</v>
      </c>
      <c r="F3091" t="s">
        <v>693</v>
      </c>
      <c r="G3091">
        <v>0</v>
      </c>
      <c r="H3091">
        <v>0</v>
      </c>
    </row>
    <row r="3092" spans="2:8" x14ac:dyDescent="0.25">
      <c r="B3092" t="str">
        <f t="shared" si="48"/>
        <v>FROPopulation ages 05-09, male</v>
      </c>
      <c r="C3092" t="s">
        <v>497</v>
      </c>
      <c r="D3092" t="s">
        <v>498</v>
      </c>
      <c r="E3092" t="s">
        <v>365</v>
      </c>
      <c r="F3092" t="s">
        <v>694</v>
      </c>
      <c r="G3092">
        <v>0</v>
      </c>
      <c r="H3092">
        <v>0</v>
      </c>
    </row>
    <row r="3093" spans="2:8" x14ac:dyDescent="0.25">
      <c r="B3093" t="str">
        <f t="shared" si="48"/>
        <v>FROPopulation ages 10-14, female</v>
      </c>
      <c r="C3093" t="s">
        <v>497</v>
      </c>
      <c r="D3093" t="s">
        <v>498</v>
      </c>
      <c r="E3093" t="s">
        <v>366</v>
      </c>
      <c r="F3093" t="s">
        <v>695</v>
      </c>
      <c r="G3093">
        <v>0</v>
      </c>
      <c r="H3093">
        <v>0</v>
      </c>
    </row>
    <row r="3094" spans="2:8" x14ac:dyDescent="0.25">
      <c r="B3094" t="str">
        <f t="shared" si="48"/>
        <v>FROPopulation ages 10-14, male</v>
      </c>
      <c r="C3094" t="s">
        <v>497</v>
      </c>
      <c r="D3094" t="s">
        <v>498</v>
      </c>
      <c r="E3094" t="s">
        <v>367</v>
      </c>
      <c r="F3094" t="s">
        <v>696</v>
      </c>
      <c r="G3094">
        <v>0</v>
      </c>
      <c r="H3094">
        <v>0</v>
      </c>
    </row>
    <row r="3095" spans="2:8" x14ac:dyDescent="0.25">
      <c r="B3095" t="str">
        <f t="shared" si="48"/>
        <v>FROPopulation ages 15-19, female</v>
      </c>
      <c r="C3095" t="s">
        <v>497</v>
      </c>
      <c r="D3095" t="s">
        <v>498</v>
      </c>
      <c r="E3095" t="s">
        <v>368</v>
      </c>
      <c r="F3095" t="s">
        <v>697</v>
      </c>
      <c r="G3095">
        <v>0</v>
      </c>
      <c r="H3095">
        <v>0</v>
      </c>
    </row>
    <row r="3096" spans="2:8" x14ac:dyDescent="0.25">
      <c r="B3096" t="str">
        <f t="shared" si="48"/>
        <v>FROPopulation ages 15-19, male</v>
      </c>
      <c r="C3096" t="s">
        <v>497</v>
      </c>
      <c r="D3096" t="s">
        <v>498</v>
      </c>
      <c r="E3096" t="s">
        <v>369</v>
      </c>
      <c r="F3096" t="s">
        <v>698</v>
      </c>
      <c r="G3096">
        <v>0</v>
      </c>
      <c r="H3096">
        <v>0</v>
      </c>
    </row>
    <row r="3097" spans="2:8" x14ac:dyDescent="0.25">
      <c r="B3097" t="str">
        <f t="shared" si="48"/>
        <v>FROPopulation ages 20-24, female</v>
      </c>
      <c r="C3097" t="s">
        <v>497</v>
      </c>
      <c r="D3097" t="s">
        <v>498</v>
      </c>
      <c r="E3097" t="s">
        <v>370</v>
      </c>
      <c r="F3097" t="s">
        <v>699</v>
      </c>
      <c r="G3097">
        <v>0</v>
      </c>
      <c r="H3097">
        <v>0</v>
      </c>
    </row>
    <row r="3098" spans="2:8" x14ac:dyDescent="0.25">
      <c r="B3098" t="str">
        <f t="shared" si="48"/>
        <v>FROPopulation ages 20-24, male</v>
      </c>
      <c r="C3098" t="s">
        <v>497</v>
      </c>
      <c r="D3098" t="s">
        <v>498</v>
      </c>
      <c r="E3098" t="s">
        <v>371</v>
      </c>
      <c r="F3098" t="s">
        <v>700</v>
      </c>
      <c r="G3098">
        <v>0</v>
      </c>
      <c r="H3098">
        <v>0</v>
      </c>
    </row>
    <row r="3099" spans="2:8" x14ac:dyDescent="0.25">
      <c r="B3099" t="str">
        <f t="shared" si="48"/>
        <v>FROPopulation ages 25-29, female</v>
      </c>
      <c r="C3099" t="s">
        <v>497</v>
      </c>
      <c r="D3099" t="s">
        <v>498</v>
      </c>
      <c r="E3099" t="s">
        <v>372</v>
      </c>
      <c r="F3099" t="s">
        <v>701</v>
      </c>
      <c r="G3099">
        <v>0</v>
      </c>
      <c r="H3099">
        <v>0</v>
      </c>
    </row>
    <row r="3100" spans="2:8" x14ac:dyDescent="0.25">
      <c r="B3100" t="str">
        <f t="shared" si="48"/>
        <v>FROPopulation ages 25-29, male</v>
      </c>
      <c r="C3100" t="s">
        <v>497</v>
      </c>
      <c r="D3100" t="s">
        <v>498</v>
      </c>
      <c r="E3100" t="s">
        <v>373</v>
      </c>
      <c r="F3100" t="s">
        <v>702</v>
      </c>
      <c r="G3100">
        <v>0</v>
      </c>
      <c r="H3100">
        <v>0</v>
      </c>
    </row>
    <row r="3101" spans="2:8" x14ac:dyDescent="0.25">
      <c r="B3101" t="str">
        <f t="shared" si="48"/>
        <v>FROPopulation ages 30-34, female</v>
      </c>
      <c r="C3101" t="s">
        <v>497</v>
      </c>
      <c r="D3101" t="s">
        <v>498</v>
      </c>
      <c r="E3101" t="s">
        <v>374</v>
      </c>
      <c r="F3101" t="s">
        <v>703</v>
      </c>
      <c r="G3101">
        <v>0</v>
      </c>
      <c r="H3101">
        <v>0</v>
      </c>
    </row>
    <row r="3102" spans="2:8" x14ac:dyDescent="0.25">
      <c r="B3102" t="str">
        <f t="shared" si="48"/>
        <v>FROPopulation ages 30-34, male</v>
      </c>
      <c r="C3102" t="s">
        <v>497</v>
      </c>
      <c r="D3102" t="s">
        <v>498</v>
      </c>
      <c r="E3102" t="s">
        <v>375</v>
      </c>
      <c r="F3102" t="s">
        <v>704</v>
      </c>
      <c r="G3102">
        <v>0</v>
      </c>
      <c r="H3102">
        <v>0</v>
      </c>
    </row>
    <row r="3103" spans="2:8" x14ac:dyDescent="0.25">
      <c r="B3103" t="str">
        <f t="shared" si="48"/>
        <v>FROPopulation ages 35-39, female</v>
      </c>
      <c r="C3103" t="s">
        <v>497</v>
      </c>
      <c r="D3103" t="s">
        <v>498</v>
      </c>
      <c r="E3103" t="s">
        <v>376</v>
      </c>
      <c r="F3103" t="s">
        <v>705</v>
      </c>
      <c r="G3103">
        <v>0</v>
      </c>
      <c r="H3103">
        <v>0</v>
      </c>
    </row>
    <row r="3104" spans="2:8" x14ac:dyDescent="0.25">
      <c r="B3104" t="str">
        <f t="shared" si="48"/>
        <v>FROPopulation ages 35-39, male</v>
      </c>
      <c r="C3104" t="s">
        <v>497</v>
      </c>
      <c r="D3104" t="s">
        <v>498</v>
      </c>
      <c r="E3104" t="s">
        <v>377</v>
      </c>
      <c r="F3104" t="s">
        <v>706</v>
      </c>
      <c r="G3104">
        <v>0</v>
      </c>
      <c r="H3104">
        <v>0</v>
      </c>
    </row>
    <row r="3105" spans="2:8" x14ac:dyDescent="0.25">
      <c r="B3105" t="str">
        <f t="shared" si="48"/>
        <v>FROPopulation ages 40-44, female</v>
      </c>
      <c r="C3105" t="s">
        <v>497</v>
      </c>
      <c r="D3105" t="s">
        <v>498</v>
      </c>
      <c r="E3105" t="s">
        <v>378</v>
      </c>
      <c r="F3105" t="s">
        <v>707</v>
      </c>
      <c r="G3105">
        <v>0</v>
      </c>
      <c r="H3105">
        <v>0</v>
      </c>
    </row>
    <row r="3106" spans="2:8" x14ac:dyDescent="0.25">
      <c r="B3106" t="str">
        <f t="shared" si="48"/>
        <v>FROPopulation ages 40-44, male</v>
      </c>
      <c r="C3106" t="s">
        <v>497</v>
      </c>
      <c r="D3106" t="s">
        <v>498</v>
      </c>
      <c r="E3106" t="s">
        <v>379</v>
      </c>
      <c r="F3106" t="s">
        <v>708</v>
      </c>
      <c r="G3106">
        <v>0</v>
      </c>
      <c r="H3106">
        <v>0</v>
      </c>
    </row>
    <row r="3107" spans="2:8" x14ac:dyDescent="0.25">
      <c r="B3107" t="str">
        <f t="shared" si="48"/>
        <v>FROPopulation ages 45-49, female</v>
      </c>
      <c r="C3107" t="s">
        <v>497</v>
      </c>
      <c r="D3107" t="s">
        <v>498</v>
      </c>
      <c r="E3107" t="s">
        <v>380</v>
      </c>
      <c r="F3107" t="s">
        <v>709</v>
      </c>
      <c r="G3107">
        <v>0</v>
      </c>
      <c r="H3107">
        <v>0</v>
      </c>
    </row>
    <row r="3108" spans="2:8" x14ac:dyDescent="0.25">
      <c r="B3108" t="str">
        <f t="shared" si="48"/>
        <v>FROPopulation ages 45-49, male</v>
      </c>
      <c r="C3108" t="s">
        <v>497</v>
      </c>
      <c r="D3108" t="s">
        <v>498</v>
      </c>
      <c r="E3108" t="s">
        <v>381</v>
      </c>
      <c r="F3108" t="s">
        <v>710</v>
      </c>
      <c r="G3108">
        <v>0</v>
      </c>
      <c r="H3108">
        <v>0</v>
      </c>
    </row>
    <row r="3109" spans="2:8" x14ac:dyDescent="0.25">
      <c r="B3109" t="str">
        <f t="shared" si="48"/>
        <v>FROPopulation ages 50-54, female</v>
      </c>
      <c r="C3109" t="s">
        <v>497</v>
      </c>
      <c r="D3109" t="s">
        <v>498</v>
      </c>
      <c r="E3109" t="s">
        <v>382</v>
      </c>
      <c r="F3109" t="s">
        <v>711</v>
      </c>
      <c r="G3109">
        <v>0</v>
      </c>
      <c r="H3109">
        <v>0</v>
      </c>
    </row>
    <row r="3110" spans="2:8" x14ac:dyDescent="0.25">
      <c r="B3110" t="str">
        <f t="shared" si="48"/>
        <v>FROPopulation ages 50-54, male</v>
      </c>
      <c r="C3110" t="s">
        <v>497</v>
      </c>
      <c r="D3110" t="s">
        <v>498</v>
      </c>
      <c r="E3110" t="s">
        <v>383</v>
      </c>
      <c r="F3110" t="s">
        <v>712</v>
      </c>
      <c r="G3110">
        <v>0</v>
      </c>
      <c r="H3110">
        <v>0</v>
      </c>
    </row>
    <row r="3111" spans="2:8" x14ac:dyDescent="0.25">
      <c r="B3111" t="str">
        <f t="shared" si="48"/>
        <v>FROPopulation ages 55-59, male</v>
      </c>
      <c r="C3111" t="s">
        <v>497</v>
      </c>
      <c r="D3111" t="s">
        <v>498</v>
      </c>
      <c r="E3111" t="s">
        <v>385</v>
      </c>
      <c r="F3111" t="s">
        <v>713</v>
      </c>
      <c r="G3111">
        <v>0</v>
      </c>
      <c r="H3111">
        <v>0</v>
      </c>
    </row>
    <row r="3112" spans="2:8" x14ac:dyDescent="0.25">
      <c r="B3112" t="str">
        <f t="shared" si="48"/>
        <v>FROPopulation ages 55-59, female</v>
      </c>
      <c r="C3112" t="s">
        <v>497</v>
      </c>
      <c r="D3112" t="s">
        <v>498</v>
      </c>
      <c r="E3112" t="s">
        <v>384</v>
      </c>
      <c r="F3112" t="s">
        <v>714</v>
      </c>
      <c r="G3112">
        <v>0</v>
      </c>
      <c r="H3112">
        <v>0</v>
      </c>
    </row>
    <row r="3113" spans="2:8" x14ac:dyDescent="0.25">
      <c r="B3113" t="str">
        <f t="shared" si="48"/>
        <v>FROPopulation ages 65-69, male</v>
      </c>
      <c r="C3113" t="s">
        <v>497</v>
      </c>
      <c r="D3113" t="s">
        <v>498</v>
      </c>
      <c r="E3113" t="s">
        <v>389</v>
      </c>
      <c r="F3113" t="s">
        <v>715</v>
      </c>
      <c r="G3113">
        <v>0</v>
      </c>
      <c r="H3113">
        <v>0</v>
      </c>
    </row>
    <row r="3114" spans="2:8" x14ac:dyDescent="0.25">
      <c r="B3114" t="str">
        <f t="shared" si="48"/>
        <v>FROPopulation ages 65-69, female</v>
      </c>
      <c r="C3114" t="s">
        <v>497</v>
      </c>
      <c r="D3114" t="s">
        <v>498</v>
      </c>
      <c r="E3114" t="s">
        <v>388</v>
      </c>
      <c r="F3114" t="s">
        <v>716</v>
      </c>
      <c r="G3114">
        <v>0</v>
      </c>
      <c r="H3114">
        <v>0</v>
      </c>
    </row>
    <row r="3115" spans="2:8" x14ac:dyDescent="0.25">
      <c r="B3115" t="str">
        <f t="shared" si="48"/>
        <v>FROPopulation ages 60-64, female</v>
      </c>
      <c r="C3115" t="s">
        <v>497</v>
      </c>
      <c r="D3115" t="s">
        <v>498</v>
      </c>
      <c r="E3115" t="s">
        <v>386</v>
      </c>
      <c r="F3115" t="s">
        <v>717</v>
      </c>
      <c r="G3115">
        <v>0</v>
      </c>
      <c r="H3115">
        <v>0</v>
      </c>
    </row>
    <row r="3116" spans="2:8" x14ac:dyDescent="0.25">
      <c r="B3116" t="str">
        <f t="shared" si="48"/>
        <v>FROPopulation ages 60-64, male</v>
      </c>
      <c r="C3116" t="s">
        <v>497</v>
      </c>
      <c r="D3116" t="s">
        <v>498</v>
      </c>
      <c r="E3116" t="s">
        <v>387</v>
      </c>
      <c r="F3116" t="s">
        <v>718</v>
      </c>
      <c r="G3116">
        <v>0</v>
      </c>
      <c r="H3116">
        <v>0</v>
      </c>
    </row>
    <row r="3117" spans="2:8" x14ac:dyDescent="0.25">
      <c r="B3117" t="str">
        <f t="shared" si="48"/>
        <v>FROPopulation ages 70-74, female</v>
      </c>
      <c r="C3117" t="s">
        <v>497</v>
      </c>
      <c r="D3117" t="s">
        <v>498</v>
      </c>
      <c r="E3117" t="s">
        <v>390</v>
      </c>
      <c r="F3117" t="s">
        <v>719</v>
      </c>
      <c r="G3117">
        <v>0</v>
      </c>
      <c r="H3117">
        <v>0</v>
      </c>
    </row>
    <row r="3118" spans="2:8" x14ac:dyDescent="0.25">
      <c r="B3118" t="str">
        <f t="shared" si="48"/>
        <v>FROPopulation ages 70-74, male</v>
      </c>
      <c r="C3118" t="s">
        <v>497</v>
      </c>
      <c r="D3118" t="s">
        <v>498</v>
      </c>
      <c r="E3118" t="s">
        <v>391</v>
      </c>
      <c r="F3118" t="s">
        <v>720</v>
      </c>
      <c r="G3118">
        <v>0</v>
      </c>
      <c r="H3118">
        <v>0</v>
      </c>
    </row>
    <row r="3119" spans="2:8" x14ac:dyDescent="0.25">
      <c r="B3119" t="str">
        <f t="shared" si="48"/>
        <v>FROPopulation ages 75-79, female</v>
      </c>
      <c r="C3119" t="s">
        <v>497</v>
      </c>
      <c r="D3119" t="s">
        <v>498</v>
      </c>
      <c r="E3119" t="s">
        <v>392</v>
      </c>
      <c r="F3119" t="s">
        <v>721</v>
      </c>
      <c r="G3119">
        <v>0</v>
      </c>
      <c r="H3119">
        <v>0</v>
      </c>
    </row>
    <row r="3120" spans="2:8" x14ac:dyDescent="0.25">
      <c r="B3120" t="str">
        <f t="shared" si="48"/>
        <v>FROPopulation ages 75-79, male</v>
      </c>
      <c r="C3120" t="s">
        <v>497</v>
      </c>
      <c r="D3120" t="s">
        <v>498</v>
      </c>
      <c r="E3120" t="s">
        <v>393</v>
      </c>
      <c r="F3120" t="s">
        <v>722</v>
      </c>
      <c r="G3120">
        <v>0</v>
      </c>
      <c r="H3120">
        <v>0</v>
      </c>
    </row>
    <row r="3121" spans="2:8" x14ac:dyDescent="0.25">
      <c r="B3121" t="str">
        <f t="shared" si="48"/>
        <v>FROPopulation ages 80 and above, female</v>
      </c>
      <c r="C3121" t="s">
        <v>497</v>
      </c>
      <c r="D3121" t="s">
        <v>498</v>
      </c>
      <c r="E3121" t="s">
        <v>394</v>
      </c>
      <c r="F3121" t="s">
        <v>723</v>
      </c>
      <c r="G3121">
        <v>0</v>
      </c>
      <c r="H3121">
        <v>0</v>
      </c>
    </row>
    <row r="3122" spans="2:8" x14ac:dyDescent="0.25">
      <c r="B3122" t="str">
        <f t="shared" si="48"/>
        <v>FROPopulation ages 80 and above, male</v>
      </c>
      <c r="C3122" t="s">
        <v>497</v>
      </c>
      <c r="D3122" t="s">
        <v>498</v>
      </c>
      <c r="E3122" t="s">
        <v>395</v>
      </c>
      <c r="F3122" t="s">
        <v>724</v>
      </c>
      <c r="G3122">
        <v>0</v>
      </c>
      <c r="H3122">
        <v>0</v>
      </c>
    </row>
    <row r="3123" spans="2:8" x14ac:dyDescent="0.25">
      <c r="B3123" t="str">
        <f t="shared" si="48"/>
        <v>FROPopulation, male</v>
      </c>
      <c r="C3123" t="s">
        <v>497</v>
      </c>
      <c r="D3123" t="s">
        <v>498</v>
      </c>
      <c r="E3123" t="s">
        <v>397</v>
      </c>
      <c r="F3123" t="s">
        <v>725</v>
      </c>
      <c r="G3123">
        <v>0</v>
      </c>
      <c r="H3123">
        <v>0</v>
      </c>
    </row>
    <row r="3124" spans="2:8" x14ac:dyDescent="0.25">
      <c r="B3124" t="str">
        <f t="shared" si="48"/>
        <v>FROPopulation, total</v>
      </c>
      <c r="C3124" t="s">
        <v>497</v>
      </c>
      <c r="D3124" t="s">
        <v>498</v>
      </c>
      <c r="E3124" t="s">
        <v>398</v>
      </c>
      <c r="F3124" t="s">
        <v>726</v>
      </c>
      <c r="G3124">
        <v>49000</v>
      </c>
      <c r="H3124">
        <v>49000</v>
      </c>
    </row>
    <row r="3125" spans="2:8" x14ac:dyDescent="0.25">
      <c r="B3125" t="str">
        <f t="shared" si="48"/>
        <v>FROPopulation, female</v>
      </c>
      <c r="C3125" t="s">
        <v>497</v>
      </c>
      <c r="D3125" t="s">
        <v>498</v>
      </c>
      <c r="E3125" t="s">
        <v>396</v>
      </c>
      <c r="F3125" t="s">
        <v>727</v>
      </c>
      <c r="G3125">
        <v>0</v>
      </c>
      <c r="H3125">
        <v>0</v>
      </c>
    </row>
    <row r="3126" spans="2:8" x14ac:dyDescent="0.25">
      <c r="B3126" t="str">
        <f t="shared" si="48"/>
        <v>FROPopulation growth (annual %)</v>
      </c>
      <c r="C3126" t="s">
        <v>497</v>
      </c>
      <c r="D3126" t="s">
        <v>498</v>
      </c>
      <c r="E3126" t="s">
        <v>399</v>
      </c>
      <c r="F3126" t="s">
        <v>728</v>
      </c>
      <c r="G3126">
        <v>0</v>
      </c>
      <c r="H3126">
        <v>0</v>
      </c>
    </row>
    <row r="3127" spans="2:8" x14ac:dyDescent="0.25">
      <c r="B3127" t="str">
        <f t="shared" si="48"/>
        <v>FJIPopulation ages 0-14, female</v>
      </c>
      <c r="C3127" t="s">
        <v>248</v>
      </c>
      <c r="D3127" t="s">
        <v>44</v>
      </c>
      <c r="E3127" t="s">
        <v>687</v>
      </c>
      <c r="F3127" t="s">
        <v>688</v>
      </c>
      <c r="G3127">
        <v>127000</v>
      </c>
      <c r="H3127">
        <v>127000</v>
      </c>
    </row>
    <row r="3128" spans="2:8" x14ac:dyDescent="0.25">
      <c r="B3128" t="str">
        <f t="shared" si="48"/>
        <v>FJIPopulation ages 0-14, male</v>
      </c>
      <c r="C3128" t="s">
        <v>248</v>
      </c>
      <c r="D3128" t="s">
        <v>44</v>
      </c>
      <c r="E3128" t="s">
        <v>689</v>
      </c>
      <c r="F3128" t="s">
        <v>690</v>
      </c>
      <c r="G3128">
        <v>134000</v>
      </c>
      <c r="H3128">
        <v>133000</v>
      </c>
    </row>
    <row r="3129" spans="2:8" x14ac:dyDescent="0.25">
      <c r="B3129" t="str">
        <f t="shared" si="48"/>
        <v>FJIPopulation ages 00-04, female</v>
      </c>
      <c r="C3129" t="s">
        <v>248</v>
      </c>
      <c r="D3129" t="s">
        <v>44</v>
      </c>
      <c r="E3129" t="s">
        <v>362</v>
      </c>
      <c r="F3129" t="s">
        <v>691</v>
      </c>
      <c r="G3129">
        <v>44000</v>
      </c>
      <c r="H3129">
        <v>43000</v>
      </c>
    </row>
    <row r="3130" spans="2:8" x14ac:dyDescent="0.25">
      <c r="B3130" t="str">
        <f t="shared" si="48"/>
        <v>FJIPopulation ages 00-04, male</v>
      </c>
      <c r="C3130" t="s">
        <v>248</v>
      </c>
      <c r="D3130" t="s">
        <v>44</v>
      </c>
      <c r="E3130" t="s">
        <v>363</v>
      </c>
      <c r="F3130" t="s">
        <v>692</v>
      </c>
      <c r="G3130">
        <v>46000</v>
      </c>
      <c r="H3130">
        <v>46000</v>
      </c>
    </row>
    <row r="3131" spans="2:8" x14ac:dyDescent="0.25">
      <c r="B3131" t="str">
        <f t="shared" si="48"/>
        <v>FJIPopulation ages 05-09, female</v>
      </c>
      <c r="C3131" t="s">
        <v>248</v>
      </c>
      <c r="D3131" t="s">
        <v>44</v>
      </c>
      <c r="E3131" t="s">
        <v>364</v>
      </c>
      <c r="F3131" t="s">
        <v>693</v>
      </c>
      <c r="G3131">
        <v>43000</v>
      </c>
      <c r="H3131">
        <v>43000</v>
      </c>
    </row>
    <row r="3132" spans="2:8" x14ac:dyDescent="0.25">
      <c r="B3132" t="str">
        <f t="shared" si="48"/>
        <v>FJIPopulation ages 05-09, male</v>
      </c>
      <c r="C3132" t="s">
        <v>248</v>
      </c>
      <c r="D3132" t="s">
        <v>44</v>
      </c>
      <c r="E3132" t="s">
        <v>365</v>
      </c>
      <c r="F3132" t="s">
        <v>694</v>
      </c>
      <c r="G3132">
        <v>45000</v>
      </c>
      <c r="H3132">
        <v>45000</v>
      </c>
    </row>
    <row r="3133" spans="2:8" x14ac:dyDescent="0.25">
      <c r="B3133" t="str">
        <f t="shared" si="48"/>
        <v>FJIPopulation ages 10-14, female</v>
      </c>
      <c r="C3133" t="s">
        <v>248</v>
      </c>
      <c r="D3133" t="s">
        <v>44</v>
      </c>
      <c r="E3133" t="s">
        <v>366</v>
      </c>
      <c r="F3133" t="s">
        <v>695</v>
      </c>
      <c r="G3133">
        <v>40000</v>
      </c>
      <c r="H3133">
        <v>41000</v>
      </c>
    </row>
    <row r="3134" spans="2:8" x14ac:dyDescent="0.25">
      <c r="B3134" t="str">
        <f t="shared" si="48"/>
        <v>FJIPopulation ages 10-14, male</v>
      </c>
      <c r="C3134" t="s">
        <v>248</v>
      </c>
      <c r="D3134" t="s">
        <v>44</v>
      </c>
      <c r="E3134" t="s">
        <v>367</v>
      </c>
      <c r="F3134" t="s">
        <v>696</v>
      </c>
      <c r="G3134">
        <v>42000</v>
      </c>
      <c r="H3134">
        <v>42000</v>
      </c>
    </row>
    <row r="3135" spans="2:8" x14ac:dyDescent="0.25">
      <c r="B3135" t="str">
        <f t="shared" si="48"/>
        <v>FJIPopulation ages 15-19, female</v>
      </c>
      <c r="C3135" t="s">
        <v>248</v>
      </c>
      <c r="D3135" t="s">
        <v>44</v>
      </c>
      <c r="E3135" t="s">
        <v>368</v>
      </c>
      <c r="F3135" t="s">
        <v>697</v>
      </c>
      <c r="G3135">
        <v>36000</v>
      </c>
      <c r="H3135">
        <v>37000</v>
      </c>
    </row>
    <row r="3136" spans="2:8" x14ac:dyDescent="0.25">
      <c r="B3136" t="str">
        <f t="shared" si="48"/>
        <v>FJIPopulation ages 15-19, male</v>
      </c>
      <c r="C3136" t="s">
        <v>248</v>
      </c>
      <c r="D3136" t="s">
        <v>44</v>
      </c>
      <c r="E3136" t="s">
        <v>369</v>
      </c>
      <c r="F3136" t="s">
        <v>698</v>
      </c>
      <c r="G3136">
        <v>38000</v>
      </c>
      <c r="H3136">
        <v>39000</v>
      </c>
    </row>
    <row r="3137" spans="2:8" x14ac:dyDescent="0.25">
      <c r="B3137" t="str">
        <f t="shared" si="48"/>
        <v>FJIPopulation ages 20-24, female</v>
      </c>
      <c r="C3137" t="s">
        <v>248</v>
      </c>
      <c r="D3137" t="s">
        <v>44</v>
      </c>
      <c r="E3137" t="s">
        <v>370</v>
      </c>
      <c r="F3137" t="s">
        <v>699</v>
      </c>
      <c r="G3137">
        <v>35000</v>
      </c>
      <c r="H3137">
        <v>35000</v>
      </c>
    </row>
    <row r="3138" spans="2:8" x14ac:dyDescent="0.25">
      <c r="B3138" t="str">
        <f t="shared" si="48"/>
        <v>FJIPopulation ages 20-24, male</v>
      </c>
      <c r="C3138" t="s">
        <v>248</v>
      </c>
      <c r="D3138" t="s">
        <v>44</v>
      </c>
      <c r="E3138" t="s">
        <v>371</v>
      </c>
      <c r="F3138" t="s">
        <v>700</v>
      </c>
      <c r="G3138">
        <v>37000</v>
      </c>
      <c r="H3138">
        <v>37000</v>
      </c>
    </row>
    <row r="3139" spans="2:8" x14ac:dyDescent="0.25">
      <c r="B3139" t="str">
        <f t="shared" si="48"/>
        <v>FJIPopulation ages 25-29, female</v>
      </c>
      <c r="C3139" t="s">
        <v>248</v>
      </c>
      <c r="D3139" t="s">
        <v>44</v>
      </c>
      <c r="E3139" t="s">
        <v>372</v>
      </c>
      <c r="F3139" t="s">
        <v>701</v>
      </c>
      <c r="G3139">
        <v>35000</v>
      </c>
      <c r="H3139">
        <v>34000</v>
      </c>
    </row>
    <row r="3140" spans="2:8" x14ac:dyDescent="0.25">
      <c r="B3140" t="str">
        <f t="shared" si="48"/>
        <v>FJIPopulation ages 25-29, male</v>
      </c>
      <c r="C3140" t="s">
        <v>248</v>
      </c>
      <c r="D3140" t="s">
        <v>44</v>
      </c>
      <c r="E3140" t="s">
        <v>373</v>
      </c>
      <c r="F3140" t="s">
        <v>702</v>
      </c>
      <c r="G3140">
        <v>36000</v>
      </c>
      <c r="H3140">
        <v>36000</v>
      </c>
    </row>
    <row r="3141" spans="2:8" x14ac:dyDescent="0.25">
      <c r="B3141" t="str">
        <f t="shared" si="48"/>
        <v>FJIPopulation ages 30-34, female</v>
      </c>
      <c r="C3141" t="s">
        <v>248</v>
      </c>
      <c r="D3141" t="s">
        <v>44</v>
      </c>
      <c r="E3141" t="s">
        <v>374</v>
      </c>
      <c r="F3141" t="s">
        <v>703</v>
      </c>
      <c r="G3141">
        <v>33000</v>
      </c>
      <c r="H3141">
        <v>33000</v>
      </c>
    </row>
    <row r="3142" spans="2:8" x14ac:dyDescent="0.25">
      <c r="B3142" t="str">
        <f t="shared" si="48"/>
        <v>FJIPopulation ages 30-34, male</v>
      </c>
      <c r="C3142" t="s">
        <v>248</v>
      </c>
      <c r="D3142" t="s">
        <v>44</v>
      </c>
      <c r="E3142" t="s">
        <v>375</v>
      </c>
      <c r="F3142" t="s">
        <v>704</v>
      </c>
      <c r="G3142">
        <v>34000</v>
      </c>
      <c r="H3142">
        <v>34000</v>
      </c>
    </row>
    <row r="3143" spans="2:8" x14ac:dyDescent="0.25">
      <c r="B3143" t="str">
        <f t="shared" ref="B3143:B3206" si="49">CONCATENATE(D3143,E3143)</f>
        <v>FJIPopulation ages 35-39, female</v>
      </c>
      <c r="C3143" t="s">
        <v>248</v>
      </c>
      <c r="D3143" t="s">
        <v>44</v>
      </c>
      <c r="E3143" t="s">
        <v>376</v>
      </c>
      <c r="F3143" t="s">
        <v>705</v>
      </c>
      <c r="G3143">
        <v>33000</v>
      </c>
      <c r="H3143">
        <v>33000</v>
      </c>
    </row>
    <row r="3144" spans="2:8" x14ac:dyDescent="0.25">
      <c r="B3144" t="str">
        <f t="shared" si="49"/>
        <v>FJIPopulation ages 35-39, male</v>
      </c>
      <c r="C3144" t="s">
        <v>248</v>
      </c>
      <c r="D3144" t="s">
        <v>44</v>
      </c>
      <c r="E3144" t="s">
        <v>377</v>
      </c>
      <c r="F3144" t="s">
        <v>706</v>
      </c>
      <c r="G3144">
        <v>34000</v>
      </c>
      <c r="H3144">
        <v>35000</v>
      </c>
    </row>
    <row r="3145" spans="2:8" x14ac:dyDescent="0.25">
      <c r="B3145" t="str">
        <f t="shared" si="49"/>
        <v>FJIPopulation ages 40-44, female</v>
      </c>
      <c r="C3145" t="s">
        <v>248</v>
      </c>
      <c r="D3145" t="s">
        <v>44</v>
      </c>
      <c r="E3145" t="s">
        <v>378</v>
      </c>
      <c r="F3145" t="s">
        <v>707</v>
      </c>
      <c r="G3145">
        <v>27000</v>
      </c>
      <c r="H3145">
        <v>28000</v>
      </c>
    </row>
    <row r="3146" spans="2:8" x14ac:dyDescent="0.25">
      <c r="B3146" t="str">
        <f t="shared" si="49"/>
        <v>FJIPopulation ages 40-44, male</v>
      </c>
      <c r="C3146" t="s">
        <v>248</v>
      </c>
      <c r="D3146" t="s">
        <v>44</v>
      </c>
      <c r="E3146" t="s">
        <v>379</v>
      </c>
      <c r="F3146" t="s">
        <v>708</v>
      </c>
      <c r="G3146">
        <v>29000</v>
      </c>
      <c r="H3146">
        <v>29000</v>
      </c>
    </row>
    <row r="3147" spans="2:8" x14ac:dyDescent="0.25">
      <c r="B3147" t="str">
        <f t="shared" si="49"/>
        <v>FJIPopulation ages 45-49, female</v>
      </c>
      <c r="C3147" t="s">
        <v>248</v>
      </c>
      <c r="D3147" t="s">
        <v>44</v>
      </c>
      <c r="E3147" t="s">
        <v>380</v>
      </c>
      <c r="F3147" t="s">
        <v>709</v>
      </c>
      <c r="G3147">
        <v>24000</v>
      </c>
      <c r="H3147">
        <v>24000</v>
      </c>
    </row>
    <row r="3148" spans="2:8" x14ac:dyDescent="0.25">
      <c r="B3148" t="str">
        <f t="shared" si="49"/>
        <v>FJIPopulation ages 45-49, male</v>
      </c>
      <c r="C3148" t="s">
        <v>248</v>
      </c>
      <c r="D3148" t="s">
        <v>44</v>
      </c>
      <c r="E3148" t="s">
        <v>381</v>
      </c>
      <c r="F3148" t="s">
        <v>710</v>
      </c>
      <c r="G3148">
        <v>25000</v>
      </c>
      <c r="H3148">
        <v>25000</v>
      </c>
    </row>
    <row r="3149" spans="2:8" x14ac:dyDescent="0.25">
      <c r="B3149" t="str">
        <f t="shared" si="49"/>
        <v>FJIPopulation ages 50-54, female</v>
      </c>
      <c r="C3149" t="s">
        <v>248</v>
      </c>
      <c r="D3149" t="s">
        <v>44</v>
      </c>
      <c r="E3149" t="s">
        <v>382</v>
      </c>
      <c r="F3149" t="s">
        <v>711</v>
      </c>
      <c r="G3149">
        <v>23000</v>
      </c>
      <c r="H3149">
        <v>23000</v>
      </c>
    </row>
    <row r="3150" spans="2:8" x14ac:dyDescent="0.25">
      <c r="B3150" t="str">
        <f t="shared" si="49"/>
        <v>FJIPopulation ages 50-54, male</v>
      </c>
      <c r="C3150" t="s">
        <v>248</v>
      </c>
      <c r="D3150" t="s">
        <v>44</v>
      </c>
      <c r="E3150" t="s">
        <v>383</v>
      </c>
      <c r="F3150" t="s">
        <v>712</v>
      </c>
      <c r="G3150">
        <v>24000</v>
      </c>
      <c r="H3150">
        <v>24000</v>
      </c>
    </row>
    <row r="3151" spans="2:8" x14ac:dyDescent="0.25">
      <c r="B3151" t="str">
        <f t="shared" si="49"/>
        <v>FJIPopulation ages 55-59, male</v>
      </c>
      <c r="C3151" t="s">
        <v>248</v>
      </c>
      <c r="D3151" t="s">
        <v>44</v>
      </c>
      <c r="E3151" t="s">
        <v>385</v>
      </c>
      <c r="F3151" t="s">
        <v>713</v>
      </c>
      <c r="G3151">
        <v>22000</v>
      </c>
      <c r="H3151">
        <v>22000</v>
      </c>
    </row>
    <row r="3152" spans="2:8" x14ac:dyDescent="0.25">
      <c r="B3152" t="str">
        <f t="shared" si="49"/>
        <v>FJIPopulation ages 55-59, female</v>
      </c>
      <c r="C3152" t="s">
        <v>248</v>
      </c>
      <c r="D3152" t="s">
        <v>44</v>
      </c>
      <c r="E3152" t="s">
        <v>384</v>
      </c>
      <c r="F3152" t="s">
        <v>714</v>
      </c>
      <c r="G3152">
        <v>22000</v>
      </c>
      <c r="H3152">
        <v>22000</v>
      </c>
    </row>
    <row r="3153" spans="2:8" x14ac:dyDescent="0.25">
      <c r="B3153" t="str">
        <f t="shared" si="49"/>
        <v>FJIPopulation ages 65-69, male</v>
      </c>
      <c r="C3153" t="s">
        <v>248</v>
      </c>
      <c r="D3153" t="s">
        <v>44</v>
      </c>
      <c r="E3153" t="s">
        <v>389</v>
      </c>
      <c r="F3153" t="s">
        <v>715</v>
      </c>
      <c r="G3153">
        <v>10000</v>
      </c>
      <c r="H3153">
        <v>11000</v>
      </c>
    </row>
    <row r="3154" spans="2:8" x14ac:dyDescent="0.25">
      <c r="B3154" t="str">
        <f t="shared" si="49"/>
        <v>FJIPopulation ages 65-69, female</v>
      </c>
      <c r="C3154" t="s">
        <v>248</v>
      </c>
      <c r="D3154" t="s">
        <v>44</v>
      </c>
      <c r="E3154" t="s">
        <v>388</v>
      </c>
      <c r="F3154" t="s">
        <v>716</v>
      </c>
      <c r="G3154">
        <v>12000</v>
      </c>
      <c r="H3154">
        <v>12000</v>
      </c>
    </row>
    <row r="3155" spans="2:8" x14ac:dyDescent="0.25">
      <c r="B3155" t="str">
        <f t="shared" si="49"/>
        <v>FJIPopulation ages 60-64, female</v>
      </c>
      <c r="C3155" t="s">
        <v>248</v>
      </c>
      <c r="D3155" t="s">
        <v>44</v>
      </c>
      <c r="E3155" t="s">
        <v>386</v>
      </c>
      <c r="F3155" t="s">
        <v>717</v>
      </c>
      <c r="G3155">
        <v>17000</v>
      </c>
      <c r="H3155">
        <v>18000</v>
      </c>
    </row>
    <row r="3156" spans="2:8" x14ac:dyDescent="0.25">
      <c r="B3156" t="str">
        <f t="shared" si="49"/>
        <v>FJIPopulation ages 60-64, male</v>
      </c>
      <c r="C3156" t="s">
        <v>248</v>
      </c>
      <c r="D3156" t="s">
        <v>44</v>
      </c>
      <c r="E3156" t="s">
        <v>387</v>
      </c>
      <c r="F3156" t="s">
        <v>718</v>
      </c>
      <c r="G3156">
        <v>16000</v>
      </c>
      <c r="H3156">
        <v>17000</v>
      </c>
    </row>
    <row r="3157" spans="2:8" x14ac:dyDescent="0.25">
      <c r="B3157" t="str">
        <f t="shared" si="49"/>
        <v>FJIPopulation ages 70-74, female</v>
      </c>
      <c r="C3157" t="s">
        <v>248</v>
      </c>
      <c r="D3157" t="s">
        <v>44</v>
      </c>
      <c r="E3157" t="s">
        <v>390</v>
      </c>
      <c r="F3157" t="s">
        <v>719</v>
      </c>
      <c r="G3157">
        <v>8100</v>
      </c>
      <c r="H3157">
        <v>8500</v>
      </c>
    </row>
    <row r="3158" spans="2:8" x14ac:dyDescent="0.25">
      <c r="B3158" t="str">
        <f t="shared" si="49"/>
        <v>FJIPopulation ages 70-74, male</v>
      </c>
      <c r="C3158" t="s">
        <v>248</v>
      </c>
      <c r="D3158" t="s">
        <v>44</v>
      </c>
      <c r="E3158" t="s">
        <v>391</v>
      </c>
      <c r="F3158" t="s">
        <v>720</v>
      </c>
      <c r="G3158">
        <v>6700</v>
      </c>
      <c r="H3158">
        <v>6900</v>
      </c>
    </row>
    <row r="3159" spans="2:8" x14ac:dyDescent="0.25">
      <c r="B3159" t="str">
        <f t="shared" si="49"/>
        <v>FJIPopulation ages 75-79, female</v>
      </c>
      <c r="C3159" t="s">
        <v>248</v>
      </c>
      <c r="D3159" t="s">
        <v>44</v>
      </c>
      <c r="E3159" t="s">
        <v>392</v>
      </c>
      <c r="F3159" t="s">
        <v>721</v>
      </c>
      <c r="G3159">
        <v>4800</v>
      </c>
      <c r="H3159">
        <v>5000</v>
      </c>
    </row>
    <row r="3160" spans="2:8" x14ac:dyDescent="0.25">
      <c r="B3160" t="str">
        <f t="shared" si="49"/>
        <v>FJIPopulation ages 75-79, male</v>
      </c>
      <c r="C3160" t="s">
        <v>248</v>
      </c>
      <c r="D3160" t="s">
        <v>44</v>
      </c>
      <c r="E3160" t="s">
        <v>393</v>
      </c>
      <c r="F3160" t="s">
        <v>722</v>
      </c>
      <c r="G3160">
        <v>3200</v>
      </c>
      <c r="H3160">
        <v>3300</v>
      </c>
    </row>
    <row r="3161" spans="2:8" x14ac:dyDescent="0.25">
      <c r="B3161" t="str">
        <f t="shared" si="49"/>
        <v>FJIPopulation ages 80 and above, female</v>
      </c>
      <c r="C3161" t="s">
        <v>248</v>
      </c>
      <c r="D3161" t="s">
        <v>44</v>
      </c>
      <c r="E3161" t="s">
        <v>394</v>
      </c>
      <c r="F3161" t="s">
        <v>723</v>
      </c>
      <c r="G3161">
        <v>3100</v>
      </c>
      <c r="H3161">
        <v>3300</v>
      </c>
    </row>
    <row r="3162" spans="2:8" x14ac:dyDescent="0.25">
      <c r="B3162" t="str">
        <f t="shared" si="49"/>
        <v>FJIPopulation ages 80 and above, male</v>
      </c>
      <c r="C3162" t="s">
        <v>248</v>
      </c>
      <c r="D3162" t="s">
        <v>44</v>
      </c>
      <c r="E3162" t="s">
        <v>395</v>
      </c>
      <c r="F3162" t="s">
        <v>724</v>
      </c>
      <c r="G3162">
        <v>2200</v>
      </c>
      <c r="H3162">
        <v>2300</v>
      </c>
    </row>
    <row r="3163" spans="2:8" x14ac:dyDescent="0.25">
      <c r="B3163" t="str">
        <f t="shared" si="49"/>
        <v>FJIPopulation, male</v>
      </c>
      <c r="C3163" t="s">
        <v>248</v>
      </c>
      <c r="D3163" t="s">
        <v>44</v>
      </c>
      <c r="E3163" t="s">
        <v>397</v>
      </c>
      <c r="F3163" t="s">
        <v>725</v>
      </c>
      <c r="G3163">
        <v>451000</v>
      </c>
      <c r="H3163">
        <v>454000</v>
      </c>
    </row>
    <row r="3164" spans="2:8" x14ac:dyDescent="0.25">
      <c r="B3164" t="str">
        <f t="shared" si="49"/>
        <v>FJIPopulation, total</v>
      </c>
      <c r="C3164" t="s">
        <v>248</v>
      </c>
      <c r="D3164" t="s">
        <v>44</v>
      </c>
      <c r="E3164" t="s">
        <v>398</v>
      </c>
      <c r="F3164" t="s">
        <v>726</v>
      </c>
      <c r="G3164">
        <v>890000</v>
      </c>
      <c r="H3164">
        <v>896000</v>
      </c>
    </row>
    <row r="3165" spans="2:8" x14ac:dyDescent="0.25">
      <c r="B3165" t="str">
        <f t="shared" si="49"/>
        <v>FJIPopulation, female</v>
      </c>
      <c r="C3165" t="s">
        <v>248</v>
      </c>
      <c r="D3165" t="s">
        <v>44</v>
      </c>
      <c r="E3165" t="s">
        <v>396</v>
      </c>
      <c r="F3165" t="s">
        <v>727</v>
      </c>
      <c r="G3165">
        <v>439000</v>
      </c>
      <c r="H3165">
        <v>442000</v>
      </c>
    </row>
    <row r="3166" spans="2:8" x14ac:dyDescent="0.25">
      <c r="B3166" t="str">
        <f t="shared" si="49"/>
        <v>FJIPopulation growth (annual %)</v>
      </c>
      <c r="C3166" t="s">
        <v>248</v>
      </c>
      <c r="D3166" t="s">
        <v>44</v>
      </c>
      <c r="E3166" t="s">
        <v>399</v>
      </c>
      <c r="F3166" t="s">
        <v>728</v>
      </c>
      <c r="G3166">
        <v>0</v>
      </c>
      <c r="H3166">
        <v>0</v>
      </c>
    </row>
    <row r="3167" spans="2:8" x14ac:dyDescent="0.25">
      <c r="B3167" t="str">
        <f t="shared" si="49"/>
        <v>FINPopulation ages 0-14, female</v>
      </c>
      <c r="C3167" t="s">
        <v>499</v>
      </c>
      <c r="D3167" t="s">
        <v>43</v>
      </c>
      <c r="E3167" t="s">
        <v>687</v>
      </c>
      <c r="F3167" t="s">
        <v>688</v>
      </c>
      <c r="G3167">
        <v>433000</v>
      </c>
      <c r="H3167">
        <v>430000</v>
      </c>
    </row>
    <row r="3168" spans="2:8" x14ac:dyDescent="0.25">
      <c r="B3168" t="str">
        <f t="shared" si="49"/>
        <v>FINPopulation ages 0-14, male</v>
      </c>
      <c r="C3168" t="s">
        <v>499</v>
      </c>
      <c r="D3168" t="s">
        <v>43</v>
      </c>
      <c r="E3168" t="s">
        <v>689</v>
      </c>
      <c r="F3168" t="s">
        <v>690</v>
      </c>
      <c r="G3168">
        <v>453000</v>
      </c>
      <c r="H3168">
        <v>450000</v>
      </c>
    </row>
    <row r="3169" spans="2:8" x14ac:dyDescent="0.25">
      <c r="B3169" t="str">
        <f t="shared" si="49"/>
        <v>FINPopulation ages 00-04, female</v>
      </c>
      <c r="C3169" t="s">
        <v>499</v>
      </c>
      <c r="D3169" t="s">
        <v>43</v>
      </c>
      <c r="E3169" t="s">
        <v>362</v>
      </c>
      <c r="F3169" t="s">
        <v>691</v>
      </c>
      <c r="G3169">
        <v>132000</v>
      </c>
      <c r="H3169">
        <v>129000</v>
      </c>
    </row>
    <row r="3170" spans="2:8" x14ac:dyDescent="0.25">
      <c r="B3170" t="str">
        <f t="shared" si="49"/>
        <v>FINPopulation ages 00-04, male</v>
      </c>
      <c r="C3170" t="s">
        <v>499</v>
      </c>
      <c r="D3170" t="s">
        <v>43</v>
      </c>
      <c r="E3170" t="s">
        <v>363</v>
      </c>
      <c r="F3170" t="s">
        <v>692</v>
      </c>
      <c r="G3170">
        <v>139000</v>
      </c>
      <c r="H3170">
        <v>135000</v>
      </c>
    </row>
    <row r="3171" spans="2:8" x14ac:dyDescent="0.25">
      <c r="B3171" t="str">
        <f t="shared" si="49"/>
        <v>FINPopulation ages 05-09, female</v>
      </c>
      <c r="C3171" t="s">
        <v>499</v>
      </c>
      <c r="D3171" t="s">
        <v>43</v>
      </c>
      <c r="E3171" t="s">
        <v>364</v>
      </c>
      <c r="F3171" t="s">
        <v>693</v>
      </c>
      <c r="G3171">
        <v>150000</v>
      </c>
      <c r="H3171">
        <v>149000</v>
      </c>
    </row>
    <row r="3172" spans="2:8" x14ac:dyDescent="0.25">
      <c r="B3172" t="str">
        <f t="shared" si="49"/>
        <v>FINPopulation ages 05-09, male</v>
      </c>
      <c r="C3172" t="s">
        <v>499</v>
      </c>
      <c r="D3172" t="s">
        <v>43</v>
      </c>
      <c r="E3172" t="s">
        <v>365</v>
      </c>
      <c r="F3172" t="s">
        <v>694</v>
      </c>
      <c r="G3172">
        <v>157000</v>
      </c>
      <c r="H3172">
        <v>156000</v>
      </c>
    </row>
    <row r="3173" spans="2:8" x14ac:dyDescent="0.25">
      <c r="B3173" t="str">
        <f t="shared" si="49"/>
        <v>FINPopulation ages 10-14, female</v>
      </c>
      <c r="C3173" t="s">
        <v>499</v>
      </c>
      <c r="D3173" t="s">
        <v>43</v>
      </c>
      <c r="E3173" t="s">
        <v>366</v>
      </c>
      <c r="F3173" t="s">
        <v>695</v>
      </c>
      <c r="G3173">
        <v>150000</v>
      </c>
      <c r="H3173">
        <v>152000</v>
      </c>
    </row>
    <row r="3174" spans="2:8" x14ac:dyDescent="0.25">
      <c r="B3174" t="str">
        <f t="shared" si="49"/>
        <v>FINPopulation ages 10-14, male</v>
      </c>
      <c r="C3174" t="s">
        <v>499</v>
      </c>
      <c r="D3174" t="s">
        <v>43</v>
      </c>
      <c r="E3174" t="s">
        <v>367</v>
      </c>
      <c r="F3174" t="s">
        <v>696</v>
      </c>
      <c r="G3174">
        <v>157000</v>
      </c>
      <c r="H3174">
        <v>159000</v>
      </c>
    </row>
    <row r="3175" spans="2:8" x14ac:dyDescent="0.25">
      <c r="B3175" t="str">
        <f t="shared" si="49"/>
        <v>FINPopulation ages 15-19, female</v>
      </c>
      <c r="C3175" t="s">
        <v>499</v>
      </c>
      <c r="D3175" t="s">
        <v>43</v>
      </c>
      <c r="E3175" t="s">
        <v>368</v>
      </c>
      <c r="F3175" t="s">
        <v>697</v>
      </c>
      <c r="G3175">
        <v>144000</v>
      </c>
      <c r="H3175">
        <v>145000</v>
      </c>
    </row>
    <row r="3176" spans="2:8" x14ac:dyDescent="0.25">
      <c r="B3176" t="str">
        <f t="shared" si="49"/>
        <v>FINPopulation ages 15-19, male</v>
      </c>
      <c r="C3176" t="s">
        <v>499</v>
      </c>
      <c r="D3176" t="s">
        <v>43</v>
      </c>
      <c r="E3176" t="s">
        <v>369</v>
      </c>
      <c r="F3176" t="s">
        <v>698</v>
      </c>
      <c r="G3176">
        <v>151000</v>
      </c>
      <c r="H3176">
        <v>152000</v>
      </c>
    </row>
    <row r="3177" spans="2:8" x14ac:dyDescent="0.25">
      <c r="B3177" t="str">
        <f t="shared" si="49"/>
        <v>FINPopulation ages 20-24, female</v>
      </c>
      <c r="C3177" t="s">
        <v>499</v>
      </c>
      <c r="D3177" t="s">
        <v>43</v>
      </c>
      <c r="E3177" t="s">
        <v>370</v>
      </c>
      <c r="F3177" t="s">
        <v>699</v>
      </c>
      <c r="G3177">
        <v>156000</v>
      </c>
      <c r="H3177">
        <v>153000</v>
      </c>
    </row>
    <row r="3178" spans="2:8" x14ac:dyDescent="0.25">
      <c r="B3178" t="str">
        <f t="shared" si="49"/>
        <v>FINPopulation ages 20-24, male</v>
      </c>
      <c r="C3178" t="s">
        <v>499</v>
      </c>
      <c r="D3178" t="s">
        <v>43</v>
      </c>
      <c r="E3178" t="s">
        <v>371</v>
      </c>
      <c r="F3178" t="s">
        <v>700</v>
      </c>
      <c r="G3178">
        <v>164000</v>
      </c>
      <c r="H3178">
        <v>161000</v>
      </c>
    </row>
    <row r="3179" spans="2:8" x14ac:dyDescent="0.25">
      <c r="B3179" t="str">
        <f t="shared" si="49"/>
        <v>FINPopulation ages 25-29, female</v>
      </c>
      <c r="C3179" t="s">
        <v>499</v>
      </c>
      <c r="D3179" t="s">
        <v>43</v>
      </c>
      <c r="E3179" t="s">
        <v>372</v>
      </c>
      <c r="F3179" t="s">
        <v>701</v>
      </c>
      <c r="G3179">
        <v>175000</v>
      </c>
      <c r="H3179">
        <v>176000</v>
      </c>
    </row>
    <row r="3180" spans="2:8" x14ac:dyDescent="0.25">
      <c r="B3180" t="str">
        <f t="shared" si="49"/>
        <v>FINPopulation ages 25-29, male</v>
      </c>
      <c r="C3180" t="s">
        <v>499</v>
      </c>
      <c r="D3180" t="s">
        <v>43</v>
      </c>
      <c r="E3180" t="s">
        <v>373</v>
      </c>
      <c r="F3180" t="s">
        <v>702</v>
      </c>
      <c r="G3180">
        <v>183000</v>
      </c>
      <c r="H3180">
        <v>184000</v>
      </c>
    </row>
    <row r="3181" spans="2:8" x14ac:dyDescent="0.25">
      <c r="B3181" t="str">
        <f t="shared" si="49"/>
        <v>FINPopulation ages 30-34, female</v>
      </c>
      <c r="C3181" t="s">
        <v>499</v>
      </c>
      <c r="D3181" t="s">
        <v>43</v>
      </c>
      <c r="E3181" t="s">
        <v>374</v>
      </c>
      <c r="F3181" t="s">
        <v>703</v>
      </c>
      <c r="G3181">
        <v>168000</v>
      </c>
      <c r="H3181">
        <v>169000</v>
      </c>
    </row>
    <row r="3182" spans="2:8" x14ac:dyDescent="0.25">
      <c r="B3182" t="str">
        <f t="shared" si="49"/>
        <v>FINPopulation ages 30-34, male</v>
      </c>
      <c r="C3182" t="s">
        <v>499</v>
      </c>
      <c r="D3182" t="s">
        <v>43</v>
      </c>
      <c r="E3182" t="s">
        <v>375</v>
      </c>
      <c r="F3182" t="s">
        <v>704</v>
      </c>
      <c r="G3182">
        <v>179000</v>
      </c>
      <c r="H3182">
        <v>179000</v>
      </c>
    </row>
    <row r="3183" spans="2:8" x14ac:dyDescent="0.25">
      <c r="B3183" t="str">
        <f t="shared" si="49"/>
        <v>FINPopulation ages 35-39, female</v>
      </c>
      <c r="C3183" t="s">
        <v>499</v>
      </c>
      <c r="D3183" t="s">
        <v>43</v>
      </c>
      <c r="E3183" t="s">
        <v>376</v>
      </c>
      <c r="F3183" t="s">
        <v>705</v>
      </c>
      <c r="G3183">
        <v>174000</v>
      </c>
      <c r="H3183">
        <v>175000</v>
      </c>
    </row>
    <row r="3184" spans="2:8" x14ac:dyDescent="0.25">
      <c r="B3184" t="str">
        <f t="shared" si="49"/>
        <v>FINPopulation ages 35-39, male</v>
      </c>
      <c r="C3184" t="s">
        <v>499</v>
      </c>
      <c r="D3184" t="s">
        <v>43</v>
      </c>
      <c r="E3184" t="s">
        <v>377</v>
      </c>
      <c r="F3184" t="s">
        <v>706</v>
      </c>
      <c r="G3184">
        <v>184000</v>
      </c>
      <c r="H3184">
        <v>185000</v>
      </c>
    </row>
    <row r="3185" spans="2:8" x14ac:dyDescent="0.25">
      <c r="B3185" t="str">
        <f t="shared" si="49"/>
        <v>FINPopulation ages 40-44, female</v>
      </c>
      <c r="C3185" t="s">
        <v>499</v>
      </c>
      <c r="D3185" t="s">
        <v>43</v>
      </c>
      <c r="E3185" t="s">
        <v>378</v>
      </c>
      <c r="F3185" t="s">
        <v>707</v>
      </c>
      <c r="G3185">
        <v>165000</v>
      </c>
      <c r="H3185">
        <v>169000</v>
      </c>
    </row>
    <row r="3186" spans="2:8" x14ac:dyDescent="0.25">
      <c r="B3186" t="str">
        <f t="shared" si="49"/>
        <v>FINPopulation ages 40-44, male</v>
      </c>
      <c r="C3186" t="s">
        <v>499</v>
      </c>
      <c r="D3186" t="s">
        <v>43</v>
      </c>
      <c r="E3186" t="s">
        <v>379</v>
      </c>
      <c r="F3186" t="s">
        <v>708</v>
      </c>
      <c r="G3186">
        <v>173000</v>
      </c>
      <c r="H3186">
        <v>177000</v>
      </c>
    </row>
    <row r="3187" spans="2:8" x14ac:dyDescent="0.25">
      <c r="B3187" t="str">
        <f t="shared" si="49"/>
        <v>FINPopulation ages 45-49, female</v>
      </c>
      <c r="C3187" t="s">
        <v>499</v>
      </c>
      <c r="D3187" t="s">
        <v>43</v>
      </c>
      <c r="E3187" t="s">
        <v>380</v>
      </c>
      <c r="F3187" t="s">
        <v>709</v>
      </c>
      <c r="G3187">
        <v>156000</v>
      </c>
      <c r="H3187">
        <v>154000</v>
      </c>
    </row>
    <row r="3188" spans="2:8" x14ac:dyDescent="0.25">
      <c r="B3188" t="str">
        <f t="shared" si="49"/>
        <v>FINPopulation ages 45-49, male</v>
      </c>
      <c r="C3188" t="s">
        <v>499</v>
      </c>
      <c r="D3188" t="s">
        <v>43</v>
      </c>
      <c r="E3188" t="s">
        <v>381</v>
      </c>
      <c r="F3188" t="s">
        <v>710</v>
      </c>
      <c r="G3188">
        <v>161000</v>
      </c>
      <c r="H3188">
        <v>160000</v>
      </c>
    </row>
    <row r="3189" spans="2:8" x14ac:dyDescent="0.25">
      <c r="B3189" t="str">
        <f t="shared" si="49"/>
        <v>FINPopulation ages 50-54, female</v>
      </c>
      <c r="C3189" t="s">
        <v>499</v>
      </c>
      <c r="D3189" t="s">
        <v>43</v>
      </c>
      <c r="E3189" t="s">
        <v>382</v>
      </c>
      <c r="F3189" t="s">
        <v>711</v>
      </c>
      <c r="G3189">
        <v>179000</v>
      </c>
      <c r="H3189">
        <v>175000</v>
      </c>
    </row>
    <row r="3190" spans="2:8" x14ac:dyDescent="0.25">
      <c r="B3190" t="str">
        <f t="shared" si="49"/>
        <v>FINPopulation ages 50-54, male</v>
      </c>
      <c r="C3190" t="s">
        <v>499</v>
      </c>
      <c r="D3190" t="s">
        <v>43</v>
      </c>
      <c r="E3190" t="s">
        <v>383</v>
      </c>
      <c r="F3190" t="s">
        <v>712</v>
      </c>
      <c r="G3190">
        <v>180000</v>
      </c>
      <c r="H3190">
        <v>176000</v>
      </c>
    </row>
    <row r="3191" spans="2:8" x14ac:dyDescent="0.25">
      <c r="B3191" t="str">
        <f t="shared" si="49"/>
        <v>FINPopulation ages 55-59, male</v>
      </c>
      <c r="C3191" t="s">
        <v>499</v>
      </c>
      <c r="D3191" t="s">
        <v>43</v>
      </c>
      <c r="E3191" t="s">
        <v>385</v>
      </c>
      <c r="F3191" t="s">
        <v>713</v>
      </c>
      <c r="G3191">
        <v>184000</v>
      </c>
      <c r="H3191">
        <v>184000</v>
      </c>
    </row>
    <row r="3192" spans="2:8" x14ac:dyDescent="0.25">
      <c r="B3192" t="str">
        <f t="shared" si="49"/>
        <v>FINPopulation ages 55-59, female</v>
      </c>
      <c r="C3192" t="s">
        <v>499</v>
      </c>
      <c r="D3192" t="s">
        <v>43</v>
      </c>
      <c r="E3192" t="s">
        <v>384</v>
      </c>
      <c r="F3192" t="s">
        <v>714</v>
      </c>
      <c r="G3192">
        <v>186000</v>
      </c>
      <c r="H3192">
        <v>186000</v>
      </c>
    </row>
    <row r="3193" spans="2:8" x14ac:dyDescent="0.25">
      <c r="B3193" t="str">
        <f t="shared" si="49"/>
        <v>FINPopulation ages 65-69, male</v>
      </c>
      <c r="C3193" t="s">
        <v>499</v>
      </c>
      <c r="D3193" t="s">
        <v>43</v>
      </c>
      <c r="E3193" t="s">
        <v>389</v>
      </c>
      <c r="F3193" t="s">
        <v>715</v>
      </c>
      <c r="G3193">
        <v>174000</v>
      </c>
      <c r="H3193">
        <v>171000</v>
      </c>
    </row>
    <row r="3194" spans="2:8" x14ac:dyDescent="0.25">
      <c r="B3194" t="str">
        <f t="shared" si="49"/>
        <v>FINPopulation ages 65-69, female</v>
      </c>
      <c r="C3194" t="s">
        <v>499</v>
      </c>
      <c r="D3194" t="s">
        <v>43</v>
      </c>
      <c r="E3194" t="s">
        <v>388</v>
      </c>
      <c r="F3194" t="s">
        <v>716</v>
      </c>
      <c r="G3194">
        <v>189000</v>
      </c>
      <c r="H3194">
        <v>186000</v>
      </c>
    </row>
    <row r="3195" spans="2:8" x14ac:dyDescent="0.25">
      <c r="B3195" t="str">
        <f t="shared" si="49"/>
        <v>FINPopulation ages 60-64, female</v>
      </c>
      <c r="C3195" t="s">
        <v>499</v>
      </c>
      <c r="D3195" t="s">
        <v>43</v>
      </c>
      <c r="E3195" t="s">
        <v>386</v>
      </c>
      <c r="F3195" t="s">
        <v>717</v>
      </c>
      <c r="G3195">
        <v>183000</v>
      </c>
      <c r="H3195">
        <v>182000</v>
      </c>
    </row>
    <row r="3196" spans="2:8" x14ac:dyDescent="0.25">
      <c r="B3196" t="str">
        <f t="shared" si="49"/>
        <v>FINPopulation ages 60-64, male</v>
      </c>
      <c r="C3196" t="s">
        <v>499</v>
      </c>
      <c r="D3196" t="s">
        <v>43</v>
      </c>
      <c r="E3196" t="s">
        <v>387</v>
      </c>
      <c r="F3196" t="s">
        <v>718</v>
      </c>
      <c r="G3196">
        <v>175000</v>
      </c>
      <c r="H3196">
        <v>175000</v>
      </c>
    </row>
    <row r="3197" spans="2:8" x14ac:dyDescent="0.25">
      <c r="B3197" t="str">
        <f t="shared" si="49"/>
        <v>FINPopulation ages 70-74, female</v>
      </c>
      <c r="C3197" t="s">
        <v>499</v>
      </c>
      <c r="D3197" t="s">
        <v>43</v>
      </c>
      <c r="E3197" t="s">
        <v>390</v>
      </c>
      <c r="F3197" t="s">
        <v>719</v>
      </c>
      <c r="G3197">
        <v>183000</v>
      </c>
      <c r="H3197">
        <v>190000</v>
      </c>
    </row>
    <row r="3198" spans="2:8" x14ac:dyDescent="0.25">
      <c r="B3198" t="str">
        <f t="shared" si="49"/>
        <v>FINPopulation ages 70-74, male</v>
      </c>
      <c r="C3198" t="s">
        <v>499</v>
      </c>
      <c r="D3198" t="s">
        <v>43</v>
      </c>
      <c r="E3198" t="s">
        <v>391</v>
      </c>
      <c r="F3198" t="s">
        <v>720</v>
      </c>
      <c r="G3198">
        <v>162000</v>
      </c>
      <c r="H3198">
        <v>168000</v>
      </c>
    </row>
    <row r="3199" spans="2:8" x14ac:dyDescent="0.25">
      <c r="B3199" t="str">
        <f t="shared" si="49"/>
        <v>FINPopulation ages 75-79, female</v>
      </c>
      <c r="C3199" t="s">
        <v>499</v>
      </c>
      <c r="D3199" t="s">
        <v>43</v>
      </c>
      <c r="E3199" t="s">
        <v>392</v>
      </c>
      <c r="F3199" t="s">
        <v>721</v>
      </c>
      <c r="G3199">
        <v>118000</v>
      </c>
      <c r="H3199">
        <v>125000</v>
      </c>
    </row>
    <row r="3200" spans="2:8" x14ac:dyDescent="0.25">
      <c r="B3200" t="str">
        <f t="shared" si="49"/>
        <v>FINPopulation ages 75-79, male</v>
      </c>
      <c r="C3200" t="s">
        <v>499</v>
      </c>
      <c r="D3200" t="s">
        <v>43</v>
      </c>
      <c r="E3200" t="s">
        <v>393</v>
      </c>
      <c r="F3200" t="s">
        <v>722</v>
      </c>
      <c r="G3200">
        <v>93000</v>
      </c>
      <c r="H3200">
        <v>100000</v>
      </c>
    </row>
    <row r="3201" spans="2:8" x14ac:dyDescent="0.25">
      <c r="B3201" t="str">
        <f t="shared" si="49"/>
        <v>FINPopulation ages 80 and above, female</v>
      </c>
      <c r="C3201" t="s">
        <v>499</v>
      </c>
      <c r="D3201" t="s">
        <v>43</v>
      </c>
      <c r="E3201" t="s">
        <v>394</v>
      </c>
      <c r="F3201" t="s">
        <v>723</v>
      </c>
      <c r="G3201">
        <v>196000</v>
      </c>
      <c r="H3201">
        <v>199000</v>
      </c>
    </row>
    <row r="3202" spans="2:8" x14ac:dyDescent="0.25">
      <c r="B3202" t="str">
        <f t="shared" si="49"/>
        <v>FINPopulation ages 80 and above, male</v>
      </c>
      <c r="C3202" t="s">
        <v>499</v>
      </c>
      <c r="D3202" t="s">
        <v>43</v>
      </c>
      <c r="E3202" t="s">
        <v>395</v>
      </c>
      <c r="F3202" t="s">
        <v>724</v>
      </c>
      <c r="G3202">
        <v>110000</v>
      </c>
      <c r="H3202">
        <v>113000</v>
      </c>
    </row>
    <row r="3203" spans="2:8" x14ac:dyDescent="0.25">
      <c r="B3203" t="str">
        <f t="shared" si="49"/>
        <v>FINPopulation, male</v>
      </c>
      <c r="C3203" t="s">
        <v>499</v>
      </c>
      <c r="D3203" t="s">
        <v>43</v>
      </c>
      <c r="E3203" t="s">
        <v>397</v>
      </c>
      <c r="F3203" t="s">
        <v>725</v>
      </c>
      <c r="G3203">
        <v>2727000</v>
      </c>
      <c r="H3203">
        <v>2736000</v>
      </c>
    </row>
    <row r="3204" spans="2:8" x14ac:dyDescent="0.25">
      <c r="B3204" t="str">
        <f t="shared" si="49"/>
        <v>FINPopulation, total</v>
      </c>
      <c r="C3204" t="s">
        <v>499</v>
      </c>
      <c r="D3204" t="s">
        <v>43</v>
      </c>
      <c r="E3204" t="s">
        <v>398</v>
      </c>
      <c r="F3204" t="s">
        <v>726</v>
      </c>
      <c r="G3204">
        <v>5533000</v>
      </c>
      <c r="H3204">
        <v>5548000</v>
      </c>
    </row>
    <row r="3205" spans="2:8" x14ac:dyDescent="0.25">
      <c r="B3205" t="str">
        <f t="shared" si="49"/>
        <v>FINPopulation, female</v>
      </c>
      <c r="C3205" t="s">
        <v>499</v>
      </c>
      <c r="D3205" t="s">
        <v>43</v>
      </c>
      <c r="E3205" t="s">
        <v>396</v>
      </c>
      <c r="F3205" t="s">
        <v>727</v>
      </c>
      <c r="G3205">
        <v>2805000</v>
      </c>
      <c r="H3205">
        <v>2812000</v>
      </c>
    </row>
    <row r="3206" spans="2:8" x14ac:dyDescent="0.25">
      <c r="B3206" t="str">
        <f t="shared" si="49"/>
        <v>FINPopulation growth (annual %)</v>
      </c>
      <c r="C3206" t="s">
        <v>499</v>
      </c>
      <c r="D3206" t="s">
        <v>43</v>
      </c>
      <c r="E3206" t="s">
        <v>399</v>
      </c>
      <c r="F3206" t="s">
        <v>728</v>
      </c>
      <c r="G3206">
        <v>0</v>
      </c>
      <c r="H3206">
        <v>0</v>
      </c>
    </row>
    <row r="3207" spans="2:8" x14ac:dyDescent="0.25">
      <c r="B3207" t="str">
        <f t="shared" ref="B3207:B3270" si="50">CONCATENATE(D3207,E3207)</f>
        <v>FCSPopulation ages 0-14, female</v>
      </c>
      <c r="C3207" t="s">
        <v>500</v>
      </c>
      <c r="D3207" t="s">
        <v>501</v>
      </c>
      <c r="E3207" t="s">
        <v>687</v>
      </c>
      <c r="F3207" t="s">
        <v>688</v>
      </c>
      <c r="G3207">
        <v>103515000</v>
      </c>
      <c r="H3207">
        <v>105156000</v>
      </c>
    </row>
    <row r="3208" spans="2:8" x14ac:dyDescent="0.25">
      <c r="B3208" t="str">
        <f t="shared" si="50"/>
        <v>FCSPopulation ages 0-14, male</v>
      </c>
      <c r="C3208" t="s">
        <v>500</v>
      </c>
      <c r="D3208" t="s">
        <v>501</v>
      </c>
      <c r="E3208" t="s">
        <v>689</v>
      </c>
      <c r="F3208" t="s">
        <v>690</v>
      </c>
      <c r="G3208">
        <v>106262000</v>
      </c>
      <c r="H3208">
        <v>107953000</v>
      </c>
    </row>
    <row r="3209" spans="2:8" x14ac:dyDescent="0.25">
      <c r="B3209" t="str">
        <f t="shared" si="50"/>
        <v>FCSPopulation ages 00-04, female</v>
      </c>
      <c r="C3209" t="s">
        <v>500</v>
      </c>
      <c r="D3209" t="s">
        <v>501</v>
      </c>
      <c r="E3209" t="s">
        <v>362</v>
      </c>
      <c r="F3209" t="s">
        <v>691</v>
      </c>
      <c r="G3209">
        <v>37824100</v>
      </c>
      <c r="H3209">
        <v>38327400</v>
      </c>
    </row>
    <row r="3210" spans="2:8" x14ac:dyDescent="0.25">
      <c r="B3210" t="str">
        <f t="shared" si="50"/>
        <v>FCSPopulation ages 00-04, male</v>
      </c>
      <c r="C3210" t="s">
        <v>500</v>
      </c>
      <c r="D3210" t="s">
        <v>501</v>
      </c>
      <c r="E3210" t="s">
        <v>363</v>
      </c>
      <c r="F3210" t="s">
        <v>692</v>
      </c>
      <c r="G3210">
        <v>38912000</v>
      </c>
      <c r="H3210">
        <v>39423100</v>
      </c>
    </row>
    <row r="3211" spans="2:8" x14ac:dyDescent="0.25">
      <c r="B3211" t="str">
        <f t="shared" si="50"/>
        <v>FCSPopulation ages 05-09, female</v>
      </c>
      <c r="C3211" t="s">
        <v>500</v>
      </c>
      <c r="D3211" t="s">
        <v>501</v>
      </c>
      <c r="E3211" t="s">
        <v>364</v>
      </c>
      <c r="F3211" t="s">
        <v>693</v>
      </c>
      <c r="G3211">
        <v>34562700</v>
      </c>
      <c r="H3211">
        <v>35069500</v>
      </c>
    </row>
    <row r="3212" spans="2:8" x14ac:dyDescent="0.25">
      <c r="B3212" t="str">
        <f t="shared" si="50"/>
        <v>FCSPopulation ages 05-09, male</v>
      </c>
      <c r="C3212" t="s">
        <v>500</v>
      </c>
      <c r="D3212" t="s">
        <v>501</v>
      </c>
      <c r="E3212" t="s">
        <v>365</v>
      </c>
      <c r="F3212" t="s">
        <v>694</v>
      </c>
      <c r="G3212">
        <v>35482500</v>
      </c>
      <c r="H3212">
        <v>36008600</v>
      </c>
    </row>
    <row r="3213" spans="2:8" x14ac:dyDescent="0.25">
      <c r="B3213" t="str">
        <f t="shared" si="50"/>
        <v>FCSPopulation ages 10-14, female</v>
      </c>
      <c r="C3213" t="s">
        <v>500</v>
      </c>
      <c r="D3213" t="s">
        <v>501</v>
      </c>
      <c r="E3213" t="s">
        <v>366</v>
      </c>
      <c r="F3213" t="s">
        <v>695</v>
      </c>
      <c r="G3213">
        <v>31131100</v>
      </c>
      <c r="H3213">
        <v>31759400</v>
      </c>
    </row>
    <row r="3214" spans="2:8" x14ac:dyDescent="0.25">
      <c r="B3214" t="str">
        <f t="shared" si="50"/>
        <v>FCSPopulation ages 10-14, male</v>
      </c>
      <c r="C3214" t="s">
        <v>500</v>
      </c>
      <c r="D3214" t="s">
        <v>501</v>
      </c>
      <c r="E3214" t="s">
        <v>367</v>
      </c>
      <c r="F3214" t="s">
        <v>696</v>
      </c>
      <c r="G3214">
        <v>31869500</v>
      </c>
      <c r="H3214">
        <v>32525800</v>
      </c>
    </row>
    <row r="3215" spans="2:8" x14ac:dyDescent="0.25">
      <c r="B3215" t="str">
        <f t="shared" si="50"/>
        <v>FCSPopulation ages 15-19, female</v>
      </c>
      <c r="C3215" t="s">
        <v>500</v>
      </c>
      <c r="D3215" t="s">
        <v>501</v>
      </c>
      <c r="E3215" t="s">
        <v>368</v>
      </c>
      <c r="F3215" t="s">
        <v>697</v>
      </c>
      <c r="G3215">
        <v>27528600</v>
      </c>
      <c r="H3215">
        <v>28169600</v>
      </c>
    </row>
    <row r="3216" spans="2:8" x14ac:dyDescent="0.25">
      <c r="B3216" t="str">
        <f t="shared" si="50"/>
        <v>FCSPopulation ages 15-19, male</v>
      </c>
      <c r="C3216" t="s">
        <v>500</v>
      </c>
      <c r="D3216" t="s">
        <v>501</v>
      </c>
      <c r="E3216" t="s">
        <v>369</v>
      </c>
      <c r="F3216" t="s">
        <v>698</v>
      </c>
      <c r="G3216">
        <v>28057200</v>
      </c>
      <c r="H3216">
        <v>28736100</v>
      </c>
    </row>
    <row r="3217" spans="2:8" x14ac:dyDescent="0.25">
      <c r="B3217" t="str">
        <f t="shared" si="50"/>
        <v>FCSPopulation ages 20-24, female</v>
      </c>
      <c r="C3217" t="s">
        <v>500</v>
      </c>
      <c r="D3217" t="s">
        <v>501</v>
      </c>
      <c r="E3217" t="s">
        <v>370</v>
      </c>
      <c r="F3217" t="s">
        <v>699</v>
      </c>
      <c r="G3217">
        <v>23994200</v>
      </c>
      <c r="H3217">
        <v>24573000</v>
      </c>
    </row>
    <row r="3218" spans="2:8" x14ac:dyDescent="0.25">
      <c r="B3218" t="str">
        <f t="shared" si="50"/>
        <v>FCSPopulation ages 20-24, male</v>
      </c>
      <c r="C3218" t="s">
        <v>500</v>
      </c>
      <c r="D3218" t="s">
        <v>501</v>
      </c>
      <c r="E3218" t="s">
        <v>371</v>
      </c>
      <c r="F3218" t="s">
        <v>700</v>
      </c>
      <c r="G3218">
        <v>24253600</v>
      </c>
      <c r="H3218">
        <v>24857500</v>
      </c>
    </row>
    <row r="3219" spans="2:8" x14ac:dyDescent="0.25">
      <c r="B3219" t="str">
        <f t="shared" si="50"/>
        <v>FCSPopulation ages 25-29, female</v>
      </c>
      <c r="C3219" t="s">
        <v>500</v>
      </c>
      <c r="D3219" t="s">
        <v>501</v>
      </c>
      <c r="E3219" t="s">
        <v>372</v>
      </c>
      <c r="F3219" t="s">
        <v>701</v>
      </c>
      <c r="G3219">
        <v>20687800</v>
      </c>
      <c r="H3219">
        <v>21199900</v>
      </c>
    </row>
    <row r="3220" spans="2:8" x14ac:dyDescent="0.25">
      <c r="B3220" t="str">
        <f t="shared" si="50"/>
        <v>FCSPopulation ages 25-29, male</v>
      </c>
      <c r="C3220" t="s">
        <v>500</v>
      </c>
      <c r="D3220" t="s">
        <v>501</v>
      </c>
      <c r="E3220" t="s">
        <v>373</v>
      </c>
      <c r="F3220" t="s">
        <v>702</v>
      </c>
      <c r="G3220">
        <v>20730300</v>
      </c>
      <c r="H3220">
        <v>21254400</v>
      </c>
    </row>
    <row r="3221" spans="2:8" x14ac:dyDescent="0.25">
      <c r="B3221" t="str">
        <f t="shared" si="50"/>
        <v>FCSPopulation ages 30-34, female</v>
      </c>
      <c r="C3221" t="s">
        <v>500</v>
      </c>
      <c r="D3221" t="s">
        <v>501</v>
      </c>
      <c r="E3221" t="s">
        <v>374</v>
      </c>
      <c r="F3221" t="s">
        <v>703</v>
      </c>
      <c r="G3221">
        <v>17765500</v>
      </c>
      <c r="H3221">
        <v>18209600</v>
      </c>
    </row>
    <row r="3222" spans="2:8" x14ac:dyDescent="0.25">
      <c r="B3222" t="str">
        <f t="shared" si="50"/>
        <v>FCSPopulation ages 30-34, male</v>
      </c>
      <c r="C3222" t="s">
        <v>500</v>
      </c>
      <c r="D3222" t="s">
        <v>501</v>
      </c>
      <c r="E3222" t="s">
        <v>375</v>
      </c>
      <c r="F3222" t="s">
        <v>704</v>
      </c>
      <c r="G3222">
        <v>17594500</v>
      </c>
      <c r="H3222">
        <v>18054800</v>
      </c>
    </row>
    <row r="3223" spans="2:8" x14ac:dyDescent="0.25">
      <c r="B3223" t="str">
        <f t="shared" si="50"/>
        <v>FCSPopulation ages 35-39, female</v>
      </c>
      <c r="C3223" t="s">
        <v>500</v>
      </c>
      <c r="D3223" t="s">
        <v>501</v>
      </c>
      <c r="E3223" t="s">
        <v>376</v>
      </c>
      <c r="F3223" t="s">
        <v>705</v>
      </c>
      <c r="G3223">
        <v>15176100</v>
      </c>
      <c r="H3223">
        <v>15594400</v>
      </c>
    </row>
    <row r="3224" spans="2:8" x14ac:dyDescent="0.25">
      <c r="B3224" t="str">
        <f t="shared" si="50"/>
        <v>FCSPopulation ages 35-39, male</v>
      </c>
      <c r="C3224" t="s">
        <v>500</v>
      </c>
      <c r="D3224" t="s">
        <v>501</v>
      </c>
      <c r="E3224" t="s">
        <v>377</v>
      </c>
      <c r="F3224" t="s">
        <v>706</v>
      </c>
      <c r="G3224">
        <v>14894900</v>
      </c>
      <c r="H3224">
        <v>15309000</v>
      </c>
    </row>
    <row r="3225" spans="2:8" x14ac:dyDescent="0.25">
      <c r="B3225" t="str">
        <f t="shared" si="50"/>
        <v>FCSPopulation ages 40-44, female</v>
      </c>
      <c r="C3225" t="s">
        <v>500</v>
      </c>
      <c r="D3225" t="s">
        <v>501</v>
      </c>
      <c r="E3225" t="s">
        <v>378</v>
      </c>
      <c r="F3225" t="s">
        <v>707</v>
      </c>
      <c r="G3225">
        <v>12715000</v>
      </c>
      <c r="H3225">
        <v>13110200</v>
      </c>
    </row>
    <row r="3226" spans="2:8" x14ac:dyDescent="0.25">
      <c r="B3226" t="str">
        <f t="shared" si="50"/>
        <v>FCSPopulation ages 40-44, male</v>
      </c>
      <c r="C3226" t="s">
        <v>500</v>
      </c>
      <c r="D3226" t="s">
        <v>501</v>
      </c>
      <c r="E3226" t="s">
        <v>379</v>
      </c>
      <c r="F3226" t="s">
        <v>708</v>
      </c>
      <c r="G3226">
        <v>12375900</v>
      </c>
      <c r="H3226">
        <v>12771100</v>
      </c>
    </row>
    <row r="3227" spans="2:8" x14ac:dyDescent="0.25">
      <c r="B3227" t="str">
        <f t="shared" si="50"/>
        <v>FCSPopulation ages 45-49, female</v>
      </c>
      <c r="C3227" t="s">
        <v>500</v>
      </c>
      <c r="D3227" t="s">
        <v>501</v>
      </c>
      <c r="E3227" t="s">
        <v>380</v>
      </c>
      <c r="F3227" t="s">
        <v>709</v>
      </c>
      <c r="G3227">
        <v>10513400</v>
      </c>
      <c r="H3227">
        <v>10845400</v>
      </c>
    </row>
    <row r="3228" spans="2:8" x14ac:dyDescent="0.25">
      <c r="B3228" t="str">
        <f t="shared" si="50"/>
        <v>FCSPopulation ages 45-49, male</v>
      </c>
      <c r="C3228" t="s">
        <v>500</v>
      </c>
      <c r="D3228" t="s">
        <v>501</v>
      </c>
      <c r="E3228" t="s">
        <v>381</v>
      </c>
      <c r="F3228" t="s">
        <v>710</v>
      </c>
      <c r="G3228">
        <v>10054000</v>
      </c>
      <c r="H3228">
        <v>10394000</v>
      </c>
    </row>
    <row r="3229" spans="2:8" x14ac:dyDescent="0.25">
      <c r="B3229" t="str">
        <f t="shared" si="50"/>
        <v>FCSPopulation ages 50-54, female</v>
      </c>
      <c r="C3229" t="s">
        <v>500</v>
      </c>
      <c r="D3229" t="s">
        <v>501</v>
      </c>
      <c r="E3229" t="s">
        <v>382</v>
      </c>
      <c r="F3229" t="s">
        <v>711</v>
      </c>
      <c r="G3229">
        <v>8684500</v>
      </c>
      <c r="H3229">
        <v>8971500</v>
      </c>
    </row>
    <row r="3230" spans="2:8" x14ac:dyDescent="0.25">
      <c r="B3230" t="str">
        <f t="shared" si="50"/>
        <v>FCSPopulation ages 50-54, male</v>
      </c>
      <c r="C3230" t="s">
        <v>500</v>
      </c>
      <c r="D3230" t="s">
        <v>501</v>
      </c>
      <c r="E3230" t="s">
        <v>383</v>
      </c>
      <c r="F3230" t="s">
        <v>712</v>
      </c>
      <c r="G3230">
        <v>8095000</v>
      </c>
      <c r="H3230">
        <v>8379000</v>
      </c>
    </row>
    <row r="3231" spans="2:8" x14ac:dyDescent="0.25">
      <c r="B3231" t="str">
        <f t="shared" si="50"/>
        <v>FCSPopulation ages 55-59, male</v>
      </c>
      <c r="C3231" t="s">
        <v>500</v>
      </c>
      <c r="D3231" t="s">
        <v>501</v>
      </c>
      <c r="E3231" t="s">
        <v>385</v>
      </c>
      <c r="F3231" t="s">
        <v>713</v>
      </c>
      <c r="G3231">
        <v>6335000</v>
      </c>
      <c r="H3231">
        <v>6565600</v>
      </c>
    </row>
    <row r="3232" spans="2:8" x14ac:dyDescent="0.25">
      <c r="B3232" t="str">
        <f t="shared" si="50"/>
        <v>FCSPopulation ages 55-59, female</v>
      </c>
      <c r="C3232" t="s">
        <v>500</v>
      </c>
      <c r="D3232" t="s">
        <v>501</v>
      </c>
      <c r="E3232" t="s">
        <v>384</v>
      </c>
      <c r="F3232" t="s">
        <v>714</v>
      </c>
      <c r="G3232">
        <v>6947200</v>
      </c>
      <c r="H3232">
        <v>7199600</v>
      </c>
    </row>
    <row r="3233" spans="2:8" x14ac:dyDescent="0.25">
      <c r="B3233" t="str">
        <f t="shared" si="50"/>
        <v>FCSPopulation ages 65-69, male</v>
      </c>
      <c r="C3233" t="s">
        <v>500</v>
      </c>
      <c r="D3233" t="s">
        <v>501</v>
      </c>
      <c r="E3233" t="s">
        <v>389</v>
      </c>
      <c r="F3233" t="s">
        <v>715</v>
      </c>
      <c r="G3233">
        <v>3561200</v>
      </c>
      <c r="H3233">
        <v>3710300</v>
      </c>
    </row>
    <row r="3234" spans="2:8" x14ac:dyDescent="0.25">
      <c r="B3234" t="str">
        <f t="shared" si="50"/>
        <v>FCSPopulation ages 65-69, female</v>
      </c>
      <c r="C3234" t="s">
        <v>500</v>
      </c>
      <c r="D3234" t="s">
        <v>501</v>
      </c>
      <c r="E3234" t="s">
        <v>388</v>
      </c>
      <c r="F3234" t="s">
        <v>716</v>
      </c>
      <c r="G3234">
        <v>4249000</v>
      </c>
      <c r="H3234">
        <v>4435000</v>
      </c>
    </row>
    <row r="3235" spans="2:8" x14ac:dyDescent="0.25">
      <c r="B3235" t="str">
        <f t="shared" si="50"/>
        <v>FCSPopulation ages 60-64, female</v>
      </c>
      <c r="C3235" t="s">
        <v>500</v>
      </c>
      <c r="D3235" t="s">
        <v>501</v>
      </c>
      <c r="E3235" t="s">
        <v>386</v>
      </c>
      <c r="F3235" t="s">
        <v>717</v>
      </c>
      <c r="G3235">
        <v>5513600</v>
      </c>
      <c r="H3235">
        <v>5681500</v>
      </c>
    </row>
    <row r="3236" spans="2:8" x14ac:dyDescent="0.25">
      <c r="B3236" t="str">
        <f t="shared" si="50"/>
        <v>FCSPopulation ages 60-64, male</v>
      </c>
      <c r="C3236" t="s">
        <v>500</v>
      </c>
      <c r="D3236" t="s">
        <v>501</v>
      </c>
      <c r="E3236" t="s">
        <v>387</v>
      </c>
      <c r="F3236" t="s">
        <v>718</v>
      </c>
      <c r="G3236">
        <v>4855800</v>
      </c>
      <c r="H3236">
        <v>5013600</v>
      </c>
    </row>
    <row r="3237" spans="2:8" x14ac:dyDescent="0.25">
      <c r="B3237" t="str">
        <f t="shared" si="50"/>
        <v>FCSPopulation ages 70-74, female</v>
      </c>
      <c r="C3237" t="s">
        <v>500</v>
      </c>
      <c r="D3237" t="s">
        <v>501</v>
      </c>
      <c r="E3237" t="s">
        <v>390</v>
      </c>
      <c r="F3237" t="s">
        <v>719</v>
      </c>
      <c r="G3237">
        <v>2757000</v>
      </c>
      <c r="H3237">
        <v>2888300</v>
      </c>
    </row>
    <row r="3238" spans="2:8" x14ac:dyDescent="0.25">
      <c r="B3238" t="str">
        <f t="shared" si="50"/>
        <v>FCSPopulation ages 70-74, male</v>
      </c>
      <c r="C3238" t="s">
        <v>500</v>
      </c>
      <c r="D3238" t="s">
        <v>501</v>
      </c>
      <c r="E3238" t="s">
        <v>391</v>
      </c>
      <c r="F3238" t="s">
        <v>720</v>
      </c>
      <c r="G3238">
        <v>2253500</v>
      </c>
      <c r="H3238">
        <v>2346500</v>
      </c>
    </row>
    <row r="3239" spans="2:8" x14ac:dyDescent="0.25">
      <c r="B3239" t="str">
        <f t="shared" si="50"/>
        <v>FCSPopulation ages 75-79, female</v>
      </c>
      <c r="C3239" t="s">
        <v>500</v>
      </c>
      <c r="D3239" t="s">
        <v>501</v>
      </c>
      <c r="E3239" t="s">
        <v>392</v>
      </c>
      <c r="F3239" t="s">
        <v>721</v>
      </c>
      <c r="G3239">
        <v>1781900</v>
      </c>
      <c r="H3239">
        <v>1834800</v>
      </c>
    </row>
    <row r="3240" spans="2:8" x14ac:dyDescent="0.25">
      <c r="B3240" t="str">
        <f t="shared" si="50"/>
        <v>FCSPopulation ages 75-79, male</v>
      </c>
      <c r="C3240" t="s">
        <v>500</v>
      </c>
      <c r="D3240" t="s">
        <v>501</v>
      </c>
      <c r="E3240" t="s">
        <v>393</v>
      </c>
      <c r="F3240" t="s">
        <v>722</v>
      </c>
      <c r="G3240">
        <v>1358400</v>
      </c>
      <c r="H3240">
        <v>1397200</v>
      </c>
    </row>
    <row r="3241" spans="2:8" x14ac:dyDescent="0.25">
      <c r="B3241" t="str">
        <f t="shared" si="50"/>
        <v>FCSPopulation ages 80 and above, female</v>
      </c>
      <c r="C3241" t="s">
        <v>500</v>
      </c>
      <c r="D3241" t="s">
        <v>501</v>
      </c>
      <c r="E3241" t="s">
        <v>394</v>
      </c>
      <c r="F3241" t="s">
        <v>723</v>
      </c>
      <c r="G3241">
        <v>1445600</v>
      </c>
      <c r="H3241">
        <v>1453900</v>
      </c>
    </row>
    <row r="3242" spans="2:8" x14ac:dyDescent="0.25">
      <c r="B3242" t="str">
        <f t="shared" si="50"/>
        <v>FCSPopulation ages 80 and above, male</v>
      </c>
      <c r="C3242" t="s">
        <v>500</v>
      </c>
      <c r="D3242" t="s">
        <v>501</v>
      </c>
      <c r="E3242" t="s">
        <v>395</v>
      </c>
      <c r="F3242" t="s">
        <v>724</v>
      </c>
      <c r="G3242">
        <v>952600</v>
      </c>
      <c r="H3242">
        <v>949400</v>
      </c>
    </row>
    <row r="3243" spans="2:8" x14ac:dyDescent="0.25">
      <c r="B3243" t="str">
        <f t="shared" si="50"/>
        <v>FCSPopulation, male</v>
      </c>
      <c r="C3243" t="s">
        <v>500</v>
      </c>
      <c r="D3243" t="s">
        <v>501</v>
      </c>
      <c r="E3243" t="s">
        <v>397</v>
      </c>
      <c r="F3243" t="s">
        <v>725</v>
      </c>
      <c r="G3243">
        <v>261624000</v>
      </c>
      <c r="H3243">
        <v>267691000</v>
      </c>
    </row>
    <row r="3244" spans="2:8" x14ac:dyDescent="0.25">
      <c r="B3244" t="str">
        <f t="shared" si="50"/>
        <v>FCSPopulation, total</v>
      </c>
      <c r="C3244" t="s">
        <v>500</v>
      </c>
      <c r="D3244" t="s">
        <v>501</v>
      </c>
      <c r="E3244" t="s">
        <v>398</v>
      </c>
      <c r="F3244" t="s">
        <v>726</v>
      </c>
      <c r="G3244">
        <v>526823000</v>
      </c>
      <c r="H3244">
        <v>538961000</v>
      </c>
    </row>
    <row r="3245" spans="2:8" x14ac:dyDescent="0.25">
      <c r="B3245" t="str">
        <f t="shared" si="50"/>
        <v>FCSPopulation, female</v>
      </c>
      <c r="C3245" t="s">
        <v>500</v>
      </c>
      <c r="D3245" t="s">
        <v>501</v>
      </c>
      <c r="E3245" t="s">
        <v>396</v>
      </c>
      <c r="F3245" t="s">
        <v>727</v>
      </c>
      <c r="G3245">
        <v>263273000</v>
      </c>
      <c r="H3245">
        <v>269332000</v>
      </c>
    </row>
    <row r="3246" spans="2:8" x14ac:dyDescent="0.25">
      <c r="B3246" t="str">
        <f t="shared" si="50"/>
        <v>FCSPopulation growth (annual %)</v>
      </c>
      <c r="C3246" t="s">
        <v>500</v>
      </c>
      <c r="D3246" t="s">
        <v>501</v>
      </c>
      <c r="E3246" t="s">
        <v>399</v>
      </c>
      <c r="F3246" t="s">
        <v>728</v>
      </c>
      <c r="G3246">
        <v>2.2528542284841109</v>
      </c>
      <c r="H3246">
        <v>2.3039996355512073</v>
      </c>
    </row>
    <row r="3247" spans="2:8" x14ac:dyDescent="0.25">
      <c r="B3247" t="str">
        <f t="shared" si="50"/>
        <v>FRAPopulation ages 0-14, female</v>
      </c>
      <c r="C3247" t="s">
        <v>502</v>
      </c>
      <c r="D3247" t="s">
        <v>45</v>
      </c>
      <c r="E3247" t="s">
        <v>687</v>
      </c>
      <c r="F3247" t="s">
        <v>688</v>
      </c>
      <c r="G3247">
        <v>5848000</v>
      </c>
      <c r="H3247">
        <v>5819000</v>
      </c>
    </row>
    <row r="3248" spans="2:8" x14ac:dyDescent="0.25">
      <c r="B3248" t="str">
        <f t="shared" si="50"/>
        <v>FRAPopulation ages 0-14, male</v>
      </c>
      <c r="C3248" t="s">
        <v>502</v>
      </c>
      <c r="D3248" t="s">
        <v>45</v>
      </c>
      <c r="E3248" t="s">
        <v>689</v>
      </c>
      <c r="F3248" t="s">
        <v>690</v>
      </c>
      <c r="G3248">
        <v>6117000</v>
      </c>
      <c r="H3248">
        <v>6087000</v>
      </c>
    </row>
    <row r="3249" spans="2:8" x14ac:dyDescent="0.25">
      <c r="B3249" t="str">
        <f t="shared" si="50"/>
        <v>FRAPopulation ages 00-04, female</v>
      </c>
      <c r="C3249" t="s">
        <v>502</v>
      </c>
      <c r="D3249" t="s">
        <v>45</v>
      </c>
      <c r="E3249" t="s">
        <v>362</v>
      </c>
      <c r="F3249" t="s">
        <v>691</v>
      </c>
      <c r="G3249">
        <v>1851000</v>
      </c>
      <c r="H3249">
        <v>1828000</v>
      </c>
    </row>
    <row r="3250" spans="2:8" x14ac:dyDescent="0.25">
      <c r="B3250" t="str">
        <f t="shared" si="50"/>
        <v>FRAPopulation ages 00-04, male</v>
      </c>
      <c r="C3250" t="s">
        <v>502</v>
      </c>
      <c r="D3250" t="s">
        <v>45</v>
      </c>
      <c r="E3250" t="s">
        <v>363</v>
      </c>
      <c r="F3250" t="s">
        <v>692</v>
      </c>
      <c r="G3250">
        <v>1935000</v>
      </c>
      <c r="H3250">
        <v>1912000</v>
      </c>
    </row>
    <row r="3251" spans="2:8" x14ac:dyDescent="0.25">
      <c r="B3251" t="str">
        <f t="shared" si="50"/>
        <v>FRAPopulation ages 05-09, female</v>
      </c>
      <c r="C3251" t="s">
        <v>502</v>
      </c>
      <c r="D3251" t="s">
        <v>45</v>
      </c>
      <c r="E3251" t="s">
        <v>364</v>
      </c>
      <c r="F3251" t="s">
        <v>693</v>
      </c>
      <c r="G3251">
        <v>1987000</v>
      </c>
      <c r="H3251">
        <v>1975000</v>
      </c>
    </row>
    <row r="3252" spans="2:8" x14ac:dyDescent="0.25">
      <c r="B3252" t="str">
        <f t="shared" si="50"/>
        <v>FRAPopulation ages 05-09, male</v>
      </c>
      <c r="C3252" t="s">
        <v>502</v>
      </c>
      <c r="D3252" t="s">
        <v>45</v>
      </c>
      <c r="E3252" t="s">
        <v>365</v>
      </c>
      <c r="F3252" t="s">
        <v>694</v>
      </c>
      <c r="G3252">
        <v>2076000</v>
      </c>
      <c r="H3252">
        <v>2062000</v>
      </c>
    </row>
    <row r="3253" spans="2:8" x14ac:dyDescent="0.25">
      <c r="B3253" t="str">
        <f t="shared" si="50"/>
        <v>FRAPopulation ages 10-14, female</v>
      </c>
      <c r="C3253" t="s">
        <v>502</v>
      </c>
      <c r="D3253" t="s">
        <v>45</v>
      </c>
      <c r="E3253" t="s">
        <v>366</v>
      </c>
      <c r="F3253" t="s">
        <v>695</v>
      </c>
      <c r="G3253">
        <v>2010000</v>
      </c>
      <c r="H3253">
        <v>2016000</v>
      </c>
    </row>
    <row r="3254" spans="2:8" x14ac:dyDescent="0.25">
      <c r="B3254" t="str">
        <f t="shared" si="50"/>
        <v>FRAPopulation ages 10-14, male</v>
      </c>
      <c r="C3254" t="s">
        <v>502</v>
      </c>
      <c r="D3254" t="s">
        <v>45</v>
      </c>
      <c r="E3254" t="s">
        <v>367</v>
      </c>
      <c r="F3254" t="s">
        <v>696</v>
      </c>
      <c r="G3254">
        <v>2106000</v>
      </c>
      <c r="H3254">
        <v>2113000</v>
      </c>
    </row>
    <row r="3255" spans="2:8" x14ac:dyDescent="0.25">
      <c r="B3255" t="str">
        <f t="shared" si="50"/>
        <v>FRAPopulation ages 15-19, female</v>
      </c>
      <c r="C3255" t="s">
        <v>502</v>
      </c>
      <c r="D3255" t="s">
        <v>45</v>
      </c>
      <c r="E3255" t="s">
        <v>368</v>
      </c>
      <c r="F3255" t="s">
        <v>697</v>
      </c>
      <c r="G3255">
        <v>1955000</v>
      </c>
      <c r="H3255">
        <v>1965000</v>
      </c>
    </row>
    <row r="3256" spans="2:8" x14ac:dyDescent="0.25">
      <c r="B3256" t="str">
        <f t="shared" si="50"/>
        <v>FRAPopulation ages 15-19, male</v>
      </c>
      <c r="C3256" t="s">
        <v>502</v>
      </c>
      <c r="D3256" t="s">
        <v>45</v>
      </c>
      <c r="E3256" t="s">
        <v>369</v>
      </c>
      <c r="F3256" t="s">
        <v>698</v>
      </c>
      <c r="G3256">
        <v>2038000</v>
      </c>
      <c r="H3256">
        <v>2052000</v>
      </c>
    </row>
    <row r="3257" spans="2:8" x14ac:dyDescent="0.25">
      <c r="B3257" t="str">
        <f t="shared" si="50"/>
        <v>FRAPopulation ages 20-24, female</v>
      </c>
      <c r="C3257" t="s">
        <v>502</v>
      </c>
      <c r="D3257" t="s">
        <v>45</v>
      </c>
      <c r="E3257" t="s">
        <v>370</v>
      </c>
      <c r="F3257" t="s">
        <v>699</v>
      </c>
      <c r="G3257">
        <v>1889000</v>
      </c>
      <c r="H3257">
        <v>1889000</v>
      </c>
    </row>
    <row r="3258" spans="2:8" x14ac:dyDescent="0.25">
      <c r="B3258" t="str">
        <f t="shared" si="50"/>
        <v>FRAPopulation ages 20-24, male</v>
      </c>
      <c r="C3258" t="s">
        <v>502</v>
      </c>
      <c r="D3258" t="s">
        <v>45</v>
      </c>
      <c r="E3258" t="s">
        <v>371</v>
      </c>
      <c r="F3258" t="s">
        <v>700</v>
      </c>
      <c r="G3258">
        <v>1928000</v>
      </c>
      <c r="H3258">
        <v>1931000</v>
      </c>
    </row>
    <row r="3259" spans="2:8" x14ac:dyDescent="0.25">
      <c r="B3259" t="str">
        <f t="shared" si="50"/>
        <v>FRAPopulation ages 25-29, female</v>
      </c>
      <c r="C3259" t="s">
        <v>502</v>
      </c>
      <c r="D3259" t="s">
        <v>45</v>
      </c>
      <c r="E3259" t="s">
        <v>372</v>
      </c>
      <c r="F3259" t="s">
        <v>701</v>
      </c>
      <c r="G3259">
        <v>1934000</v>
      </c>
      <c r="H3259">
        <v>1913000</v>
      </c>
    </row>
    <row r="3260" spans="2:8" x14ac:dyDescent="0.25">
      <c r="B3260" t="str">
        <f t="shared" si="50"/>
        <v>FRAPopulation ages 25-29, male</v>
      </c>
      <c r="C3260" t="s">
        <v>502</v>
      </c>
      <c r="D3260" t="s">
        <v>45</v>
      </c>
      <c r="E3260" t="s">
        <v>373</v>
      </c>
      <c r="F3260" t="s">
        <v>702</v>
      </c>
      <c r="G3260">
        <v>1902000</v>
      </c>
      <c r="H3260">
        <v>1883000</v>
      </c>
    </row>
    <row r="3261" spans="2:8" x14ac:dyDescent="0.25">
      <c r="B3261" t="str">
        <f t="shared" si="50"/>
        <v>FRAPopulation ages 30-34, female</v>
      </c>
      <c r="C3261" t="s">
        <v>502</v>
      </c>
      <c r="D3261" t="s">
        <v>45</v>
      </c>
      <c r="E3261" t="s">
        <v>374</v>
      </c>
      <c r="F3261" t="s">
        <v>703</v>
      </c>
      <c r="G3261">
        <v>2088000</v>
      </c>
      <c r="H3261">
        <v>2076000</v>
      </c>
    </row>
    <row r="3262" spans="2:8" x14ac:dyDescent="0.25">
      <c r="B3262" t="str">
        <f t="shared" si="50"/>
        <v>FRAPopulation ages 30-34, male</v>
      </c>
      <c r="C3262" t="s">
        <v>502</v>
      </c>
      <c r="D3262" t="s">
        <v>45</v>
      </c>
      <c r="E3262" t="s">
        <v>375</v>
      </c>
      <c r="F3262" t="s">
        <v>704</v>
      </c>
      <c r="G3262">
        <v>2012000</v>
      </c>
      <c r="H3262">
        <v>1996000</v>
      </c>
    </row>
    <row r="3263" spans="2:8" x14ac:dyDescent="0.25">
      <c r="B3263" t="str">
        <f t="shared" si="50"/>
        <v>FRAPopulation ages 35-39, female</v>
      </c>
      <c r="C3263" t="s">
        <v>502</v>
      </c>
      <c r="D3263" t="s">
        <v>45</v>
      </c>
      <c r="E3263" t="s">
        <v>376</v>
      </c>
      <c r="F3263" t="s">
        <v>705</v>
      </c>
      <c r="G3263">
        <v>2119000</v>
      </c>
      <c r="H3263">
        <v>2143000</v>
      </c>
    </row>
    <row r="3264" spans="2:8" x14ac:dyDescent="0.25">
      <c r="B3264" t="str">
        <f t="shared" si="50"/>
        <v>FRAPopulation ages 35-39, male</v>
      </c>
      <c r="C3264" t="s">
        <v>502</v>
      </c>
      <c r="D3264" t="s">
        <v>45</v>
      </c>
      <c r="E3264" t="s">
        <v>377</v>
      </c>
      <c r="F3264" t="s">
        <v>706</v>
      </c>
      <c r="G3264">
        <v>2044000</v>
      </c>
      <c r="H3264">
        <v>2062000</v>
      </c>
    </row>
    <row r="3265" spans="2:8" x14ac:dyDescent="0.25">
      <c r="B3265" t="str">
        <f t="shared" si="50"/>
        <v>FRAPopulation ages 40-44, female</v>
      </c>
      <c r="C3265" t="s">
        <v>502</v>
      </c>
      <c r="D3265" t="s">
        <v>45</v>
      </c>
      <c r="E3265" t="s">
        <v>378</v>
      </c>
      <c r="F3265" t="s">
        <v>707</v>
      </c>
      <c r="G3265">
        <v>2085000</v>
      </c>
      <c r="H3265">
        <v>2066000</v>
      </c>
    </row>
    <row r="3266" spans="2:8" x14ac:dyDescent="0.25">
      <c r="B3266" t="str">
        <f t="shared" si="50"/>
        <v>FRAPopulation ages 40-44, male</v>
      </c>
      <c r="C3266" t="s">
        <v>502</v>
      </c>
      <c r="D3266" t="s">
        <v>45</v>
      </c>
      <c r="E3266" t="s">
        <v>379</v>
      </c>
      <c r="F3266" t="s">
        <v>708</v>
      </c>
      <c r="G3266">
        <v>2033000</v>
      </c>
      <c r="H3266">
        <v>2008000</v>
      </c>
    </row>
    <row r="3267" spans="2:8" x14ac:dyDescent="0.25">
      <c r="B3267" t="str">
        <f t="shared" si="50"/>
        <v>FRAPopulation ages 45-49, female</v>
      </c>
      <c r="C3267" t="s">
        <v>502</v>
      </c>
      <c r="D3267" t="s">
        <v>45</v>
      </c>
      <c r="E3267" t="s">
        <v>380</v>
      </c>
      <c r="F3267" t="s">
        <v>709</v>
      </c>
      <c r="G3267">
        <v>2302000</v>
      </c>
      <c r="H3267">
        <v>2287000</v>
      </c>
    </row>
    <row r="3268" spans="2:8" x14ac:dyDescent="0.25">
      <c r="B3268" t="str">
        <f t="shared" si="50"/>
        <v>FRAPopulation ages 45-49, male</v>
      </c>
      <c r="C3268" t="s">
        <v>502</v>
      </c>
      <c r="D3268" t="s">
        <v>45</v>
      </c>
      <c r="E3268" t="s">
        <v>381</v>
      </c>
      <c r="F3268" t="s">
        <v>710</v>
      </c>
      <c r="G3268">
        <v>2257000</v>
      </c>
      <c r="H3268">
        <v>2241000</v>
      </c>
    </row>
    <row r="3269" spans="2:8" x14ac:dyDescent="0.25">
      <c r="B3269" t="str">
        <f t="shared" si="50"/>
        <v>FRAPopulation ages 50-54, female</v>
      </c>
      <c r="C3269" t="s">
        <v>502</v>
      </c>
      <c r="D3269" t="s">
        <v>45</v>
      </c>
      <c r="E3269" t="s">
        <v>382</v>
      </c>
      <c r="F3269" t="s">
        <v>711</v>
      </c>
      <c r="G3269">
        <v>2287000</v>
      </c>
      <c r="H3269">
        <v>2291000</v>
      </c>
    </row>
    <row r="3270" spans="2:8" x14ac:dyDescent="0.25">
      <c r="B3270" t="str">
        <f t="shared" si="50"/>
        <v>FRAPopulation ages 50-54, male</v>
      </c>
      <c r="C3270" t="s">
        <v>502</v>
      </c>
      <c r="D3270" t="s">
        <v>45</v>
      </c>
      <c r="E3270" t="s">
        <v>383</v>
      </c>
      <c r="F3270" t="s">
        <v>712</v>
      </c>
      <c r="G3270">
        <v>2211000</v>
      </c>
      <c r="H3270">
        <v>2218000</v>
      </c>
    </row>
    <row r="3271" spans="2:8" x14ac:dyDescent="0.25">
      <c r="B3271" t="str">
        <f t="shared" ref="B3271:B3334" si="51">CONCATENATE(D3271,E3271)</f>
        <v>FRAPopulation ages 55-59, male</v>
      </c>
      <c r="C3271" t="s">
        <v>502</v>
      </c>
      <c r="D3271" t="s">
        <v>45</v>
      </c>
      <c r="E3271" t="s">
        <v>385</v>
      </c>
      <c r="F3271" t="s">
        <v>713</v>
      </c>
      <c r="G3271">
        <v>2129000</v>
      </c>
      <c r="H3271">
        <v>2148000</v>
      </c>
    </row>
    <row r="3272" spans="2:8" x14ac:dyDescent="0.25">
      <c r="B3272" t="str">
        <f t="shared" si="51"/>
        <v>FRAPopulation ages 55-59, female</v>
      </c>
      <c r="C3272" t="s">
        <v>502</v>
      </c>
      <c r="D3272" t="s">
        <v>45</v>
      </c>
      <c r="E3272" t="s">
        <v>384</v>
      </c>
      <c r="F3272" t="s">
        <v>714</v>
      </c>
      <c r="G3272">
        <v>2250000</v>
      </c>
      <c r="H3272">
        <v>2265000</v>
      </c>
    </row>
    <row r="3273" spans="2:8" x14ac:dyDescent="0.25">
      <c r="B3273" t="str">
        <f t="shared" si="51"/>
        <v>FRAPopulation ages 65-69, male</v>
      </c>
      <c r="C3273" t="s">
        <v>502</v>
      </c>
      <c r="D3273" t="s">
        <v>45</v>
      </c>
      <c r="E3273" t="s">
        <v>389</v>
      </c>
      <c r="F3273" t="s">
        <v>715</v>
      </c>
      <c r="G3273">
        <v>1850000</v>
      </c>
      <c r="H3273">
        <v>1845000</v>
      </c>
    </row>
    <row r="3274" spans="2:8" x14ac:dyDescent="0.25">
      <c r="B3274" t="str">
        <f t="shared" si="51"/>
        <v>FRAPopulation ages 65-69, female</v>
      </c>
      <c r="C3274" t="s">
        <v>502</v>
      </c>
      <c r="D3274" t="s">
        <v>45</v>
      </c>
      <c r="E3274" t="s">
        <v>388</v>
      </c>
      <c r="F3274" t="s">
        <v>716</v>
      </c>
      <c r="G3274">
        <v>2078000</v>
      </c>
      <c r="H3274">
        <v>2072000</v>
      </c>
    </row>
    <row r="3275" spans="2:8" x14ac:dyDescent="0.25">
      <c r="B3275" t="str">
        <f t="shared" si="51"/>
        <v>FRAPopulation ages 60-64, female</v>
      </c>
      <c r="C3275" t="s">
        <v>502</v>
      </c>
      <c r="D3275" t="s">
        <v>45</v>
      </c>
      <c r="E3275" t="s">
        <v>386</v>
      </c>
      <c r="F3275" t="s">
        <v>717</v>
      </c>
      <c r="G3275">
        <v>2127000</v>
      </c>
      <c r="H3275">
        <v>2139000</v>
      </c>
    </row>
    <row r="3276" spans="2:8" x14ac:dyDescent="0.25">
      <c r="B3276" t="str">
        <f t="shared" si="51"/>
        <v>FRAPopulation ages 60-64, male</v>
      </c>
      <c r="C3276" t="s">
        <v>502</v>
      </c>
      <c r="D3276" t="s">
        <v>45</v>
      </c>
      <c r="E3276" t="s">
        <v>387</v>
      </c>
      <c r="F3276" t="s">
        <v>718</v>
      </c>
      <c r="G3276">
        <v>1952000</v>
      </c>
      <c r="H3276">
        <v>1966000</v>
      </c>
    </row>
    <row r="3277" spans="2:8" x14ac:dyDescent="0.25">
      <c r="B3277" t="str">
        <f t="shared" si="51"/>
        <v>FRAPopulation ages 70-74, female</v>
      </c>
      <c r="C3277" t="s">
        <v>502</v>
      </c>
      <c r="D3277" t="s">
        <v>45</v>
      </c>
      <c r="E3277" t="s">
        <v>390</v>
      </c>
      <c r="F3277" t="s">
        <v>719</v>
      </c>
      <c r="G3277">
        <v>1864000</v>
      </c>
      <c r="H3277">
        <v>1959000</v>
      </c>
    </row>
    <row r="3278" spans="2:8" x14ac:dyDescent="0.25">
      <c r="B3278" t="str">
        <f t="shared" si="51"/>
        <v>FRAPopulation ages 70-74, male</v>
      </c>
      <c r="C3278" t="s">
        <v>502</v>
      </c>
      <c r="D3278" t="s">
        <v>45</v>
      </c>
      <c r="E3278" t="s">
        <v>391</v>
      </c>
      <c r="F3278" t="s">
        <v>720</v>
      </c>
      <c r="G3278">
        <v>1603000</v>
      </c>
      <c r="H3278">
        <v>1681000</v>
      </c>
    </row>
    <row r="3279" spans="2:8" x14ac:dyDescent="0.25">
      <c r="B3279" t="str">
        <f t="shared" si="51"/>
        <v>FRAPopulation ages 75-79, female</v>
      </c>
      <c r="C3279" t="s">
        <v>502</v>
      </c>
      <c r="D3279" t="s">
        <v>45</v>
      </c>
      <c r="E3279" t="s">
        <v>392</v>
      </c>
      <c r="F3279" t="s">
        <v>721</v>
      </c>
      <c r="G3279">
        <v>1206000</v>
      </c>
      <c r="H3279">
        <v>1263000</v>
      </c>
    </row>
    <row r="3280" spans="2:8" x14ac:dyDescent="0.25">
      <c r="B3280" t="str">
        <f t="shared" si="51"/>
        <v>FRAPopulation ages 75-79, male</v>
      </c>
      <c r="C3280" t="s">
        <v>502</v>
      </c>
      <c r="D3280" t="s">
        <v>45</v>
      </c>
      <c r="E3280" t="s">
        <v>393</v>
      </c>
      <c r="F3280" t="s">
        <v>722</v>
      </c>
      <c r="G3280">
        <v>958000</v>
      </c>
      <c r="H3280">
        <v>1014000</v>
      </c>
    </row>
    <row r="3281" spans="2:8" x14ac:dyDescent="0.25">
      <c r="B3281" t="str">
        <f t="shared" si="51"/>
        <v>FRAPopulation ages 80 and above, female</v>
      </c>
      <c r="C3281" t="s">
        <v>502</v>
      </c>
      <c r="D3281" t="s">
        <v>45</v>
      </c>
      <c r="E3281" t="s">
        <v>394</v>
      </c>
      <c r="F3281" t="s">
        <v>723</v>
      </c>
      <c r="G3281">
        <v>2649000</v>
      </c>
      <c r="H3281">
        <v>2655000</v>
      </c>
    </row>
    <row r="3282" spans="2:8" x14ac:dyDescent="0.25">
      <c r="B3282" t="str">
        <f t="shared" si="51"/>
        <v>FRAPopulation ages 80 and above, male</v>
      </c>
      <c r="C3282" t="s">
        <v>502</v>
      </c>
      <c r="D3282" t="s">
        <v>45</v>
      </c>
      <c r="E3282" t="s">
        <v>395</v>
      </c>
      <c r="F3282" t="s">
        <v>724</v>
      </c>
      <c r="G3282">
        <v>1498000</v>
      </c>
      <c r="H3282">
        <v>1506000</v>
      </c>
    </row>
    <row r="3283" spans="2:8" x14ac:dyDescent="0.25">
      <c r="B3283" t="str">
        <f t="shared" si="51"/>
        <v>FRAPopulation, male</v>
      </c>
      <c r="C3283" t="s">
        <v>502</v>
      </c>
      <c r="D3283" t="s">
        <v>45</v>
      </c>
      <c r="E3283" t="s">
        <v>397</v>
      </c>
      <c r="F3283" t="s">
        <v>725</v>
      </c>
      <c r="G3283">
        <v>32532000</v>
      </c>
      <c r="H3283">
        <v>32639000</v>
      </c>
    </row>
    <row r="3284" spans="2:8" x14ac:dyDescent="0.25">
      <c r="B3284" t="str">
        <f t="shared" si="51"/>
        <v>FRAPopulation, total</v>
      </c>
      <c r="C3284" t="s">
        <v>502</v>
      </c>
      <c r="D3284" t="s">
        <v>45</v>
      </c>
      <c r="E3284" t="s">
        <v>398</v>
      </c>
      <c r="F3284" t="s">
        <v>726</v>
      </c>
      <c r="G3284">
        <v>67211000</v>
      </c>
      <c r="H3284">
        <v>67443000</v>
      </c>
    </row>
    <row r="3285" spans="2:8" x14ac:dyDescent="0.25">
      <c r="B3285" t="str">
        <f t="shared" si="51"/>
        <v>FRAPopulation, female</v>
      </c>
      <c r="C3285" t="s">
        <v>502</v>
      </c>
      <c r="D3285" t="s">
        <v>45</v>
      </c>
      <c r="E3285" t="s">
        <v>396</v>
      </c>
      <c r="F3285" t="s">
        <v>727</v>
      </c>
      <c r="G3285">
        <v>34679000</v>
      </c>
      <c r="H3285">
        <v>34804000</v>
      </c>
    </row>
    <row r="3286" spans="2:8" x14ac:dyDescent="0.25">
      <c r="B3286" t="str">
        <f t="shared" si="51"/>
        <v>FRAPopulation growth (annual %)</v>
      </c>
      <c r="C3286" t="s">
        <v>502</v>
      </c>
      <c r="D3286" t="s">
        <v>45</v>
      </c>
      <c r="E3286" t="s">
        <v>399</v>
      </c>
      <c r="F3286" t="s">
        <v>728</v>
      </c>
      <c r="G3286">
        <v>0</v>
      </c>
      <c r="H3286">
        <v>0</v>
      </c>
    </row>
    <row r="3287" spans="2:8" x14ac:dyDescent="0.25">
      <c r="B3287" t="str">
        <f t="shared" si="51"/>
        <v>PYFPopulation ages 0-14, female</v>
      </c>
      <c r="C3287" t="s">
        <v>503</v>
      </c>
      <c r="D3287" t="s">
        <v>504</v>
      </c>
      <c r="E3287" t="s">
        <v>687</v>
      </c>
      <c r="F3287" t="s">
        <v>688</v>
      </c>
      <c r="G3287">
        <v>31000</v>
      </c>
      <c r="H3287">
        <v>30000</v>
      </c>
    </row>
    <row r="3288" spans="2:8" x14ac:dyDescent="0.25">
      <c r="B3288" t="str">
        <f t="shared" si="51"/>
        <v>PYFPopulation ages 0-14, male</v>
      </c>
      <c r="C3288" t="s">
        <v>503</v>
      </c>
      <c r="D3288" t="s">
        <v>504</v>
      </c>
      <c r="E3288" t="s">
        <v>689</v>
      </c>
      <c r="F3288" t="s">
        <v>690</v>
      </c>
      <c r="G3288">
        <v>32000</v>
      </c>
      <c r="H3288">
        <v>32000</v>
      </c>
    </row>
    <row r="3289" spans="2:8" x14ac:dyDescent="0.25">
      <c r="B3289" t="str">
        <f t="shared" si="51"/>
        <v>PYFPopulation ages 00-04, female</v>
      </c>
      <c r="C3289" t="s">
        <v>503</v>
      </c>
      <c r="D3289" t="s">
        <v>504</v>
      </c>
      <c r="E3289" t="s">
        <v>362</v>
      </c>
      <c r="F3289" t="s">
        <v>691</v>
      </c>
      <c r="G3289">
        <v>9700</v>
      </c>
      <c r="H3289">
        <v>9800</v>
      </c>
    </row>
    <row r="3290" spans="2:8" x14ac:dyDescent="0.25">
      <c r="B3290" t="str">
        <f t="shared" si="51"/>
        <v>PYFPopulation ages 00-04, male</v>
      </c>
      <c r="C3290" t="s">
        <v>503</v>
      </c>
      <c r="D3290" t="s">
        <v>504</v>
      </c>
      <c r="E3290" t="s">
        <v>363</v>
      </c>
      <c r="F3290" t="s">
        <v>692</v>
      </c>
      <c r="G3290">
        <v>10000</v>
      </c>
      <c r="H3290">
        <v>10000</v>
      </c>
    </row>
    <row r="3291" spans="2:8" x14ac:dyDescent="0.25">
      <c r="B3291" t="str">
        <f t="shared" si="51"/>
        <v>PYFPopulation ages 05-09, female</v>
      </c>
      <c r="C3291" t="s">
        <v>503</v>
      </c>
      <c r="D3291" t="s">
        <v>504</v>
      </c>
      <c r="E3291" t="s">
        <v>364</v>
      </c>
      <c r="F3291" t="s">
        <v>693</v>
      </c>
      <c r="G3291">
        <v>9900</v>
      </c>
      <c r="H3291">
        <v>9400</v>
      </c>
    </row>
    <row r="3292" spans="2:8" x14ac:dyDescent="0.25">
      <c r="B3292" t="str">
        <f t="shared" si="51"/>
        <v>PYFPopulation ages 05-09, male</v>
      </c>
      <c r="C3292" t="s">
        <v>503</v>
      </c>
      <c r="D3292" t="s">
        <v>504</v>
      </c>
      <c r="E3292" t="s">
        <v>365</v>
      </c>
      <c r="F3292" t="s">
        <v>694</v>
      </c>
      <c r="G3292">
        <v>10000</v>
      </c>
      <c r="H3292">
        <v>10000</v>
      </c>
    </row>
    <row r="3293" spans="2:8" x14ac:dyDescent="0.25">
      <c r="B3293" t="str">
        <f t="shared" si="51"/>
        <v>PYFPopulation ages 10-14, female</v>
      </c>
      <c r="C3293" t="s">
        <v>503</v>
      </c>
      <c r="D3293" t="s">
        <v>504</v>
      </c>
      <c r="E3293" t="s">
        <v>366</v>
      </c>
      <c r="F3293" t="s">
        <v>695</v>
      </c>
      <c r="G3293">
        <v>11000</v>
      </c>
      <c r="H3293">
        <v>11000</v>
      </c>
    </row>
    <row r="3294" spans="2:8" x14ac:dyDescent="0.25">
      <c r="B3294" t="str">
        <f t="shared" si="51"/>
        <v>PYFPopulation ages 10-14, male</v>
      </c>
      <c r="C3294" t="s">
        <v>503</v>
      </c>
      <c r="D3294" t="s">
        <v>504</v>
      </c>
      <c r="E3294" t="s">
        <v>367</v>
      </c>
      <c r="F3294" t="s">
        <v>696</v>
      </c>
      <c r="G3294">
        <v>12000</v>
      </c>
      <c r="H3294">
        <v>12000</v>
      </c>
    </row>
    <row r="3295" spans="2:8" x14ac:dyDescent="0.25">
      <c r="B3295" t="str">
        <f t="shared" si="51"/>
        <v>PYFPopulation ages 15-19, female</v>
      </c>
      <c r="C3295" t="s">
        <v>503</v>
      </c>
      <c r="D3295" t="s">
        <v>504</v>
      </c>
      <c r="E3295" t="s">
        <v>368</v>
      </c>
      <c r="F3295" t="s">
        <v>697</v>
      </c>
      <c r="G3295">
        <v>10000</v>
      </c>
      <c r="H3295">
        <v>10000</v>
      </c>
    </row>
    <row r="3296" spans="2:8" x14ac:dyDescent="0.25">
      <c r="B3296" t="str">
        <f t="shared" si="51"/>
        <v>PYFPopulation ages 15-19, male</v>
      </c>
      <c r="C3296" t="s">
        <v>503</v>
      </c>
      <c r="D3296" t="s">
        <v>504</v>
      </c>
      <c r="E3296" t="s">
        <v>369</v>
      </c>
      <c r="F3296" t="s">
        <v>698</v>
      </c>
      <c r="G3296">
        <v>11000</v>
      </c>
      <c r="H3296">
        <v>11000</v>
      </c>
    </row>
    <row r="3297" spans="2:8" x14ac:dyDescent="0.25">
      <c r="B3297" t="str">
        <f t="shared" si="51"/>
        <v>PYFPopulation ages 20-24, female</v>
      </c>
      <c r="C3297" t="s">
        <v>503</v>
      </c>
      <c r="D3297" t="s">
        <v>504</v>
      </c>
      <c r="E3297" t="s">
        <v>370</v>
      </c>
      <c r="F3297" t="s">
        <v>699</v>
      </c>
      <c r="G3297">
        <v>11000</v>
      </c>
      <c r="H3297">
        <v>11000</v>
      </c>
    </row>
    <row r="3298" spans="2:8" x14ac:dyDescent="0.25">
      <c r="B3298" t="str">
        <f t="shared" si="51"/>
        <v>PYFPopulation ages 20-24, male</v>
      </c>
      <c r="C3298" t="s">
        <v>503</v>
      </c>
      <c r="D3298" t="s">
        <v>504</v>
      </c>
      <c r="E3298" t="s">
        <v>371</v>
      </c>
      <c r="F3298" t="s">
        <v>700</v>
      </c>
      <c r="G3298">
        <v>11000</v>
      </c>
      <c r="H3298">
        <v>11000</v>
      </c>
    </row>
    <row r="3299" spans="2:8" x14ac:dyDescent="0.25">
      <c r="B3299" t="str">
        <f t="shared" si="51"/>
        <v>PYFPopulation ages 25-29, female</v>
      </c>
      <c r="C3299" t="s">
        <v>503</v>
      </c>
      <c r="D3299" t="s">
        <v>504</v>
      </c>
      <c r="E3299" t="s">
        <v>372</v>
      </c>
      <c r="F3299" t="s">
        <v>701</v>
      </c>
      <c r="G3299">
        <v>9700</v>
      </c>
      <c r="H3299">
        <v>9400</v>
      </c>
    </row>
    <row r="3300" spans="2:8" x14ac:dyDescent="0.25">
      <c r="B3300" t="str">
        <f t="shared" si="51"/>
        <v>PYFPopulation ages 25-29, male</v>
      </c>
      <c r="C3300" t="s">
        <v>503</v>
      </c>
      <c r="D3300" t="s">
        <v>504</v>
      </c>
      <c r="E3300" t="s">
        <v>373</v>
      </c>
      <c r="F3300" t="s">
        <v>702</v>
      </c>
      <c r="G3300">
        <v>9800</v>
      </c>
      <c r="H3300">
        <v>9600</v>
      </c>
    </row>
    <row r="3301" spans="2:8" x14ac:dyDescent="0.25">
      <c r="B3301" t="str">
        <f t="shared" si="51"/>
        <v>PYFPopulation ages 30-34, female</v>
      </c>
      <c r="C3301" t="s">
        <v>503</v>
      </c>
      <c r="D3301" t="s">
        <v>504</v>
      </c>
      <c r="E3301" t="s">
        <v>374</v>
      </c>
      <c r="F3301" t="s">
        <v>703</v>
      </c>
      <c r="G3301">
        <v>12000</v>
      </c>
      <c r="H3301">
        <v>12000</v>
      </c>
    </row>
    <row r="3302" spans="2:8" x14ac:dyDescent="0.25">
      <c r="B3302" t="str">
        <f t="shared" si="51"/>
        <v>PYFPopulation ages 30-34, male</v>
      </c>
      <c r="C3302" t="s">
        <v>503</v>
      </c>
      <c r="D3302" t="s">
        <v>504</v>
      </c>
      <c r="E3302" t="s">
        <v>375</v>
      </c>
      <c r="F3302" t="s">
        <v>704</v>
      </c>
      <c r="G3302">
        <v>11000</v>
      </c>
      <c r="H3302">
        <v>11000</v>
      </c>
    </row>
    <row r="3303" spans="2:8" x14ac:dyDescent="0.25">
      <c r="B3303" t="str">
        <f t="shared" si="51"/>
        <v>PYFPopulation ages 35-39, female</v>
      </c>
      <c r="C3303" t="s">
        <v>503</v>
      </c>
      <c r="D3303" t="s">
        <v>504</v>
      </c>
      <c r="E3303" t="s">
        <v>376</v>
      </c>
      <c r="F3303" t="s">
        <v>705</v>
      </c>
      <c r="G3303">
        <v>10000</v>
      </c>
      <c r="H3303">
        <v>11000</v>
      </c>
    </row>
    <row r="3304" spans="2:8" x14ac:dyDescent="0.25">
      <c r="B3304" t="str">
        <f t="shared" si="51"/>
        <v>PYFPopulation ages 35-39, male</v>
      </c>
      <c r="C3304" t="s">
        <v>503</v>
      </c>
      <c r="D3304" t="s">
        <v>504</v>
      </c>
      <c r="E3304" t="s">
        <v>377</v>
      </c>
      <c r="F3304" t="s">
        <v>706</v>
      </c>
      <c r="G3304">
        <v>10000</v>
      </c>
      <c r="H3304">
        <v>10000</v>
      </c>
    </row>
    <row r="3305" spans="2:8" x14ac:dyDescent="0.25">
      <c r="B3305" t="str">
        <f t="shared" si="51"/>
        <v>PYFPopulation ages 40-44, female</v>
      </c>
      <c r="C3305" t="s">
        <v>503</v>
      </c>
      <c r="D3305" t="s">
        <v>504</v>
      </c>
      <c r="E3305" t="s">
        <v>378</v>
      </c>
      <c r="F3305" t="s">
        <v>707</v>
      </c>
      <c r="G3305">
        <v>9400</v>
      </c>
      <c r="H3305">
        <v>9300</v>
      </c>
    </row>
    <row r="3306" spans="2:8" x14ac:dyDescent="0.25">
      <c r="B3306" t="str">
        <f t="shared" si="51"/>
        <v>PYFPopulation ages 40-44, male</v>
      </c>
      <c r="C3306" t="s">
        <v>503</v>
      </c>
      <c r="D3306" t="s">
        <v>504</v>
      </c>
      <c r="E3306" t="s">
        <v>379</v>
      </c>
      <c r="F3306" t="s">
        <v>708</v>
      </c>
      <c r="G3306">
        <v>9800</v>
      </c>
      <c r="H3306">
        <v>9700</v>
      </c>
    </row>
    <row r="3307" spans="2:8" x14ac:dyDescent="0.25">
      <c r="B3307" t="str">
        <f t="shared" si="51"/>
        <v>PYFPopulation ages 45-49, female</v>
      </c>
      <c r="C3307" t="s">
        <v>503</v>
      </c>
      <c r="D3307" t="s">
        <v>504</v>
      </c>
      <c r="E3307" t="s">
        <v>380</v>
      </c>
      <c r="F3307" t="s">
        <v>709</v>
      </c>
      <c r="G3307">
        <v>10000</v>
      </c>
      <c r="H3307">
        <v>10000</v>
      </c>
    </row>
    <row r="3308" spans="2:8" x14ac:dyDescent="0.25">
      <c r="B3308" t="str">
        <f t="shared" si="51"/>
        <v>PYFPopulation ages 45-49, male</v>
      </c>
      <c r="C3308" t="s">
        <v>503</v>
      </c>
      <c r="D3308" t="s">
        <v>504</v>
      </c>
      <c r="E3308" t="s">
        <v>381</v>
      </c>
      <c r="F3308" t="s">
        <v>710</v>
      </c>
      <c r="G3308">
        <v>10000</v>
      </c>
      <c r="H3308">
        <v>10000</v>
      </c>
    </row>
    <row r="3309" spans="2:8" x14ac:dyDescent="0.25">
      <c r="B3309" t="str">
        <f t="shared" si="51"/>
        <v>PYFPopulation ages 50-54, female</v>
      </c>
      <c r="C3309" t="s">
        <v>503</v>
      </c>
      <c r="D3309" t="s">
        <v>504</v>
      </c>
      <c r="E3309" t="s">
        <v>382</v>
      </c>
      <c r="F3309" t="s">
        <v>711</v>
      </c>
      <c r="G3309">
        <v>8900</v>
      </c>
      <c r="H3309">
        <v>9000</v>
      </c>
    </row>
    <row r="3310" spans="2:8" x14ac:dyDescent="0.25">
      <c r="B3310" t="str">
        <f t="shared" si="51"/>
        <v>PYFPopulation ages 50-54, male</v>
      </c>
      <c r="C3310" t="s">
        <v>503</v>
      </c>
      <c r="D3310" t="s">
        <v>504</v>
      </c>
      <c r="E3310" t="s">
        <v>383</v>
      </c>
      <c r="F3310" t="s">
        <v>712</v>
      </c>
      <c r="G3310">
        <v>9700</v>
      </c>
      <c r="H3310">
        <v>9900</v>
      </c>
    </row>
    <row r="3311" spans="2:8" x14ac:dyDescent="0.25">
      <c r="B3311" t="str">
        <f t="shared" si="51"/>
        <v>PYFPopulation ages 55-59, male</v>
      </c>
      <c r="C3311" t="s">
        <v>503</v>
      </c>
      <c r="D3311" t="s">
        <v>504</v>
      </c>
      <c r="E3311" t="s">
        <v>385</v>
      </c>
      <c r="F3311" t="s">
        <v>713</v>
      </c>
      <c r="G3311">
        <v>8100</v>
      </c>
      <c r="H3311">
        <v>8400</v>
      </c>
    </row>
    <row r="3312" spans="2:8" x14ac:dyDescent="0.25">
      <c r="B3312" t="str">
        <f t="shared" si="51"/>
        <v>PYFPopulation ages 55-59, female</v>
      </c>
      <c r="C3312" t="s">
        <v>503</v>
      </c>
      <c r="D3312" t="s">
        <v>504</v>
      </c>
      <c r="E3312" t="s">
        <v>384</v>
      </c>
      <c r="F3312" t="s">
        <v>714</v>
      </c>
      <c r="G3312">
        <v>8000</v>
      </c>
      <c r="H3312">
        <v>8300</v>
      </c>
    </row>
    <row r="3313" spans="2:8" x14ac:dyDescent="0.25">
      <c r="B3313" t="str">
        <f t="shared" si="51"/>
        <v>PYFPopulation ages 65-69, male</v>
      </c>
      <c r="C3313" t="s">
        <v>503</v>
      </c>
      <c r="D3313" t="s">
        <v>504</v>
      </c>
      <c r="E3313" t="s">
        <v>389</v>
      </c>
      <c r="F3313" t="s">
        <v>715</v>
      </c>
      <c r="G3313">
        <v>4900</v>
      </c>
      <c r="H3313">
        <v>5200</v>
      </c>
    </row>
    <row r="3314" spans="2:8" x14ac:dyDescent="0.25">
      <c r="B3314" t="str">
        <f t="shared" si="51"/>
        <v>PYFPopulation ages 65-69, female</v>
      </c>
      <c r="C3314" t="s">
        <v>503</v>
      </c>
      <c r="D3314" t="s">
        <v>504</v>
      </c>
      <c r="E3314" t="s">
        <v>388</v>
      </c>
      <c r="F3314" t="s">
        <v>716</v>
      </c>
      <c r="G3314">
        <v>4800</v>
      </c>
      <c r="H3314">
        <v>5200</v>
      </c>
    </row>
    <row r="3315" spans="2:8" x14ac:dyDescent="0.25">
      <c r="B3315" t="str">
        <f t="shared" si="51"/>
        <v>PYFPopulation ages 60-64, female</v>
      </c>
      <c r="C3315" t="s">
        <v>503</v>
      </c>
      <c r="D3315" t="s">
        <v>504</v>
      </c>
      <c r="E3315" t="s">
        <v>386</v>
      </c>
      <c r="F3315" t="s">
        <v>717</v>
      </c>
      <c r="G3315">
        <v>5800</v>
      </c>
      <c r="H3315">
        <v>6000</v>
      </c>
    </row>
    <row r="3316" spans="2:8" x14ac:dyDescent="0.25">
      <c r="B3316" t="str">
        <f t="shared" si="51"/>
        <v>PYFPopulation ages 60-64, male</v>
      </c>
      <c r="C3316" t="s">
        <v>503</v>
      </c>
      <c r="D3316" t="s">
        <v>504</v>
      </c>
      <c r="E3316" t="s">
        <v>387</v>
      </c>
      <c r="F3316" t="s">
        <v>718</v>
      </c>
      <c r="G3316">
        <v>6400</v>
      </c>
      <c r="H3316">
        <v>6600</v>
      </c>
    </row>
    <row r="3317" spans="2:8" x14ac:dyDescent="0.25">
      <c r="B3317" t="str">
        <f t="shared" si="51"/>
        <v>PYFPopulation ages 70-74, female</v>
      </c>
      <c r="C3317" t="s">
        <v>503</v>
      </c>
      <c r="D3317" t="s">
        <v>504</v>
      </c>
      <c r="E3317" t="s">
        <v>390</v>
      </c>
      <c r="F3317" t="s">
        <v>719</v>
      </c>
      <c r="G3317">
        <v>2800</v>
      </c>
      <c r="H3317">
        <v>2900</v>
      </c>
    </row>
    <row r="3318" spans="2:8" x14ac:dyDescent="0.25">
      <c r="B3318" t="str">
        <f t="shared" si="51"/>
        <v>PYFPopulation ages 70-74, male</v>
      </c>
      <c r="C3318" t="s">
        <v>503</v>
      </c>
      <c r="D3318" t="s">
        <v>504</v>
      </c>
      <c r="E3318" t="s">
        <v>391</v>
      </c>
      <c r="F3318" t="s">
        <v>720</v>
      </c>
      <c r="G3318">
        <v>2900</v>
      </c>
      <c r="H3318">
        <v>3000</v>
      </c>
    </row>
    <row r="3319" spans="2:8" x14ac:dyDescent="0.25">
      <c r="B3319" t="str">
        <f t="shared" si="51"/>
        <v>PYFPopulation ages 75-79, female</v>
      </c>
      <c r="C3319" t="s">
        <v>503</v>
      </c>
      <c r="D3319" t="s">
        <v>504</v>
      </c>
      <c r="E3319" t="s">
        <v>392</v>
      </c>
      <c r="F3319" t="s">
        <v>721</v>
      </c>
      <c r="G3319">
        <v>2500</v>
      </c>
      <c r="H3319">
        <v>2600</v>
      </c>
    </row>
    <row r="3320" spans="2:8" x14ac:dyDescent="0.25">
      <c r="B3320" t="str">
        <f t="shared" si="51"/>
        <v>PYFPopulation ages 75-79, male</v>
      </c>
      <c r="C3320" t="s">
        <v>503</v>
      </c>
      <c r="D3320" t="s">
        <v>504</v>
      </c>
      <c r="E3320" t="s">
        <v>393</v>
      </c>
      <c r="F3320" t="s">
        <v>722</v>
      </c>
      <c r="G3320">
        <v>2300</v>
      </c>
      <c r="H3320">
        <v>2400</v>
      </c>
    </row>
    <row r="3321" spans="2:8" x14ac:dyDescent="0.25">
      <c r="B3321" t="str">
        <f t="shared" si="51"/>
        <v>PYFPopulation ages 80 and above, female</v>
      </c>
      <c r="C3321" t="s">
        <v>503</v>
      </c>
      <c r="D3321" t="s">
        <v>504</v>
      </c>
      <c r="E3321" t="s">
        <v>394</v>
      </c>
      <c r="F3321" t="s">
        <v>723</v>
      </c>
      <c r="G3321">
        <v>2400</v>
      </c>
      <c r="H3321">
        <v>2500</v>
      </c>
    </row>
    <row r="3322" spans="2:8" x14ac:dyDescent="0.25">
      <c r="B3322" t="str">
        <f t="shared" si="51"/>
        <v>PYFPopulation ages 80 and above, male</v>
      </c>
      <c r="C3322" t="s">
        <v>503</v>
      </c>
      <c r="D3322" t="s">
        <v>504</v>
      </c>
      <c r="E3322" t="s">
        <v>395</v>
      </c>
      <c r="F3322" t="s">
        <v>724</v>
      </c>
      <c r="G3322">
        <v>1700</v>
      </c>
      <c r="H3322">
        <v>1800</v>
      </c>
    </row>
    <row r="3323" spans="2:8" x14ac:dyDescent="0.25">
      <c r="B3323" t="str">
        <f t="shared" si="51"/>
        <v>PYFPopulation, male</v>
      </c>
      <c r="C3323" t="s">
        <v>503</v>
      </c>
      <c r="D3323" t="s">
        <v>504</v>
      </c>
      <c r="E3323" t="s">
        <v>397</v>
      </c>
      <c r="F3323" t="s">
        <v>725</v>
      </c>
      <c r="G3323">
        <v>141000</v>
      </c>
      <c r="H3323">
        <v>142000</v>
      </c>
    </row>
    <row r="3324" spans="2:8" x14ac:dyDescent="0.25">
      <c r="B3324" t="str">
        <f t="shared" si="51"/>
        <v>PYFPopulation, total</v>
      </c>
      <c r="C3324" t="s">
        <v>503</v>
      </c>
      <c r="D3324" t="s">
        <v>504</v>
      </c>
      <c r="E3324" t="s">
        <v>398</v>
      </c>
      <c r="F3324" t="s">
        <v>726</v>
      </c>
      <c r="G3324">
        <v>279000</v>
      </c>
      <c r="H3324">
        <v>281000</v>
      </c>
    </row>
    <row r="3325" spans="2:8" x14ac:dyDescent="0.25">
      <c r="B3325" t="str">
        <f t="shared" si="51"/>
        <v>PYFPopulation, female</v>
      </c>
      <c r="C3325" t="s">
        <v>503</v>
      </c>
      <c r="D3325" t="s">
        <v>504</v>
      </c>
      <c r="E3325" t="s">
        <v>396</v>
      </c>
      <c r="F3325" t="s">
        <v>727</v>
      </c>
      <c r="G3325">
        <v>138000</v>
      </c>
      <c r="H3325">
        <v>139000</v>
      </c>
    </row>
    <row r="3326" spans="2:8" x14ac:dyDescent="0.25">
      <c r="B3326" t="str">
        <f t="shared" si="51"/>
        <v>PYFPopulation growth (annual %)</v>
      </c>
      <c r="C3326" t="s">
        <v>503</v>
      </c>
      <c r="D3326" t="s">
        <v>504</v>
      </c>
      <c r="E3326" t="s">
        <v>399</v>
      </c>
      <c r="F3326" t="s">
        <v>728</v>
      </c>
      <c r="G3326">
        <v>0</v>
      </c>
      <c r="H3326">
        <v>0</v>
      </c>
    </row>
    <row r="3327" spans="2:8" x14ac:dyDescent="0.25">
      <c r="B3327" t="str">
        <f t="shared" si="51"/>
        <v>GABPopulation ages 0-14, female</v>
      </c>
      <c r="C3327" t="s">
        <v>195</v>
      </c>
      <c r="D3327" t="s">
        <v>46</v>
      </c>
      <c r="E3327" t="s">
        <v>687</v>
      </c>
      <c r="F3327" t="s">
        <v>688</v>
      </c>
      <c r="G3327">
        <v>400000</v>
      </c>
      <c r="H3327">
        <v>411000</v>
      </c>
    </row>
    <row r="3328" spans="2:8" x14ac:dyDescent="0.25">
      <c r="B3328" t="str">
        <f t="shared" si="51"/>
        <v>GABPopulation ages 0-14, male</v>
      </c>
      <c r="C3328" t="s">
        <v>195</v>
      </c>
      <c r="D3328" t="s">
        <v>46</v>
      </c>
      <c r="E3328" t="s">
        <v>689</v>
      </c>
      <c r="F3328" t="s">
        <v>690</v>
      </c>
      <c r="G3328">
        <v>408000</v>
      </c>
      <c r="H3328">
        <v>419000</v>
      </c>
    </row>
    <row r="3329" spans="2:8" x14ac:dyDescent="0.25">
      <c r="B3329" t="str">
        <f t="shared" si="51"/>
        <v>GABPopulation ages 00-04, female</v>
      </c>
      <c r="C3329" t="s">
        <v>195</v>
      </c>
      <c r="D3329" t="s">
        <v>46</v>
      </c>
      <c r="E3329" t="s">
        <v>362</v>
      </c>
      <c r="F3329" t="s">
        <v>691</v>
      </c>
      <c r="G3329">
        <v>156000</v>
      </c>
      <c r="H3329">
        <v>158000</v>
      </c>
    </row>
    <row r="3330" spans="2:8" x14ac:dyDescent="0.25">
      <c r="B3330" t="str">
        <f t="shared" si="51"/>
        <v>GABPopulation ages 00-04, male</v>
      </c>
      <c r="C3330" t="s">
        <v>195</v>
      </c>
      <c r="D3330" t="s">
        <v>46</v>
      </c>
      <c r="E3330" t="s">
        <v>363</v>
      </c>
      <c r="F3330" t="s">
        <v>692</v>
      </c>
      <c r="G3330">
        <v>160000</v>
      </c>
      <c r="H3330">
        <v>162000</v>
      </c>
    </row>
    <row r="3331" spans="2:8" x14ac:dyDescent="0.25">
      <c r="B3331" t="str">
        <f t="shared" si="51"/>
        <v>GABPopulation ages 05-09, female</v>
      </c>
      <c r="C3331" t="s">
        <v>195</v>
      </c>
      <c r="D3331" t="s">
        <v>46</v>
      </c>
      <c r="E3331" t="s">
        <v>364</v>
      </c>
      <c r="F3331" t="s">
        <v>693</v>
      </c>
      <c r="G3331">
        <v>134000</v>
      </c>
      <c r="H3331">
        <v>139000</v>
      </c>
    </row>
    <row r="3332" spans="2:8" x14ac:dyDescent="0.25">
      <c r="B3332" t="str">
        <f t="shared" si="51"/>
        <v>GABPopulation ages 05-09, male</v>
      </c>
      <c r="C3332" t="s">
        <v>195</v>
      </c>
      <c r="D3332" t="s">
        <v>46</v>
      </c>
      <c r="E3332" t="s">
        <v>365</v>
      </c>
      <c r="F3332" t="s">
        <v>694</v>
      </c>
      <c r="G3332">
        <v>136000</v>
      </c>
      <c r="H3332">
        <v>141000</v>
      </c>
    </row>
    <row r="3333" spans="2:8" x14ac:dyDescent="0.25">
      <c r="B3333" t="str">
        <f t="shared" si="51"/>
        <v>GABPopulation ages 10-14, female</v>
      </c>
      <c r="C3333" t="s">
        <v>195</v>
      </c>
      <c r="D3333" t="s">
        <v>46</v>
      </c>
      <c r="E3333" t="s">
        <v>366</v>
      </c>
      <c r="F3333" t="s">
        <v>695</v>
      </c>
      <c r="G3333">
        <v>110000</v>
      </c>
      <c r="H3333">
        <v>114000</v>
      </c>
    </row>
    <row r="3334" spans="2:8" x14ac:dyDescent="0.25">
      <c r="B3334" t="str">
        <f t="shared" si="51"/>
        <v>GABPopulation ages 10-14, male</v>
      </c>
      <c r="C3334" t="s">
        <v>195</v>
      </c>
      <c r="D3334" t="s">
        <v>46</v>
      </c>
      <c r="E3334" t="s">
        <v>367</v>
      </c>
      <c r="F3334" t="s">
        <v>696</v>
      </c>
      <c r="G3334">
        <v>111000</v>
      </c>
      <c r="H3334">
        <v>116000</v>
      </c>
    </row>
    <row r="3335" spans="2:8" x14ac:dyDescent="0.25">
      <c r="B3335" t="str">
        <f t="shared" ref="B3335:B3398" si="52">CONCATENATE(D3335,E3335)</f>
        <v>GABPopulation ages 15-19, female</v>
      </c>
      <c r="C3335" t="s">
        <v>195</v>
      </c>
      <c r="D3335" t="s">
        <v>46</v>
      </c>
      <c r="E3335" t="s">
        <v>368</v>
      </c>
      <c r="F3335" t="s">
        <v>697</v>
      </c>
      <c r="G3335">
        <v>94000</v>
      </c>
      <c r="H3335">
        <v>96000</v>
      </c>
    </row>
    <row r="3336" spans="2:8" x14ac:dyDescent="0.25">
      <c r="B3336" t="str">
        <f t="shared" si="52"/>
        <v>GABPopulation ages 15-19, male</v>
      </c>
      <c r="C3336" t="s">
        <v>195</v>
      </c>
      <c r="D3336" t="s">
        <v>46</v>
      </c>
      <c r="E3336" t="s">
        <v>369</v>
      </c>
      <c r="F3336" t="s">
        <v>698</v>
      </c>
      <c r="G3336">
        <v>95000</v>
      </c>
      <c r="H3336">
        <v>97000</v>
      </c>
    </row>
    <row r="3337" spans="2:8" x14ac:dyDescent="0.25">
      <c r="B3337" t="str">
        <f t="shared" si="52"/>
        <v>GABPopulation ages 20-24, female</v>
      </c>
      <c r="C3337" t="s">
        <v>195</v>
      </c>
      <c r="D3337" t="s">
        <v>46</v>
      </c>
      <c r="E3337" t="s">
        <v>370</v>
      </c>
      <c r="F3337" t="s">
        <v>699</v>
      </c>
      <c r="G3337">
        <v>89000</v>
      </c>
      <c r="H3337">
        <v>89000</v>
      </c>
    </row>
    <row r="3338" spans="2:8" x14ac:dyDescent="0.25">
      <c r="B3338" t="str">
        <f t="shared" si="52"/>
        <v>GABPopulation ages 20-24, male</v>
      </c>
      <c r="C3338" t="s">
        <v>195</v>
      </c>
      <c r="D3338" t="s">
        <v>46</v>
      </c>
      <c r="E3338" t="s">
        <v>371</v>
      </c>
      <c r="F3338" t="s">
        <v>700</v>
      </c>
      <c r="G3338">
        <v>91000</v>
      </c>
      <c r="H3338">
        <v>90000</v>
      </c>
    </row>
    <row r="3339" spans="2:8" x14ac:dyDescent="0.25">
      <c r="B3339" t="str">
        <f t="shared" si="52"/>
        <v>GABPopulation ages 25-29, female</v>
      </c>
      <c r="C3339" t="s">
        <v>195</v>
      </c>
      <c r="D3339" t="s">
        <v>46</v>
      </c>
      <c r="E3339" t="s">
        <v>372</v>
      </c>
      <c r="F3339" t="s">
        <v>701</v>
      </c>
      <c r="G3339">
        <v>94000</v>
      </c>
      <c r="H3339">
        <v>93000</v>
      </c>
    </row>
    <row r="3340" spans="2:8" x14ac:dyDescent="0.25">
      <c r="B3340" t="str">
        <f t="shared" si="52"/>
        <v>GABPopulation ages 25-29, male</v>
      </c>
      <c r="C3340" t="s">
        <v>195</v>
      </c>
      <c r="D3340" t="s">
        <v>46</v>
      </c>
      <c r="E3340" t="s">
        <v>373</v>
      </c>
      <c r="F3340" t="s">
        <v>702</v>
      </c>
      <c r="G3340">
        <v>96000</v>
      </c>
      <c r="H3340">
        <v>95000</v>
      </c>
    </row>
    <row r="3341" spans="2:8" x14ac:dyDescent="0.25">
      <c r="B3341" t="str">
        <f t="shared" si="52"/>
        <v>GABPopulation ages 30-34, female</v>
      </c>
      <c r="C3341" t="s">
        <v>195</v>
      </c>
      <c r="D3341" t="s">
        <v>46</v>
      </c>
      <c r="E3341" t="s">
        <v>374</v>
      </c>
      <c r="F3341" t="s">
        <v>703</v>
      </c>
      <c r="G3341">
        <v>91000</v>
      </c>
      <c r="H3341">
        <v>93000</v>
      </c>
    </row>
    <row r="3342" spans="2:8" x14ac:dyDescent="0.25">
      <c r="B3342" t="str">
        <f t="shared" si="52"/>
        <v>GABPopulation ages 30-34, male</v>
      </c>
      <c r="C3342" t="s">
        <v>195</v>
      </c>
      <c r="D3342" t="s">
        <v>46</v>
      </c>
      <c r="E3342" t="s">
        <v>375</v>
      </c>
      <c r="F3342" t="s">
        <v>704</v>
      </c>
      <c r="G3342">
        <v>95000</v>
      </c>
      <c r="H3342">
        <v>96000</v>
      </c>
    </row>
    <row r="3343" spans="2:8" x14ac:dyDescent="0.25">
      <c r="B3343" t="str">
        <f t="shared" si="52"/>
        <v>GABPopulation ages 35-39, female</v>
      </c>
      <c r="C3343" t="s">
        <v>195</v>
      </c>
      <c r="D3343" t="s">
        <v>46</v>
      </c>
      <c r="E3343" t="s">
        <v>376</v>
      </c>
      <c r="F3343" t="s">
        <v>705</v>
      </c>
      <c r="G3343">
        <v>73000</v>
      </c>
      <c r="H3343">
        <v>76000</v>
      </c>
    </row>
    <row r="3344" spans="2:8" x14ac:dyDescent="0.25">
      <c r="B3344" t="str">
        <f t="shared" si="52"/>
        <v>GABPopulation ages 35-39, male</v>
      </c>
      <c r="C3344" t="s">
        <v>195</v>
      </c>
      <c r="D3344" t="s">
        <v>46</v>
      </c>
      <c r="E3344" t="s">
        <v>377</v>
      </c>
      <c r="F3344" t="s">
        <v>706</v>
      </c>
      <c r="G3344">
        <v>82000</v>
      </c>
      <c r="H3344">
        <v>85000</v>
      </c>
    </row>
    <row r="3345" spans="2:8" x14ac:dyDescent="0.25">
      <c r="B3345" t="str">
        <f t="shared" si="52"/>
        <v>GABPopulation ages 40-44, female</v>
      </c>
      <c r="C3345" t="s">
        <v>195</v>
      </c>
      <c r="D3345" t="s">
        <v>46</v>
      </c>
      <c r="E3345" t="s">
        <v>378</v>
      </c>
      <c r="F3345" t="s">
        <v>707</v>
      </c>
      <c r="G3345">
        <v>56000</v>
      </c>
      <c r="H3345">
        <v>58000</v>
      </c>
    </row>
    <row r="3346" spans="2:8" x14ac:dyDescent="0.25">
      <c r="B3346" t="str">
        <f t="shared" si="52"/>
        <v>GABPopulation ages 40-44, male</v>
      </c>
      <c r="C3346" t="s">
        <v>195</v>
      </c>
      <c r="D3346" t="s">
        <v>46</v>
      </c>
      <c r="E3346" t="s">
        <v>379</v>
      </c>
      <c r="F3346" t="s">
        <v>708</v>
      </c>
      <c r="G3346">
        <v>68000</v>
      </c>
      <c r="H3346">
        <v>71000</v>
      </c>
    </row>
    <row r="3347" spans="2:8" x14ac:dyDescent="0.25">
      <c r="B3347" t="str">
        <f t="shared" si="52"/>
        <v>GABPopulation ages 45-49, female</v>
      </c>
      <c r="C3347" t="s">
        <v>195</v>
      </c>
      <c r="D3347" t="s">
        <v>46</v>
      </c>
      <c r="E3347" t="s">
        <v>380</v>
      </c>
      <c r="F3347" t="s">
        <v>709</v>
      </c>
      <c r="G3347">
        <v>45000</v>
      </c>
      <c r="H3347">
        <v>47000</v>
      </c>
    </row>
    <row r="3348" spans="2:8" x14ac:dyDescent="0.25">
      <c r="B3348" t="str">
        <f t="shared" si="52"/>
        <v>GABPopulation ages 45-49, male</v>
      </c>
      <c r="C3348" t="s">
        <v>195</v>
      </c>
      <c r="D3348" t="s">
        <v>46</v>
      </c>
      <c r="E3348" t="s">
        <v>381</v>
      </c>
      <c r="F3348" t="s">
        <v>710</v>
      </c>
      <c r="G3348">
        <v>54000</v>
      </c>
      <c r="H3348">
        <v>57000</v>
      </c>
    </row>
    <row r="3349" spans="2:8" x14ac:dyDescent="0.25">
      <c r="B3349" t="str">
        <f t="shared" si="52"/>
        <v>GABPopulation ages 50-54, female</v>
      </c>
      <c r="C3349" t="s">
        <v>195</v>
      </c>
      <c r="D3349" t="s">
        <v>46</v>
      </c>
      <c r="E3349" t="s">
        <v>382</v>
      </c>
      <c r="F3349" t="s">
        <v>711</v>
      </c>
      <c r="G3349">
        <v>36000</v>
      </c>
      <c r="H3349">
        <v>37000</v>
      </c>
    </row>
    <row r="3350" spans="2:8" x14ac:dyDescent="0.25">
      <c r="B3350" t="str">
        <f t="shared" si="52"/>
        <v>GABPopulation ages 50-54, male</v>
      </c>
      <c r="C3350" t="s">
        <v>195</v>
      </c>
      <c r="D3350" t="s">
        <v>46</v>
      </c>
      <c r="E3350" t="s">
        <v>383</v>
      </c>
      <c r="F3350" t="s">
        <v>712</v>
      </c>
      <c r="G3350">
        <v>39000</v>
      </c>
      <c r="H3350">
        <v>41000</v>
      </c>
    </row>
    <row r="3351" spans="2:8" x14ac:dyDescent="0.25">
      <c r="B3351" t="str">
        <f t="shared" si="52"/>
        <v>GABPopulation ages 55-59, male</v>
      </c>
      <c r="C3351" t="s">
        <v>195</v>
      </c>
      <c r="D3351" t="s">
        <v>46</v>
      </c>
      <c r="E3351" t="s">
        <v>385</v>
      </c>
      <c r="F3351" t="s">
        <v>713</v>
      </c>
      <c r="G3351">
        <v>26000</v>
      </c>
      <c r="H3351">
        <v>28000</v>
      </c>
    </row>
    <row r="3352" spans="2:8" x14ac:dyDescent="0.25">
      <c r="B3352" t="str">
        <f t="shared" si="52"/>
        <v>GABPopulation ages 55-59, female</v>
      </c>
      <c r="C3352" t="s">
        <v>195</v>
      </c>
      <c r="D3352" t="s">
        <v>46</v>
      </c>
      <c r="E3352" t="s">
        <v>384</v>
      </c>
      <c r="F3352" t="s">
        <v>714</v>
      </c>
      <c r="G3352">
        <v>26000</v>
      </c>
      <c r="H3352">
        <v>28000</v>
      </c>
    </row>
    <row r="3353" spans="2:8" x14ac:dyDescent="0.25">
      <c r="B3353" t="str">
        <f t="shared" si="52"/>
        <v>GABPopulation ages 65-69, male</v>
      </c>
      <c r="C3353" t="s">
        <v>195</v>
      </c>
      <c r="D3353" t="s">
        <v>46</v>
      </c>
      <c r="E3353" t="s">
        <v>389</v>
      </c>
      <c r="F3353" t="s">
        <v>715</v>
      </c>
      <c r="G3353">
        <v>14000</v>
      </c>
      <c r="H3353">
        <v>15000</v>
      </c>
    </row>
    <row r="3354" spans="2:8" x14ac:dyDescent="0.25">
      <c r="B3354" t="str">
        <f t="shared" si="52"/>
        <v>GABPopulation ages 65-69, female</v>
      </c>
      <c r="C3354" t="s">
        <v>195</v>
      </c>
      <c r="D3354" t="s">
        <v>46</v>
      </c>
      <c r="E3354" t="s">
        <v>388</v>
      </c>
      <c r="F3354" t="s">
        <v>716</v>
      </c>
      <c r="G3354">
        <v>16000</v>
      </c>
      <c r="H3354">
        <v>16000</v>
      </c>
    </row>
    <row r="3355" spans="2:8" x14ac:dyDescent="0.25">
      <c r="B3355" t="str">
        <f t="shared" si="52"/>
        <v>GABPopulation ages 60-64, female</v>
      </c>
      <c r="C3355" t="s">
        <v>195</v>
      </c>
      <c r="D3355" t="s">
        <v>46</v>
      </c>
      <c r="E3355" t="s">
        <v>386</v>
      </c>
      <c r="F3355" t="s">
        <v>717</v>
      </c>
      <c r="G3355">
        <v>20000</v>
      </c>
      <c r="H3355">
        <v>21000</v>
      </c>
    </row>
    <row r="3356" spans="2:8" x14ac:dyDescent="0.25">
      <c r="B3356" t="str">
        <f t="shared" si="52"/>
        <v>GABPopulation ages 60-64, male</v>
      </c>
      <c r="C3356" t="s">
        <v>195</v>
      </c>
      <c r="D3356" t="s">
        <v>46</v>
      </c>
      <c r="E3356" t="s">
        <v>387</v>
      </c>
      <c r="F3356" t="s">
        <v>718</v>
      </c>
      <c r="G3356">
        <v>19000</v>
      </c>
      <c r="H3356">
        <v>20000</v>
      </c>
    </row>
    <row r="3357" spans="2:8" x14ac:dyDescent="0.25">
      <c r="B3357" t="str">
        <f t="shared" si="52"/>
        <v>GABPopulation ages 70-74, female</v>
      </c>
      <c r="C3357" t="s">
        <v>195</v>
      </c>
      <c r="D3357" t="s">
        <v>46</v>
      </c>
      <c r="E3357" t="s">
        <v>390</v>
      </c>
      <c r="F3357" t="s">
        <v>719</v>
      </c>
      <c r="G3357">
        <v>12000</v>
      </c>
      <c r="H3357">
        <v>12000</v>
      </c>
    </row>
    <row r="3358" spans="2:8" x14ac:dyDescent="0.25">
      <c r="B3358" t="str">
        <f t="shared" si="52"/>
        <v>GABPopulation ages 70-74, male</v>
      </c>
      <c r="C3358" t="s">
        <v>195</v>
      </c>
      <c r="D3358" t="s">
        <v>46</v>
      </c>
      <c r="E3358" t="s">
        <v>391</v>
      </c>
      <c r="F3358" t="s">
        <v>720</v>
      </c>
      <c r="G3358">
        <v>9800</v>
      </c>
      <c r="H3358">
        <v>10000</v>
      </c>
    </row>
    <row r="3359" spans="2:8" x14ac:dyDescent="0.25">
      <c r="B3359" t="str">
        <f t="shared" si="52"/>
        <v>GABPopulation ages 75-79, female</v>
      </c>
      <c r="C3359" t="s">
        <v>195</v>
      </c>
      <c r="D3359" t="s">
        <v>46</v>
      </c>
      <c r="E3359" t="s">
        <v>392</v>
      </c>
      <c r="F3359" t="s">
        <v>721</v>
      </c>
      <c r="G3359">
        <v>8500</v>
      </c>
      <c r="H3359">
        <v>8600</v>
      </c>
    </row>
    <row r="3360" spans="2:8" x14ac:dyDescent="0.25">
      <c r="B3360" t="str">
        <f t="shared" si="52"/>
        <v>GABPopulation ages 75-79, male</v>
      </c>
      <c r="C3360" t="s">
        <v>195</v>
      </c>
      <c r="D3360" t="s">
        <v>46</v>
      </c>
      <c r="E3360" t="s">
        <v>393</v>
      </c>
      <c r="F3360" t="s">
        <v>722</v>
      </c>
      <c r="G3360">
        <v>5900</v>
      </c>
      <c r="H3360">
        <v>6000</v>
      </c>
    </row>
    <row r="3361" spans="2:8" x14ac:dyDescent="0.25">
      <c r="B3361" t="str">
        <f t="shared" si="52"/>
        <v>GABPopulation ages 80 and above, female</v>
      </c>
      <c r="C3361" t="s">
        <v>195</v>
      </c>
      <c r="D3361" t="s">
        <v>46</v>
      </c>
      <c r="E3361" t="s">
        <v>394</v>
      </c>
      <c r="F3361" t="s">
        <v>723</v>
      </c>
      <c r="G3361">
        <v>7100</v>
      </c>
      <c r="H3361">
        <v>7100</v>
      </c>
    </row>
    <row r="3362" spans="2:8" x14ac:dyDescent="0.25">
      <c r="B3362" t="str">
        <f t="shared" si="52"/>
        <v>GABPopulation ages 80 and above, male</v>
      </c>
      <c r="C3362" t="s">
        <v>195</v>
      </c>
      <c r="D3362" t="s">
        <v>46</v>
      </c>
      <c r="E3362" t="s">
        <v>395</v>
      </c>
      <c r="F3362" t="s">
        <v>724</v>
      </c>
      <c r="G3362">
        <v>4200</v>
      </c>
      <c r="H3362">
        <v>4100</v>
      </c>
    </row>
    <row r="3363" spans="2:8" x14ac:dyDescent="0.25">
      <c r="B3363" t="str">
        <f t="shared" si="52"/>
        <v>GABPopulation, male</v>
      </c>
      <c r="C3363" t="s">
        <v>195</v>
      </c>
      <c r="D3363" t="s">
        <v>46</v>
      </c>
      <c r="E3363" t="s">
        <v>397</v>
      </c>
      <c r="F3363" t="s">
        <v>725</v>
      </c>
      <c r="G3363">
        <v>1106000</v>
      </c>
      <c r="H3363">
        <v>1133000</v>
      </c>
    </row>
    <row r="3364" spans="2:8" x14ac:dyDescent="0.25">
      <c r="B3364" t="str">
        <f t="shared" si="52"/>
        <v>GABPopulation, total</v>
      </c>
      <c r="C3364" t="s">
        <v>195</v>
      </c>
      <c r="D3364" t="s">
        <v>46</v>
      </c>
      <c r="E3364" t="s">
        <v>398</v>
      </c>
      <c r="F3364" t="s">
        <v>726</v>
      </c>
      <c r="G3364">
        <v>2173000</v>
      </c>
      <c r="H3364">
        <v>2226000</v>
      </c>
    </row>
    <row r="3365" spans="2:8" x14ac:dyDescent="0.25">
      <c r="B3365" t="str">
        <f t="shared" si="52"/>
        <v>GABPopulation, female</v>
      </c>
      <c r="C3365" t="s">
        <v>195</v>
      </c>
      <c r="D3365" t="s">
        <v>46</v>
      </c>
      <c r="E3365" t="s">
        <v>396</v>
      </c>
      <c r="F3365" t="s">
        <v>727</v>
      </c>
      <c r="G3365">
        <v>1066000</v>
      </c>
      <c r="H3365">
        <v>1093000</v>
      </c>
    </row>
    <row r="3366" spans="2:8" x14ac:dyDescent="0.25">
      <c r="B3366" t="str">
        <f t="shared" si="52"/>
        <v>GABPopulation growth (annual %)</v>
      </c>
      <c r="C3366" t="s">
        <v>195</v>
      </c>
      <c r="D3366" t="s">
        <v>46</v>
      </c>
      <c r="E3366" t="s">
        <v>399</v>
      </c>
      <c r="F3366" t="s">
        <v>728</v>
      </c>
      <c r="G3366">
        <v>0</v>
      </c>
      <c r="H3366">
        <v>0</v>
      </c>
    </row>
    <row r="3367" spans="2:8" x14ac:dyDescent="0.25">
      <c r="B3367" t="str">
        <f t="shared" si="52"/>
        <v>GMBPopulation ages 0-14, female</v>
      </c>
      <c r="C3367" t="s">
        <v>505</v>
      </c>
      <c r="D3367" t="s">
        <v>50</v>
      </c>
      <c r="E3367" t="s">
        <v>687</v>
      </c>
      <c r="F3367" t="s">
        <v>688</v>
      </c>
      <c r="G3367">
        <v>513000</v>
      </c>
      <c r="H3367">
        <v>526000</v>
      </c>
    </row>
    <row r="3368" spans="2:8" x14ac:dyDescent="0.25">
      <c r="B3368" t="str">
        <f t="shared" si="52"/>
        <v>GMBPopulation ages 0-14, male</v>
      </c>
      <c r="C3368" t="s">
        <v>505</v>
      </c>
      <c r="D3368" t="s">
        <v>50</v>
      </c>
      <c r="E3368" t="s">
        <v>689</v>
      </c>
      <c r="F3368" t="s">
        <v>690</v>
      </c>
      <c r="G3368">
        <v>523000</v>
      </c>
      <c r="H3368">
        <v>536000</v>
      </c>
    </row>
    <row r="3369" spans="2:8" x14ac:dyDescent="0.25">
      <c r="B3369" t="str">
        <f t="shared" si="52"/>
        <v>GMBPopulation ages 00-04, female</v>
      </c>
      <c r="C3369" t="s">
        <v>505</v>
      </c>
      <c r="D3369" t="s">
        <v>50</v>
      </c>
      <c r="E3369" t="s">
        <v>362</v>
      </c>
      <c r="F3369" t="s">
        <v>691</v>
      </c>
      <c r="G3369">
        <v>199000</v>
      </c>
      <c r="H3369">
        <v>203000</v>
      </c>
    </row>
    <row r="3370" spans="2:8" x14ac:dyDescent="0.25">
      <c r="B3370" t="str">
        <f t="shared" si="52"/>
        <v>GMBPopulation ages 00-04, male</v>
      </c>
      <c r="C3370" t="s">
        <v>505</v>
      </c>
      <c r="D3370" t="s">
        <v>50</v>
      </c>
      <c r="E3370" t="s">
        <v>363</v>
      </c>
      <c r="F3370" t="s">
        <v>692</v>
      </c>
      <c r="G3370">
        <v>203000</v>
      </c>
      <c r="H3370">
        <v>207000</v>
      </c>
    </row>
    <row r="3371" spans="2:8" x14ac:dyDescent="0.25">
      <c r="B3371" t="str">
        <f t="shared" si="52"/>
        <v>GMBPopulation ages 05-09, female</v>
      </c>
      <c r="C3371" t="s">
        <v>505</v>
      </c>
      <c r="D3371" t="s">
        <v>50</v>
      </c>
      <c r="E3371" t="s">
        <v>364</v>
      </c>
      <c r="F3371" t="s">
        <v>693</v>
      </c>
      <c r="G3371">
        <v>170000</v>
      </c>
      <c r="H3371">
        <v>175000</v>
      </c>
    </row>
    <row r="3372" spans="2:8" x14ac:dyDescent="0.25">
      <c r="B3372" t="str">
        <f t="shared" si="52"/>
        <v>GMBPopulation ages 05-09, male</v>
      </c>
      <c r="C3372" t="s">
        <v>505</v>
      </c>
      <c r="D3372" t="s">
        <v>50</v>
      </c>
      <c r="E3372" t="s">
        <v>365</v>
      </c>
      <c r="F3372" t="s">
        <v>694</v>
      </c>
      <c r="G3372">
        <v>174000</v>
      </c>
      <c r="H3372">
        <v>178000</v>
      </c>
    </row>
    <row r="3373" spans="2:8" x14ac:dyDescent="0.25">
      <c r="B3373" t="str">
        <f t="shared" si="52"/>
        <v>GMBPopulation ages 10-14, female</v>
      </c>
      <c r="C3373" t="s">
        <v>505</v>
      </c>
      <c r="D3373" t="s">
        <v>50</v>
      </c>
      <c r="E3373" t="s">
        <v>366</v>
      </c>
      <c r="F3373" t="s">
        <v>695</v>
      </c>
      <c r="G3373">
        <v>144000</v>
      </c>
      <c r="H3373">
        <v>149000</v>
      </c>
    </row>
    <row r="3374" spans="2:8" x14ac:dyDescent="0.25">
      <c r="B3374" t="str">
        <f t="shared" si="52"/>
        <v>GMBPopulation ages 10-14, male</v>
      </c>
      <c r="C3374" t="s">
        <v>505</v>
      </c>
      <c r="D3374" t="s">
        <v>50</v>
      </c>
      <c r="E3374" t="s">
        <v>367</v>
      </c>
      <c r="F3374" t="s">
        <v>696</v>
      </c>
      <c r="G3374">
        <v>147000</v>
      </c>
      <c r="H3374">
        <v>151000</v>
      </c>
    </row>
    <row r="3375" spans="2:8" x14ac:dyDescent="0.25">
      <c r="B3375" t="str">
        <f t="shared" si="52"/>
        <v>GMBPopulation ages 15-19, female</v>
      </c>
      <c r="C3375" t="s">
        <v>505</v>
      </c>
      <c r="D3375" t="s">
        <v>50</v>
      </c>
      <c r="E3375" t="s">
        <v>368</v>
      </c>
      <c r="F3375" t="s">
        <v>697</v>
      </c>
      <c r="G3375">
        <v>125000</v>
      </c>
      <c r="H3375">
        <v>128000</v>
      </c>
    </row>
    <row r="3376" spans="2:8" x14ac:dyDescent="0.25">
      <c r="B3376" t="str">
        <f t="shared" si="52"/>
        <v>GMBPopulation ages 15-19, male</v>
      </c>
      <c r="C3376" t="s">
        <v>505</v>
      </c>
      <c r="D3376" t="s">
        <v>50</v>
      </c>
      <c r="E3376" t="s">
        <v>369</v>
      </c>
      <c r="F3376" t="s">
        <v>698</v>
      </c>
      <c r="G3376">
        <v>125000</v>
      </c>
      <c r="H3376">
        <v>129000</v>
      </c>
    </row>
    <row r="3377" spans="2:8" x14ac:dyDescent="0.25">
      <c r="B3377" t="str">
        <f t="shared" si="52"/>
        <v>GMBPopulation ages 20-24, female</v>
      </c>
      <c r="C3377" t="s">
        <v>505</v>
      </c>
      <c r="D3377" t="s">
        <v>50</v>
      </c>
      <c r="E3377" t="s">
        <v>370</v>
      </c>
      <c r="F3377" t="s">
        <v>699</v>
      </c>
      <c r="G3377">
        <v>113000</v>
      </c>
      <c r="H3377">
        <v>115000</v>
      </c>
    </row>
    <row r="3378" spans="2:8" x14ac:dyDescent="0.25">
      <c r="B3378" t="str">
        <f t="shared" si="52"/>
        <v>GMBPopulation ages 20-24, male</v>
      </c>
      <c r="C3378" t="s">
        <v>505</v>
      </c>
      <c r="D3378" t="s">
        <v>50</v>
      </c>
      <c r="E3378" t="s">
        <v>371</v>
      </c>
      <c r="F3378" t="s">
        <v>700</v>
      </c>
      <c r="G3378">
        <v>111000</v>
      </c>
      <c r="H3378">
        <v>113000</v>
      </c>
    </row>
    <row r="3379" spans="2:8" x14ac:dyDescent="0.25">
      <c r="B3379" t="str">
        <f t="shared" si="52"/>
        <v>GMBPopulation ages 25-29, female</v>
      </c>
      <c r="C3379" t="s">
        <v>505</v>
      </c>
      <c r="D3379" t="s">
        <v>50</v>
      </c>
      <c r="E3379" t="s">
        <v>372</v>
      </c>
      <c r="F3379" t="s">
        <v>701</v>
      </c>
      <c r="G3379">
        <v>99000</v>
      </c>
      <c r="H3379">
        <v>102000</v>
      </c>
    </row>
    <row r="3380" spans="2:8" x14ac:dyDescent="0.25">
      <c r="B3380" t="str">
        <f t="shared" si="52"/>
        <v>GMBPopulation ages 25-29, male</v>
      </c>
      <c r="C3380" t="s">
        <v>505</v>
      </c>
      <c r="D3380" t="s">
        <v>50</v>
      </c>
      <c r="E3380" t="s">
        <v>373</v>
      </c>
      <c r="F3380" t="s">
        <v>702</v>
      </c>
      <c r="G3380">
        <v>96000</v>
      </c>
      <c r="H3380">
        <v>99000</v>
      </c>
    </row>
    <row r="3381" spans="2:8" x14ac:dyDescent="0.25">
      <c r="B3381" t="str">
        <f t="shared" si="52"/>
        <v>GMBPopulation ages 30-34, female</v>
      </c>
      <c r="C3381" t="s">
        <v>505</v>
      </c>
      <c r="D3381" t="s">
        <v>50</v>
      </c>
      <c r="E3381" t="s">
        <v>374</v>
      </c>
      <c r="F3381" t="s">
        <v>703</v>
      </c>
      <c r="G3381">
        <v>79000</v>
      </c>
      <c r="H3381">
        <v>82000</v>
      </c>
    </row>
    <row r="3382" spans="2:8" x14ac:dyDescent="0.25">
      <c r="B3382" t="str">
        <f t="shared" si="52"/>
        <v>GMBPopulation ages 30-34, male</v>
      </c>
      <c r="C3382" t="s">
        <v>505</v>
      </c>
      <c r="D3382" t="s">
        <v>50</v>
      </c>
      <c r="E3382" t="s">
        <v>375</v>
      </c>
      <c r="F3382" t="s">
        <v>704</v>
      </c>
      <c r="G3382">
        <v>75000</v>
      </c>
      <c r="H3382">
        <v>78000</v>
      </c>
    </row>
    <row r="3383" spans="2:8" x14ac:dyDescent="0.25">
      <c r="B3383" t="str">
        <f t="shared" si="52"/>
        <v>GMBPopulation ages 35-39, female</v>
      </c>
      <c r="C3383" t="s">
        <v>505</v>
      </c>
      <c r="D3383" t="s">
        <v>50</v>
      </c>
      <c r="E3383" t="s">
        <v>376</v>
      </c>
      <c r="F3383" t="s">
        <v>705</v>
      </c>
      <c r="G3383">
        <v>62000</v>
      </c>
      <c r="H3383">
        <v>64000</v>
      </c>
    </row>
    <row r="3384" spans="2:8" x14ac:dyDescent="0.25">
      <c r="B3384" t="str">
        <f t="shared" si="52"/>
        <v>GMBPopulation ages 35-39, male</v>
      </c>
      <c r="C3384" t="s">
        <v>505</v>
      </c>
      <c r="D3384" t="s">
        <v>50</v>
      </c>
      <c r="E3384" t="s">
        <v>377</v>
      </c>
      <c r="F3384" t="s">
        <v>706</v>
      </c>
      <c r="G3384">
        <v>56000</v>
      </c>
      <c r="H3384">
        <v>59000</v>
      </c>
    </row>
    <row r="3385" spans="2:8" x14ac:dyDescent="0.25">
      <c r="B3385" t="str">
        <f t="shared" si="52"/>
        <v>GMBPopulation ages 40-44, female</v>
      </c>
      <c r="C3385" t="s">
        <v>505</v>
      </c>
      <c r="D3385" t="s">
        <v>50</v>
      </c>
      <c r="E3385" t="s">
        <v>378</v>
      </c>
      <c r="F3385" t="s">
        <v>707</v>
      </c>
      <c r="G3385">
        <v>49000</v>
      </c>
      <c r="H3385">
        <v>51000</v>
      </c>
    </row>
    <row r="3386" spans="2:8" x14ac:dyDescent="0.25">
      <c r="B3386" t="str">
        <f t="shared" si="52"/>
        <v>GMBPopulation ages 40-44, male</v>
      </c>
      <c r="C3386" t="s">
        <v>505</v>
      </c>
      <c r="D3386" t="s">
        <v>50</v>
      </c>
      <c r="E3386" t="s">
        <v>379</v>
      </c>
      <c r="F3386" t="s">
        <v>708</v>
      </c>
      <c r="G3386">
        <v>45000</v>
      </c>
      <c r="H3386">
        <v>46000</v>
      </c>
    </row>
    <row r="3387" spans="2:8" x14ac:dyDescent="0.25">
      <c r="B3387" t="str">
        <f t="shared" si="52"/>
        <v>GMBPopulation ages 45-49, female</v>
      </c>
      <c r="C3387" t="s">
        <v>505</v>
      </c>
      <c r="D3387" t="s">
        <v>50</v>
      </c>
      <c r="E3387" t="s">
        <v>380</v>
      </c>
      <c r="F3387" t="s">
        <v>709</v>
      </c>
      <c r="G3387">
        <v>39000</v>
      </c>
      <c r="H3387">
        <v>40000</v>
      </c>
    </row>
    <row r="3388" spans="2:8" x14ac:dyDescent="0.25">
      <c r="B3388" t="str">
        <f t="shared" si="52"/>
        <v>GMBPopulation ages 45-49, male</v>
      </c>
      <c r="C3388" t="s">
        <v>505</v>
      </c>
      <c r="D3388" t="s">
        <v>50</v>
      </c>
      <c r="E3388" t="s">
        <v>381</v>
      </c>
      <c r="F3388" t="s">
        <v>710</v>
      </c>
      <c r="G3388">
        <v>35000</v>
      </c>
      <c r="H3388">
        <v>37000</v>
      </c>
    </row>
    <row r="3389" spans="2:8" x14ac:dyDescent="0.25">
      <c r="B3389" t="str">
        <f t="shared" si="52"/>
        <v>GMBPopulation ages 50-54, female</v>
      </c>
      <c r="C3389" t="s">
        <v>505</v>
      </c>
      <c r="D3389" t="s">
        <v>50</v>
      </c>
      <c r="E3389" t="s">
        <v>382</v>
      </c>
      <c r="F3389" t="s">
        <v>711</v>
      </c>
      <c r="G3389">
        <v>34000</v>
      </c>
      <c r="H3389">
        <v>35000</v>
      </c>
    </row>
    <row r="3390" spans="2:8" x14ac:dyDescent="0.25">
      <c r="B3390" t="str">
        <f t="shared" si="52"/>
        <v>GMBPopulation ages 50-54, male</v>
      </c>
      <c r="C3390" t="s">
        <v>505</v>
      </c>
      <c r="D3390" t="s">
        <v>50</v>
      </c>
      <c r="E3390" t="s">
        <v>383</v>
      </c>
      <c r="F3390" t="s">
        <v>712</v>
      </c>
      <c r="G3390">
        <v>30000</v>
      </c>
      <c r="H3390">
        <v>31000</v>
      </c>
    </row>
    <row r="3391" spans="2:8" x14ac:dyDescent="0.25">
      <c r="B3391" t="str">
        <f t="shared" si="52"/>
        <v>GMBPopulation ages 55-59, male</v>
      </c>
      <c r="C3391" t="s">
        <v>505</v>
      </c>
      <c r="D3391" t="s">
        <v>50</v>
      </c>
      <c r="E3391" t="s">
        <v>385</v>
      </c>
      <c r="F3391" t="s">
        <v>713</v>
      </c>
      <c r="G3391">
        <v>23000</v>
      </c>
      <c r="H3391">
        <v>24000</v>
      </c>
    </row>
    <row r="3392" spans="2:8" x14ac:dyDescent="0.25">
      <c r="B3392" t="str">
        <f t="shared" si="52"/>
        <v>GMBPopulation ages 55-59, female</v>
      </c>
      <c r="C3392" t="s">
        <v>505</v>
      </c>
      <c r="D3392" t="s">
        <v>50</v>
      </c>
      <c r="E3392" t="s">
        <v>384</v>
      </c>
      <c r="F3392" t="s">
        <v>714</v>
      </c>
      <c r="G3392">
        <v>25000</v>
      </c>
      <c r="H3392">
        <v>26000</v>
      </c>
    </row>
    <row r="3393" spans="2:8" x14ac:dyDescent="0.25">
      <c r="B3393" t="str">
        <f t="shared" si="52"/>
        <v>GMBPopulation ages 65-69, male</v>
      </c>
      <c r="C3393" t="s">
        <v>505</v>
      </c>
      <c r="D3393" t="s">
        <v>50</v>
      </c>
      <c r="E3393" t="s">
        <v>389</v>
      </c>
      <c r="F3393" t="s">
        <v>715</v>
      </c>
      <c r="G3393">
        <v>12000</v>
      </c>
      <c r="H3393">
        <v>12000</v>
      </c>
    </row>
    <row r="3394" spans="2:8" x14ac:dyDescent="0.25">
      <c r="B3394" t="str">
        <f t="shared" si="52"/>
        <v>GMBPopulation ages 65-69, female</v>
      </c>
      <c r="C3394" t="s">
        <v>505</v>
      </c>
      <c r="D3394" t="s">
        <v>50</v>
      </c>
      <c r="E3394" t="s">
        <v>388</v>
      </c>
      <c r="F3394" t="s">
        <v>716</v>
      </c>
      <c r="G3394">
        <v>13000</v>
      </c>
      <c r="H3394">
        <v>13000</v>
      </c>
    </row>
    <row r="3395" spans="2:8" x14ac:dyDescent="0.25">
      <c r="B3395" t="str">
        <f t="shared" si="52"/>
        <v>GMBPopulation ages 60-64, female</v>
      </c>
      <c r="C3395" t="s">
        <v>505</v>
      </c>
      <c r="D3395" t="s">
        <v>50</v>
      </c>
      <c r="E3395" t="s">
        <v>386</v>
      </c>
      <c r="F3395" t="s">
        <v>717</v>
      </c>
      <c r="G3395">
        <v>16000</v>
      </c>
      <c r="H3395">
        <v>17000</v>
      </c>
    </row>
    <row r="3396" spans="2:8" x14ac:dyDescent="0.25">
      <c r="B3396" t="str">
        <f t="shared" si="52"/>
        <v>GMBPopulation ages 60-64, male</v>
      </c>
      <c r="C3396" t="s">
        <v>505</v>
      </c>
      <c r="D3396" t="s">
        <v>50</v>
      </c>
      <c r="E3396" t="s">
        <v>387</v>
      </c>
      <c r="F3396" t="s">
        <v>718</v>
      </c>
      <c r="G3396">
        <v>16000</v>
      </c>
      <c r="H3396">
        <v>17000</v>
      </c>
    </row>
    <row r="3397" spans="2:8" x14ac:dyDescent="0.25">
      <c r="B3397" t="str">
        <f t="shared" si="52"/>
        <v>GMBPopulation ages 70-74, female</v>
      </c>
      <c r="C3397" t="s">
        <v>505</v>
      </c>
      <c r="D3397" t="s">
        <v>50</v>
      </c>
      <c r="E3397" t="s">
        <v>390</v>
      </c>
      <c r="F3397" t="s">
        <v>719</v>
      </c>
      <c r="G3397">
        <v>9500</v>
      </c>
      <c r="H3397">
        <v>9700</v>
      </c>
    </row>
    <row r="3398" spans="2:8" x14ac:dyDescent="0.25">
      <c r="B3398" t="str">
        <f t="shared" si="52"/>
        <v>GMBPopulation ages 70-74, male</v>
      </c>
      <c r="C3398" t="s">
        <v>505</v>
      </c>
      <c r="D3398" t="s">
        <v>50</v>
      </c>
      <c r="E3398" t="s">
        <v>391</v>
      </c>
      <c r="F3398" t="s">
        <v>720</v>
      </c>
      <c r="G3398">
        <v>9200</v>
      </c>
      <c r="H3398">
        <v>9300</v>
      </c>
    </row>
    <row r="3399" spans="2:8" x14ac:dyDescent="0.25">
      <c r="B3399" t="str">
        <f t="shared" ref="B3399:B3462" si="53">CONCATENATE(D3399,E3399)</f>
        <v>GMBPopulation ages 75-79, female</v>
      </c>
      <c r="C3399" t="s">
        <v>505</v>
      </c>
      <c r="D3399" t="s">
        <v>50</v>
      </c>
      <c r="E3399" t="s">
        <v>392</v>
      </c>
      <c r="F3399" t="s">
        <v>721</v>
      </c>
      <c r="G3399">
        <v>5500</v>
      </c>
      <c r="H3399">
        <v>5700</v>
      </c>
    </row>
    <row r="3400" spans="2:8" x14ac:dyDescent="0.25">
      <c r="B3400" t="str">
        <f t="shared" si="53"/>
        <v>GMBPopulation ages 75-79, male</v>
      </c>
      <c r="C3400" t="s">
        <v>505</v>
      </c>
      <c r="D3400" t="s">
        <v>50</v>
      </c>
      <c r="E3400" t="s">
        <v>393</v>
      </c>
      <c r="F3400" t="s">
        <v>722</v>
      </c>
      <c r="G3400">
        <v>5200</v>
      </c>
      <c r="H3400">
        <v>5300</v>
      </c>
    </row>
    <row r="3401" spans="2:8" x14ac:dyDescent="0.25">
      <c r="B3401" t="str">
        <f t="shared" si="53"/>
        <v>GMBPopulation ages 80 and above, female</v>
      </c>
      <c r="C3401" t="s">
        <v>505</v>
      </c>
      <c r="D3401" t="s">
        <v>50</v>
      </c>
      <c r="E3401" t="s">
        <v>394</v>
      </c>
      <c r="F3401" t="s">
        <v>723</v>
      </c>
      <c r="G3401">
        <v>3200</v>
      </c>
      <c r="H3401">
        <v>3200</v>
      </c>
    </row>
    <row r="3402" spans="2:8" x14ac:dyDescent="0.25">
      <c r="B3402" t="str">
        <f t="shared" si="53"/>
        <v>GMBPopulation ages 80 and above, male</v>
      </c>
      <c r="C3402" t="s">
        <v>505</v>
      </c>
      <c r="D3402" t="s">
        <v>50</v>
      </c>
      <c r="E3402" t="s">
        <v>395</v>
      </c>
      <c r="F3402" t="s">
        <v>724</v>
      </c>
      <c r="G3402">
        <v>2800</v>
      </c>
      <c r="H3402">
        <v>2700</v>
      </c>
    </row>
    <row r="3403" spans="2:8" x14ac:dyDescent="0.25">
      <c r="B3403" t="str">
        <f t="shared" si="53"/>
        <v>GMBPopulation, male</v>
      </c>
      <c r="C3403" t="s">
        <v>505</v>
      </c>
      <c r="D3403" t="s">
        <v>50</v>
      </c>
      <c r="E3403" t="s">
        <v>397</v>
      </c>
      <c r="F3403" t="s">
        <v>725</v>
      </c>
      <c r="G3403">
        <v>1164000</v>
      </c>
      <c r="H3403">
        <v>1199000</v>
      </c>
    </row>
    <row r="3404" spans="2:8" x14ac:dyDescent="0.25">
      <c r="B3404" t="str">
        <f t="shared" si="53"/>
        <v>GMBPopulation, total</v>
      </c>
      <c r="C3404" t="s">
        <v>505</v>
      </c>
      <c r="D3404" t="s">
        <v>50</v>
      </c>
      <c r="E3404" t="s">
        <v>398</v>
      </c>
      <c r="F3404" t="s">
        <v>726</v>
      </c>
      <c r="G3404">
        <v>2348000</v>
      </c>
      <c r="H3404">
        <v>2417000</v>
      </c>
    </row>
    <row r="3405" spans="2:8" x14ac:dyDescent="0.25">
      <c r="B3405" t="str">
        <f t="shared" si="53"/>
        <v>GMBPopulation, female</v>
      </c>
      <c r="C3405" t="s">
        <v>505</v>
      </c>
      <c r="D3405" t="s">
        <v>50</v>
      </c>
      <c r="E3405" t="s">
        <v>396</v>
      </c>
      <c r="F3405" t="s">
        <v>727</v>
      </c>
      <c r="G3405">
        <v>1183000</v>
      </c>
      <c r="H3405">
        <v>1218000</v>
      </c>
    </row>
    <row r="3406" spans="2:8" x14ac:dyDescent="0.25">
      <c r="B3406" t="str">
        <f t="shared" si="53"/>
        <v>GMBPopulation growth (annual %)</v>
      </c>
      <c r="C3406" t="s">
        <v>505</v>
      </c>
      <c r="D3406" t="s">
        <v>50</v>
      </c>
      <c r="E3406" t="s">
        <v>399</v>
      </c>
      <c r="F3406" t="s">
        <v>728</v>
      </c>
      <c r="G3406">
        <v>0</v>
      </c>
      <c r="H3406">
        <v>0</v>
      </c>
    </row>
    <row r="3407" spans="2:8" x14ac:dyDescent="0.25">
      <c r="B3407" t="str">
        <f t="shared" si="53"/>
        <v>GEOPopulation ages 0-14, female</v>
      </c>
      <c r="C3407" t="s">
        <v>236</v>
      </c>
      <c r="D3407" t="s">
        <v>48</v>
      </c>
      <c r="E3407" t="s">
        <v>687</v>
      </c>
      <c r="F3407" t="s">
        <v>688</v>
      </c>
      <c r="G3407">
        <v>357000</v>
      </c>
      <c r="H3407">
        <v>360000</v>
      </c>
    </row>
    <row r="3408" spans="2:8" x14ac:dyDescent="0.25">
      <c r="B3408" t="str">
        <f t="shared" si="53"/>
        <v>GEOPopulation ages 0-14, male</v>
      </c>
      <c r="C3408" t="s">
        <v>236</v>
      </c>
      <c r="D3408" t="s">
        <v>48</v>
      </c>
      <c r="E3408" t="s">
        <v>689</v>
      </c>
      <c r="F3408" t="s">
        <v>690</v>
      </c>
      <c r="G3408">
        <v>388000</v>
      </c>
      <c r="H3408">
        <v>390000</v>
      </c>
    </row>
    <row r="3409" spans="2:8" x14ac:dyDescent="0.25">
      <c r="B3409" t="str">
        <f t="shared" si="53"/>
        <v>GEOPopulation ages 00-04, female</v>
      </c>
      <c r="C3409" t="s">
        <v>236</v>
      </c>
      <c r="D3409" t="s">
        <v>48</v>
      </c>
      <c r="E3409" t="s">
        <v>362</v>
      </c>
      <c r="F3409" t="s">
        <v>691</v>
      </c>
      <c r="G3409">
        <v>124000</v>
      </c>
      <c r="H3409">
        <v>121000</v>
      </c>
    </row>
    <row r="3410" spans="2:8" x14ac:dyDescent="0.25">
      <c r="B3410" t="str">
        <f t="shared" si="53"/>
        <v>GEOPopulation ages 00-04, male</v>
      </c>
      <c r="C3410" t="s">
        <v>236</v>
      </c>
      <c r="D3410" t="s">
        <v>48</v>
      </c>
      <c r="E3410" t="s">
        <v>363</v>
      </c>
      <c r="F3410" t="s">
        <v>692</v>
      </c>
      <c r="G3410">
        <v>132000</v>
      </c>
      <c r="H3410">
        <v>129000</v>
      </c>
    </row>
    <row r="3411" spans="2:8" x14ac:dyDescent="0.25">
      <c r="B3411" t="str">
        <f t="shared" si="53"/>
        <v>GEOPopulation ages 05-09, female</v>
      </c>
      <c r="C3411" t="s">
        <v>236</v>
      </c>
      <c r="D3411" t="s">
        <v>48</v>
      </c>
      <c r="E3411" t="s">
        <v>364</v>
      </c>
      <c r="F3411" t="s">
        <v>693</v>
      </c>
      <c r="G3411">
        <v>126000</v>
      </c>
      <c r="H3411">
        <v>127000</v>
      </c>
    </row>
    <row r="3412" spans="2:8" x14ac:dyDescent="0.25">
      <c r="B3412" t="str">
        <f t="shared" si="53"/>
        <v>GEOPopulation ages 05-09, male</v>
      </c>
      <c r="C3412" t="s">
        <v>236</v>
      </c>
      <c r="D3412" t="s">
        <v>48</v>
      </c>
      <c r="E3412" t="s">
        <v>365</v>
      </c>
      <c r="F3412" t="s">
        <v>694</v>
      </c>
      <c r="G3412">
        <v>136000</v>
      </c>
      <c r="H3412">
        <v>137000</v>
      </c>
    </row>
    <row r="3413" spans="2:8" x14ac:dyDescent="0.25">
      <c r="B3413" t="str">
        <f t="shared" si="53"/>
        <v>GEOPopulation ages 10-14, female</v>
      </c>
      <c r="C3413" t="s">
        <v>236</v>
      </c>
      <c r="D3413" t="s">
        <v>48</v>
      </c>
      <c r="E3413" t="s">
        <v>366</v>
      </c>
      <c r="F3413" t="s">
        <v>695</v>
      </c>
      <c r="G3413">
        <v>108000</v>
      </c>
      <c r="H3413">
        <v>112000</v>
      </c>
    </row>
    <row r="3414" spans="2:8" x14ac:dyDescent="0.25">
      <c r="B3414" t="str">
        <f t="shared" si="53"/>
        <v>GEOPopulation ages 10-14, male</v>
      </c>
      <c r="C3414" t="s">
        <v>236</v>
      </c>
      <c r="D3414" t="s">
        <v>48</v>
      </c>
      <c r="E3414" t="s">
        <v>367</v>
      </c>
      <c r="F3414" t="s">
        <v>696</v>
      </c>
      <c r="G3414">
        <v>120000</v>
      </c>
      <c r="H3414">
        <v>124000</v>
      </c>
    </row>
    <row r="3415" spans="2:8" x14ac:dyDescent="0.25">
      <c r="B3415" t="str">
        <f t="shared" si="53"/>
        <v>GEOPopulation ages 15-19, female</v>
      </c>
      <c r="C3415" t="s">
        <v>236</v>
      </c>
      <c r="D3415" t="s">
        <v>48</v>
      </c>
      <c r="E3415" t="s">
        <v>368</v>
      </c>
      <c r="F3415" t="s">
        <v>697</v>
      </c>
      <c r="G3415">
        <v>95000</v>
      </c>
      <c r="H3415">
        <v>95000</v>
      </c>
    </row>
    <row r="3416" spans="2:8" x14ac:dyDescent="0.25">
      <c r="B3416" t="str">
        <f t="shared" si="53"/>
        <v>GEOPopulation ages 15-19, male</v>
      </c>
      <c r="C3416" t="s">
        <v>236</v>
      </c>
      <c r="D3416" t="s">
        <v>48</v>
      </c>
      <c r="E3416" t="s">
        <v>369</v>
      </c>
      <c r="F3416" t="s">
        <v>698</v>
      </c>
      <c r="G3416">
        <v>107000</v>
      </c>
      <c r="H3416">
        <v>107000</v>
      </c>
    </row>
    <row r="3417" spans="2:8" x14ac:dyDescent="0.25">
      <c r="B3417" t="str">
        <f t="shared" si="53"/>
        <v>GEOPopulation ages 20-24, female</v>
      </c>
      <c r="C3417" t="s">
        <v>236</v>
      </c>
      <c r="D3417" t="s">
        <v>48</v>
      </c>
      <c r="E3417" t="s">
        <v>370</v>
      </c>
      <c r="F3417" t="s">
        <v>699</v>
      </c>
      <c r="G3417">
        <v>107000</v>
      </c>
      <c r="H3417">
        <v>103000</v>
      </c>
    </row>
    <row r="3418" spans="2:8" x14ac:dyDescent="0.25">
      <c r="B3418" t="str">
        <f t="shared" si="53"/>
        <v>GEOPopulation ages 20-24, male</v>
      </c>
      <c r="C3418" t="s">
        <v>236</v>
      </c>
      <c r="D3418" t="s">
        <v>48</v>
      </c>
      <c r="E3418" t="s">
        <v>371</v>
      </c>
      <c r="F3418" t="s">
        <v>700</v>
      </c>
      <c r="G3418">
        <v>118000</v>
      </c>
      <c r="H3418">
        <v>115000</v>
      </c>
    </row>
    <row r="3419" spans="2:8" x14ac:dyDescent="0.25">
      <c r="B3419" t="str">
        <f t="shared" si="53"/>
        <v>GEOPopulation ages 25-29, female</v>
      </c>
      <c r="C3419" t="s">
        <v>236</v>
      </c>
      <c r="D3419" t="s">
        <v>48</v>
      </c>
      <c r="E3419" t="s">
        <v>372</v>
      </c>
      <c r="F3419" t="s">
        <v>701</v>
      </c>
      <c r="G3419">
        <v>127000</v>
      </c>
      <c r="H3419">
        <v>123000</v>
      </c>
    </row>
    <row r="3420" spans="2:8" x14ac:dyDescent="0.25">
      <c r="B3420" t="str">
        <f t="shared" si="53"/>
        <v>GEOPopulation ages 25-29, male</v>
      </c>
      <c r="C3420" t="s">
        <v>236</v>
      </c>
      <c r="D3420" t="s">
        <v>48</v>
      </c>
      <c r="E3420" t="s">
        <v>373</v>
      </c>
      <c r="F3420" t="s">
        <v>702</v>
      </c>
      <c r="G3420">
        <v>129000</v>
      </c>
      <c r="H3420">
        <v>126000</v>
      </c>
    </row>
    <row r="3421" spans="2:8" x14ac:dyDescent="0.25">
      <c r="B3421" t="str">
        <f t="shared" si="53"/>
        <v>GEOPopulation ages 30-34, female</v>
      </c>
      <c r="C3421" t="s">
        <v>236</v>
      </c>
      <c r="D3421" t="s">
        <v>48</v>
      </c>
      <c r="E3421" t="s">
        <v>374</v>
      </c>
      <c r="F3421" t="s">
        <v>703</v>
      </c>
      <c r="G3421">
        <v>136000</v>
      </c>
      <c r="H3421">
        <v>135000</v>
      </c>
    </row>
    <row r="3422" spans="2:8" x14ac:dyDescent="0.25">
      <c r="B3422" t="str">
        <f t="shared" si="53"/>
        <v>GEOPopulation ages 30-34, male</v>
      </c>
      <c r="C3422" t="s">
        <v>236</v>
      </c>
      <c r="D3422" t="s">
        <v>48</v>
      </c>
      <c r="E3422" t="s">
        <v>375</v>
      </c>
      <c r="F3422" t="s">
        <v>704</v>
      </c>
      <c r="G3422">
        <v>135000</v>
      </c>
      <c r="H3422">
        <v>134000</v>
      </c>
    </row>
    <row r="3423" spans="2:8" x14ac:dyDescent="0.25">
      <c r="B3423" t="str">
        <f t="shared" si="53"/>
        <v>GEOPopulation ages 35-39, female</v>
      </c>
      <c r="C3423" t="s">
        <v>236</v>
      </c>
      <c r="D3423" t="s">
        <v>48</v>
      </c>
      <c r="E3423" t="s">
        <v>376</v>
      </c>
      <c r="F3423" t="s">
        <v>705</v>
      </c>
      <c r="G3423">
        <v>130000</v>
      </c>
      <c r="H3423">
        <v>130000</v>
      </c>
    </row>
    <row r="3424" spans="2:8" x14ac:dyDescent="0.25">
      <c r="B3424" t="str">
        <f t="shared" si="53"/>
        <v>GEOPopulation ages 35-39, male</v>
      </c>
      <c r="C3424" t="s">
        <v>236</v>
      </c>
      <c r="D3424" t="s">
        <v>48</v>
      </c>
      <c r="E3424" t="s">
        <v>377</v>
      </c>
      <c r="F3424" t="s">
        <v>706</v>
      </c>
      <c r="G3424">
        <v>125000</v>
      </c>
      <c r="H3424">
        <v>126000</v>
      </c>
    </row>
    <row r="3425" spans="2:8" x14ac:dyDescent="0.25">
      <c r="B3425" t="str">
        <f t="shared" si="53"/>
        <v>GEOPopulation ages 40-44, female</v>
      </c>
      <c r="C3425" t="s">
        <v>236</v>
      </c>
      <c r="D3425" t="s">
        <v>48</v>
      </c>
      <c r="E3425" t="s">
        <v>378</v>
      </c>
      <c r="F3425" t="s">
        <v>707</v>
      </c>
      <c r="G3425">
        <v>126000</v>
      </c>
      <c r="H3425">
        <v>126000</v>
      </c>
    </row>
    <row r="3426" spans="2:8" x14ac:dyDescent="0.25">
      <c r="B3426" t="str">
        <f t="shared" si="53"/>
        <v>GEOPopulation ages 40-44, male</v>
      </c>
      <c r="C3426" t="s">
        <v>236</v>
      </c>
      <c r="D3426" t="s">
        <v>48</v>
      </c>
      <c r="E3426" t="s">
        <v>379</v>
      </c>
      <c r="F3426" t="s">
        <v>708</v>
      </c>
      <c r="G3426">
        <v>119000</v>
      </c>
      <c r="H3426">
        <v>119000</v>
      </c>
    </row>
    <row r="3427" spans="2:8" x14ac:dyDescent="0.25">
      <c r="B3427" t="str">
        <f t="shared" si="53"/>
        <v>GEOPopulation ages 45-49, female</v>
      </c>
      <c r="C3427" t="s">
        <v>236</v>
      </c>
      <c r="D3427" t="s">
        <v>48</v>
      </c>
      <c r="E3427" t="s">
        <v>380</v>
      </c>
      <c r="F3427" t="s">
        <v>709</v>
      </c>
      <c r="G3427">
        <v>122000</v>
      </c>
      <c r="H3427">
        <v>122000</v>
      </c>
    </row>
    <row r="3428" spans="2:8" x14ac:dyDescent="0.25">
      <c r="B3428" t="str">
        <f t="shared" si="53"/>
        <v>GEOPopulation ages 45-49, male</v>
      </c>
      <c r="C3428" t="s">
        <v>236</v>
      </c>
      <c r="D3428" t="s">
        <v>48</v>
      </c>
      <c r="E3428" t="s">
        <v>381</v>
      </c>
      <c r="F3428" t="s">
        <v>710</v>
      </c>
      <c r="G3428">
        <v>113000</v>
      </c>
      <c r="H3428">
        <v>114000</v>
      </c>
    </row>
    <row r="3429" spans="2:8" x14ac:dyDescent="0.25">
      <c r="B3429" t="str">
        <f t="shared" si="53"/>
        <v>GEOPopulation ages 50-54, female</v>
      </c>
      <c r="C3429" t="s">
        <v>236</v>
      </c>
      <c r="D3429" t="s">
        <v>48</v>
      </c>
      <c r="E3429" t="s">
        <v>382</v>
      </c>
      <c r="F3429" t="s">
        <v>711</v>
      </c>
      <c r="G3429">
        <v>125000</v>
      </c>
      <c r="H3429">
        <v>121000</v>
      </c>
    </row>
    <row r="3430" spans="2:8" x14ac:dyDescent="0.25">
      <c r="B3430" t="str">
        <f t="shared" si="53"/>
        <v>GEOPopulation ages 50-54, male</v>
      </c>
      <c r="C3430" t="s">
        <v>236</v>
      </c>
      <c r="D3430" t="s">
        <v>48</v>
      </c>
      <c r="E3430" t="s">
        <v>383</v>
      </c>
      <c r="F3430" t="s">
        <v>712</v>
      </c>
      <c r="G3430">
        <v>110000</v>
      </c>
      <c r="H3430">
        <v>107000</v>
      </c>
    </row>
    <row r="3431" spans="2:8" x14ac:dyDescent="0.25">
      <c r="B3431" t="str">
        <f t="shared" si="53"/>
        <v>GEOPopulation ages 55-59, male</v>
      </c>
      <c r="C3431" t="s">
        <v>236</v>
      </c>
      <c r="D3431" t="s">
        <v>48</v>
      </c>
      <c r="E3431" t="s">
        <v>385</v>
      </c>
      <c r="F3431" t="s">
        <v>713</v>
      </c>
      <c r="G3431">
        <v>119000</v>
      </c>
      <c r="H3431">
        <v>118000</v>
      </c>
    </row>
    <row r="3432" spans="2:8" x14ac:dyDescent="0.25">
      <c r="B3432" t="str">
        <f t="shared" si="53"/>
        <v>GEOPopulation ages 55-59, female</v>
      </c>
      <c r="C3432" t="s">
        <v>236</v>
      </c>
      <c r="D3432" t="s">
        <v>48</v>
      </c>
      <c r="E3432" t="s">
        <v>384</v>
      </c>
      <c r="F3432" t="s">
        <v>714</v>
      </c>
      <c r="G3432">
        <v>142000</v>
      </c>
      <c r="H3432">
        <v>141000</v>
      </c>
    </row>
    <row r="3433" spans="2:8" x14ac:dyDescent="0.25">
      <c r="B3433" t="str">
        <f t="shared" si="53"/>
        <v>GEOPopulation ages 65-69, male</v>
      </c>
      <c r="C3433" t="s">
        <v>236</v>
      </c>
      <c r="D3433" t="s">
        <v>48</v>
      </c>
      <c r="E3433" t="s">
        <v>389</v>
      </c>
      <c r="F3433" t="s">
        <v>715</v>
      </c>
      <c r="G3433">
        <v>79000</v>
      </c>
      <c r="H3433">
        <v>81000</v>
      </c>
    </row>
    <row r="3434" spans="2:8" x14ac:dyDescent="0.25">
      <c r="B3434" t="str">
        <f t="shared" si="53"/>
        <v>GEOPopulation ages 65-69, female</v>
      </c>
      <c r="C3434" t="s">
        <v>236</v>
      </c>
      <c r="D3434" t="s">
        <v>48</v>
      </c>
      <c r="E3434" t="s">
        <v>388</v>
      </c>
      <c r="F3434" t="s">
        <v>716</v>
      </c>
      <c r="G3434">
        <v>112000</v>
      </c>
      <c r="H3434">
        <v>115000</v>
      </c>
    </row>
    <row r="3435" spans="2:8" x14ac:dyDescent="0.25">
      <c r="B3435" t="str">
        <f t="shared" si="53"/>
        <v>GEOPopulation ages 60-64, female</v>
      </c>
      <c r="C3435" t="s">
        <v>236</v>
      </c>
      <c r="D3435" t="s">
        <v>48</v>
      </c>
      <c r="E3435" t="s">
        <v>386</v>
      </c>
      <c r="F3435" t="s">
        <v>717</v>
      </c>
      <c r="G3435">
        <v>128000</v>
      </c>
      <c r="H3435">
        <v>130000</v>
      </c>
    </row>
    <row r="3436" spans="2:8" x14ac:dyDescent="0.25">
      <c r="B3436" t="str">
        <f t="shared" si="53"/>
        <v>GEOPopulation ages 60-64, male</v>
      </c>
      <c r="C3436" t="s">
        <v>236</v>
      </c>
      <c r="D3436" t="s">
        <v>48</v>
      </c>
      <c r="E3436" t="s">
        <v>387</v>
      </c>
      <c r="F3436" t="s">
        <v>718</v>
      </c>
      <c r="G3436">
        <v>100000</v>
      </c>
      <c r="H3436">
        <v>102000</v>
      </c>
    </row>
    <row r="3437" spans="2:8" x14ac:dyDescent="0.25">
      <c r="B3437" t="str">
        <f t="shared" si="53"/>
        <v>GEOPopulation ages 70-74, female</v>
      </c>
      <c r="C3437" t="s">
        <v>236</v>
      </c>
      <c r="D3437" t="s">
        <v>48</v>
      </c>
      <c r="E3437" t="s">
        <v>390</v>
      </c>
      <c r="F3437" t="s">
        <v>719</v>
      </c>
      <c r="G3437">
        <v>81000</v>
      </c>
      <c r="H3437">
        <v>86000</v>
      </c>
    </row>
    <row r="3438" spans="2:8" x14ac:dyDescent="0.25">
      <c r="B3438" t="str">
        <f t="shared" si="53"/>
        <v>GEOPopulation ages 70-74, male</v>
      </c>
      <c r="C3438" t="s">
        <v>236</v>
      </c>
      <c r="D3438" t="s">
        <v>48</v>
      </c>
      <c r="E3438" t="s">
        <v>391</v>
      </c>
      <c r="F3438" t="s">
        <v>720</v>
      </c>
      <c r="G3438">
        <v>52000</v>
      </c>
      <c r="H3438">
        <v>54000</v>
      </c>
    </row>
    <row r="3439" spans="2:8" x14ac:dyDescent="0.25">
      <c r="B3439" t="str">
        <f t="shared" si="53"/>
        <v>GEOPopulation ages 75-79, female</v>
      </c>
      <c r="C3439" t="s">
        <v>236</v>
      </c>
      <c r="D3439" t="s">
        <v>48</v>
      </c>
      <c r="E3439" t="s">
        <v>392</v>
      </c>
      <c r="F3439" t="s">
        <v>721</v>
      </c>
      <c r="G3439">
        <v>62000</v>
      </c>
      <c r="H3439">
        <v>59000</v>
      </c>
    </row>
    <row r="3440" spans="2:8" x14ac:dyDescent="0.25">
      <c r="B3440" t="str">
        <f t="shared" si="53"/>
        <v>GEOPopulation ages 75-79, male</v>
      </c>
      <c r="C3440" t="s">
        <v>236</v>
      </c>
      <c r="D3440" t="s">
        <v>48</v>
      </c>
      <c r="E3440" t="s">
        <v>393</v>
      </c>
      <c r="F3440" t="s">
        <v>722</v>
      </c>
      <c r="G3440">
        <v>34000</v>
      </c>
      <c r="H3440">
        <v>32000</v>
      </c>
    </row>
    <row r="3441" spans="2:8" x14ac:dyDescent="0.25">
      <c r="B3441" t="str">
        <f t="shared" si="53"/>
        <v>GEOPopulation ages 80 and above, female</v>
      </c>
      <c r="C3441" t="s">
        <v>236</v>
      </c>
      <c r="D3441" t="s">
        <v>48</v>
      </c>
      <c r="E3441" t="s">
        <v>394</v>
      </c>
      <c r="F3441" t="s">
        <v>723</v>
      </c>
      <c r="G3441">
        <v>97000</v>
      </c>
      <c r="H3441">
        <v>96000</v>
      </c>
    </row>
    <row r="3442" spans="2:8" x14ac:dyDescent="0.25">
      <c r="B3442" t="str">
        <f t="shared" si="53"/>
        <v>GEOPopulation ages 80 and above, male</v>
      </c>
      <c r="C3442" t="s">
        <v>236</v>
      </c>
      <c r="D3442" t="s">
        <v>48</v>
      </c>
      <c r="E3442" t="s">
        <v>395</v>
      </c>
      <c r="F3442" t="s">
        <v>724</v>
      </c>
      <c r="G3442">
        <v>45000</v>
      </c>
      <c r="H3442">
        <v>42000</v>
      </c>
    </row>
    <row r="3443" spans="2:8" x14ac:dyDescent="0.25">
      <c r="B3443" t="str">
        <f t="shared" si="53"/>
        <v>GEOPopulation, male</v>
      </c>
      <c r="C3443" t="s">
        <v>236</v>
      </c>
      <c r="D3443" t="s">
        <v>48</v>
      </c>
      <c r="E3443" t="s">
        <v>397</v>
      </c>
      <c r="F3443" t="s">
        <v>725</v>
      </c>
      <c r="G3443">
        <v>1774000</v>
      </c>
      <c r="H3443">
        <v>1769000</v>
      </c>
    </row>
    <row r="3444" spans="2:8" x14ac:dyDescent="0.25">
      <c r="B3444" t="str">
        <f t="shared" si="53"/>
        <v>GEOPopulation, total</v>
      </c>
      <c r="C3444" t="s">
        <v>236</v>
      </c>
      <c r="D3444" t="s">
        <v>48</v>
      </c>
      <c r="E3444" t="s">
        <v>398</v>
      </c>
      <c r="F3444" t="s">
        <v>726</v>
      </c>
      <c r="G3444">
        <v>3721000</v>
      </c>
      <c r="H3444">
        <v>3711000</v>
      </c>
    </row>
    <row r="3445" spans="2:8" x14ac:dyDescent="0.25">
      <c r="B3445" t="str">
        <f t="shared" si="53"/>
        <v>GEOPopulation, female</v>
      </c>
      <c r="C3445" t="s">
        <v>236</v>
      </c>
      <c r="D3445" t="s">
        <v>48</v>
      </c>
      <c r="E3445" t="s">
        <v>396</v>
      </c>
      <c r="F3445" t="s">
        <v>727</v>
      </c>
      <c r="G3445">
        <v>1947000</v>
      </c>
      <c r="H3445">
        <v>1943000</v>
      </c>
    </row>
    <row r="3446" spans="2:8" x14ac:dyDescent="0.25">
      <c r="B3446" t="str">
        <f t="shared" si="53"/>
        <v>GEOPopulation growth (annual %)</v>
      </c>
      <c r="C3446" t="s">
        <v>236</v>
      </c>
      <c r="D3446" t="s">
        <v>48</v>
      </c>
      <c r="E3446" t="s">
        <v>399</v>
      </c>
      <c r="F3446" t="s">
        <v>728</v>
      </c>
      <c r="G3446">
        <v>0</v>
      </c>
      <c r="H3446">
        <v>0</v>
      </c>
    </row>
    <row r="3447" spans="2:8" x14ac:dyDescent="0.25">
      <c r="B3447" t="str">
        <f t="shared" si="53"/>
        <v>DEUPopulation ages 0-14, female</v>
      </c>
      <c r="C3447" t="s">
        <v>506</v>
      </c>
      <c r="D3447" t="s">
        <v>34</v>
      </c>
      <c r="E3447" t="s">
        <v>687</v>
      </c>
      <c r="F3447" t="s">
        <v>688</v>
      </c>
      <c r="G3447">
        <v>5532000</v>
      </c>
      <c r="H3447">
        <v>5586000</v>
      </c>
    </row>
    <row r="3448" spans="2:8" x14ac:dyDescent="0.25">
      <c r="B3448" t="str">
        <f t="shared" si="53"/>
        <v>DEUPopulation ages 0-14, male</v>
      </c>
      <c r="C3448" t="s">
        <v>506</v>
      </c>
      <c r="D3448" t="s">
        <v>34</v>
      </c>
      <c r="E3448" t="s">
        <v>689</v>
      </c>
      <c r="F3448" t="s">
        <v>690</v>
      </c>
      <c r="G3448">
        <v>5895000</v>
      </c>
      <c r="H3448">
        <v>5952000</v>
      </c>
    </row>
    <row r="3449" spans="2:8" x14ac:dyDescent="0.25">
      <c r="B3449" t="str">
        <f t="shared" si="53"/>
        <v>DEUPopulation ages 00-04, female</v>
      </c>
      <c r="C3449" t="s">
        <v>506</v>
      </c>
      <c r="D3449" t="s">
        <v>34</v>
      </c>
      <c r="E3449" t="s">
        <v>362</v>
      </c>
      <c r="F3449" t="s">
        <v>691</v>
      </c>
      <c r="G3449">
        <v>1925000</v>
      </c>
      <c r="H3449">
        <v>1950000</v>
      </c>
    </row>
    <row r="3450" spans="2:8" x14ac:dyDescent="0.25">
      <c r="B3450" t="str">
        <f t="shared" si="53"/>
        <v>DEUPopulation ages 00-04, male</v>
      </c>
      <c r="C3450" t="s">
        <v>506</v>
      </c>
      <c r="D3450" t="s">
        <v>34</v>
      </c>
      <c r="E3450" t="s">
        <v>363</v>
      </c>
      <c r="F3450" t="s">
        <v>692</v>
      </c>
      <c r="G3450">
        <v>2028000</v>
      </c>
      <c r="H3450">
        <v>2055000</v>
      </c>
    </row>
    <row r="3451" spans="2:8" x14ac:dyDescent="0.25">
      <c r="B3451" t="str">
        <f t="shared" si="53"/>
        <v>DEUPopulation ages 05-09, female</v>
      </c>
      <c r="C3451" t="s">
        <v>506</v>
      </c>
      <c r="D3451" t="s">
        <v>34</v>
      </c>
      <c r="E3451" t="s">
        <v>364</v>
      </c>
      <c r="F3451" t="s">
        <v>693</v>
      </c>
      <c r="G3451">
        <v>1795000</v>
      </c>
      <c r="H3451">
        <v>1827000</v>
      </c>
    </row>
    <row r="3452" spans="2:8" x14ac:dyDescent="0.25">
      <c r="B3452" t="str">
        <f t="shared" si="53"/>
        <v>DEUPopulation ages 05-09, male</v>
      </c>
      <c r="C3452" t="s">
        <v>506</v>
      </c>
      <c r="D3452" t="s">
        <v>34</v>
      </c>
      <c r="E3452" t="s">
        <v>365</v>
      </c>
      <c r="F3452" t="s">
        <v>694</v>
      </c>
      <c r="G3452">
        <v>1912000</v>
      </c>
      <c r="H3452">
        <v>1944000</v>
      </c>
    </row>
    <row r="3453" spans="2:8" x14ac:dyDescent="0.25">
      <c r="B3453" t="str">
        <f t="shared" si="53"/>
        <v>DEUPopulation ages 10-14, female</v>
      </c>
      <c r="C3453" t="s">
        <v>506</v>
      </c>
      <c r="D3453" t="s">
        <v>34</v>
      </c>
      <c r="E3453" t="s">
        <v>366</v>
      </c>
      <c r="F3453" t="s">
        <v>695</v>
      </c>
      <c r="G3453">
        <v>1811000</v>
      </c>
      <c r="H3453">
        <v>1808000</v>
      </c>
    </row>
    <row r="3454" spans="2:8" x14ac:dyDescent="0.25">
      <c r="B3454" t="str">
        <f t="shared" si="53"/>
        <v>DEUPopulation ages 10-14, male</v>
      </c>
      <c r="C3454" t="s">
        <v>506</v>
      </c>
      <c r="D3454" t="s">
        <v>34</v>
      </c>
      <c r="E3454" t="s">
        <v>367</v>
      </c>
      <c r="F3454" t="s">
        <v>696</v>
      </c>
      <c r="G3454">
        <v>1954000</v>
      </c>
      <c r="H3454">
        <v>1953000</v>
      </c>
    </row>
    <row r="3455" spans="2:8" x14ac:dyDescent="0.25">
      <c r="B3455" t="str">
        <f t="shared" si="53"/>
        <v>DEUPopulation ages 15-19, female</v>
      </c>
      <c r="C3455" t="s">
        <v>506</v>
      </c>
      <c r="D3455" t="s">
        <v>34</v>
      </c>
      <c r="E3455" t="s">
        <v>368</v>
      </c>
      <c r="F3455" t="s">
        <v>697</v>
      </c>
      <c r="G3455">
        <v>1970000</v>
      </c>
      <c r="H3455">
        <v>1943000</v>
      </c>
    </row>
    <row r="3456" spans="2:8" x14ac:dyDescent="0.25">
      <c r="B3456" t="str">
        <f t="shared" si="53"/>
        <v>DEUPopulation ages 15-19, male</v>
      </c>
      <c r="C3456" t="s">
        <v>506</v>
      </c>
      <c r="D3456" t="s">
        <v>34</v>
      </c>
      <c r="E3456" t="s">
        <v>369</v>
      </c>
      <c r="F3456" t="s">
        <v>698</v>
      </c>
      <c r="G3456">
        <v>2145000</v>
      </c>
      <c r="H3456">
        <v>2122000</v>
      </c>
    </row>
    <row r="3457" spans="2:8" x14ac:dyDescent="0.25">
      <c r="B3457" t="str">
        <f t="shared" si="53"/>
        <v>DEUPopulation ages 20-24, female</v>
      </c>
      <c r="C3457" t="s">
        <v>506</v>
      </c>
      <c r="D3457" t="s">
        <v>34</v>
      </c>
      <c r="E3457" t="s">
        <v>370</v>
      </c>
      <c r="F3457" t="s">
        <v>699</v>
      </c>
      <c r="G3457">
        <v>2157000</v>
      </c>
      <c r="H3457">
        <v>2142000</v>
      </c>
    </row>
    <row r="3458" spans="2:8" x14ac:dyDescent="0.25">
      <c r="B3458" t="str">
        <f t="shared" si="53"/>
        <v>DEUPopulation ages 20-24, male</v>
      </c>
      <c r="C3458" t="s">
        <v>506</v>
      </c>
      <c r="D3458" t="s">
        <v>34</v>
      </c>
      <c r="E3458" t="s">
        <v>371</v>
      </c>
      <c r="F3458" t="s">
        <v>700</v>
      </c>
      <c r="G3458">
        <v>2356000</v>
      </c>
      <c r="H3458">
        <v>2351000</v>
      </c>
    </row>
    <row r="3459" spans="2:8" x14ac:dyDescent="0.25">
      <c r="B3459" t="str">
        <f t="shared" si="53"/>
        <v>DEUPopulation ages 25-29, female</v>
      </c>
      <c r="C3459" t="s">
        <v>506</v>
      </c>
      <c r="D3459" t="s">
        <v>34</v>
      </c>
      <c r="E3459" t="s">
        <v>372</v>
      </c>
      <c r="F3459" t="s">
        <v>701</v>
      </c>
      <c r="G3459">
        <v>2312000</v>
      </c>
      <c r="H3459">
        <v>2272000</v>
      </c>
    </row>
    <row r="3460" spans="2:8" x14ac:dyDescent="0.25">
      <c r="B3460" t="str">
        <f t="shared" si="53"/>
        <v>DEUPopulation ages 25-29, male</v>
      </c>
      <c r="C3460" t="s">
        <v>506</v>
      </c>
      <c r="D3460" t="s">
        <v>34</v>
      </c>
      <c r="E3460" t="s">
        <v>373</v>
      </c>
      <c r="F3460" t="s">
        <v>702</v>
      </c>
      <c r="G3460">
        <v>2517000</v>
      </c>
      <c r="H3460">
        <v>2489000</v>
      </c>
    </row>
    <row r="3461" spans="2:8" x14ac:dyDescent="0.25">
      <c r="B3461" t="str">
        <f t="shared" si="53"/>
        <v>DEUPopulation ages 30-34, female</v>
      </c>
      <c r="C3461" t="s">
        <v>506</v>
      </c>
      <c r="D3461" t="s">
        <v>34</v>
      </c>
      <c r="E3461" t="s">
        <v>374</v>
      </c>
      <c r="F3461" t="s">
        <v>703</v>
      </c>
      <c r="G3461">
        <v>2608000</v>
      </c>
      <c r="H3461">
        <v>2584000</v>
      </c>
    </row>
    <row r="3462" spans="2:8" x14ac:dyDescent="0.25">
      <c r="B3462" t="str">
        <f t="shared" si="53"/>
        <v>DEUPopulation ages 30-34, male</v>
      </c>
      <c r="C3462" t="s">
        <v>506</v>
      </c>
      <c r="D3462" t="s">
        <v>34</v>
      </c>
      <c r="E3462" t="s">
        <v>375</v>
      </c>
      <c r="F3462" t="s">
        <v>704</v>
      </c>
      <c r="G3462">
        <v>2789000</v>
      </c>
      <c r="H3462">
        <v>2786000</v>
      </c>
    </row>
    <row r="3463" spans="2:8" x14ac:dyDescent="0.25">
      <c r="B3463" t="str">
        <f t="shared" ref="B3463:B3526" si="54">CONCATENATE(D3463,E3463)</f>
        <v>DEUPopulation ages 35-39, female</v>
      </c>
      <c r="C3463" t="s">
        <v>506</v>
      </c>
      <c r="D3463" t="s">
        <v>34</v>
      </c>
      <c r="E3463" t="s">
        <v>376</v>
      </c>
      <c r="F3463" t="s">
        <v>705</v>
      </c>
      <c r="G3463">
        <v>2593000</v>
      </c>
      <c r="H3463">
        <v>2621000</v>
      </c>
    </row>
    <row r="3464" spans="2:8" x14ac:dyDescent="0.25">
      <c r="B3464" t="str">
        <f t="shared" si="54"/>
        <v>DEUPopulation ages 35-39, male</v>
      </c>
      <c r="C3464" t="s">
        <v>506</v>
      </c>
      <c r="D3464" t="s">
        <v>34</v>
      </c>
      <c r="E3464" t="s">
        <v>377</v>
      </c>
      <c r="F3464" t="s">
        <v>706</v>
      </c>
      <c r="G3464">
        <v>2688000</v>
      </c>
      <c r="H3464">
        <v>2738000</v>
      </c>
    </row>
    <row r="3465" spans="2:8" x14ac:dyDescent="0.25">
      <c r="B3465" t="str">
        <f t="shared" si="54"/>
        <v>DEUPopulation ages 40-44, female</v>
      </c>
      <c r="C3465" t="s">
        <v>506</v>
      </c>
      <c r="D3465" t="s">
        <v>34</v>
      </c>
      <c r="E3465" t="s">
        <v>378</v>
      </c>
      <c r="F3465" t="s">
        <v>707</v>
      </c>
      <c r="G3465">
        <v>2454000</v>
      </c>
      <c r="H3465">
        <v>2475000</v>
      </c>
    </row>
    <row r="3466" spans="2:8" x14ac:dyDescent="0.25">
      <c r="B3466" t="str">
        <f t="shared" si="54"/>
        <v>DEUPopulation ages 40-44, male</v>
      </c>
      <c r="C3466" t="s">
        <v>506</v>
      </c>
      <c r="D3466" t="s">
        <v>34</v>
      </c>
      <c r="E3466" t="s">
        <v>379</v>
      </c>
      <c r="F3466" t="s">
        <v>708</v>
      </c>
      <c r="G3466">
        <v>2491000</v>
      </c>
      <c r="H3466">
        <v>2518000</v>
      </c>
    </row>
    <row r="3467" spans="2:8" x14ac:dyDescent="0.25">
      <c r="B3467" t="str">
        <f t="shared" si="54"/>
        <v>DEUPopulation ages 45-49, female</v>
      </c>
      <c r="C3467" t="s">
        <v>506</v>
      </c>
      <c r="D3467" t="s">
        <v>34</v>
      </c>
      <c r="E3467" t="s">
        <v>380</v>
      </c>
      <c r="F3467" t="s">
        <v>709</v>
      </c>
      <c r="G3467">
        <v>2665000</v>
      </c>
      <c r="H3467">
        <v>2542000</v>
      </c>
    </row>
    <row r="3468" spans="2:8" x14ac:dyDescent="0.25">
      <c r="B3468" t="str">
        <f t="shared" si="54"/>
        <v>DEUPopulation ages 45-49, male</v>
      </c>
      <c r="C3468" t="s">
        <v>506</v>
      </c>
      <c r="D3468" t="s">
        <v>34</v>
      </c>
      <c r="E3468" t="s">
        <v>381</v>
      </c>
      <c r="F3468" t="s">
        <v>710</v>
      </c>
      <c r="G3468">
        <v>2701000</v>
      </c>
      <c r="H3468">
        <v>2573000</v>
      </c>
    </row>
    <row r="3469" spans="2:8" x14ac:dyDescent="0.25">
      <c r="B3469" t="str">
        <f t="shared" si="54"/>
        <v>DEUPopulation ages 50-54, female</v>
      </c>
      <c r="C3469" t="s">
        <v>506</v>
      </c>
      <c r="D3469" t="s">
        <v>34</v>
      </c>
      <c r="E3469" t="s">
        <v>382</v>
      </c>
      <c r="F3469" t="s">
        <v>711</v>
      </c>
      <c r="G3469">
        <v>3387000</v>
      </c>
      <c r="H3469">
        <v>3284000</v>
      </c>
    </row>
    <row r="3470" spans="2:8" x14ac:dyDescent="0.25">
      <c r="B3470" t="str">
        <f t="shared" si="54"/>
        <v>DEUPopulation ages 50-54, male</v>
      </c>
      <c r="C3470" t="s">
        <v>506</v>
      </c>
      <c r="D3470" t="s">
        <v>34</v>
      </c>
      <c r="E3470" t="s">
        <v>383</v>
      </c>
      <c r="F3470" t="s">
        <v>712</v>
      </c>
      <c r="G3470">
        <v>3419000</v>
      </c>
      <c r="H3470">
        <v>3309000</v>
      </c>
    </row>
    <row r="3471" spans="2:8" x14ac:dyDescent="0.25">
      <c r="B3471" t="str">
        <f t="shared" si="54"/>
        <v>DEUPopulation ages 55-59, male</v>
      </c>
      <c r="C3471" t="s">
        <v>506</v>
      </c>
      <c r="D3471" t="s">
        <v>34</v>
      </c>
      <c r="E3471" t="s">
        <v>385</v>
      </c>
      <c r="F3471" t="s">
        <v>713</v>
      </c>
      <c r="G3471">
        <v>3319000</v>
      </c>
      <c r="H3471">
        <v>3348000</v>
      </c>
    </row>
    <row r="3472" spans="2:8" x14ac:dyDescent="0.25">
      <c r="B3472" t="str">
        <f t="shared" si="54"/>
        <v>DEUPopulation ages 55-59, female</v>
      </c>
      <c r="C3472" t="s">
        <v>506</v>
      </c>
      <c r="D3472" t="s">
        <v>34</v>
      </c>
      <c r="E3472" t="s">
        <v>384</v>
      </c>
      <c r="F3472" t="s">
        <v>714</v>
      </c>
      <c r="G3472">
        <v>3334000</v>
      </c>
      <c r="H3472">
        <v>3369000</v>
      </c>
    </row>
    <row r="3473" spans="2:8" x14ac:dyDescent="0.25">
      <c r="B3473" t="str">
        <f t="shared" si="54"/>
        <v>DEUPopulation ages 65-69, male</v>
      </c>
      <c r="C3473" t="s">
        <v>506</v>
      </c>
      <c r="D3473" t="s">
        <v>34</v>
      </c>
      <c r="E3473" t="s">
        <v>389</v>
      </c>
      <c r="F3473" t="s">
        <v>715</v>
      </c>
      <c r="G3473">
        <v>2209000</v>
      </c>
      <c r="H3473">
        <v>2261000</v>
      </c>
    </row>
    <row r="3474" spans="2:8" x14ac:dyDescent="0.25">
      <c r="B3474" t="str">
        <f t="shared" si="54"/>
        <v>DEUPopulation ages 65-69, female</v>
      </c>
      <c r="C3474" t="s">
        <v>506</v>
      </c>
      <c r="D3474" t="s">
        <v>34</v>
      </c>
      <c r="E3474" t="s">
        <v>388</v>
      </c>
      <c r="F3474" t="s">
        <v>716</v>
      </c>
      <c r="G3474">
        <v>2432000</v>
      </c>
      <c r="H3474">
        <v>2499000</v>
      </c>
    </row>
    <row r="3475" spans="2:8" x14ac:dyDescent="0.25">
      <c r="B3475" t="str">
        <f t="shared" si="54"/>
        <v>DEUPopulation ages 60-64, female</v>
      </c>
      <c r="C3475" t="s">
        <v>506</v>
      </c>
      <c r="D3475" t="s">
        <v>34</v>
      </c>
      <c r="E3475" t="s">
        <v>386</v>
      </c>
      <c r="F3475" t="s">
        <v>717</v>
      </c>
      <c r="G3475">
        <v>2865000</v>
      </c>
      <c r="H3475">
        <v>2927000</v>
      </c>
    </row>
    <row r="3476" spans="2:8" x14ac:dyDescent="0.25">
      <c r="B3476" t="str">
        <f t="shared" si="54"/>
        <v>DEUPopulation ages 60-64, male</v>
      </c>
      <c r="C3476" t="s">
        <v>506</v>
      </c>
      <c r="D3476" t="s">
        <v>34</v>
      </c>
      <c r="E3476" t="s">
        <v>387</v>
      </c>
      <c r="F3476" t="s">
        <v>718</v>
      </c>
      <c r="G3476">
        <v>2752000</v>
      </c>
      <c r="H3476">
        <v>2817000</v>
      </c>
    </row>
    <row r="3477" spans="2:8" x14ac:dyDescent="0.25">
      <c r="B3477" t="str">
        <f t="shared" si="54"/>
        <v>DEUPopulation ages 70-74, female</v>
      </c>
      <c r="C3477" t="s">
        <v>506</v>
      </c>
      <c r="D3477" t="s">
        <v>34</v>
      </c>
      <c r="E3477" t="s">
        <v>390</v>
      </c>
      <c r="F3477" t="s">
        <v>719</v>
      </c>
      <c r="G3477">
        <v>2020000</v>
      </c>
      <c r="H3477">
        <v>2016000</v>
      </c>
    </row>
    <row r="3478" spans="2:8" x14ac:dyDescent="0.25">
      <c r="B3478" t="str">
        <f t="shared" si="54"/>
        <v>DEUPopulation ages 70-74, male</v>
      </c>
      <c r="C3478" t="s">
        <v>506</v>
      </c>
      <c r="D3478" t="s">
        <v>34</v>
      </c>
      <c r="E3478" t="s">
        <v>391</v>
      </c>
      <c r="F3478" t="s">
        <v>720</v>
      </c>
      <c r="G3478">
        <v>1781000</v>
      </c>
      <c r="H3478">
        <v>1767000</v>
      </c>
    </row>
    <row r="3479" spans="2:8" x14ac:dyDescent="0.25">
      <c r="B3479" t="str">
        <f t="shared" si="54"/>
        <v>DEUPopulation ages 75-79, female</v>
      </c>
      <c r="C3479" t="s">
        <v>506</v>
      </c>
      <c r="D3479" t="s">
        <v>34</v>
      </c>
      <c r="E3479" t="s">
        <v>392</v>
      </c>
      <c r="F3479" t="s">
        <v>721</v>
      </c>
      <c r="G3479">
        <v>2057000</v>
      </c>
      <c r="H3479">
        <v>1979000</v>
      </c>
    </row>
    <row r="3480" spans="2:8" x14ac:dyDescent="0.25">
      <c r="B3480" t="str">
        <f t="shared" si="54"/>
        <v>DEUPopulation ages 75-79, male</v>
      </c>
      <c r="C3480" t="s">
        <v>506</v>
      </c>
      <c r="D3480" t="s">
        <v>34</v>
      </c>
      <c r="E3480" t="s">
        <v>393</v>
      </c>
      <c r="F3480" t="s">
        <v>722</v>
      </c>
      <c r="G3480">
        <v>1667000</v>
      </c>
      <c r="H3480">
        <v>1610000</v>
      </c>
    </row>
    <row r="3481" spans="2:8" x14ac:dyDescent="0.25">
      <c r="B3481" t="str">
        <f t="shared" si="54"/>
        <v>DEUPopulation ages 80 and above, female</v>
      </c>
      <c r="C3481" t="s">
        <v>506</v>
      </c>
      <c r="D3481" t="s">
        <v>34</v>
      </c>
      <c r="E3481" t="s">
        <v>394</v>
      </c>
      <c r="F3481" t="s">
        <v>723</v>
      </c>
      <c r="G3481">
        <v>3521000</v>
      </c>
      <c r="H3481">
        <v>3570000</v>
      </c>
    </row>
    <row r="3482" spans="2:8" x14ac:dyDescent="0.25">
      <c r="B3482" t="str">
        <f t="shared" si="54"/>
        <v>DEUPopulation ages 80 and above, male</v>
      </c>
      <c r="C3482" t="s">
        <v>506</v>
      </c>
      <c r="D3482" t="s">
        <v>34</v>
      </c>
      <c r="E3482" t="s">
        <v>395</v>
      </c>
      <c r="F3482" t="s">
        <v>724</v>
      </c>
      <c r="G3482">
        <v>2168000</v>
      </c>
      <c r="H3482">
        <v>2228000</v>
      </c>
    </row>
    <row r="3483" spans="2:8" x14ac:dyDescent="0.25">
      <c r="B3483" t="str">
        <f t="shared" si="54"/>
        <v>DEUPopulation, male</v>
      </c>
      <c r="C3483" t="s">
        <v>506</v>
      </c>
      <c r="D3483" t="s">
        <v>34</v>
      </c>
      <c r="E3483" t="s">
        <v>397</v>
      </c>
      <c r="F3483" t="s">
        <v>725</v>
      </c>
      <c r="G3483">
        <v>40898000</v>
      </c>
      <c r="H3483">
        <v>40869000</v>
      </c>
    </row>
    <row r="3484" spans="2:8" x14ac:dyDescent="0.25">
      <c r="B3484" t="str">
        <f t="shared" si="54"/>
        <v>DEUPopulation, total</v>
      </c>
      <c r="C3484" t="s">
        <v>506</v>
      </c>
      <c r="D3484" t="s">
        <v>34</v>
      </c>
      <c r="E3484" t="s">
        <v>398</v>
      </c>
      <c r="F3484" t="s">
        <v>726</v>
      </c>
      <c r="G3484">
        <v>82806000</v>
      </c>
      <c r="H3484">
        <v>82678000</v>
      </c>
    </row>
    <row r="3485" spans="2:8" x14ac:dyDescent="0.25">
      <c r="B3485" t="str">
        <f t="shared" si="54"/>
        <v>DEUPopulation, female</v>
      </c>
      <c r="C3485" t="s">
        <v>506</v>
      </c>
      <c r="D3485" t="s">
        <v>34</v>
      </c>
      <c r="E3485" t="s">
        <v>396</v>
      </c>
      <c r="F3485" t="s">
        <v>727</v>
      </c>
      <c r="G3485">
        <v>41908000</v>
      </c>
      <c r="H3485">
        <v>41809000</v>
      </c>
    </row>
    <row r="3486" spans="2:8" x14ac:dyDescent="0.25">
      <c r="B3486" t="str">
        <f t="shared" si="54"/>
        <v>DEUPopulation growth (annual %)</v>
      </c>
      <c r="C3486" t="s">
        <v>506</v>
      </c>
      <c r="D3486" t="s">
        <v>34</v>
      </c>
      <c r="E3486" t="s">
        <v>399</v>
      </c>
      <c r="F3486" t="s">
        <v>728</v>
      </c>
      <c r="G3486">
        <v>0</v>
      </c>
      <c r="H3486">
        <v>0</v>
      </c>
    </row>
    <row r="3487" spans="2:8" x14ac:dyDescent="0.25">
      <c r="B3487" t="str">
        <f t="shared" si="54"/>
        <v>GHAPopulation ages 0-14, female</v>
      </c>
      <c r="C3487" t="s">
        <v>196</v>
      </c>
      <c r="D3487" t="s">
        <v>162</v>
      </c>
      <c r="E3487" t="s">
        <v>687</v>
      </c>
      <c r="F3487" t="s">
        <v>688</v>
      </c>
      <c r="G3487">
        <v>5563000</v>
      </c>
      <c r="H3487">
        <v>5647000</v>
      </c>
    </row>
    <row r="3488" spans="2:8" x14ac:dyDescent="0.25">
      <c r="B3488" t="str">
        <f t="shared" si="54"/>
        <v>GHAPopulation ages 0-14, male</v>
      </c>
      <c r="C3488" t="s">
        <v>196</v>
      </c>
      <c r="D3488" t="s">
        <v>162</v>
      </c>
      <c r="E3488" t="s">
        <v>689</v>
      </c>
      <c r="F3488" t="s">
        <v>690</v>
      </c>
      <c r="G3488">
        <v>5803000</v>
      </c>
      <c r="H3488">
        <v>5891000</v>
      </c>
    </row>
    <row r="3489" spans="2:8" x14ac:dyDescent="0.25">
      <c r="B3489" t="str">
        <f t="shared" si="54"/>
        <v>GHAPopulation ages 00-04, female</v>
      </c>
      <c r="C3489" t="s">
        <v>196</v>
      </c>
      <c r="D3489" t="s">
        <v>162</v>
      </c>
      <c r="E3489" t="s">
        <v>362</v>
      </c>
      <c r="F3489" t="s">
        <v>691</v>
      </c>
      <c r="G3489">
        <v>2023000</v>
      </c>
      <c r="H3489">
        <v>2040000</v>
      </c>
    </row>
    <row r="3490" spans="2:8" x14ac:dyDescent="0.25">
      <c r="B3490" t="str">
        <f t="shared" si="54"/>
        <v>GHAPopulation ages 00-04, male</v>
      </c>
      <c r="C3490" t="s">
        <v>196</v>
      </c>
      <c r="D3490" t="s">
        <v>162</v>
      </c>
      <c r="E3490" t="s">
        <v>363</v>
      </c>
      <c r="F3490" t="s">
        <v>692</v>
      </c>
      <c r="G3490">
        <v>2112000</v>
      </c>
      <c r="H3490">
        <v>2129000</v>
      </c>
    </row>
    <row r="3491" spans="2:8" x14ac:dyDescent="0.25">
      <c r="B3491" t="str">
        <f t="shared" si="54"/>
        <v>GHAPopulation ages 05-09, female</v>
      </c>
      <c r="C3491" t="s">
        <v>196</v>
      </c>
      <c r="D3491" t="s">
        <v>162</v>
      </c>
      <c r="E3491" t="s">
        <v>364</v>
      </c>
      <c r="F3491" t="s">
        <v>693</v>
      </c>
      <c r="G3491">
        <v>1870000</v>
      </c>
      <c r="H3491">
        <v>1903000</v>
      </c>
    </row>
    <row r="3492" spans="2:8" x14ac:dyDescent="0.25">
      <c r="B3492" t="str">
        <f t="shared" si="54"/>
        <v>GHAPopulation ages 05-09, male</v>
      </c>
      <c r="C3492" t="s">
        <v>196</v>
      </c>
      <c r="D3492" t="s">
        <v>162</v>
      </c>
      <c r="E3492" t="s">
        <v>365</v>
      </c>
      <c r="F3492" t="s">
        <v>694</v>
      </c>
      <c r="G3492">
        <v>1950000</v>
      </c>
      <c r="H3492">
        <v>1985000</v>
      </c>
    </row>
    <row r="3493" spans="2:8" x14ac:dyDescent="0.25">
      <c r="B3493" t="str">
        <f t="shared" si="54"/>
        <v>GHAPopulation ages 10-14, female</v>
      </c>
      <c r="C3493" t="s">
        <v>196</v>
      </c>
      <c r="D3493" t="s">
        <v>162</v>
      </c>
      <c r="E3493" t="s">
        <v>366</v>
      </c>
      <c r="F3493" t="s">
        <v>695</v>
      </c>
      <c r="G3493">
        <v>1670000</v>
      </c>
      <c r="H3493">
        <v>1703000</v>
      </c>
    </row>
    <row r="3494" spans="2:8" x14ac:dyDescent="0.25">
      <c r="B3494" t="str">
        <f t="shared" si="54"/>
        <v>GHAPopulation ages 10-14, male</v>
      </c>
      <c r="C3494" t="s">
        <v>196</v>
      </c>
      <c r="D3494" t="s">
        <v>162</v>
      </c>
      <c r="E3494" t="s">
        <v>367</v>
      </c>
      <c r="F3494" t="s">
        <v>696</v>
      </c>
      <c r="G3494">
        <v>1741000</v>
      </c>
      <c r="H3494">
        <v>1776000</v>
      </c>
    </row>
    <row r="3495" spans="2:8" x14ac:dyDescent="0.25">
      <c r="B3495" t="str">
        <f t="shared" si="54"/>
        <v>GHAPopulation ages 15-19, female</v>
      </c>
      <c r="C3495" t="s">
        <v>196</v>
      </c>
      <c r="D3495" t="s">
        <v>162</v>
      </c>
      <c r="E3495" t="s">
        <v>368</v>
      </c>
      <c r="F3495" t="s">
        <v>697</v>
      </c>
      <c r="G3495">
        <v>1509000</v>
      </c>
      <c r="H3495">
        <v>1534000</v>
      </c>
    </row>
    <row r="3496" spans="2:8" x14ac:dyDescent="0.25">
      <c r="B3496" t="str">
        <f t="shared" si="54"/>
        <v>GHAPopulation ages 15-19, male</v>
      </c>
      <c r="C3496" t="s">
        <v>196</v>
      </c>
      <c r="D3496" t="s">
        <v>162</v>
      </c>
      <c r="E3496" t="s">
        <v>369</v>
      </c>
      <c r="F3496" t="s">
        <v>698</v>
      </c>
      <c r="G3496">
        <v>1577000</v>
      </c>
      <c r="H3496">
        <v>1603000</v>
      </c>
    </row>
    <row r="3497" spans="2:8" x14ac:dyDescent="0.25">
      <c r="B3497" t="str">
        <f t="shared" si="54"/>
        <v>GHAPopulation ages 20-24, female</v>
      </c>
      <c r="C3497" t="s">
        <v>196</v>
      </c>
      <c r="D3497" t="s">
        <v>162</v>
      </c>
      <c r="E3497" t="s">
        <v>370</v>
      </c>
      <c r="F3497" t="s">
        <v>699</v>
      </c>
      <c r="G3497">
        <v>1373000</v>
      </c>
      <c r="H3497">
        <v>1398000</v>
      </c>
    </row>
    <row r="3498" spans="2:8" x14ac:dyDescent="0.25">
      <c r="B3498" t="str">
        <f t="shared" si="54"/>
        <v>GHAPopulation ages 20-24, male</v>
      </c>
      <c r="C3498" t="s">
        <v>196</v>
      </c>
      <c r="D3498" t="s">
        <v>162</v>
      </c>
      <c r="E3498" t="s">
        <v>371</v>
      </c>
      <c r="F3498" t="s">
        <v>700</v>
      </c>
      <c r="G3498">
        <v>1436000</v>
      </c>
      <c r="H3498">
        <v>1462000</v>
      </c>
    </row>
    <row r="3499" spans="2:8" x14ac:dyDescent="0.25">
      <c r="B3499" t="str">
        <f t="shared" si="54"/>
        <v>GHAPopulation ages 25-29, female</v>
      </c>
      <c r="C3499" t="s">
        <v>196</v>
      </c>
      <c r="D3499" t="s">
        <v>162</v>
      </c>
      <c r="E3499" t="s">
        <v>372</v>
      </c>
      <c r="F3499" t="s">
        <v>701</v>
      </c>
      <c r="G3499">
        <v>1217000</v>
      </c>
      <c r="H3499">
        <v>1240000</v>
      </c>
    </row>
    <row r="3500" spans="2:8" x14ac:dyDescent="0.25">
      <c r="B3500" t="str">
        <f t="shared" si="54"/>
        <v>GHAPopulation ages 25-29, male</v>
      </c>
      <c r="C3500" t="s">
        <v>196</v>
      </c>
      <c r="D3500" t="s">
        <v>162</v>
      </c>
      <c r="E3500" t="s">
        <v>373</v>
      </c>
      <c r="F3500" t="s">
        <v>702</v>
      </c>
      <c r="G3500">
        <v>1275000</v>
      </c>
      <c r="H3500">
        <v>1299000</v>
      </c>
    </row>
    <row r="3501" spans="2:8" x14ac:dyDescent="0.25">
      <c r="B3501" t="str">
        <f t="shared" si="54"/>
        <v>GHAPopulation ages 30-34, female</v>
      </c>
      <c r="C3501" t="s">
        <v>196</v>
      </c>
      <c r="D3501" t="s">
        <v>162</v>
      </c>
      <c r="E3501" t="s">
        <v>374</v>
      </c>
      <c r="F3501" t="s">
        <v>703</v>
      </c>
      <c r="G3501">
        <v>1082000</v>
      </c>
      <c r="H3501">
        <v>1108000</v>
      </c>
    </row>
    <row r="3502" spans="2:8" x14ac:dyDescent="0.25">
      <c r="B3502" t="str">
        <f t="shared" si="54"/>
        <v>GHAPopulation ages 30-34, male</v>
      </c>
      <c r="C3502" t="s">
        <v>196</v>
      </c>
      <c r="D3502" t="s">
        <v>162</v>
      </c>
      <c r="E3502" t="s">
        <v>375</v>
      </c>
      <c r="F3502" t="s">
        <v>704</v>
      </c>
      <c r="G3502">
        <v>1130000</v>
      </c>
      <c r="H3502">
        <v>1159000</v>
      </c>
    </row>
    <row r="3503" spans="2:8" x14ac:dyDescent="0.25">
      <c r="B3503" t="str">
        <f t="shared" si="54"/>
        <v>GHAPopulation ages 35-39, female</v>
      </c>
      <c r="C3503" t="s">
        <v>196</v>
      </c>
      <c r="D3503" t="s">
        <v>162</v>
      </c>
      <c r="E3503" t="s">
        <v>376</v>
      </c>
      <c r="F3503" t="s">
        <v>705</v>
      </c>
      <c r="G3503">
        <v>919000</v>
      </c>
      <c r="H3503">
        <v>945000</v>
      </c>
    </row>
    <row r="3504" spans="2:8" x14ac:dyDescent="0.25">
      <c r="B3504" t="str">
        <f t="shared" si="54"/>
        <v>GHAPopulation ages 35-39, male</v>
      </c>
      <c r="C3504" t="s">
        <v>196</v>
      </c>
      <c r="D3504" t="s">
        <v>162</v>
      </c>
      <c r="E3504" t="s">
        <v>377</v>
      </c>
      <c r="F3504" t="s">
        <v>706</v>
      </c>
      <c r="G3504">
        <v>949000</v>
      </c>
      <c r="H3504">
        <v>979000</v>
      </c>
    </row>
    <row r="3505" spans="2:8" x14ac:dyDescent="0.25">
      <c r="B3505" t="str">
        <f t="shared" si="54"/>
        <v>GHAPopulation ages 40-44, female</v>
      </c>
      <c r="C3505" t="s">
        <v>196</v>
      </c>
      <c r="D3505" t="s">
        <v>162</v>
      </c>
      <c r="E3505" t="s">
        <v>378</v>
      </c>
      <c r="F3505" t="s">
        <v>707</v>
      </c>
      <c r="G3505">
        <v>784000</v>
      </c>
      <c r="H3505">
        <v>803000</v>
      </c>
    </row>
    <row r="3506" spans="2:8" x14ac:dyDescent="0.25">
      <c r="B3506" t="str">
        <f t="shared" si="54"/>
        <v>GHAPopulation ages 40-44, male</v>
      </c>
      <c r="C3506" t="s">
        <v>196</v>
      </c>
      <c r="D3506" t="s">
        <v>162</v>
      </c>
      <c r="E3506" t="s">
        <v>379</v>
      </c>
      <c r="F3506" t="s">
        <v>708</v>
      </c>
      <c r="G3506">
        <v>801000</v>
      </c>
      <c r="H3506">
        <v>823000</v>
      </c>
    </row>
    <row r="3507" spans="2:8" x14ac:dyDescent="0.25">
      <c r="B3507" t="str">
        <f t="shared" si="54"/>
        <v>GHAPopulation ages 45-49, female</v>
      </c>
      <c r="C3507" t="s">
        <v>196</v>
      </c>
      <c r="D3507" t="s">
        <v>162</v>
      </c>
      <c r="E3507" t="s">
        <v>380</v>
      </c>
      <c r="F3507" t="s">
        <v>709</v>
      </c>
      <c r="G3507">
        <v>683000</v>
      </c>
      <c r="H3507">
        <v>699000</v>
      </c>
    </row>
    <row r="3508" spans="2:8" x14ac:dyDescent="0.25">
      <c r="B3508" t="str">
        <f t="shared" si="54"/>
        <v>GHAPopulation ages 45-49, male</v>
      </c>
      <c r="C3508" t="s">
        <v>196</v>
      </c>
      <c r="D3508" t="s">
        <v>162</v>
      </c>
      <c r="E3508" t="s">
        <v>381</v>
      </c>
      <c r="F3508" t="s">
        <v>710</v>
      </c>
      <c r="G3508">
        <v>690000</v>
      </c>
      <c r="H3508">
        <v>706000</v>
      </c>
    </row>
    <row r="3509" spans="2:8" x14ac:dyDescent="0.25">
      <c r="B3509" t="str">
        <f t="shared" si="54"/>
        <v>GHAPopulation ages 50-54, female</v>
      </c>
      <c r="C3509" t="s">
        <v>196</v>
      </c>
      <c r="D3509" t="s">
        <v>162</v>
      </c>
      <c r="E3509" t="s">
        <v>382</v>
      </c>
      <c r="F3509" t="s">
        <v>711</v>
      </c>
      <c r="G3509">
        <v>578000</v>
      </c>
      <c r="H3509">
        <v>596000</v>
      </c>
    </row>
    <row r="3510" spans="2:8" x14ac:dyDescent="0.25">
      <c r="B3510" t="str">
        <f t="shared" si="54"/>
        <v>GHAPopulation ages 50-54, male</v>
      </c>
      <c r="C3510" t="s">
        <v>196</v>
      </c>
      <c r="D3510" t="s">
        <v>162</v>
      </c>
      <c r="E3510" t="s">
        <v>383</v>
      </c>
      <c r="F3510" t="s">
        <v>712</v>
      </c>
      <c r="G3510">
        <v>576000</v>
      </c>
      <c r="H3510">
        <v>594000</v>
      </c>
    </row>
    <row r="3511" spans="2:8" x14ac:dyDescent="0.25">
      <c r="B3511" t="str">
        <f t="shared" si="54"/>
        <v>GHAPopulation ages 55-59, male</v>
      </c>
      <c r="C3511" t="s">
        <v>196</v>
      </c>
      <c r="D3511" t="s">
        <v>162</v>
      </c>
      <c r="E3511" t="s">
        <v>385</v>
      </c>
      <c r="F3511" t="s">
        <v>713</v>
      </c>
      <c r="G3511">
        <v>445000</v>
      </c>
      <c r="H3511">
        <v>466000</v>
      </c>
    </row>
    <row r="3512" spans="2:8" x14ac:dyDescent="0.25">
      <c r="B3512" t="str">
        <f t="shared" si="54"/>
        <v>GHAPopulation ages 55-59, female</v>
      </c>
      <c r="C3512" t="s">
        <v>196</v>
      </c>
      <c r="D3512" t="s">
        <v>162</v>
      </c>
      <c r="E3512" t="s">
        <v>384</v>
      </c>
      <c r="F3512" t="s">
        <v>714</v>
      </c>
      <c r="G3512">
        <v>459000</v>
      </c>
      <c r="H3512">
        <v>480000</v>
      </c>
    </row>
    <row r="3513" spans="2:8" x14ac:dyDescent="0.25">
      <c r="B3513" t="str">
        <f t="shared" si="54"/>
        <v>GHAPopulation ages 65-69, male</v>
      </c>
      <c r="C3513" t="s">
        <v>196</v>
      </c>
      <c r="D3513" t="s">
        <v>162</v>
      </c>
      <c r="E3513" t="s">
        <v>389</v>
      </c>
      <c r="F3513" t="s">
        <v>715</v>
      </c>
      <c r="G3513">
        <v>191000</v>
      </c>
      <c r="H3513">
        <v>200000</v>
      </c>
    </row>
    <row r="3514" spans="2:8" x14ac:dyDescent="0.25">
      <c r="B3514" t="str">
        <f t="shared" si="54"/>
        <v>GHAPopulation ages 65-69, female</v>
      </c>
      <c r="C3514" t="s">
        <v>196</v>
      </c>
      <c r="D3514" t="s">
        <v>162</v>
      </c>
      <c r="E3514" t="s">
        <v>388</v>
      </c>
      <c r="F3514" t="s">
        <v>716</v>
      </c>
      <c r="G3514">
        <v>214000</v>
      </c>
      <c r="H3514">
        <v>224000</v>
      </c>
    </row>
    <row r="3515" spans="2:8" x14ac:dyDescent="0.25">
      <c r="B3515" t="str">
        <f t="shared" si="54"/>
        <v>GHAPopulation ages 60-64, female</v>
      </c>
      <c r="C3515" t="s">
        <v>196</v>
      </c>
      <c r="D3515" t="s">
        <v>162</v>
      </c>
      <c r="E3515" t="s">
        <v>386</v>
      </c>
      <c r="F3515" t="s">
        <v>717</v>
      </c>
      <c r="G3515">
        <v>325000</v>
      </c>
      <c r="H3515">
        <v>346000</v>
      </c>
    </row>
    <row r="3516" spans="2:8" x14ac:dyDescent="0.25">
      <c r="B3516" t="str">
        <f t="shared" si="54"/>
        <v>GHAPopulation ages 60-64, male</v>
      </c>
      <c r="C3516" t="s">
        <v>196</v>
      </c>
      <c r="D3516" t="s">
        <v>162</v>
      </c>
      <c r="E3516" t="s">
        <v>387</v>
      </c>
      <c r="F3516" t="s">
        <v>718</v>
      </c>
      <c r="G3516">
        <v>301000</v>
      </c>
      <c r="H3516">
        <v>321000</v>
      </c>
    </row>
    <row r="3517" spans="2:8" x14ac:dyDescent="0.25">
      <c r="B3517" t="str">
        <f t="shared" si="54"/>
        <v>GHAPopulation ages 70-74, female</v>
      </c>
      <c r="C3517" t="s">
        <v>196</v>
      </c>
      <c r="D3517" t="s">
        <v>162</v>
      </c>
      <c r="E3517" t="s">
        <v>390</v>
      </c>
      <c r="F3517" t="s">
        <v>719</v>
      </c>
      <c r="G3517">
        <v>155000</v>
      </c>
      <c r="H3517">
        <v>160000</v>
      </c>
    </row>
    <row r="3518" spans="2:8" x14ac:dyDescent="0.25">
      <c r="B3518" t="str">
        <f t="shared" si="54"/>
        <v>GHAPopulation ages 70-74, male</v>
      </c>
      <c r="C3518" t="s">
        <v>196</v>
      </c>
      <c r="D3518" t="s">
        <v>162</v>
      </c>
      <c r="E3518" t="s">
        <v>391</v>
      </c>
      <c r="F3518" t="s">
        <v>720</v>
      </c>
      <c r="G3518">
        <v>133000</v>
      </c>
      <c r="H3518">
        <v>138000</v>
      </c>
    </row>
    <row r="3519" spans="2:8" x14ac:dyDescent="0.25">
      <c r="B3519" t="str">
        <f t="shared" si="54"/>
        <v>GHAPopulation ages 75-79, female</v>
      </c>
      <c r="C3519" t="s">
        <v>196</v>
      </c>
      <c r="D3519" t="s">
        <v>162</v>
      </c>
      <c r="E3519" t="s">
        <v>392</v>
      </c>
      <c r="F3519" t="s">
        <v>721</v>
      </c>
      <c r="G3519">
        <v>85000</v>
      </c>
      <c r="H3519">
        <v>89000</v>
      </c>
    </row>
    <row r="3520" spans="2:8" x14ac:dyDescent="0.25">
      <c r="B3520" t="str">
        <f t="shared" si="54"/>
        <v>GHAPopulation ages 75-79, male</v>
      </c>
      <c r="C3520" t="s">
        <v>196</v>
      </c>
      <c r="D3520" t="s">
        <v>162</v>
      </c>
      <c r="E3520" t="s">
        <v>393</v>
      </c>
      <c r="F3520" t="s">
        <v>722</v>
      </c>
      <c r="G3520">
        <v>67000</v>
      </c>
      <c r="H3520">
        <v>70000</v>
      </c>
    </row>
    <row r="3521" spans="2:8" x14ac:dyDescent="0.25">
      <c r="B3521" t="str">
        <f t="shared" si="54"/>
        <v>GHAPopulation ages 80 and above, female</v>
      </c>
      <c r="C3521" t="s">
        <v>196</v>
      </c>
      <c r="D3521" t="s">
        <v>162</v>
      </c>
      <c r="E3521" t="s">
        <v>394</v>
      </c>
      <c r="F3521" t="s">
        <v>723</v>
      </c>
      <c r="G3521">
        <v>55000</v>
      </c>
      <c r="H3521">
        <v>55000</v>
      </c>
    </row>
    <row r="3522" spans="2:8" x14ac:dyDescent="0.25">
      <c r="B3522" t="str">
        <f t="shared" si="54"/>
        <v>GHAPopulation ages 80 and above, male</v>
      </c>
      <c r="C3522" t="s">
        <v>196</v>
      </c>
      <c r="D3522" t="s">
        <v>162</v>
      </c>
      <c r="E3522" t="s">
        <v>395</v>
      </c>
      <c r="F3522" t="s">
        <v>724</v>
      </c>
      <c r="G3522">
        <v>42000</v>
      </c>
      <c r="H3522">
        <v>41000</v>
      </c>
    </row>
    <row r="3523" spans="2:8" x14ac:dyDescent="0.25">
      <c r="B3523" t="str">
        <f t="shared" si="54"/>
        <v>GHAPopulation, male</v>
      </c>
      <c r="C3523" t="s">
        <v>196</v>
      </c>
      <c r="D3523" t="s">
        <v>162</v>
      </c>
      <c r="E3523" t="s">
        <v>397</v>
      </c>
      <c r="F3523" t="s">
        <v>725</v>
      </c>
      <c r="G3523">
        <v>15416000</v>
      </c>
      <c r="H3523">
        <v>15750000</v>
      </c>
    </row>
    <row r="3524" spans="2:8" x14ac:dyDescent="0.25">
      <c r="B3524" t="str">
        <f t="shared" si="54"/>
        <v>GHAPopulation, total</v>
      </c>
      <c r="C3524" t="s">
        <v>196</v>
      </c>
      <c r="D3524" t="s">
        <v>162</v>
      </c>
      <c r="E3524" t="s">
        <v>398</v>
      </c>
      <c r="F3524" t="s">
        <v>726</v>
      </c>
      <c r="G3524">
        <v>30418000</v>
      </c>
      <c r="H3524">
        <v>31073000</v>
      </c>
    </row>
    <row r="3525" spans="2:8" x14ac:dyDescent="0.25">
      <c r="B3525" t="str">
        <f t="shared" si="54"/>
        <v>GHAPopulation, female</v>
      </c>
      <c r="C3525" t="s">
        <v>196</v>
      </c>
      <c r="D3525" t="s">
        <v>162</v>
      </c>
      <c r="E3525" t="s">
        <v>396</v>
      </c>
      <c r="F3525" t="s">
        <v>727</v>
      </c>
      <c r="G3525">
        <v>15002000</v>
      </c>
      <c r="H3525">
        <v>15323000</v>
      </c>
    </row>
    <row r="3526" spans="2:8" x14ac:dyDescent="0.25">
      <c r="B3526" t="str">
        <f t="shared" si="54"/>
        <v>GHAPopulation growth (annual %)</v>
      </c>
      <c r="C3526" t="s">
        <v>196</v>
      </c>
      <c r="D3526" t="s">
        <v>162</v>
      </c>
      <c r="E3526" t="s">
        <v>399</v>
      </c>
      <c r="F3526" t="s">
        <v>728</v>
      </c>
      <c r="G3526">
        <v>0</v>
      </c>
      <c r="H3526">
        <v>0</v>
      </c>
    </row>
    <row r="3527" spans="2:8" x14ac:dyDescent="0.25">
      <c r="B3527" t="str">
        <f t="shared" ref="B3527:B3590" si="55">CONCATENATE(D3527,E3527)</f>
        <v>GIBPopulation ages 0-14, female</v>
      </c>
      <c r="C3527" t="s">
        <v>507</v>
      </c>
      <c r="D3527" t="s">
        <v>508</v>
      </c>
      <c r="E3527" t="s">
        <v>687</v>
      </c>
      <c r="F3527" t="s">
        <v>688</v>
      </c>
      <c r="G3527">
        <v>0</v>
      </c>
      <c r="H3527">
        <v>0</v>
      </c>
    </row>
    <row r="3528" spans="2:8" x14ac:dyDescent="0.25">
      <c r="B3528" t="str">
        <f t="shared" si="55"/>
        <v>GIBPopulation ages 0-14, male</v>
      </c>
      <c r="C3528" t="s">
        <v>507</v>
      </c>
      <c r="D3528" t="s">
        <v>508</v>
      </c>
      <c r="E3528" t="s">
        <v>689</v>
      </c>
      <c r="F3528" t="s">
        <v>690</v>
      </c>
      <c r="G3528">
        <v>0</v>
      </c>
      <c r="H3528">
        <v>0</v>
      </c>
    </row>
    <row r="3529" spans="2:8" x14ac:dyDescent="0.25">
      <c r="B3529" t="str">
        <f t="shared" si="55"/>
        <v>GIBPopulation ages 00-04, female</v>
      </c>
      <c r="C3529" t="s">
        <v>507</v>
      </c>
      <c r="D3529" t="s">
        <v>508</v>
      </c>
      <c r="E3529" t="s">
        <v>362</v>
      </c>
      <c r="F3529" t="s">
        <v>691</v>
      </c>
      <c r="G3529">
        <v>0</v>
      </c>
      <c r="H3529">
        <v>0</v>
      </c>
    </row>
    <row r="3530" spans="2:8" x14ac:dyDescent="0.25">
      <c r="B3530" t="str">
        <f t="shared" si="55"/>
        <v>GIBPopulation ages 00-04, male</v>
      </c>
      <c r="C3530" t="s">
        <v>507</v>
      </c>
      <c r="D3530" t="s">
        <v>508</v>
      </c>
      <c r="E3530" t="s">
        <v>363</v>
      </c>
      <c r="F3530" t="s">
        <v>692</v>
      </c>
      <c r="G3530">
        <v>0</v>
      </c>
      <c r="H3530">
        <v>0</v>
      </c>
    </row>
    <row r="3531" spans="2:8" x14ac:dyDescent="0.25">
      <c r="B3531" t="str">
        <f t="shared" si="55"/>
        <v>GIBPopulation ages 05-09, female</v>
      </c>
      <c r="C3531" t="s">
        <v>507</v>
      </c>
      <c r="D3531" t="s">
        <v>508</v>
      </c>
      <c r="E3531" t="s">
        <v>364</v>
      </c>
      <c r="F3531" t="s">
        <v>693</v>
      </c>
      <c r="G3531">
        <v>0</v>
      </c>
      <c r="H3531">
        <v>0</v>
      </c>
    </row>
    <row r="3532" spans="2:8" x14ac:dyDescent="0.25">
      <c r="B3532" t="str">
        <f t="shared" si="55"/>
        <v>GIBPopulation ages 05-09, male</v>
      </c>
      <c r="C3532" t="s">
        <v>507</v>
      </c>
      <c r="D3532" t="s">
        <v>508</v>
      </c>
      <c r="E3532" t="s">
        <v>365</v>
      </c>
      <c r="F3532" t="s">
        <v>694</v>
      </c>
      <c r="G3532">
        <v>0</v>
      </c>
      <c r="H3532">
        <v>0</v>
      </c>
    </row>
    <row r="3533" spans="2:8" x14ac:dyDescent="0.25">
      <c r="B3533" t="str">
        <f t="shared" si="55"/>
        <v>GIBPopulation ages 10-14, female</v>
      </c>
      <c r="C3533" t="s">
        <v>507</v>
      </c>
      <c r="D3533" t="s">
        <v>508</v>
      </c>
      <c r="E3533" t="s">
        <v>366</v>
      </c>
      <c r="F3533" t="s">
        <v>695</v>
      </c>
      <c r="G3533">
        <v>0</v>
      </c>
      <c r="H3533">
        <v>0</v>
      </c>
    </row>
    <row r="3534" spans="2:8" x14ac:dyDescent="0.25">
      <c r="B3534" t="str">
        <f t="shared" si="55"/>
        <v>GIBPopulation ages 10-14, male</v>
      </c>
      <c r="C3534" t="s">
        <v>507</v>
      </c>
      <c r="D3534" t="s">
        <v>508</v>
      </c>
      <c r="E3534" t="s">
        <v>367</v>
      </c>
      <c r="F3534" t="s">
        <v>696</v>
      </c>
      <c r="G3534">
        <v>0</v>
      </c>
      <c r="H3534">
        <v>0</v>
      </c>
    </row>
    <row r="3535" spans="2:8" x14ac:dyDescent="0.25">
      <c r="B3535" t="str">
        <f t="shared" si="55"/>
        <v>GIBPopulation ages 15-19, female</v>
      </c>
      <c r="C3535" t="s">
        <v>507</v>
      </c>
      <c r="D3535" t="s">
        <v>508</v>
      </c>
      <c r="E3535" t="s">
        <v>368</v>
      </c>
      <c r="F3535" t="s">
        <v>697</v>
      </c>
      <c r="G3535">
        <v>0</v>
      </c>
      <c r="H3535">
        <v>0</v>
      </c>
    </row>
    <row r="3536" spans="2:8" x14ac:dyDescent="0.25">
      <c r="B3536" t="str">
        <f t="shared" si="55"/>
        <v>GIBPopulation ages 15-19, male</v>
      </c>
      <c r="C3536" t="s">
        <v>507</v>
      </c>
      <c r="D3536" t="s">
        <v>508</v>
      </c>
      <c r="E3536" t="s">
        <v>369</v>
      </c>
      <c r="F3536" t="s">
        <v>698</v>
      </c>
      <c r="G3536">
        <v>0</v>
      </c>
      <c r="H3536">
        <v>0</v>
      </c>
    </row>
    <row r="3537" spans="2:8" x14ac:dyDescent="0.25">
      <c r="B3537" t="str">
        <f t="shared" si="55"/>
        <v>GIBPopulation ages 20-24, female</v>
      </c>
      <c r="C3537" t="s">
        <v>507</v>
      </c>
      <c r="D3537" t="s">
        <v>508</v>
      </c>
      <c r="E3537" t="s">
        <v>370</v>
      </c>
      <c r="F3537" t="s">
        <v>699</v>
      </c>
      <c r="G3537">
        <v>0</v>
      </c>
      <c r="H3537">
        <v>0</v>
      </c>
    </row>
    <row r="3538" spans="2:8" x14ac:dyDescent="0.25">
      <c r="B3538" t="str">
        <f t="shared" si="55"/>
        <v>GIBPopulation ages 20-24, male</v>
      </c>
      <c r="C3538" t="s">
        <v>507</v>
      </c>
      <c r="D3538" t="s">
        <v>508</v>
      </c>
      <c r="E3538" t="s">
        <v>371</v>
      </c>
      <c r="F3538" t="s">
        <v>700</v>
      </c>
      <c r="G3538">
        <v>0</v>
      </c>
      <c r="H3538">
        <v>0</v>
      </c>
    </row>
    <row r="3539" spans="2:8" x14ac:dyDescent="0.25">
      <c r="B3539" t="str">
        <f t="shared" si="55"/>
        <v>GIBPopulation ages 25-29, female</v>
      </c>
      <c r="C3539" t="s">
        <v>507</v>
      </c>
      <c r="D3539" t="s">
        <v>508</v>
      </c>
      <c r="E3539" t="s">
        <v>372</v>
      </c>
      <c r="F3539" t="s">
        <v>701</v>
      </c>
      <c r="G3539">
        <v>0</v>
      </c>
      <c r="H3539">
        <v>0</v>
      </c>
    </row>
    <row r="3540" spans="2:8" x14ac:dyDescent="0.25">
      <c r="B3540" t="str">
        <f t="shared" si="55"/>
        <v>GIBPopulation ages 25-29, male</v>
      </c>
      <c r="C3540" t="s">
        <v>507</v>
      </c>
      <c r="D3540" t="s">
        <v>508</v>
      </c>
      <c r="E3540" t="s">
        <v>373</v>
      </c>
      <c r="F3540" t="s">
        <v>702</v>
      </c>
      <c r="G3540">
        <v>0</v>
      </c>
      <c r="H3540">
        <v>0</v>
      </c>
    </row>
    <row r="3541" spans="2:8" x14ac:dyDescent="0.25">
      <c r="B3541" t="str">
        <f t="shared" si="55"/>
        <v>GIBPopulation ages 30-34, female</v>
      </c>
      <c r="C3541" t="s">
        <v>507</v>
      </c>
      <c r="D3541" t="s">
        <v>508</v>
      </c>
      <c r="E3541" t="s">
        <v>374</v>
      </c>
      <c r="F3541" t="s">
        <v>703</v>
      </c>
      <c r="G3541">
        <v>0</v>
      </c>
      <c r="H3541">
        <v>0</v>
      </c>
    </row>
    <row r="3542" spans="2:8" x14ac:dyDescent="0.25">
      <c r="B3542" t="str">
        <f t="shared" si="55"/>
        <v>GIBPopulation ages 30-34, male</v>
      </c>
      <c r="C3542" t="s">
        <v>507</v>
      </c>
      <c r="D3542" t="s">
        <v>508</v>
      </c>
      <c r="E3542" t="s">
        <v>375</v>
      </c>
      <c r="F3542" t="s">
        <v>704</v>
      </c>
      <c r="G3542">
        <v>0</v>
      </c>
      <c r="H3542">
        <v>0</v>
      </c>
    </row>
    <row r="3543" spans="2:8" x14ac:dyDescent="0.25">
      <c r="B3543" t="str">
        <f t="shared" si="55"/>
        <v>GIBPopulation ages 35-39, female</v>
      </c>
      <c r="C3543" t="s">
        <v>507</v>
      </c>
      <c r="D3543" t="s">
        <v>508</v>
      </c>
      <c r="E3543" t="s">
        <v>376</v>
      </c>
      <c r="F3543" t="s">
        <v>705</v>
      </c>
      <c r="G3543">
        <v>0</v>
      </c>
      <c r="H3543">
        <v>0</v>
      </c>
    </row>
    <row r="3544" spans="2:8" x14ac:dyDescent="0.25">
      <c r="B3544" t="str">
        <f t="shared" si="55"/>
        <v>GIBPopulation ages 35-39, male</v>
      </c>
      <c r="C3544" t="s">
        <v>507</v>
      </c>
      <c r="D3544" t="s">
        <v>508</v>
      </c>
      <c r="E3544" t="s">
        <v>377</v>
      </c>
      <c r="F3544" t="s">
        <v>706</v>
      </c>
      <c r="G3544">
        <v>0</v>
      </c>
      <c r="H3544">
        <v>0</v>
      </c>
    </row>
    <row r="3545" spans="2:8" x14ac:dyDescent="0.25">
      <c r="B3545" t="str">
        <f t="shared" si="55"/>
        <v>GIBPopulation ages 40-44, female</v>
      </c>
      <c r="C3545" t="s">
        <v>507</v>
      </c>
      <c r="D3545" t="s">
        <v>508</v>
      </c>
      <c r="E3545" t="s">
        <v>378</v>
      </c>
      <c r="F3545" t="s">
        <v>707</v>
      </c>
      <c r="G3545">
        <v>0</v>
      </c>
      <c r="H3545">
        <v>0</v>
      </c>
    </row>
    <row r="3546" spans="2:8" x14ac:dyDescent="0.25">
      <c r="B3546" t="str">
        <f t="shared" si="55"/>
        <v>GIBPopulation ages 40-44, male</v>
      </c>
      <c r="C3546" t="s">
        <v>507</v>
      </c>
      <c r="D3546" t="s">
        <v>508</v>
      </c>
      <c r="E3546" t="s">
        <v>379</v>
      </c>
      <c r="F3546" t="s">
        <v>708</v>
      </c>
      <c r="G3546">
        <v>0</v>
      </c>
      <c r="H3546">
        <v>0</v>
      </c>
    </row>
    <row r="3547" spans="2:8" x14ac:dyDescent="0.25">
      <c r="B3547" t="str">
        <f t="shared" si="55"/>
        <v>GIBPopulation ages 45-49, female</v>
      </c>
      <c r="C3547" t="s">
        <v>507</v>
      </c>
      <c r="D3547" t="s">
        <v>508</v>
      </c>
      <c r="E3547" t="s">
        <v>380</v>
      </c>
      <c r="F3547" t="s">
        <v>709</v>
      </c>
      <c r="G3547">
        <v>0</v>
      </c>
      <c r="H3547">
        <v>0</v>
      </c>
    </row>
    <row r="3548" spans="2:8" x14ac:dyDescent="0.25">
      <c r="B3548" t="str">
        <f t="shared" si="55"/>
        <v>GIBPopulation ages 45-49, male</v>
      </c>
      <c r="C3548" t="s">
        <v>507</v>
      </c>
      <c r="D3548" t="s">
        <v>508</v>
      </c>
      <c r="E3548" t="s">
        <v>381</v>
      </c>
      <c r="F3548" t="s">
        <v>710</v>
      </c>
      <c r="G3548">
        <v>0</v>
      </c>
      <c r="H3548">
        <v>0</v>
      </c>
    </row>
    <row r="3549" spans="2:8" x14ac:dyDescent="0.25">
      <c r="B3549" t="str">
        <f t="shared" si="55"/>
        <v>GIBPopulation ages 50-54, female</v>
      </c>
      <c r="C3549" t="s">
        <v>507</v>
      </c>
      <c r="D3549" t="s">
        <v>508</v>
      </c>
      <c r="E3549" t="s">
        <v>382</v>
      </c>
      <c r="F3549" t="s">
        <v>711</v>
      </c>
      <c r="G3549">
        <v>0</v>
      </c>
      <c r="H3549">
        <v>0</v>
      </c>
    </row>
    <row r="3550" spans="2:8" x14ac:dyDescent="0.25">
      <c r="B3550" t="str">
        <f t="shared" si="55"/>
        <v>GIBPopulation ages 50-54, male</v>
      </c>
      <c r="C3550" t="s">
        <v>507</v>
      </c>
      <c r="D3550" t="s">
        <v>508</v>
      </c>
      <c r="E3550" t="s">
        <v>383</v>
      </c>
      <c r="F3550" t="s">
        <v>712</v>
      </c>
      <c r="G3550">
        <v>0</v>
      </c>
      <c r="H3550">
        <v>0</v>
      </c>
    </row>
    <row r="3551" spans="2:8" x14ac:dyDescent="0.25">
      <c r="B3551" t="str">
        <f t="shared" si="55"/>
        <v>GIBPopulation ages 55-59, male</v>
      </c>
      <c r="C3551" t="s">
        <v>507</v>
      </c>
      <c r="D3551" t="s">
        <v>508</v>
      </c>
      <c r="E3551" t="s">
        <v>385</v>
      </c>
      <c r="F3551" t="s">
        <v>713</v>
      </c>
      <c r="G3551">
        <v>0</v>
      </c>
      <c r="H3551">
        <v>0</v>
      </c>
    </row>
    <row r="3552" spans="2:8" x14ac:dyDescent="0.25">
      <c r="B3552" t="str">
        <f t="shared" si="55"/>
        <v>GIBPopulation ages 55-59, female</v>
      </c>
      <c r="C3552" t="s">
        <v>507</v>
      </c>
      <c r="D3552" t="s">
        <v>508</v>
      </c>
      <c r="E3552" t="s">
        <v>384</v>
      </c>
      <c r="F3552" t="s">
        <v>714</v>
      </c>
      <c r="G3552">
        <v>0</v>
      </c>
      <c r="H3552">
        <v>0</v>
      </c>
    </row>
    <row r="3553" spans="2:8" x14ac:dyDescent="0.25">
      <c r="B3553" t="str">
        <f t="shared" si="55"/>
        <v>GIBPopulation ages 65-69, male</v>
      </c>
      <c r="C3553" t="s">
        <v>507</v>
      </c>
      <c r="D3553" t="s">
        <v>508</v>
      </c>
      <c r="E3553" t="s">
        <v>389</v>
      </c>
      <c r="F3553" t="s">
        <v>715</v>
      </c>
      <c r="G3553">
        <v>0</v>
      </c>
      <c r="H3553">
        <v>0</v>
      </c>
    </row>
    <row r="3554" spans="2:8" x14ac:dyDescent="0.25">
      <c r="B3554" t="str">
        <f t="shared" si="55"/>
        <v>GIBPopulation ages 65-69, female</v>
      </c>
      <c r="C3554" t="s">
        <v>507</v>
      </c>
      <c r="D3554" t="s">
        <v>508</v>
      </c>
      <c r="E3554" t="s">
        <v>388</v>
      </c>
      <c r="F3554" t="s">
        <v>716</v>
      </c>
      <c r="G3554">
        <v>0</v>
      </c>
      <c r="H3554">
        <v>0</v>
      </c>
    </row>
    <row r="3555" spans="2:8" x14ac:dyDescent="0.25">
      <c r="B3555" t="str">
        <f t="shared" si="55"/>
        <v>GIBPopulation ages 60-64, female</v>
      </c>
      <c r="C3555" t="s">
        <v>507</v>
      </c>
      <c r="D3555" t="s">
        <v>508</v>
      </c>
      <c r="E3555" t="s">
        <v>386</v>
      </c>
      <c r="F3555" t="s">
        <v>717</v>
      </c>
      <c r="G3555">
        <v>0</v>
      </c>
      <c r="H3555">
        <v>0</v>
      </c>
    </row>
    <row r="3556" spans="2:8" x14ac:dyDescent="0.25">
      <c r="B3556" t="str">
        <f t="shared" si="55"/>
        <v>GIBPopulation ages 60-64, male</v>
      </c>
      <c r="C3556" t="s">
        <v>507</v>
      </c>
      <c r="D3556" t="s">
        <v>508</v>
      </c>
      <c r="E3556" t="s">
        <v>387</v>
      </c>
      <c r="F3556" t="s">
        <v>718</v>
      </c>
      <c r="G3556">
        <v>0</v>
      </c>
      <c r="H3556">
        <v>0</v>
      </c>
    </row>
    <row r="3557" spans="2:8" x14ac:dyDescent="0.25">
      <c r="B3557" t="str">
        <f t="shared" si="55"/>
        <v>GIBPopulation ages 70-74, female</v>
      </c>
      <c r="C3557" t="s">
        <v>507</v>
      </c>
      <c r="D3557" t="s">
        <v>508</v>
      </c>
      <c r="E3557" t="s">
        <v>390</v>
      </c>
      <c r="F3557" t="s">
        <v>719</v>
      </c>
      <c r="G3557">
        <v>0</v>
      </c>
      <c r="H3557">
        <v>0</v>
      </c>
    </row>
    <row r="3558" spans="2:8" x14ac:dyDescent="0.25">
      <c r="B3558" t="str">
        <f t="shared" si="55"/>
        <v>GIBPopulation ages 70-74, male</v>
      </c>
      <c r="C3558" t="s">
        <v>507</v>
      </c>
      <c r="D3558" t="s">
        <v>508</v>
      </c>
      <c r="E3558" t="s">
        <v>391</v>
      </c>
      <c r="F3558" t="s">
        <v>720</v>
      </c>
      <c r="G3558">
        <v>0</v>
      </c>
      <c r="H3558">
        <v>0</v>
      </c>
    </row>
    <row r="3559" spans="2:8" x14ac:dyDescent="0.25">
      <c r="B3559" t="str">
        <f t="shared" si="55"/>
        <v>GIBPopulation ages 75-79, female</v>
      </c>
      <c r="C3559" t="s">
        <v>507</v>
      </c>
      <c r="D3559" t="s">
        <v>508</v>
      </c>
      <c r="E3559" t="s">
        <v>392</v>
      </c>
      <c r="F3559" t="s">
        <v>721</v>
      </c>
      <c r="G3559">
        <v>0</v>
      </c>
      <c r="H3559">
        <v>0</v>
      </c>
    </row>
    <row r="3560" spans="2:8" x14ac:dyDescent="0.25">
      <c r="B3560" t="str">
        <f t="shared" si="55"/>
        <v>GIBPopulation ages 75-79, male</v>
      </c>
      <c r="C3560" t="s">
        <v>507</v>
      </c>
      <c r="D3560" t="s">
        <v>508</v>
      </c>
      <c r="E3560" t="s">
        <v>393</v>
      </c>
      <c r="F3560" t="s">
        <v>722</v>
      </c>
      <c r="G3560">
        <v>0</v>
      </c>
      <c r="H3560">
        <v>0</v>
      </c>
    </row>
    <row r="3561" spans="2:8" x14ac:dyDescent="0.25">
      <c r="B3561" t="str">
        <f t="shared" si="55"/>
        <v>GIBPopulation ages 80 and above, female</v>
      </c>
      <c r="C3561" t="s">
        <v>507</v>
      </c>
      <c r="D3561" t="s">
        <v>508</v>
      </c>
      <c r="E3561" t="s">
        <v>394</v>
      </c>
      <c r="F3561" t="s">
        <v>723</v>
      </c>
      <c r="G3561">
        <v>0</v>
      </c>
      <c r="H3561">
        <v>0</v>
      </c>
    </row>
    <row r="3562" spans="2:8" x14ac:dyDescent="0.25">
      <c r="B3562" t="str">
        <f t="shared" si="55"/>
        <v>GIBPopulation ages 80 and above, male</v>
      </c>
      <c r="C3562" t="s">
        <v>507</v>
      </c>
      <c r="D3562" t="s">
        <v>508</v>
      </c>
      <c r="E3562" t="s">
        <v>395</v>
      </c>
      <c r="F3562" t="s">
        <v>724</v>
      </c>
      <c r="G3562">
        <v>0</v>
      </c>
      <c r="H3562">
        <v>0</v>
      </c>
    </row>
    <row r="3563" spans="2:8" x14ac:dyDescent="0.25">
      <c r="B3563" t="str">
        <f t="shared" si="55"/>
        <v>GIBPopulation, male</v>
      </c>
      <c r="C3563" t="s">
        <v>507</v>
      </c>
      <c r="D3563" t="s">
        <v>508</v>
      </c>
      <c r="E3563" t="s">
        <v>397</v>
      </c>
      <c r="F3563" t="s">
        <v>725</v>
      </c>
      <c r="G3563">
        <v>0</v>
      </c>
      <c r="H3563">
        <v>0</v>
      </c>
    </row>
    <row r="3564" spans="2:8" x14ac:dyDescent="0.25">
      <c r="B3564" t="str">
        <f t="shared" si="55"/>
        <v>GIBPopulation, total</v>
      </c>
      <c r="C3564" t="s">
        <v>507</v>
      </c>
      <c r="D3564" t="s">
        <v>508</v>
      </c>
      <c r="E3564" t="s">
        <v>398</v>
      </c>
      <c r="F3564" t="s">
        <v>726</v>
      </c>
      <c r="G3564">
        <v>34000</v>
      </c>
      <c r="H3564">
        <v>34000</v>
      </c>
    </row>
    <row r="3565" spans="2:8" x14ac:dyDescent="0.25">
      <c r="B3565" t="str">
        <f t="shared" si="55"/>
        <v>GIBPopulation, female</v>
      </c>
      <c r="C3565" t="s">
        <v>507</v>
      </c>
      <c r="D3565" t="s">
        <v>508</v>
      </c>
      <c r="E3565" t="s">
        <v>396</v>
      </c>
      <c r="F3565" t="s">
        <v>727</v>
      </c>
      <c r="G3565">
        <v>0</v>
      </c>
      <c r="H3565">
        <v>0</v>
      </c>
    </row>
    <row r="3566" spans="2:8" x14ac:dyDescent="0.25">
      <c r="B3566" t="str">
        <f t="shared" si="55"/>
        <v>GIBPopulation growth (annual %)</v>
      </c>
      <c r="C3566" t="s">
        <v>507</v>
      </c>
      <c r="D3566" t="s">
        <v>508</v>
      </c>
      <c r="E3566" t="s">
        <v>399</v>
      </c>
      <c r="F3566" t="s">
        <v>728</v>
      </c>
      <c r="G3566">
        <v>0</v>
      </c>
      <c r="H3566">
        <v>0</v>
      </c>
    </row>
    <row r="3567" spans="2:8" x14ac:dyDescent="0.25">
      <c r="B3567" t="str">
        <f t="shared" si="55"/>
        <v>GRCPopulation ages 0-14, female</v>
      </c>
      <c r="C3567" t="s">
        <v>509</v>
      </c>
      <c r="D3567" t="s">
        <v>51</v>
      </c>
      <c r="E3567" t="s">
        <v>687</v>
      </c>
      <c r="F3567" t="s">
        <v>688</v>
      </c>
      <c r="G3567">
        <v>720000</v>
      </c>
      <c r="H3567">
        <v>705000</v>
      </c>
    </row>
    <row r="3568" spans="2:8" x14ac:dyDescent="0.25">
      <c r="B3568" t="str">
        <f t="shared" si="55"/>
        <v>GRCPopulation ages 0-14, male</v>
      </c>
      <c r="C3568" t="s">
        <v>509</v>
      </c>
      <c r="D3568" t="s">
        <v>51</v>
      </c>
      <c r="E3568" t="s">
        <v>689</v>
      </c>
      <c r="F3568" t="s">
        <v>690</v>
      </c>
      <c r="G3568">
        <v>766000</v>
      </c>
      <c r="H3568">
        <v>751000</v>
      </c>
    </row>
    <row r="3569" spans="2:8" x14ac:dyDescent="0.25">
      <c r="B3569" t="str">
        <f t="shared" si="55"/>
        <v>GRCPopulation ages 00-04, female</v>
      </c>
      <c r="C3569" t="s">
        <v>509</v>
      </c>
      <c r="D3569" t="s">
        <v>51</v>
      </c>
      <c r="E3569" t="s">
        <v>362</v>
      </c>
      <c r="F3569" t="s">
        <v>691</v>
      </c>
      <c r="G3569">
        <v>208000</v>
      </c>
      <c r="H3569">
        <v>203000</v>
      </c>
    </row>
    <row r="3570" spans="2:8" x14ac:dyDescent="0.25">
      <c r="B3570" t="str">
        <f t="shared" si="55"/>
        <v>GRCPopulation ages 00-04, male</v>
      </c>
      <c r="C3570" t="s">
        <v>509</v>
      </c>
      <c r="D3570" t="s">
        <v>51</v>
      </c>
      <c r="E3570" t="s">
        <v>363</v>
      </c>
      <c r="F3570" t="s">
        <v>692</v>
      </c>
      <c r="G3570">
        <v>221000</v>
      </c>
      <c r="H3570">
        <v>216000</v>
      </c>
    </row>
    <row r="3571" spans="2:8" x14ac:dyDescent="0.25">
      <c r="B3571" t="str">
        <f t="shared" si="55"/>
        <v>GRCPopulation ages 05-09, female</v>
      </c>
      <c r="C3571" t="s">
        <v>509</v>
      </c>
      <c r="D3571" t="s">
        <v>51</v>
      </c>
      <c r="E3571" t="s">
        <v>364</v>
      </c>
      <c r="F3571" t="s">
        <v>693</v>
      </c>
      <c r="G3571">
        <v>242000</v>
      </c>
      <c r="H3571">
        <v>233000</v>
      </c>
    </row>
    <row r="3572" spans="2:8" x14ac:dyDescent="0.25">
      <c r="B3572" t="str">
        <f t="shared" si="55"/>
        <v>GRCPopulation ages 05-09, male</v>
      </c>
      <c r="C3572" t="s">
        <v>509</v>
      </c>
      <c r="D3572" t="s">
        <v>51</v>
      </c>
      <c r="E3572" t="s">
        <v>365</v>
      </c>
      <c r="F3572" t="s">
        <v>694</v>
      </c>
      <c r="G3572">
        <v>259000</v>
      </c>
      <c r="H3572">
        <v>249000</v>
      </c>
    </row>
    <row r="3573" spans="2:8" x14ac:dyDescent="0.25">
      <c r="B3573" t="str">
        <f t="shared" si="55"/>
        <v>GRCPopulation ages 10-14, female</v>
      </c>
      <c r="C3573" t="s">
        <v>509</v>
      </c>
      <c r="D3573" t="s">
        <v>51</v>
      </c>
      <c r="E3573" t="s">
        <v>366</v>
      </c>
      <c r="F3573" t="s">
        <v>695</v>
      </c>
      <c r="G3573">
        <v>270000</v>
      </c>
      <c r="H3573">
        <v>269000</v>
      </c>
    </row>
    <row r="3574" spans="2:8" x14ac:dyDescent="0.25">
      <c r="B3574" t="str">
        <f t="shared" si="55"/>
        <v>GRCPopulation ages 10-14, male</v>
      </c>
      <c r="C3574" t="s">
        <v>509</v>
      </c>
      <c r="D3574" t="s">
        <v>51</v>
      </c>
      <c r="E3574" t="s">
        <v>367</v>
      </c>
      <c r="F3574" t="s">
        <v>696</v>
      </c>
      <c r="G3574">
        <v>286000</v>
      </c>
      <c r="H3574">
        <v>286000</v>
      </c>
    </row>
    <row r="3575" spans="2:8" x14ac:dyDescent="0.25">
      <c r="B3575" t="str">
        <f t="shared" si="55"/>
        <v>GRCPopulation ages 15-19, female</v>
      </c>
      <c r="C3575" t="s">
        <v>509</v>
      </c>
      <c r="D3575" t="s">
        <v>51</v>
      </c>
      <c r="E3575" t="s">
        <v>368</v>
      </c>
      <c r="F3575" t="s">
        <v>697</v>
      </c>
      <c r="G3575">
        <v>263000</v>
      </c>
      <c r="H3575">
        <v>263000</v>
      </c>
    </row>
    <row r="3576" spans="2:8" x14ac:dyDescent="0.25">
      <c r="B3576" t="str">
        <f t="shared" si="55"/>
        <v>GRCPopulation ages 15-19, male</v>
      </c>
      <c r="C3576" t="s">
        <v>509</v>
      </c>
      <c r="D3576" t="s">
        <v>51</v>
      </c>
      <c r="E3576" t="s">
        <v>369</v>
      </c>
      <c r="F3576" t="s">
        <v>698</v>
      </c>
      <c r="G3576">
        <v>274000</v>
      </c>
      <c r="H3576">
        <v>276000</v>
      </c>
    </row>
    <row r="3577" spans="2:8" x14ac:dyDescent="0.25">
      <c r="B3577" t="str">
        <f t="shared" si="55"/>
        <v>GRCPopulation ages 20-24, female</v>
      </c>
      <c r="C3577" t="s">
        <v>509</v>
      </c>
      <c r="D3577" t="s">
        <v>51</v>
      </c>
      <c r="E3577" t="s">
        <v>370</v>
      </c>
      <c r="F3577" t="s">
        <v>699</v>
      </c>
      <c r="G3577">
        <v>264000</v>
      </c>
      <c r="H3577">
        <v>265000</v>
      </c>
    </row>
    <row r="3578" spans="2:8" x14ac:dyDescent="0.25">
      <c r="B3578" t="str">
        <f t="shared" si="55"/>
        <v>GRCPopulation ages 20-24, male</v>
      </c>
      <c r="C3578" t="s">
        <v>509</v>
      </c>
      <c r="D3578" t="s">
        <v>51</v>
      </c>
      <c r="E3578" t="s">
        <v>371</v>
      </c>
      <c r="F3578" t="s">
        <v>700</v>
      </c>
      <c r="G3578">
        <v>278000</v>
      </c>
      <c r="H3578">
        <v>277000</v>
      </c>
    </row>
    <row r="3579" spans="2:8" x14ac:dyDescent="0.25">
      <c r="B3579" t="str">
        <f t="shared" si="55"/>
        <v>GRCPopulation ages 25-29, female</v>
      </c>
      <c r="C3579" t="s">
        <v>509</v>
      </c>
      <c r="D3579" t="s">
        <v>51</v>
      </c>
      <c r="E3579" t="s">
        <v>372</v>
      </c>
      <c r="F3579" t="s">
        <v>701</v>
      </c>
      <c r="G3579">
        <v>261000</v>
      </c>
      <c r="H3579">
        <v>257000</v>
      </c>
    </row>
    <row r="3580" spans="2:8" x14ac:dyDescent="0.25">
      <c r="B3580" t="str">
        <f t="shared" si="55"/>
        <v>GRCPopulation ages 25-29, male</v>
      </c>
      <c r="C3580" t="s">
        <v>509</v>
      </c>
      <c r="D3580" t="s">
        <v>51</v>
      </c>
      <c r="E3580" t="s">
        <v>373</v>
      </c>
      <c r="F3580" t="s">
        <v>702</v>
      </c>
      <c r="G3580">
        <v>288000</v>
      </c>
      <c r="H3580">
        <v>283000</v>
      </c>
    </row>
    <row r="3581" spans="2:8" x14ac:dyDescent="0.25">
      <c r="B3581" t="str">
        <f t="shared" si="55"/>
        <v>GRCPopulation ages 30-34, female</v>
      </c>
      <c r="C3581" t="s">
        <v>509</v>
      </c>
      <c r="D3581" t="s">
        <v>51</v>
      </c>
      <c r="E3581" t="s">
        <v>374</v>
      </c>
      <c r="F3581" t="s">
        <v>703</v>
      </c>
      <c r="G3581">
        <v>309000</v>
      </c>
      <c r="H3581">
        <v>294000</v>
      </c>
    </row>
    <row r="3582" spans="2:8" x14ac:dyDescent="0.25">
      <c r="B3582" t="str">
        <f t="shared" si="55"/>
        <v>GRCPopulation ages 30-34, male</v>
      </c>
      <c r="C3582" t="s">
        <v>509</v>
      </c>
      <c r="D3582" t="s">
        <v>51</v>
      </c>
      <c r="E3582" t="s">
        <v>375</v>
      </c>
      <c r="F3582" t="s">
        <v>704</v>
      </c>
      <c r="G3582">
        <v>331000</v>
      </c>
      <c r="H3582">
        <v>317000</v>
      </c>
    </row>
    <row r="3583" spans="2:8" x14ac:dyDescent="0.25">
      <c r="B3583" t="str">
        <f t="shared" si="55"/>
        <v>GRCPopulation ages 35-39, female</v>
      </c>
      <c r="C3583" t="s">
        <v>509</v>
      </c>
      <c r="D3583" t="s">
        <v>51</v>
      </c>
      <c r="E3583" t="s">
        <v>376</v>
      </c>
      <c r="F3583" t="s">
        <v>705</v>
      </c>
      <c r="G3583">
        <v>379000</v>
      </c>
      <c r="H3583">
        <v>370000</v>
      </c>
    </row>
    <row r="3584" spans="2:8" x14ac:dyDescent="0.25">
      <c r="B3584" t="str">
        <f t="shared" si="55"/>
        <v>GRCPopulation ages 35-39, male</v>
      </c>
      <c r="C3584" t="s">
        <v>509</v>
      </c>
      <c r="D3584" t="s">
        <v>51</v>
      </c>
      <c r="E3584" t="s">
        <v>377</v>
      </c>
      <c r="F3584" t="s">
        <v>706</v>
      </c>
      <c r="G3584">
        <v>395000</v>
      </c>
      <c r="H3584">
        <v>386000</v>
      </c>
    </row>
    <row r="3585" spans="2:8" x14ac:dyDescent="0.25">
      <c r="B3585" t="str">
        <f t="shared" si="55"/>
        <v>GRCPopulation ages 40-44, female</v>
      </c>
      <c r="C3585" t="s">
        <v>509</v>
      </c>
      <c r="D3585" t="s">
        <v>51</v>
      </c>
      <c r="E3585" t="s">
        <v>378</v>
      </c>
      <c r="F3585" t="s">
        <v>707</v>
      </c>
      <c r="G3585">
        <v>396000</v>
      </c>
      <c r="H3585">
        <v>393000</v>
      </c>
    </row>
    <row r="3586" spans="2:8" x14ac:dyDescent="0.25">
      <c r="B3586" t="str">
        <f t="shared" si="55"/>
        <v>GRCPopulation ages 40-44, male</v>
      </c>
      <c r="C3586" t="s">
        <v>509</v>
      </c>
      <c r="D3586" t="s">
        <v>51</v>
      </c>
      <c r="E3586" t="s">
        <v>379</v>
      </c>
      <c r="F3586" t="s">
        <v>708</v>
      </c>
      <c r="G3586">
        <v>407000</v>
      </c>
      <c r="H3586">
        <v>406000</v>
      </c>
    </row>
    <row r="3587" spans="2:8" x14ac:dyDescent="0.25">
      <c r="B3587" t="str">
        <f t="shared" si="55"/>
        <v>GRCPopulation ages 45-49, female</v>
      </c>
      <c r="C3587" t="s">
        <v>509</v>
      </c>
      <c r="D3587" t="s">
        <v>51</v>
      </c>
      <c r="E3587" t="s">
        <v>380</v>
      </c>
      <c r="F3587" t="s">
        <v>709</v>
      </c>
      <c r="G3587">
        <v>409000</v>
      </c>
      <c r="H3587">
        <v>406000</v>
      </c>
    </row>
    <row r="3588" spans="2:8" x14ac:dyDescent="0.25">
      <c r="B3588" t="str">
        <f t="shared" si="55"/>
        <v>GRCPopulation ages 45-49, male</v>
      </c>
      <c r="C3588" t="s">
        <v>509</v>
      </c>
      <c r="D3588" t="s">
        <v>51</v>
      </c>
      <c r="E3588" t="s">
        <v>381</v>
      </c>
      <c r="F3588" t="s">
        <v>710</v>
      </c>
      <c r="G3588">
        <v>407000</v>
      </c>
      <c r="H3588">
        <v>406000</v>
      </c>
    </row>
    <row r="3589" spans="2:8" x14ac:dyDescent="0.25">
      <c r="B3589" t="str">
        <f t="shared" si="55"/>
        <v>GRCPopulation ages 50-54, female</v>
      </c>
      <c r="C3589" t="s">
        <v>509</v>
      </c>
      <c r="D3589" t="s">
        <v>51</v>
      </c>
      <c r="E3589" t="s">
        <v>382</v>
      </c>
      <c r="F3589" t="s">
        <v>711</v>
      </c>
      <c r="G3589">
        <v>408000</v>
      </c>
      <c r="H3589">
        <v>413000</v>
      </c>
    </row>
    <row r="3590" spans="2:8" x14ac:dyDescent="0.25">
      <c r="B3590" t="str">
        <f t="shared" si="55"/>
        <v>GRCPopulation ages 50-54, male</v>
      </c>
      <c r="C3590" t="s">
        <v>509</v>
      </c>
      <c r="D3590" t="s">
        <v>51</v>
      </c>
      <c r="E3590" t="s">
        <v>383</v>
      </c>
      <c r="F3590" t="s">
        <v>712</v>
      </c>
      <c r="G3590">
        <v>395000</v>
      </c>
      <c r="H3590">
        <v>402000</v>
      </c>
    </row>
    <row r="3591" spans="2:8" x14ac:dyDescent="0.25">
      <c r="B3591" t="str">
        <f t="shared" ref="B3591:B3654" si="56">CONCATENATE(D3591,E3591)</f>
        <v>GRCPopulation ages 55-59, male</v>
      </c>
      <c r="C3591" t="s">
        <v>509</v>
      </c>
      <c r="D3591" t="s">
        <v>51</v>
      </c>
      <c r="E3591" t="s">
        <v>385</v>
      </c>
      <c r="F3591" t="s">
        <v>713</v>
      </c>
      <c r="G3591">
        <v>346000</v>
      </c>
      <c r="H3591">
        <v>351000</v>
      </c>
    </row>
    <row r="3592" spans="2:8" x14ac:dyDescent="0.25">
      <c r="B3592" t="str">
        <f t="shared" si="56"/>
        <v>GRCPopulation ages 55-59, female</v>
      </c>
      <c r="C3592" t="s">
        <v>509</v>
      </c>
      <c r="D3592" t="s">
        <v>51</v>
      </c>
      <c r="E3592" t="s">
        <v>384</v>
      </c>
      <c r="F3592" t="s">
        <v>714</v>
      </c>
      <c r="G3592">
        <v>372000</v>
      </c>
      <c r="H3592">
        <v>375000</v>
      </c>
    </row>
    <row r="3593" spans="2:8" x14ac:dyDescent="0.25">
      <c r="B3593" t="str">
        <f t="shared" si="56"/>
        <v>GRCPopulation ages 65-69, male</v>
      </c>
      <c r="C3593" t="s">
        <v>509</v>
      </c>
      <c r="D3593" t="s">
        <v>51</v>
      </c>
      <c r="E3593" t="s">
        <v>389</v>
      </c>
      <c r="F3593" t="s">
        <v>715</v>
      </c>
      <c r="G3593">
        <v>274000</v>
      </c>
      <c r="H3593">
        <v>275000</v>
      </c>
    </row>
    <row r="3594" spans="2:8" x14ac:dyDescent="0.25">
      <c r="B3594" t="str">
        <f t="shared" si="56"/>
        <v>GRCPopulation ages 65-69, female</v>
      </c>
      <c r="C3594" t="s">
        <v>509</v>
      </c>
      <c r="D3594" t="s">
        <v>51</v>
      </c>
      <c r="E3594" t="s">
        <v>388</v>
      </c>
      <c r="F3594" t="s">
        <v>716</v>
      </c>
      <c r="G3594">
        <v>316000</v>
      </c>
      <c r="H3594">
        <v>319000</v>
      </c>
    </row>
    <row r="3595" spans="2:8" x14ac:dyDescent="0.25">
      <c r="B3595" t="str">
        <f t="shared" si="56"/>
        <v>GRCPopulation ages 60-64, female</v>
      </c>
      <c r="C3595" t="s">
        <v>509</v>
      </c>
      <c r="D3595" t="s">
        <v>51</v>
      </c>
      <c r="E3595" t="s">
        <v>386</v>
      </c>
      <c r="F3595" t="s">
        <v>717</v>
      </c>
      <c r="G3595">
        <v>359000</v>
      </c>
      <c r="H3595">
        <v>365000</v>
      </c>
    </row>
    <row r="3596" spans="2:8" x14ac:dyDescent="0.25">
      <c r="B3596" t="str">
        <f t="shared" si="56"/>
        <v>GRCPopulation ages 60-64, male</v>
      </c>
      <c r="C3596" t="s">
        <v>509</v>
      </c>
      <c r="D3596" t="s">
        <v>51</v>
      </c>
      <c r="E3596" t="s">
        <v>387</v>
      </c>
      <c r="F3596" t="s">
        <v>718</v>
      </c>
      <c r="G3596">
        <v>321000</v>
      </c>
      <c r="H3596">
        <v>328000</v>
      </c>
    </row>
    <row r="3597" spans="2:8" x14ac:dyDescent="0.25">
      <c r="B3597" t="str">
        <f t="shared" si="56"/>
        <v>GRCPopulation ages 70-74, female</v>
      </c>
      <c r="C3597" t="s">
        <v>509</v>
      </c>
      <c r="D3597" t="s">
        <v>51</v>
      </c>
      <c r="E3597" t="s">
        <v>390</v>
      </c>
      <c r="F3597" t="s">
        <v>719</v>
      </c>
      <c r="G3597">
        <v>294000</v>
      </c>
      <c r="H3597">
        <v>304000</v>
      </c>
    </row>
    <row r="3598" spans="2:8" x14ac:dyDescent="0.25">
      <c r="B3598" t="str">
        <f t="shared" si="56"/>
        <v>GRCPopulation ages 70-74, male</v>
      </c>
      <c r="C3598" t="s">
        <v>509</v>
      </c>
      <c r="D3598" t="s">
        <v>51</v>
      </c>
      <c r="E3598" t="s">
        <v>391</v>
      </c>
      <c r="F3598" t="s">
        <v>720</v>
      </c>
      <c r="G3598">
        <v>252000</v>
      </c>
      <c r="H3598">
        <v>259000</v>
      </c>
    </row>
    <row r="3599" spans="2:8" x14ac:dyDescent="0.25">
      <c r="B3599" t="str">
        <f t="shared" si="56"/>
        <v>GRCPopulation ages 75-79, female</v>
      </c>
      <c r="C3599" t="s">
        <v>509</v>
      </c>
      <c r="D3599" t="s">
        <v>51</v>
      </c>
      <c r="E3599" t="s">
        <v>392</v>
      </c>
      <c r="F3599" t="s">
        <v>721</v>
      </c>
      <c r="G3599">
        <v>229000</v>
      </c>
      <c r="H3599">
        <v>229000</v>
      </c>
    </row>
    <row r="3600" spans="2:8" x14ac:dyDescent="0.25">
      <c r="B3600" t="str">
        <f t="shared" si="56"/>
        <v>GRCPopulation ages 75-79, male</v>
      </c>
      <c r="C3600" t="s">
        <v>509</v>
      </c>
      <c r="D3600" t="s">
        <v>51</v>
      </c>
      <c r="E3600" t="s">
        <v>393</v>
      </c>
      <c r="F3600" t="s">
        <v>722</v>
      </c>
      <c r="G3600">
        <v>186000</v>
      </c>
      <c r="H3600">
        <v>187000</v>
      </c>
    </row>
    <row r="3601" spans="2:8" x14ac:dyDescent="0.25">
      <c r="B3601" t="str">
        <f t="shared" si="56"/>
        <v>GRCPopulation ages 80 and above, female</v>
      </c>
      <c r="C3601" t="s">
        <v>509</v>
      </c>
      <c r="D3601" t="s">
        <v>51</v>
      </c>
      <c r="E3601" t="s">
        <v>394</v>
      </c>
      <c r="F3601" t="s">
        <v>723</v>
      </c>
      <c r="G3601">
        <v>468000</v>
      </c>
      <c r="H3601">
        <v>473000</v>
      </c>
    </row>
    <row r="3602" spans="2:8" x14ac:dyDescent="0.25">
      <c r="B3602" t="str">
        <f t="shared" si="56"/>
        <v>GRCPopulation ages 80 and above, male</v>
      </c>
      <c r="C3602" t="s">
        <v>509</v>
      </c>
      <c r="D3602" t="s">
        <v>51</v>
      </c>
      <c r="E3602" t="s">
        <v>395</v>
      </c>
      <c r="F3602" t="s">
        <v>724</v>
      </c>
      <c r="G3602">
        <v>329000</v>
      </c>
      <c r="H3602">
        <v>332000</v>
      </c>
    </row>
    <row r="3603" spans="2:8" x14ac:dyDescent="0.25">
      <c r="B3603" t="str">
        <f t="shared" si="56"/>
        <v>GRCPopulation, male</v>
      </c>
      <c r="C3603" t="s">
        <v>509</v>
      </c>
      <c r="D3603" t="s">
        <v>51</v>
      </c>
      <c r="E3603" t="s">
        <v>397</v>
      </c>
      <c r="F3603" t="s">
        <v>725</v>
      </c>
      <c r="G3603">
        <v>5250000</v>
      </c>
      <c r="H3603">
        <v>5235000</v>
      </c>
    </row>
    <row r="3604" spans="2:8" x14ac:dyDescent="0.25">
      <c r="B3604" t="str">
        <f t="shared" si="56"/>
        <v>GRCPopulation, total</v>
      </c>
      <c r="C3604" t="s">
        <v>509</v>
      </c>
      <c r="D3604" t="s">
        <v>51</v>
      </c>
      <c r="E3604" t="s">
        <v>398</v>
      </c>
      <c r="F3604" t="s">
        <v>726</v>
      </c>
      <c r="G3604">
        <v>10696000</v>
      </c>
      <c r="H3604">
        <v>10665000</v>
      </c>
    </row>
    <row r="3605" spans="2:8" x14ac:dyDescent="0.25">
      <c r="B3605" t="str">
        <f t="shared" si="56"/>
        <v>GRCPopulation, female</v>
      </c>
      <c r="C3605" t="s">
        <v>509</v>
      </c>
      <c r="D3605" t="s">
        <v>51</v>
      </c>
      <c r="E3605" t="s">
        <v>396</v>
      </c>
      <c r="F3605" t="s">
        <v>727</v>
      </c>
      <c r="G3605">
        <v>5446000</v>
      </c>
      <c r="H3605">
        <v>5431000</v>
      </c>
    </row>
    <row r="3606" spans="2:8" x14ac:dyDescent="0.25">
      <c r="B3606" t="str">
        <f t="shared" si="56"/>
        <v>GRCPopulation growth (annual %)</v>
      </c>
      <c r="C3606" t="s">
        <v>509</v>
      </c>
      <c r="D3606" t="s">
        <v>51</v>
      </c>
      <c r="E3606" t="s">
        <v>399</v>
      </c>
      <c r="F3606" t="s">
        <v>728</v>
      </c>
      <c r="G3606">
        <v>0</v>
      </c>
      <c r="H3606">
        <v>0</v>
      </c>
    </row>
    <row r="3607" spans="2:8" x14ac:dyDescent="0.25">
      <c r="B3607" t="str">
        <f t="shared" si="56"/>
        <v>GRLPopulation ages 0-14, female</v>
      </c>
      <c r="C3607" t="s">
        <v>510</v>
      </c>
      <c r="D3607" t="s">
        <v>511</v>
      </c>
      <c r="E3607" t="s">
        <v>687</v>
      </c>
      <c r="F3607" t="s">
        <v>688</v>
      </c>
      <c r="G3607">
        <v>0</v>
      </c>
      <c r="H3607">
        <v>0</v>
      </c>
    </row>
    <row r="3608" spans="2:8" x14ac:dyDescent="0.25">
      <c r="B3608" t="str">
        <f t="shared" si="56"/>
        <v>GRLPopulation ages 0-14, male</v>
      </c>
      <c r="C3608" t="s">
        <v>510</v>
      </c>
      <c r="D3608" t="s">
        <v>511</v>
      </c>
      <c r="E3608" t="s">
        <v>689</v>
      </c>
      <c r="F3608" t="s">
        <v>690</v>
      </c>
      <c r="G3608">
        <v>0</v>
      </c>
      <c r="H3608">
        <v>0</v>
      </c>
    </row>
    <row r="3609" spans="2:8" x14ac:dyDescent="0.25">
      <c r="B3609" t="str">
        <f t="shared" si="56"/>
        <v>GRLPopulation ages 00-04, female</v>
      </c>
      <c r="C3609" t="s">
        <v>510</v>
      </c>
      <c r="D3609" t="s">
        <v>511</v>
      </c>
      <c r="E3609" t="s">
        <v>362</v>
      </c>
      <c r="F3609" t="s">
        <v>691</v>
      </c>
      <c r="G3609">
        <v>0</v>
      </c>
      <c r="H3609">
        <v>0</v>
      </c>
    </row>
    <row r="3610" spans="2:8" x14ac:dyDescent="0.25">
      <c r="B3610" t="str">
        <f t="shared" si="56"/>
        <v>GRLPopulation ages 00-04, male</v>
      </c>
      <c r="C3610" t="s">
        <v>510</v>
      </c>
      <c r="D3610" t="s">
        <v>511</v>
      </c>
      <c r="E3610" t="s">
        <v>363</v>
      </c>
      <c r="F3610" t="s">
        <v>692</v>
      </c>
      <c r="G3610">
        <v>0</v>
      </c>
      <c r="H3610">
        <v>0</v>
      </c>
    </row>
    <row r="3611" spans="2:8" x14ac:dyDescent="0.25">
      <c r="B3611" t="str">
        <f t="shared" si="56"/>
        <v>GRLPopulation ages 05-09, female</v>
      </c>
      <c r="C3611" t="s">
        <v>510</v>
      </c>
      <c r="D3611" t="s">
        <v>511</v>
      </c>
      <c r="E3611" t="s">
        <v>364</v>
      </c>
      <c r="F3611" t="s">
        <v>693</v>
      </c>
      <c r="G3611">
        <v>0</v>
      </c>
      <c r="H3611">
        <v>0</v>
      </c>
    </row>
    <row r="3612" spans="2:8" x14ac:dyDescent="0.25">
      <c r="B3612" t="str">
        <f t="shared" si="56"/>
        <v>GRLPopulation ages 05-09, male</v>
      </c>
      <c r="C3612" t="s">
        <v>510</v>
      </c>
      <c r="D3612" t="s">
        <v>511</v>
      </c>
      <c r="E3612" t="s">
        <v>365</v>
      </c>
      <c r="F3612" t="s">
        <v>694</v>
      </c>
      <c r="G3612">
        <v>0</v>
      </c>
      <c r="H3612">
        <v>0</v>
      </c>
    </row>
    <row r="3613" spans="2:8" x14ac:dyDescent="0.25">
      <c r="B3613" t="str">
        <f t="shared" si="56"/>
        <v>GRLPopulation ages 10-14, female</v>
      </c>
      <c r="C3613" t="s">
        <v>510</v>
      </c>
      <c r="D3613" t="s">
        <v>511</v>
      </c>
      <c r="E3613" t="s">
        <v>366</v>
      </c>
      <c r="F3613" t="s">
        <v>695</v>
      </c>
      <c r="G3613">
        <v>0</v>
      </c>
      <c r="H3613">
        <v>0</v>
      </c>
    </row>
    <row r="3614" spans="2:8" x14ac:dyDescent="0.25">
      <c r="B3614" t="str">
        <f t="shared" si="56"/>
        <v>GRLPopulation ages 10-14, male</v>
      </c>
      <c r="C3614" t="s">
        <v>510</v>
      </c>
      <c r="D3614" t="s">
        <v>511</v>
      </c>
      <c r="E3614" t="s">
        <v>367</v>
      </c>
      <c r="F3614" t="s">
        <v>696</v>
      </c>
      <c r="G3614">
        <v>0</v>
      </c>
      <c r="H3614">
        <v>0</v>
      </c>
    </row>
    <row r="3615" spans="2:8" x14ac:dyDescent="0.25">
      <c r="B3615" t="str">
        <f t="shared" si="56"/>
        <v>GRLPopulation ages 15-19, female</v>
      </c>
      <c r="C3615" t="s">
        <v>510</v>
      </c>
      <c r="D3615" t="s">
        <v>511</v>
      </c>
      <c r="E3615" t="s">
        <v>368</v>
      </c>
      <c r="F3615" t="s">
        <v>697</v>
      </c>
      <c r="G3615">
        <v>0</v>
      </c>
      <c r="H3615">
        <v>0</v>
      </c>
    </row>
    <row r="3616" spans="2:8" x14ac:dyDescent="0.25">
      <c r="B3616" t="str">
        <f t="shared" si="56"/>
        <v>GRLPopulation ages 15-19, male</v>
      </c>
      <c r="C3616" t="s">
        <v>510</v>
      </c>
      <c r="D3616" t="s">
        <v>511</v>
      </c>
      <c r="E3616" t="s">
        <v>369</v>
      </c>
      <c r="F3616" t="s">
        <v>698</v>
      </c>
      <c r="G3616">
        <v>0</v>
      </c>
      <c r="H3616">
        <v>0</v>
      </c>
    </row>
    <row r="3617" spans="2:8" x14ac:dyDescent="0.25">
      <c r="B3617" t="str">
        <f t="shared" si="56"/>
        <v>GRLPopulation ages 20-24, female</v>
      </c>
      <c r="C3617" t="s">
        <v>510</v>
      </c>
      <c r="D3617" t="s">
        <v>511</v>
      </c>
      <c r="E3617" t="s">
        <v>370</v>
      </c>
      <c r="F3617" t="s">
        <v>699</v>
      </c>
      <c r="G3617">
        <v>0</v>
      </c>
      <c r="H3617">
        <v>0</v>
      </c>
    </row>
    <row r="3618" spans="2:8" x14ac:dyDescent="0.25">
      <c r="B3618" t="str">
        <f t="shared" si="56"/>
        <v>GRLPopulation ages 20-24, male</v>
      </c>
      <c r="C3618" t="s">
        <v>510</v>
      </c>
      <c r="D3618" t="s">
        <v>511</v>
      </c>
      <c r="E3618" t="s">
        <v>371</v>
      </c>
      <c r="F3618" t="s">
        <v>700</v>
      </c>
      <c r="G3618">
        <v>0</v>
      </c>
      <c r="H3618">
        <v>0</v>
      </c>
    </row>
    <row r="3619" spans="2:8" x14ac:dyDescent="0.25">
      <c r="B3619" t="str">
        <f t="shared" si="56"/>
        <v>GRLPopulation ages 25-29, female</v>
      </c>
      <c r="C3619" t="s">
        <v>510</v>
      </c>
      <c r="D3619" t="s">
        <v>511</v>
      </c>
      <c r="E3619" t="s">
        <v>372</v>
      </c>
      <c r="F3619" t="s">
        <v>701</v>
      </c>
      <c r="G3619">
        <v>0</v>
      </c>
      <c r="H3619">
        <v>0</v>
      </c>
    </row>
    <row r="3620" spans="2:8" x14ac:dyDescent="0.25">
      <c r="B3620" t="str">
        <f t="shared" si="56"/>
        <v>GRLPopulation ages 25-29, male</v>
      </c>
      <c r="C3620" t="s">
        <v>510</v>
      </c>
      <c r="D3620" t="s">
        <v>511</v>
      </c>
      <c r="E3620" t="s">
        <v>373</v>
      </c>
      <c r="F3620" t="s">
        <v>702</v>
      </c>
      <c r="G3620">
        <v>0</v>
      </c>
      <c r="H3620">
        <v>0</v>
      </c>
    </row>
    <row r="3621" spans="2:8" x14ac:dyDescent="0.25">
      <c r="B3621" t="str">
        <f t="shared" si="56"/>
        <v>GRLPopulation ages 30-34, female</v>
      </c>
      <c r="C3621" t="s">
        <v>510</v>
      </c>
      <c r="D3621" t="s">
        <v>511</v>
      </c>
      <c r="E3621" t="s">
        <v>374</v>
      </c>
      <c r="F3621" t="s">
        <v>703</v>
      </c>
      <c r="G3621">
        <v>0</v>
      </c>
      <c r="H3621">
        <v>0</v>
      </c>
    </row>
    <row r="3622" spans="2:8" x14ac:dyDescent="0.25">
      <c r="B3622" t="str">
        <f t="shared" si="56"/>
        <v>GRLPopulation ages 30-34, male</v>
      </c>
      <c r="C3622" t="s">
        <v>510</v>
      </c>
      <c r="D3622" t="s">
        <v>511</v>
      </c>
      <c r="E3622" t="s">
        <v>375</v>
      </c>
      <c r="F3622" t="s">
        <v>704</v>
      </c>
      <c r="G3622">
        <v>0</v>
      </c>
      <c r="H3622">
        <v>0</v>
      </c>
    </row>
    <row r="3623" spans="2:8" x14ac:dyDescent="0.25">
      <c r="B3623" t="str">
        <f t="shared" si="56"/>
        <v>GRLPopulation ages 35-39, female</v>
      </c>
      <c r="C3623" t="s">
        <v>510</v>
      </c>
      <c r="D3623" t="s">
        <v>511</v>
      </c>
      <c r="E3623" t="s">
        <v>376</v>
      </c>
      <c r="F3623" t="s">
        <v>705</v>
      </c>
      <c r="G3623">
        <v>0</v>
      </c>
      <c r="H3623">
        <v>0</v>
      </c>
    </row>
    <row r="3624" spans="2:8" x14ac:dyDescent="0.25">
      <c r="B3624" t="str">
        <f t="shared" si="56"/>
        <v>GRLPopulation ages 35-39, male</v>
      </c>
      <c r="C3624" t="s">
        <v>510</v>
      </c>
      <c r="D3624" t="s">
        <v>511</v>
      </c>
      <c r="E3624" t="s">
        <v>377</v>
      </c>
      <c r="F3624" t="s">
        <v>706</v>
      </c>
      <c r="G3624">
        <v>0</v>
      </c>
      <c r="H3624">
        <v>0</v>
      </c>
    </row>
    <row r="3625" spans="2:8" x14ac:dyDescent="0.25">
      <c r="B3625" t="str">
        <f t="shared" si="56"/>
        <v>GRLPopulation ages 40-44, female</v>
      </c>
      <c r="C3625" t="s">
        <v>510</v>
      </c>
      <c r="D3625" t="s">
        <v>511</v>
      </c>
      <c r="E3625" t="s">
        <v>378</v>
      </c>
      <c r="F3625" t="s">
        <v>707</v>
      </c>
      <c r="G3625">
        <v>0</v>
      </c>
      <c r="H3625">
        <v>0</v>
      </c>
    </row>
    <row r="3626" spans="2:8" x14ac:dyDescent="0.25">
      <c r="B3626" t="str">
        <f t="shared" si="56"/>
        <v>GRLPopulation ages 40-44, male</v>
      </c>
      <c r="C3626" t="s">
        <v>510</v>
      </c>
      <c r="D3626" t="s">
        <v>511</v>
      </c>
      <c r="E3626" t="s">
        <v>379</v>
      </c>
      <c r="F3626" t="s">
        <v>708</v>
      </c>
      <c r="G3626">
        <v>0</v>
      </c>
      <c r="H3626">
        <v>0</v>
      </c>
    </row>
    <row r="3627" spans="2:8" x14ac:dyDescent="0.25">
      <c r="B3627" t="str">
        <f t="shared" si="56"/>
        <v>GRLPopulation ages 45-49, female</v>
      </c>
      <c r="C3627" t="s">
        <v>510</v>
      </c>
      <c r="D3627" t="s">
        <v>511</v>
      </c>
      <c r="E3627" t="s">
        <v>380</v>
      </c>
      <c r="F3627" t="s">
        <v>709</v>
      </c>
      <c r="G3627">
        <v>0</v>
      </c>
      <c r="H3627">
        <v>0</v>
      </c>
    </row>
    <row r="3628" spans="2:8" x14ac:dyDescent="0.25">
      <c r="B3628" t="str">
        <f t="shared" si="56"/>
        <v>GRLPopulation ages 45-49, male</v>
      </c>
      <c r="C3628" t="s">
        <v>510</v>
      </c>
      <c r="D3628" t="s">
        <v>511</v>
      </c>
      <c r="E3628" t="s">
        <v>381</v>
      </c>
      <c r="F3628" t="s">
        <v>710</v>
      </c>
      <c r="G3628">
        <v>0</v>
      </c>
      <c r="H3628">
        <v>0</v>
      </c>
    </row>
    <row r="3629" spans="2:8" x14ac:dyDescent="0.25">
      <c r="B3629" t="str">
        <f t="shared" si="56"/>
        <v>GRLPopulation ages 50-54, female</v>
      </c>
      <c r="C3629" t="s">
        <v>510</v>
      </c>
      <c r="D3629" t="s">
        <v>511</v>
      </c>
      <c r="E3629" t="s">
        <v>382</v>
      </c>
      <c r="F3629" t="s">
        <v>711</v>
      </c>
      <c r="G3629">
        <v>0</v>
      </c>
      <c r="H3629">
        <v>0</v>
      </c>
    </row>
    <row r="3630" spans="2:8" x14ac:dyDescent="0.25">
      <c r="B3630" t="str">
        <f t="shared" si="56"/>
        <v>GRLPopulation ages 50-54, male</v>
      </c>
      <c r="C3630" t="s">
        <v>510</v>
      </c>
      <c r="D3630" t="s">
        <v>511</v>
      </c>
      <c r="E3630" t="s">
        <v>383</v>
      </c>
      <c r="F3630" t="s">
        <v>712</v>
      </c>
      <c r="G3630">
        <v>0</v>
      </c>
      <c r="H3630">
        <v>0</v>
      </c>
    </row>
    <row r="3631" spans="2:8" x14ac:dyDescent="0.25">
      <c r="B3631" t="str">
        <f t="shared" si="56"/>
        <v>GRLPopulation ages 55-59, male</v>
      </c>
      <c r="C3631" t="s">
        <v>510</v>
      </c>
      <c r="D3631" t="s">
        <v>511</v>
      </c>
      <c r="E3631" t="s">
        <v>385</v>
      </c>
      <c r="F3631" t="s">
        <v>713</v>
      </c>
      <c r="G3631">
        <v>0</v>
      </c>
      <c r="H3631">
        <v>0</v>
      </c>
    </row>
    <row r="3632" spans="2:8" x14ac:dyDescent="0.25">
      <c r="B3632" t="str">
        <f t="shared" si="56"/>
        <v>GRLPopulation ages 55-59, female</v>
      </c>
      <c r="C3632" t="s">
        <v>510</v>
      </c>
      <c r="D3632" t="s">
        <v>511</v>
      </c>
      <c r="E3632" t="s">
        <v>384</v>
      </c>
      <c r="F3632" t="s">
        <v>714</v>
      </c>
      <c r="G3632">
        <v>0</v>
      </c>
      <c r="H3632">
        <v>0</v>
      </c>
    </row>
    <row r="3633" spans="2:8" x14ac:dyDescent="0.25">
      <c r="B3633" t="str">
        <f t="shared" si="56"/>
        <v>GRLPopulation ages 65-69, male</v>
      </c>
      <c r="C3633" t="s">
        <v>510</v>
      </c>
      <c r="D3633" t="s">
        <v>511</v>
      </c>
      <c r="E3633" t="s">
        <v>389</v>
      </c>
      <c r="F3633" t="s">
        <v>715</v>
      </c>
      <c r="G3633">
        <v>0</v>
      </c>
      <c r="H3633">
        <v>0</v>
      </c>
    </row>
    <row r="3634" spans="2:8" x14ac:dyDescent="0.25">
      <c r="B3634" t="str">
        <f t="shared" si="56"/>
        <v>GRLPopulation ages 65-69, female</v>
      </c>
      <c r="C3634" t="s">
        <v>510</v>
      </c>
      <c r="D3634" t="s">
        <v>511</v>
      </c>
      <c r="E3634" t="s">
        <v>388</v>
      </c>
      <c r="F3634" t="s">
        <v>716</v>
      </c>
      <c r="G3634">
        <v>0</v>
      </c>
      <c r="H3634">
        <v>0</v>
      </c>
    </row>
    <row r="3635" spans="2:8" x14ac:dyDescent="0.25">
      <c r="B3635" t="str">
        <f t="shared" si="56"/>
        <v>GRLPopulation ages 60-64, female</v>
      </c>
      <c r="C3635" t="s">
        <v>510</v>
      </c>
      <c r="D3635" t="s">
        <v>511</v>
      </c>
      <c r="E3635" t="s">
        <v>386</v>
      </c>
      <c r="F3635" t="s">
        <v>717</v>
      </c>
      <c r="G3635">
        <v>0</v>
      </c>
      <c r="H3635">
        <v>0</v>
      </c>
    </row>
    <row r="3636" spans="2:8" x14ac:dyDescent="0.25">
      <c r="B3636" t="str">
        <f t="shared" si="56"/>
        <v>GRLPopulation ages 60-64, male</v>
      </c>
      <c r="C3636" t="s">
        <v>510</v>
      </c>
      <c r="D3636" t="s">
        <v>511</v>
      </c>
      <c r="E3636" t="s">
        <v>387</v>
      </c>
      <c r="F3636" t="s">
        <v>718</v>
      </c>
      <c r="G3636">
        <v>0</v>
      </c>
      <c r="H3636">
        <v>0</v>
      </c>
    </row>
    <row r="3637" spans="2:8" x14ac:dyDescent="0.25">
      <c r="B3637" t="str">
        <f t="shared" si="56"/>
        <v>GRLPopulation ages 70-74, female</v>
      </c>
      <c r="C3637" t="s">
        <v>510</v>
      </c>
      <c r="D3637" t="s">
        <v>511</v>
      </c>
      <c r="E3637" t="s">
        <v>390</v>
      </c>
      <c r="F3637" t="s">
        <v>719</v>
      </c>
      <c r="G3637">
        <v>0</v>
      </c>
      <c r="H3637">
        <v>0</v>
      </c>
    </row>
    <row r="3638" spans="2:8" x14ac:dyDescent="0.25">
      <c r="B3638" t="str">
        <f t="shared" si="56"/>
        <v>GRLPopulation ages 70-74, male</v>
      </c>
      <c r="C3638" t="s">
        <v>510</v>
      </c>
      <c r="D3638" t="s">
        <v>511</v>
      </c>
      <c r="E3638" t="s">
        <v>391</v>
      </c>
      <c r="F3638" t="s">
        <v>720</v>
      </c>
      <c r="G3638">
        <v>0</v>
      </c>
      <c r="H3638">
        <v>0</v>
      </c>
    </row>
    <row r="3639" spans="2:8" x14ac:dyDescent="0.25">
      <c r="B3639" t="str">
        <f t="shared" si="56"/>
        <v>GRLPopulation ages 75-79, female</v>
      </c>
      <c r="C3639" t="s">
        <v>510</v>
      </c>
      <c r="D3639" t="s">
        <v>511</v>
      </c>
      <c r="E3639" t="s">
        <v>392</v>
      </c>
      <c r="F3639" t="s">
        <v>721</v>
      </c>
      <c r="G3639">
        <v>0</v>
      </c>
      <c r="H3639">
        <v>0</v>
      </c>
    </row>
    <row r="3640" spans="2:8" x14ac:dyDescent="0.25">
      <c r="B3640" t="str">
        <f t="shared" si="56"/>
        <v>GRLPopulation ages 75-79, male</v>
      </c>
      <c r="C3640" t="s">
        <v>510</v>
      </c>
      <c r="D3640" t="s">
        <v>511</v>
      </c>
      <c r="E3640" t="s">
        <v>393</v>
      </c>
      <c r="F3640" t="s">
        <v>722</v>
      </c>
      <c r="G3640">
        <v>0</v>
      </c>
      <c r="H3640">
        <v>0</v>
      </c>
    </row>
    <row r="3641" spans="2:8" x14ac:dyDescent="0.25">
      <c r="B3641" t="str">
        <f t="shared" si="56"/>
        <v>GRLPopulation ages 80 and above, female</v>
      </c>
      <c r="C3641" t="s">
        <v>510</v>
      </c>
      <c r="D3641" t="s">
        <v>511</v>
      </c>
      <c r="E3641" t="s">
        <v>394</v>
      </c>
      <c r="F3641" t="s">
        <v>723</v>
      </c>
      <c r="G3641">
        <v>0</v>
      </c>
      <c r="H3641">
        <v>0</v>
      </c>
    </row>
    <row r="3642" spans="2:8" x14ac:dyDescent="0.25">
      <c r="B3642" t="str">
        <f t="shared" si="56"/>
        <v>GRLPopulation ages 80 and above, male</v>
      </c>
      <c r="C3642" t="s">
        <v>510</v>
      </c>
      <c r="D3642" t="s">
        <v>511</v>
      </c>
      <c r="E3642" t="s">
        <v>395</v>
      </c>
      <c r="F3642" t="s">
        <v>724</v>
      </c>
      <c r="G3642">
        <v>0</v>
      </c>
      <c r="H3642">
        <v>0</v>
      </c>
    </row>
    <row r="3643" spans="2:8" x14ac:dyDescent="0.25">
      <c r="B3643" t="str">
        <f t="shared" si="56"/>
        <v>GRLPopulation, male</v>
      </c>
      <c r="C3643" t="s">
        <v>510</v>
      </c>
      <c r="D3643" t="s">
        <v>511</v>
      </c>
      <c r="E3643" t="s">
        <v>397</v>
      </c>
      <c r="F3643" t="s">
        <v>725</v>
      </c>
      <c r="G3643">
        <v>0</v>
      </c>
      <c r="H3643">
        <v>0</v>
      </c>
    </row>
    <row r="3644" spans="2:8" x14ac:dyDescent="0.25">
      <c r="B3644" t="str">
        <f t="shared" si="56"/>
        <v>GRLPopulation, total</v>
      </c>
      <c r="C3644" t="s">
        <v>510</v>
      </c>
      <c r="D3644" t="s">
        <v>511</v>
      </c>
      <c r="E3644" t="s">
        <v>398</v>
      </c>
      <c r="F3644" t="s">
        <v>726</v>
      </c>
      <c r="G3644">
        <v>0</v>
      </c>
      <c r="H3644">
        <v>0</v>
      </c>
    </row>
    <row r="3645" spans="2:8" x14ac:dyDescent="0.25">
      <c r="B3645" t="str">
        <f t="shared" si="56"/>
        <v>GRLPopulation, female</v>
      </c>
      <c r="C3645" t="s">
        <v>510</v>
      </c>
      <c r="D3645" t="s">
        <v>511</v>
      </c>
      <c r="E3645" t="s">
        <v>396</v>
      </c>
      <c r="F3645" t="s">
        <v>727</v>
      </c>
      <c r="G3645">
        <v>0</v>
      </c>
      <c r="H3645">
        <v>0</v>
      </c>
    </row>
    <row r="3646" spans="2:8" x14ac:dyDescent="0.25">
      <c r="B3646" t="str">
        <f t="shared" si="56"/>
        <v>GRLPopulation growth (annual %)</v>
      </c>
      <c r="C3646" t="s">
        <v>510</v>
      </c>
      <c r="D3646" t="s">
        <v>511</v>
      </c>
      <c r="E3646" t="s">
        <v>399</v>
      </c>
      <c r="F3646" t="s">
        <v>728</v>
      </c>
      <c r="G3646">
        <v>0</v>
      </c>
      <c r="H3646">
        <v>0</v>
      </c>
    </row>
    <row r="3647" spans="2:8" x14ac:dyDescent="0.25">
      <c r="B3647" t="str">
        <f t="shared" si="56"/>
        <v>GRDPopulation ages 0-14, female</v>
      </c>
      <c r="C3647" t="s">
        <v>512</v>
      </c>
      <c r="D3647" t="s">
        <v>52</v>
      </c>
      <c r="E3647" t="s">
        <v>687</v>
      </c>
      <c r="F3647" t="s">
        <v>688</v>
      </c>
      <c r="G3647">
        <v>13000</v>
      </c>
      <c r="H3647">
        <v>13000</v>
      </c>
    </row>
    <row r="3648" spans="2:8" x14ac:dyDescent="0.25">
      <c r="B3648" t="str">
        <f t="shared" si="56"/>
        <v>GRDPopulation ages 0-14, male</v>
      </c>
      <c r="C3648" t="s">
        <v>512</v>
      </c>
      <c r="D3648" t="s">
        <v>52</v>
      </c>
      <c r="E3648" t="s">
        <v>689</v>
      </c>
      <c r="F3648" t="s">
        <v>690</v>
      </c>
      <c r="G3648">
        <v>14000</v>
      </c>
      <c r="H3648">
        <v>14000</v>
      </c>
    </row>
    <row r="3649" spans="2:8" x14ac:dyDescent="0.25">
      <c r="B3649" t="str">
        <f t="shared" si="56"/>
        <v>GRDPopulation ages 00-04, female</v>
      </c>
      <c r="C3649" t="s">
        <v>512</v>
      </c>
      <c r="D3649" t="s">
        <v>52</v>
      </c>
      <c r="E3649" t="s">
        <v>362</v>
      </c>
      <c r="F3649" t="s">
        <v>691</v>
      </c>
      <c r="G3649">
        <v>4400</v>
      </c>
      <c r="H3649">
        <v>4400</v>
      </c>
    </row>
    <row r="3650" spans="2:8" x14ac:dyDescent="0.25">
      <c r="B3650" t="str">
        <f t="shared" si="56"/>
        <v>GRDPopulation ages 00-04, male</v>
      </c>
      <c r="C3650" t="s">
        <v>512</v>
      </c>
      <c r="D3650" t="s">
        <v>52</v>
      </c>
      <c r="E3650" t="s">
        <v>363</v>
      </c>
      <c r="F3650" t="s">
        <v>692</v>
      </c>
      <c r="G3650">
        <v>4600</v>
      </c>
      <c r="H3650">
        <v>4600</v>
      </c>
    </row>
    <row r="3651" spans="2:8" x14ac:dyDescent="0.25">
      <c r="B3651" t="str">
        <f t="shared" si="56"/>
        <v>GRDPopulation ages 05-09, female</v>
      </c>
      <c r="C3651" t="s">
        <v>512</v>
      </c>
      <c r="D3651" t="s">
        <v>52</v>
      </c>
      <c r="E3651" t="s">
        <v>364</v>
      </c>
      <c r="F3651" t="s">
        <v>693</v>
      </c>
      <c r="G3651">
        <v>4400</v>
      </c>
      <c r="H3651">
        <v>4500</v>
      </c>
    </row>
    <row r="3652" spans="2:8" x14ac:dyDescent="0.25">
      <c r="B3652" t="str">
        <f t="shared" si="56"/>
        <v>GRDPopulation ages 05-09, male</v>
      </c>
      <c r="C3652" t="s">
        <v>512</v>
      </c>
      <c r="D3652" t="s">
        <v>52</v>
      </c>
      <c r="E3652" t="s">
        <v>365</v>
      </c>
      <c r="F3652" t="s">
        <v>694</v>
      </c>
      <c r="G3652">
        <v>4700</v>
      </c>
      <c r="H3652">
        <v>4700</v>
      </c>
    </row>
    <row r="3653" spans="2:8" x14ac:dyDescent="0.25">
      <c r="B3653" t="str">
        <f t="shared" si="56"/>
        <v>GRDPopulation ages 10-14, female</v>
      </c>
      <c r="C3653" t="s">
        <v>512</v>
      </c>
      <c r="D3653" t="s">
        <v>52</v>
      </c>
      <c r="E3653" t="s">
        <v>366</v>
      </c>
      <c r="F3653" t="s">
        <v>695</v>
      </c>
      <c r="G3653">
        <v>4100</v>
      </c>
      <c r="H3653">
        <v>4200</v>
      </c>
    </row>
    <row r="3654" spans="2:8" x14ac:dyDescent="0.25">
      <c r="B3654" t="str">
        <f t="shared" si="56"/>
        <v>GRDPopulation ages 10-14, male</v>
      </c>
      <c r="C3654" t="s">
        <v>512</v>
      </c>
      <c r="D3654" t="s">
        <v>52</v>
      </c>
      <c r="E3654" t="s">
        <v>367</v>
      </c>
      <c r="F3654" t="s">
        <v>696</v>
      </c>
      <c r="G3654">
        <v>4300</v>
      </c>
      <c r="H3654">
        <v>4400</v>
      </c>
    </row>
    <row r="3655" spans="2:8" x14ac:dyDescent="0.25">
      <c r="B3655" t="str">
        <f t="shared" ref="B3655:B3718" si="57">CONCATENATE(D3655,E3655)</f>
        <v>GRDPopulation ages 15-19, female</v>
      </c>
      <c r="C3655" t="s">
        <v>512</v>
      </c>
      <c r="D3655" t="s">
        <v>52</v>
      </c>
      <c r="E3655" t="s">
        <v>368</v>
      </c>
      <c r="F3655" t="s">
        <v>697</v>
      </c>
      <c r="G3655">
        <v>3700</v>
      </c>
      <c r="H3655">
        <v>3700</v>
      </c>
    </row>
    <row r="3656" spans="2:8" x14ac:dyDescent="0.25">
      <c r="B3656" t="str">
        <f t="shared" si="57"/>
        <v>GRDPopulation ages 15-19, male</v>
      </c>
      <c r="C3656" t="s">
        <v>512</v>
      </c>
      <c r="D3656" t="s">
        <v>52</v>
      </c>
      <c r="E3656" t="s">
        <v>369</v>
      </c>
      <c r="F3656" t="s">
        <v>698</v>
      </c>
      <c r="G3656">
        <v>3900</v>
      </c>
      <c r="H3656">
        <v>3800</v>
      </c>
    </row>
    <row r="3657" spans="2:8" x14ac:dyDescent="0.25">
      <c r="B3657" t="str">
        <f t="shared" si="57"/>
        <v>GRDPopulation ages 20-24, female</v>
      </c>
      <c r="C3657" t="s">
        <v>512</v>
      </c>
      <c r="D3657" t="s">
        <v>52</v>
      </c>
      <c r="E3657" t="s">
        <v>370</v>
      </c>
      <c r="F3657" t="s">
        <v>699</v>
      </c>
      <c r="G3657">
        <v>4500</v>
      </c>
      <c r="H3657">
        <v>4300</v>
      </c>
    </row>
    <row r="3658" spans="2:8" x14ac:dyDescent="0.25">
      <c r="B3658" t="str">
        <f t="shared" si="57"/>
        <v>GRDPopulation ages 20-24, male</v>
      </c>
      <c r="C3658" t="s">
        <v>512</v>
      </c>
      <c r="D3658" t="s">
        <v>52</v>
      </c>
      <c r="E3658" t="s">
        <v>371</v>
      </c>
      <c r="F3658" t="s">
        <v>700</v>
      </c>
      <c r="G3658">
        <v>4600</v>
      </c>
      <c r="H3658">
        <v>4400</v>
      </c>
    </row>
    <row r="3659" spans="2:8" x14ac:dyDescent="0.25">
      <c r="B3659" t="str">
        <f t="shared" si="57"/>
        <v>GRDPopulation ages 25-29, female</v>
      </c>
      <c r="C3659" t="s">
        <v>512</v>
      </c>
      <c r="D3659" t="s">
        <v>52</v>
      </c>
      <c r="E3659" t="s">
        <v>372</v>
      </c>
      <c r="F3659" t="s">
        <v>701</v>
      </c>
      <c r="G3659">
        <v>4800</v>
      </c>
      <c r="H3659">
        <v>4700</v>
      </c>
    </row>
    <row r="3660" spans="2:8" x14ac:dyDescent="0.25">
      <c r="B3660" t="str">
        <f t="shared" si="57"/>
        <v>GRDPopulation ages 25-29, male</v>
      </c>
      <c r="C3660" t="s">
        <v>512</v>
      </c>
      <c r="D3660" t="s">
        <v>52</v>
      </c>
      <c r="E3660" t="s">
        <v>373</v>
      </c>
      <c r="F3660" t="s">
        <v>702</v>
      </c>
      <c r="G3660">
        <v>4900</v>
      </c>
      <c r="H3660">
        <v>4800</v>
      </c>
    </row>
    <row r="3661" spans="2:8" x14ac:dyDescent="0.25">
      <c r="B3661" t="str">
        <f t="shared" si="57"/>
        <v>GRDPopulation ages 30-34, female</v>
      </c>
      <c r="C3661" t="s">
        <v>512</v>
      </c>
      <c r="D3661" t="s">
        <v>52</v>
      </c>
      <c r="E3661" t="s">
        <v>374</v>
      </c>
      <c r="F3661" t="s">
        <v>703</v>
      </c>
      <c r="G3661">
        <v>4600</v>
      </c>
      <c r="H3661">
        <v>4600</v>
      </c>
    </row>
    <row r="3662" spans="2:8" x14ac:dyDescent="0.25">
      <c r="B3662" t="str">
        <f t="shared" si="57"/>
        <v>GRDPopulation ages 30-34, male</v>
      </c>
      <c r="C3662" t="s">
        <v>512</v>
      </c>
      <c r="D3662" t="s">
        <v>52</v>
      </c>
      <c r="E3662" t="s">
        <v>375</v>
      </c>
      <c r="F3662" t="s">
        <v>704</v>
      </c>
      <c r="G3662">
        <v>4800</v>
      </c>
      <c r="H3662">
        <v>4800</v>
      </c>
    </row>
    <row r="3663" spans="2:8" x14ac:dyDescent="0.25">
      <c r="B3663" t="str">
        <f t="shared" si="57"/>
        <v>GRDPopulation ages 35-39, female</v>
      </c>
      <c r="C3663" t="s">
        <v>512</v>
      </c>
      <c r="D3663" t="s">
        <v>52</v>
      </c>
      <c r="E3663" t="s">
        <v>376</v>
      </c>
      <c r="F3663" t="s">
        <v>705</v>
      </c>
      <c r="G3663">
        <v>4300</v>
      </c>
      <c r="H3663">
        <v>4400</v>
      </c>
    </row>
    <row r="3664" spans="2:8" x14ac:dyDescent="0.25">
      <c r="B3664" t="str">
        <f t="shared" si="57"/>
        <v>GRDPopulation ages 35-39, male</v>
      </c>
      <c r="C3664" t="s">
        <v>512</v>
      </c>
      <c r="D3664" t="s">
        <v>52</v>
      </c>
      <c r="E3664" t="s">
        <v>377</v>
      </c>
      <c r="F3664" t="s">
        <v>706</v>
      </c>
      <c r="G3664">
        <v>4300</v>
      </c>
      <c r="H3664">
        <v>4400</v>
      </c>
    </row>
    <row r="3665" spans="2:8" x14ac:dyDescent="0.25">
      <c r="B3665" t="str">
        <f t="shared" si="57"/>
        <v>GRDPopulation ages 40-44, female</v>
      </c>
      <c r="C3665" t="s">
        <v>512</v>
      </c>
      <c r="D3665" t="s">
        <v>52</v>
      </c>
      <c r="E3665" t="s">
        <v>378</v>
      </c>
      <c r="F3665" t="s">
        <v>707</v>
      </c>
      <c r="G3665">
        <v>3100</v>
      </c>
      <c r="H3665">
        <v>3300</v>
      </c>
    </row>
    <row r="3666" spans="2:8" x14ac:dyDescent="0.25">
      <c r="B3666" t="str">
        <f t="shared" si="57"/>
        <v>GRDPopulation ages 40-44, male</v>
      </c>
      <c r="C3666" t="s">
        <v>512</v>
      </c>
      <c r="D3666" t="s">
        <v>52</v>
      </c>
      <c r="E3666" t="s">
        <v>379</v>
      </c>
      <c r="F3666" t="s">
        <v>708</v>
      </c>
      <c r="G3666">
        <v>3200</v>
      </c>
      <c r="H3666">
        <v>3300</v>
      </c>
    </row>
    <row r="3667" spans="2:8" x14ac:dyDescent="0.25">
      <c r="B3667" t="str">
        <f t="shared" si="57"/>
        <v>GRDPopulation ages 45-49, female</v>
      </c>
      <c r="C3667" t="s">
        <v>512</v>
      </c>
      <c r="D3667" t="s">
        <v>52</v>
      </c>
      <c r="E3667" t="s">
        <v>380</v>
      </c>
      <c r="F3667" t="s">
        <v>709</v>
      </c>
      <c r="G3667">
        <v>3000</v>
      </c>
      <c r="H3667">
        <v>3000</v>
      </c>
    </row>
    <row r="3668" spans="2:8" x14ac:dyDescent="0.25">
      <c r="B3668" t="str">
        <f t="shared" si="57"/>
        <v>GRDPopulation ages 45-49, male</v>
      </c>
      <c r="C3668" t="s">
        <v>512</v>
      </c>
      <c r="D3668" t="s">
        <v>52</v>
      </c>
      <c r="E3668" t="s">
        <v>381</v>
      </c>
      <c r="F3668" t="s">
        <v>710</v>
      </c>
      <c r="G3668">
        <v>3300</v>
      </c>
      <c r="H3668">
        <v>3300</v>
      </c>
    </row>
    <row r="3669" spans="2:8" x14ac:dyDescent="0.25">
      <c r="B3669" t="str">
        <f t="shared" si="57"/>
        <v>GRDPopulation ages 50-54, female</v>
      </c>
      <c r="C3669" t="s">
        <v>512</v>
      </c>
      <c r="D3669" t="s">
        <v>52</v>
      </c>
      <c r="E3669" t="s">
        <v>382</v>
      </c>
      <c r="F3669" t="s">
        <v>711</v>
      </c>
      <c r="G3669">
        <v>2900</v>
      </c>
      <c r="H3669">
        <v>2900</v>
      </c>
    </row>
    <row r="3670" spans="2:8" x14ac:dyDescent="0.25">
      <c r="B3670" t="str">
        <f t="shared" si="57"/>
        <v>GRDPopulation ages 50-54, male</v>
      </c>
      <c r="C3670" t="s">
        <v>512</v>
      </c>
      <c r="D3670" t="s">
        <v>52</v>
      </c>
      <c r="E3670" t="s">
        <v>383</v>
      </c>
      <c r="F3670" t="s">
        <v>712</v>
      </c>
      <c r="G3670">
        <v>3100</v>
      </c>
      <c r="H3670">
        <v>3100</v>
      </c>
    </row>
    <row r="3671" spans="2:8" x14ac:dyDescent="0.25">
      <c r="B3671" t="str">
        <f t="shared" si="57"/>
        <v>GRDPopulation ages 55-59, male</v>
      </c>
      <c r="C3671" t="s">
        <v>512</v>
      </c>
      <c r="D3671" t="s">
        <v>52</v>
      </c>
      <c r="E3671" t="s">
        <v>385</v>
      </c>
      <c r="F3671" t="s">
        <v>713</v>
      </c>
      <c r="G3671">
        <v>3200</v>
      </c>
      <c r="H3671">
        <v>3100</v>
      </c>
    </row>
    <row r="3672" spans="2:8" x14ac:dyDescent="0.25">
      <c r="B3672" t="str">
        <f t="shared" si="57"/>
        <v>GRDPopulation ages 55-59, female</v>
      </c>
      <c r="C3672" t="s">
        <v>512</v>
      </c>
      <c r="D3672" t="s">
        <v>52</v>
      </c>
      <c r="E3672" t="s">
        <v>384</v>
      </c>
      <c r="F3672" t="s">
        <v>714</v>
      </c>
      <c r="G3672">
        <v>3100</v>
      </c>
      <c r="H3672">
        <v>3100</v>
      </c>
    </row>
    <row r="3673" spans="2:8" x14ac:dyDescent="0.25">
      <c r="B3673" t="str">
        <f t="shared" si="57"/>
        <v>GRDPopulation ages 65-69, male</v>
      </c>
      <c r="C3673" t="s">
        <v>512</v>
      </c>
      <c r="D3673" t="s">
        <v>52</v>
      </c>
      <c r="E3673" t="s">
        <v>389</v>
      </c>
      <c r="F3673" t="s">
        <v>715</v>
      </c>
      <c r="G3673">
        <v>1900</v>
      </c>
      <c r="H3673">
        <v>1900</v>
      </c>
    </row>
    <row r="3674" spans="2:8" x14ac:dyDescent="0.25">
      <c r="B3674" t="str">
        <f t="shared" si="57"/>
        <v>GRDPopulation ages 65-69, female</v>
      </c>
      <c r="C3674" t="s">
        <v>512</v>
      </c>
      <c r="D3674" t="s">
        <v>52</v>
      </c>
      <c r="E3674" t="s">
        <v>388</v>
      </c>
      <c r="F3674" t="s">
        <v>716</v>
      </c>
      <c r="G3674">
        <v>1800</v>
      </c>
      <c r="H3674">
        <v>1900</v>
      </c>
    </row>
    <row r="3675" spans="2:8" x14ac:dyDescent="0.25">
      <c r="B3675" t="str">
        <f t="shared" si="57"/>
        <v>GRDPopulation ages 60-64, female</v>
      </c>
      <c r="C3675" t="s">
        <v>512</v>
      </c>
      <c r="D3675" t="s">
        <v>52</v>
      </c>
      <c r="E3675" t="s">
        <v>386</v>
      </c>
      <c r="F3675" t="s">
        <v>717</v>
      </c>
      <c r="G3675">
        <v>2800</v>
      </c>
      <c r="H3675">
        <v>2900</v>
      </c>
    </row>
    <row r="3676" spans="2:8" x14ac:dyDescent="0.25">
      <c r="B3676" t="str">
        <f t="shared" si="57"/>
        <v>GRDPopulation ages 60-64, male</v>
      </c>
      <c r="C3676" t="s">
        <v>512</v>
      </c>
      <c r="D3676" t="s">
        <v>52</v>
      </c>
      <c r="E3676" t="s">
        <v>387</v>
      </c>
      <c r="F3676" t="s">
        <v>718</v>
      </c>
      <c r="G3676">
        <v>2700</v>
      </c>
      <c r="H3676">
        <v>2800</v>
      </c>
    </row>
    <row r="3677" spans="2:8" x14ac:dyDescent="0.25">
      <c r="B3677" t="str">
        <f t="shared" si="57"/>
        <v>GRDPopulation ages 70-74, female</v>
      </c>
      <c r="C3677" t="s">
        <v>512</v>
      </c>
      <c r="D3677" t="s">
        <v>52</v>
      </c>
      <c r="E3677" t="s">
        <v>390</v>
      </c>
      <c r="F3677" t="s">
        <v>719</v>
      </c>
      <c r="G3677">
        <v>1400</v>
      </c>
      <c r="H3677">
        <v>1500</v>
      </c>
    </row>
    <row r="3678" spans="2:8" x14ac:dyDescent="0.25">
      <c r="B3678" t="str">
        <f t="shared" si="57"/>
        <v>GRDPopulation ages 70-74, male</v>
      </c>
      <c r="C3678" t="s">
        <v>512</v>
      </c>
      <c r="D3678" t="s">
        <v>52</v>
      </c>
      <c r="E3678" t="s">
        <v>391</v>
      </c>
      <c r="F3678" t="s">
        <v>720</v>
      </c>
      <c r="G3678">
        <v>1300</v>
      </c>
      <c r="H3678">
        <v>1300</v>
      </c>
    </row>
    <row r="3679" spans="2:8" x14ac:dyDescent="0.25">
      <c r="B3679" t="str">
        <f t="shared" si="57"/>
        <v>GRDPopulation ages 75-79, female</v>
      </c>
      <c r="C3679" t="s">
        <v>512</v>
      </c>
      <c r="D3679" t="s">
        <v>52</v>
      </c>
      <c r="E3679" t="s">
        <v>392</v>
      </c>
      <c r="F3679" t="s">
        <v>721</v>
      </c>
      <c r="G3679">
        <v>1200</v>
      </c>
      <c r="H3679">
        <v>1200</v>
      </c>
    </row>
    <row r="3680" spans="2:8" x14ac:dyDescent="0.25">
      <c r="B3680" t="str">
        <f t="shared" si="57"/>
        <v>GRDPopulation ages 75-79, male</v>
      </c>
      <c r="C3680" t="s">
        <v>512</v>
      </c>
      <c r="D3680" t="s">
        <v>52</v>
      </c>
      <c r="E3680" t="s">
        <v>393</v>
      </c>
      <c r="F3680" t="s">
        <v>722</v>
      </c>
      <c r="G3680">
        <v>800</v>
      </c>
      <c r="H3680">
        <v>800</v>
      </c>
    </row>
    <row r="3681" spans="2:8" x14ac:dyDescent="0.25">
      <c r="B3681" t="str">
        <f t="shared" si="57"/>
        <v>GRDPopulation ages 80 and above, female</v>
      </c>
      <c r="C3681" t="s">
        <v>512</v>
      </c>
      <c r="D3681" t="s">
        <v>52</v>
      </c>
      <c r="E3681" t="s">
        <v>394</v>
      </c>
      <c r="F3681" t="s">
        <v>723</v>
      </c>
      <c r="G3681">
        <v>1500</v>
      </c>
      <c r="H3681">
        <v>1500</v>
      </c>
    </row>
    <row r="3682" spans="2:8" x14ac:dyDescent="0.25">
      <c r="B3682" t="str">
        <f t="shared" si="57"/>
        <v>GRDPopulation ages 80 and above, male</v>
      </c>
      <c r="C3682" t="s">
        <v>512</v>
      </c>
      <c r="D3682" t="s">
        <v>52</v>
      </c>
      <c r="E3682" t="s">
        <v>395</v>
      </c>
      <c r="F3682" t="s">
        <v>724</v>
      </c>
      <c r="G3682">
        <v>1000</v>
      </c>
      <c r="H3682">
        <v>900</v>
      </c>
    </row>
    <row r="3683" spans="2:8" x14ac:dyDescent="0.25">
      <c r="B3683" t="str">
        <f t="shared" si="57"/>
        <v>GRDPopulation, male</v>
      </c>
      <c r="C3683" t="s">
        <v>512</v>
      </c>
      <c r="D3683" t="s">
        <v>52</v>
      </c>
      <c r="E3683" t="s">
        <v>397</v>
      </c>
      <c r="F3683" t="s">
        <v>725</v>
      </c>
      <c r="G3683">
        <v>56000</v>
      </c>
      <c r="H3683">
        <v>57000</v>
      </c>
    </row>
    <row r="3684" spans="2:8" x14ac:dyDescent="0.25">
      <c r="B3684" t="str">
        <f t="shared" si="57"/>
        <v>GRDPopulation, total</v>
      </c>
      <c r="C3684" t="s">
        <v>512</v>
      </c>
      <c r="D3684" t="s">
        <v>52</v>
      </c>
      <c r="E3684" t="s">
        <v>398</v>
      </c>
      <c r="F3684" t="s">
        <v>726</v>
      </c>
      <c r="G3684">
        <v>112000</v>
      </c>
      <c r="H3684">
        <v>113000</v>
      </c>
    </row>
    <row r="3685" spans="2:8" x14ac:dyDescent="0.25">
      <c r="B3685" t="str">
        <f t="shared" si="57"/>
        <v>GRDPopulation, female</v>
      </c>
      <c r="C3685" t="s">
        <v>512</v>
      </c>
      <c r="D3685" t="s">
        <v>52</v>
      </c>
      <c r="E3685" t="s">
        <v>396</v>
      </c>
      <c r="F3685" t="s">
        <v>727</v>
      </c>
      <c r="G3685">
        <v>56000</v>
      </c>
      <c r="H3685">
        <v>56000</v>
      </c>
    </row>
    <row r="3686" spans="2:8" x14ac:dyDescent="0.25">
      <c r="B3686" t="str">
        <f t="shared" si="57"/>
        <v>GRDPopulation growth (annual %)</v>
      </c>
      <c r="C3686" t="s">
        <v>512</v>
      </c>
      <c r="D3686" t="s">
        <v>52</v>
      </c>
      <c r="E3686" t="s">
        <v>399</v>
      </c>
      <c r="F3686" t="s">
        <v>728</v>
      </c>
      <c r="G3686">
        <v>0</v>
      </c>
      <c r="H3686">
        <v>0</v>
      </c>
    </row>
    <row r="3687" spans="2:8" x14ac:dyDescent="0.25">
      <c r="B3687" t="str">
        <f t="shared" si="57"/>
        <v>GUMPopulation ages 0-14, female</v>
      </c>
      <c r="C3687" t="s">
        <v>513</v>
      </c>
      <c r="D3687" t="s">
        <v>514</v>
      </c>
      <c r="E3687" t="s">
        <v>687</v>
      </c>
      <c r="F3687" t="s">
        <v>688</v>
      </c>
      <c r="G3687">
        <v>20000</v>
      </c>
      <c r="H3687">
        <v>20000</v>
      </c>
    </row>
    <row r="3688" spans="2:8" x14ac:dyDescent="0.25">
      <c r="B3688" t="str">
        <f t="shared" si="57"/>
        <v>GUMPopulation ages 0-14, male</v>
      </c>
      <c r="C3688" t="s">
        <v>513</v>
      </c>
      <c r="D3688" t="s">
        <v>514</v>
      </c>
      <c r="E3688" t="s">
        <v>689</v>
      </c>
      <c r="F3688" t="s">
        <v>690</v>
      </c>
      <c r="G3688">
        <v>21000</v>
      </c>
      <c r="H3688">
        <v>21000</v>
      </c>
    </row>
    <row r="3689" spans="2:8" x14ac:dyDescent="0.25">
      <c r="B3689" t="str">
        <f t="shared" si="57"/>
        <v>GUMPopulation ages 00-04, female</v>
      </c>
      <c r="C3689" t="s">
        <v>513</v>
      </c>
      <c r="D3689" t="s">
        <v>514</v>
      </c>
      <c r="E3689" t="s">
        <v>362</v>
      </c>
      <c r="F3689" t="s">
        <v>691</v>
      </c>
      <c r="G3689">
        <v>6600</v>
      </c>
      <c r="H3689">
        <v>6600</v>
      </c>
    </row>
    <row r="3690" spans="2:8" x14ac:dyDescent="0.25">
      <c r="B3690" t="str">
        <f t="shared" si="57"/>
        <v>GUMPopulation ages 00-04, male</v>
      </c>
      <c r="C3690" t="s">
        <v>513</v>
      </c>
      <c r="D3690" t="s">
        <v>514</v>
      </c>
      <c r="E3690" t="s">
        <v>363</v>
      </c>
      <c r="F3690" t="s">
        <v>692</v>
      </c>
      <c r="G3690">
        <v>7000</v>
      </c>
      <c r="H3690">
        <v>7000</v>
      </c>
    </row>
    <row r="3691" spans="2:8" x14ac:dyDescent="0.25">
      <c r="B3691" t="str">
        <f t="shared" si="57"/>
        <v>GUMPopulation ages 05-09, female</v>
      </c>
      <c r="C3691" t="s">
        <v>513</v>
      </c>
      <c r="D3691" t="s">
        <v>514</v>
      </c>
      <c r="E3691" t="s">
        <v>364</v>
      </c>
      <c r="F3691" t="s">
        <v>693</v>
      </c>
      <c r="G3691">
        <v>6500</v>
      </c>
      <c r="H3691">
        <v>6500</v>
      </c>
    </row>
    <row r="3692" spans="2:8" x14ac:dyDescent="0.25">
      <c r="B3692" t="str">
        <f t="shared" si="57"/>
        <v>GUMPopulation ages 05-09, male</v>
      </c>
      <c r="C3692" t="s">
        <v>513</v>
      </c>
      <c r="D3692" t="s">
        <v>514</v>
      </c>
      <c r="E3692" t="s">
        <v>365</v>
      </c>
      <c r="F3692" t="s">
        <v>694</v>
      </c>
      <c r="G3692">
        <v>6900</v>
      </c>
      <c r="H3692">
        <v>6900</v>
      </c>
    </row>
    <row r="3693" spans="2:8" x14ac:dyDescent="0.25">
      <c r="B3693" t="str">
        <f t="shared" si="57"/>
        <v>GUMPopulation ages 10-14, female</v>
      </c>
      <c r="C3693" t="s">
        <v>513</v>
      </c>
      <c r="D3693" t="s">
        <v>514</v>
      </c>
      <c r="E3693" t="s">
        <v>366</v>
      </c>
      <c r="F3693" t="s">
        <v>695</v>
      </c>
      <c r="G3693">
        <v>6500</v>
      </c>
      <c r="H3693">
        <v>6500</v>
      </c>
    </row>
    <row r="3694" spans="2:8" x14ac:dyDescent="0.25">
      <c r="B3694" t="str">
        <f t="shared" si="57"/>
        <v>GUMPopulation ages 10-14, male</v>
      </c>
      <c r="C3694" t="s">
        <v>513</v>
      </c>
      <c r="D3694" t="s">
        <v>514</v>
      </c>
      <c r="E3694" t="s">
        <v>367</v>
      </c>
      <c r="F3694" t="s">
        <v>696</v>
      </c>
      <c r="G3694">
        <v>6900</v>
      </c>
      <c r="H3694">
        <v>6800</v>
      </c>
    </row>
    <row r="3695" spans="2:8" x14ac:dyDescent="0.25">
      <c r="B3695" t="str">
        <f t="shared" si="57"/>
        <v>GUMPopulation ages 15-19, female</v>
      </c>
      <c r="C3695" t="s">
        <v>513</v>
      </c>
      <c r="D3695" t="s">
        <v>514</v>
      </c>
      <c r="E3695" t="s">
        <v>368</v>
      </c>
      <c r="F3695" t="s">
        <v>697</v>
      </c>
      <c r="G3695">
        <v>6800</v>
      </c>
      <c r="H3695">
        <v>6700</v>
      </c>
    </row>
    <row r="3696" spans="2:8" x14ac:dyDescent="0.25">
      <c r="B3696" t="str">
        <f t="shared" si="57"/>
        <v>GUMPopulation ages 15-19, male</v>
      </c>
      <c r="C3696" t="s">
        <v>513</v>
      </c>
      <c r="D3696" t="s">
        <v>514</v>
      </c>
      <c r="E3696" t="s">
        <v>369</v>
      </c>
      <c r="F3696" t="s">
        <v>698</v>
      </c>
      <c r="G3696">
        <v>7200</v>
      </c>
      <c r="H3696">
        <v>7100</v>
      </c>
    </row>
    <row r="3697" spans="2:8" x14ac:dyDescent="0.25">
      <c r="B3697" t="str">
        <f t="shared" si="57"/>
        <v>GUMPopulation ages 20-24, female</v>
      </c>
      <c r="C3697" t="s">
        <v>513</v>
      </c>
      <c r="D3697" t="s">
        <v>514</v>
      </c>
      <c r="E3697" t="s">
        <v>370</v>
      </c>
      <c r="F3697" t="s">
        <v>699</v>
      </c>
      <c r="G3697">
        <v>6600</v>
      </c>
      <c r="H3697">
        <v>6600</v>
      </c>
    </row>
    <row r="3698" spans="2:8" x14ac:dyDescent="0.25">
      <c r="B3698" t="str">
        <f t="shared" si="57"/>
        <v>GUMPopulation ages 20-24, male</v>
      </c>
      <c r="C3698" t="s">
        <v>513</v>
      </c>
      <c r="D3698" t="s">
        <v>514</v>
      </c>
      <c r="E3698" t="s">
        <v>371</v>
      </c>
      <c r="F3698" t="s">
        <v>700</v>
      </c>
      <c r="G3698">
        <v>7200</v>
      </c>
      <c r="H3698">
        <v>7200</v>
      </c>
    </row>
    <row r="3699" spans="2:8" x14ac:dyDescent="0.25">
      <c r="B3699" t="str">
        <f t="shared" si="57"/>
        <v>GUMPopulation ages 25-29, female</v>
      </c>
      <c r="C3699" t="s">
        <v>513</v>
      </c>
      <c r="D3699" t="s">
        <v>514</v>
      </c>
      <c r="E3699" t="s">
        <v>372</v>
      </c>
      <c r="F3699" t="s">
        <v>701</v>
      </c>
      <c r="G3699">
        <v>6400</v>
      </c>
      <c r="H3699">
        <v>6400</v>
      </c>
    </row>
    <row r="3700" spans="2:8" x14ac:dyDescent="0.25">
      <c r="B3700" t="str">
        <f t="shared" si="57"/>
        <v>GUMPopulation ages 25-29, male</v>
      </c>
      <c r="C3700" t="s">
        <v>513</v>
      </c>
      <c r="D3700" t="s">
        <v>514</v>
      </c>
      <c r="E3700" t="s">
        <v>373</v>
      </c>
      <c r="F3700" t="s">
        <v>702</v>
      </c>
      <c r="G3700">
        <v>6600</v>
      </c>
      <c r="H3700">
        <v>6800</v>
      </c>
    </row>
    <row r="3701" spans="2:8" x14ac:dyDescent="0.25">
      <c r="B3701" t="str">
        <f t="shared" si="57"/>
        <v>GUMPopulation ages 30-34, female</v>
      </c>
      <c r="C3701" t="s">
        <v>513</v>
      </c>
      <c r="D3701" t="s">
        <v>514</v>
      </c>
      <c r="E3701" t="s">
        <v>374</v>
      </c>
      <c r="F3701" t="s">
        <v>703</v>
      </c>
      <c r="G3701">
        <v>5700</v>
      </c>
      <c r="H3701">
        <v>5800</v>
      </c>
    </row>
    <row r="3702" spans="2:8" x14ac:dyDescent="0.25">
      <c r="B3702" t="str">
        <f t="shared" si="57"/>
        <v>GUMPopulation ages 30-34, male</v>
      </c>
      <c r="C3702" t="s">
        <v>513</v>
      </c>
      <c r="D3702" t="s">
        <v>514</v>
      </c>
      <c r="E3702" t="s">
        <v>375</v>
      </c>
      <c r="F3702" t="s">
        <v>704</v>
      </c>
      <c r="G3702">
        <v>5700</v>
      </c>
      <c r="H3702">
        <v>5900</v>
      </c>
    </row>
    <row r="3703" spans="2:8" x14ac:dyDescent="0.25">
      <c r="B3703" t="str">
        <f t="shared" si="57"/>
        <v>GUMPopulation ages 35-39, female</v>
      </c>
      <c r="C3703" t="s">
        <v>513</v>
      </c>
      <c r="D3703" t="s">
        <v>514</v>
      </c>
      <c r="E3703" t="s">
        <v>376</v>
      </c>
      <c r="F3703" t="s">
        <v>705</v>
      </c>
      <c r="G3703">
        <v>4900</v>
      </c>
      <c r="H3703">
        <v>5000</v>
      </c>
    </row>
    <row r="3704" spans="2:8" x14ac:dyDescent="0.25">
      <c r="B3704" t="str">
        <f t="shared" si="57"/>
        <v>GUMPopulation ages 35-39, male</v>
      </c>
      <c r="C3704" t="s">
        <v>513</v>
      </c>
      <c r="D3704" t="s">
        <v>514</v>
      </c>
      <c r="E3704" t="s">
        <v>377</v>
      </c>
      <c r="F3704" t="s">
        <v>706</v>
      </c>
      <c r="G3704">
        <v>5000</v>
      </c>
      <c r="H3704">
        <v>5100</v>
      </c>
    </row>
    <row r="3705" spans="2:8" x14ac:dyDescent="0.25">
      <c r="B3705" t="str">
        <f t="shared" si="57"/>
        <v>GUMPopulation ages 40-44, female</v>
      </c>
      <c r="C3705" t="s">
        <v>513</v>
      </c>
      <c r="D3705" t="s">
        <v>514</v>
      </c>
      <c r="E3705" t="s">
        <v>378</v>
      </c>
      <c r="F3705" t="s">
        <v>707</v>
      </c>
      <c r="G3705">
        <v>4800</v>
      </c>
      <c r="H3705">
        <v>4800</v>
      </c>
    </row>
    <row r="3706" spans="2:8" x14ac:dyDescent="0.25">
      <c r="B3706" t="str">
        <f t="shared" si="57"/>
        <v>GUMPopulation ages 40-44, male</v>
      </c>
      <c r="C3706" t="s">
        <v>513</v>
      </c>
      <c r="D3706" t="s">
        <v>514</v>
      </c>
      <c r="E3706" t="s">
        <v>379</v>
      </c>
      <c r="F3706" t="s">
        <v>708</v>
      </c>
      <c r="G3706">
        <v>4900</v>
      </c>
      <c r="H3706">
        <v>4900</v>
      </c>
    </row>
    <row r="3707" spans="2:8" x14ac:dyDescent="0.25">
      <c r="B3707" t="str">
        <f t="shared" si="57"/>
        <v>GUMPopulation ages 45-49, female</v>
      </c>
      <c r="C3707" t="s">
        <v>513</v>
      </c>
      <c r="D3707" t="s">
        <v>514</v>
      </c>
      <c r="E3707" t="s">
        <v>380</v>
      </c>
      <c r="F3707" t="s">
        <v>709</v>
      </c>
      <c r="G3707">
        <v>5100</v>
      </c>
      <c r="H3707">
        <v>5100</v>
      </c>
    </row>
    <row r="3708" spans="2:8" x14ac:dyDescent="0.25">
      <c r="B3708" t="str">
        <f t="shared" si="57"/>
        <v>GUMPopulation ages 45-49, male</v>
      </c>
      <c r="C3708" t="s">
        <v>513</v>
      </c>
      <c r="D3708" t="s">
        <v>514</v>
      </c>
      <c r="E3708" t="s">
        <v>381</v>
      </c>
      <c r="F3708" t="s">
        <v>710</v>
      </c>
      <c r="G3708">
        <v>5200</v>
      </c>
      <c r="H3708">
        <v>5200</v>
      </c>
    </row>
    <row r="3709" spans="2:8" x14ac:dyDescent="0.25">
      <c r="B3709" t="str">
        <f t="shared" si="57"/>
        <v>GUMPopulation ages 50-54, female</v>
      </c>
      <c r="C3709" t="s">
        <v>513</v>
      </c>
      <c r="D3709" t="s">
        <v>514</v>
      </c>
      <c r="E3709" t="s">
        <v>382</v>
      </c>
      <c r="F3709" t="s">
        <v>711</v>
      </c>
      <c r="G3709">
        <v>5000</v>
      </c>
      <c r="H3709">
        <v>5000</v>
      </c>
    </row>
    <row r="3710" spans="2:8" x14ac:dyDescent="0.25">
      <c r="B3710" t="str">
        <f t="shared" si="57"/>
        <v>GUMPopulation ages 50-54, male</v>
      </c>
      <c r="C3710" t="s">
        <v>513</v>
      </c>
      <c r="D3710" t="s">
        <v>514</v>
      </c>
      <c r="E3710" t="s">
        <v>383</v>
      </c>
      <c r="F3710" t="s">
        <v>712</v>
      </c>
      <c r="G3710">
        <v>5300</v>
      </c>
      <c r="H3710">
        <v>5300</v>
      </c>
    </row>
    <row r="3711" spans="2:8" x14ac:dyDescent="0.25">
      <c r="B3711" t="str">
        <f t="shared" si="57"/>
        <v>GUMPopulation ages 55-59, male</v>
      </c>
      <c r="C3711" t="s">
        <v>513</v>
      </c>
      <c r="D3711" t="s">
        <v>514</v>
      </c>
      <c r="E3711" t="s">
        <v>385</v>
      </c>
      <c r="F3711" t="s">
        <v>713</v>
      </c>
      <c r="G3711">
        <v>5000</v>
      </c>
      <c r="H3711">
        <v>5100</v>
      </c>
    </row>
    <row r="3712" spans="2:8" x14ac:dyDescent="0.25">
      <c r="B3712" t="str">
        <f t="shared" si="57"/>
        <v>GUMPopulation ages 55-59, female</v>
      </c>
      <c r="C3712" t="s">
        <v>513</v>
      </c>
      <c r="D3712" t="s">
        <v>514</v>
      </c>
      <c r="E3712" t="s">
        <v>384</v>
      </c>
      <c r="F3712" t="s">
        <v>714</v>
      </c>
      <c r="G3712">
        <v>4700</v>
      </c>
      <c r="H3712">
        <v>4800</v>
      </c>
    </row>
    <row r="3713" spans="2:8" x14ac:dyDescent="0.25">
      <c r="B3713" t="str">
        <f t="shared" si="57"/>
        <v>GUMPopulation ages 65-69, male</v>
      </c>
      <c r="C3713" t="s">
        <v>513</v>
      </c>
      <c r="D3713" t="s">
        <v>514</v>
      </c>
      <c r="E3713" t="s">
        <v>389</v>
      </c>
      <c r="F3713" t="s">
        <v>715</v>
      </c>
      <c r="G3713">
        <v>3000</v>
      </c>
      <c r="H3713">
        <v>3100</v>
      </c>
    </row>
    <row r="3714" spans="2:8" x14ac:dyDescent="0.25">
      <c r="B3714" t="str">
        <f t="shared" si="57"/>
        <v>GUMPopulation ages 65-69, female</v>
      </c>
      <c r="C3714" t="s">
        <v>513</v>
      </c>
      <c r="D3714" t="s">
        <v>514</v>
      </c>
      <c r="E3714" t="s">
        <v>388</v>
      </c>
      <c r="F3714" t="s">
        <v>716</v>
      </c>
      <c r="G3714">
        <v>3200</v>
      </c>
      <c r="H3714">
        <v>3300</v>
      </c>
    </row>
    <row r="3715" spans="2:8" x14ac:dyDescent="0.25">
      <c r="B3715" t="str">
        <f t="shared" si="57"/>
        <v>GUMPopulation ages 60-64, female</v>
      </c>
      <c r="C3715" t="s">
        <v>513</v>
      </c>
      <c r="D3715" t="s">
        <v>514</v>
      </c>
      <c r="E3715" t="s">
        <v>386</v>
      </c>
      <c r="F3715" t="s">
        <v>717</v>
      </c>
      <c r="G3715">
        <v>3800</v>
      </c>
      <c r="H3715">
        <v>3900</v>
      </c>
    </row>
    <row r="3716" spans="2:8" x14ac:dyDescent="0.25">
      <c r="B3716" t="str">
        <f t="shared" si="57"/>
        <v>GUMPopulation ages 60-64, male</v>
      </c>
      <c r="C3716" t="s">
        <v>513</v>
      </c>
      <c r="D3716" t="s">
        <v>514</v>
      </c>
      <c r="E3716" t="s">
        <v>387</v>
      </c>
      <c r="F3716" t="s">
        <v>718</v>
      </c>
      <c r="G3716">
        <v>3800</v>
      </c>
      <c r="H3716">
        <v>3900</v>
      </c>
    </row>
    <row r="3717" spans="2:8" x14ac:dyDescent="0.25">
      <c r="B3717" t="str">
        <f t="shared" si="57"/>
        <v>GUMPopulation ages 70-74, female</v>
      </c>
      <c r="C3717" t="s">
        <v>513</v>
      </c>
      <c r="D3717" t="s">
        <v>514</v>
      </c>
      <c r="E3717" t="s">
        <v>390</v>
      </c>
      <c r="F3717" t="s">
        <v>719</v>
      </c>
      <c r="G3717">
        <v>2500</v>
      </c>
      <c r="H3717">
        <v>2600</v>
      </c>
    </row>
    <row r="3718" spans="2:8" x14ac:dyDescent="0.25">
      <c r="B3718" t="str">
        <f t="shared" si="57"/>
        <v>GUMPopulation ages 70-74, male</v>
      </c>
      <c r="C3718" t="s">
        <v>513</v>
      </c>
      <c r="D3718" t="s">
        <v>514</v>
      </c>
      <c r="E3718" t="s">
        <v>391</v>
      </c>
      <c r="F3718" t="s">
        <v>720</v>
      </c>
      <c r="G3718">
        <v>2200</v>
      </c>
      <c r="H3718">
        <v>2300</v>
      </c>
    </row>
    <row r="3719" spans="2:8" x14ac:dyDescent="0.25">
      <c r="B3719" t="str">
        <f t="shared" ref="B3719:B3782" si="58">CONCATENATE(D3719,E3719)</f>
        <v>GUMPopulation ages 75-79, female</v>
      </c>
      <c r="C3719" t="s">
        <v>513</v>
      </c>
      <c r="D3719" t="s">
        <v>514</v>
      </c>
      <c r="E3719" t="s">
        <v>392</v>
      </c>
      <c r="F3719" t="s">
        <v>721</v>
      </c>
      <c r="G3719">
        <v>1500</v>
      </c>
      <c r="H3719">
        <v>1600</v>
      </c>
    </row>
    <row r="3720" spans="2:8" x14ac:dyDescent="0.25">
      <c r="B3720" t="str">
        <f t="shared" si="58"/>
        <v>GUMPopulation ages 75-79, male</v>
      </c>
      <c r="C3720" t="s">
        <v>513</v>
      </c>
      <c r="D3720" t="s">
        <v>514</v>
      </c>
      <c r="E3720" t="s">
        <v>393</v>
      </c>
      <c r="F3720" t="s">
        <v>722</v>
      </c>
      <c r="G3720">
        <v>1200</v>
      </c>
      <c r="H3720">
        <v>1300</v>
      </c>
    </row>
    <row r="3721" spans="2:8" x14ac:dyDescent="0.25">
      <c r="B3721" t="str">
        <f t="shared" si="58"/>
        <v>GUMPopulation ages 80 and above, female</v>
      </c>
      <c r="C3721" t="s">
        <v>513</v>
      </c>
      <c r="D3721" t="s">
        <v>514</v>
      </c>
      <c r="E3721" t="s">
        <v>394</v>
      </c>
      <c r="F3721" t="s">
        <v>723</v>
      </c>
      <c r="G3721">
        <v>2200</v>
      </c>
      <c r="H3721">
        <v>2300</v>
      </c>
    </row>
    <row r="3722" spans="2:8" x14ac:dyDescent="0.25">
      <c r="B3722" t="str">
        <f t="shared" si="58"/>
        <v>GUMPopulation ages 80 and above, male</v>
      </c>
      <c r="C3722" t="s">
        <v>513</v>
      </c>
      <c r="D3722" t="s">
        <v>514</v>
      </c>
      <c r="E3722" t="s">
        <v>395</v>
      </c>
      <c r="F3722" t="s">
        <v>724</v>
      </c>
      <c r="G3722">
        <v>1200</v>
      </c>
      <c r="H3722">
        <v>1300</v>
      </c>
    </row>
    <row r="3723" spans="2:8" x14ac:dyDescent="0.25">
      <c r="B3723" t="str">
        <f t="shared" si="58"/>
        <v>GUMPopulation, male</v>
      </c>
      <c r="C3723" t="s">
        <v>513</v>
      </c>
      <c r="D3723" t="s">
        <v>514</v>
      </c>
      <c r="E3723" t="s">
        <v>397</v>
      </c>
      <c r="F3723" t="s">
        <v>725</v>
      </c>
      <c r="G3723">
        <v>84000</v>
      </c>
      <c r="H3723">
        <v>85000</v>
      </c>
    </row>
    <row r="3724" spans="2:8" x14ac:dyDescent="0.25">
      <c r="B3724" t="str">
        <f t="shared" si="58"/>
        <v>GUMPopulation, total</v>
      </c>
      <c r="C3724" t="s">
        <v>513</v>
      </c>
      <c r="D3724" t="s">
        <v>514</v>
      </c>
      <c r="E3724" t="s">
        <v>398</v>
      </c>
      <c r="F3724" t="s">
        <v>726</v>
      </c>
      <c r="G3724">
        <v>167000</v>
      </c>
      <c r="H3724">
        <v>169000</v>
      </c>
    </row>
    <row r="3725" spans="2:8" x14ac:dyDescent="0.25">
      <c r="B3725" t="str">
        <f t="shared" si="58"/>
        <v>GUMPopulation, female</v>
      </c>
      <c r="C3725" t="s">
        <v>513</v>
      </c>
      <c r="D3725" t="s">
        <v>514</v>
      </c>
      <c r="E3725" t="s">
        <v>396</v>
      </c>
      <c r="F3725" t="s">
        <v>727</v>
      </c>
      <c r="G3725">
        <v>83000</v>
      </c>
      <c r="H3725">
        <v>84000</v>
      </c>
    </row>
    <row r="3726" spans="2:8" x14ac:dyDescent="0.25">
      <c r="B3726" t="str">
        <f t="shared" si="58"/>
        <v>GUMPopulation growth (annual %)</v>
      </c>
      <c r="C3726" t="s">
        <v>513</v>
      </c>
      <c r="D3726" t="s">
        <v>514</v>
      </c>
      <c r="E3726" t="s">
        <v>399</v>
      </c>
      <c r="F3726" t="s">
        <v>728</v>
      </c>
      <c r="G3726">
        <v>0</v>
      </c>
      <c r="H3726">
        <v>0</v>
      </c>
    </row>
    <row r="3727" spans="2:8" x14ac:dyDescent="0.25">
      <c r="B3727" t="str">
        <f t="shared" si="58"/>
        <v>GTMPopulation ages 0-14, female</v>
      </c>
      <c r="C3727" t="s">
        <v>223</v>
      </c>
      <c r="D3727" t="s">
        <v>53</v>
      </c>
      <c r="E3727" t="s">
        <v>687</v>
      </c>
      <c r="F3727" t="s">
        <v>688</v>
      </c>
      <c r="G3727">
        <v>2912000</v>
      </c>
      <c r="H3727">
        <v>2922000</v>
      </c>
    </row>
    <row r="3728" spans="2:8" x14ac:dyDescent="0.25">
      <c r="B3728" t="str">
        <f t="shared" si="58"/>
        <v>GTMPopulation ages 0-14, male</v>
      </c>
      <c r="C3728" t="s">
        <v>223</v>
      </c>
      <c r="D3728" t="s">
        <v>53</v>
      </c>
      <c r="E3728" t="s">
        <v>689</v>
      </c>
      <c r="F3728" t="s">
        <v>690</v>
      </c>
      <c r="G3728">
        <v>3041000</v>
      </c>
      <c r="H3728">
        <v>3052000</v>
      </c>
    </row>
    <row r="3729" spans="2:8" x14ac:dyDescent="0.25">
      <c r="B3729" t="str">
        <f t="shared" si="58"/>
        <v>GTMPopulation ages 00-04, female</v>
      </c>
      <c r="C3729" t="s">
        <v>223</v>
      </c>
      <c r="D3729" t="s">
        <v>53</v>
      </c>
      <c r="E3729" t="s">
        <v>362</v>
      </c>
      <c r="F3729" t="s">
        <v>691</v>
      </c>
      <c r="G3729">
        <v>1005000</v>
      </c>
      <c r="H3729">
        <v>1010000</v>
      </c>
    </row>
    <row r="3730" spans="2:8" x14ac:dyDescent="0.25">
      <c r="B3730" t="str">
        <f t="shared" si="58"/>
        <v>GTMPopulation ages 00-04, male</v>
      </c>
      <c r="C3730" t="s">
        <v>223</v>
      </c>
      <c r="D3730" t="s">
        <v>53</v>
      </c>
      <c r="E3730" t="s">
        <v>363</v>
      </c>
      <c r="F3730" t="s">
        <v>692</v>
      </c>
      <c r="G3730">
        <v>1050000</v>
      </c>
      <c r="H3730">
        <v>1055000</v>
      </c>
    </row>
    <row r="3731" spans="2:8" x14ac:dyDescent="0.25">
      <c r="B3731" t="str">
        <f t="shared" si="58"/>
        <v>GTMPopulation ages 05-09, female</v>
      </c>
      <c r="C3731" t="s">
        <v>223</v>
      </c>
      <c r="D3731" t="s">
        <v>53</v>
      </c>
      <c r="E3731" t="s">
        <v>364</v>
      </c>
      <c r="F3731" t="s">
        <v>693</v>
      </c>
      <c r="G3731">
        <v>962000</v>
      </c>
      <c r="H3731">
        <v>969000</v>
      </c>
    </row>
    <row r="3732" spans="2:8" x14ac:dyDescent="0.25">
      <c r="B3732" t="str">
        <f t="shared" si="58"/>
        <v>GTMPopulation ages 05-09, male</v>
      </c>
      <c r="C3732" t="s">
        <v>223</v>
      </c>
      <c r="D3732" t="s">
        <v>53</v>
      </c>
      <c r="E3732" t="s">
        <v>365</v>
      </c>
      <c r="F3732" t="s">
        <v>694</v>
      </c>
      <c r="G3732">
        <v>1004000</v>
      </c>
      <c r="H3732">
        <v>1013000</v>
      </c>
    </row>
    <row r="3733" spans="2:8" x14ac:dyDescent="0.25">
      <c r="B3733" t="str">
        <f t="shared" si="58"/>
        <v>GTMPopulation ages 10-14, female</v>
      </c>
      <c r="C3733" t="s">
        <v>223</v>
      </c>
      <c r="D3733" t="s">
        <v>53</v>
      </c>
      <c r="E3733" t="s">
        <v>366</v>
      </c>
      <c r="F3733" t="s">
        <v>695</v>
      </c>
      <c r="G3733">
        <v>945000</v>
      </c>
      <c r="H3733">
        <v>942000</v>
      </c>
    </row>
    <row r="3734" spans="2:8" x14ac:dyDescent="0.25">
      <c r="B3734" t="str">
        <f t="shared" si="58"/>
        <v>GTMPopulation ages 10-14, male</v>
      </c>
      <c r="C3734" t="s">
        <v>223</v>
      </c>
      <c r="D3734" t="s">
        <v>53</v>
      </c>
      <c r="E3734" t="s">
        <v>367</v>
      </c>
      <c r="F3734" t="s">
        <v>696</v>
      </c>
      <c r="G3734">
        <v>986000</v>
      </c>
      <c r="H3734">
        <v>984000</v>
      </c>
    </row>
    <row r="3735" spans="2:8" x14ac:dyDescent="0.25">
      <c r="B3735" t="str">
        <f t="shared" si="58"/>
        <v>GTMPopulation ages 15-19, female</v>
      </c>
      <c r="C3735" t="s">
        <v>223</v>
      </c>
      <c r="D3735" t="s">
        <v>53</v>
      </c>
      <c r="E3735" t="s">
        <v>368</v>
      </c>
      <c r="F3735" t="s">
        <v>697</v>
      </c>
      <c r="G3735">
        <v>949000</v>
      </c>
      <c r="H3735">
        <v>954000</v>
      </c>
    </row>
    <row r="3736" spans="2:8" x14ac:dyDescent="0.25">
      <c r="B3736" t="str">
        <f t="shared" si="58"/>
        <v>GTMPopulation ages 15-19, male</v>
      </c>
      <c r="C3736" t="s">
        <v>223</v>
      </c>
      <c r="D3736" t="s">
        <v>53</v>
      </c>
      <c r="E3736" t="s">
        <v>369</v>
      </c>
      <c r="F3736" t="s">
        <v>698</v>
      </c>
      <c r="G3736">
        <v>985000</v>
      </c>
      <c r="H3736">
        <v>992000</v>
      </c>
    </row>
    <row r="3737" spans="2:8" x14ac:dyDescent="0.25">
      <c r="B3737" t="str">
        <f t="shared" si="58"/>
        <v>GTMPopulation ages 20-24, female</v>
      </c>
      <c r="C3737" t="s">
        <v>223</v>
      </c>
      <c r="D3737" t="s">
        <v>53</v>
      </c>
      <c r="E3737" t="s">
        <v>370</v>
      </c>
      <c r="F3737" t="s">
        <v>699</v>
      </c>
      <c r="G3737">
        <v>875000</v>
      </c>
      <c r="H3737">
        <v>889000</v>
      </c>
    </row>
    <row r="3738" spans="2:8" x14ac:dyDescent="0.25">
      <c r="B3738" t="str">
        <f t="shared" si="58"/>
        <v>GTMPopulation ages 20-24, male</v>
      </c>
      <c r="C3738" t="s">
        <v>223</v>
      </c>
      <c r="D3738" t="s">
        <v>53</v>
      </c>
      <c r="E3738" t="s">
        <v>371</v>
      </c>
      <c r="F3738" t="s">
        <v>700</v>
      </c>
      <c r="G3738">
        <v>897000</v>
      </c>
      <c r="H3738">
        <v>913000</v>
      </c>
    </row>
    <row r="3739" spans="2:8" x14ac:dyDescent="0.25">
      <c r="B3739" t="str">
        <f t="shared" si="58"/>
        <v>GTMPopulation ages 25-29, female</v>
      </c>
      <c r="C3739" t="s">
        <v>223</v>
      </c>
      <c r="D3739" t="s">
        <v>53</v>
      </c>
      <c r="E3739" t="s">
        <v>372</v>
      </c>
      <c r="F3739" t="s">
        <v>701</v>
      </c>
      <c r="G3739">
        <v>784000</v>
      </c>
      <c r="H3739">
        <v>804000</v>
      </c>
    </row>
    <row r="3740" spans="2:8" x14ac:dyDescent="0.25">
      <c r="B3740" t="str">
        <f t="shared" si="58"/>
        <v>GTMPopulation ages 25-29, male</v>
      </c>
      <c r="C3740" t="s">
        <v>223</v>
      </c>
      <c r="D3740" t="s">
        <v>53</v>
      </c>
      <c r="E3740" t="s">
        <v>373</v>
      </c>
      <c r="F3740" t="s">
        <v>702</v>
      </c>
      <c r="G3740">
        <v>783000</v>
      </c>
      <c r="H3740">
        <v>807000</v>
      </c>
    </row>
    <row r="3741" spans="2:8" x14ac:dyDescent="0.25">
      <c r="B3741" t="str">
        <f t="shared" si="58"/>
        <v>GTMPopulation ages 30-34, female</v>
      </c>
      <c r="C3741" t="s">
        <v>223</v>
      </c>
      <c r="D3741" t="s">
        <v>53</v>
      </c>
      <c r="E3741" t="s">
        <v>374</v>
      </c>
      <c r="F3741" t="s">
        <v>703</v>
      </c>
      <c r="G3741">
        <v>671000</v>
      </c>
      <c r="H3741">
        <v>687000</v>
      </c>
    </row>
    <row r="3742" spans="2:8" x14ac:dyDescent="0.25">
      <c r="B3742" t="str">
        <f t="shared" si="58"/>
        <v>GTMPopulation ages 30-34, male</v>
      </c>
      <c r="C3742" t="s">
        <v>223</v>
      </c>
      <c r="D3742" t="s">
        <v>53</v>
      </c>
      <c r="E3742" t="s">
        <v>375</v>
      </c>
      <c r="F3742" t="s">
        <v>704</v>
      </c>
      <c r="G3742">
        <v>648000</v>
      </c>
      <c r="H3742">
        <v>667000</v>
      </c>
    </row>
    <row r="3743" spans="2:8" x14ac:dyDescent="0.25">
      <c r="B3743" t="str">
        <f t="shared" si="58"/>
        <v>GTMPopulation ages 35-39, female</v>
      </c>
      <c r="C3743" t="s">
        <v>223</v>
      </c>
      <c r="D3743" t="s">
        <v>53</v>
      </c>
      <c r="E3743" t="s">
        <v>376</v>
      </c>
      <c r="F3743" t="s">
        <v>705</v>
      </c>
      <c r="G3743">
        <v>594000</v>
      </c>
      <c r="H3743">
        <v>610000</v>
      </c>
    </row>
    <row r="3744" spans="2:8" x14ac:dyDescent="0.25">
      <c r="B3744" t="str">
        <f t="shared" si="58"/>
        <v>GTMPopulation ages 35-39, male</v>
      </c>
      <c r="C3744" t="s">
        <v>223</v>
      </c>
      <c r="D3744" t="s">
        <v>53</v>
      </c>
      <c r="E3744" t="s">
        <v>377</v>
      </c>
      <c r="F3744" t="s">
        <v>706</v>
      </c>
      <c r="G3744">
        <v>548000</v>
      </c>
      <c r="H3744">
        <v>568000</v>
      </c>
    </row>
    <row r="3745" spans="2:8" x14ac:dyDescent="0.25">
      <c r="B3745" t="str">
        <f t="shared" si="58"/>
        <v>GTMPopulation ages 40-44, female</v>
      </c>
      <c r="C3745" t="s">
        <v>223</v>
      </c>
      <c r="D3745" t="s">
        <v>53</v>
      </c>
      <c r="E3745" t="s">
        <v>378</v>
      </c>
      <c r="F3745" t="s">
        <v>707</v>
      </c>
      <c r="G3745">
        <v>490000</v>
      </c>
      <c r="H3745">
        <v>509000</v>
      </c>
    </row>
    <row r="3746" spans="2:8" x14ac:dyDescent="0.25">
      <c r="B3746" t="str">
        <f t="shared" si="58"/>
        <v>GTMPopulation ages 40-44, male</v>
      </c>
      <c r="C3746" t="s">
        <v>223</v>
      </c>
      <c r="D3746" t="s">
        <v>53</v>
      </c>
      <c r="E3746" t="s">
        <v>379</v>
      </c>
      <c r="F3746" t="s">
        <v>708</v>
      </c>
      <c r="G3746">
        <v>426000</v>
      </c>
      <c r="H3746">
        <v>447000</v>
      </c>
    </row>
    <row r="3747" spans="2:8" x14ac:dyDescent="0.25">
      <c r="B3747" t="str">
        <f t="shared" si="58"/>
        <v>GTMPopulation ages 45-49, female</v>
      </c>
      <c r="C3747" t="s">
        <v>223</v>
      </c>
      <c r="D3747" t="s">
        <v>53</v>
      </c>
      <c r="E3747" t="s">
        <v>380</v>
      </c>
      <c r="F3747" t="s">
        <v>709</v>
      </c>
      <c r="G3747">
        <v>390000</v>
      </c>
      <c r="H3747">
        <v>407000</v>
      </c>
    </row>
    <row r="3748" spans="2:8" x14ac:dyDescent="0.25">
      <c r="B3748" t="str">
        <f t="shared" si="58"/>
        <v>GTMPopulation ages 45-49, male</v>
      </c>
      <c r="C3748" t="s">
        <v>223</v>
      </c>
      <c r="D3748" t="s">
        <v>53</v>
      </c>
      <c r="E3748" t="s">
        <v>381</v>
      </c>
      <c r="F3748" t="s">
        <v>710</v>
      </c>
      <c r="G3748">
        <v>322000</v>
      </c>
      <c r="H3748">
        <v>339000</v>
      </c>
    </row>
    <row r="3749" spans="2:8" x14ac:dyDescent="0.25">
      <c r="B3749" t="str">
        <f t="shared" si="58"/>
        <v>GTMPopulation ages 50-54, female</v>
      </c>
      <c r="C3749" t="s">
        <v>223</v>
      </c>
      <c r="D3749" t="s">
        <v>53</v>
      </c>
      <c r="E3749" t="s">
        <v>382</v>
      </c>
      <c r="F3749" t="s">
        <v>711</v>
      </c>
      <c r="G3749">
        <v>311000</v>
      </c>
      <c r="H3749">
        <v>323000</v>
      </c>
    </row>
    <row r="3750" spans="2:8" x14ac:dyDescent="0.25">
      <c r="B3750" t="str">
        <f t="shared" si="58"/>
        <v>GTMPopulation ages 50-54, male</v>
      </c>
      <c r="C3750" t="s">
        <v>223</v>
      </c>
      <c r="D3750" t="s">
        <v>53</v>
      </c>
      <c r="E3750" t="s">
        <v>383</v>
      </c>
      <c r="F3750" t="s">
        <v>712</v>
      </c>
      <c r="G3750">
        <v>250000</v>
      </c>
      <c r="H3750">
        <v>260000</v>
      </c>
    </row>
    <row r="3751" spans="2:8" x14ac:dyDescent="0.25">
      <c r="B3751" t="str">
        <f t="shared" si="58"/>
        <v>GTMPopulation ages 55-59, male</v>
      </c>
      <c r="C3751" t="s">
        <v>223</v>
      </c>
      <c r="D3751" t="s">
        <v>53</v>
      </c>
      <c r="E3751" t="s">
        <v>385</v>
      </c>
      <c r="F3751" t="s">
        <v>713</v>
      </c>
      <c r="G3751">
        <v>202000</v>
      </c>
      <c r="H3751">
        <v>208000</v>
      </c>
    </row>
    <row r="3752" spans="2:8" x14ac:dyDescent="0.25">
      <c r="B3752" t="str">
        <f t="shared" si="58"/>
        <v>GTMPopulation ages 55-59, female</v>
      </c>
      <c r="C3752" t="s">
        <v>223</v>
      </c>
      <c r="D3752" t="s">
        <v>53</v>
      </c>
      <c r="E3752" t="s">
        <v>384</v>
      </c>
      <c r="F3752" t="s">
        <v>714</v>
      </c>
      <c r="G3752">
        <v>254000</v>
      </c>
      <c r="H3752">
        <v>262000</v>
      </c>
    </row>
    <row r="3753" spans="2:8" x14ac:dyDescent="0.25">
      <c r="B3753" t="str">
        <f t="shared" si="58"/>
        <v>GTMPopulation ages 65-69, male</v>
      </c>
      <c r="C3753" t="s">
        <v>223</v>
      </c>
      <c r="D3753" t="s">
        <v>53</v>
      </c>
      <c r="E3753" t="s">
        <v>389</v>
      </c>
      <c r="F3753" t="s">
        <v>715</v>
      </c>
      <c r="G3753">
        <v>140000</v>
      </c>
      <c r="H3753">
        <v>147000</v>
      </c>
    </row>
    <row r="3754" spans="2:8" x14ac:dyDescent="0.25">
      <c r="B3754" t="str">
        <f t="shared" si="58"/>
        <v>GTMPopulation ages 65-69, female</v>
      </c>
      <c r="C3754" t="s">
        <v>223</v>
      </c>
      <c r="D3754" t="s">
        <v>53</v>
      </c>
      <c r="E3754" t="s">
        <v>388</v>
      </c>
      <c r="F3754" t="s">
        <v>716</v>
      </c>
      <c r="G3754">
        <v>172000</v>
      </c>
      <c r="H3754">
        <v>180000</v>
      </c>
    </row>
    <row r="3755" spans="2:8" x14ac:dyDescent="0.25">
      <c r="B3755" t="str">
        <f t="shared" si="58"/>
        <v>GTMPopulation ages 60-64, female</v>
      </c>
      <c r="C3755" t="s">
        <v>223</v>
      </c>
      <c r="D3755" t="s">
        <v>53</v>
      </c>
      <c r="E3755" t="s">
        <v>386</v>
      </c>
      <c r="F3755" t="s">
        <v>717</v>
      </c>
      <c r="G3755">
        <v>213000</v>
      </c>
      <c r="H3755">
        <v>218000</v>
      </c>
    </row>
    <row r="3756" spans="2:8" x14ac:dyDescent="0.25">
      <c r="B3756" t="str">
        <f t="shared" si="58"/>
        <v>GTMPopulation ages 60-64, male</v>
      </c>
      <c r="C3756" t="s">
        <v>223</v>
      </c>
      <c r="D3756" t="s">
        <v>53</v>
      </c>
      <c r="E3756" t="s">
        <v>387</v>
      </c>
      <c r="F3756" t="s">
        <v>718</v>
      </c>
      <c r="G3756">
        <v>171000</v>
      </c>
      <c r="H3756">
        <v>174000</v>
      </c>
    </row>
    <row r="3757" spans="2:8" x14ac:dyDescent="0.25">
      <c r="B3757" t="str">
        <f t="shared" si="58"/>
        <v>GTMPopulation ages 70-74, female</v>
      </c>
      <c r="C3757" t="s">
        <v>223</v>
      </c>
      <c r="D3757" t="s">
        <v>53</v>
      </c>
      <c r="E3757" t="s">
        <v>390</v>
      </c>
      <c r="F3757" t="s">
        <v>719</v>
      </c>
      <c r="G3757">
        <v>116000</v>
      </c>
      <c r="H3757">
        <v>123000</v>
      </c>
    </row>
    <row r="3758" spans="2:8" x14ac:dyDescent="0.25">
      <c r="B3758" t="str">
        <f t="shared" si="58"/>
        <v>GTMPopulation ages 70-74, male</v>
      </c>
      <c r="C3758" t="s">
        <v>223</v>
      </c>
      <c r="D3758" t="s">
        <v>53</v>
      </c>
      <c r="E3758" t="s">
        <v>391</v>
      </c>
      <c r="F3758" t="s">
        <v>720</v>
      </c>
      <c r="G3758">
        <v>94000</v>
      </c>
      <c r="H3758">
        <v>99000</v>
      </c>
    </row>
    <row r="3759" spans="2:8" x14ac:dyDescent="0.25">
      <c r="B3759" t="str">
        <f t="shared" si="58"/>
        <v>GTMPopulation ages 75-79, female</v>
      </c>
      <c r="C3759" t="s">
        <v>223</v>
      </c>
      <c r="D3759" t="s">
        <v>53</v>
      </c>
      <c r="E3759" t="s">
        <v>392</v>
      </c>
      <c r="F3759" t="s">
        <v>721</v>
      </c>
      <c r="G3759">
        <v>86000</v>
      </c>
      <c r="H3759">
        <v>89000</v>
      </c>
    </row>
    <row r="3760" spans="2:8" x14ac:dyDescent="0.25">
      <c r="B3760" t="str">
        <f t="shared" si="58"/>
        <v>GTMPopulation ages 75-79, male</v>
      </c>
      <c r="C3760" t="s">
        <v>223</v>
      </c>
      <c r="D3760" t="s">
        <v>53</v>
      </c>
      <c r="E3760" t="s">
        <v>393</v>
      </c>
      <c r="F3760" t="s">
        <v>722</v>
      </c>
      <c r="G3760">
        <v>70000</v>
      </c>
      <c r="H3760">
        <v>72000</v>
      </c>
    </row>
    <row r="3761" spans="2:8" x14ac:dyDescent="0.25">
      <c r="B3761" t="str">
        <f t="shared" si="58"/>
        <v>GTMPopulation ages 80 and above, female</v>
      </c>
      <c r="C3761" t="s">
        <v>223</v>
      </c>
      <c r="D3761" t="s">
        <v>53</v>
      </c>
      <c r="E3761" t="s">
        <v>394</v>
      </c>
      <c r="F3761" t="s">
        <v>723</v>
      </c>
      <c r="G3761">
        <v>106000</v>
      </c>
      <c r="H3761">
        <v>110000</v>
      </c>
    </row>
    <row r="3762" spans="2:8" x14ac:dyDescent="0.25">
      <c r="B3762" t="str">
        <f t="shared" si="58"/>
        <v>GTMPopulation ages 80 and above, male</v>
      </c>
      <c r="C3762" t="s">
        <v>223</v>
      </c>
      <c r="D3762" t="s">
        <v>53</v>
      </c>
      <c r="E3762" t="s">
        <v>395</v>
      </c>
      <c r="F3762" t="s">
        <v>724</v>
      </c>
      <c r="G3762">
        <v>82000</v>
      </c>
      <c r="H3762">
        <v>84000</v>
      </c>
    </row>
    <row r="3763" spans="2:8" x14ac:dyDescent="0.25">
      <c r="B3763" t="str">
        <f t="shared" si="58"/>
        <v>GTMPopulation, male</v>
      </c>
      <c r="C3763" t="s">
        <v>223</v>
      </c>
      <c r="D3763" t="s">
        <v>53</v>
      </c>
      <c r="E3763" t="s">
        <v>397</v>
      </c>
      <c r="F3763" t="s">
        <v>725</v>
      </c>
      <c r="G3763">
        <v>8660000</v>
      </c>
      <c r="H3763">
        <v>8827000</v>
      </c>
    </row>
    <row r="3764" spans="2:8" x14ac:dyDescent="0.25">
      <c r="B3764" t="str">
        <f t="shared" si="58"/>
        <v>GTMPopulation, total</v>
      </c>
      <c r="C3764" t="s">
        <v>223</v>
      </c>
      <c r="D3764" t="s">
        <v>53</v>
      </c>
      <c r="E3764" t="s">
        <v>398</v>
      </c>
      <c r="F3764" t="s">
        <v>726</v>
      </c>
      <c r="G3764">
        <v>17581000</v>
      </c>
      <c r="H3764">
        <v>17916000</v>
      </c>
    </row>
    <row r="3765" spans="2:8" x14ac:dyDescent="0.25">
      <c r="B3765" t="str">
        <f t="shared" si="58"/>
        <v>GTMPopulation, female</v>
      </c>
      <c r="C3765" t="s">
        <v>223</v>
      </c>
      <c r="D3765" t="s">
        <v>53</v>
      </c>
      <c r="E3765" t="s">
        <v>396</v>
      </c>
      <c r="F3765" t="s">
        <v>727</v>
      </c>
      <c r="G3765">
        <v>8922000</v>
      </c>
      <c r="H3765">
        <v>9088000</v>
      </c>
    </row>
    <row r="3766" spans="2:8" x14ac:dyDescent="0.25">
      <c r="B3766" t="str">
        <f t="shared" si="58"/>
        <v>GTMPopulation growth (annual %)</v>
      </c>
      <c r="C3766" t="s">
        <v>223</v>
      </c>
      <c r="D3766" t="s">
        <v>53</v>
      </c>
      <c r="E3766" t="s">
        <v>399</v>
      </c>
      <c r="F3766" t="s">
        <v>728</v>
      </c>
      <c r="G3766">
        <v>0</v>
      </c>
      <c r="H3766">
        <v>0</v>
      </c>
    </row>
    <row r="3767" spans="2:8" x14ac:dyDescent="0.25">
      <c r="B3767" t="str">
        <f t="shared" si="58"/>
        <v>GINPopulation ages 0-14, female</v>
      </c>
      <c r="C3767" t="s">
        <v>197</v>
      </c>
      <c r="D3767" t="s">
        <v>49</v>
      </c>
      <c r="E3767" t="s">
        <v>687</v>
      </c>
      <c r="F3767" t="s">
        <v>688</v>
      </c>
      <c r="G3767">
        <v>2756000</v>
      </c>
      <c r="H3767">
        <v>2807000</v>
      </c>
    </row>
    <row r="3768" spans="2:8" x14ac:dyDescent="0.25">
      <c r="B3768" t="str">
        <f t="shared" si="58"/>
        <v>GINPopulation ages 0-14, male</v>
      </c>
      <c r="C3768" t="s">
        <v>197</v>
      </c>
      <c r="D3768" t="s">
        <v>49</v>
      </c>
      <c r="E3768" t="s">
        <v>689</v>
      </c>
      <c r="F3768" t="s">
        <v>690</v>
      </c>
      <c r="G3768">
        <v>2793000</v>
      </c>
      <c r="H3768">
        <v>2846000</v>
      </c>
    </row>
    <row r="3769" spans="2:8" x14ac:dyDescent="0.25">
      <c r="B3769" t="str">
        <f t="shared" si="58"/>
        <v>GINPopulation ages 00-04, female</v>
      </c>
      <c r="C3769" t="s">
        <v>197</v>
      </c>
      <c r="D3769" t="s">
        <v>49</v>
      </c>
      <c r="E3769" t="s">
        <v>362</v>
      </c>
      <c r="F3769" t="s">
        <v>691</v>
      </c>
      <c r="G3769">
        <v>1023000</v>
      </c>
      <c r="H3769">
        <v>1043000</v>
      </c>
    </row>
    <row r="3770" spans="2:8" x14ac:dyDescent="0.25">
      <c r="B3770" t="str">
        <f t="shared" si="58"/>
        <v>GINPopulation ages 00-04, male</v>
      </c>
      <c r="C3770" t="s">
        <v>197</v>
      </c>
      <c r="D3770" t="s">
        <v>49</v>
      </c>
      <c r="E3770" t="s">
        <v>363</v>
      </c>
      <c r="F3770" t="s">
        <v>692</v>
      </c>
      <c r="G3770">
        <v>1037000</v>
      </c>
      <c r="H3770">
        <v>1057000</v>
      </c>
    </row>
    <row r="3771" spans="2:8" x14ac:dyDescent="0.25">
      <c r="B3771" t="str">
        <f t="shared" si="58"/>
        <v>GINPopulation ages 05-09, female</v>
      </c>
      <c r="C3771" t="s">
        <v>197</v>
      </c>
      <c r="D3771" t="s">
        <v>49</v>
      </c>
      <c r="E3771" t="s">
        <v>364</v>
      </c>
      <c r="F3771" t="s">
        <v>693</v>
      </c>
      <c r="G3771">
        <v>911000</v>
      </c>
      <c r="H3771">
        <v>927000</v>
      </c>
    </row>
    <row r="3772" spans="2:8" x14ac:dyDescent="0.25">
      <c r="B3772" t="str">
        <f t="shared" si="58"/>
        <v>GINPopulation ages 05-09, male</v>
      </c>
      <c r="C3772" t="s">
        <v>197</v>
      </c>
      <c r="D3772" t="s">
        <v>49</v>
      </c>
      <c r="E3772" t="s">
        <v>365</v>
      </c>
      <c r="F3772" t="s">
        <v>694</v>
      </c>
      <c r="G3772">
        <v>923000</v>
      </c>
      <c r="H3772">
        <v>939000</v>
      </c>
    </row>
    <row r="3773" spans="2:8" x14ac:dyDescent="0.25">
      <c r="B3773" t="str">
        <f t="shared" si="58"/>
        <v>GINPopulation ages 10-14, female</v>
      </c>
      <c r="C3773" t="s">
        <v>197</v>
      </c>
      <c r="D3773" t="s">
        <v>49</v>
      </c>
      <c r="E3773" t="s">
        <v>366</v>
      </c>
      <c r="F3773" t="s">
        <v>695</v>
      </c>
      <c r="G3773">
        <v>822000</v>
      </c>
      <c r="H3773">
        <v>838000</v>
      </c>
    </row>
    <row r="3774" spans="2:8" x14ac:dyDescent="0.25">
      <c r="B3774" t="str">
        <f t="shared" si="58"/>
        <v>GINPopulation ages 10-14, male</v>
      </c>
      <c r="C3774" t="s">
        <v>197</v>
      </c>
      <c r="D3774" t="s">
        <v>49</v>
      </c>
      <c r="E3774" t="s">
        <v>367</v>
      </c>
      <c r="F3774" t="s">
        <v>696</v>
      </c>
      <c r="G3774">
        <v>834000</v>
      </c>
      <c r="H3774">
        <v>850000</v>
      </c>
    </row>
    <row r="3775" spans="2:8" x14ac:dyDescent="0.25">
      <c r="B3775" t="str">
        <f t="shared" si="58"/>
        <v>GINPopulation ages 15-19, female</v>
      </c>
      <c r="C3775" t="s">
        <v>197</v>
      </c>
      <c r="D3775" t="s">
        <v>49</v>
      </c>
      <c r="E3775" t="s">
        <v>368</v>
      </c>
      <c r="F3775" t="s">
        <v>697</v>
      </c>
      <c r="G3775">
        <v>730000</v>
      </c>
      <c r="H3775">
        <v>748000</v>
      </c>
    </row>
    <row r="3776" spans="2:8" x14ac:dyDescent="0.25">
      <c r="B3776" t="str">
        <f t="shared" si="58"/>
        <v>GINPopulation ages 15-19, male</v>
      </c>
      <c r="C3776" t="s">
        <v>197</v>
      </c>
      <c r="D3776" t="s">
        <v>49</v>
      </c>
      <c r="E3776" t="s">
        <v>369</v>
      </c>
      <c r="F3776" t="s">
        <v>698</v>
      </c>
      <c r="G3776">
        <v>745000</v>
      </c>
      <c r="H3776">
        <v>763000</v>
      </c>
    </row>
    <row r="3777" spans="2:8" x14ac:dyDescent="0.25">
      <c r="B3777" t="str">
        <f t="shared" si="58"/>
        <v>GINPopulation ages 20-24, female</v>
      </c>
      <c r="C3777" t="s">
        <v>197</v>
      </c>
      <c r="D3777" t="s">
        <v>49</v>
      </c>
      <c r="E3777" t="s">
        <v>370</v>
      </c>
      <c r="F3777" t="s">
        <v>699</v>
      </c>
      <c r="G3777">
        <v>625000</v>
      </c>
      <c r="H3777">
        <v>645000</v>
      </c>
    </row>
    <row r="3778" spans="2:8" x14ac:dyDescent="0.25">
      <c r="B3778" t="str">
        <f t="shared" si="58"/>
        <v>GINPopulation ages 20-24, male</v>
      </c>
      <c r="C3778" t="s">
        <v>197</v>
      </c>
      <c r="D3778" t="s">
        <v>49</v>
      </c>
      <c r="E3778" t="s">
        <v>371</v>
      </c>
      <c r="F3778" t="s">
        <v>700</v>
      </c>
      <c r="G3778">
        <v>637000</v>
      </c>
      <c r="H3778">
        <v>660000</v>
      </c>
    </row>
    <row r="3779" spans="2:8" x14ac:dyDescent="0.25">
      <c r="B3779" t="str">
        <f t="shared" si="58"/>
        <v>GINPopulation ages 25-29, female</v>
      </c>
      <c r="C3779" t="s">
        <v>197</v>
      </c>
      <c r="D3779" t="s">
        <v>49</v>
      </c>
      <c r="E3779" t="s">
        <v>372</v>
      </c>
      <c r="F3779" t="s">
        <v>701</v>
      </c>
      <c r="G3779">
        <v>511000</v>
      </c>
      <c r="H3779">
        <v>530000</v>
      </c>
    </row>
    <row r="3780" spans="2:8" x14ac:dyDescent="0.25">
      <c r="B3780" t="str">
        <f t="shared" si="58"/>
        <v>GINPopulation ages 25-29, male</v>
      </c>
      <c r="C3780" t="s">
        <v>197</v>
      </c>
      <c r="D3780" t="s">
        <v>49</v>
      </c>
      <c r="E3780" t="s">
        <v>373</v>
      </c>
      <c r="F3780" t="s">
        <v>702</v>
      </c>
      <c r="G3780">
        <v>505000</v>
      </c>
      <c r="H3780">
        <v>530000</v>
      </c>
    </row>
    <row r="3781" spans="2:8" x14ac:dyDescent="0.25">
      <c r="B3781" t="str">
        <f t="shared" si="58"/>
        <v>GINPopulation ages 30-34, female</v>
      </c>
      <c r="C3781" t="s">
        <v>197</v>
      </c>
      <c r="D3781" t="s">
        <v>49</v>
      </c>
      <c r="E3781" t="s">
        <v>374</v>
      </c>
      <c r="F3781" t="s">
        <v>703</v>
      </c>
      <c r="G3781">
        <v>414000</v>
      </c>
      <c r="H3781">
        <v>430000</v>
      </c>
    </row>
    <row r="3782" spans="2:8" x14ac:dyDescent="0.25">
      <c r="B3782" t="str">
        <f t="shared" si="58"/>
        <v>GINPopulation ages 30-34, male</v>
      </c>
      <c r="C3782" t="s">
        <v>197</v>
      </c>
      <c r="D3782" t="s">
        <v>49</v>
      </c>
      <c r="E3782" t="s">
        <v>375</v>
      </c>
      <c r="F3782" t="s">
        <v>704</v>
      </c>
      <c r="G3782">
        <v>376000</v>
      </c>
      <c r="H3782">
        <v>398000</v>
      </c>
    </row>
    <row r="3783" spans="2:8" x14ac:dyDescent="0.25">
      <c r="B3783" t="str">
        <f t="shared" ref="B3783:B3846" si="59">CONCATENATE(D3783,E3783)</f>
        <v>GINPopulation ages 35-39, female</v>
      </c>
      <c r="C3783" t="s">
        <v>197</v>
      </c>
      <c r="D3783" t="s">
        <v>49</v>
      </c>
      <c r="E3783" t="s">
        <v>376</v>
      </c>
      <c r="F3783" t="s">
        <v>705</v>
      </c>
      <c r="G3783">
        <v>338000</v>
      </c>
      <c r="H3783">
        <v>351000</v>
      </c>
    </row>
    <row r="3784" spans="2:8" x14ac:dyDescent="0.25">
      <c r="B3784" t="str">
        <f t="shared" si="59"/>
        <v>GINPopulation ages 35-39, male</v>
      </c>
      <c r="C3784" t="s">
        <v>197</v>
      </c>
      <c r="D3784" t="s">
        <v>49</v>
      </c>
      <c r="E3784" t="s">
        <v>377</v>
      </c>
      <c r="F3784" t="s">
        <v>706</v>
      </c>
      <c r="G3784">
        <v>275000</v>
      </c>
      <c r="H3784">
        <v>292000</v>
      </c>
    </row>
    <row r="3785" spans="2:8" x14ac:dyDescent="0.25">
      <c r="B3785" t="str">
        <f t="shared" si="59"/>
        <v>GINPopulation ages 40-44, female</v>
      </c>
      <c r="C3785" t="s">
        <v>197</v>
      </c>
      <c r="D3785" t="s">
        <v>49</v>
      </c>
      <c r="E3785" t="s">
        <v>378</v>
      </c>
      <c r="F3785" t="s">
        <v>707</v>
      </c>
      <c r="G3785">
        <v>274000</v>
      </c>
      <c r="H3785">
        <v>284000</v>
      </c>
    </row>
    <row r="3786" spans="2:8" x14ac:dyDescent="0.25">
      <c r="B3786" t="str">
        <f t="shared" si="59"/>
        <v>GINPopulation ages 40-44, male</v>
      </c>
      <c r="C3786" t="s">
        <v>197</v>
      </c>
      <c r="D3786" t="s">
        <v>49</v>
      </c>
      <c r="E3786" t="s">
        <v>379</v>
      </c>
      <c r="F3786" t="s">
        <v>708</v>
      </c>
      <c r="G3786">
        <v>205000</v>
      </c>
      <c r="H3786">
        <v>216000</v>
      </c>
    </row>
    <row r="3787" spans="2:8" x14ac:dyDescent="0.25">
      <c r="B3787" t="str">
        <f t="shared" si="59"/>
        <v>GINPopulation ages 45-49, female</v>
      </c>
      <c r="C3787" t="s">
        <v>197</v>
      </c>
      <c r="D3787" t="s">
        <v>49</v>
      </c>
      <c r="E3787" t="s">
        <v>380</v>
      </c>
      <c r="F3787" t="s">
        <v>709</v>
      </c>
      <c r="G3787">
        <v>226000</v>
      </c>
      <c r="H3787">
        <v>233000</v>
      </c>
    </row>
    <row r="3788" spans="2:8" x14ac:dyDescent="0.25">
      <c r="B3788" t="str">
        <f t="shared" si="59"/>
        <v>GINPopulation ages 45-49, male</v>
      </c>
      <c r="C3788" t="s">
        <v>197</v>
      </c>
      <c r="D3788" t="s">
        <v>49</v>
      </c>
      <c r="E3788" t="s">
        <v>381</v>
      </c>
      <c r="F3788" t="s">
        <v>710</v>
      </c>
      <c r="G3788">
        <v>160000</v>
      </c>
      <c r="H3788">
        <v>166000</v>
      </c>
    </row>
    <row r="3789" spans="2:8" x14ac:dyDescent="0.25">
      <c r="B3789" t="str">
        <f t="shared" si="59"/>
        <v>GINPopulation ages 50-54, female</v>
      </c>
      <c r="C3789" t="s">
        <v>197</v>
      </c>
      <c r="D3789" t="s">
        <v>49</v>
      </c>
      <c r="E3789" t="s">
        <v>382</v>
      </c>
      <c r="F3789" t="s">
        <v>711</v>
      </c>
      <c r="G3789">
        <v>193000</v>
      </c>
      <c r="H3789">
        <v>197000</v>
      </c>
    </row>
    <row r="3790" spans="2:8" x14ac:dyDescent="0.25">
      <c r="B3790" t="str">
        <f t="shared" si="59"/>
        <v>GINPopulation ages 50-54, male</v>
      </c>
      <c r="C3790" t="s">
        <v>197</v>
      </c>
      <c r="D3790" t="s">
        <v>49</v>
      </c>
      <c r="E3790" t="s">
        <v>383</v>
      </c>
      <c r="F3790" t="s">
        <v>712</v>
      </c>
      <c r="G3790">
        <v>132000</v>
      </c>
      <c r="H3790">
        <v>136000</v>
      </c>
    </row>
    <row r="3791" spans="2:8" x14ac:dyDescent="0.25">
      <c r="B3791" t="str">
        <f t="shared" si="59"/>
        <v>GINPopulation ages 55-59, male</v>
      </c>
      <c r="C3791" t="s">
        <v>197</v>
      </c>
      <c r="D3791" t="s">
        <v>49</v>
      </c>
      <c r="E3791" t="s">
        <v>385</v>
      </c>
      <c r="F3791" t="s">
        <v>713</v>
      </c>
      <c r="G3791">
        <v>108000</v>
      </c>
      <c r="H3791">
        <v>111000</v>
      </c>
    </row>
    <row r="3792" spans="2:8" x14ac:dyDescent="0.25">
      <c r="B3792" t="str">
        <f t="shared" si="59"/>
        <v>GINPopulation ages 55-59, female</v>
      </c>
      <c r="C3792" t="s">
        <v>197</v>
      </c>
      <c r="D3792" t="s">
        <v>49</v>
      </c>
      <c r="E3792" t="s">
        <v>384</v>
      </c>
      <c r="F3792" t="s">
        <v>714</v>
      </c>
      <c r="G3792">
        <v>167000</v>
      </c>
      <c r="H3792">
        <v>170000</v>
      </c>
    </row>
    <row r="3793" spans="2:8" x14ac:dyDescent="0.25">
      <c r="B3793" t="str">
        <f t="shared" si="59"/>
        <v>GINPopulation ages 65-69, male</v>
      </c>
      <c r="C3793" t="s">
        <v>197</v>
      </c>
      <c r="D3793" t="s">
        <v>49</v>
      </c>
      <c r="E3793" t="s">
        <v>389</v>
      </c>
      <c r="F3793" t="s">
        <v>715</v>
      </c>
      <c r="G3793">
        <v>64000</v>
      </c>
      <c r="H3793">
        <v>67000</v>
      </c>
    </row>
    <row r="3794" spans="2:8" x14ac:dyDescent="0.25">
      <c r="B3794" t="str">
        <f t="shared" si="59"/>
        <v>GINPopulation ages 65-69, female</v>
      </c>
      <c r="C3794" t="s">
        <v>197</v>
      </c>
      <c r="D3794" t="s">
        <v>49</v>
      </c>
      <c r="E3794" t="s">
        <v>388</v>
      </c>
      <c r="F3794" t="s">
        <v>716</v>
      </c>
      <c r="G3794">
        <v>106000</v>
      </c>
      <c r="H3794">
        <v>111000</v>
      </c>
    </row>
    <row r="3795" spans="2:8" x14ac:dyDescent="0.25">
      <c r="B3795" t="str">
        <f t="shared" si="59"/>
        <v>GINPopulation ages 60-64, female</v>
      </c>
      <c r="C3795" t="s">
        <v>197</v>
      </c>
      <c r="D3795" t="s">
        <v>49</v>
      </c>
      <c r="E3795" t="s">
        <v>386</v>
      </c>
      <c r="F3795" t="s">
        <v>717</v>
      </c>
      <c r="G3795">
        <v>139000</v>
      </c>
      <c r="H3795">
        <v>142000</v>
      </c>
    </row>
    <row r="3796" spans="2:8" x14ac:dyDescent="0.25">
      <c r="B3796" t="str">
        <f t="shared" si="59"/>
        <v>GINPopulation ages 60-64, male</v>
      </c>
      <c r="C3796" t="s">
        <v>197</v>
      </c>
      <c r="D3796" t="s">
        <v>49</v>
      </c>
      <c r="E3796" t="s">
        <v>387</v>
      </c>
      <c r="F3796" t="s">
        <v>718</v>
      </c>
      <c r="G3796">
        <v>86000</v>
      </c>
      <c r="H3796">
        <v>88000</v>
      </c>
    </row>
    <row r="3797" spans="2:8" x14ac:dyDescent="0.25">
      <c r="B3797" t="str">
        <f t="shared" si="59"/>
        <v>GINPopulation ages 70-74, female</v>
      </c>
      <c r="C3797" t="s">
        <v>197</v>
      </c>
      <c r="D3797" t="s">
        <v>49</v>
      </c>
      <c r="E3797" t="s">
        <v>390</v>
      </c>
      <c r="F3797" t="s">
        <v>719</v>
      </c>
      <c r="G3797">
        <v>63000</v>
      </c>
      <c r="H3797">
        <v>66000</v>
      </c>
    </row>
    <row r="3798" spans="2:8" x14ac:dyDescent="0.25">
      <c r="B3798" t="str">
        <f t="shared" si="59"/>
        <v>GINPopulation ages 70-74, male</v>
      </c>
      <c r="C3798" t="s">
        <v>197</v>
      </c>
      <c r="D3798" t="s">
        <v>49</v>
      </c>
      <c r="E3798" t="s">
        <v>391</v>
      </c>
      <c r="F3798" t="s">
        <v>720</v>
      </c>
      <c r="G3798">
        <v>38000</v>
      </c>
      <c r="H3798">
        <v>39000</v>
      </c>
    </row>
    <row r="3799" spans="2:8" x14ac:dyDescent="0.25">
      <c r="B3799" t="str">
        <f t="shared" si="59"/>
        <v>GINPopulation ages 75-79, female</v>
      </c>
      <c r="C3799" t="s">
        <v>197</v>
      </c>
      <c r="D3799" t="s">
        <v>49</v>
      </c>
      <c r="E3799" t="s">
        <v>392</v>
      </c>
      <c r="F3799" t="s">
        <v>721</v>
      </c>
      <c r="G3799">
        <v>40000</v>
      </c>
      <c r="H3799">
        <v>40000</v>
      </c>
    </row>
    <row r="3800" spans="2:8" x14ac:dyDescent="0.25">
      <c r="B3800" t="str">
        <f t="shared" si="59"/>
        <v>GINPopulation ages 75-79, male</v>
      </c>
      <c r="C3800" t="s">
        <v>197</v>
      </c>
      <c r="D3800" t="s">
        <v>49</v>
      </c>
      <c r="E3800" t="s">
        <v>393</v>
      </c>
      <c r="F3800" t="s">
        <v>722</v>
      </c>
      <c r="G3800">
        <v>25000</v>
      </c>
      <c r="H3800">
        <v>25000</v>
      </c>
    </row>
    <row r="3801" spans="2:8" x14ac:dyDescent="0.25">
      <c r="B3801" t="str">
        <f t="shared" si="59"/>
        <v>GINPopulation ages 80 and above, female</v>
      </c>
      <c r="C3801" t="s">
        <v>197</v>
      </c>
      <c r="D3801" t="s">
        <v>49</v>
      </c>
      <c r="E3801" t="s">
        <v>394</v>
      </c>
      <c r="F3801" t="s">
        <v>723</v>
      </c>
      <c r="G3801">
        <v>25000</v>
      </c>
      <c r="H3801">
        <v>24000</v>
      </c>
    </row>
    <row r="3802" spans="2:8" x14ac:dyDescent="0.25">
      <c r="B3802" t="str">
        <f t="shared" si="59"/>
        <v>GINPopulation ages 80 and above, male</v>
      </c>
      <c r="C3802" t="s">
        <v>197</v>
      </c>
      <c r="D3802" t="s">
        <v>49</v>
      </c>
      <c r="E3802" t="s">
        <v>395</v>
      </c>
      <c r="F3802" t="s">
        <v>724</v>
      </c>
      <c r="G3802">
        <v>15000</v>
      </c>
      <c r="H3802">
        <v>15000</v>
      </c>
    </row>
    <row r="3803" spans="2:8" x14ac:dyDescent="0.25">
      <c r="B3803" t="str">
        <f t="shared" si="59"/>
        <v>GINPopulation, male</v>
      </c>
      <c r="C3803" t="s">
        <v>197</v>
      </c>
      <c r="D3803" t="s">
        <v>49</v>
      </c>
      <c r="E3803" t="s">
        <v>397</v>
      </c>
      <c r="F3803" t="s">
        <v>725</v>
      </c>
      <c r="G3803">
        <v>6166000</v>
      </c>
      <c r="H3803">
        <v>6353000</v>
      </c>
    </row>
    <row r="3804" spans="2:8" x14ac:dyDescent="0.25">
      <c r="B3804" t="str">
        <f t="shared" si="59"/>
        <v>GINPopulation, total</v>
      </c>
      <c r="C3804" t="s">
        <v>197</v>
      </c>
      <c r="D3804" t="s">
        <v>49</v>
      </c>
      <c r="E3804" t="s">
        <v>398</v>
      </c>
      <c r="F3804" t="s">
        <v>726</v>
      </c>
      <c r="G3804">
        <v>12771000</v>
      </c>
      <c r="H3804">
        <v>13133000</v>
      </c>
    </row>
    <row r="3805" spans="2:8" x14ac:dyDescent="0.25">
      <c r="B3805" t="str">
        <f t="shared" si="59"/>
        <v>GINPopulation, female</v>
      </c>
      <c r="C3805" t="s">
        <v>197</v>
      </c>
      <c r="D3805" t="s">
        <v>49</v>
      </c>
      <c r="E3805" t="s">
        <v>396</v>
      </c>
      <c r="F3805" t="s">
        <v>727</v>
      </c>
      <c r="G3805">
        <v>6605000</v>
      </c>
      <c r="H3805">
        <v>6780000</v>
      </c>
    </row>
    <row r="3806" spans="2:8" x14ac:dyDescent="0.25">
      <c r="B3806" t="str">
        <f t="shared" si="59"/>
        <v>GINPopulation growth (annual %)</v>
      </c>
      <c r="C3806" t="s">
        <v>197</v>
      </c>
      <c r="D3806" t="s">
        <v>49</v>
      </c>
      <c r="E3806" t="s">
        <v>399</v>
      </c>
      <c r="F3806" t="s">
        <v>728</v>
      </c>
      <c r="G3806">
        <v>0</v>
      </c>
      <c r="H3806">
        <v>0</v>
      </c>
    </row>
    <row r="3807" spans="2:8" x14ac:dyDescent="0.25">
      <c r="B3807" t="str">
        <f t="shared" si="59"/>
        <v>GNBPopulation ages 0-14, female</v>
      </c>
      <c r="C3807" t="s">
        <v>198</v>
      </c>
      <c r="D3807" t="s">
        <v>172</v>
      </c>
      <c r="E3807" t="s">
        <v>687</v>
      </c>
      <c r="F3807" t="s">
        <v>688</v>
      </c>
      <c r="G3807">
        <v>402000</v>
      </c>
      <c r="H3807">
        <v>410000</v>
      </c>
    </row>
    <row r="3808" spans="2:8" x14ac:dyDescent="0.25">
      <c r="B3808" t="str">
        <f t="shared" si="59"/>
        <v>GNBPopulation ages 0-14, male</v>
      </c>
      <c r="C3808" t="s">
        <v>198</v>
      </c>
      <c r="D3808" t="s">
        <v>172</v>
      </c>
      <c r="E3808" t="s">
        <v>689</v>
      </c>
      <c r="F3808" t="s">
        <v>690</v>
      </c>
      <c r="G3808">
        <v>408000</v>
      </c>
      <c r="H3808">
        <v>415000</v>
      </c>
    </row>
    <row r="3809" spans="2:8" x14ac:dyDescent="0.25">
      <c r="B3809" t="str">
        <f t="shared" si="59"/>
        <v>GNBPopulation ages 00-04, female</v>
      </c>
      <c r="C3809" t="s">
        <v>198</v>
      </c>
      <c r="D3809" t="s">
        <v>172</v>
      </c>
      <c r="E3809" t="s">
        <v>362</v>
      </c>
      <c r="F3809" t="s">
        <v>691</v>
      </c>
      <c r="G3809">
        <v>149000</v>
      </c>
      <c r="H3809">
        <v>151000</v>
      </c>
    </row>
    <row r="3810" spans="2:8" x14ac:dyDescent="0.25">
      <c r="B3810" t="str">
        <f t="shared" si="59"/>
        <v>GNBPopulation ages 00-04, male</v>
      </c>
      <c r="C3810" t="s">
        <v>198</v>
      </c>
      <c r="D3810" t="s">
        <v>172</v>
      </c>
      <c r="E3810" t="s">
        <v>363</v>
      </c>
      <c r="F3810" t="s">
        <v>692</v>
      </c>
      <c r="G3810">
        <v>152000</v>
      </c>
      <c r="H3810">
        <v>154000</v>
      </c>
    </row>
    <row r="3811" spans="2:8" x14ac:dyDescent="0.25">
      <c r="B3811" t="str">
        <f t="shared" si="59"/>
        <v>GNBPopulation ages 05-09, female</v>
      </c>
      <c r="C3811" t="s">
        <v>198</v>
      </c>
      <c r="D3811" t="s">
        <v>172</v>
      </c>
      <c r="E3811" t="s">
        <v>364</v>
      </c>
      <c r="F3811" t="s">
        <v>693</v>
      </c>
      <c r="G3811">
        <v>135000</v>
      </c>
      <c r="H3811">
        <v>138000</v>
      </c>
    </row>
    <row r="3812" spans="2:8" x14ac:dyDescent="0.25">
      <c r="B3812" t="str">
        <f t="shared" si="59"/>
        <v>GNBPopulation ages 05-09, male</v>
      </c>
      <c r="C3812" t="s">
        <v>198</v>
      </c>
      <c r="D3812" t="s">
        <v>172</v>
      </c>
      <c r="E3812" t="s">
        <v>365</v>
      </c>
      <c r="F3812" t="s">
        <v>694</v>
      </c>
      <c r="G3812">
        <v>137000</v>
      </c>
      <c r="H3812">
        <v>140000</v>
      </c>
    </row>
    <row r="3813" spans="2:8" x14ac:dyDescent="0.25">
      <c r="B3813" t="str">
        <f t="shared" si="59"/>
        <v>GNBPopulation ages 10-14, female</v>
      </c>
      <c r="C3813" t="s">
        <v>198</v>
      </c>
      <c r="D3813" t="s">
        <v>172</v>
      </c>
      <c r="E3813" t="s">
        <v>366</v>
      </c>
      <c r="F3813" t="s">
        <v>695</v>
      </c>
      <c r="G3813">
        <v>118000</v>
      </c>
      <c r="H3813">
        <v>121000</v>
      </c>
    </row>
    <row r="3814" spans="2:8" x14ac:dyDescent="0.25">
      <c r="B3814" t="str">
        <f t="shared" si="59"/>
        <v>GNBPopulation ages 10-14, male</v>
      </c>
      <c r="C3814" t="s">
        <v>198</v>
      </c>
      <c r="D3814" t="s">
        <v>172</v>
      </c>
      <c r="E3814" t="s">
        <v>367</v>
      </c>
      <c r="F3814" t="s">
        <v>696</v>
      </c>
      <c r="G3814">
        <v>118000</v>
      </c>
      <c r="H3814">
        <v>122000</v>
      </c>
    </row>
    <row r="3815" spans="2:8" x14ac:dyDescent="0.25">
      <c r="B3815" t="str">
        <f t="shared" si="59"/>
        <v>GNBPopulation ages 15-19, female</v>
      </c>
      <c r="C3815" t="s">
        <v>198</v>
      </c>
      <c r="D3815" t="s">
        <v>172</v>
      </c>
      <c r="E3815" t="s">
        <v>368</v>
      </c>
      <c r="F3815" t="s">
        <v>697</v>
      </c>
      <c r="G3815">
        <v>101000</v>
      </c>
      <c r="H3815">
        <v>104000</v>
      </c>
    </row>
    <row r="3816" spans="2:8" x14ac:dyDescent="0.25">
      <c r="B3816" t="str">
        <f t="shared" si="59"/>
        <v>GNBPopulation ages 15-19, male</v>
      </c>
      <c r="C3816" t="s">
        <v>198</v>
      </c>
      <c r="D3816" t="s">
        <v>172</v>
      </c>
      <c r="E3816" t="s">
        <v>369</v>
      </c>
      <c r="F3816" t="s">
        <v>698</v>
      </c>
      <c r="G3816">
        <v>101000</v>
      </c>
      <c r="H3816">
        <v>104000</v>
      </c>
    </row>
    <row r="3817" spans="2:8" x14ac:dyDescent="0.25">
      <c r="B3817" t="str">
        <f t="shared" si="59"/>
        <v>GNBPopulation ages 20-24, female</v>
      </c>
      <c r="C3817" t="s">
        <v>198</v>
      </c>
      <c r="D3817" t="s">
        <v>172</v>
      </c>
      <c r="E3817" t="s">
        <v>370</v>
      </c>
      <c r="F3817" t="s">
        <v>699</v>
      </c>
      <c r="G3817">
        <v>90000</v>
      </c>
      <c r="H3817">
        <v>91000</v>
      </c>
    </row>
    <row r="3818" spans="2:8" x14ac:dyDescent="0.25">
      <c r="B3818" t="str">
        <f t="shared" si="59"/>
        <v>GNBPopulation ages 20-24, male</v>
      </c>
      <c r="C3818" t="s">
        <v>198</v>
      </c>
      <c r="D3818" t="s">
        <v>172</v>
      </c>
      <c r="E3818" t="s">
        <v>371</v>
      </c>
      <c r="F3818" t="s">
        <v>700</v>
      </c>
      <c r="G3818">
        <v>88000</v>
      </c>
      <c r="H3818">
        <v>90000</v>
      </c>
    </row>
    <row r="3819" spans="2:8" x14ac:dyDescent="0.25">
      <c r="B3819" t="str">
        <f t="shared" si="59"/>
        <v>GNBPopulation ages 25-29, female</v>
      </c>
      <c r="C3819" t="s">
        <v>198</v>
      </c>
      <c r="D3819" t="s">
        <v>172</v>
      </c>
      <c r="E3819" t="s">
        <v>372</v>
      </c>
      <c r="F3819" t="s">
        <v>701</v>
      </c>
      <c r="G3819">
        <v>81000</v>
      </c>
      <c r="H3819">
        <v>83000</v>
      </c>
    </row>
    <row r="3820" spans="2:8" x14ac:dyDescent="0.25">
      <c r="B3820" t="str">
        <f t="shared" si="59"/>
        <v>GNBPopulation ages 25-29, male</v>
      </c>
      <c r="C3820" t="s">
        <v>198</v>
      </c>
      <c r="D3820" t="s">
        <v>172</v>
      </c>
      <c r="E3820" t="s">
        <v>373</v>
      </c>
      <c r="F3820" t="s">
        <v>702</v>
      </c>
      <c r="G3820">
        <v>77000</v>
      </c>
      <c r="H3820">
        <v>79000</v>
      </c>
    </row>
    <row r="3821" spans="2:8" x14ac:dyDescent="0.25">
      <c r="B3821" t="str">
        <f t="shared" si="59"/>
        <v>GNBPopulation ages 30-34, female</v>
      </c>
      <c r="C3821" t="s">
        <v>198</v>
      </c>
      <c r="D3821" t="s">
        <v>172</v>
      </c>
      <c r="E3821" t="s">
        <v>374</v>
      </c>
      <c r="F3821" t="s">
        <v>703</v>
      </c>
      <c r="G3821">
        <v>70000</v>
      </c>
      <c r="H3821">
        <v>72000</v>
      </c>
    </row>
    <row r="3822" spans="2:8" x14ac:dyDescent="0.25">
      <c r="B3822" t="str">
        <f t="shared" si="59"/>
        <v>GNBPopulation ages 30-34, male</v>
      </c>
      <c r="C3822" t="s">
        <v>198</v>
      </c>
      <c r="D3822" t="s">
        <v>172</v>
      </c>
      <c r="E3822" t="s">
        <v>375</v>
      </c>
      <c r="F3822" t="s">
        <v>704</v>
      </c>
      <c r="G3822">
        <v>65000</v>
      </c>
      <c r="H3822">
        <v>67000</v>
      </c>
    </row>
    <row r="3823" spans="2:8" x14ac:dyDescent="0.25">
      <c r="B3823" t="str">
        <f t="shared" si="59"/>
        <v>GNBPopulation ages 35-39, female</v>
      </c>
      <c r="C3823" t="s">
        <v>198</v>
      </c>
      <c r="D3823" t="s">
        <v>172</v>
      </c>
      <c r="E3823" t="s">
        <v>376</v>
      </c>
      <c r="F3823" t="s">
        <v>705</v>
      </c>
      <c r="G3823">
        <v>58000</v>
      </c>
      <c r="H3823">
        <v>60000</v>
      </c>
    </row>
    <row r="3824" spans="2:8" x14ac:dyDescent="0.25">
      <c r="B3824" t="str">
        <f t="shared" si="59"/>
        <v>GNBPopulation ages 35-39, male</v>
      </c>
      <c r="C3824" t="s">
        <v>198</v>
      </c>
      <c r="D3824" t="s">
        <v>172</v>
      </c>
      <c r="E3824" t="s">
        <v>377</v>
      </c>
      <c r="F3824" t="s">
        <v>706</v>
      </c>
      <c r="G3824">
        <v>53000</v>
      </c>
      <c r="H3824">
        <v>55000</v>
      </c>
    </row>
    <row r="3825" spans="2:8" x14ac:dyDescent="0.25">
      <c r="B3825" t="str">
        <f t="shared" si="59"/>
        <v>GNBPopulation ages 40-44, female</v>
      </c>
      <c r="C3825" t="s">
        <v>198</v>
      </c>
      <c r="D3825" t="s">
        <v>172</v>
      </c>
      <c r="E3825" t="s">
        <v>378</v>
      </c>
      <c r="F3825" t="s">
        <v>707</v>
      </c>
      <c r="G3825">
        <v>44000</v>
      </c>
      <c r="H3825">
        <v>46000</v>
      </c>
    </row>
    <row r="3826" spans="2:8" x14ac:dyDescent="0.25">
      <c r="B3826" t="str">
        <f t="shared" si="59"/>
        <v>GNBPopulation ages 40-44, male</v>
      </c>
      <c r="C3826" t="s">
        <v>198</v>
      </c>
      <c r="D3826" t="s">
        <v>172</v>
      </c>
      <c r="E3826" t="s">
        <v>379</v>
      </c>
      <c r="F3826" t="s">
        <v>708</v>
      </c>
      <c r="G3826">
        <v>40000</v>
      </c>
      <c r="H3826">
        <v>42000</v>
      </c>
    </row>
    <row r="3827" spans="2:8" x14ac:dyDescent="0.25">
      <c r="B3827" t="str">
        <f t="shared" si="59"/>
        <v>GNBPopulation ages 45-49, female</v>
      </c>
      <c r="C3827" t="s">
        <v>198</v>
      </c>
      <c r="D3827" t="s">
        <v>172</v>
      </c>
      <c r="E3827" t="s">
        <v>380</v>
      </c>
      <c r="F3827" t="s">
        <v>709</v>
      </c>
      <c r="G3827">
        <v>35000</v>
      </c>
      <c r="H3827">
        <v>36000</v>
      </c>
    </row>
    <row r="3828" spans="2:8" x14ac:dyDescent="0.25">
      <c r="B3828" t="str">
        <f t="shared" si="59"/>
        <v>GNBPopulation ages 45-49, male</v>
      </c>
      <c r="C3828" t="s">
        <v>198</v>
      </c>
      <c r="D3828" t="s">
        <v>172</v>
      </c>
      <c r="E3828" t="s">
        <v>381</v>
      </c>
      <c r="F3828" t="s">
        <v>710</v>
      </c>
      <c r="G3828">
        <v>31000</v>
      </c>
      <c r="H3828">
        <v>33000</v>
      </c>
    </row>
    <row r="3829" spans="2:8" x14ac:dyDescent="0.25">
      <c r="B3829" t="str">
        <f t="shared" si="59"/>
        <v>GNBPopulation ages 50-54, female</v>
      </c>
      <c r="C3829" t="s">
        <v>198</v>
      </c>
      <c r="D3829" t="s">
        <v>172</v>
      </c>
      <c r="E3829" t="s">
        <v>382</v>
      </c>
      <c r="F3829" t="s">
        <v>711</v>
      </c>
      <c r="G3829">
        <v>26000</v>
      </c>
      <c r="H3829">
        <v>27000</v>
      </c>
    </row>
    <row r="3830" spans="2:8" x14ac:dyDescent="0.25">
      <c r="B3830" t="str">
        <f t="shared" si="59"/>
        <v>GNBPopulation ages 50-54, male</v>
      </c>
      <c r="C3830" t="s">
        <v>198</v>
      </c>
      <c r="D3830" t="s">
        <v>172</v>
      </c>
      <c r="E3830" t="s">
        <v>383</v>
      </c>
      <c r="F3830" t="s">
        <v>712</v>
      </c>
      <c r="G3830">
        <v>23000</v>
      </c>
      <c r="H3830">
        <v>24000</v>
      </c>
    </row>
    <row r="3831" spans="2:8" x14ac:dyDescent="0.25">
      <c r="B3831" t="str">
        <f t="shared" si="59"/>
        <v>GNBPopulation ages 55-59, male</v>
      </c>
      <c r="C3831" t="s">
        <v>198</v>
      </c>
      <c r="D3831" t="s">
        <v>172</v>
      </c>
      <c r="E3831" t="s">
        <v>385</v>
      </c>
      <c r="F3831" t="s">
        <v>713</v>
      </c>
      <c r="G3831">
        <v>18000</v>
      </c>
      <c r="H3831">
        <v>19000</v>
      </c>
    </row>
    <row r="3832" spans="2:8" x14ac:dyDescent="0.25">
      <c r="B3832" t="str">
        <f t="shared" si="59"/>
        <v>GNBPopulation ages 55-59, female</v>
      </c>
      <c r="C3832" t="s">
        <v>198</v>
      </c>
      <c r="D3832" t="s">
        <v>172</v>
      </c>
      <c r="E3832" t="s">
        <v>384</v>
      </c>
      <c r="F3832" t="s">
        <v>714</v>
      </c>
      <c r="G3832">
        <v>22000</v>
      </c>
      <c r="H3832">
        <v>22000</v>
      </c>
    </row>
    <row r="3833" spans="2:8" x14ac:dyDescent="0.25">
      <c r="B3833" t="str">
        <f t="shared" si="59"/>
        <v>GNBPopulation ages 65-69, male</v>
      </c>
      <c r="C3833" t="s">
        <v>198</v>
      </c>
      <c r="D3833" t="s">
        <v>172</v>
      </c>
      <c r="E3833" t="s">
        <v>389</v>
      </c>
      <c r="F3833" t="s">
        <v>715</v>
      </c>
      <c r="G3833">
        <v>11000</v>
      </c>
      <c r="H3833">
        <v>11000</v>
      </c>
    </row>
    <row r="3834" spans="2:8" x14ac:dyDescent="0.25">
      <c r="B3834" t="str">
        <f t="shared" si="59"/>
        <v>GNBPopulation ages 65-69, female</v>
      </c>
      <c r="C3834" t="s">
        <v>198</v>
      </c>
      <c r="D3834" t="s">
        <v>172</v>
      </c>
      <c r="E3834" t="s">
        <v>388</v>
      </c>
      <c r="F3834" t="s">
        <v>716</v>
      </c>
      <c r="G3834">
        <v>16000</v>
      </c>
      <c r="H3834">
        <v>16000</v>
      </c>
    </row>
    <row r="3835" spans="2:8" x14ac:dyDescent="0.25">
      <c r="B3835" t="str">
        <f t="shared" si="59"/>
        <v>GNBPopulation ages 60-64, female</v>
      </c>
      <c r="C3835" t="s">
        <v>198</v>
      </c>
      <c r="D3835" t="s">
        <v>172</v>
      </c>
      <c r="E3835" t="s">
        <v>386</v>
      </c>
      <c r="F3835" t="s">
        <v>717</v>
      </c>
      <c r="G3835">
        <v>19000</v>
      </c>
      <c r="H3835">
        <v>19000</v>
      </c>
    </row>
    <row r="3836" spans="2:8" x14ac:dyDescent="0.25">
      <c r="B3836" t="str">
        <f t="shared" si="59"/>
        <v>GNBPopulation ages 60-64, male</v>
      </c>
      <c r="C3836" t="s">
        <v>198</v>
      </c>
      <c r="D3836" t="s">
        <v>172</v>
      </c>
      <c r="E3836" t="s">
        <v>387</v>
      </c>
      <c r="F3836" t="s">
        <v>718</v>
      </c>
      <c r="G3836">
        <v>14000</v>
      </c>
      <c r="H3836">
        <v>14000</v>
      </c>
    </row>
    <row r="3837" spans="2:8" x14ac:dyDescent="0.25">
      <c r="B3837" t="str">
        <f t="shared" si="59"/>
        <v>GNBPopulation ages 70-74, female</v>
      </c>
      <c r="C3837" t="s">
        <v>198</v>
      </c>
      <c r="D3837" t="s">
        <v>172</v>
      </c>
      <c r="E3837" t="s">
        <v>390</v>
      </c>
      <c r="F3837" t="s">
        <v>719</v>
      </c>
      <c r="G3837">
        <v>9200</v>
      </c>
      <c r="H3837">
        <v>9700</v>
      </c>
    </row>
    <row r="3838" spans="2:8" x14ac:dyDescent="0.25">
      <c r="B3838" t="str">
        <f t="shared" si="59"/>
        <v>GNBPopulation ages 70-74, male</v>
      </c>
      <c r="C3838" t="s">
        <v>198</v>
      </c>
      <c r="D3838" t="s">
        <v>172</v>
      </c>
      <c r="E3838" t="s">
        <v>391</v>
      </c>
      <c r="F3838" t="s">
        <v>720</v>
      </c>
      <c r="G3838">
        <v>5700</v>
      </c>
      <c r="H3838">
        <v>6000</v>
      </c>
    </row>
    <row r="3839" spans="2:8" x14ac:dyDescent="0.25">
      <c r="B3839" t="str">
        <f t="shared" si="59"/>
        <v>GNBPopulation ages 75-79, female</v>
      </c>
      <c r="C3839" t="s">
        <v>198</v>
      </c>
      <c r="D3839" t="s">
        <v>172</v>
      </c>
      <c r="E3839" t="s">
        <v>392</v>
      </c>
      <c r="F3839" t="s">
        <v>721</v>
      </c>
      <c r="G3839">
        <v>5600</v>
      </c>
      <c r="H3839">
        <v>5700</v>
      </c>
    </row>
    <row r="3840" spans="2:8" x14ac:dyDescent="0.25">
      <c r="B3840" t="str">
        <f t="shared" si="59"/>
        <v>GNBPopulation ages 75-79, male</v>
      </c>
      <c r="C3840" t="s">
        <v>198</v>
      </c>
      <c r="D3840" t="s">
        <v>172</v>
      </c>
      <c r="E3840" t="s">
        <v>393</v>
      </c>
      <c r="F3840" t="s">
        <v>722</v>
      </c>
      <c r="G3840">
        <v>3200</v>
      </c>
      <c r="H3840">
        <v>3300</v>
      </c>
    </row>
    <row r="3841" spans="2:8" x14ac:dyDescent="0.25">
      <c r="B3841" t="str">
        <f t="shared" si="59"/>
        <v>GNBPopulation ages 80 and above, female</v>
      </c>
      <c r="C3841" t="s">
        <v>198</v>
      </c>
      <c r="D3841" t="s">
        <v>172</v>
      </c>
      <c r="E3841" t="s">
        <v>394</v>
      </c>
      <c r="F3841" t="s">
        <v>723</v>
      </c>
      <c r="G3841">
        <v>3300</v>
      </c>
      <c r="H3841">
        <v>3300</v>
      </c>
    </row>
    <row r="3842" spans="2:8" x14ac:dyDescent="0.25">
      <c r="B3842" t="str">
        <f t="shared" si="59"/>
        <v>GNBPopulation ages 80 and above, male</v>
      </c>
      <c r="C3842" t="s">
        <v>198</v>
      </c>
      <c r="D3842" t="s">
        <v>172</v>
      </c>
      <c r="E3842" t="s">
        <v>395</v>
      </c>
      <c r="F3842" t="s">
        <v>724</v>
      </c>
      <c r="G3842">
        <v>1700</v>
      </c>
      <c r="H3842">
        <v>1600</v>
      </c>
    </row>
    <row r="3843" spans="2:8" x14ac:dyDescent="0.25">
      <c r="B3843" t="str">
        <f t="shared" si="59"/>
        <v>GNBPopulation, male</v>
      </c>
      <c r="C3843" t="s">
        <v>198</v>
      </c>
      <c r="D3843" t="s">
        <v>172</v>
      </c>
      <c r="E3843" t="s">
        <v>397</v>
      </c>
      <c r="F3843" t="s">
        <v>725</v>
      </c>
      <c r="G3843">
        <v>939000</v>
      </c>
      <c r="H3843">
        <v>963000</v>
      </c>
    </row>
    <row r="3844" spans="2:8" x14ac:dyDescent="0.25">
      <c r="B3844" t="str">
        <f t="shared" si="59"/>
        <v>GNBPopulation, total</v>
      </c>
      <c r="C3844" t="s">
        <v>198</v>
      </c>
      <c r="D3844" t="s">
        <v>172</v>
      </c>
      <c r="E3844" t="s">
        <v>398</v>
      </c>
      <c r="F3844" t="s">
        <v>726</v>
      </c>
      <c r="G3844">
        <v>1921000</v>
      </c>
      <c r="H3844">
        <v>1968000</v>
      </c>
    </row>
    <row r="3845" spans="2:8" x14ac:dyDescent="0.25">
      <c r="B3845" t="str">
        <f t="shared" si="59"/>
        <v>GNBPopulation, female</v>
      </c>
      <c r="C3845" t="s">
        <v>198</v>
      </c>
      <c r="D3845" t="s">
        <v>172</v>
      </c>
      <c r="E3845" t="s">
        <v>396</v>
      </c>
      <c r="F3845" t="s">
        <v>727</v>
      </c>
      <c r="G3845">
        <v>982000</v>
      </c>
      <c r="H3845">
        <v>1005000</v>
      </c>
    </row>
    <row r="3846" spans="2:8" x14ac:dyDescent="0.25">
      <c r="B3846" t="str">
        <f t="shared" si="59"/>
        <v>GNBPopulation growth (annual %)</v>
      </c>
      <c r="C3846" t="s">
        <v>198</v>
      </c>
      <c r="D3846" t="s">
        <v>172</v>
      </c>
      <c r="E3846" t="s">
        <v>399</v>
      </c>
      <c r="F3846" t="s">
        <v>728</v>
      </c>
      <c r="G3846">
        <v>0</v>
      </c>
      <c r="H3846">
        <v>0</v>
      </c>
    </row>
    <row r="3847" spans="2:8" x14ac:dyDescent="0.25">
      <c r="B3847" t="str">
        <f t="shared" ref="B3847:B3910" si="60">CONCATENATE(D3847,E3847)</f>
        <v>GUYPopulation ages 0-14, female</v>
      </c>
      <c r="C3847" t="s">
        <v>224</v>
      </c>
      <c r="D3847" t="s">
        <v>54</v>
      </c>
      <c r="E3847" t="s">
        <v>687</v>
      </c>
      <c r="F3847" t="s">
        <v>688</v>
      </c>
      <c r="G3847">
        <v>107000</v>
      </c>
      <c r="H3847">
        <v>106000</v>
      </c>
    </row>
    <row r="3848" spans="2:8" x14ac:dyDescent="0.25">
      <c r="B3848" t="str">
        <f t="shared" si="60"/>
        <v>GUYPopulation ages 0-14, male</v>
      </c>
      <c r="C3848" t="s">
        <v>224</v>
      </c>
      <c r="D3848" t="s">
        <v>54</v>
      </c>
      <c r="E3848" t="s">
        <v>689</v>
      </c>
      <c r="F3848" t="s">
        <v>690</v>
      </c>
      <c r="G3848">
        <v>112000</v>
      </c>
      <c r="H3848">
        <v>112000</v>
      </c>
    </row>
    <row r="3849" spans="2:8" x14ac:dyDescent="0.25">
      <c r="B3849" t="str">
        <f t="shared" si="60"/>
        <v>GUYPopulation ages 00-04, female</v>
      </c>
      <c r="C3849" t="s">
        <v>224</v>
      </c>
      <c r="D3849" t="s">
        <v>54</v>
      </c>
      <c r="E3849" t="s">
        <v>362</v>
      </c>
      <c r="F3849" t="s">
        <v>691</v>
      </c>
      <c r="G3849">
        <v>36000</v>
      </c>
      <c r="H3849">
        <v>36000</v>
      </c>
    </row>
    <row r="3850" spans="2:8" x14ac:dyDescent="0.25">
      <c r="B3850" t="str">
        <f t="shared" si="60"/>
        <v>GUYPopulation ages 00-04, male</v>
      </c>
      <c r="C3850" t="s">
        <v>224</v>
      </c>
      <c r="D3850" t="s">
        <v>54</v>
      </c>
      <c r="E3850" t="s">
        <v>363</v>
      </c>
      <c r="F3850" t="s">
        <v>692</v>
      </c>
      <c r="G3850">
        <v>38000</v>
      </c>
      <c r="H3850">
        <v>38000</v>
      </c>
    </row>
    <row r="3851" spans="2:8" x14ac:dyDescent="0.25">
      <c r="B3851" t="str">
        <f t="shared" si="60"/>
        <v>GUYPopulation ages 05-09, female</v>
      </c>
      <c r="C3851" t="s">
        <v>224</v>
      </c>
      <c r="D3851" t="s">
        <v>54</v>
      </c>
      <c r="E3851" t="s">
        <v>364</v>
      </c>
      <c r="F3851" t="s">
        <v>693</v>
      </c>
      <c r="G3851">
        <v>35000</v>
      </c>
      <c r="H3851">
        <v>36000</v>
      </c>
    </row>
    <row r="3852" spans="2:8" x14ac:dyDescent="0.25">
      <c r="B3852" t="str">
        <f t="shared" si="60"/>
        <v>GUYPopulation ages 05-09, male</v>
      </c>
      <c r="C3852" t="s">
        <v>224</v>
      </c>
      <c r="D3852" t="s">
        <v>54</v>
      </c>
      <c r="E3852" t="s">
        <v>365</v>
      </c>
      <c r="F3852" t="s">
        <v>694</v>
      </c>
      <c r="G3852">
        <v>37000</v>
      </c>
      <c r="H3852">
        <v>38000</v>
      </c>
    </row>
    <row r="3853" spans="2:8" x14ac:dyDescent="0.25">
      <c r="B3853" t="str">
        <f t="shared" si="60"/>
        <v>GUYPopulation ages 10-14, female</v>
      </c>
      <c r="C3853" t="s">
        <v>224</v>
      </c>
      <c r="D3853" t="s">
        <v>54</v>
      </c>
      <c r="E3853" t="s">
        <v>366</v>
      </c>
      <c r="F3853" t="s">
        <v>695</v>
      </c>
      <c r="G3853">
        <v>35000</v>
      </c>
      <c r="H3853">
        <v>35000</v>
      </c>
    </row>
    <row r="3854" spans="2:8" x14ac:dyDescent="0.25">
      <c r="B3854" t="str">
        <f t="shared" si="60"/>
        <v>GUYPopulation ages 10-14, male</v>
      </c>
      <c r="C3854" t="s">
        <v>224</v>
      </c>
      <c r="D3854" t="s">
        <v>54</v>
      </c>
      <c r="E3854" t="s">
        <v>367</v>
      </c>
      <c r="F3854" t="s">
        <v>696</v>
      </c>
      <c r="G3854">
        <v>36000</v>
      </c>
      <c r="H3854">
        <v>36000</v>
      </c>
    </row>
    <row r="3855" spans="2:8" x14ac:dyDescent="0.25">
      <c r="B3855" t="str">
        <f t="shared" si="60"/>
        <v>GUYPopulation ages 15-19, female</v>
      </c>
      <c r="C3855" t="s">
        <v>224</v>
      </c>
      <c r="D3855" t="s">
        <v>54</v>
      </c>
      <c r="E3855" t="s">
        <v>368</v>
      </c>
      <c r="F3855" t="s">
        <v>697</v>
      </c>
      <c r="G3855">
        <v>38000</v>
      </c>
      <c r="H3855">
        <v>37000</v>
      </c>
    </row>
    <row r="3856" spans="2:8" x14ac:dyDescent="0.25">
      <c r="B3856" t="str">
        <f t="shared" si="60"/>
        <v>GUYPopulation ages 15-19, male</v>
      </c>
      <c r="C3856" t="s">
        <v>224</v>
      </c>
      <c r="D3856" t="s">
        <v>54</v>
      </c>
      <c r="E3856" t="s">
        <v>369</v>
      </c>
      <c r="F3856" t="s">
        <v>698</v>
      </c>
      <c r="G3856">
        <v>39000</v>
      </c>
      <c r="H3856">
        <v>38000</v>
      </c>
    </row>
    <row r="3857" spans="2:8" x14ac:dyDescent="0.25">
      <c r="B3857" t="str">
        <f t="shared" si="60"/>
        <v>GUYPopulation ages 20-24, female</v>
      </c>
      <c r="C3857" t="s">
        <v>224</v>
      </c>
      <c r="D3857" t="s">
        <v>54</v>
      </c>
      <c r="E3857" t="s">
        <v>370</v>
      </c>
      <c r="F3857" t="s">
        <v>699</v>
      </c>
      <c r="G3857">
        <v>37000</v>
      </c>
      <c r="H3857">
        <v>37000</v>
      </c>
    </row>
    <row r="3858" spans="2:8" x14ac:dyDescent="0.25">
      <c r="B3858" t="str">
        <f t="shared" si="60"/>
        <v>GUYPopulation ages 20-24, male</v>
      </c>
      <c r="C3858" t="s">
        <v>224</v>
      </c>
      <c r="D3858" t="s">
        <v>54</v>
      </c>
      <c r="E3858" t="s">
        <v>371</v>
      </c>
      <c r="F3858" t="s">
        <v>700</v>
      </c>
      <c r="G3858">
        <v>41000</v>
      </c>
      <c r="H3858">
        <v>40000</v>
      </c>
    </row>
    <row r="3859" spans="2:8" x14ac:dyDescent="0.25">
      <c r="B3859" t="str">
        <f t="shared" si="60"/>
        <v>GUYPopulation ages 25-29, female</v>
      </c>
      <c r="C3859" t="s">
        <v>224</v>
      </c>
      <c r="D3859" t="s">
        <v>54</v>
      </c>
      <c r="E3859" t="s">
        <v>372</v>
      </c>
      <c r="F3859" t="s">
        <v>701</v>
      </c>
      <c r="G3859">
        <v>32000</v>
      </c>
      <c r="H3859">
        <v>33000</v>
      </c>
    </row>
    <row r="3860" spans="2:8" x14ac:dyDescent="0.25">
      <c r="B3860" t="str">
        <f t="shared" si="60"/>
        <v>GUYPopulation ages 25-29, male</v>
      </c>
      <c r="C3860" t="s">
        <v>224</v>
      </c>
      <c r="D3860" t="s">
        <v>54</v>
      </c>
      <c r="E3860" t="s">
        <v>373</v>
      </c>
      <c r="F3860" t="s">
        <v>702</v>
      </c>
      <c r="G3860">
        <v>33000</v>
      </c>
      <c r="H3860">
        <v>35000</v>
      </c>
    </row>
    <row r="3861" spans="2:8" x14ac:dyDescent="0.25">
      <c r="B3861" t="str">
        <f t="shared" si="60"/>
        <v>GUYPopulation ages 30-34, female</v>
      </c>
      <c r="C3861" t="s">
        <v>224</v>
      </c>
      <c r="D3861" t="s">
        <v>54</v>
      </c>
      <c r="E3861" t="s">
        <v>374</v>
      </c>
      <c r="F3861" t="s">
        <v>703</v>
      </c>
      <c r="G3861">
        <v>22000</v>
      </c>
      <c r="H3861">
        <v>22000</v>
      </c>
    </row>
    <row r="3862" spans="2:8" x14ac:dyDescent="0.25">
      <c r="B3862" t="str">
        <f t="shared" si="60"/>
        <v>GUYPopulation ages 30-34, male</v>
      </c>
      <c r="C3862" t="s">
        <v>224</v>
      </c>
      <c r="D3862" t="s">
        <v>54</v>
      </c>
      <c r="E3862" t="s">
        <v>375</v>
      </c>
      <c r="F3862" t="s">
        <v>704</v>
      </c>
      <c r="G3862">
        <v>22000</v>
      </c>
      <c r="H3862">
        <v>22000</v>
      </c>
    </row>
    <row r="3863" spans="2:8" x14ac:dyDescent="0.25">
      <c r="B3863" t="str">
        <f t="shared" si="60"/>
        <v>GUYPopulation ages 35-39, female</v>
      </c>
      <c r="C3863" t="s">
        <v>224</v>
      </c>
      <c r="D3863" t="s">
        <v>54</v>
      </c>
      <c r="E3863" t="s">
        <v>376</v>
      </c>
      <c r="F3863" t="s">
        <v>705</v>
      </c>
      <c r="G3863">
        <v>25000</v>
      </c>
      <c r="H3863">
        <v>25000</v>
      </c>
    </row>
    <row r="3864" spans="2:8" x14ac:dyDescent="0.25">
      <c r="B3864" t="str">
        <f t="shared" si="60"/>
        <v>GUYPopulation ages 35-39, male</v>
      </c>
      <c r="C3864" t="s">
        <v>224</v>
      </c>
      <c r="D3864" t="s">
        <v>54</v>
      </c>
      <c r="E3864" t="s">
        <v>377</v>
      </c>
      <c r="F3864" t="s">
        <v>706</v>
      </c>
      <c r="G3864">
        <v>25000</v>
      </c>
      <c r="H3864">
        <v>24000</v>
      </c>
    </row>
    <row r="3865" spans="2:8" x14ac:dyDescent="0.25">
      <c r="B3865" t="str">
        <f t="shared" si="60"/>
        <v>GUYPopulation ages 40-44, female</v>
      </c>
      <c r="C3865" t="s">
        <v>224</v>
      </c>
      <c r="D3865" t="s">
        <v>54</v>
      </c>
      <c r="E3865" t="s">
        <v>378</v>
      </c>
      <c r="F3865" t="s">
        <v>707</v>
      </c>
      <c r="G3865">
        <v>23000</v>
      </c>
      <c r="H3865">
        <v>23000</v>
      </c>
    </row>
    <row r="3866" spans="2:8" x14ac:dyDescent="0.25">
      <c r="B3866" t="str">
        <f t="shared" si="60"/>
        <v>GUYPopulation ages 40-44, male</v>
      </c>
      <c r="C3866" t="s">
        <v>224</v>
      </c>
      <c r="D3866" t="s">
        <v>54</v>
      </c>
      <c r="E3866" t="s">
        <v>379</v>
      </c>
      <c r="F3866" t="s">
        <v>708</v>
      </c>
      <c r="G3866">
        <v>23000</v>
      </c>
      <c r="H3866">
        <v>23000</v>
      </c>
    </row>
    <row r="3867" spans="2:8" x14ac:dyDescent="0.25">
      <c r="B3867" t="str">
        <f t="shared" si="60"/>
        <v>GUYPopulation ages 45-49, female</v>
      </c>
      <c r="C3867" t="s">
        <v>224</v>
      </c>
      <c r="D3867" t="s">
        <v>54</v>
      </c>
      <c r="E3867" t="s">
        <v>380</v>
      </c>
      <c r="F3867" t="s">
        <v>709</v>
      </c>
      <c r="G3867">
        <v>23000</v>
      </c>
      <c r="H3867">
        <v>23000</v>
      </c>
    </row>
    <row r="3868" spans="2:8" x14ac:dyDescent="0.25">
      <c r="B3868" t="str">
        <f t="shared" si="60"/>
        <v>GUYPopulation ages 45-49, male</v>
      </c>
      <c r="C3868" t="s">
        <v>224</v>
      </c>
      <c r="D3868" t="s">
        <v>54</v>
      </c>
      <c r="E3868" t="s">
        <v>381</v>
      </c>
      <c r="F3868" t="s">
        <v>710</v>
      </c>
      <c r="G3868">
        <v>23000</v>
      </c>
      <c r="H3868">
        <v>22000</v>
      </c>
    </row>
    <row r="3869" spans="2:8" x14ac:dyDescent="0.25">
      <c r="B3869" t="str">
        <f t="shared" si="60"/>
        <v>GUYPopulation ages 50-54, female</v>
      </c>
      <c r="C3869" t="s">
        <v>224</v>
      </c>
      <c r="D3869" t="s">
        <v>54</v>
      </c>
      <c r="E3869" t="s">
        <v>382</v>
      </c>
      <c r="F3869" t="s">
        <v>711</v>
      </c>
      <c r="G3869">
        <v>21000</v>
      </c>
      <c r="H3869">
        <v>21000</v>
      </c>
    </row>
    <row r="3870" spans="2:8" x14ac:dyDescent="0.25">
      <c r="B3870" t="str">
        <f t="shared" si="60"/>
        <v>GUYPopulation ages 50-54, male</v>
      </c>
      <c r="C3870" t="s">
        <v>224</v>
      </c>
      <c r="D3870" t="s">
        <v>54</v>
      </c>
      <c r="E3870" t="s">
        <v>383</v>
      </c>
      <c r="F3870" t="s">
        <v>712</v>
      </c>
      <c r="G3870">
        <v>21000</v>
      </c>
      <c r="H3870">
        <v>22000</v>
      </c>
    </row>
    <row r="3871" spans="2:8" x14ac:dyDescent="0.25">
      <c r="B3871" t="str">
        <f t="shared" si="60"/>
        <v>GUYPopulation ages 55-59, male</v>
      </c>
      <c r="C3871" t="s">
        <v>224</v>
      </c>
      <c r="D3871" t="s">
        <v>54</v>
      </c>
      <c r="E3871" t="s">
        <v>385</v>
      </c>
      <c r="F3871" t="s">
        <v>713</v>
      </c>
      <c r="G3871">
        <v>18000</v>
      </c>
      <c r="H3871">
        <v>18000</v>
      </c>
    </row>
    <row r="3872" spans="2:8" x14ac:dyDescent="0.25">
      <c r="B3872" t="str">
        <f t="shared" si="60"/>
        <v>GUYPopulation ages 55-59, female</v>
      </c>
      <c r="C3872" t="s">
        <v>224</v>
      </c>
      <c r="D3872" t="s">
        <v>54</v>
      </c>
      <c r="E3872" t="s">
        <v>384</v>
      </c>
      <c r="F3872" t="s">
        <v>714</v>
      </c>
      <c r="G3872">
        <v>18000</v>
      </c>
      <c r="H3872">
        <v>19000</v>
      </c>
    </row>
    <row r="3873" spans="2:8" x14ac:dyDescent="0.25">
      <c r="B3873" t="str">
        <f t="shared" si="60"/>
        <v>GUYPopulation ages 65-69, male</v>
      </c>
      <c r="C3873" t="s">
        <v>224</v>
      </c>
      <c r="D3873" t="s">
        <v>54</v>
      </c>
      <c r="E3873" t="s">
        <v>389</v>
      </c>
      <c r="F3873" t="s">
        <v>715</v>
      </c>
      <c r="G3873">
        <v>9100</v>
      </c>
      <c r="H3873">
        <v>9500</v>
      </c>
    </row>
    <row r="3874" spans="2:8" x14ac:dyDescent="0.25">
      <c r="B3874" t="str">
        <f t="shared" si="60"/>
        <v>GUYPopulation ages 65-69, female</v>
      </c>
      <c r="C3874" t="s">
        <v>224</v>
      </c>
      <c r="D3874" t="s">
        <v>54</v>
      </c>
      <c r="E3874" t="s">
        <v>388</v>
      </c>
      <c r="F3874" t="s">
        <v>716</v>
      </c>
      <c r="G3874">
        <v>11000</v>
      </c>
      <c r="H3874">
        <v>12000</v>
      </c>
    </row>
    <row r="3875" spans="2:8" x14ac:dyDescent="0.25">
      <c r="B3875" t="str">
        <f t="shared" si="60"/>
        <v>GUYPopulation ages 60-64, female</v>
      </c>
      <c r="C3875" t="s">
        <v>224</v>
      </c>
      <c r="D3875" t="s">
        <v>54</v>
      </c>
      <c r="E3875" t="s">
        <v>386</v>
      </c>
      <c r="F3875" t="s">
        <v>717</v>
      </c>
      <c r="G3875">
        <v>15000</v>
      </c>
      <c r="H3875">
        <v>15000</v>
      </c>
    </row>
    <row r="3876" spans="2:8" x14ac:dyDescent="0.25">
      <c r="B3876" t="str">
        <f t="shared" si="60"/>
        <v>GUYPopulation ages 60-64, male</v>
      </c>
      <c r="C3876" t="s">
        <v>224</v>
      </c>
      <c r="D3876" t="s">
        <v>54</v>
      </c>
      <c r="E3876" t="s">
        <v>387</v>
      </c>
      <c r="F3876" t="s">
        <v>718</v>
      </c>
      <c r="G3876">
        <v>14000</v>
      </c>
      <c r="H3876">
        <v>15000</v>
      </c>
    </row>
    <row r="3877" spans="2:8" x14ac:dyDescent="0.25">
      <c r="B3877" t="str">
        <f t="shared" si="60"/>
        <v>GUYPopulation ages 70-74, female</v>
      </c>
      <c r="C3877" t="s">
        <v>224</v>
      </c>
      <c r="D3877" t="s">
        <v>54</v>
      </c>
      <c r="E3877" t="s">
        <v>390</v>
      </c>
      <c r="F3877" t="s">
        <v>719</v>
      </c>
      <c r="G3877">
        <v>7200</v>
      </c>
      <c r="H3877">
        <v>7800</v>
      </c>
    </row>
    <row r="3878" spans="2:8" x14ac:dyDescent="0.25">
      <c r="B3878" t="str">
        <f t="shared" si="60"/>
        <v>GUYPopulation ages 70-74, male</v>
      </c>
      <c r="C3878" t="s">
        <v>224</v>
      </c>
      <c r="D3878" t="s">
        <v>54</v>
      </c>
      <c r="E3878" t="s">
        <v>391</v>
      </c>
      <c r="F3878" t="s">
        <v>720</v>
      </c>
      <c r="G3878">
        <v>6800</v>
      </c>
      <c r="H3878">
        <v>7200</v>
      </c>
    </row>
    <row r="3879" spans="2:8" x14ac:dyDescent="0.25">
      <c r="B3879" t="str">
        <f t="shared" si="60"/>
        <v>GUYPopulation ages 75-79, female</v>
      </c>
      <c r="C3879" t="s">
        <v>224</v>
      </c>
      <c r="D3879" t="s">
        <v>54</v>
      </c>
      <c r="E3879" t="s">
        <v>392</v>
      </c>
      <c r="F3879" t="s">
        <v>721</v>
      </c>
      <c r="G3879">
        <v>4400</v>
      </c>
      <c r="H3879">
        <v>4400</v>
      </c>
    </row>
    <row r="3880" spans="2:8" x14ac:dyDescent="0.25">
      <c r="B3880" t="str">
        <f t="shared" si="60"/>
        <v>GUYPopulation ages 75-79, male</v>
      </c>
      <c r="C3880" t="s">
        <v>224</v>
      </c>
      <c r="D3880" t="s">
        <v>54</v>
      </c>
      <c r="E3880" t="s">
        <v>393</v>
      </c>
      <c r="F3880" t="s">
        <v>722</v>
      </c>
      <c r="G3880">
        <v>3400</v>
      </c>
      <c r="H3880">
        <v>3500</v>
      </c>
    </row>
    <row r="3881" spans="2:8" x14ac:dyDescent="0.25">
      <c r="B3881" t="str">
        <f t="shared" si="60"/>
        <v>GUYPopulation ages 80 and above, female</v>
      </c>
      <c r="C3881" t="s">
        <v>224</v>
      </c>
      <c r="D3881" t="s">
        <v>54</v>
      </c>
      <c r="E3881" t="s">
        <v>394</v>
      </c>
      <c r="F3881" t="s">
        <v>723</v>
      </c>
      <c r="G3881">
        <v>6000</v>
      </c>
      <c r="H3881">
        <v>6200</v>
      </c>
    </row>
    <row r="3882" spans="2:8" x14ac:dyDescent="0.25">
      <c r="B3882" t="str">
        <f t="shared" si="60"/>
        <v>GUYPopulation ages 80 and above, male</v>
      </c>
      <c r="C3882" t="s">
        <v>224</v>
      </c>
      <c r="D3882" t="s">
        <v>54</v>
      </c>
      <c r="E3882" t="s">
        <v>395</v>
      </c>
      <c r="F3882" t="s">
        <v>724</v>
      </c>
      <c r="G3882">
        <v>4600</v>
      </c>
      <c r="H3882">
        <v>4800</v>
      </c>
    </row>
    <row r="3883" spans="2:8" x14ac:dyDescent="0.25">
      <c r="B3883" t="str">
        <f t="shared" si="60"/>
        <v>GUYPopulation, male</v>
      </c>
      <c r="C3883" t="s">
        <v>224</v>
      </c>
      <c r="D3883" t="s">
        <v>54</v>
      </c>
      <c r="E3883" t="s">
        <v>397</v>
      </c>
      <c r="F3883" t="s">
        <v>725</v>
      </c>
      <c r="G3883">
        <v>393000</v>
      </c>
      <c r="H3883">
        <v>396000</v>
      </c>
    </row>
    <row r="3884" spans="2:8" x14ac:dyDescent="0.25">
      <c r="B3884" t="str">
        <f t="shared" si="60"/>
        <v>GUYPopulation, total</v>
      </c>
      <c r="C3884" t="s">
        <v>224</v>
      </c>
      <c r="D3884" t="s">
        <v>54</v>
      </c>
      <c r="E3884" t="s">
        <v>398</v>
      </c>
      <c r="F3884" t="s">
        <v>726</v>
      </c>
      <c r="G3884">
        <v>783000</v>
      </c>
      <c r="H3884">
        <v>787000</v>
      </c>
    </row>
    <row r="3885" spans="2:8" x14ac:dyDescent="0.25">
      <c r="B3885" t="str">
        <f t="shared" si="60"/>
        <v>GUYPopulation, female</v>
      </c>
      <c r="C3885" t="s">
        <v>224</v>
      </c>
      <c r="D3885" t="s">
        <v>54</v>
      </c>
      <c r="E3885" t="s">
        <v>396</v>
      </c>
      <c r="F3885" t="s">
        <v>727</v>
      </c>
      <c r="G3885">
        <v>390000</v>
      </c>
      <c r="H3885">
        <v>391000</v>
      </c>
    </row>
    <row r="3886" spans="2:8" x14ac:dyDescent="0.25">
      <c r="B3886" t="str">
        <f t="shared" si="60"/>
        <v>GUYPopulation growth (annual %)</v>
      </c>
      <c r="C3886" t="s">
        <v>224</v>
      </c>
      <c r="D3886" t="s">
        <v>54</v>
      </c>
      <c r="E3886" t="s">
        <v>399</v>
      </c>
      <c r="F3886" t="s">
        <v>728</v>
      </c>
      <c r="G3886">
        <v>0</v>
      </c>
      <c r="H3886">
        <v>0</v>
      </c>
    </row>
    <row r="3887" spans="2:8" x14ac:dyDescent="0.25">
      <c r="B3887" t="str">
        <f t="shared" si="60"/>
        <v>HTIPopulation ages 0-14, female</v>
      </c>
      <c r="C3887" t="s">
        <v>225</v>
      </c>
      <c r="D3887" t="s">
        <v>56</v>
      </c>
      <c r="E3887" t="s">
        <v>687</v>
      </c>
      <c r="F3887" t="s">
        <v>688</v>
      </c>
      <c r="G3887">
        <v>1819000</v>
      </c>
      <c r="H3887">
        <v>1820000</v>
      </c>
    </row>
    <row r="3888" spans="2:8" x14ac:dyDescent="0.25">
      <c r="B3888" t="str">
        <f t="shared" si="60"/>
        <v>HTIPopulation ages 0-14, male</v>
      </c>
      <c r="C3888" t="s">
        <v>225</v>
      </c>
      <c r="D3888" t="s">
        <v>56</v>
      </c>
      <c r="E3888" t="s">
        <v>689</v>
      </c>
      <c r="F3888" t="s">
        <v>690</v>
      </c>
      <c r="G3888">
        <v>1882000</v>
      </c>
      <c r="H3888">
        <v>1883000</v>
      </c>
    </row>
    <row r="3889" spans="2:8" x14ac:dyDescent="0.25">
      <c r="B3889" t="str">
        <f t="shared" si="60"/>
        <v>HTIPopulation ages 00-04, female</v>
      </c>
      <c r="C3889" t="s">
        <v>225</v>
      </c>
      <c r="D3889" t="s">
        <v>56</v>
      </c>
      <c r="E3889" t="s">
        <v>362</v>
      </c>
      <c r="F3889" t="s">
        <v>691</v>
      </c>
      <c r="G3889">
        <v>621000</v>
      </c>
      <c r="H3889">
        <v>619000</v>
      </c>
    </row>
    <row r="3890" spans="2:8" x14ac:dyDescent="0.25">
      <c r="B3890" t="str">
        <f t="shared" si="60"/>
        <v>HTIPopulation ages 00-04, male</v>
      </c>
      <c r="C3890" t="s">
        <v>225</v>
      </c>
      <c r="D3890" t="s">
        <v>56</v>
      </c>
      <c r="E3890" t="s">
        <v>363</v>
      </c>
      <c r="F3890" t="s">
        <v>692</v>
      </c>
      <c r="G3890">
        <v>645000</v>
      </c>
      <c r="H3890">
        <v>644000</v>
      </c>
    </row>
    <row r="3891" spans="2:8" x14ac:dyDescent="0.25">
      <c r="B3891" t="str">
        <f t="shared" si="60"/>
        <v>HTIPopulation ages 05-09, female</v>
      </c>
      <c r="C3891" t="s">
        <v>225</v>
      </c>
      <c r="D3891" t="s">
        <v>56</v>
      </c>
      <c r="E3891" t="s">
        <v>364</v>
      </c>
      <c r="F3891" t="s">
        <v>693</v>
      </c>
      <c r="G3891">
        <v>608000</v>
      </c>
      <c r="H3891">
        <v>608000</v>
      </c>
    </row>
    <row r="3892" spans="2:8" x14ac:dyDescent="0.25">
      <c r="B3892" t="str">
        <f t="shared" si="60"/>
        <v>HTIPopulation ages 05-09, male</v>
      </c>
      <c r="C3892" t="s">
        <v>225</v>
      </c>
      <c r="D3892" t="s">
        <v>56</v>
      </c>
      <c r="E3892" t="s">
        <v>365</v>
      </c>
      <c r="F3892" t="s">
        <v>694</v>
      </c>
      <c r="G3892">
        <v>630000</v>
      </c>
      <c r="H3892">
        <v>630000</v>
      </c>
    </row>
    <row r="3893" spans="2:8" x14ac:dyDescent="0.25">
      <c r="B3893" t="str">
        <f t="shared" si="60"/>
        <v>HTIPopulation ages 10-14, female</v>
      </c>
      <c r="C3893" t="s">
        <v>225</v>
      </c>
      <c r="D3893" t="s">
        <v>56</v>
      </c>
      <c r="E3893" t="s">
        <v>366</v>
      </c>
      <c r="F3893" t="s">
        <v>695</v>
      </c>
      <c r="G3893">
        <v>590000</v>
      </c>
      <c r="H3893">
        <v>592000</v>
      </c>
    </row>
    <row r="3894" spans="2:8" x14ac:dyDescent="0.25">
      <c r="B3894" t="str">
        <f t="shared" si="60"/>
        <v>HTIPopulation ages 10-14, male</v>
      </c>
      <c r="C3894" t="s">
        <v>225</v>
      </c>
      <c r="D3894" t="s">
        <v>56</v>
      </c>
      <c r="E3894" t="s">
        <v>367</v>
      </c>
      <c r="F3894" t="s">
        <v>696</v>
      </c>
      <c r="G3894">
        <v>607000</v>
      </c>
      <c r="H3894">
        <v>610000</v>
      </c>
    </row>
    <row r="3895" spans="2:8" x14ac:dyDescent="0.25">
      <c r="B3895" t="str">
        <f t="shared" si="60"/>
        <v>HTIPopulation ages 15-19, female</v>
      </c>
      <c r="C3895" t="s">
        <v>225</v>
      </c>
      <c r="D3895" t="s">
        <v>56</v>
      </c>
      <c r="E3895" t="s">
        <v>368</v>
      </c>
      <c r="F3895" t="s">
        <v>697</v>
      </c>
      <c r="G3895">
        <v>566000</v>
      </c>
      <c r="H3895">
        <v>569000</v>
      </c>
    </row>
    <row r="3896" spans="2:8" x14ac:dyDescent="0.25">
      <c r="B3896" t="str">
        <f t="shared" si="60"/>
        <v>HTIPopulation ages 15-19, male</v>
      </c>
      <c r="C3896" t="s">
        <v>225</v>
      </c>
      <c r="D3896" t="s">
        <v>56</v>
      </c>
      <c r="E3896" t="s">
        <v>369</v>
      </c>
      <c r="F3896" t="s">
        <v>698</v>
      </c>
      <c r="G3896">
        <v>572000</v>
      </c>
      <c r="H3896">
        <v>576000</v>
      </c>
    </row>
    <row r="3897" spans="2:8" x14ac:dyDescent="0.25">
      <c r="B3897" t="str">
        <f t="shared" si="60"/>
        <v>HTIPopulation ages 20-24, female</v>
      </c>
      <c r="C3897" t="s">
        <v>225</v>
      </c>
      <c r="D3897" t="s">
        <v>56</v>
      </c>
      <c r="E3897" t="s">
        <v>370</v>
      </c>
      <c r="F3897" t="s">
        <v>699</v>
      </c>
      <c r="G3897">
        <v>532000</v>
      </c>
      <c r="H3897">
        <v>536000</v>
      </c>
    </row>
    <row r="3898" spans="2:8" x14ac:dyDescent="0.25">
      <c r="B3898" t="str">
        <f t="shared" si="60"/>
        <v>HTIPopulation ages 20-24, male</v>
      </c>
      <c r="C3898" t="s">
        <v>225</v>
      </c>
      <c r="D3898" t="s">
        <v>56</v>
      </c>
      <c r="E3898" t="s">
        <v>371</v>
      </c>
      <c r="F3898" t="s">
        <v>700</v>
      </c>
      <c r="G3898">
        <v>525000</v>
      </c>
      <c r="H3898">
        <v>529000</v>
      </c>
    </row>
    <row r="3899" spans="2:8" x14ac:dyDescent="0.25">
      <c r="B3899" t="str">
        <f t="shared" si="60"/>
        <v>HTIPopulation ages 25-29, female</v>
      </c>
      <c r="C3899" t="s">
        <v>225</v>
      </c>
      <c r="D3899" t="s">
        <v>56</v>
      </c>
      <c r="E3899" t="s">
        <v>372</v>
      </c>
      <c r="F3899" t="s">
        <v>701</v>
      </c>
      <c r="G3899">
        <v>493000</v>
      </c>
      <c r="H3899">
        <v>496000</v>
      </c>
    </row>
    <row r="3900" spans="2:8" x14ac:dyDescent="0.25">
      <c r="B3900" t="str">
        <f t="shared" si="60"/>
        <v>HTIPopulation ages 25-29, male</v>
      </c>
      <c r="C3900" t="s">
        <v>225</v>
      </c>
      <c r="D3900" t="s">
        <v>56</v>
      </c>
      <c r="E3900" t="s">
        <v>373</v>
      </c>
      <c r="F3900" t="s">
        <v>702</v>
      </c>
      <c r="G3900">
        <v>480000</v>
      </c>
      <c r="H3900">
        <v>483000</v>
      </c>
    </row>
    <row r="3901" spans="2:8" x14ac:dyDescent="0.25">
      <c r="B3901" t="str">
        <f t="shared" si="60"/>
        <v>HTIPopulation ages 30-34, female</v>
      </c>
      <c r="C3901" t="s">
        <v>225</v>
      </c>
      <c r="D3901" t="s">
        <v>56</v>
      </c>
      <c r="E3901" t="s">
        <v>374</v>
      </c>
      <c r="F3901" t="s">
        <v>703</v>
      </c>
      <c r="G3901">
        <v>459000</v>
      </c>
      <c r="H3901">
        <v>461000</v>
      </c>
    </row>
    <row r="3902" spans="2:8" x14ac:dyDescent="0.25">
      <c r="B3902" t="str">
        <f t="shared" si="60"/>
        <v>HTIPopulation ages 30-34, male</v>
      </c>
      <c r="C3902" t="s">
        <v>225</v>
      </c>
      <c r="D3902" t="s">
        <v>56</v>
      </c>
      <c r="E3902" t="s">
        <v>375</v>
      </c>
      <c r="F3902" t="s">
        <v>704</v>
      </c>
      <c r="G3902">
        <v>443000</v>
      </c>
      <c r="H3902">
        <v>445000</v>
      </c>
    </row>
    <row r="3903" spans="2:8" x14ac:dyDescent="0.25">
      <c r="B3903" t="str">
        <f t="shared" si="60"/>
        <v>HTIPopulation ages 35-39, female</v>
      </c>
      <c r="C3903" t="s">
        <v>225</v>
      </c>
      <c r="D3903" t="s">
        <v>56</v>
      </c>
      <c r="E3903" t="s">
        <v>376</v>
      </c>
      <c r="F3903" t="s">
        <v>705</v>
      </c>
      <c r="G3903">
        <v>410000</v>
      </c>
      <c r="H3903">
        <v>422000</v>
      </c>
    </row>
    <row r="3904" spans="2:8" x14ac:dyDescent="0.25">
      <c r="B3904" t="str">
        <f t="shared" si="60"/>
        <v>HTIPopulation ages 35-39, male</v>
      </c>
      <c r="C3904" t="s">
        <v>225</v>
      </c>
      <c r="D3904" t="s">
        <v>56</v>
      </c>
      <c r="E3904" t="s">
        <v>377</v>
      </c>
      <c r="F3904" t="s">
        <v>706</v>
      </c>
      <c r="G3904">
        <v>391000</v>
      </c>
      <c r="H3904">
        <v>404000</v>
      </c>
    </row>
    <row r="3905" spans="2:8" x14ac:dyDescent="0.25">
      <c r="B3905" t="str">
        <f t="shared" si="60"/>
        <v>HTIPopulation ages 40-44, female</v>
      </c>
      <c r="C3905" t="s">
        <v>225</v>
      </c>
      <c r="D3905" t="s">
        <v>56</v>
      </c>
      <c r="E3905" t="s">
        <v>378</v>
      </c>
      <c r="F3905" t="s">
        <v>707</v>
      </c>
      <c r="G3905">
        <v>310000</v>
      </c>
      <c r="H3905">
        <v>325000</v>
      </c>
    </row>
    <row r="3906" spans="2:8" x14ac:dyDescent="0.25">
      <c r="B3906" t="str">
        <f t="shared" si="60"/>
        <v>HTIPopulation ages 40-44, male</v>
      </c>
      <c r="C3906" t="s">
        <v>225</v>
      </c>
      <c r="D3906" t="s">
        <v>56</v>
      </c>
      <c r="E3906" t="s">
        <v>379</v>
      </c>
      <c r="F3906" t="s">
        <v>708</v>
      </c>
      <c r="G3906">
        <v>286000</v>
      </c>
      <c r="H3906">
        <v>302000</v>
      </c>
    </row>
    <row r="3907" spans="2:8" x14ac:dyDescent="0.25">
      <c r="B3907" t="str">
        <f t="shared" si="60"/>
        <v>HTIPopulation ages 45-49, female</v>
      </c>
      <c r="C3907" t="s">
        <v>225</v>
      </c>
      <c r="D3907" t="s">
        <v>56</v>
      </c>
      <c r="E3907" t="s">
        <v>380</v>
      </c>
      <c r="F3907" t="s">
        <v>709</v>
      </c>
      <c r="G3907">
        <v>246000</v>
      </c>
      <c r="H3907">
        <v>252000</v>
      </c>
    </row>
    <row r="3908" spans="2:8" x14ac:dyDescent="0.25">
      <c r="B3908" t="str">
        <f t="shared" si="60"/>
        <v>HTIPopulation ages 45-49, male</v>
      </c>
      <c r="C3908" t="s">
        <v>225</v>
      </c>
      <c r="D3908" t="s">
        <v>56</v>
      </c>
      <c r="E3908" t="s">
        <v>381</v>
      </c>
      <c r="F3908" t="s">
        <v>710</v>
      </c>
      <c r="G3908">
        <v>221000</v>
      </c>
      <c r="H3908">
        <v>227000</v>
      </c>
    </row>
    <row r="3909" spans="2:8" x14ac:dyDescent="0.25">
      <c r="B3909" t="str">
        <f t="shared" si="60"/>
        <v>HTIPopulation ages 50-54, female</v>
      </c>
      <c r="C3909" t="s">
        <v>225</v>
      </c>
      <c r="D3909" t="s">
        <v>56</v>
      </c>
      <c r="E3909" t="s">
        <v>382</v>
      </c>
      <c r="F3909" t="s">
        <v>711</v>
      </c>
      <c r="G3909">
        <v>218000</v>
      </c>
      <c r="H3909">
        <v>221000</v>
      </c>
    </row>
    <row r="3910" spans="2:8" x14ac:dyDescent="0.25">
      <c r="B3910" t="str">
        <f t="shared" si="60"/>
        <v>HTIPopulation ages 50-54, male</v>
      </c>
      <c r="C3910" t="s">
        <v>225</v>
      </c>
      <c r="D3910" t="s">
        <v>56</v>
      </c>
      <c r="E3910" t="s">
        <v>383</v>
      </c>
      <c r="F3910" t="s">
        <v>712</v>
      </c>
      <c r="G3910">
        <v>200000</v>
      </c>
      <c r="H3910">
        <v>203000</v>
      </c>
    </row>
    <row r="3911" spans="2:8" x14ac:dyDescent="0.25">
      <c r="B3911" t="str">
        <f t="shared" ref="B3911:B3974" si="61">CONCATENATE(D3911,E3911)</f>
        <v>HTIPopulation ages 55-59, male</v>
      </c>
      <c r="C3911" t="s">
        <v>225</v>
      </c>
      <c r="D3911" t="s">
        <v>56</v>
      </c>
      <c r="E3911" t="s">
        <v>385</v>
      </c>
      <c r="F3911" t="s">
        <v>713</v>
      </c>
      <c r="G3911">
        <v>169000</v>
      </c>
      <c r="H3911">
        <v>173000</v>
      </c>
    </row>
    <row r="3912" spans="2:8" x14ac:dyDescent="0.25">
      <c r="B3912" t="str">
        <f t="shared" si="61"/>
        <v>HTIPopulation ages 55-59, female</v>
      </c>
      <c r="C3912" t="s">
        <v>225</v>
      </c>
      <c r="D3912" t="s">
        <v>56</v>
      </c>
      <c r="E3912" t="s">
        <v>384</v>
      </c>
      <c r="F3912" t="s">
        <v>714</v>
      </c>
      <c r="G3912">
        <v>187000</v>
      </c>
      <c r="H3912">
        <v>192000</v>
      </c>
    </row>
    <row r="3913" spans="2:8" x14ac:dyDescent="0.25">
      <c r="B3913" t="str">
        <f t="shared" si="61"/>
        <v>HTIPopulation ages 65-69, male</v>
      </c>
      <c r="C3913" t="s">
        <v>225</v>
      </c>
      <c r="D3913" t="s">
        <v>56</v>
      </c>
      <c r="E3913" t="s">
        <v>389</v>
      </c>
      <c r="F3913" t="s">
        <v>715</v>
      </c>
      <c r="G3913">
        <v>102000</v>
      </c>
      <c r="H3913">
        <v>107000</v>
      </c>
    </row>
    <row r="3914" spans="2:8" x14ac:dyDescent="0.25">
      <c r="B3914" t="str">
        <f t="shared" si="61"/>
        <v>HTIPopulation ages 65-69, female</v>
      </c>
      <c r="C3914" t="s">
        <v>225</v>
      </c>
      <c r="D3914" t="s">
        <v>56</v>
      </c>
      <c r="E3914" t="s">
        <v>388</v>
      </c>
      <c r="F3914" t="s">
        <v>716</v>
      </c>
      <c r="G3914">
        <v>119000</v>
      </c>
      <c r="H3914">
        <v>124000</v>
      </c>
    </row>
    <row r="3915" spans="2:8" x14ac:dyDescent="0.25">
      <c r="B3915" t="str">
        <f t="shared" si="61"/>
        <v>HTIPopulation ages 60-64, female</v>
      </c>
      <c r="C3915" t="s">
        <v>225</v>
      </c>
      <c r="D3915" t="s">
        <v>56</v>
      </c>
      <c r="E3915" t="s">
        <v>386</v>
      </c>
      <c r="F3915" t="s">
        <v>717</v>
      </c>
      <c r="G3915">
        <v>149000</v>
      </c>
      <c r="H3915">
        <v>153000</v>
      </c>
    </row>
    <row r="3916" spans="2:8" x14ac:dyDescent="0.25">
      <c r="B3916" t="str">
        <f t="shared" si="61"/>
        <v>HTIPopulation ages 60-64, male</v>
      </c>
      <c r="C3916" t="s">
        <v>225</v>
      </c>
      <c r="D3916" t="s">
        <v>56</v>
      </c>
      <c r="E3916" t="s">
        <v>387</v>
      </c>
      <c r="F3916" t="s">
        <v>718</v>
      </c>
      <c r="G3916">
        <v>136000</v>
      </c>
      <c r="H3916">
        <v>140000</v>
      </c>
    </row>
    <row r="3917" spans="2:8" x14ac:dyDescent="0.25">
      <c r="B3917" t="str">
        <f t="shared" si="61"/>
        <v>HTIPopulation ages 70-74, female</v>
      </c>
      <c r="C3917" t="s">
        <v>225</v>
      </c>
      <c r="D3917" t="s">
        <v>56</v>
      </c>
      <c r="E3917" t="s">
        <v>390</v>
      </c>
      <c r="F3917" t="s">
        <v>719</v>
      </c>
      <c r="G3917">
        <v>81000</v>
      </c>
      <c r="H3917">
        <v>84000</v>
      </c>
    </row>
    <row r="3918" spans="2:8" x14ac:dyDescent="0.25">
      <c r="B3918" t="str">
        <f t="shared" si="61"/>
        <v>HTIPopulation ages 70-74, male</v>
      </c>
      <c r="C3918" t="s">
        <v>225</v>
      </c>
      <c r="D3918" t="s">
        <v>56</v>
      </c>
      <c r="E3918" t="s">
        <v>391</v>
      </c>
      <c r="F3918" t="s">
        <v>720</v>
      </c>
      <c r="G3918">
        <v>65000</v>
      </c>
      <c r="H3918">
        <v>67000</v>
      </c>
    </row>
    <row r="3919" spans="2:8" x14ac:dyDescent="0.25">
      <c r="B3919" t="str">
        <f t="shared" si="61"/>
        <v>HTIPopulation ages 75-79, female</v>
      </c>
      <c r="C3919" t="s">
        <v>225</v>
      </c>
      <c r="D3919" t="s">
        <v>56</v>
      </c>
      <c r="E3919" t="s">
        <v>392</v>
      </c>
      <c r="F3919" t="s">
        <v>721</v>
      </c>
      <c r="G3919">
        <v>60000</v>
      </c>
      <c r="H3919">
        <v>61000</v>
      </c>
    </row>
    <row r="3920" spans="2:8" x14ac:dyDescent="0.25">
      <c r="B3920" t="str">
        <f t="shared" si="61"/>
        <v>HTIPopulation ages 75-79, male</v>
      </c>
      <c r="C3920" t="s">
        <v>225</v>
      </c>
      <c r="D3920" t="s">
        <v>56</v>
      </c>
      <c r="E3920" t="s">
        <v>393</v>
      </c>
      <c r="F3920" t="s">
        <v>722</v>
      </c>
      <c r="G3920">
        <v>47000</v>
      </c>
      <c r="H3920">
        <v>48000</v>
      </c>
    </row>
    <row r="3921" spans="2:8" x14ac:dyDescent="0.25">
      <c r="B3921" t="str">
        <f t="shared" si="61"/>
        <v>HTIPopulation ages 80 and above, female</v>
      </c>
      <c r="C3921" t="s">
        <v>225</v>
      </c>
      <c r="D3921" t="s">
        <v>56</v>
      </c>
      <c r="E3921" t="s">
        <v>394</v>
      </c>
      <c r="F3921" t="s">
        <v>723</v>
      </c>
      <c r="G3921">
        <v>57000</v>
      </c>
      <c r="H3921">
        <v>59000</v>
      </c>
    </row>
    <row r="3922" spans="2:8" x14ac:dyDescent="0.25">
      <c r="B3922" t="str">
        <f t="shared" si="61"/>
        <v>HTIPopulation ages 80 and above, male</v>
      </c>
      <c r="C3922" t="s">
        <v>225</v>
      </c>
      <c r="D3922" t="s">
        <v>56</v>
      </c>
      <c r="E3922" t="s">
        <v>395</v>
      </c>
      <c r="F3922" t="s">
        <v>724</v>
      </c>
      <c r="G3922">
        <v>39000</v>
      </c>
      <c r="H3922">
        <v>40000</v>
      </c>
    </row>
    <row r="3923" spans="2:8" x14ac:dyDescent="0.25">
      <c r="B3923" t="str">
        <f t="shared" si="61"/>
        <v>HTIPopulation, male</v>
      </c>
      <c r="C3923" t="s">
        <v>225</v>
      </c>
      <c r="D3923" t="s">
        <v>56</v>
      </c>
      <c r="E3923" t="s">
        <v>397</v>
      </c>
      <c r="F3923" t="s">
        <v>725</v>
      </c>
      <c r="G3923">
        <v>5558000</v>
      </c>
      <c r="H3923">
        <v>5626000</v>
      </c>
    </row>
    <row r="3924" spans="2:8" x14ac:dyDescent="0.25">
      <c r="B3924" t="str">
        <f t="shared" si="61"/>
        <v>HTIPopulation, total</v>
      </c>
      <c r="C3924" t="s">
        <v>225</v>
      </c>
      <c r="D3924" t="s">
        <v>56</v>
      </c>
      <c r="E3924" t="s">
        <v>398</v>
      </c>
      <c r="F3924" t="s">
        <v>726</v>
      </c>
      <c r="G3924">
        <v>11263000</v>
      </c>
      <c r="H3924">
        <v>11403000</v>
      </c>
    </row>
    <row r="3925" spans="2:8" x14ac:dyDescent="0.25">
      <c r="B3925" t="str">
        <f t="shared" si="61"/>
        <v>HTIPopulation, female</v>
      </c>
      <c r="C3925" t="s">
        <v>225</v>
      </c>
      <c r="D3925" t="s">
        <v>56</v>
      </c>
      <c r="E3925" t="s">
        <v>396</v>
      </c>
      <c r="F3925" t="s">
        <v>727</v>
      </c>
      <c r="G3925">
        <v>5705000</v>
      </c>
      <c r="H3925">
        <v>5776000</v>
      </c>
    </row>
    <row r="3926" spans="2:8" x14ac:dyDescent="0.25">
      <c r="B3926" t="str">
        <f t="shared" si="61"/>
        <v>HTIPopulation growth (annual %)</v>
      </c>
      <c r="C3926" t="s">
        <v>225</v>
      </c>
      <c r="D3926" t="s">
        <v>56</v>
      </c>
      <c r="E3926" t="s">
        <v>399</v>
      </c>
      <c r="F3926" t="s">
        <v>728</v>
      </c>
      <c r="G3926">
        <v>0</v>
      </c>
      <c r="H3926">
        <v>0</v>
      </c>
    </row>
    <row r="3927" spans="2:8" x14ac:dyDescent="0.25">
      <c r="B3927" t="str">
        <f t="shared" si="61"/>
        <v>HPCPopulation ages 0-14, female</v>
      </c>
      <c r="C3927" t="s">
        <v>515</v>
      </c>
      <c r="D3927" t="s">
        <v>516</v>
      </c>
      <c r="E3927" t="s">
        <v>687</v>
      </c>
      <c r="F3927" t="s">
        <v>688</v>
      </c>
      <c r="G3927">
        <v>168587000</v>
      </c>
      <c r="H3927">
        <v>171841000</v>
      </c>
    </row>
    <row r="3928" spans="2:8" x14ac:dyDescent="0.25">
      <c r="B3928" t="str">
        <f t="shared" si="61"/>
        <v>HPCPopulation ages 0-14, male</v>
      </c>
      <c r="C3928" t="s">
        <v>515</v>
      </c>
      <c r="D3928" t="s">
        <v>516</v>
      </c>
      <c r="E3928" t="s">
        <v>689</v>
      </c>
      <c r="F3928" t="s">
        <v>690</v>
      </c>
      <c r="G3928">
        <v>172552000</v>
      </c>
      <c r="H3928">
        <v>175905000</v>
      </c>
    </row>
    <row r="3929" spans="2:8" x14ac:dyDescent="0.25">
      <c r="B3929" t="str">
        <f t="shared" si="61"/>
        <v>HPCPopulation ages 00-04, female</v>
      </c>
      <c r="C3929" t="s">
        <v>515</v>
      </c>
      <c r="D3929" t="s">
        <v>516</v>
      </c>
      <c r="E3929" t="s">
        <v>362</v>
      </c>
      <c r="F3929" t="s">
        <v>691</v>
      </c>
      <c r="G3929">
        <v>62529000</v>
      </c>
      <c r="H3929">
        <v>63592000</v>
      </c>
    </row>
    <row r="3930" spans="2:8" x14ac:dyDescent="0.25">
      <c r="B3930" t="str">
        <f t="shared" si="61"/>
        <v>HPCPopulation ages 00-04, male</v>
      </c>
      <c r="C3930" t="s">
        <v>515</v>
      </c>
      <c r="D3930" t="s">
        <v>516</v>
      </c>
      <c r="E3930" t="s">
        <v>363</v>
      </c>
      <c r="F3930" t="s">
        <v>692</v>
      </c>
      <c r="G3930">
        <v>64168000</v>
      </c>
      <c r="H3930">
        <v>65245000</v>
      </c>
    </row>
    <row r="3931" spans="2:8" x14ac:dyDescent="0.25">
      <c r="B3931" t="str">
        <f t="shared" si="61"/>
        <v>HPCPopulation ages 05-09, female</v>
      </c>
      <c r="C3931" t="s">
        <v>515</v>
      </c>
      <c r="D3931" t="s">
        <v>516</v>
      </c>
      <c r="E3931" t="s">
        <v>364</v>
      </c>
      <c r="F3931" t="s">
        <v>693</v>
      </c>
      <c r="G3931">
        <v>56114000</v>
      </c>
      <c r="H3931">
        <v>57139000</v>
      </c>
    </row>
    <row r="3932" spans="2:8" x14ac:dyDescent="0.25">
      <c r="B3932" t="str">
        <f t="shared" si="61"/>
        <v>HPCPopulation ages 05-09, male</v>
      </c>
      <c r="C3932" t="s">
        <v>515</v>
      </c>
      <c r="D3932" t="s">
        <v>516</v>
      </c>
      <c r="E3932" t="s">
        <v>365</v>
      </c>
      <c r="F3932" t="s">
        <v>694</v>
      </c>
      <c r="G3932">
        <v>57430000</v>
      </c>
      <c r="H3932">
        <v>58491000</v>
      </c>
    </row>
    <row r="3933" spans="2:8" x14ac:dyDescent="0.25">
      <c r="B3933" t="str">
        <f t="shared" si="61"/>
        <v>HPCPopulation ages 10-14, female</v>
      </c>
      <c r="C3933" t="s">
        <v>515</v>
      </c>
      <c r="D3933" t="s">
        <v>516</v>
      </c>
      <c r="E3933" t="s">
        <v>366</v>
      </c>
      <c r="F3933" t="s">
        <v>695</v>
      </c>
      <c r="G3933">
        <v>49948000</v>
      </c>
      <c r="H3933">
        <v>51115000</v>
      </c>
    </row>
    <row r="3934" spans="2:8" x14ac:dyDescent="0.25">
      <c r="B3934" t="str">
        <f t="shared" si="61"/>
        <v>HPCPopulation ages 10-14, male</v>
      </c>
      <c r="C3934" t="s">
        <v>515</v>
      </c>
      <c r="D3934" t="s">
        <v>516</v>
      </c>
      <c r="E3934" t="s">
        <v>367</v>
      </c>
      <c r="F3934" t="s">
        <v>696</v>
      </c>
      <c r="G3934">
        <v>50956000</v>
      </c>
      <c r="H3934">
        <v>52171000</v>
      </c>
    </row>
    <row r="3935" spans="2:8" x14ac:dyDescent="0.25">
      <c r="B3935" t="str">
        <f t="shared" si="61"/>
        <v>HPCPopulation ages 15-19, female</v>
      </c>
      <c r="C3935" t="s">
        <v>515</v>
      </c>
      <c r="D3935" t="s">
        <v>516</v>
      </c>
      <c r="E3935" t="s">
        <v>368</v>
      </c>
      <c r="F3935" t="s">
        <v>697</v>
      </c>
      <c r="G3935">
        <v>43543000</v>
      </c>
      <c r="H3935">
        <v>44739000</v>
      </c>
    </row>
    <row r="3936" spans="2:8" x14ac:dyDescent="0.25">
      <c r="B3936" t="str">
        <f t="shared" si="61"/>
        <v>HPCPopulation ages 15-19, male</v>
      </c>
      <c r="C3936" t="s">
        <v>515</v>
      </c>
      <c r="D3936" t="s">
        <v>516</v>
      </c>
      <c r="E3936" t="s">
        <v>369</v>
      </c>
      <c r="F3936" t="s">
        <v>698</v>
      </c>
      <c r="G3936">
        <v>44245000</v>
      </c>
      <c r="H3936">
        <v>45498000</v>
      </c>
    </row>
    <row r="3937" spans="2:8" x14ac:dyDescent="0.25">
      <c r="B3937" t="str">
        <f t="shared" si="61"/>
        <v>HPCPopulation ages 20-24, female</v>
      </c>
      <c r="C3937" t="s">
        <v>515</v>
      </c>
      <c r="D3937" t="s">
        <v>516</v>
      </c>
      <c r="E3937" t="s">
        <v>370</v>
      </c>
      <c r="F3937" t="s">
        <v>699</v>
      </c>
      <c r="G3937">
        <v>37225900</v>
      </c>
      <c r="H3937">
        <v>38363200</v>
      </c>
    </row>
    <row r="3938" spans="2:8" x14ac:dyDescent="0.25">
      <c r="B3938" t="str">
        <f t="shared" si="61"/>
        <v>HPCPopulation ages 20-24, male</v>
      </c>
      <c r="C3938" t="s">
        <v>515</v>
      </c>
      <c r="D3938" t="s">
        <v>516</v>
      </c>
      <c r="E3938" t="s">
        <v>371</v>
      </c>
      <c r="F3938" t="s">
        <v>700</v>
      </c>
      <c r="G3938">
        <v>37566100</v>
      </c>
      <c r="H3938">
        <v>38736500</v>
      </c>
    </row>
    <row r="3939" spans="2:8" x14ac:dyDescent="0.25">
      <c r="B3939" t="str">
        <f t="shared" si="61"/>
        <v>HPCPopulation ages 25-29, female</v>
      </c>
      <c r="C3939" t="s">
        <v>515</v>
      </c>
      <c r="D3939" t="s">
        <v>516</v>
      </c>
      <c r="E3939" t="s">
        <v>372</v>
      </c>
      <c r="F3939" t="s">
        <v>701</v>
      </c>
      <c r="G3939">
        <v>31228400</v>
      </c>
      <c r="H3939">
        <v>32258400</v>
      </c>
    </row>
    <row r="3940" spans="2:8" x14ac:dyDescent="0.25">
      <c r="B3940" t="str">
        <f t="shared" si="61"/>
        <v>HPCPopulation ages 25-29, male</v>
      </c>
      <c r="C3940" t="s">
        <v>515</v>
      </c>
      <c r="D3940" t="s">
        <v>516</v>
      </c>
      <c r="E3940" t="s">
        <v>373</v>
      </c>
      <c r="F3940" t="s">
        <v>702</v>
      </c>
      <c r="G3940">
        <v>31287500</v>
      </c>
      <c r="H3940">
        <v>32345600</v>
      </c>
    </row>
    <row r="3941" spans="2:8" x14ac:dyDescent="0.25">
      <c r="B3941" t="str">
        <f t="shared" si="61"/>
        <v>HPCPopulation ages 30-34, female</v>
      </c>
      <c r="C3941" t="s">
        <v>515</v>
      </c>
      <c r="D3941" t="s">
        <v>516</v>
      </c>
      <c r="E3941" t="s">
        <v>374</v>
      </c>
      <c r="F3941" t="s">
        <v>703</v>
      </c>
      <c r="G3941">
        <v>26013000</v>
      </c>
      <c r="H3941">
        <v>26830000</v>
      </c>
    </row>
    <row r="3942" spans="2:8" x14ac:dyDescent="0.25">
      <c r="B3942" t="str">
        <f t="shared" si="61"/>
        <v>HPCPopulation ages 30-34, male</v>
      </c>
      <c r="C3942" t="s">
        <v>515</v>
      </c>
      <c r="D3942" t="s">
        <v>516</v>
      </c>
      <c r="E3942" t="s">
        <v>375</v>
      </c>
      <c r="F3942" t="s">
        <v>704</v>
      </c>
      <c r="G3942">
        <v>25733100</v>
      </c>
      <c r="H3942">
        <v>26612100</v>
      </c>
    </row>
    <row r="3943" spans="2:8" x14ac:dyDescent="0.25">
      <c r="B3943" t="str">
        <f t="shared" si="61"/>
        <v>HPCPopulation ages 35-39, female</v>
      </c>
      <c r="C3943" t="s">
        <v>515</v>
      </c>
      <c r="D3943" t="s">
        <v>516</v>
      </c>
      <c r="E3943" t="s">
        <v>376</v>
      </c>
      <c r="F3943" t="s">
        <v>705</v>
      </c>
      <c r="G3943">
        <v>21770200</v>
      </c>
      <c r="H3943">
        <v>22514200</v>
      </c>
    </row>
    <row r="3944" spans="2:8" x14ac:dyDescent="0.25">
      <c r="B3944" t="str">
        <f t="shared" si="61"/>
        <v>HPCPopulation ages 35-39, male</v>
      </c>
      <c r="C3944" t="s">
        <v>515</v>
      </c>
      <c r="D3944" t="s">
        <v>516</v>
      </c>
      <c r="E3944" t="s">
        <v>377</v>
      </c>
      <c r="F3944" t="s">
        <v>706</v>
      </c>
      <c r="G3944">
        <v>21148300</v>
      </c>
      <c r="H3944">
        <v>21897300</v>
      </c>
    </row>
    <row r="3945" spans="2:8" x14ac:dyDescent="0.25">
      <c r="B3945" t="str">
        <f t="shared" si="61"/>
        <v>HPCPopulation ages 40-44, female</v>
      </c>
      <c r="C3945" t="s">
        <v>515</v>
      </c>
      <c r="D3945" t="s">
        <v>516</v>
      </c>
      <c r="E3945" t="s">
        <v>378</v>
      </c>
      <c r="F3945" t="s">
        <v>707</v>
      </c>
      <c r="G3945">
        <v>17604300</v>
      </c>
      <c r="H3945">
        <v>18264500</v>
      </c>
    </row>
    <row r="3946" spans="2:8" x14ac:dyDescent="0.25">
      <c r="B3946" t="str">
        <f t="shared" si="61"/>
        <v>HPCPopulation ages 40-44, male</v>
      </c>
      <c r="C3946" t="s">
        <v>515</v>
      </c>
      <c r="D3946" t="s">
        <v>516</v>
      </c>
      <c r="E3946" t="s">
        <v>379</v>
      </c>
      <c r="F3946" t="s">
        <v>708</v>
      </c>
      <c r="G3946">
        <v>17071300</v>
      </c>
      <c r="H3946">
        <v>17695500</v>
      </c>
    </row>
    <row r="3947" spans="2:8" x14ac:dyDescent="0.25">
      <c r="B3947" t="str">
        <f t="shared" si="61"/>
        <v>HPCPopulation ages 45-49, female</v>
      </c>
      <c r="C3947" t="s">
        <v>515</v>
      </c>
      <c r="D3947" t="s">
        <v>516</v>
      </c>
      <c r="E3947" t="s">
        <v>380</v>
      </c>
      <c r="F3947" t="s">
        <v>709</v>
      </c>
      <c r="G3947">
        <v>14267800</v>
      </c>
      <c r="H3947">
        <v>14783900</v>
      </c>
    </row>
    <row r="3948" spans="2:8" x14ac:dyDescent="0.25">
      <c r="B3948" t="str">
        <f t="shared" si="61"/>
        <v>HPCPopulation ages 45-49, male</v>
      </c>
      <c r="C3948" t="s">
        <v>515</v>
      </c>
      <c r="D3948" t="s">
        <v>516</v>
      </c>
      <c r="E3948" t="s">
        <v>381</v>
      </c>
      <c r="F3948" t="s">
        <v>710</v>
      </c>
      <c r="G3948">
        <v>13728700</v>
      </c>
      <c r="H3948">
        <v>14240800</v>
      </c>
    </row>
    <row r="3949" spans="2:8" x14ac:dyDescent="0.25">
      <c r="B3949" t="str">
        <f t="shared" si="61"/>
        <v>HPCPopulation ages 50-54, female</v>
      </c>
      <c r="C3949" t="s">
        <v>515</v>
      </c>
      <c r="D3949" t="s">
        <v>516</v>
      </c>
      <c r="E3949" t="s">
        <v>382</v>
      </c>
      <c r="F3949" t="s">
        <v>711</v>
      </c>
      <c r="G3949">
        <v>11532700</v>
      </c>
      <c r="H3949">
        <v>11940700</v>
      </c>
    </row>
    <row r="3950" spans="2:8" x14ac:dyDescent="0.25">
      <c r="B3950" t="str">
        <f t="shared" si="61"/>
        <v>HPCPopulation ages 50-54, male</v>
      </c>
      <c r="C3950" t="s">
        <v>515</v>
      </c>
      <c r="D3950" t="s">
        <v>516</v>
      </c>
      <c r="E3950" t="s">
        <v>383</v>
      </c>
      <c r="F3950" t="s">
        <v>712</v>
      </c>
      <c r="G3950">
        <v>10808500</v>
      </c>
      <c r="H3950">
        <v>11218600</v>
      </c>
    </row>
    <row r="3951" spans="2:8" x14ac:dyDescent="0.25">
      <c r="B3951" t="str">
        <f t="shared" si="61"/>
        <v>HPCPopulation ages 55-59, male</v>
      </c>
      <c r="C3951" t="s">
        <v>515</v>
      </c>
      <c r="D3951" t="s">
        <v>516</v>
      </c>
      <c r="E3951" t="s">
        <v>385</v>
      </c>
      <c r="F3951" t="s">
        <v>713</v>
      </c>
      <c r="G3951">
        <v>8449400</v>
      </c>
      <c r="H3951">
        <v>8758500</v>
      </c>
    </row>
    <row r="3952" spans="2:8" x14ac:dyDescent="0.25">
      <c r="B3952" t="str">
        <f t="shared" si="61"/>
        <v>HPCPopulation ages 55-59, female</v>
      </c>
      <c r="C3952" t="s">
        <v>515</v>
      </c>
      <c r="D3952" t="s">
        <v>516</v>
      </c>
      <c r="E3952" t="s">
        <v>384</v>
      </c>
      <c r="F3952" t="s">
        <v>714</v>
      </c>
      <c r="G3952">
        <v>9235800</v>
      </c>
      <c r="H3952">
        <v>9559900</v>
      </c>
    </row>
    <row r="3953" spans="2:8" x14ac:dyDescent="0.25">
      <c r="B3953" t="str">
        <f t="shared" si="61"/>
        <v>HPCPopulation ages 65-69, male</v>
      </c>
      <c r="C3953" t="s">
        <v>515</v>
      </c>
      <c r="D3953" t="s">
        <v>516</v>
      </c>
      <c r="E3953" t="s">
        <v>389</v>
      </c>
      <c r="F3953" t="s">
        <v>715</v>
      </c>
      <c r="G3953">
        <v>4663700</v>
      </c>
      <c r="H3953">
        <v>4844400</v>
      </c>
    </row>
    <row r="3954" spans="2:8" x14ac:dyDescent="0.25">
      <c r="B3954" t="str">
        <f t="shared" si="61"/>
        <v>HPCPopulation ages 65-69, female</v>
      </c>
      <c r="C3954" t="s">
        <v>515</v>
      </c>
      <c r="D3954" t="s">
        <v>516</v>
      </c>
      <c r="E3954" t="s">
        <v>388</v>
      </c>
      <c r="F3954" t="s">
        <v>716</v>
      </c>
      <c r="G3954">
        <v>5455400</v>
      </c>
      <c r="H3954">
        <v>5659900</v>
      </c>
    </row>
    <row r="3955" spans="2:8" x14ac:dyDescent="0.25">
      <c r="B3955" t="str">
        <f t="shared" si="61"/>
        <v>HPCPopulation ages 60-64, female</v>
      </c>
      <c r="C3955" t="s">
        <v>515</v>
      </c>
      <c r="D3955" t="s">
        <v>516</v>
      </c>
      <c r="E3955" t="s">
        <v>386</v>
      </c>
      <c r="F3955" t="s">
        <v>717</v>
      </c>
      <c r="G3955">
        <v>7262900</v>
      </c>
      <c r="H3955">
        <v>7528400</v>
      </c>
    </row>
    <row r="3956" spans="2:8" x14ac:dyDescent="0.25">
      <c r="B3956" t="str">
        <f t="shared" si="61"/>
        <v>HPCPopulation ages 60-64, male</v>
      </c>
      <c r="C3956" t="s">
        <v>515</v>
      </c>
      <c r="D3956" t="s">
        <v>516</v>
      </c>
      <c r="E3956" t="s">
        <v>387</v>
      </c>
      <c r="F3956" t="s">
        <v>718</v>
      </c>
      <c r="G3956">
        <v>6419100</v>
      </c>
      <c r="H3956">
        <v>6657500</v>
      </c>
    </row>
    <row r="3957" spans="2:8" x14ac:dyDescent="0.25">
      <c r="B3957" t="str">
        <f t="shared" si="61"/>
        <v>HPCPopulation ages 70-74, female</v>
      </c>
      <c r="C3957" t="s">
        <v>515</v>
      </c>
      <c r="D3957" t="s">
        <v>516</v>
      </c>
      <c r="E3957" t="s">
        <v>390</v>
      </c>
      <c r="F3957" t="s">
        <v>719</v>
      </c>
      <c r="G3957">
        <v>3863500</v>
      </c>
      <c r="H3957">
        <v>4004900</v>
      </c>
    </row>
    <row r="3958" spans="2:8" x14ac:dyDescent="0.25">
      <c r="B3958" t="str">
        <f t="shared" si="61"/>
        <v>HPCPopulation ages 70-74, male</v>
      </c>
      <c r="C3958" t="s">
        <v>515</v>
      </c>
      <c r="D3958" t="s">
        <v>516</v>
      </c>
      <c r="E3958" t="s">
        <v>391</v>
      </c>
      <c r="F3958" t="s">
        <v>720</v>
      </c>
      <c r="G3958">
        <v>3093700</v>
      </c>
      <c r="H3958">
        <v>3208600</v>
      </c>
    </row>
    <row r="3959" spans="2:8" x14ac:dyDescent="0.25">
      <c r="B3959" t="str">
        <f t="shared" si="61"/>
        <v>HPCPopulation ages 75-79, female</v>
      </c>
      <c r="C3959" t="s">
        <v>515</v>
      </c>
      <c r="D3959" t="s">
        <v>516</v>
      </c>
      <c r="E3959" t="s">
        <v>392</v>
      </c>
      <c r="F3959" t="s">
        <v>721</v>
      </c>
      <c r="G3959">
        <v>2397600</v>
      </c>
      <c r="H3959">
        <v>2491900</v>
      </c>
    </row>
    <row r="3960" spans="2:8" x14ac:dyDescent="0.25">
      <c r="B3960" t="str">
        <f t="shared" si="61"/>
        <v>HPCPopulation ages 75-79, male</v>
      </c>
      <c r="C3960" t="s">
        <v>515</v>
      </c>
      <c r="D3960" t="s">
        <v>516</v>
      </c>
      <c r="E3960" t="s">
        <v>393</v>
      </c>
      <c r="F3960" t="s">
        <v>722</v>
      </c>
      <c r="G3960">
        <v>1835000</v>
      </c>
      <c r="H3960">
        <v>1897400</v>
      </c>
    </row>
    <row r="3961" spans="2:8" x14ac:dyDescent="0.25">
      <c r="B3961" t="str">
        <f t="shared" si="61"/>
        <v>HPCPopulation ages 80 and above, female</v>
      </c>
      <c r="C3961" t="s">
        <v>515</v>
      </c>
      <c r="D3961" t="s">
        <v>516</v>
      </c>
      <c r="E3961" t="s">
        <v>394</v>
      </c>
      <c r="F3961" t="s">
        <v>723</v>
      </c>
      <c r="G3961">
        <v>1857000</v>
      </c>
      <c r="H3961">
        <v>1879300</v>
      </c>
    </row>
    <row r="3962" spans="2:8" x14ac:dyDescent="0.25">
      <c r="B3962" t="str">
        <f t="shared" si="61"/>
        <v>HPCPopulation ages 80 and above, male</v>
      </c>
      <c r="C3962" t="s">
        <v>515</v>
      </c>
      <c r="D3962" t="s">
        <v>516</v>
      </c>
      <c r="E3962" t="s">
        <v>395</v>
      </c>
      <c r="F3962" t="s">
        <v>724</v>
      </c>
      <c r="G3962">
        <v>1290600</v>
      </c>
      <c r="H3962">
        <v>1294100</v>
      </c>
    </row>
    <row r="3963" spans="2:8" x14ac:dyDescent="0.25">
      <c r="B3963" t="str">
        <f t="shared" si="61"/>
        <v>HPCPopulation, male</v>
      </c>
      <c r="C3963" t="s">
        <v>515</v>
      </c>
      <c r="D3963" t="s">
        <v>516</v>
      </c>
      <c r="E3963" t="s">
        <v>397</v>
      </c>
      <c r="F3963" t="s">
        <v>725</v>
      </c>
      <c r="G3963">
        <v>399877000</v>
      </c>
      <c r="H3963">
        <v>410816000</v>
      </c>
    </row>
    <row r="3964" spans="2:8" x14ac:dyDescent="0.25">
      <c r="B3964" t="str">
        <f t="shared" si="61"/>
        <v>HPCPopulation, total</v>
      </c>
      <c r="C3964" t="s">
        <v>515</v>
      </c>
      <c r="D3964" t="s">
        <v>516</v>
      </c>
      <c r="E3964" t="s">
        <v>398</v>
      </c>
      <c r="F3964" t="s">
        <v>726</v>
      </c>
      <c r="G3964">
        <v>801709000</v>
      </c>
      <c r="H3964">
        <v>823482000</v>
      </c>
    </row>
    <row r="3965" spans="2:8" x14ac:dyDescent="0.25">
      <c r="B3965" t="str">
        <f t="shared" si="61"/>
        <v>HPCPopulation, female</v>
      </c>
      <c r="C3965" t="s">
        <v>515</v>
      </c>
      <c r="D3965" t="s">
        <v>516</v>
      </c>
      <c r="E3965" t="s">
        <v>396</v>
      </c>
      <c r="F3965" t="s">
        <v>727</v>
      </c>
      <c r="G3965">
        <v>401828000</v>
      </c>
      <c r="H3965">
        <v>412665000</v>
      </c>
    </row>
    <row r="3966" spans="2:8" x14ac:dyDescent="0.25">
      <c r="B3966" t="str">
        <f t="shared" si="61"/>
        <v>HPCPopulation growth (annual %)</v>
      </c>
      <c r="C3966" t="s">
        <v>515</v>
      </c>
      <c r="D3966" t="s">
        <v>516</v>
      </c>
      <c r="E3966" t="s">
        <v>399</v>
      </c>
      <c r="F3966" t="s">
        <v>728</v>
      </c>
      <c r="G3966">
        <v>2.7523259465181695</v>
      </c>
      <c r="H3966">
        <v>2.7158233224274539</v>
      </c>
    </row>
    <row r="3967" spans="2:8" x14ac:dyDescent="0.25">
      <c r="B3967" t="str">
        <f t="shared" si="61"/>
        <v>HICPopulation ages 0-14, female</v>
      </c>
      <c r="C3967" t="s">
        <v>517</v>
      </c>
      <c r="D3967" t="s">
        <v>518</v>
      </c>
      <c r="E3967" t="s">
        <v>687</v>
      </c>
      <c r="F3967" t="s">
        <v>688</v>
      </c>
      <c r="G3967">
        <v>97396200</v>
      </c>
      <c r="H3967">
        <v>97227100</v>
      </c>
    </row>
    <row r="3968" spans="2:8" x14ac:dyDescent="0.25">
      <c r="B3968" t="str">
        <f t="shared" si="61"/>
        <v>HICPopulation ages 0-14, male</v>
      </c>
      <c r="C3968" t="s">
        <v>517</v>
      </c>
      <c r="D3968" t="s">
        <v>518</v>
      </c>
      <c r="E3968" t="s">
        <v>689</v>
      </c>
      <c r="F3968" t="s">
        <v>690</v>
      </c>
      <c r="G3968">
        <v>102422500</v>
      </c>
      <c r="H3968">
        <v>102252400</v>
      </c>
    </row>
    <row r="3969" spans="2:8" x14ac:dyDescent="0.25">
      <c r="B3969" t="str">
        <f t="shared" si="61"/>
        <v>HICPopulation ages 00-04, female</v>
      </c>
      <c r="C3969" t="s">
        <v>517</v>
      </c>
      <c r="D3969" t="s">
        <v>518</v>
      </c>
      <c r="E3969" t="s">
        <v>362</v>
      </c>
      <c r="F3969" t="s">
        <v>691</v>
      </c>
      <c r="G3969">
        <v>31533800</v>
      </c>
      <c r="H3969">
        <v>31422600</v>
      </c>
    </row>
    <row r="3970" spans="2:8" x14ac:dyDescent="0.25">
      <c r="B3970" t="str">
        <f t="shared" si="61"/>
        <v>HICPopulation ages 00-04, male</v>
      </c>
      <c r="C3970" t="s">
        <v>517</v>
      </c>
      <c r="D3970" t="s">
        <v>518</v>
      </c>
      <c r="E3970" t="s">
        <v>363</v>
      </c>
      <c r="F3970" t="s">
        <v>692</v>
      </c>
      <c r="G3970">
        <v>33130800</v>
      </c>
      <c r="H3970">
        <v>33005700</v>
      </c>
    </row>
    <row r="3971" spans="2:8" x14ac:dyDescent="0.25">
      <c r="B3971" t="str">
        <f t="shared" si="61"/>
        <v>HICPopulation ages 05-09, female</v>
      </c>
      <c r="C3971" t="s">
        <v>517</v>
      </c>
      <c r="D3971" t="s">
        <v>518</v>
      </c>
      <c r="E3971" t="s">
        <v>364</v>
      </c>
      <c r="F3971" t="s">
        <v>693</v>
      </c>
      <c r="G3971">
        <v>32787200</v>
      </c>
      <c r="H3971">
        <v>32611500</v>
      </c>
    </row>
    <row r="3972" spans="2:8" x14ac:dyDescent="0.25">
      <c r="B3972" t="str">
        <f t="shared" si="61"/>
        <v>HICPopulation ages 05-09, male</v>
      </c>
      <c r="C3972" t="s">
        <v>517</v>
      </c>
      <c r="D3972" t="s">
        <v>518</v>
      </c>
      <c r="E3972" t="s">
        <v>365</v>
      </c>
      <c r="F3972" t="s">
        <v>694</v>
      </c>
      <c r="G3972">
        <v>34482000</v>
      </c>
      <c r="H3972">
        <v>34295700</v>
      </c>
    </row>
    <row r="3973" spans="2:8" x14ac:dyDescent="0.25">
      <c r="B3973" t="str">
        <f t="shared" si="61"/>
        <v>HICPopulation ages 10-14, female</v>
      </c>
      <c r="C3973" t="s">
        <v>517</v>
      </c>
      <c r="D3973" t="s">
        <v>518</v>
      </c>
      <c r="E3973" t="s">
        <v>366</v>
      </c>
      <c r="F3973" t="s">
        <v>695</v>
      </c>
      <c r="G3973">
        <v>33068500</v>
      </c>
      <c r="H3973">
        <v>33188400</v>
      </c>
    </row>
    <row r="3974" spans="2:8" x14ac:dyDescent="0.25">
      <c r="B3974" t="str">
        <f t="shared" si="61"/>
        <v>HICPopulation ages 10-14, male</v>
      </c>
      <c r="C3974" t="s">
        <v>517</v>
      </c>
      <c r="D3974" t="s">
        <v>518</v>
      </c>
      <c r="E3974" t="s">
        <v>367</v>
      </c>
      <c r="F3974" t="s">
        <v>696</v>
      </c>
      <c r="G3974">
        <v>34803000</v>
      </c>
      <c r="H3974">
        <v>34955700</v>
      </c>
    </row>
    <row r="3975" spans="2:8" x14ac:dyDescent="0.25">
      <c r="B3975" t="str">
        <f t="shared" ref="B3975:B4038" si="62">CONCATENATE(D3975,E3975)</f>
        <v>HICPopulation ages 15-19, female</v>
      </c>
      <c r="C3975" t="s">
        <v>517</v>
      </c>
      <c r="D3975" t="s">
        <v>518</v>
      </c>
      <c r="E3975" t="s">
        <v>368</v>
      </c>
      <c r="F3975" t="s">
        <v>697</v>
      </c>
      <c r="G3975">
        <v>32902400</v>
      </c>
      <c r="H3975">
        <v>32794300</v>
      </c>
    </row>
    <row r="3976" spans="2:8" x14ac:dyDescent="0.25">
      <c r="B3976" t="str">
        <f t="shared" si="62"/>
        <v>HICPopulation ages 15-19, male</v>
      </c>
      <c r="C3976" t="s">
        <v>517</v>
      </c>
      <c r="D3976" t="s">
        <v>518</v>
      </c>
      <c r="E3976" t="s">
        <v>369</v>
      </c>
      <c r="F3976" t="s">
        <v>698</v>
      </c>
      <c r="G3976">
        <v>34633400</v>
      </c>
      <c r="H3976">
        <v>34477400</v>
      </c>
    </row>
    <row r="3977" spans="2:8" x14ac:dyDescent="0.25">
      <c r="B3977" t="str">
        <f t="shared" si="62"/>
        <v>HICPopulation ages 20-24, female</v>
      </c>
      <c r="C3977" t="s">
        <v>517</v>
      </c>
      <c r="D3977" t="s">
        <v>518</v>
      </c>
      <c r="E3977" t="s">
        <v>370</v>
      </c>
      <c r="F3977" t="s">
        <v>699</v>
      </c>
      <c r="G3977">
        <v>35458500</v>
      </c>
      <c r="H3977">
        <v>35033400</v>
      </c>
    </row>
    <row r="3978" spans="2:8" x14ac:dyDescent="0.25">
      <c r="B3978" t="str">
        <f t="shared" si="62"/>
        <v>HICPopulation ages 20-24, male</v>
      </c>
      <c r="C3978" t="s">
        <v>517</v>
      </c>
      <c r="D3978" t="s">
        <v>518</v>
      </c>
      <c r="E3978" t="s">
        <v>371</v>
      </c>
      <c r="F3978" t="s">
        <v>700</v>
      </c>
      <c r="G3978">
        <v>37870300</v>
      </c>
      <c r="H3978">
        <v>37310200</v>
      </c>
    </row>
    <row r="3979" spans="2:8" x14ac:dyDescent="0.25">
      <c r="B3979" t="str">
        <f t="shared" si="62"/>
        <v>HICPopulation ages 25-29, female</v>
      </c>
      <c r="C3979" t="s">
        <v>517</v>
      </c>
      <c r="D3979" t="s">
        <v>518</v>
      </c>
      <c r="E3979" t="s">
        <v>372</v>
      </c>
      <c r="F3979" t="s">
        <v>701</v>
      </c>
      <c r="G3979">
        <v>38430100</v>
      </c>
      <c r="H3979">
        <v>38265100</v>
      </c>
    </row>
    <row r="3980" spans="2:8" x14ac:dyDescent="0.25">
      <c r="B3980" t="str">
        <f t="shared" si="62"/>
        <v>HICPopulation ages 25-29, male</v>
      </c>
      <c r="C3980" t="s">
        <v>517</v>
      </c>
      <c r="D3980" t="s">
        <v>518</v>
      </c>
      <c r="E3980" t="s">
        <v>373</v>
      </c>
      <c r="F3980" t="s">
        <v>702</v>
      </c>
      <c r="G3980">
        <v>41945300</v>
      </c>
      <c r="H3980">
        <v>41874800</v>
      </c>
    </row>
    <row r="3981" spans="2:8" x14ac:dyDescent="0.25">
      <c r="B3981" t="str">
        <f t="shared" si="62"/>
        <v>HICPopulation ages 30-34, female</v>
      </c>
      <c r="C3981" t="s">
        <v>517</v>
      </c>
      <c r="D3981" t="s">
        <v>518</v>
      </c>
      <c r="E3981" t="s">
        <v>374</v>
      </c>
      <c r="F3981" t="s">
        <v>703</v>
      </c>
      <c r="G3981">
        <v>39763900</v>
      </c>
      <c r="H3981">
        <v>39719900</v>
      </c>
    </row>
    <row r="3982" spans="2:8" x14ac:dyDescent="0.25">
      <c r="B3982" t="str">
        <f t="shared" si="62"/>
        <v>HICPopulation ages 30-34, male</v>
      </c>
      <c r="C3982" t="s">
        <v>517</v>
      </c>
      <c r="D3982" t="s">
        <v>518</v>
      </c>
      <c r="E3982" t="s">
        <v>375</v>
      </c>
      <c r="F3982" t="s">
        <v>704</v>
      </c>
      <c r="G3982">
        <v>43163700</v>
      </c>
      <c r="H3982">
        <v>43353100</v>
      </c>
    </row>
    <row r="3983" spans="2:8" x14ac:dyDescent="0.25">
      <c r="B3983" t="str">
        <f t="shared" si="62"/>
        <v>HICPopulation ages 35-39, female</v>
      </c>
      <c r="C3983" t="s">
        <v>517</v>
      </c>
      <c r="D3983" t="s">
        <v>518</v>
      </c>
      <c r="E3983" t="s">
        <v>376</v>
      </c>
      <c r="F3983" t="s">
        <v>705</v>
      </c>
      <c r="G3983">
        <v>40651000</v>
      </c>
      <c r="H3983">
        <v>40704800</v>
      </c>
    </row>
    <row r="3984" spans="2:8" x14ac:dyDescent="0.25">
      <c r="B3984" t="str">
        <f t="shared" si="62"/>
        <v>HICPopulation ages 35-39, male</v>
      </c>
      <c r="C3984" t="s">
        <v>517</v>
      </c>
      <c r="D3984" t="s">
        <v>518</v>
      </c>
      <c r="E3984" t="s">
        <v>377</v>
      </c>
      <c r="F3984" t="s">
        <v>706</v>
      </c>
      <c r="G3984">
        <v>43191900</v>
      </c>
      <c r="H3984">
        <v>43356000</v>
      </c>
    </row>
    <row r="3985" spans="2:8" x14ac:dyDescent="0.25">
      <c r="B3985" t="str">
        <f t="shared" si="62"/>
        <v>HICPopulation ages 40-44, female</v>
      </c>
      <c r="C3985" t="s">
        <v>517</v>
      </c>
      <c r="D3985" t="s">
        <v>518</v>
      </c>
      <c r="E3985" t="s">
        <v>378</v>
      </c>
      <c r="F3985" t="s">
        <v>707</v>
      </c>
      <c r="G3985">
        <v>40583300</v>
      </c>
      <c r="H3985">
        <v>40490600</v>
      </c>
    </row>
    <row r="3986" spans="2:8" x14ac:dyDescent="0.25">
      <c r="B3986" t="str">
        <f t="shared" si="62"/>
        <v>HICPopulation ages 40-44, male</v>
      </c>
      <c r="C3986" t="s">
        <v>517</v>
      </c>
      <c r="D3986" t="s">
        <v>518</v>
      </c>
      <c r="E3986" t="s">
        <v>379</v>
      </c>
      <c r="F3986" t="s">
        <v>708</v>
      </c>
      <c r="G3986">
        <v>42717900</v>
      </c>
      <c r="H3986">
        <v>42647300</v>
      </c>
    </row>
    <row r="3987" spans="2:8" x14ac:dyDescent="0.25">
      <c r="B3987" t="str">
        <f t="shared" si="62"/>
        <v>HICPopulation ages 45-49, female</v>
      </c>
      <c r="C3987" t="s">
        <v>517</v>
      </c>
      <c r="D3987" t="s">
        <v>518</v>
      </c>
      <c r="E3987" t="s">
        <v>380</v>
      </c>
      <c r="F3987" t="s">
        <v>709</v>
      </c>
      <c r="G3987">
        <v>41280000</v>
      </c>
      <c r="H3987">
        <v>41201700</v>
      </c>
    </row>
    <row r="3988" spans="2:8" x14ac:dyDescent="0.25">
      <c r="B3988" t="str">
        <f t="shared" si="62"/>
        <v>HICPopulation ages 45-49, male</v>
      </c>
      <c r="C3988" t="s">
        <v>517</v>
      </c>
      <c r="D3988" t="s">
        <v>518</v>
      </c>
      <c r="E3988" t="s">
        <v>381</v>
      </c>
      <c r="F3988" t="s">
        <v>710</v>
      </c>
      <c r="G3988">
        <v>42936200</v>
      </c>
      <c r="H3988">
        <v>42906900</v>
      </c>
    </row>
    <row r="3989" spans="2:8" x14ac:dyDescent="0.25">
      <c r="B3989" t="str">
        <f t="shared" si="62"/>
        <v>HICPopulation ages 50-54, female</v>
      </c>
      <c r="C3989" t="s">
        <v>517</v>
      </c>
      <c r="D3989" t="s">
        <v>518</v>
      </c>
      <c r="E3989" t="s">
        <v>382</v>
      </c>
      <c r="F3989" t="s">
        <v>711</v>
      </c>
      <c r="G3989">
        <v>41004900</v>
      </c>
      <c r="H3989">
        <v>40899000</v>
      </c>
    </row>
    <row r="3990" spans="2:8" x14ac:dyDescent="0.25">
      <c r="B3990" t="str">
        <f t="shared" si="62"/>
        <v>HICPopulation ages 50-54, male</v>
      </c>
      <c r="C3990" t="s">
        <v>517</v>
      </c>
      <c r="D3990" t="s">
        <v>518</v>
      </c>
      <c r="E3990" t="s">
        <v>383</v>
      </c>
      <c r="F3990" t="s">
        <v>712</v>
      </c>
      <c r="G3990">
        <v>41906200</v>
      </c>
      <c r="H3990">
        <v>41876400</v>
      </c>
    </row>
    <row r="3991" spans="2:8" x14ac:dyDescent="0.25">
      <c r="B3991" t="str">
        <f t="shared" si="62"/>
        <v>HICPopulation ages 55-59, male</v>
      </c>
      <c r="C3991" t="s">
        <v>517</v>
      </c>
      <c r="D3991" t="s">
        <v>518</v>
      </c>
      <c r="E3991" t="s">
        <v>385</v>
      </c>
      <c r="F3991" t="s">
        <v>713</v>
      </c>
      <c r="G3991">
        <v>40423700</v>
      </c>
      <c r="H3991">
        <v>40715500</v>
      </c>
    </row>
    <row r="3992" spans="2:8" x14ac:dyDescent="0.25">
      <c r="B3992" t="str">
        <f t="shared" si="62"/>
        <v>HICPopulation ages 55-59, female</v>
      </c>
      <c r="C3992" t="s">
        <v>517</v>
      </c>
      <c r="D3992" t="s">
        <v>518</v>
      </c>
      <c r="E3992" t="s">
        <v>384</v>
      </c>
      <c r="F3992" t="s">
        <v>714</v>
      </c>
      <c r="G3992">
        <v>40509300</v>
      </c>
      <c r="H3992">
        <v>40690300</v>
      </c>
    </row>
    <row r="3993" spans="2:8" x14ac:dyDescent="0.25">
      <c r="B3993" t="str">
        <f t="shared" si="62"/>
        <v>HICPopulation ages 65-69, male</v>
      </c>
      <c r="C3993" t="s">
        <v>517</v>
      </c>
      <c r="D3993" t="s">
        <v>518</v>
      </c>
      <c r="E3993" t="s">
        <v>389</v>
      </c>
      <c r="F3993" t="s">
        <v>715</v>
      </c>
      <c r="G3993">
        <v>31048500</v>
      </c>
      <c r="H3993">
        <v>31465700</v>
      </c>
    </row>
    <row r="3994" spans="2:8" x14ac:dyDescent="0.25">
      <c r="B3994" t="str">
        <f t="shared" si="62"/>
        <v>HICPopulation ages 65-69, female</v>
      </c>
      <c r="C3994" t="s">
        <v>517</v>
      </c>
      <c r="D3994" t="s">
        <v>518</v>
      </c>
      <c r="E3994" t="s">
        <v>388</v>
      </c>
      <c r="F3994" t="s">
        <v>716</v>
      </c>
      <c r="G3994">
        <v>33967900</v>
      </c>
      <c r="H3994">
        <v>34364200</v>
      </c>
    </row>
    <row r="3995" spans="2:8" x14ac:dyDescent="0.25">
      <c r="B3995" t="str">
        <f t="shared" si="62"/>
        <v>HICPopulation ages 60-64, female</v>
      </c>
      <c r="C3995" t="s">
        <v>517</v>
      </c>
      <c r="D3995" t="s">
        <v>518</v>
      </c>
      <c r="E3995" t="s">
        <v>386</v>
      </c>
      <c r="F3995" t="s">
        <v>717</v>
      </c>
      <c r="G3995">
        <v>37532600</v>
      </c>
      <c r="H3995">
        <v>38009500</v>
      </c>
    </row>
    <row r="3996" spans="2:8" x14ac:dyDescent="0.25">
      <c r="B3996" t="str">
        <f t="shared" si="62"/>
        <v>HICPopulation ages 60-64, male</v>
      </c>
      <c r="C3996" t="s">
        <v>517</v>
      </c>
      <c r="D3996" t="s">
        <v>518</v>
      </c>
      <c r="E3996" t="s">
        <v>387</v>
      </c>
      <c r="F3996" t="s">
        <v>718</v>
      </c>
      <c r="G3996">
        <v>36004500</v>
      </c>
      <c r="H3996">
        <v>36605800</v>
      </c>
    </row>
    <row r="3997" spans="2:8" x14ac:dyDescent="0.25">
      <c r="B3997" t="str">
        <f t="shared" si="62"/>
        <v>HICPopulation ages 70-74, female</v>
      </c>
      <c r="C3997" t="s">
        <v>517</v>
      </c>
      <c r="D3997" t="s">
        <v>518</v>
      </c>
      <c r="E3997" t="s">
        <v>390</v>
      </c>
      <c r="F3997" t="s">
        <v>719</v>
      </c>
      <c r="G3997">
        <v>29674500</v>
      </c>
      <c r="H3997">
        <v>30565400</v>
      </c>
    </row>
    <row r="3998" spans="2:8" x14ac:dyDescent="0.25">
      <c r="B3998" t="str">
        <f t="shared" si="62"/>
        <v>HICPopulation ages 70-74, male</v>
      </c>
      <c r="C3998" t="s">
        <v>517</v>
      </c>
      <c r="D3998" t="s">
        <v>518</v>
      </c>
      <c r="E3998" t="s">
        <v>391</v>
      </c>
      <c r="F3998" t="s">
        <v>720</v>
      </c>
      <c r="G3998">
        <v>25858300</v>
      </c>
      <c r="H3998">
        <v>26692700</v>
      </c>
    </row>
    <row r="3999" spans="2:8" x14ac:dyDescent="0.25">
      <c r="B3999" t="str">
        <f t="shared" si="62"/>
        <v>HICPopulation ages 75-79, female</v>
      </c>
      <c r="C3999" t="s">
        <v>517</v>
      </c>
      <c r="D3999" t="s">
        <v>518</v>
      </c>
      <c r="E3999" t="s">
        <v>392</v>
      </c>
      <c r="F3999" t="s">
        <v>721</v>
      </c>
      <c r="G3999">
        <v>22423700</v>
      </c>
      <c r="H3999">
        <v>23141100</v>
      </c>
    </row>
    <row r="4000" spans="2:8" x14ac:dyDescent="0.25">
      <c r="B4000" t="str">
        <f t="shared" si="62"/>
        <v>HICPopulation ages 75-79, male</v>
      </c>
      <c r="C4000" t="s">
        <v>517</v>
      </c>
      <c r="D4000" t="s">
        <v>518</v>
      </c>
      <c r="E4000" t="s">
        <v>393</v>
      </c>
      <c r="F4000" t="s">
        <v>722</v>
      </c>
      <c r="G4000">
        <v>17883800</v>
      </c>
      <c r="H4000">
        <v>18567100</v>
      </c>
    </row>
    <row r="4001" spans="2:8" x14ac:dyDescent="0.25">
      <c r="B4001" t="str">
        <f t="shared" si="62"/>
        <v>HICPopulation ages 80 and above, female</v>
      </c>
      <c r="C4001" t="s">
        <v>517</v>
      </c>
      <c r="D4001" t="s">
        <v>518</v>
      </c>
      <c r="E4001" t="s">
        <v>394</v>
      </c>
      <c r="F4001" t="s">
        <v>723</v>
      </c>
      <c r="G4001">
        <v>37929100</v>
      </c>
      <c r="H4001">
        <v>38580600</v>
      </c>
    </row>
    <row r="4002" spans="2:8" x14ac:dyDescent="0.25">
      <c r="B4002" t="str">
        <f t="shared" si="62"/>
        <v>HICPopulation ages 80 and above, male</v>
      </c>
      <c r="C4002" t="s">
        <v>517</v>
      </c>
      <c r="D4002" t="s">
        <v>518</v>
      </c>
      <c r="E4002" t="s">
        <v>395</v>
      </c>
      <c r="F4002" t="s">
        <v>724</v>
      </c>
      <c r="G4002">
        <v>22951700</v>
      </c>
      <c r="H4002">
        <v>23466700</v>
      </c>
    </row>
    <row r="4003" spans="2:8" x14ac:dyDescent="0.25">
      <c r="B4003" t="str">
        <f t="shared" si="62"/>
        <v>HICPopulation, male</v>
      </c>
      <c r="C4003" t="s">
        <v>517</v>
      </c>
      <c r="D4003" t="s">
        <v>518</v>
      </c>
      <c r="E4003" t="s">
        <v>397</v>
      </c>
      <c r="F4003" t="s">
        <v>725</v>
      </c>
      <c r="G4003">
        <v>604957000</v>
      </c>
      <c r="H4003">
        <v>607562000</v>
      </c>
    </row>
    <row r="4004" spans="2:8" x14ac:dyDescent="0.25">
      <c r="B4004" t="str">
        <f t="shared" si="62"/>
        <v>HICPopulation, total</v>
      </c>
      <c r="C4004" t="s">
        <v>517</v>
      </c>
      <c r="D4004" t="s">
        <v>518</v>
      </c>
      <c r="E4004" t="s">
        <v>398</v>
      </c>
      <c r="F4004" t="s">
        <v>726</v>
      </c>
      <c r="G4004">
        <v>1215080000</v>
      </c>
      <c r="H4004">
        <v>1219876000</v>
      </c>
    </row>
    <row r="4005" spans="2:8" x14ac:dyDescent="0.25">
      <c r="B4005" t="str">
        <f t="shared" si="62"/>
        <v>HICPopulation, female</v>
      </c>
      <c r="C4005" t="s">
        <v>517</v>
      </c>
      <c r="D4005" t="s">
        <v>518</v>
      </c>
      <c r="E4005" t="s">
        <v>396</v>
      </c>
      <c r="F4005" t="s">
        <v>727</v>
      </c>
      <c r="G4005">
        <v>609504000</v>
      </c>
      <c r="H4005">
        <v>611690000</v>
      </c>
    </row>
    <row r="4006" spans="2:8" x14ac:dyDescent="0.25">
      <c r="B4006" t="str">
        <f t="shared" si="62"/>
        <v>HICPopulation growth (annual %)</v>
      </c>
      <c r="C4006" t="s">
        <v>517</v>
      </c>
      <c r="D4006" t="s">
        <v>518</v>
      </c>
      <c r="E4006" t="s">
        <v>399</v>
      </c>
      <c r="F4006" t="s">
        <v>728</v>
      </c>
      <c r="G4006">
        <v>0.39393581332038252</v>
      </c>
      <c r="H4006">
        <v>0.39470652138132323</v>
      </c>
    </row>
    <row r="4007" spans="2:8" x14ac:dyDescent="0.25">
      <c r="B4007" t="str">
        <f t="shared" si="62"/>
        <v>HNDPopulation ages 0-14, female</v>
      </c>
      <c r="C4007" t="s">
        <v>226</v>
      </c>
      <c r="D4007" t="s">
        <v>166</v>
      </c>
      <c r="E4007" t="s">
        <v>687</v>
      </c>
      <c r="F4007" t="s">
        <v>688</v>
      </c>
      <c r="G4007">
        <v>1486000</v>
      </c>
      <c r="H4007">
        <v>1482000</v>
      </c>
    </row>
    <row r="4008" spans="2:8" x14ac:dyDescent="0.25">
      <c r="B4008" t="str">
        <f t="shared" si="62"/>
        <v>HNDPopulation ages 0-14, male</v>
      </c>
      <c r="C4008" t="s">
        <v>226</v>
      </c>
      <c r="D4008" t="s">
        <v>166</v>
      </c>
      <c r="E4008" t="s">
        <v>689</v>
      </c>
      <c r="F4008" t="s">
        <v>690</v>
      </c>
      <c r="G4008">
        <v>1551000</v>
      </c>
      <c r="H4008">
        <v>1548000</v>
      </c>
    </row>
    <row r="4009" spans="2:8" x14ac:dyDescent="0.25">
      <c r="B4009" t="str">
        <f t="shared" si="62"/>
        <v>HNDPopulation ages 00-04, female</v>
      </c>
      <c r="C4009" t="s">
        <v>226</v>
      </c>
      <c r="D4009" t="s">
        <v>166</v>
      </c>
      <c r="E4009" t="s">
        <v>362</v>
      </c>
      <c r="F4009" t="s">
        <v>691</v>
      </c>
      <c r="G4009">
        <v>494000</v>
      </c>
      <c r="H4009">
        <v>497000</v>
      </c>
    </row>
    <row r="4010" spans="2:8" x14ac:dyDescent="0.25">
      <c r="B4010" t="str">
        <f t="shared" si="62"/>
        <v>HNDPopulation ages 00-04, male</v>
      </c>
      <c r="C4010" t="s">
        <v>226</v>
      </c>
      <c r="D4010" t="s">
        <v>166</v>
      </c>
      <c r="E4010" t="s">
        <v>363</v>
      </c>
      <c r="F4010" t="s">
        <v>692</v>
      </c>
      <c r="G4010">
        <v>517000</v>
      </c>
      <c r="H4010">
        <v>520000</v>
      </c>
    </row>
    <row r="4011" spans="2:8" x14ac:dyDescent="0.25">
      <c r="B4011" t="str">
        <f t="shared" si="62"/>
        <v>HNDPopulation ages 05-09, female</v>
      </c>
      <c r="C4011" t="s">
        <v>226</v>
      </c>
      <c r="D4011" t="s">
        <v>166</v>
      </c>
      <c r="E4011" t="s">
        <v>364</v>
      </c>
      <c r="F4011" t="s">
        <v>693</v>
      </c>
      <c r="G4011">
        <v>487000</v>
      </c>
      <c r="H4011">
        <v>484000</v>
      </c>
    </row>
    <row r="4012" spans="2:8" x14ac:dyDescent="0.25">
      <c r="B4012" t="str">
        <f t="shared" si="62"/>
        <v>HNDPopulation ages 05-09, male</v>
      </c>
      <c r="C4012" t="s">
        <v>226</v>
      </c>
      <c r="D4012" t="s">
        <v>166</v>
      </c>
      <c r="E4012" t="s">
        <v>365</v>
      </c>
      <c r="F4012" t="s">
        <v>694</v>
      </c>
      <c r="G4012">
        <v>508000</v>
      </c>
      <c r="H4012">
        <v>505000</v>
      </c>
    </row>
    <row r="4013" spans="2:8" x14ac:dyDescent="0.25">
      <c r="B4013" t="str">
        <f t="shared" si="62"/>
        <v>HNDPopulation ages 10-14, female</v>
      </c>
      <c r="C4013" t="s">
        <v>226</v>
      </c>
      <c r="D4013" t="s">
        <v>166</v>
      </c>
      <c r="E4013" t="s">
        <v>366</v>
      </c>
      <c r="F4013" t="s">
        <v>695</v>
      </c>
      <c r="G4013">
        <v>505000</v>
      </c>
      <c r="H4013">
        <v>502000</v>
      </c>
    </row>
    <row r="4014" spans="2:8" x14ac:dyDescent="0.25">
      <c r="B4014" t="str">
        <f t="shared" si="62"/>
        <v>HNDPopulation ages 10-14, male</v>
      </c>
      <c r="C4014" t="s">
        <v>226</v>
      </c>
      <c r="D4014" t="s">
        <v>166</v>
      </c>
      <c r="E4014" t="s">
        <v>367</v>
      </c>
      <c r="F4014" t="s">
        <v>696</v>
      </c>
      <c r="G4014">
        <v>526000</v>
      </c>
      <c r="H4014">
        <v>522000</v>
      </c>
    </row>
    <row r="4015" spans="2:8" x14ac:dyDescent="0.25">
      <c r="B4015" t="str">
        <f t="shared" si="62"/>
        <v>HNDPopulation ages 15-19, female</v>
      </c>
      <c r="C4015" t="s">
        <v>226</v>
      </c>
      <c r="D4015" t="s">
        <v>166</v>
      </c>
      <c r="E4015" t="s">
        <v>368</v>
      </c>
      <c r="F4015" t="s">
        <v>697</v>
      </c>
      <c r="G4015">
        <v>511000</v>
      </c>
      <c r="H4015">
        <v>510000</v>
      </c>
    </row>
    <row r="4016" spans="2:8" x14ac:dyDescent="0.25">
      <c r="B4016" t="str">
        <f t="shared" si="62"/>
        <v>HNDPopulation ages 15-19, male</v>
      </c>
      <c r="C4016" t="s">
        <v>226</v>
      </c>
      <c r="D4016" t="s">
        <v>166</v>
      </c>
      <c r="E4016" t="s">
        <v>369</v>
      </c>
      <c r="F4016" t="s">
        <v>698</v>
      </c>
      <c r="G4016">
        <v>532000</v>
      </c>
      <c r="H4016">
        <v>531000</v>
      </c>
    </row>
    <row r="4017" spans="2:8" x14ac:dyDescent="0.25">
      <c r="B4017" t="str">
        <f t="shared" si="62"/>
        <v>HNDPopulation ages 20-24, female</v>
      </c>
      <c r="C4017" t="s">
        <v>226</v>
      </c>
      <c r="D4017" t="s">
        <v>166</v>
      </c>
      <c r="E4017" t="s">
        <v>370</v>
      </c>
      <c r="F4017" t="s">
        <v>699</v>
      </c>
      <c r="G4017">
        <v>491000</v>
      </c>
      <c r="H4017">
        <v>499000</v>
      </c>
    </row>
    <row r="4018" spans="2:8" x14ac:dyDescent="0.25">
      <c r="B4018" t="str">
        <f t="shared" si="62"/>
        <v>HNDPopulation ages 20-24, male</v>
      </c>
      <c r="C4018" t="s">
        <v>226</v>
      </c>
      <c r="D4018" t="s">
        <v>166</v>
      </c>
      <c r="E4018" t="s">
        <v>371</v>
      </c>
      <c r="F4018" t="s">
        <v>700</v>
      </c>
      <c r="G4018">
        <v>507000</v>
      </c>
      <c r="H4018">
        <v>516000</v>
      </c>
    </row>
    <row r="4019" spans="2:8" x14ac:dyDescent="0.25">
      <c r="B4019" t="str">
        <f t="shared" si="62"/>
        <v>HNDPopulation ages 25-29, female</v>
      </c>
      <c r="C4019" t="s">
        <v>226</v>
      </c>
      <c r="D4019" t="s">
        <v>166</v>
      </c>
      <c r="E4019" t="s">
        <v>372</v>
      </c>
      <c r="F4019" t="s">
        <v>701</v>
      </c>
      <c r="G4019">
        <v>429000</v>
      </c>
      <c r="H4019">
        <v>440000</v>
      </c>
    </row>
    <row r="4020" spans="2:8" x14ac:dyDescent="0.25">
      <c r="B4020" t="str">
        <f t="shared" si="62"/>
        <v>HNDPopulation ages 25-29, male</v>
      </c>
      <c r="C4020" t="s">
        <v>226</v>
      </c>
      <c r="D4020" t="s">
        <v>166</v>
      </c>
      <c r="E4020" t="s">
        <v>373</v>
      </c>
      <c r="F4020" t="s">
        <v>702</v>
      </c>
      <c r="G4020">
        <v>440000</v>
      </c>
      <c r="H4020">
        <v>451000</v>
      </c>
    </row>
    <row r="4021" spans="2:8" x14ac:dyDescent="0.25">
      <c r="B4021" t="str">
        <f t="shared" si="62"/>
        <v>HNDPopulation ages 30-34, female</v>
      </c>
      <c r="C4021" t="s">
        <v>226</v>
      </c>
      <c r="D4021" t="s">
        <v>166</v>
      </c>
      <c r="E4021" t="s">
        <v>374</v>
      </c>
      <c r="F4021" t="s">
        <v>703</v>
      </c>
      <c r="G4021">
        <v>381000</v>
      </c>
      <c r="H4021">
        <v>389000</v>
      </c>
    </row>
    <row r="4022" spans="2:8" x14ac:dyDescent="0.25">
      <c r="B4022" t="str">
        <f t="shared" si="62"/>
        <v>HNDPopulation ages 30-34, male</v>
      </c>
      <c r="C4022" t="s">
        <v>226</v>
      </c>
      <c r="D4022" t="s">
        <v>166</v>
      </c>
      <c r="E4022" t="s">
        <v>375</v>
      </c>
      <c r="F4022" t="s">
        <v>704</v>
      </c>
      <c r="G4022">
        <v>385000</v>
      </c>
      <c r="H4022">
        <v>394000</v>
      </c>
    </row>
    <row r="4023" spans="2:8" x14ac:dyDescent="0.25">
      <c r="B4023" t="str">
        <f t="shared" si="62"/>
        <v>HNDPopulation ages 35-39, female</v>
      </c>
      <c r="C4023" t="s">
        <v>226</v>
      </c>
      <c r="D4023" t="s">
        <v>166</v>
      </c>
      <c r="E4023" t="s">
        <v>376</v>
      </c>
      <c r="F4023" t="s">
        <v>705</v>
      </c>
      <c r="G4023">
        <v>336000</v>
      </c>
      <c r="H4023">
        <v>345000</v>
      </c>
    </row>
    <row r="4024" spans="2:8" x14ac:dyDescent="0.25">
      <c r="B4024" t="str">
        <f t="shared" si="62"/>
        <v>HNDPopulation ages 35-39, male</v>
      </c>
      <c r="C4024" t="s">
        <v>226</v>
      </c>
      <c r="D4024" t="s">
        <v>166</v>
      </c>
      <c r="E4024" t="s">
        <v>377</v>
      </c>
      <c r="F4024" t="s">
        <v>706</v>
      </c>
      <c r="G4024">
        <v>333000</v>
      </c>
      <c r="H4024">
        <v>342000</v>
      </c>
    </row>
    <row r="4025" spans="2:8" x14ac:dyDescent="0.25">
      <c r="B4025" t="str">
        <f t="shared" si="62"/>
        <v>HNDPopulation ages 40-44, female</v>
      </c>
      <c r="C4025" t="s">
        <v>226</v>
      </c>
      <c r="D4025" t="s">
        <v>166</v>
      </c>
      <c r="E4025" t="s">
        <v>378</v>
      </c>
      <c r="F4025" t="s">
        <v>707</v>
      </c>
      <c r="G4025">
        <v>285000</v>
      </c>
      <c r="H4025">
        <v>295000</v>
      </c>
    </row>
    <row r="4026" spans="2:8" x14ac:dyDescent="0.25">
      <c r="B4026" t="str">
        <f t="shared" si="62"/>
        <v>HNDPopulation ages 40-44, male</v>
      </c>
      <c r="C4026" t="s">
        <v>226</v>
      </c>
      <c r="D4026" t="s">
        <v>166</v>
      </c>
      <c r="E4026" t="s">
        <v>379</v>
      </c>
      <c r="F4026" t="s">
        <v>708</v>
      </c>
      <c r="G4026">
        <v>274000</v>
      </c>
      <c r="H4026">
        <v>285000</v>
      </c>
    </row>
    <row r="4027" spans="2:8" x14ac:dyDescent="0.25">
      <c r="B4027" t="str">
        <f t="shared" si="62"/>
        <v>HNDPopulation ages 45-49, female</v>
      </c>
      <c r="C4027" t="s">
        <v>226</v>
      </c>
      <c r="D4027" t="s">
        <v>166</v>
      </c>
      <c r="E4027" t="s">
        <v>380</v>
      </c>
      <c r="F4027" t="s">
        <v>709</v>
      </c>
      <c r="G4027">
        <v>233000</v>
      </c>
      <c r="H4027">
        <v>241000</v>
      </c>
    </row>
    <row r="4028" spans="2:8" x14ac:dyDescent="0.25">
      <c r="B4028" t="str">
        <f t="shared" si="62"/>
        <v>HNDPopulation ages 45-49, male</v>
      </c>
      <c r="C4028" t="s">
        <v>226</v>
      </c>
      <c r="D4028" t="s">
        <v>166</v>
      </c>
      <c r="E4028" t="s">
        <v>381</v>
      </c>
      <c r="F4028" t="s">
        <v>710</v>
      </c>
      <c r="G4028">
        <v>218000</v>
      </c>
      <c r="H4028">
        <v>226000</v>
      </c>
    </row>
    <row r="4029" spans="2:8" x14ac:dyDescent="0.25">
      <c r="B4029" t="str">
        <f t="shared" si="62"/>
        <v>HNDPopulation ages 50-54, female</v>
      </c>
      <c r="C4029" t="s">
        <v>226</v>
      </c>
      <c r="D4029" t="s">
        <v>166</v>
      </c>
      <c r="E4029" t="s">
        <v>382</v>
      </c>
      <c r="F4029" t="s">
        <v>711</v>
      </c>
      <c r="G4029">
        <v>192000</v>
      </c>
      <c r="H4029">
        <v>199000</v>
      </c>
    </row>
    <row r="4030" spans="2:8" x14ac:dyDescent="0.25">
      <c r="B4030" t="str">
        <f t="shared" si="62"/>
        <v>HNDPopulation ages 50-54, male</v>
      </c>
      <c r="C4030" t="s">
        <v>226</v>
      </c>
      <c r="D4030" t="s">
        <v>166</v>
      </c>
      <c r="E4030" t="s">
        <v>383</v>
      </c>
      <c r="F4030" t="s">
        <v>712</v>
      </c>
      <c r="G4030">
        <v>175000</v>
      </c>
      <c r="H4030">
        <v>182000</v>
      </c>
    </row>
    <row r="4031" spans="2:8" x14ac:dyDescent="0.25">
      <c r="B4031" t="str">
        <f t="shared" si="62"/>
        <v>HNDPopulation ages 55-59, male</v>
      </c>
      <c r="C4031" t="s">
        <v>226</v>
      </c>
      <c r="D4031" t="s">
        <v>166</v>
      </c>
      <c r="E4031" t="s">
        <v>385</v>
      </c>
      <c r="F4031" t="s">
        <v>713</v>
      </c>
      <c r="G4031">
        <v>136000</v>
      </c>
      <c r="H4031">
        <v>141000</v>
      </c>
    </row>
    <row r="4032" spans="2:8" x14ac:dyDescent="0.25">
      <c r="B4032" t="str">
        <f t="shared" si="62"/>
        <v>HNDPopulation ages 55-59, female</v>
      </c>
      <c r="C4032" t="s">
        <v>226</v>
      </c>
      <c r="D4032" t="s">
        <v>166</v>
      </c>
      <c r="E4032" t="s">
        <v>384</v>
      </c>
      <c r="F4032" t="s">
        <v>714</v>
      </c>
      <c r="G4032">
        <v>152000</v>
      </c>
      <c r="H4032">
        <v>158000</v>
      </c>
    </row>
    <row r="4033" spans="2:8" x14ac:dyDescent="0.25">
      <c r="B4033" t="str">
        <f t="shared" si="62"/>
        <v>HNDPopulation ages 65-69, male</v>
      </c>
      <c r="C4033" t="s">
        <v>226</v>
      </c>
      <c r="D4033" t="s">
        <v>166</v>
      </c>
      <c r="E4033" t="s">
        <v>389</v>
      </c>
      <c r="F4033" t="s">
        <v>715</v>
      </c>
      <c r="G4033">
        <v>81000</v>
      </c>
      <c r="H4033">
        <v>85000</v>
      </c>
    </row>
    <row r="4034" spans="2:8" x14ac:dyDescent="0.25">
      <c r="B4034" t="str">
        <f t="shared" si="62"/>
        <v>HNDPopulation ages 65-69, female</v>
      </c>
      <c r="C4034" t="s">
        <v>226</v>
      </c>
      <c r="D4034" t="s">
        <v>166</v>
      </c>
      <c r="E4034" t="s">
        <v>388</v>
      </c>
      <c r="F4034" t="s">
        <v>716</v>
      </c>
      <c r="G4034">
        <v>93000</v>
      </c>
      <c r="H4034">
        <v>98000</v>
      </c>
    </row>
    <row r="4035" spans="2:8" x14ac:dyDescent="0.25">
      <c r="B4035" t="str">
        <f t="shared" si="62"/>
        <v>HNDPopulation ages 60-64, female</v>
      </c>
      <c r="C4035" t="s">
        <v>226</v>
      </c>
      <c r="D4035" t="s">
        <v>166</v>
      </c>
      <c r="E4035" t="s">
        <v>386</v>
      </c>
      <c r="F4035" t="s">
        <v>717</v>
      </c>
      <c r="G4035">
        <v>122000</v>
      </c>
      <c r="H4035">
        <v>126000</v>
      </c>
    </row>
    <row r="4036" spans="2:8" x14ac:dyDescent="0.25">
      <c r="B4036" t="str">
        <f t="shared" si="62"/>
        <v>HNDPopulation ages 60-64, male</v>
      </c>
      <c r="C4036" t="s">
        <v>226</v>
      </c>
      <c r="D4036" t="s">
        <v>166</v>
      </c>
      <c r="E4036" t="s">
        <v>387</v>
      </c>
      <c r="F4036" t="s">
        <v>718</v>
      </c>
      <c r="G4036">
        <v>107000</v>
      </c>
      <c r="H4036">
        <v>111000</v>
      </c>
    </row>
    <row r="4037" spans="2:8" x14ac:dyDescent="0.25">
      <c r="B4037" t="str">
        <f t="shared" si="62"/>
        <v>HNDPopulation ages 70-74, female</v>
      </c>
      <c r="C4037" t="s">
        <v>226</v>
      </c>
      <c r="D4037" t="s">
        <v>166</v>
      </c>
      <c r="E4037" t="s">
        <v>390</v>
      </c>
      <c r="F4037" t="s">
        <v>719</v>
      </c>
      <c r="G4037">
        <v>63000</v>
      </c>
      <c r="H4037">
        <v>66000</v>
      </c>
    </row>
    <row r="4038" spans="2:8" x14ac:dyDescent="0.25">
      <c r="B4038" t="str">
        <f t="shared" si="62"/>
        <v>HNDPopulation ages 70-74, male</v>
      </c>
      <c r="C4038" t="s">
        <v>226</v>
      </c>
      <c r="D4038" t="s">
        <v>166</v>
      </c>
      <c r="E4038" t="s">
        <v>391</v>
      </c>
      <c r="F4038" t="s">
        <v>720</v>
      </c>
      <c r="G4038">
        <v>53000</v>
      </c>
      <c r="H4038">
        <v>56000</v>
      </c>
    </row>
    <row r="4039" spans="2:8" x14ac:dyDescent="0.25">
      <c r="B4039" t="str">
        <f t="shared" ref="B4039:B4102" si="63">CONCATENATE(D4039,E4039)</f>
        <v>HNDPopulation ages 75-79, female</v>
      </c>
      <c r="C4039" t="s">
        <v>226</v>
      </c>
      <c r="D4039" t="s">
        <v>166</v>
      </c>
      <c r="E4039" t="s">
        <v>392</v>
      </c>
      <c r="F4039" t="s">
        <v>721</v>
      </c>
      <c r="G4039">
        <v>44000</v>
      </c>
      <c r="H4039">
        <v>46000</v>
      </c>
    </row>
    <row r="4040" spans="2:8" x14ac:dyDescent="0.25">
      <c r="B4040" t="str">
        <f t="shared" si="63"/>
        <v>HNDPopulation ages 75-79, male</v>
      </c>
      <c r="C4040" t="s">
        <v>226</v>
      </c>
      <c r="D4040" t="s">
        <v>166</v>
      </c>
      <c r="E4040" t="s">
        <v>393</v>
      </c>
      <c r="F4040" t="s">
        <v>722</v>
      </c>
      <c r="G4040">
        <v>36000</v>
      </c>
      <c r="H4040">
        <v>37000</v>
      </c>
    </row>
    <row r="4041" spans="2:8" x14ac:dyDescent="0.25">
      <c r="B4041" t="str">
        <f t="shared" si="63"/>
        <v>HNDPopulation ages 80 and above, female</v>
      </c>
      <c r="C4041" t="s">
        <v>226</v>
      </c>
      <c r="D4041" t="s">
        <v>166</v>
      </c>
      <c r="E4041" t="s">
        <v>394</v>
      </c>
      <c r="F4041" t="s">
        <v>723</v>
      </c>
      <c r="G4041">
        <v>60000</v>
      </c>
      <c r="H4041">
        <v>61000</v>
      </c>
    </row>
    <row r="4042" spans="2:8" x14ac:dyDescent="0.25">
      <c r="B4042" t="str">
        <f t="shared" si="63"/>
        <v>HNDPopulation ages 80 and above, male</v>
      </c>
      <c r="C4042" t="s">
        <v>226</v>
      </c>
      <c r="D4042" t="s">
        <v>166</v>
      </c>
      <c r="E4042" t="s">
        <v>395</v>
      </c>
      <c r="F4042" t="s">
        <v>724</v>
      </c>
      <c r="G4042">
        <v>42000</v>
      </c>
      <c r="H4042">
        <v>43000</v>
      </c>
    </row>
    <row r="4043" spans="2:8" x14ac:dyDescent="0.25">
      <c r="B4043" t="str">
        <f t="shared" si="63"/>
        <v>HNDPopulation, male</v>
      </c>
      <c r="C4043" t="s">
        <v>226</v>
      </c>
      <c r="D4043" t="s">
        <v>166</v>
      </c>
      <c r="E4043" t="s">
        <v>397</v>
      </c>
      <c r="F4043" t="s">
        <v>725</v>
      </c>
      <c r="G4043">
        <v>4869000</v>
      </c>
      <c r="H4043">
        <v>4949000</v>
      </c>
    </row>
    <row r="4044" spans="2:8" x14ac:dyDescent="0.25">
      <c r="B4044" t="str">
        <f t="shared" si="63"/>
        <v>HNDPopulation, total</v>
      </c>
      <c r="C4044" t="s">
        <v>226</v>
      </c>
      <c r="D4044" t="s">
        <v>166</v>
      </c>
      <c r="E4044" t="s">
        <v>398</v>
      </c>
      <c r="F4044" t="s">
        <v>726</v>
      </c>
      <c r="G4044">
        <v>9746000</v>
      </c>
      <c r="H4044">
        <v>9905000</v>
      </c>
    </row>
    <row r="4045" spans="2:8" x14ac:dyDescent="0.25">
      <c r="B4045" t="str">
        <f t="shared" si="63"/>
        <v>HNDPopulation, female</v>
      </c>
      <c r="C4045" t="s">
        <v>226</v>
      </c>
      <c r="D4045" t="s">
        <v>166</v>
      </c>
      <c r="E4045" t="s">
        <v>396</v>
      </c>
      <c r="F4045" t="s">
        <v>727</v>
      </c>
      <c r="G4045">
        <v>4877000</v>
      </c>
      <c r="H4045">
        <v>4956000</v>
      </c>
    </row>
    <row r="4046" spans="2:8" x14ac:dyDescent="0.25">
      <c r="B4046" t="str">
        <f t="shared" si="63"/>
        <v>HNDPopulation growth (annual %)</v>
      </c>
      <c r="C4046" t="s">
        <v>226</v>
      </c>
      <c r="D4046" t="s">
        <v>166</v>
      </c>
      <c r="E4046" t="s">
        <v>399</v>
      </c>
      <c r="F4046" t="s">
        <v>728</v>
      </c>
      <c r="G4046">
        <v>0</v>
      </c>
      <c r="H4046">
        <v>0</v>
      </c>
    </row>
    <row r="4047" spans="2:8" x14ac:dyDescent="0.25">
      <c r="B4047" t="str">
        <f t="shared" si="63"/>
        <v>HKGPopulation ages 0-14, female</v>
      </c>
      <c r="C4047" t="s">
        <v>519</v>
      </c>
      <c r="D4047" t="s">
        <v>520</v>
      </c>
      <c r="E4047" t="s">
        <v>687</v>
      </c>
      <c r="F4047" t="s">
        <v>688</v>
      </c>
      <c r="G4047">
        <v>438000</v>
      </c>
      <c r="H4047">
        <v>454000</v>
      </c>
    </row>
    <row r="4048" spans="2:8" x14ac:dyDescent="0.25">
      <c r="B4048" t="str">
        <f t="shared" si="63"/>
        <v>HKGPopulation ages 0-14, male</v>
      </c>
      <c r="C4048" t="s">
        <v>519</v>
      </c>
      <c r="D4048" t="s">
        <v>520</v>
      </c>
      <c r="E4048" t="s">
        <v>689</v>
      </c>
      <c r="F4048" t="s">
        <v>690</v>
      </c>
      <c r="G4048">
        <v>488000</v>
      </c>
      <c r="H4048">
        <v>505000</v>
      </c>
    </row>
    <row r="4049" spans="2:8" x14ac:dyDescent="0.25">
      <c r="B4049" t="str">
        <f t="shared" si="63"/>
        <v>HKGPopulation ages 00-04, female</v>
      </c>
      <c r="C4049" t="s">
        <v>519</v>
      </c>
      <c r="D4049" t="s">
        <v>520</v>
      </c>
      <c r="E4049" t="s">
        <v>362</v>
      </c>
      <c r="F4049" t="s">
        <v>691</v>
      </c>
      <c r="G4049">
        <v>167000</v>
      </c>
      <c r="H4049">
        <v>176000</v>
      </c>
    </row>
    <row r="4050" spans="2:8" x14ac:dyDescent="0.25">
      <c r="B4050" t="str">
        <f t="shared" si="63"/>
        <v>HKGPopulation ages 00-04, male</v>
      </c>
      <c r="C4050" t="s">
        <v>519</v>
      </c>
      <c r="D4050" t="s">
        <v>520</v>
      </c>
      <c r="E4050" t="s">
        <v>363</v>
      </c>
      <c r="F4050" t="s">
        <v>692</v>
      </c>
      <c r="G4050">
        <v>182000</v>
      </c>
      <c r="H4050">
        <v>190000</v>
      </c>
    </row>
    <row r="4051" spans="2:8" x14ac:dyDescent="0.25">
      <c r="B4051" t="str">
        <f t="shared" si="63"/>
        <v>HKGPopulation ages 05-09, female</v>
      </c>
      <c r="C4051" t="s">
        <v>519</v>
      </c>
      <c r="D4051" t="s">
        <v>520</v>
      </c>
      <c r="E4051" t="s">
        <v>364</v>
      </c>
      <c r="F4051" t="s">
        <v>693</v>
      </c>
      <c r="G4051">
        <v>138000</v>
      </c>
      <c r="H4051">
        <v>142000</v>
      </c>
    </row>
    <row r="4052" spans="2:8" x14ac:dyDescent="0.25">
      <c r="B4052" t="str">
        <f t="shared" si="63"/>
        <v>HKGPopulation ages 05-09, male</v>
      </c>
      <c r="C4052" t="s">
        <v>519</v>
      </c>
      <c r="D4052" t="s">
        <v>520</v>
      </c>
      <c r="E4052" t="s">
        <v>365</v>
      </c>
      <c r="F4052" t="s">
        <v>694</v>
      </c>
      <c r="G4052">
        <v>158000</v>
      </c>
      <c r="H4052">
        <v>162000</v>
      </c>
    </row>
    <row r="4053" spans="2:8" x14ac:dyDescent="0.25">
      <c r="B4053" t="str">
        <f t="shared" si="63"/>
        <v>HKGPopulation ages 10-14, female</v>
      </c>
      <c r="C4053" t="s">
        <v>519</v>
      </c>
      <c r="D4053" t="s">
        <v>520</v>
      </c>
      <c r="E4053" t="s">
        <v>366</v>
      </c>
      <c r="F4053" t="s">
        <v>695</v>
      </c>
      <c r="G4053">
        <v>133000</v>
      </c>
      <c r="H4053">
        <v>136000</v>
      </c>
    </row>
    <row r="4054" spans="2:8" x14ac:dyDescent="0.25">
      <c r="B4054" t="str">
        <f t="shared" si="63"/>
        <v>HKGPopulation ages 10-14, male</v>
      </c>
      <c r="C4054" t="s">
        <v>519</v>
      </c>
      <c r="D4054" t="s">
        <v>520</v>
      </c>
      <c r="E4054" t="s">
        <v>367</v>
      </c>
      <c r="F4054" t="s">
        <v>696</v>
      </c>
      <c r="G4054">
        <v>148000</v>
      </c>
      <c r="H4054">
        <v>152000</v>
      </c>
    </row>
    <row r="4055" spans="2:8" x14ac:dyDescent="0.25">
      <c r="B4055" t="str">
        <f t="shared" si="63"/>
        <v>HKGPopulation ages 15-19, female</v>
      </c>
      <c r="C4055" t="s">
        <v>519</v>
      </c>
      <c r="D4055" t="s">
        <v>520</v>
      </c>
      <c r="E4055" t="s">
        <v>368</v>
      </c>
      <c r="F4055" t="s">
        <v>697</v>
      </c>
      <c r="G4055">
        <v>136000</v>
      </c>
      <c r="H4055">
        <v>130000</v>
      </c>
    </row>
    <row r="4056" spans="2:8" x14ac:dyDescent="0.25">
      <c r="B4056" t="str">
        <f t="shared" si="63"/>
        <v>HKGPopulation ages 15-19, male</v>
      </c>
      <c r="C4056" t="s">
        <v>519</v>
      </c>
      <c r="D4056" t="s">
        <v>520</v>
      </c>
      <c r="E4056" t="s">
        <v>369</v>
      </c>
      <c r="F4056" t="s">
        <v>698</v>
      </c>
      <c r="G4056">
        <v>144000</v>
      </c>
      <c r="H4056">
        <v>139000</v>
      </c>
    </row>
    <row r="4057" spans="2:8" x14ac:dyDescent="0.25">
      <c r="B4057" t="str">
        <f t="shared" si="63"/>
        <v>HKGPopulation ages 20-24, female</v>
      </c>
      <c r="C4057" t="s">
        <v>519</v>
      </c>
      <c r="D4057" t="s">
        <v>520</v>
      </c>
      <c r="E4057" t="s">
        <v>370</v>
      </c>
      <c r="F4057" t="s">
        <v>699</v>
      </c>
      <c r="G4057">
        <v>200000</v>
      </c>
      <c r="H4057">
        <v>187000</v>
      </c>
    </row>
    <row r="4058" spans="2:8" x14ac:dyDescent="0.25">
      <c r="B4058" t="str">
        <f t="shared" si="63"/>
        <v>HKGPopulation ages 20-24, male</v>
      </c>
      <c r="C4058" t="s">
        <v>519</v>
      </c>
      <c r="D4058" t="s">
        <v>520</v>
      </c>
      <c r="E4058" t="s">
        <v>371</v>
      </c>
      <c r="F4058" t="s">
        <v>700</v>
      </c>
      <c r="G4058">
        <v>201000</v>
      </c>
      <c r="H4058">
        <v>191000</v>
      </c>
    </row>
    <row r="4059" spans="2:8" x14ac:dyDescent="0.25">
      <c r="B4059" t="str">
        <f t="shared" si="63"/>
        <v>HKGPopulation ages 25-29, female</v>
      </c>
      <c r="C4059" t="s">
        <v>519</v>
      </c>
      <c r="D4059" t="s">
        <v>520</v>
      </c>
      <c r="E4059" t="s">
        <v>372</v>
      </c>
      <c r="F4059" t="s">
        <v>701</v>
      </c>
      <c r="G4059">
        <v>272000</v>
      </c>
      <c r="H4059">
        <v>268000</v>
      </c>
    </row>
    <row r="4060" spans="2:8" x14ac:dyDescent="0.25">
      <c r="B4060" t="str">
        <f t="shared" si="63"/>
        <v>HKGPopulation ages 25-29, male</v>
      </c>
      <c r="C4060" t="s">
        <v>519</v>
      </c>
      <c r="D4060" t="s">
        <v>520</v>
      </c>
      <c r="E4060" t="s">
        <v>373</v>
      </c>
      <c r="F4060" t="s">
        <v>702</v>
      </c>
      <c r="G4060">
        <v>231000</v>
      </c>
      <c r="H4060">
        <v>229000</v>
      </c>
    </row>
    <row r="4061" spans="2:8" x14ac:dyDescent="0.25">
      <c r="B4061" t="str">
        <f t="shared" si="63"/>
        <v>HKGPopulation ages 30-34, female</v>
      </c>
      <c r="C4061" t="s">
        <v>519</v>
      </c>
      <c r="D4061" t="s">
        <v>520</v>
      </c>
      <c r="E4061" t="s">
        <v>374</v>
      </c>
      <c r="F4061" t="s">
        <v>703</v>
      </c>
      <c r="G4061">
        <v>316000</v>
      </c>
      <c r="H4061">
        <v>312000</v>
      </c>
    </row>
    <row r="4062" spans="2:8" x14ac:dyDescent="0.25">
      <c r="B4062" t="str">
        <f t="shared" si="63"/>
        <v>HKGPopulation ages 30-34, male</v>
      </c>
      <c r="C4062" t="s">
        <v>519</v>
      </c>
      <c r="D4062" t="s">
        <v>520</v>
      </c>
      <c r="E4062" t="s">
        <v>375</v>
      </c>
      <c r="F4062" t="s">
        <v>704</v>
      </c>
      <c r="G4062">
        <v>229000</v>
      </c>
      <c r="H4062">
        <v>229000</v>
      </c>
    </row>
    <row r="4063" spans="2:8" x14ac:dyDescent="0.25">
      <c r="B4063" t="str">
        <f t="shared" si="63"/>
        <v>HKGPopulation ages 35-39, female</v>
      </c>
      <c r="C4063" t="s">
        <v>519</v>
      </c>
      <c r="D4063" t="s">
        <v>520</v>
      </c>
      <c r="E4063" t="s">
        <v>376</v>
      </c>
      <c r="F4063" t="s">
        <v>705</v>
      </c>
      <c r="G4063">
        <v>357000</v>
      </c>
      <c r="H4063">
        <v>357000</v>
      </c>
    </row>
    <row r="4064" spans="2:8" x14ac:dyDescent="0.25">
      <c r="B4064" t="str">
        <f t="shared" si="63"/>
        <v>HKGPopulation ages 35-39, male</v>
      </c>
      <c r="C4064" t="s">
        <v>519</v>
      </c>
      <c r="D4064" t="s">
        <v>520</v>
      </c>
      <c r="E4064" t="s">
        <v>377</v>
      </c>
      <c r="F4064" t="s">
        <v>706</v>
      </c>
      <c r="G4064">
        <v>233000</v>
      </c>
      <c r="H4064">
        <v>234000</v>
      </c>
    </row>
    <row r="4065" spans="2:8" x14ac:dyDescent="0.25">
      <c r="B4065" t="str">
        <f t="shared" si="63"/>
        <v>HKGPopulation ages 40-44, female</v>
      </c>
      <c r="C4065" t="s">
        <v>519</v>
      </c>
      <c r="D4065" t="s">
        <v>520</v>
      </c>
      <c r="E4065" t="s">
        <v>378</v>
      </c>
      <c r="F4065" t="s">
        <v>707</v>
      </c>
      <c r="G4065">
        <v>339000</v>
      </c>
      <c r="H4065">
        <v>343000</v>
      </c>
    </row>
    <row r="4066" spans="2:8" x14ac:dyDescent="0.25">
      <c r="B4066" t="str">
        <f t="shared" si="63"/>
        <v>HKGPopulation ages 40-44, male</v>
      </c>
      <c r="C4066" t="s">
        <v>519</v>
      </c>
      <c r="D4066" t="s">
        <v>520</v>
      </c>
      <c r="E4066" t="s">
        <v>379</v>
      </c>
      <c r="F4066" t="s">
        <v>708</v>
      </c>
      <c r="G4066">
        <v>228000</v>
      </c>
      <c r="H4066">
        <v>228000</v>
      </c>
    </row>
    <row r="4067" spans="2:8" x14ac:dyDescent="0.25">
      <c r="B4067" t="str">
        <f t="shared" si="63"/>
        <v>HKGPopulation ages 45-49, female</v>
      </c>
      <c r="C4067" t="s">
        <v>519</v>
      </c>
      <c r="D4067" t="s">
        <v>520</v>
      </c>
      <c r="E4067" t="s">
        <v>380</v>
      </c>
      <c r="F4067" t="s">
        <v>709</v>
      </c>
      <c r="G4067">
        <v>332000</v>
      </c>
      <c r="H4067">
        <v>333000</v>
      </c>
    </row>
    <row r="4068" spans="2:8" x14ac:dyDescent="0.25">
      <c r="B4068" t="str">
        <f t="shared" si="63"/>
        <v>HKGPopulation ages 45-49, male</v>
      </c>
      <c r="C4068" t="s">
        <v>519</v>
      </c>
      <c r="D4068" t="s">
        <v>520</v>
      </c>
      <c r="E4068" t="s">
        <v>381</v>
      </c>
      <c r="F4068" t="s">
        <v>710</v>
      </c>
      <c r="G4068">
        <v>237000</v>
      </c>
      <c r="H4068">
        <v>235000</v>
      </c>
    </row>
    <row r="4069" spans="2:8" x14ac:dyDescent="0.25">
      <c r="B4069" t="str">
        <f t="shared" si="63"/>
        <v>HKGPopulation ages 50-54, female</v>
      </c>
      <c r="C4069" t="s">
        <v>519</v>
      </c>
      <c r="D4069" t="s">
        <v>520</v>
      </c>
      <c r="E4069" t="s">
        <v>382</v>
      </c>
      <c r="F4069" t="s">
        <v>711</v>
      </c>
      <c r="G4069">
        <v>332000</v>
      </c>
      <c r="H4069">
        <v>327000</v>
      </c>
    </row>
    <row r="4070" spans="2:8" x14ac:dyDescent="0.25">
      <c r="B4070" t="str">
        <f t="shared" si="63"/>
        <v>HKGPopulation ages 50-54, male</v>
      </c>
      <c r="C4070" t="s">
        <v>519</v>
      </c>
      <c r="D4070" t="s">
        <v>520</v>
      </c>
      <c r="E4070" t="s">
        <v>383</v>
      </c>
      <c r="F4070" t="s">
        <v>712</v>
      </c>
      <c r="G4070">
        <v>256000</v>
      </c>
      <c r="H4070">
        <v>247000</v>
      </c>
    </row>
    <row r="4071" spans="2:8" x14ac:dyDescent="0.25">
      <c r="B4071" t="str">
        <f t="shared" si="63"/>
        <v>HKGPopulation ages 55-59, male</v>
      </c>
      <c r="C4071" t="s">
        <v>519</v>
      </c>
      <c r="D4071" t="s">
        <v>520</v>
      </c>
      <c r="E4071" t="s">
        <v>385</v>
      </c>
      <c r="F4071" t="s">
        <v>713</v>
      </c>
      <c r="G4071">
        <v>304000</v>
      </c>
      <c r="H4071">
        <v>298000</v>
      </c>
    </row>
    <row r="4072" spans="2:8" x14ac:dyDescent="0.25">
      <c r="B4072" t="str">
        <f t="shared" si="63"/>
        <v>HKGPopulation ages 55-59, female</v>
      </c>
      <c r="C4072" t="s">
        <v>519</v>
      </c>
      <c r="D4072" t="s">
        <v>520</v>
      </c>
      <c r="E4072" t="s">
        <v>384</v>
      </c>
      <c r="F4072" t="s">
        <v>714</v>
      </c>
      <c r="G4072">
        <v>345000</v>
      </c>
      <c r="H4072">
        <v>347000</v>
      </c>
    </row>
    <row r="4073" spans="2:8" x14ac:dyDescent="0.25">
      <c r="B4073" t="str">
        <f t="shared" si="63"/>
        <v>HKGPopulation ages 65-69, male</v>
      </c>
      <c r="C4073" t="s">
        <v>519</v>
      </c>
      <c r="D4073" t="s">
        <v>520</v>
      </c>
      <c r="E4073" t="s">
        <v>389</v>
      </c>
      <c r="F4073" t="s">
        <v>715</v>
      </c>
      <c r="G4073">
        <v>216000</v>
      </c>
      <c r="H4073">
        <v>226000</v>
      </c>
    </row>
    <row r="4074" spans="2:8" x14ac:dyDescent="0.25">
      <c r="B4074" t="str">
        <f t="shared" si="63"/>
        <v>HKGPopulation ages 65-69, female</v>
      </c>
      <c r="C4074" t="s">
        <v>519</v>
      </c>
      <c r="D4074" t="s">
        <v>520</v>
      </c>
      <c r="E4074" t="s">
        <v>388</v>
      </c>
      <c r="F4074" t="s">
        <v>716</v>
      </c>
      <c r="G4074">
        <v>228000</v>
      </c>
      <c r="H4074">
        <v>238000</v>
      </c>
    </row>
    <row r="4075" spans="2:8" x14ac:dyDescent="0.25">
      <c r="B4075" t="str">
        <f t="shared" si="63"/>
        <v>HKGPopulation ages 60-64, female</v>
      </c>
      <c r="C4075" t="s">
        <v>519</v>
      </c>
      <c r="D4075" t="s">
        <v>520</v>
      </c>
      <c r="E4075" t="s">
        <v>386</v>
      </c>
      <c r="F4075" t="s">
        <v>717</v>
      </c>
      <c r="G4075">
        <v>289000</v>
      </c>
      <c r="H4075">
        <v>300000</v>
      </c>
    </row>
    <row r="4076" spans="2:8" x14ac:dyDescent="0.25">
      <c r="B4076" t="str">
        <f t="shared" si="63"/>
        <v>HKGPopulation ages 60-64, male</v>
      </c>
      <c r="C4076" t="s">
        <v>519</v>
      </c>
      <c r="D4076" t="s">
        <v>520</v>
      </c>
      <c r="E4076" t="s">
        <v>387</v>
      </c>
      <c r="F4076" t="s">
        <v>718</v>
      </c>
      <c r="G4076">
        <v>287000</v>
      </c>
      <c r="H4076">
        <v>295000</v>
      </c>
    </row>
    <row r="4077" spans="2:8" x14ac:dyDescent="0.25">
      <c r="B4077" t="str">
        <f t="shared" si="63"/>
        <v>HKGPopulation ages 70-74, female</v>
      </c>
      <c r="C4077" t="s">
        <v>519</v>
      </c>
      <c r="D4077" t="s">
        <v>520</v>
      </c>
      <c r="E4077" t="s">
        <v>390</v>
      </c>
      <c r="F4077" t="s">
        <v>719</v>
      </c>
      <c r="G4077">
        <v>162000</v>
      </c>
      <c r="H4077">
        <v>178000</v>
      </c>
    </row>
    <row r="4078" spans="2:8" x14ac:dyDescent="0.25">
      <c r="B4078" t="str">
        <f t="shared" si="63"/>
        <v>HKGPopulation ages 70-74, male</v>
      </c>
      <c r="C4078" t="s">
        <v>519</v>
      </c>
      <c r="D4078" t="s">
        <v>520</v>
      </c>
      <c r="E4078" t="s">
        <v>391</v>
      </c>
      <c r="F4078" t="s">
        <v>720</v>
      </c>
      <c r="G4078">
        <v>157000</v>
      </c>
      <c r="H4078">
        <v>170000</v>
      </c>
    </row>
    <row r="4079" spans="2:8" x14ac:dyDescent="0.25">
      <c r="B4079" t="str">
        <f t="shared" si="63"/>
        <v>HKGPopulation ages 75-79, female</v>
      </c>
      <c r="C4079" t="s">
        <v>519</v>
      </c>
      <c r="D4079" t="s">
        <v>520</v>
      </c>
      <c r="E4079" t="s">
        <v>392</v>
      </c>
      <c r="F4079" t="s">
        <v>721</v>
      </c>
      <c r="G4079">
        <v>89000</v>
      </c>
      <c r="H4079">
        <v>93000</v>
      </c>
    </row>
    <row r="4080" spans="2:8" x14ac:dyDescent="0.25">
      <c r="B4080" t="str">
        <f t="shared" si="63"/>
        <v>HKGPopulation ages 75-79, male</v>
      </c>
      <c r="C4080" t="s">
        <v>519</v>
      </c>
      <c r="D4080" t="s">
        <v>520</v>
      </c>
      <c r="E4080" t="s">
        <v>393</v>
      </c>
      <c r="F4080" t="s">
        <v>722</v>
      </c>
      <c r="G4080">
        <v>86000</v>
      </c>
      <c r="H4080">
        <v>90000</v>
      </c>
    </row>
    <row r="4081" spans="2:8" x14ac:dyDescent="0.25">
      <c r="B4081" t="str">
        <f t="shared" si="63"/>
        <v>HKGPopulation ages 80 and above, female</v>
      </c>
      <c r="C4081" t="s">
        <v>519</v>
      </c>
      <c r="D4081" t="s">
        <v>520</v>
      </c>
      <c r="E4081" t="s">
        <v>394</v>
      </c>
      <c r="F4081" t="s">
        <v>723</v>
      </c>
      <c r="G4081">
        <v>224000</v>
      </c>
      <c r="H4081">
        <v>227000</v>
      </c>
    </row>
    <row r="4082" spans="2:8" x14ac:dyDescent="0.25">
      <c r="B4082" t="str">
        <f t="shared" si="63"/>
        <v>HKGPopulation ages 80 and above, male</v>
      </c>
      <c r="C4082" t="s">
        <v>519</v>
      </c>
      <c r="D4082" t="s">
        <v>520</v>
      </c>
      <c r="E4082" t="s">
        <v>395</v>
      </c>
      <c r="F4082" t="s">
        <v>724</v>
      </c>
      <c r="G4082">
        <v>153000</v>
      </c>
      <c r="H4082">
        <v>155000</v>
      </c>
    </row>
    <row r="4083" spans="2:8" x14ac:dyDescent="0.25">
      <c r="B4083" t="str">
        <f t="shared" si="63"/>
        <v>HKGPopulation, male</v>
      </c>
      <c r="C4083" t="s">
        <v>519</v>
      </c>
      <c r="D4083" t="s">
        <v>520</v>
      </c>
      <c r="E4083" t="s">
        <v>397</v>
      </c>
      <c r="F4083" t="s">
        <v>725</v>
      </c>
      <c r="G4083">
        <v>3451000</v>
      </c>
      <c r="H4083">
        <v>3470000</v>
      </c>
    </row>
    <row r="4084" spans="2:8" x14ac:dyDescent="0.25">
      <c r="B4084" t="str">
        <f t="shared" si="63"/>
        <v>HKGPopulation, total</v>
      </c>
      <c r="C4084" t="s">
        <v>519</v>
      </c>
      <c r="D4084" t="s">
        <v>520</v>
      </c>
      <c r="E4084" t="s">
        <v>398</v>
      </c>
      <c r="F4084" t="s">
        <v>726</v>
      </c>
      <c r="G4084">
        <v>7508000</v>
      </c>
      <c r="H4084">
        <v>7564000</v>
      </c>
    </row>
    <row r="4085" spans="2:8" x14ac:dyDescent="0.25">
      <c r="B4085" t="str">
        <f t="shared" si="63"/>
        <v>HKGPopulation, female</v>
      </c>
      <c r="C4085" t="s">
        <v>519</v>
      </c>
      <c r="D4085" t="s">
        <v>520</v>
      </c>
      <c r="E4085" t="s">
        <v>396</v>
      </c>
      <c r="F4085" t="s">
        <v>727</v>
      </c>
      <c r="G4085">
        <v>4056000</v>
      </c>
      <c r="H4085">
        <v>4094000</v>
      </c>
    </row>
    <row r="4086" spans="2:8" x14ac:dyDescent="0.25">
      <c r="B4086" t="str">
        <f t="shared" si="63"/>
        <v>HKGPopulation growth (annual %)</v>
      </c>
      <c r="C4086" t="s">
        <v>519</v>
      </c>
      <c r="D4086" t="s">
        <v>520</v>
      </c>
      <c r="E4086" t="s">
        <v>399</v>
      </c>
      <c r="F4086" t="s">
        <v>728</v>
      </c>
      <c r="G4086">
        <v>0</v>
      </c>
      <c r="H4086">
        <v>0</v>
      </c>
    </row>
    <row r="4087" spans="2:8" x14ac:dyDescent="0.25">
      <c r="B4087" t="str">
        <f t="shared" si="63"/>
        <v>HUNPopulation ages 0-14, female</v>
      </c>
      <c r="C4087" t="s">
        <v>521</v>
      </c>
      <c r="D4087" t="s">
        <v>57</v>
      </c>
      <c r="E4087" t="s">
        <v>687</v>
      </c>
      <c r="F4087" t="s">
        <v>688</v>
      </c>
      <c r="G4087">
        <v>684000</v>
      </c>
      <c r="H4087">
        <v>680000</v>
      </c>
    </row>
    <row r="4088" spans="2:8" x14ac:dyDescent="0.25">
      <c r="B4088" t="str">
        <f t="shared" si="63"/>
        <v>HUNPopulation ages 0-14, male</v>
      </c>
      <c r="C4088" t="s">
        <v>521</v>
      </c>
      <c r="D4088" t="s">
        <v>57</v>
      </c>
      <c r="E4088" t="s">
        <v>689</v>
      </c>
      <c r="F4088" t="s">
        <v>690</v>
      </c>
      <c r="G4088">
        <v>721000</v>
      </c>
      <c r="H4088">
        <v>717000</v>
      </c>
    </row>
    <row r="4089" spans="2:8" x14ac:dyDescent="0.25">
      <c r="B4089" t="str">
        <f t="shared" si="63"/>
        <v>HUNPopulation ages 00-04, female</v>
      </c>
      <c r="C4089" t="s">
        <v>521</v>
      </c>
      <c r="D4089" t="s">
        <v>57</v>
      </c>
      <c r="E4089" t="s">
        <v>362</v>
      </c>
      <c r="F4089" t="s">
        <v>691</v>
      </c>
      <c r="G4089">
        <v>223000</v>
      </c>
      <c r="H4089">
        <v>225000</v>
      </c>
    </row>
    <row r="4090" spans="2:8" x14ac:dyDescent="0.25">
      <c r="B4090" t="str">
        <f t="shared" si="63"/>
        <v>HUNPopulation ages 00-04, male</v>
      </c>
      <c r="C4090" t="s">
        <v>521</v>
      </c>
      <c r="D4090" t="s">
        <v>57</v>
      </c>
      <c r="E4090" t="s">
        <v>363</v>
      </c>
      <c r="F4090" t="s">
        <v>692</v>
      </c>
      <c r="G4090">
        <v>236000</v>
      </c>
      <c r="H4090">
        <v>238000</v>
      </c>
    </row>
    <row r="4091" spans="2:8" x14ac:dyDescent="0.25">
      <c r="B4091" t="str">
        <f t="shared" si="63"/>
        <v>HUNPopulation ages 05-09, female</v>
      </c>
      <c r="C4091" t="s">
        <v>521</v>
      </c>
      <c r="D4091" t="s">
        <v>57</v>
      </c>
      <c r="E4091" t="s">
        <v>364</v>
      </c>
      <c r="F4091" t="s">
        <v>693</v>
      </c>
      <c r="G4091">
        <v>223000</v>
      </c>
      <c r="H4091">
        <v>219000</v>
      </c>
    </row>
    <row r="4092" spans="2:8" x14ac:dyDescent="0.25">
      <c r="B4092" t="str">
        <f t="shared" si="63"/>
        <v>HUNPopulation ages 05-09, male</v>
      </c>
      <c r="C4092" t="s">
        <v>521</v>
      </c>
      <c r="D4092" t="s">
        <v>57</v>
      </c>
      <c r="E4092" t="s">
        <v>365</v>
      </c>
      <c r="F4092" t="s">
        <v>694</v>
      </c>
      <c r="G4092">
        <v>234000</v>
      </c>
      <c r="H4092">
        <v>230000</v>
      </c>
    </row>
    <row r="4093" spans="2:8" x14ac:dyDescent="0.25">
      <c r="B4093" t="str">
        <f t="shared" si="63"/>
        <v>HUNPopulation ages 10-14, female</v>
      </c>
      <c r="C4093" t="s">
        <v>521</v>
      </c>
      <c r="D4093" t="s">
        <v>57</v>
      </c>
      <c r="E4093" t="s">
        <v>366</v>
      </c>
      <c r="F4093" t="s">
        <v>695</v>
      </c>
      <c r="G4093">
        <v>238000</v>
      </c>
      <c r="H4093">
        <v>236000</v>
      </c>
    </row>
    <row r="4094" spans="2:8" x14ac:dyDescent="0.25">
      <c r="B4094" t="str">
        <f t="shared" si="63"/>
        <v>HUNPopulation ages 10-14, male</v>
      </c>
      <c r="C4094" t="s">
        <v>521</v>
      </c>
      <c r="D4094" t="s">
        <v>57</v>
      </c>
      <c r="E4094" t="s">
        <v>367</v>
      </c>
      <c r="F4094" t="s">
        <v>696</v>
      </c>
      <c r="G4094">
        <v>250000</v>
      </c>
      <c r="H4094">
        <v>249000</v>
      </c>
    </row>
    <row r="4095" spans="2:8" x14ac:dyDescent="0.25">
      <c r="B4095" t="str">
        <f t="shared" si="63"/>
        <v>HUNPopulation ages 15-19, female</v>
      </c>
      <c r="C4095" t="s">
        <v>521</v>
      </c>
      <c r="D4095" t="s">
        <v>57</v>
      </c>
      <c r="E4095" t="s">
        <v>368</v>
      </c>
      <c r="F4095" t="s">
        <v>697</v>
      </c>
      <c r="G4095">
        <v>238000</v>
      </c>
      <c r="H4095">
        <v>237000</v>
      </c>
    </row>
    <row r="4096" spans="2:8" x14ac:dyDescent="0.25">
      <c r="B4096" t="str">
        <f t="shared" si="63"/>
        <v>HUNPopulation ages 15-19, male</v>
      </c>
      <c r="C4096" t="s">
        <v>521</v>
      </c>
      <c r="D4096" t="s">
        <v>57</v>
      </c>
      <c r="E4096" t="s">
        <v>369</v>
      </c>
      <c r="F4096" t="s">
        <v>698</v>
      </c>
      <c r="G4096">
        <v>252000</v>
      </c>
      <c r="H4096">
        <v>251000</v>
      </c>
    </row>
    <row r="4097" spans="2:8" x14ac:dyDescent="0.25">
      <c r="B4097" t="str">
        <f t="shared" si="63"/>
        <v>HUNPopulation ages 20-24, female</v>
      </c>
      <c r="C4097" t="s">
        <v>521</v>
      </c>
      <c r="D4097" t="s">
        <v>57</v>
      </c>
      <c r="E4097" t="s">
        <v>370</v>
      </c>
      <c r="F4097" t="s">
        <v>699</v>
      </c>
      <c r="G4097">
        <v>263000</v>
      </c>
      <c r="H4097">
        <v>253000</v>
      </c>
    </row>
    <row r="4098" spans="2:8" x14ac:dyDescent="0.25">
      <c r="B4098" t="str">
        <f t="shared" si="63"/>
        <v>HUNPopulation ages 20-24, male</v>
      </c>
      <c r="C4098" t="s">
        <v>521</v>
      </c>
      <c r="D4098" t="s">
        <v>57</v>
      </c>
      <c r="E4098" t="s">
        <v>371</v>
      </c>
      <c r="F4098" t="s">
        <v>700</v>
      </c>
      <c r="G4098">
        <v>277000</v>
      </c>
      <c r="H4098">
        <v>267000</v>
      </c>
    </row>
    <row r="4099" spans="2:8" x14ac:dyDescent="0.25">
      <c r="B4099" t="str">
        <f t="shared" si="63"/>
        <v>HUNPopulation ages 25-29, female</v>
      </c>
      <c r="C4099" t="s">
        <v>521</v>
      </c>
      <c r="D4099" t="s">
        <v>57</v>
      </c>
      <c r="E4099" t="s">
        <v>372</v>
      </c>
      <c r="F4099" t="s">
        <v>701</v>
      </c>
      <c r="G4099">
        <v>314000</v>
      </c>
      <c r="H4099">
        <v>311000</v>
      </c>
    </row>
    <row r="4100" spans="2:8" x14ac:dyDescent="0.25">
      <c r="B4100" t="str">
        <f t="shared" si="63"/>
        <v>HUNPopulation ages 25-29, male</v>
      </c>
      <c r="C4100" t="s">
        <v>521</v>
      </c>
      <c r="D4100" t="s">
        <v>57</v>
      </c>
      <c r="E4100" t="s">
        <v>373</v>
      </c>
      <c r="F4100" t="s">
        <v>702</v>
      </c>
      <c r="G4100">
        <v>328000</v>
      </c>
      <c r="H4100">
        <v>325000</v>
      </c>
    </row>
    <row r="4101" spans="2:8" x14ac:dyDescent="0.25">
      <c r="B4101" t="str">
        <f t="shared" si="63"/>
        <v>HUNPopulation ages 30-34, female</v>
      </c>
      <c r="C4101" t="s">
        <v>521</v>
      </c>
      <c r="D4101" t="s">
        <v>57</v>
      </c>
      <c r="E4101" t="s">
        <v>374</v>
      </c>
      <c r="F4101" t="s">
        <v>703</v>
      </c>
      <c r="G4101">
        <v>300000</v>
      </c>
      <c r="H4101">
        <v>300000</v>
      </c>
    </row>
    <row r="4102" spans="2:8" x14ac:dyDescent="0.25">
      <c r="B4102" t="str">
        <f t="shared" si="63"/>
        <v>HUNPopulation ages 30-34, male</v>
      </c>
      <c r="C4102" t="s">
        <v>521</v>
      </c>
      <c r="D4102" t="s">
        <v>57</v>
      </c>
      <c r="E4102" t="s">
        <v>375</v>
      </c>
      <c r="F4102" t="s">
        <v>704</v>
      </c>
      <c r="G4102">
        <v>312000</v>
      </c>
      <c r="H4102">
        <v>314000</v>
      </c>
    </row>
    <row r="4103" spans="2:8" x14ac:dyDescent="0.25">
      <c r="B4103" t="str">
        <f t="shared" ref="B4103:B4166" si="64">CONCATENATE(D4103,E4103)</f>
        <v>HUNPopulation ages 35-39, female</v>
      </c>
      <c r="C4103" t="s">
        <v>521</v>
      </c>
      <c r="D4103" t="s">
        <v>57</v>
      </c>
      <c r="E4103" t="s">
        <v>376</v>
      </c>
      <c r="F4103" t="s">
        <v>705</v>
      </c>
      <c r="G4103">
        <v>336000</v>
      </c>
      <c r="H4103">
        <v>321000</v>
      </c>
    </row>
    <row r="4104" spans="2:8" x14ac:dyDescent="0.25">
      <c r="B4104" t="str">
        <f t="shared" si="64"/>
        <v>HUNPopulation ages 35-39, male</v>
      </c>
      <c r="C4104" t="s">
        <v>521</v>
      </c>
      <c r="D4104" t="s">
        <v>57</v>
      </c>
      <c r="E4104" t="s">
        <v>377</v>
      </c>
      <c r="F4104" t="s">
        <v>706</v>
      </c>
      <c r="G4104">
        <v>341000</v>
      </c>
      <c r="H4104">
        <v>326000</v>
      </c>
    </row>
    <row r="4105" spans="2:8" x14ac:dyDescent="0.25">
      <c r="B4105" t="str">
        <f t="shared" si="64"/>
        <v>HUNPopulation ages 40-44, female</v>
      </c>
      <c r="C4105" t="s">
        <v>521</v>
      </c>
      <c r="D4105" t="s">
        <v>57</v>
      </c>
      <c r="E4105" t="s">
        <v>378</v>
      </c>
      <c r="F4105" t="s">
        <v>707</v>
      </c>
      <c r="G4105">
        <v>412000</v>
      </c>
      <c r="H4105">
        <v>406000</v>
      </c>
    </row>
    <row r="4106" spans="2:8" x14ac:dyDescent="0.25">
      <c r="B4106" t="str">
        <f t="shared" si="64"/>
        <v>HUNPopulation ages 40-44, male</v>
      </c>
      <c r="C4106" t="s">
        <v>521</v>
      </c>
      <c r="D4106" t="s">
        <v>57</v>
      </c>
      <c r="E4106" t="s">
        <v>379</v>
      </c>
      <c r="F4106" t="s">
        <v>708</v>
      </c>
      <c r="G4106">
        <v>418000</v>
      </c>
      <c r="H4106">
        <v>411000</v>
      </c>
    </row>
    <row r="4107" spans="2:8" x14ac:dyDescent="0.25">
      <c r="B4107" t="str">
        <f t="shared" si="64"/>
        <v>HUNPopulation ages 45-49, female</v>
      </c>
      <c r="C4107" t="s">
        <v>521</v>
      </c>
      <c r="D4107" t="s">
        <v>57</v>
      </c>
      <c r="E4107" t="s">
        <v>380</v>
      </c>
      <c r="F4107" t="s">
        <v>709</v>
      </c>
      <c r="G4107">
        <v>377000</v>
      </c>
      <c r="H4107">
        <v>386000</v>
      </c>
    </row>
    <row r="4108" spans="2:8" x14ac:dyDescent="0.25">
      <c r="B4108" t="str">
        <f t="shared" si="64"/>
        <v>HUNPopulation ages 45-49, male</v>
      </c>
      <c r="C4108" t="s">
        <v>521</v>
      </c>
      <c r="D4108" t="s">
        <v>57</v>
      </c>
      <c r="E4108" t="s">
        <v>381</v>
      </c>
      <c r="F4108" t="s">
        <v>710</v>
      </c>
      <c r="G4108">
        <v>380000</v>
      </c>
      <c r="H4108">
        <v>390000</v>
      </c>
    </row>
    <row r="4109" spans="2:8" x14ac:dyDescent="0.25">
      <c r="B4109" t="str">
        <f t="shared" si="64"/>
        <v>HUNPopulation ages 50-54, female</v>
      </c>
      <c r="C4109" t="s">
        <v>521</v>
      </c>
      <c r="D4109" t="s">
        <v>57</v>
      </c>
      <c r="E4109" t="s">
        <v>382</v>
      </c>
      <c r="F4109" t="s">
        <v>711</v>
      </c>
      <c r="G4109">
        <v>321000</v>
      </c>
      <c r="H4109">
        <v>331000</v>
      </c>
    </row>
    <row r="4110" spans="2:8" x14ac:dyDescent="0.25">
      <c r="B4110" t="str">
        <f t="shared" si="64"/>
        <v>HUNPopulation ages 50-54, male</v>
      </c>
      <c r="C4110" t="s">
        <v>521</v>
      </c>
      <c r="D4110" t="s">
        <v>57</v>
      </c>
      <c r="E4110" t="s">
        <v>383</v>
      </c>
      <c r="F4110" t="s">
        <v>712</v>
      </c>
      <c r="G4110">
        <v>308000</v>
      </c>
      <c r="H4110">
        <v>320000</v>
      </c>
    </row>
    <row r="4111" spans="2:8" x14ac:dyDescent="0.25">
      <c r="B4111" t="str">
        <f t="shared" si="64"/>
        <v>HUNPopulation ages 55-59, male</v>
      </c>
      <c r="C4111" t="s">
        <v>521</v>
      </c>
      <c r="D4111" t="s">
        <v>57</v>
      </c>
      <c r="E4111" t="s">
        <v>385</v>
      </c>
      <c r="F4111" t="s">
        <v>713</v>
      </c>
      <c r="G4111">
        <v>268000</v>
      </c>
      <c r="H4111">
        <v>264000</v>
      </c>
    </row>
    <row r="4112" spans="2:8" x14ac:dyDescent="0.25">
      <c r="B4112" t="str">
        <f t="shared" si="64"/>
        <v>HUNPopulation ages 55-59, female</v>
      </c>
      <c r="C4112" t="s">
        <v>521</v>
      </c>
      <c r="D4112" t="s">
        <v>57</v>
      </c>
      <c r="E4112" t="s">
        <v>384</v>
      </c>
      <c r="F4112" t="s">
        <v>714</v>
      </c>
      <c r="G4112">
        <v>299000</v>
      </c>
      <c r="H4112">
        <v>291000</v>
      </c>
    </row>
    <row r="4113" spans="2:8" x14ac:dyDescent="0.25">
      <c r="B4113" t="str">
        <f t="shared" si="64"/>
        <v>HUNPopulation ages 65-69, male</v>
      </c>
      <c r="C4113" t="s">
        <v>521</v>
      </c>
      <c r="D4113" t="s">
        <v>57</v>
      </c>
      <c r="E4113" t="s">
        <v>389</v>
      </c>
      <c r="F4113" t="s">
        <v>715</v>
      </c>
      <c r="G4113">
        <v>285000</v>
      </c>
      <c r="H4113">
        <v>290000</v>
      </c>
    </row>
    <row r="4114" spans="2:8" x14ac:dyDescent="0.25">
      <c r="B4114" t="str">
        <f t="shared" si="64"/>
        <v>HUNPopulation ages 65-69, female</v>
      </c>
      <c r="C4114" t="s">
        <v>521</v>
      </c>
      <c r="D4114" t="s">
        <v>57</v>
      </c>
      <c r="E4114" t="s">
        <v>388</v>
      </c>
      <c r="F4114" t="s">
        <v>716</v>
      </c>
      <c r="G4114">
        <v>377000</v>
      </c>
      <c r="H4114">
        <v>383000</v>
      </c>
    </row>
    <row r="4115" spans="2:8" x14ac:dyDescent="0.25">
      <c r="B4115" t="str">
        <f t="shared" si="64"/>
        <v>HUNPopulation ages 60-64, female</v>
      </c>
      <c r="C4115" t="s">
        <v>521</v>
      </c>
      <c r="D4115" t="s">
        <v>57</v>
      </c>
      <c r="E4115" t="s">
        <v>386</v>
      </c>
      <c r="F4115" t="s">
        <v>717</v>
      </c>
      <c r="G4115">
        <v>367000</v>
      </c>
      <c r="H4115">
        <v>350000</v>
      </c>
    </row>
    <row r="4116" spans="2:8" x14ac:dyDescent="0.25">
      <c r="B4116" t="str">
        <f t="shared" si="64"/>
        <v>HUNPopulation ages 60-64, male</v>
      </c>
      <c r="C4116" t="s">
        <v>521</v>
      </c>
      <c r="D4116" t="s">
        <v>57</v>
      </c>
      <c r="E4116" t="s">
        <v>387</v>
      </c>
      <c r="F4116" t="s">
        <v>718</v>
      </c>
      <c r="G4116">
        <v>301000</v>
      </c>
      <c r="H4116">
        <v>289000</v>
      </c>
    </row>
    <row r="4117" spans="2:8" x14ac:dyDescent="0.25">
      <c r="B4117" t="str">
        <f t="shared" si="64"/>
        <v>HUNPopulation ages 70-74, female</v>
      </c>
      <c r="C4117" t="s">
        <v>521</v>
      </c>
      <c r="D4117" t="s">
        <v>57</v>
      </c>
      <c r="E4117" t="s">
        <v>390</v>
      </c>
      <c r="F4117" t="s">
        <v>719</v>
      </c>
      <c r="G4117">
        <v>277000</v>
      </c>
      <c r="H4117">
        <v>286000</v>
      </c>
    </row>
    <row r="4118" spans="2:8" x14ac:dyDescent="0.25">
      <c r="B4118" t="str">
        <f t="shared" si="64"/>
        <v>HUNPopulation ages 70-74, male</v>
      </c>
      <c r="C4118" t="s">
        <v>521</v>
      </c>
      <c r="D4118" t="s">
        <v>57</v>
      </c>
      <c r="E4118" t="s">
        <v>391</v>
      </c>
      <c r="F4118" t="s">
        <v>720</v>
      </c>
      <c r="G4118">
        <v>184000</v>
      </c>
      <c r="H4118">
        <v>191000</v>
      </c>
    </row>
    <row r="4119" spans="2:8" x14ac:dyDescent="0.25">
      <c r="B4119" t="str">
        <f t="shared" si="64"/>
        <v>HUNPopulation ages 75-79, female</v>
      </c>
      <c r="C4119" t="s">
        <v>521</v>
      </c>
      <c r="D4119" t="s">
        <v>57</v>
      </c>
      <c r="E4119" t="s">
        <v>392</v>
      </c>
      <c r="F4119" t="s">
        <v>721</v>
      </c>
      <c r="G4119">
        <v>232000</v>
      </c>
      <c r="H4119">
        <v>236000</v>
      </c>
    </row>
    <row r="4120" spans="2:8" x14ac:dyDescent="0.25">
      <c r="B4120" t="str">
        <f t="shared" si="64"/>
        <v>HUNPopulation ages 75-79, male</v>
      </c>
      <c r="C4120" t="s">
        <v>521</v>
      </c>
      <c r="D4120" t="s">
        <v>57</v>
      </c>
      <c r="E4120" t="s">
        <v>393</v>
      </c>
      <c r="F4120" t="s">
        <v>722</v>
      </c>
      <c r="G4120">
        <v>132000</v>
      </c>
      <c r="H4120">
        <v>136000</v>
      </c>
    </row>
    <row r="4121" spans="2:8" x14ac:dyDescent="0.25">
      <c r="B4121" t="str">
        <f t="shared" si="64"/>
        <v>HUNPopulation ages 80 and above, female</v>
      </c>
      <c r="C4121" t="s">
        <v>521</v>
      </c>
      <c r="D4121" t="s">
        <v>57</v>
      </c>
      <c r="E4121" t="s">
        <v>394</v>
      </c>
      <c r="F4121" t="s">
        <v>723</v>
      </c>
      <c r="G4121">
        <v>304000</v>
      </c>
      <c r="H4121">
        <v>308000</v>
      </c>
    </row>
    <row r="4122" spans="2:8" x14ac:dyDescent="0.25">
      <c r="B4122" t="str">
        <f t="shared" si="64"/>
        <v>HUNPopulation ages 80 and above, male</v>
      </c>
      <c r="C4122" t="s">
        <v>521</v>
      </c>
      <c r="D4122" t="s">
        <v>57</v>
      </c>
      <c r="E4122" t="s">
        <v>395</v>
      </c>
      <c r="F4122" t="s">
        <v>724</v>
      </c>
      <c r="G4122">
        <v>125000</v>
      </c>
      <c r="H4122">
        <v>125000</v>
      </c>
    </row>
    <row r="4123" spans="2:8" x14ac:dyDescent="0.25">
      <c r="B4123" t="str">
        <f t="shared" si="64"/>
        <v>HUNPopulation, male</v>
      </c>
      <c r="C4123" t="s">
        <v>521</v>
      </c>
      <c r="D4123" t="s">
        <v>57</v>
      </c>
      <c r="E4123" t="s">
        <v>397</v>
      </c>
      <c r="F4123" t="s">
        <v>725</v>
      </c>
      <c r="G4123">
        <v>4631000</v>
      </c>
      <c r="H4123">
        <v>4615000</v>
      </c>
    </row>
    <row r="4124" spans="2:8" x14ac:dyDescent="0.25">
      <c r="B4124" t="str">
        <f t="shared" si="64"/>
        <v>HUNPopulation, total</v>
      </c>
      <c r="C4124" t="s">
        <v>521</v>
      </c>
      <c r="D4124" t="s">
        <v>57</v>
      </c>
      <c r="E4124" t="s">
        <v>398</v>
      </c>
      <c r="F4124" t="s">
        <v>726</v>
      </c>
      <c r="G4124">
        <v>9732000</v>
      </c>
      <c r="H4124">
        <v>9695000</v>
      </c>
    </row>
    <row r="4125" spans="2:8" x14ac:dyDescent="0.25">
      <c r="B4125" t="str">
        <f t="shared" si="64"/>
        <v>HUNPopulation, female</v>
      </c>
      <c r="C4125" t="s">
        <v>521</v>
      </c>
      <c r="D4125" t="s">
        <v>57</v>
      </c>
      <c r="E4125" t="s">
        <v>396</v>
      </c>
      <c r="F4125" t="s">
        <v>727</v>
      </c>
      <c r="G4125">
        <v>5101000</v>
      </c>
      <c r="H4125">
        <v>5080000</v>
      </c>
    </row>
    <row r="4126" spans="2:8" x14ac:dyDescent="0.25">
      <c r="B4126" t="str">
        <f t="shared" si="64"/>
        <v>HUNPopulation growth (annual %)</v>
      </c>
      <c r="C4126" t="s">
        <v>521</v>
      </c>
      <c r="D4126" t="s">
        <v>57</v>
      </c>
      <c r="E4126" t="s">
        <v>399</v>
      </c>
      <c r="F4126" t="s">
        <v>728</v>
      </c>
      <c r="G4126">
        <v>0</v>
      </c>
      <c r="H4126">
        <v>0</v>
      </c>
    </row>
    <row r="4127" spans="2:8" x14ac:dyDescent="0.25">
      <c r="B4127" t="str">
        <f t="shared" si="64"/>
        <v>ISLPopulation ages 0-14, female</v>
      </c>
      <c r="C4127" t="s">
        <v>522</v>
      </c>
      <c r="D4127" t="s">
        <v>63</v>
      </c>
      <c r="E4127" t="s">
        <v>687</v>
      </c>
      <c r="F4127" t="s">
        <v>688</v>
      </c>
      <c r="G4127">
        <v>34000</v>
      </c>
      <c r="H4127">
        <v>34000</v>
      </c>
    </row>
    <row r="4128" spans="2:8" x14ac:dyDescent="0.25">
      <c r="B4128" t="str">
        <f t="shared" si="64"/>
        <v>ISLPopulation ages 0-14, male</v>
      </c>
      <c r="C4128" t="s">
        <v>522</v>
      </c>
      <c r="D4128" t="s">
        <v>63</v>
      </c>
      <c r="E4128" t="s">
        <v>689</v>
      </c>
      <c r="F4128" t="s">
        <v>690</v>
      </c>
      <c r="G4128">
        <v>36000</v>
      </c>
      <c r="H4128">
        <v>36000</v>
      </c>
    </row>
    <row r="4129" spans="2:8" x14ac:dyDescent="0.25">
      <c r="B4129" t="str">
        <f t="shared" si="64"/>
        <v>ISLPopulation ages 00-04, female</v>
      </c>
      <c r="C4129" t="s">
        <v>522</v>
      </c>
      <c r="D4129" t="s">
        <v>63</v>
      </c>
      <c r="E4129" t="s">
        <v>362</v>
      </c>
      <c r="F4129" t="s">
        <v>691</v>
      </c>
      <c r="G4129">
        <v>11000</v>
      </c>
      <c r="H4129">
        <v>10000</v>
      </c>
    </row>
    <row r="4130" spans="2:8" x14ac:dyDescent="0.25">
      <c r="B4130" t="str">
        <f t="shared" si="64"/>
        <v>ISLPopulation ages 00-04, male</v>
      </c>
      <c r="C4130" t="s">
        <v>522</v>
      </c>
      <c r="D4130" t="s">
        <v>63</v>
      </c>
      <c r="E4130" t="s">
        <v>363</v>
      </c>
      <c r="F4130" t="s">
        <v>692</v>
      </c>
      <c r="G4130">
        <v>11000</v>
      </c>
      <c r="H4130">
        <v>11000</v>
      </c>
    </row>
    <row r="4131" spans="2:8" x14ac:dyDescent="0.25">
      <c r="B4131" t="str">
        <f t="shared" si="64"/>
        <v>ISLPopulation ages 05-09, female</v>
      </c>
      <c r="C4131" t="s">
        <v>522</v>
      </c>
      <c r="D4131" t="s">
        <v>63</v>
      </c>
      <c r="E4131" t="s">
        <v>364</v>
      </c>
      <c r="F4131" t="s">
        <v>693</v>
      </c>
      <c r="G4131">
        <v>12000</v>
      </c>
      <c r="H4131">
        <v>12000</v>
      </c>
    </row>
    <row r="4132" spans="2:8" x14ac:dyDescent="0.25">
      <c r="B4132" t="str">
        <f t="shared" si="64"/>
        <v>ISLPopulation ages 05-09, male</v>
      </c>
      <c r="C4132" t="s">
        <v>522</v>
      </c>
      <c r="D4132" t="s">
        <v>63</v>
      </c>
      <c r="E4132" t="s">
        <v>365</v>
      </c>
      <c r="F4132" t="s">
        <v>694</v>
      </c>
      <c r="G4132">
        <v>12000</v>
      </c>
      <c r="H4132">
        <v>12000</v>
      </c>
    </row>
    <row r="4133" spans="2:8" x14ac:dyDescent="0.25">
      <c r="B4133" t="str">
        <f t="shared" si="64"/>
        <v>ISLPopulation ages 10-14, female</v>
      </c>
      <c r="C4133" t="s">
        <v>522</v>
      </c>
      <c r="D4133" t="s">
        <v>63</v>
      </c>
      <c r="E4133" t="s">
        <v>366</v>
      </c>
      <c r="F4133" t="s">
        <v>695</v>
      </c>
      <c r="G4133">
        <v>12000</v>
      </c>
      <c r="H4133">
        <v>12000</v>
      </c>
    </row>
    <row r="4134" spans="2:8" x14ac:dyDescent="0.25">
      <c r="B4134" t="str">
        <f t="shared" si="64"/>
        <v>ISLPopulation ages 10-14, male</v>
      </c>
      <c r="C4134" t="s">
        <v>522</v>
      </c>
      <c r="D4134" t="s">
        <v>63</v>
      </c>
      <c r="E4134" t="s">
        <v>367</v>
      </c>
      <c r="F4134" t="s">
        <v>696</v>
      </c>
      <c r="G4134">
        <v>12000</v>
      </c>
      <c r="H4134">
        <v>13000</v>
      </c>
    </row>
    <row r="4135" spans="2:8" x14ac:dyDescent="0.25">
      <c r="B4135" t="str">
        <f t="shared" si="64"/>
        <v>ISLPopulation ages 15-19, female</v>
      </c>
      <c r="C4135" t="s">
        <v>522</v>
      </c>
      <c r="D4135" t="s">
        <v>63</v>
      </c>
      <c r="E4135" t="s">
        <v>368</v>
      </c>
      <c r="F4135" t="s">
        <v>697</v>
      </c>
      <c r="G4135">
        <v>11000</v>
      </c>
      <c r="H4135">
        <v>11000</v>
      </c>
    </row>
    <row r="4136" spans="2:8" x14ac:dyDescent="0.25">
      <c r="B4136" t="str">
        <f t="shared" si="64"/>
        <v>ISLPopulation ages 15-19, male</v>
      </c>
      <c r="C4136" t="s">
        <v>522</v>
      </c>
      <c r="D4136" t="s">
        <v>63</v>
      </c>
      <c r="E4136" t="s">
        <v>369</v>
      </c>
      <c r="F4136" t="s">
        <v>698</v>
      </c>
      <c r="G4136">
        <v>11000</v>
      </c>
      <c r="H4136">
        <v>11000</v>
      </c>
    </row>
    <row r="4137" spans="2:8" x14ac:dyDescent="0.25">
      <c r="B4137" t="str">
        <f t="shared" si="64"/>
        <v>ISLPopulation ages 20-24, female</v>
      </c>
      <c r="C4137" t="s">
        <v>522</v>
      </c>
      <c r="D4137" t="s">
        <v>63</v>
      </c>
      <c r="E4137" t="s">
        <v>370</v>
      </c>
      <c r="F4137" t="s">
        <v>699</v>
      </c>
      <c r="G4137">
        <v>12000</v>
      </c>
      <c r="H4137">
        <v>11000</v>
      </c>
    </row>
    <row r="4138" spans="2:8" x14ac:dyDescent="0.25">
      <c r="B4138" t="str">
        <f t="shared" si="64"/>
        <v>ISLPopulation ages 20-24, male</v>
      </c>
      <c r="C4138" t="s">
        <v>522</v>
      </c>
      <c r="D4138" t="s">
        <v>63</v>
      </c>
      <c r="E4138" t="s">
        <v>371</v>
      </c>
      <c r="F4138" t="s">
        <v>700</v>
      </c>
      <c r="G4138">
        <v>12000</v>
      </c>
      <c r="H4138">
        <v>12000</v>
      </c>
    </row>
    <row r="4139" spans="2:8" x14ac:dyDescent="0.25">
      <c r="B4139" t="str">
        <f t="shared" si="64"/>
        <v>ISLPopulation ages 25-29, female</v>
      </c>
      <c r="C4139" t="s">
        <v>522</v>
      </c>
      <c r="D4139" t="s">
        <v>63</v>
      </c>
      <c r="E4139" t="s">
        <v>372</v>
      </c>
      <c r="F4139" t="s">
        <v>701</v>
      </c>
      <c r="G4139">
        <v>13000</v>
      </c>
      <c r="H4139">
        <v>13000</v>
      </c>
    </row>
    <row r="4140" spans="2:8" x14ac:dyDescent="0.25">
      <c r="B4140" t="str">
        <f t="shared" si="64"/>
        <v>ISLPopulation ages 25-29, male</v>
      </c>
      <c r="C4140" t="s">
        <v>522</v>
      </c>
      <c r="D4140" t="s">
        <v>63</v>
      </c>
      <c r="E4140" t="s">
        <v>373</v>
      </c>
      <c r="F4140" t="s">
        <v>702</v>
      </c>
      <c r="G4140">
        <v>14000</v>
      </c>
      <c r="H4140">
        <v>14000</v>
      </c>
    </row>
    <row r="4141" spans="2:8" x14ac:dyDescent="0.25">
      <c r="B4141" t="str">
        <f t="shared" si="64"/>
        <v>ISLPopulation ages 30-34, female</v>
      </c>
      <c r="C4141" t="s">
        <v>522</v>
      </c>
      <c r="D4141" t="s">
        <v>63</v>
      </c>
      <c r="E4141" t="s">
        <v>374</v>
      </c>
      <c r="F4141" t="s">
        <v>703</v>
      </c>
      <c r="G4141">
        <v>12000</v>
      </c>
      <c r="H4141">
        <v>12000</v>
      </c>
    </row>
    <row r="4142" spans="2:8" x14ac:dyDescent="0.25">
      <c r="B4142" t="str">
        <f t="shared" si="64"/>
        <v>ISLPopulation ages 30-34, male</v>
      </c>
      <c r="C4142" t="s">
        <v>522</v>
      </c>
      <c r="D4142" t="s">
        <v>63</v>
      </c>
      <c r="E4142" t="s">
        <v>375</v>
      </c>
      <c r="F4142" t="s">
        <v>704</v>
      </c>
      <c r="G4142">
        <v>12000</v>
      </c>
      <c r="H4142">
        <v>12000</v>
      </c>
    </row>
    <row r="4143" spans="2:8" x14ac:dyDescent="0.25">
      <c r="B4143" t="str">
        <f t="shared" si="64"/>
        <v>ISLPopulation ages 35-39, female</v>
      </c>
      <c r="C4143" t="s">
        <v>522</v>
      </c>
      <c r="D4143" t="s">
        <v>63</v>
      </c>
      <c r="E4143" t="s">
        <v>376</v>
      </c>
      <c r="F4143" t="s">
        <v>705</v>
      </c>
      <c r="G4143">
        <v>12000</v>
      </c>
      <c r="H4143">
        <v>12000</v>
      </c>
    </row>
    <row r="4144" spans="2:8" x14ac:dyDescent="0.25">
      <c r="B4144" t="str">
        <f t="shared" si="64"/>
        <v>ISLPopulation ages 35-39, male</v>
      </c>
      <c r="C4144" t="s">
        <v>522</v>
      </c>
      <c r="D4144" t="s">
        <v>63</v>
      </c>
      <c r="E4144" t="s">
        <v>377</v>
      </c>
      <c r="F4144" t="s">
        <v>706</v>
      </c>
      <c r="G4144">
        <v>13000</v>
      </c>
      <c r="H4144">
        <v>13000</v>
      </c>
    </row>
    <row r="4145" spans="2:8" x14ac:dyDescent="0.25">
      <c r="B4145" t="str">
        <f t="shared" si="64"/>
        <v>ISLPopulation ages 40-44, female</v>
      </c>
      <c r="C4145" t="s">
        <v>522</v>
      </c>
      <c r="D4145" t="s">
        <v>63</v>
      </c>
      <c r="E4145" t="s">
        <v>378</v>
      </c>
      <c r="F4145" t="s">
        <v>707</v>
      </c>
      <c r="G4145">
        <v>11000</v>
      </c>
      <c r="H4145">
        <v>11000</v>
      </c>
    </row>
    <row r="4146" spans="2:8" x14ac:dyDescent="0.25">
      <c r="B4146" t="str">
        <f t="shared" si="64"/>
        <v>ISLPopulation ages 40-44, male</v>
      </c>
      <c r="C4146" t="s">
        <v>522</v>
      </c>
      <c r="D4146" t="s">
        <v>63</v>
      </c>
      <c r="E4146" t="s">
        <v>379</v>
      </c>
      <c r="F4146" t="s">
        <v>708</v>
      </c>
      <c r="G4146">
        <v>11000</v>
      </c>
      <c r="H4146">
        <v>12000</v>
      </c>
    </row>
    <row r="4147" spans="2:8" x14ac:dyDescent="0.25">
      <c r="B4147" t="str">
        <f t="shared" si="64"/>
        <v>ISLPopulation ages 45-49, female</v>
      </c>
      <c r="C4147" t="s">
        <v>522</v>
      </c>
      <c r="D4147" t="s">
        <v>63</v>
      </c>
      <c r="E4147" t="s">
        <v>380</v>
      </c>
      <c r="F4147" t="s">
        <v>709</v>
      </c>
      <c r="G4147">
        <v>11000</v>
      </c>
      <c r="H4147">
        <v>11000</v>
      </c>
    </row>
    <row r="4148" spans="2:8" x14ac:dyDescent="0.25">
      <c r="B4148" t="str">
        <f t="shared" si="64"/>
        <v>ISLPopulation ages 45-49, male</v>
      </c>
      <c r="C4148" t="s">
        <v>522</v>
      </c>
      <c r="D4148" t="s">
        <v>63</v>
      </c>
      <c r="E4148" t="s">
        <v>381</v>
      </c>
      <c r="F4148" t="s">
        <v>710</v>
      </c>
      <c r="G4148">
        <v>11000</v>
      </c>
      <c r="H4148">
        <v>11000</v>
      </c>
    </row>
    <row r="4149" spans="2:8" x14ac:dyDescent="0.25">
      <c r="B4149" t="str">
        <f t="shared" si="64"/>
        <v>ISLPopulation ages 50-54, female</v>
      </c>
      <c r="C4149" t="s">
        <v>522</v>
      </c>
      <c r="D4149" t="s">
        <v>63</v>
      </c>
      <c r="E4149" t="s">
        <v>382</v>
      </c>
      <c r="F4149" t="s">
        <v>711</v>
      </c>
      <c r="G4149">
        <v>11000</v>
      </c>
      <c r="H4149">
        <v>11000</v>
      </c>
    </row>
    <row r="4150" spans="2:8" x14ac:dyDescent="0.25">
      <c r="B4150" t="str">
        <f t="shared" si="64"/>
        <v>ISLPopulation ages 50-54, male</v>
      </c>
      <c r="C4150" t="s">
        <v>522</v>
      </c>
      <c r="D4150" t="s">
        <v>63</v>
      </c>
      <c r="E4150" t="s">
        <v>383</v>
      </c>
      <c r="F4150" t="s">
        <v>712</v>
      </c>
      <c r="G4150">
        <v>11000</v>
      </c>
      <c r="H4150">
        <v>11000</v>
      </c>
    </row>
    <row r="4151" spans="2:8" x14ac:dyDescent="0.25">
      <c r="B4151" t="str">
        <f t="shared" si="64"/>
        <v>ISLPopulation ages 55-59, male</v>
      </c>
      <c r="C4151" t="s">
        <v>522</v>
      </c>
      <c r="D4151" t="s">
        <v>63</v>
      </c>
      <c r="E4151" t="s">
        <v>385</v>
      </c>
      <c r="F4151" t="s">
        <v>713</v>
      </c>
      <c r="G4151">
        <v>11000</v>
      </c>
      <c r="H4151">
        <v>11000</v>
      </c>
    </row>
    <row r="4152" spans="2:8" x14ac:dyDescent="0.25">
      <c r="B4152" t="str">
        <f t="shared" si="64"/>
        <v>ISLPopulation ages 55-59, female</v>
      </c>
      <c r="C4152" t="s">
        <v>522</v>
      </c>
      <c r="D4152" t="s">
        <v>63</v>
      </c>
      <c r="E4152" t="s">
        <v>384</v>
      </c>
      <c r="F4152" t="s">
        <v>714</v>
      </c>
      <c r="G4152">
        <v>11000</v>
      </c>
      <c r="H4152">
        <v>11000</v>
      </c>
    </row>
    <row r="4153" spans="2:8" x14ac:dyDescent="0.25">
      <c r="B4153" t="str">
        <f t="shared" si="64"/>
        <v>ISLPopulation ages 65-69, male</v>
      </c>
      <c r="C4153" t="s">
        <v>522</v>
      </c>
      <c r="D4153" t="s">
        <v>63</v>
      </c>
      <c r="E4153" t="s">
        <v>389</v>
      </c>
      <c r="F4153" t="s">
        <v>715</v>
      </c>
      <c r="G4153">
        <v>8800</v>
      </c>
      <c r="H4153">
        <v>9000</v>
      </c>
    </row>
    <row r="4154" spans="2:8" x14ac:dyDescent="0.25">
      <c r="B4154" t="str">
        <f t="shared" si="64"/>
        <v>ISLPopulation ages 65-69, female</v>
      </c>
      <c r="C4154" t="s">
        <v>522</v>
      </c>
      <c r="D4154" t="s">
        <v>63</v>
      </c>
      <c r="E4154" t="s">
        <v>388</v>
      </c>
      <c r="F4154" t="s">
        <v>716</v>
      </c>
      <c r="G4154">
        <v>8700</v>
      </c>
      <c r="H4154">
        <v>9000</v>
      </c>
    </row>
    <row r="4155" spans="2:8" x14ac:dyDescent="0.25">
      <c r="B4155" t="str">
        <f t="shared" si="64"/>
        <v>ISLPopulation ages 60-64, female</v>
      </c>
      <c r="C4155" t="s">
        <v>522</v>
      </c>
      <c r="D4155" t="s">
        <v>63</v>
      </c>
      <c r="E4155" t="s">
        <v>386</v>
      </c>
      <c r="F4155" t="s">
        <v>717</v>
      </c>
      <c r="G4155">
        <v>11000</v>
      </c>
      <c r="H4155">
        <v>11000</v>
      </c>
    </row>
    <row r="4156" spans="2:8" x14ac:dyDescent="0.25">
      <c r="B4156" t="str">
        <f t="shared" si="64"/>
        <v>ISLPopulation ages 60-64, male</v>
      </c>
      <c r="C4156" t="s">
        <v>522</v>
      </c>
      <c r="D4156" t="s">
        <v>63</v>
      </c>
      <c r="E4156" t="s">
        <v>387</v>
      </c>
      <c r="F4156" t="s">
        <v>718</v>
      </c>
      <c r="G4156">
        <v>11000</v>
      </c>
      <c r="H4156">
        <v>11000</v>
      </c>
    </row>
    <row r="4157" spans="2:8" x14ac:dyDescent="0.25">
      <c r="B4157" t="str">
        <f t="shared" si="64"/>
        <v>ISLPopulation ages 70-74, female</v>
      </c>
      <c r="C4157" t="s">
        <v>522</v>
      </c>
      <c r="D4157" t="s">
        <v>63</v>
      </c>
      <c r="E4157" t="s">
        <v>390</v>
      </c>
      <c r="F4157" t="s">
        <v>719</v>
      </c>
      <c r="G4157">
        <v>7000</v>
      </c>
      <c r="H4157">
        <v>7300</v>
      </c>
    </row>
    <row r="4158" spans="2:8" x14ac:dyDescent="0.25">
      <c r="B4158" t="str">
        <f t="shared" si="64"/>
        <v>ISLPopulation ages 70-74, male</v>
      </c>
      <c r="C4158" t="s">
        <v>522</v>
      </c>
      <c r="D4158" t="s">
        <v>63</v>
      </c>
      <c r="E4158" t="s">
        <v>391</v>
      </c>
      <c r="F4158" t="s">
        <v>720</v>
      </c>
      <c r="G4158">
        <v>7000</v>
      </c>
      <c r="H4158">
        <v>7400</v>
      </c>
    </row>
    <row r="4159" spans="2:8" x14ac:dyDescent="0.25">
      <c r="B4159" t="str">
        <f t="shared" si="64"/>
        <v>ISLPopulation ages 75-79, female</v>
      </c>
      <c r="C4159" t="s">
        <v>522</v>
      </c>
      <c r="D4159" t="s">
        <v>63</v>
      </c>
      <c r="E4159" t="s">
        <v>392</v>
      </c>
      <c r="F4159" t="s">
        <v>721</v>
      </c>
      <c r="G4159">
        <v>5000</v>
      </c>
      <c r="H4159">
        <v>5200</v>
      </c>
    </row>
    <row r="4160" spans="2:8" x14ac:dyDescent="0.25">
      <c r="B4160" t="str">
        <f t="shared" si="64"/>
        <v>ISLPopulation ages 75-79, male</v>
      </c>
      <c r="C4160" t="s">
        <v>522</v>
      </c>
      <c r="D4160" t="s">
        <v>63</v>
      </c>
      <c r="E4160" t="s">
        <v>393</v>
      </c>
      <c r="F4160" t="s">
        <v>722</v>
      </c>
      <c r="G4160">
        <v>4400</v>
      </c>
      <c r="H4160">
        <v>4700</v>
      </c>
    </row>
    <row r="4161" spans="2:8" x14ac:dyDescent="0.25">
      <c r="B4161" t="str">
        <f t="shared" si="64"/>
        <v>ISLPopulation ages 80 and above, female</v>
      </c>
      <c r="C4161" t="s">
        <v>522</v>
      </c>
      <c r="D4161" t="s">
        <v>63</v>
      </c>
      <c r="E4161" t="s">
        <v>394</v>
      </c>
      <c r="F4161" t="s">
        <v>723</v>
      </c>
      <c r="G4161">
        <v>7700</v>
      </c>
      <c r="H4161">
        <v>7800</v>
      </c>
    </row>
    <row r="4162" spans="2:8" x14ac:dyDescent="0.25">
      <c r="B4162" t="str">
        <f t="shared" si="64"/>
        <v>ISLPopulation ages 80 and above, male</v>
      </c>
      <c r="C4162" t="s">
        <v>522</v>
      </c>
      <c r="D4162" t="s">
        <v>63</v>
      </c>
      <c r="E4162" t="s">
        <v>395</v>
      </c>
      <c r="F4162" t="s">
        <v>724</v>
      </c>
      <c r="G4162">
        <v>5600</v>
      </c>
      <c r="H4162">
        <v>5700</v>
      </c>
    </row>
    <row r="4163" spans="2:8" x14ac:dyDescent="0.25">
      <c r="B4163" t="str">
        <f t="shared" si="64"/>
        <v>ISLPopulation, male</v>
      </c>
      <c r="C4163" t="s">
        <v>522</v>
      </c>
      <c r="D4163" t="s">
        <v>63</v>
      </c>
      <c r="E4163" t="s">
        <v>397</v>
      </c>
      <c r="F4163" t="s">
        <v>725</v>
      </c>
      <c r="G4163">
        <v>179000</v>
      </c>
      <c r="H4163">
        <v>180000</v>
      </c>
    </row>
    <row r="4164" spans="2:8" x14ac:dyDescent="0.25">
      <c r="B4164" t="str">
        <f t="shared" si="64"/>
        <v>ISLPopulation, total</v>
      </c>
      <c r="C4164" t="s">
        <v>522</v>
      </c>
      <c r="D4164" t="s">
        <v>63</v>
      </c>
      <c r="E4164" t="s">
        <v>398</v>
      </c>
      <c r="F4164" t="s">
        <v>726</v>
      </c>
      <c r="G4164">
        <v>356000</v>
      </c>
      <c r="H4164">
        <v>359000</v>
      </c>
    </row>
    <row r="4165" spans="2:8" x14ac:dyDescent="0.25">
      <c r="B4165" t="str">
        <f t="shared" si="64"/>
        <v>ISLPopulation, female</v>
      </c>
      <c r="C4165" t="s">
        <v>522</v>
      </c>
      <c r="D4165" t="s">
        <v>63</v>
      </c>
      <c r="E4165" t="s">
        <v>396</v>
      </c>
      <c r="F4165" t="s">
        <v>727</v>
      </c>
      <c r="G4165">
        <v>177000</v>
      </c>
      <c r="H4165">
        <v>179000</v>
      </c>
    </row>
    <row r="4166" spans="2:8" x14ac:dyDescent="0.25">
      <c r="B4166" t="str">
        <f t="shared" si="64"/>
        <v>ISLPopulation growth (annual %)</v>
      </c>
      <c r="C4166" t="s">
        <v>522</v>
      </c>
      <c r="D4166" t="s">
        <v>63</v>
      </c>
      <c r="E4166" t="s">
        <v>399</v>
      </c>
      <c r="F4166" t="s">
        <v>728</v>
      </c>
      <c r="G4166">
        <v>0</v>
      </c>
      <c r="H4166">
        <v>0</v>
      </c>
    </row>
    <row r="4167" spans="2:8" x14ac:dyDescent="0.25">
      <c r="B4167" t="str">
        <f t="shared" ref="B4167:B4230" si="65">CONCATENATE(D4167,E4167)</f>
        <v>INDPopulation ages 0-14, female</v>
      </c>
      <c r="C4167" t="s">
        <v>523</v>
      </c>
      <c r="D4167" t="s">
        <v>59</v>
      </c>
      <c r="E4167" t="s">
        <v>687</v>
      </c>
      <c r="F4167" t="s">
        <v>688</v>
      </c>
      <c r="G4167">
        <v>172809000</v>
      </c>
      <c r="H4167">
        <v>171609000</v>
      </c>
    </row>
    <row r="4168" spans="2:8" x14ac:dyDescent="0.25">
      <c r="B4168" t="str">
        <f t="shared" si="65"/>
        <v>INDPopulation ages 0-14, male</v>
      </c>
      <c r="C4168" t="s">
        <v>523</v>
      </c>
      <c r="D4168" t="s">
        <v>59</v>
      </c>
      <c r="E4168" t="s">
        <v>689</v>
      </c>
      <c r="F4168" t="s">
        <v>690</v>
      </c>
      <c r="G4168">
        <v>190908000</v>
      </c>
      <c r="H4168">
        <v>189408000</v>
      </c>
    </row>
    <row r="4169" spans="2:8" x14ac:dyDescent="0.25">
      <c r="B4169" t="str">
        <f t="shared" si="65"/>
        <v>INDPopulation ages 00-04, female</v>
      </c>
      <c r="C4169" t="s">
        <v>523</v>
      </c>
      <c r="D4169" t="s">
        <v>59</v>
      </c>
      <c r="E4169" t="s">
        <v>362</v>
      </c>
      <c r="F4169" t="s">
        <v>691</v>
      </c>
      <c r="G4169">
        <v>55597000</v>
      </c>
      <c r="H4169">
        <v>55651000</v>
      </c>
    </row>
    <row r="4170" spans="2:8" x14ac:dyDescent="0.25">
      <c r="B4170" t="str">
        <f t="shared" si="65"/>
        <v>INDPopulation ages 00-04, male</v>
      </c>
      <c r="C4170" t="s">
        <v>523</v>
      </c>
      <c r="D4170" t="s">
        <v>59</v>
      </c>
      <c r="E4170" t="s">
        <v>363</v>
      </c>
      <c r="F4170" t="s">
        <v>692</v>
      </c>
      <c r="G4170">
        <v>61185000</v>
      </c>
      <c r="H4170">
        <v>61228000</v>
      </c>
    </row>
    <row r="4171" spans="2:8" x14ac:dyDescent="0.25">
      <c r="B4171" t="str">
        <f t="shared" si="65"/>
        <v>INDPopulation ages 05-09, female</v>
      </c>
      <c r="C4171" t="s">
        <v>523</v>
      </c>
      <c r="D4171" t="s">
        <v>59</v>
      </c>
      <c r="E4171" t="s">
        <v>364</v>
      </c>
      <c r="F4171" t="s">
        <v>693</v>
      </c>
      <c r="G4171">
        <v>57039000</v>
      </c>
      <c r="H4171">
        <v>56105000</v>
      </c>
    </row>
    <row r="4172" spans="2:8" x14ac:dyDescent="0.25">
      <c r="B4172" t="str">
        <f t="shared" si="65"/>
        <v>INDPopulation ages 05-09, male</v>
      </c>
      <c r="C4172" t="s">
        <v>523</v>
      </c>
      <c r="D4172" t="s">
        <v>59</v>
      </c>
      <c r="E4172" t="s">
        <v>365</v>
      </c>
      <c r="F4172" t="s">
        <v>694</v>
      </c>
      <c r="G4172">
        <v>62911000</v>
      </c>
      <c r="H4172">
        <v>61877000</v>
      </c>
    </row>
    <row r="4173" spans="2:8" x14ac:dyDescent="0.25">
      <c r="B4173" t="str">
        <f t="shared" si="65"/>
        <v>INDPopulation ages 10-14, female</v>
      </c>
      <c r="C4173" t="s">
        <v>523</v>
      </c>
      <c r="D4173" t="s">
        <v>59</v>
      </c>
      <c r="E4173" t="s">
        <v>366</v>
      </c>
      <c r="F4173" t="s">
        <v>695</v>
      </c>
      <c r="G4173">
        <v>60173000</v>
      </c>
      <c r="H4173">
        <v>59853000</v>
      </c>
    </row>
    <row r="4174" spans="2:8" x14ac:dyDescent="0.25">
      <c r="B4174" t="str">
        <f t="shared" si="65"/>
        <v>INDPopulation ages 10-14, male</v>
      </c>
      <c r="C4174" t="s">
        <v>523</v>
      </c>
      <c r="D4174" t="s">
        <v>59</v>
      </c>
      <c r="E4174" t="s">
        <v>367</v>
      </c>
      <c r="F4174" t="s">
        <v>696</v>
      </c>
      <c r="G4174">
        <v>66812000</v>
      </c>
      <c r="H4174">
        <v>66303000</v>
      </c>
    </row>
    <row r="4175" spans="2:8" x14ac:dyDescent="0.25">
      <c r="B4175" t="str">
        <f t="shared" si="65"/>
        <v>INDPopulation ages 15-19, female</v>
      </c>
      <c r="C4175" t="s">
        <v>523</v>
      </c>
      <c r="D4175" t="s">
        <v>59</v>
      </c>
      <c r="E4175" t="s">
        <v>368</v>
      </c>
      <c r="F4175" t="s">
        <v>697</v>
      </c>
      <c r="G4175">
        <v>59164000</v>
      </c>
      <c r="H4175">
        <v>59375000</v>
      </c>
    </row>
    <row r="4176" spans="2:8" x14ac:dyDescent="0.25">
      <c r="B4176" t="str">
        <f t="shared" si="65"/>
        <v>INDPopulation ages 15-19, male</v>
      </c>
      <c r="C4176" t="s">
        <v>523</v>
      </c>
      <c r="D4176" t="s">
        <v>59</v>
      </c>
      <c r="E4176" t="s">
        <v>369</v>
      </c>
      <c r="F4176" t="s">
        <v>698</v>
      </c>
      <c r="G4176">
        <v>66525000</v>
      </c>
      <c r="H4176">
        <v>66671000</v>
      </c>
    </row>
    <row r="4177" spans="2:8" x14ac:dyDescent="0.25">
      <c r="B4177" t="str">
        <f t="shared" si="65"/>
        <v>INDPopulation ages 20-24, female</v>
      </c>
      <c r="C4177" t="s">
        <v>523</v>
      </c>
      <c r="D4177" t="s">
        <v>59</v>
      </c>
      <c r="E4177" t="s">
        <v>370</v>
      </c>
      <c r="F4177" t="s">
        <v>699</v>
      </c>
      <c r="G4177">
        <v>57319000</v>
      </c>
      <c r="H4177">
        <v>57639000</v>
      </c>
    </row>
    <row r="4178" spans="2:8" x14ac:dyDescent="0.25">
      <c r="B4178" t="str">
        <f t="shared" si="65"/>
        <v>INDPopulation ages 20-24, male</v>
      </c>
      <c r="C4178" t="s">
        <v>523</v>
      </c>
      <c r="D4178" t="s">
        <v>59</v>
      </c>
      <c r="E4178" t="s">
        <v>371</v>
      </c>
      <c r="F4178" t="s">
        <v>700</v>
      </c>
      <c r="G4178">
        <v>64478000</v>
      </c>
      <c r="H4178">
        <v>64866000</v>
      </c>
    </row>
    <row r="4179" spans="2:8" x14ac:dyDescent="0.25">
      <c r="B4179" t="str">
        <f t="shared" si="65"/>
        <v>INDPopulation ages 25-29, female</v>
      </c>
      <c r="C4179" t="s">
        <v>523</v>
      </c>
      <c r="D4179" t="s">
        <v>59</v>
      </c>
      <c r="E4179" t="s">
        <v>372</v>
      </c>
      <c r="F4179" t="s">
        <v>701</v>
      </c>
      <c r="G4179">
        <v>55080000</v>
      </c>
      <c r="H4179">
        <v>55358000</v>
      </c>
    </row>
    <row r="4180" spans="2:8" x14ac:dyDescent="0.25">
      <c r="B4180" t="str">
        <f t="shared" si="65"/>
        <v>INDPopulation ages 25-29, male</v>
      </c>
      <c r="C4180" t="s">
        <v>523</v>
      </c>
      <c r="D4180" t="s">
        <v>59</v>
      </c>
      <c r="E4180" t="s">
        <v>373</v>
      </c>
      <c r="F4180" t="s">
        <v>702</v>
      </c>
      <c r="G4180">
        <v>61604000</v>
      </c>
      <c r="H4180">
        <v>62039000</v>
      </c>
    </row>
    <row r="4181" spans="2:8" x14ac:dyDescent="0.25">
      <c r="B4181" t="str">
        <f t="shared" si="65"/>
        <v>INDPopulation ages 30-34, female</v>
      </c>
      <c r="C4181" t="s">
        <v>523</v>
      </c>
      <c r="D4181" t="s">
        <v>59</v>
      </c>
      <c r="E4181" t="s">
        <v>374</v>
      </c>
      <c r="F4181" t="s">
        <v>703</v>
      </c>
      <c r="G4181">
        <v>52818000</v>
      </c>
      <c r="H4181">
        <v>53301000</v>
      </c>
    </row>
    <row r="4182" spans="2:8" x14ac:dyDescent="0.25">
      <c r="B4182" t="str">
        <f t="shared" si="65"/>
        <v>INDPopulation ages 30-34, male</v>
      </c>
      <c r="C4182" t="s">
        <v>523</v>
      </c>
      <c r="D4182" t="s">
        <v>59</v>
      </c>
      <c r="E4182" t="s">
        <v>375</v>
      </c>
      <c r="F4182" t="s">
        <v>704</v>
      </c>
      <c r="G4182">
        <v>58243000</v>
      </c>
      <c r="H4182">
        <v>58875000</v>
      </c>
    </row>
    <row r="4183" spans="2:8" x14ac:dyDescent="0.25">
      <c r="B4183" t="str">
        <f t="shared" si="65"/>
        <v>INDPopulation ages 35-39, female</v>
      </c>
      <c r="C4183" t="s">
        <v>523</v>
      </c>
      <c r="D4183" t="s">
        <v>59</v>
      </c>
      <c r="E4183" t="s">
        <v>376</v>
      </c>
      <c r="F4183" t="s">
        <v>705</v>
      </c>
      <c r="G4183">
        <v>48500000</v>
      </c>
      <c r="H4183">
        <v>49466000</v>
      </c>
    </row>
    <row r="4184" spans="2:8" x14ac:dyDescent="0.25">
      <c r="B4184" t="str">
        <f t="shared" si="65"/>
        <v>INDPopulation ages 35-39, male</v>
      </c>
      <c r="C4184" t="s">
        <v>523</v>
      </c>
      <c r="D4184" t="s">
        <v>59</v>
      </c>
      <c r="E4184" t="s">
        <v>377</v>
      </c>
      <c r="F4184" t="s">
        <v>706</v>
      </c>
      <c r="G4184">
        <v>52839000</v>
      </c>
      <c r="H4184">
        <v>53994000</v>
      </c>
    </row>
    <row r="4185" spans="2:8" x14ac:dyDescent="0.25">
      <c r="B4185" t="str">
        <f t="shared" si="65"/>
        <v>INDPopulation ages 40-44, female</v>
      </c>
      <c r="C4185" t="s">
        <v>523</v>
      </c>
      <c r="D4185" t="s">
        <v>59</v>
      </c>
      <c r="E4185" t="s">
        <v>378</v>
      </c>
      <c r="F4185" t="s">
        <v>707</v>
      </c>
      <c r="G4185">
        <v>42636000</v>
      </c>
      <c r="H4185">
        <v>43589000</v>
      </c>
    </row>
    <row r="4186" spans="2:8" x14ac:dyDescent="0.25">
      <c r="B4186" t="str">
        <f t="shared" si="65"/>
        <v>INDPopulation ages 40-44, male</v>
      </c>
      <c r="C4186" t="s">
        <v>523</v>
      </c>
      <c r="D4186" t="s">
        <v>59</v>
      </c>
      <c r="E4186" t="s">
        <v>379</v>
      </c>
      <c r="F4186" t="s">
        <v>708</v>
      </c>
      <c r="G4186">
        <v>45524000</v>
      </c>
      <c r="H4186">
        <v>46631000</v>
      </c>
    </row>
    <row r="4187" spans="2:8" x14ac:dyDescent="0.25">
      <c r="B4187" t="str">
        <f t="shared" si="65"/>
        <v>INDPopulation ages 45-49, female</v>
      </c>
      <c r="C4187" t="s">
        <v>523</v>
      </c>
      <c r="D4187" t="s">
        <v>59</v>
      </c>
      <c r="E4187" t="s">
        <v>380</v>
      </c>
      <c r="F4187" t="s">
        <v>709</v>
      </c>
      <c r="G4187">
        <v>37840000</v>
      </c>
      <c r="H4187">
        <v>38684000</v>
      </c>
    </row>
    <row r="4188" spans="2:8" x14ac:dyDescent="0.25">
      <c r="B4188" t="str">
        <f t="shared" si="65"/>
        <v>INDPopulation ages 45-49, male</v>
      </c>
      <c r="C4188" t="s">
        <v>523</v>
      </c>
      <c r="D4188" t="s">
        <v>59</v>
      </c>
      <c r="E4188" t="s">
        <v>381</v>
      </c>
      <c r="F4188" t="s">
        <v>710</v>
      </c>
      <c r="G4188">
        <v>39881000</v>
      </c>
      <c r="H4188">
        <v>40757000</v>
      </c>
    </row>
    <row r="4189" spans="2:8" x14ac:dyDescent="0.25">
      <c r="B4189" t="str">
        <f t="shared" si="65"/>
        <v>INDPopulation ages 50-54, female</v>
      </c>
      <c r="C4189" t="s">
        <v>523</v>
      </c>
      <c r="D4189" t="s">
        <v>59</v>
      </c>
      <c r="E4189" t="s">
        <v>382</v>
      </c>
      <c r="F4189" t="s">
        <v>711</v>
      </c>
      <c r="G4189">
        <v>32948000</v>
      </c>
      <c r="H4189">
        <v>33673000</v>
      </c>
    </row>
    <row r="4190" spans="2:8" x14ac:dyDescent="0.25">
      <c r="B4190" t="str">
        <f t="shared" si="65"/>
        <v>INDPopulation ages 50-54, male</v>
      </c>
      <c r="C4190" t="s">
        <v>523</v>
      </c>
      <c r="D4190" t="s">
        <v>59</v>
      </c>
      <c r="E4190" t="s">
        <v>383</v>
      </c>
      <c r="F4190" t="s">
        <v>712</v>
      </c>
      <c r="G4190">
        <v>34485000</v>
      </c>
      <c r="H4190">
        <v>35203000</v>
      </c>
    </row>
    <row r="4191" spans="2:8" x14ac:dyDescent="0.25">
      <c r="B4191" t="str">
        <f t="shared" si="65"/>
        <v>INDPopulation ages 55-59, male</v>
      </c>
      <c r="C4191" t="s">
        <v>523</v>
      </c>
      <c r="D4191" t="s">
        <v>59</v>
      </c>
      <c r="E4191" t="s">
        <v>385</v>
      </c>
      <c r="F4191" t="s">
        <v>713</v>
      </c>
      <c r="G4191">
        <v>29501000</v>
      </c>
      <c r="H4191">
        <v>30150000</v>
      </c>
    </row>
    <row r="4192" spans="2:8" x14ac:dyDescent="0.25">
      <c r="B4192" t="str">
        <f t="shared" si="65"/>
        <v>INDPopulation ages 55-59, female</v>
      </c>
      <c r="C4192" t="s">
        <v>523</v>
      </c>
      <c r="D4192" t="s">
        <v>59</v>
      </c>
      <c r="E4192" t="s">
        <v>384</v>
      </c>
      <c r="F4192" t="s">
        <v>714</v>
      </c>
      <c r="G4192">
        <v>28445000</v>
      </c>
      <c r="H4192">
        <v>29106000</v>
      </c>
    </row>
    <row r="4193" spans="2:8" x14ac:dyDescent="0.25">
      <c r="B4193" t="str">
        <f t="shared" si="65"/>
        <v>INDPopulation ages 65-69, male</v>
      </c>
      <c r="C4193" t="s">
        <v>523</v>
      </c>
      <c r="D4193" t="s">
        <v>59</v>
      </c>
      <c r="E4193" t="s">
        <v>389</v>
      </c>
      <c r="F4193" t="s">
        <v>715</v>
      </c>
      <c r="G4193">
        <v>18287000</v>
      </c>
      <c r="H4193">
        <v>19168000</v>
      </c>
    </row>
    <row r="4194" spans="2:8" x14ac:dyDescent="0.25">
      <c r="B4194" t="str">
        <f t="shared" si="65"/>
        <v>INDPopulation ages 65-69, female</v>
      </c>
      <c r="C4194" t="s">
        <v>523</v>
      </c>
      <c r="D4194" t="s">
        <v>59</v>
      </c>
      <c r="E4194" t="s">
        <v>388</v>
      </c>
      <c r="F4194" t="s">
        <v>716</v>
      </c>
      <c r="G4194">
        <v>18288000</v>
      </c>
      <c r="H4194">
        <v>19092000</v>
      </c>
    </row>
    <row r="4195" spans="2:8" x14ac:dyDescent="0.25">
      <c r="B4195" t="str">
        <f t="shared" si="65"/>
        <v>INDPopulation ages 60-64, female</v>
      </c>
      <c r="C4195" t="s">
        <v>523</v>
      </c>
      <c r="D4195" t="s">
        <v>59</v>
      </c>
      <c r="E4195" t="s">
        <v>386</v>
      </c>
      <c r="F4195" t="s">
        <v>717</v>
      </c>
      <c r="G4195">
        <v>23592000</v>
      </c>
      <c r="H4195">
        <v>24196000</v>
      </c>
    </row>
    <row r="4196" spans="2:8" x14ac:dyDescent="0.25">
      <c r="B4196" t="str">
        <f t="shared" si="65"/>
        <v>INDPopulation ages 60-64, male</v>
      </c>
      <c r="C4196" t="s">
        <v>523</v>
      </c>
      <c r="D4196" t="s">
        <v>59</v>
      </c>
      <c r="E4196" t="s">
        <v>387</v>
      </c>
      <c r="F4196" t="s">
        <v>718</v>
      </c>
      <c r="G4196">
        <v>24129000</v>
      </c>
      <c r="H4196">
        <v>24695000</v>
      </c>
    </row>
    <row r="4197" spans="2:8" x14ac:dyDescent="0.25">
      <c r="B4197" t="str">
        <f t="shared" si="65"/>
        <v>INDPopulation ages 70-74, female</v>
      </c>
      <c r="C4197" t="s">
        <v>523</v>
      </c>
      <c r="D4197" t="s">
        <v>59</v>
      </c>
      <c r="E4197" t="s">
        <v>390</v>
      </c>
      <c r="F4197" t="s">
        <v>719</v>
      </c>
      <c r="G4197">
        <v>11862000</v>
      </c>
      <c r="H4197">
        <v>12464000</v>
      </c>
    </row>
    <row r="4198" spans="2:8" x14ac:dyDescent="0.25">
      <c r="B4198" t="str">
        <f t="shared" si="65"/>
        <v>INDPopulation ages 70-74, male</v>
      </c>
      <c r="C4198" t="s">
        <v>523</v>
      </c>
      <c r="D4198" t="s">
        <v>59</v>
      </c>
      <c r="E4198" t="s">
        <v>391</v>
      </c>
      <c r="F4198" t="s">
        <v>720</v>
      </c>
      <c r="G4198">
        <v>10983000</v>
      </c>
      <c r="H4198">
        <v>11628000</v>
      </c>
    </row>
    <row r="4199" spans="2:8" x14ac:dyDescent="0.25">
      <c r="B4199" t="str">
        <f t="shared" si="65"/>
        <v>INDPopulation ages 75-79, female</v>
      </c>
      <c r="C4199" t="s">
        <v>523</v>
      </c>
      <c r="D4199" t="s">
        <v>59</v>
      </c>
      <c r="E4199" t="s">
        <v>392</v>
      </c>
      <c r="F4199" t="s">
        <v>721</v>
      </c>
      <c r="G4199">
        <v>7794000</v>
      </c>
      <c r="H4199">
        <v>8021000</v>
      </c>
    </row>
    <row r="4200" spans="2:8" x14ac:dyDescent="0.25">
      <c r="B4200" t="str">
        <f t="shared" si="65"/>
        <v>INDPopulation ages 75-79, male</v>
      </c>
      <c r="C4200" t="s">
        <v>523</v>
      </c>
      <c r="D4200" t="s">
        <v>59</v>
      </c>
      <c r="E4200" t="s">
        <v>393</v>
      </c>
      <c r="F4200" t="s">
        <v>722</v>
      </c>
      <c r="G4200">
        <v>6862000</v>
      </c>
      <c r="H4200">
        <v>7063000</v>
      </c>
    </row>
    <row r="4201" spans="2:8" x14ac:dyDescent="0.25">
      <c r="B4201" t="str">
        <f t="shared" si="65"/>
        <v>INDPopulation ages 80 and above, female</v>
      </c>
      <c r="C4201" t="s">
        <v>523</v>
      </c>
      <c r="D4201" t="s">
        <v>59</v>
      </c>
      <c r="E4201" t="s">
        <v>394</v>
      </c>
      <c r="F4201" t="s">
        <v>723</v>
      </c>
      <c r="G4201">
        <v>7193000</v>
      </c>
      <c r="H4201">
        <v>7331000</v>
      </c>
    </row>
    <row r="4202" spans="2:8" x14ac:dyDescent="0.25">
      <c r="B4202" t="str">
        <f t="shared" si="65"/>
        <v>INDPopulation ages 80 and above, male</v>
      </c>
      <c r="C4202" t="s">
        <v>523</v>
      </c>
      <c r="D4202" t="s">
        <v>59</v>
      </c>
      <c r="E4202" t="s">
        <v>395</v>
      </c>
      <c r="F4202" t="s">
        <v>724</v>
      </c>
      <c r="G4202">
        <v>5880000</v>
      </c>
      <c r="H4202">
        <v>5953000</v>
      </c>
    </row>
    <row r="4203" spans="2:8" x14ac:dyDescent="0.25">
      <c r="B4203" t="str">
        <f t="shared" si="65"/>
        <v>INDPopulation, male</v>
      </c>
      <c r="C4203" t="s">
        <v>523</v>
      </c>
      <c r="D4203" t="s">
        <v>59</v>
      </c>
      <c r="E4203" t="s">
        <v>397</v>
      </c>
      <c r="F4203" t="s">
        <v>725</v>
      </c>
      <c r="G4203">
        <v>710130000</v>
      </c>
      <c r="H4203">
        <v>717101000</v>
      </c>
    </row>
    <row r="4204" spans="2:8" x14ac:dyDescent="0.25">
      <c r="B4204" t="str">
        <f t="shared" si="65"/>
        <v>INDPopulation, total</v>
      </c>
      <c r="C4204" t="s">
        <v>523</v>
      </c>
      <c r="D4204" t="s">
        <v>59</v>
      </c>
      <c r="E4204" t="s">
        <v>398</v>
      </c>
      <c r="F4204" t="s">
        <v>726</v>
      </c>
      <c r="G4204">
        <v>1366418000</v>
      </c>
      <c r="H4204">
        <v>1380004000</v>
      </c>
    </row>
    <row r="4205" spans="2:8" x14ac:dyDescent="0.25">
      <c r="B4205" t="str">
        <f t="shared" si="65"/>
        <v>INDPopulation, female</v>
      </c>
      <c r="C4205" t="s">
        <v>523</v>
      </c>
      <c r="D4205" t="s">
        <v>59</v>
      </c>
      <c r="E4205" t="s">
        <v>396</v>
      </c>
      <c r="F4205" t="s">
        <v>727</v>
      </c>
      <c r="G4205">
        <v>656288000</v>
      </c>
      <c r="H4205">
        <v>662903000</v>
      </c>
    </row>
    <row r="4206" spans="2:8" x14ac:dyDescent="0.25">
      <c r="B4206" t="str">
        <f t="shared" si="65"/>
        <v>INDPopulation growth (annual %)</v>
      </c>
      <c r="C4206" t="s">
        <v>523</v>
      </c>
      <c r="D4206" t="s">
        <v>59</v>
      </c>
      <c r="E4206" t="s">
        <v>399</v>
      </c>
      <c r="F4206" t="s">
        <v>728</v>
      </c>
      <c r="G4206">
        <v>0</v>
      </c>
      <c r="H4206">
        <v>0</v>
      </c>
    </row>
    <row r="4207" spans="2:8" x14ac:dyDescent="0.25">
      <c r="B4207" t="str">
        <f t="shared" si="65"/>
        <v>IDNPopulation ages 0-14, female</v>
      </c>
      <c r="C4207" t="s">
        <v>242</v>
      </c>
      <c r="D4207" t="s">
        <v>58</v>
      </c>
      <c r="E4207" t="s">
        <v>687</v>
      </c>
      <c r="F4207" t="s">
        <v>688</v>
      </c>
      <c r="G4207">
        <v>34610000</v>
      </c>
      <c r="H4207">
        <v>34627000</v>
      </c>
    </row>
    <row r="4208" spans="2:8" x14ac:dyDescent="0.25">
      <c r="B4208" t="str">
        <f t="shared" si="65"/>
        <v>IDNPopulation ages 0-14, male</v>
      </c>
      <c r="C4208" t="s">
        <v>242</v>
      </c>
      <c r="D4208" t="s">
        <v>58</v>
      </c>
      <c r="E4208" t="s">
        <v>689</v>
      </c>
      <c r="F4208" t="s">
        <v>690</v>
      </c>
      <c r="G4208">
        <v>36335000</v>
      </c>
      <c r="H4208">
        <v>36314000</v>
      </c>
    </row>
    <row r="4209" spans="2:8" x14ac:dyDescent="0.25">
      <c r="B4209" t="str">
        <f t="shared" si="65"/>
        <v>IDNPopulation ages 00-04, female</v>
      </c>
      <c r="C4209" t="s">
        <v>242</v>
      </c>
      <c r="D4209" t="s">
        <v>58</v>
      </c>
      <c r="E4209" t="s">
        <v>362</v>
      </c>
      <c r="F4209" t="s">
        <v>691</v>
      </c>
      <c r="G4209">
        <v>11708000</v>
      </c>
      <c r="H4209">
        <v>11566000</v>
      </c>
    </row>
    <row r="4210" spans="2:8" x14ac:dyDescent="0.25">
      <c r="B4210" t="str">
        <f t="shared" si="65"/>
        <v>IDNPopulation ages 00-04, male</v>
      </c>
      <c r="C4210" t="s">
        <v>242</v>
      </c>
      <c r="D4210" t="s">
        <v>58</v>
      </c>
      <c r="E4210" t="s">
        <v>363</v>
      </c>
      <c r="F4210" t="s">
        <v>692</v>
      </c>
      <c r="G4210">
        <v>12232000</v>
      </c>
      <c r="H4210">
        <v>12093000</v>
      </c>
    </row>
    <row r="4211" spans="2:8" x14ac:dyDescent="0.25">
      <c r="B4211" t="str">
        <f t="shared" si="65"/>
        <v>IDNPopulation ages 05-09, female</v>
      </c>
      <c r="C4211" t="s">
        <v>242</v>
      </c>
      <c r="D4211" t="s">
        <v>58</v>
      </c>
      <c r="E4211" t="s">
        <v>364</v>
      </c>
      <c r="F4211" t="s">
        <v>693</v>
      </c>
      <c r="G4211">
        <v>11746000</v>
      </c>
      <c r="H4211">
        <v>11887000</v>
      </c>
    </row>
    <row r="4212" spans="2:8" x14ac:dyDescent="0.25">
      <c r="B4212" t="str">
        <f t="shared" si="65"/>
        <v>IDNPopulation ages 05-09, male</v>
      </c>
      <c r="C4212" t="s">
        <v>242</v>
      </c>
      <c r="D4212" t="s">
        <v>58</v>
      </c>
      <c r="E4212" t="s">
        <v>365</v>
      </c>
      <c r="F4212" t="s">
        <v>694</v>
      </c>
      <c r="G4212">
        <v>12291000</v>
      </c>
      <c r="H4212">
        <v>12411000</v>
      </c>
    </row>
    <row r="4213" spans="2:8" x14ac:dyDescent="0.25">
      <c r="B4213" t="str">
        <f t="shared" si="65"/>
        <v>IDNPopulation ages 10-14, female</v>
      </c>
      <c r="C4213" t="s">
        <v>242</v>
      </c>
      <c r="D4213" t="s">
        <v>58</v>
      </c>
      <c r="E4213" t="s">
        <v>366</v>
      </c>
      <c r="F4213" t="s">
        <v>695</v>
      </c>
      <c r="G4213">
        <v>11156000</v>
      </c>
      <c r="H4213">
        <v>11175000</v>
      </c>
    </row>
    <row r="4214" spans="2:8" x14ac:dyDescent="0.25">
      <c r="B4214" t="str">
        <f t="shared" si="65"/>
        <v>IDNPopulation ages 10-14, male</v>
      </c>
      <c r="C4214" t="s">
        <v>242</v>
      </c>
      <c r="D4214" t="s">
        <v>58</v>
      </c>
      <c r="E4214" t="s">
        <v>367</v>
      </c>
      <c r="F4214" t="s">
        <v>696</v>
      </c>
      <c r="G4214">
        <v>11812000</v>
      </c>
      <c r="H4214">
        <v>11810000</v>
      </c>
    </row>
    <row r="4215" spans="2:8" x14ac:dyDescent="0.25">
      <c r="B4215" t="str">
        <f t="shared" si="65"/>
        <v>IDNPopulation ages 15-19, female</v>
      </c>
      <c r="C4215" t="s">
        <v>242</v>
      </c>
      <c r="D4215" t="s">
        <v>58</v>
      </c>
      <c r="E4215" t="s">
        <v>368</v>
      </c>
      <c r="F4215" t="s">
        <v>697</v>
      </c>
      <c r="G4215">
        <v>11327000</v>
      </c>
      <c r="H4215">
        <v>11310000</v>
      </c>
    </row>
    <row r="4216" spans="2:8" x14ac:dyDescent="0.25">
      <c r="B4216" t="str">
        <f t="shared" si="65"/>
        <v>IDNPopulation ages 15-19, male</v>
      </c>
      <c r="C4216" t="s">
        <v>242</v>
      </c>
      <c r="D4216" t="s">
        <v>58</v>
      </c>
      <c r="E4216" t="s">
        <v>369</v>
      </c>
      <c r="F4216" t="s">
        <v>698</v>
      </c>
      <c r="G4216">
        <v>12016000</v>
      </c>
      <c r="H4216">
        <v>12008000</v>
      </c>
    </row>
    <row r="4217" spans="2:8" x14ac:dyDescent="0.25">
      <c r="B4217" t="str">
        <f t="shared" si="65"/>
        <v>IDNPopulation ages 20-24, female</v>
      </c>
      <c r="C4217" t="s">
        <v>242</v>
      </c>
      <c r="D4217" t="s">
        <v>58</v>
      </c>
      <c r="E4217" t="s">
        <v>370</v>
      </c>
      <c r="F4217" t="s">
        <v>699</v>
      </c>
      <c r="G4217">
        <v>10924000</v>
      </c>
      <c r="H4217">
        <v>11028000</v>
      </c>
    </row>
    <row r="4218" spans="2:8" x14ac:dyDescent="0.25">
      <c r="B4218" t="str">
        <f t="shared" si="65"/>
        <v>IDNPopulation ages 20-24, male</v>
      </c>
      <c r="C4218" t="s">
        <v>242</v>
      </c>
      <c r="D4218" t="s">
        <v>58</v>
      </c>
      <c r="E4218" t="s">
        <v>371</v>
      </c>
      <c r="F4218" t="s">
        <v>700</v>
      </c>
      <c r="G4218">
        <v>11487000</v>
      </c>
      <c r="H4218">
        <v>11626000</v>
      </c>
    </row>
    <row r="4219" spans="2:8" x14ac:dyDescent="0.25">
      <c r="B4219" t="str">
        <f t="shared" si="65"/>
        <v>IDNPopulation ages 25-29, female</v>
      </c>
      <c r="C4219" t="s">
        <v>242</v>
      </c>
      <c r="D4219" t="s">
        <v>58</v>
      </c>
      <c r="E4219" t="s">
        <v>372</v>
      </c>
      <c r="F4219" t="s">
        <v>701</v>
      </c>
      <c r="G4219">
        <v>10190000</v>
      </c>
      <c r="H4219">
        <v>10278000</v>
      </c>
    </row>
    <row r="4220" spans="2:8" x14ac:dyDescent="0.25">
      <c r="B4220" t="str">
        <f t="shared" si="65"/>
        <v>IDNPopulation ages 25-29, male</v>
      </c>
      <c r="C4220" t="s">
        <v>242</v>
      </c>
      <c r="D4220" t="s">
        <v>58</v>
      </c>
      <c r="E4220" t="s">
        <v>373</v>
      </c>
      <c r="F4220" t="s">
        <v>702</v>
      </c>
      <c r="G4220">
        <v>10467000</v>
      </c>
      <c r="H4220">
        <v>10640000</v>
      </c>
    </row>
    <row r="4221" spans="2:8" x14ac:dyDescent="0.25">
      <c r="B4221" t="str">
        <f t="shared" si="65"/>
        <v>IDNPopulation ages 30-34, female</v>
      </c>
      <c r="C4221" t="s">
        <v>242</v>
      </c>
      <c r="D4221" t="s">
        <v>58</v>
      </c>
      <c r="E4221" t="s">
        <v>374</v>
      </c>
      <c r="F4221" t="s">
        <v>703</v>
      </c>
      <c r="G4221">
        <v>10137000</v>
      </c>
      <c r="H4221">
        <v>10018000</v>
      </c>
    </row>
    <row r="4222" spans="2:8" x14ac:dyDescent="0.25">
      <c r="B4222" t="str">
        <f t="shared" si="65"/>
        <v>IDNPopulation ages 30-34, male</v>
      </c>
      <c r="C4222" t="s">
        <v>242</v>
      </c>
      <c r="D4222" t="s">
        <v>58</v>
      </c>
      <c r="E4222" t="s">
        <v>375</v>
      </c>
      <c r="F4222" t="s">
        <v>704</v>
      </c>
      <c r="G4222">
        <v>10045000</v>
      </c>
      <c r="H4222">
        <v>9955000</v>
      </c>
    </row>
    <row r="4223" spans="2:8" x14ac:dyDescent="0.25">
      <c r="B4223" t="str">
        <f t="shared" si="65"/>
        <v>IDNPopulation ages 35-39, female</v>
      </c>
      <c r="C4223" t="s">
        <v>242</v>
      </c>
      <c r="D4223" t="s">
        <v>58</v>
      </c>
      <c r="E4223" t="s">
        <v>376</v>
      </c>
      <c r="F4223" t="s">
        <v>705</v>
      </c>
      <c r="G4223">
        <v>10579000</v>
      </c>
      <c r="H4223">
        <v>10603000</v>
      </c>
    </row>
    <row r="4224" spans="2:8" x14ac:dyDescent="0.25">
      <c r="B4224" t="str">
        <f t="shared" si="65"/>
        <v>IDNPopulation ages 35-39, male</v>
      </c>
      <c r="C4224" t="s">
        <v>242</v>
      </c>
      <c r="D4224" t="s">
        <v>58</v>
      </c>
      <c r="E4224" t="s">
        <v>377</v>
      </c>
      <c r="F4224" t="s">
        <v>706</v>
      </c>
      <c r="G4224">
        <v>10593000</v>
      </c>
      <c r="H4224">
        <v>10590000</v>
      </c>
    </row>
    <row r="4225" spans="2:8" x14ac:dyDescent="0.25">
      <c r="B4225" t="str">
        <f t="shared" si="65"/>
        <v>IDNPopulation ages 40-44, female</v>
      </c>
      <c r="C4225" t="s">
        <v>242</v>
      </c>
      <c r="D4225" t="s">
        <v>58</v>
      </c>
      <c r="E4225" t="s">
        <v>378</v>
      </c>
      <c r="F4225" t="s">
        <v>707</v>
      </c>
      <c r="G4225">
        <v>9646000</v>
      </c>
      <c r="H4225">
        <v>9787000</v>
      </c>
    </row>
    <row r="4226" spans="2:8" x14ac:dyDescent="0.25">
      <c r="B4226" t="str">
        <f t="shared" si="65"/>
        <v>IDNPopulation ages 40-44, male</v>
      </c>
      <c r="C4226" t="s">
        <v>242</v>
      </c>
      <c r="D4226" t="s">
        <v>58</v>
      </c>
      <c r="E4226" t="s">
        <v>379</v>
      </c>
      <c r="F4226" t="s">
        <v>708</v>
      </c>
      <c r="G4226">
        <v>9778000</v>
      </c>
      <c r="H4226">
        <v>9894000</v>
      </c>
    </row>
    <row r="4227" spans="2:8" x14ac:dyDescent="0.25">
      <c r="B4227" t="str">
        <f t="shared" si="65"/>
        <v>IDNPopulation ages 45-49, female</v>
      </c>
      <c r="C4227" t="s">
        <v>242</v>
      </c>
      <c r="D4227" t="s">
        <v>58</v>
      </c>
      <c r="E4227" t="s">
        <v>380</v>
      </c>
      <c r="F4227" t="s">
        <v>709</v>
      </c>
      <c r="G4227">
        <v>8848000</v>
      </c>
      <c r="H4227">
        <v>8997000</v>
      </c>
    </row>
    <row r="4228" spans="2:8" x14ac:dyDescent="0.25">
      <c r="B4228" t="str">
        <f t="shared" si="65"/>
        <v>IDNPopulation ages 45-49, male</v>
      </c>
      <c r="C4228" t="s">
        <v>242</v>
      </c>
      <c r="D4228" t="s">
        <v>58</v>
      </c>
      <c r="E4228" t="s">
        <v>381</v>
      </c>
      <c r="F4228" t="s">
        <v>710</v>
      </c>
      <c r="G4228">
        <v>9022000</v>
      </c>
      <c r="H4228">
        <v>9169000</v>
      </c>
    </row>
    <row r="4229" spans="2:8" x14ac:dyDescent="0.25">
      <c r="B4229" t="str">
        <f t="shared" si="65"/>
        <v>IDNPopulation ages 50-54, female</v>
      </c>
      <c r="C4229" t="s">
        <v>242</v>
      </c>
      <c r="D4229" t="s">
        <v>58</v>
      </c>
      <c r="E4229" t="s">
        <v>382</v>
      </c>
      <c r="F4229" t="s">
        <v>711</v>
      </c>
      <c r="G4229">
        <v>7751000</v>
      </c>
      <c r="H4229">
        <v>7947000</v>
      </c>
    </row>
    <row r="4230" spans="2:8" x14ac:dyDescent="0.25">
      <c r="B4230" t="str">
        <f t="shared" si="65"/>
        <v>IDNPopulation ages 50-54, male</v>
      </c>
      <c r="C4230" t="s">
        <v>242</v>
      </c>
      <c r="D4230" t="s">
        <v>58</v>
      </c>
      <c r="E4230" t="s">
        <v>383</v>
      </c>
      <c r="F4230" t="s">
        <v>712</v>
      </c>
      <c r="G4230">
        <v>7792000</v>
      </c>
      <c r="H4230">
        <v>8008000</v>
      </c>
    </row>
    <row r="4231" spans="2:8" x14ac:dyDescent="0.25">
      <c r="B4231" t="str">
        <f t="shared" ref="B4231:B4294" si="66">CONCATENATE(D4231,E4231)</f>
        <v>IDNPopulation ages 55-59, male</v>
      </c>
      <c r="C4231" t="s">
        <v>242</v>
      </c>
      <c r="D4231" t="s">
        <v>58</v>
      </c>
      <c r="E4231" t="s">
        <v>385</v>
      </c>
      <c r="F4231" t="s">
        <v>713</v>
      </c>
      <c r="G4231">
        <v>6339000</v>
      </c>
      <c r="H4231">
        <v>6540000</v>
      </c>
    </row>
    <row r="4232" spans="2:8" x14ac:dyDescent="0.25">
      <c r="B4232" t="str">
        <f t="shared" si="66"/>
        <v>IDNPopulation ages 55-59, female</v>
      </c>
      <c r="C4232" t="s">
        <v>242</v>
      </c>
      <c r="D4232" t="s">
        <v>58</v>
      </c>
      <c r="E4232" t="s">
        <v>384</v>
      </c>
      <c r="F4232" t="s">
        <v>714</v>
      </c>
      <c r="G4232">
        <v>6444000</v>
      </c>
      <c r="H4232">
        <v>6660000</v>
      </c>
    </row>
    <row r="4233" spans="2:8" x14ac:dyDescent="0.25">
      <c r="B4233" t="str">
        <f t="shared" si="66"/>
        <v>IDNPopulation ages 65-69, male</v>
      </c>
      <c r="C4233" t="s">
        <v>242</v>
      </c>
      <c r="D4233" t="s">
        <v>58</v>
      </c>
      <c r="E4233" t="s">
        <v>389</v>
      </c>
      <c r="F4233" t="s">
        <v>715</v>
      </c>
      <c r="G4233">
        <v>3347000</v>
      </c>
      <c r="H4233">
        <v>3560000</v>
      </c>
    </row>
    <row r="4234" spans="2:8" x14ac:dyDescent="0.25">
      <c r="B4234" t="str">
        <f t="shared" si="66"/>
        <v>IDNPopulation ages 65-69, female</v>
      </c>
      <c r="C4234" t="s">
        <v>242</v>
      </c>
      <c r="D4234" t="s">
        <v>58</v>
      </c>
      <c r="E4234" t="s">
        <v>388</v>
      </c>
      <c r="F4234" t="s">
        <v>716</v>
      </c>
      <c r="G4234">
        <v>3381000</v>
      </c>
      <c r="H4234">
        <v>3576000</v>
      </c>
    </row>
    <row r="4235" spans="2:8" x14ac:dyDescent="0.25">
      <c r="B4235" t="str">
        <f t="shared" si="66"/>
        <v>IDNPopulation ages 60-64, female</v>
      </c>
      <c r="C4235" t="s">
        <v>242</v>
      </c>
      <c r="D4235" t="s">
        <v>58</v>
      </c>
      <c r="E4235" t="s">
        <v>386</v>
      </c>
      <c r="F4235" t="s">
        <v>717</v>
      </c>
      <c r="G4235">
        <v>4978000</v>
      </c>
      <c r="H4235">
        <v>5245000</v>
      </c>
    </row>
    <row r="4236" spans="2:8" x14ac:dyDescent="0.25">
      <c r="B4236" t="str">
        <f t="shared" si="66"/>
        <v>IDNPopulation ages 60-64, male</v>
      </c>
      <c r="C4236" t="s">
        <v>242</v>
      </c>
      <c r="D4236" t="s">
        <v>58</v>
      </c>
      <c r="E4236" t="s">
        <v>387</v>
      </c>
      <c r="F4236" t="s">
        <v>718</v>
      </c>
      <c r="G4236">
        <v>4945000</v>
      </c>
      <c r="H4236">
        <v>5149000</v>
      </c>
    </row>
    <row r="4237" spans="2:8" x14ac:dyDescent="0.25">
      <c r="B4237" t="str">
        <f t="shared" si="66"/>
        <v>IDNPopulation ages 70-74, female</v>
      </c>
      <c r="C4237" t="s">
        <v>242</v>
      </c>
      <c r="D4237" t="s">
        <v>58</v>
      </c>
      <c r="E4237" t="s">
        <v>390</v>
      </c>
      <c r="F4237" t="s">
        <v>719</v>
      </c>
      <c r="G4237">
        <v>2426000</v>
      </c>
      <c r="H4237">
        <v>2525000</v>
      </c>
    </row>
    <row r="4238" spans="2:8" x14ac:dyDescent="0.25">
      <c r="B4238" t="str">
        <f t="shared" si="66"/>
        <v>IDNPopulation ages 70-74, male</v>
      </c>
      <c r="C4238" t="s">
        <v>242</v>
      </c>
      <c r="D4238" t="s">
        <v>58</v>
      </c>
      <c r="E4238" t="s">
        <v>391</v>
      </c>
      <c r="F4238" t="s">
        <v>720</v>
      </c>
      <c r="G4238">
        <v>1980000</v>
      </c>
      <c r="H4238">
        <v>2092000</v>
      </c>
    </row>
    <row r="4239" spans="2:8" x14ac:dyDescent="0.25">
      <c r="B4239" t="str">
        <f t="shared" si="66"/>
        <v>IDNPopulation ages 75-79, female</v>
      </c>
      <c r="C4239" t="s">
        <v>242</v>
      </c>
      <c r="D4239" t="s">
        <v>58</v>
      </c>
      <c r="E4239" t="s">
        <v>392</v>
      </c>
      <c r="F4239" t="s">
        <v>721</v>
      </c>
      <c r="G4239">
        <v>1634000</v>
      </c>
      <c r="H4239">
        <v>1685000</v>
      </c>
    </row>
    <row r="4240" spans="2:8" x14ac:dyDescent="0.25">
      <c r="B4240" t="str">
        <f t="shared" si="66"/>
        <v>IDNPopulation ages 75-79, male</v>
      </c>
      <c r="C4240" t="s">
        <v>242</v>
      </c>
      <c r="D4240" t="s">
        <v>58</v>
      </c>
      <c r="E4240" t="s">
        <v>393</v>
      </c>
      <c r="F4240" t="s">
        <v>722</v>
      </c>
      <c r="G4240">
        <v>1237000</v>
      </c>
      <c r="H4240">
        <v>1272000</v>
      </c>
    </row>
    <row r="4241" spans="2:8" x14ac:dyDescent="0.25">
      <c r="B4241" t="str">
        <f t="shared" si="66"/>
        <v>IDNPopulation ages 80 and above, female</v>
      </c>
      <c r="C4241" t="s">
        <v>242</v>
      </c>
      <c r="D4241" t="s">
        <v>58</v>
      </c>
      <c r="E4241" t="s">
        <v>394</v>
      </c>
      <c r="F4241" t="s">
        <v>723</v>
      </c>
      <c r="G4241">
        <v>1481000</v>
      </c>
      <c r="H4241">
        <v>1519000</v>
      </c>
    </row>
    <row r="4242" spans="2:8" x14ac:dyDescent="0.25">
      <c r="B4242" t="str">
        <f t="shared" si="66"/>
        <v>IDNPopulation ages 80 and above, male</v>
      </c>
      <c r="C4242" t="s">
        <v>242</v>
      </c>
      <c r="D4242" t="s">
        <v>58</v>
      </c>
      <c r="E4242" t="s">
        <v>395</v>
      </c>
      <c r="F4242" t="s">
        <v>724</v>
      </c>
      <c r="G4242">
        <v>888000</v>
      </c>
      <c r="H4242">
        <v>900000</v>
      </c>
    </row>
    <row r="4243" spans="2:8" x14ac:dyDescent="0.25">
      <c r="B4243" t="str">
        <f t="shared" si="66"/>
        <v>IDNPopulation, male</v>
      </c>
      <c r="C4243" t="s">
        <v>242</v>
      </c>
      <c r="D4243" t="s">
        <v>58</v>
      </c>
      <c r="E4243" t="s">
        <v>397</v>
      </c>
      <c r="F4243" t="s">
        <v>725</v>
      </c>
      <c r="G4243">
        <v>136270000</v>
      </c>
      <c r="H4243">
        <v>137718000</v>
      </c>
    </row>
    <row r="4244" spans="2:8" x14ac:dyDescent="0.25">
      <c r="B4244" t="str">
        <f t="shared" si="66"/>
        <v>IDNPopulation, total</v>
      </c>
      <c r="C4244" t="s">
        <v>242</v>
      </c>
      <c r="D4244" t="s">
        <v>58</v>
      </c>
      <c r="E4244" t="s">
        <v>398</v>
      </c>
      <c r="F4244" t="s">
        <v>726</v>
      </c>
      <c r="G4244">
        <v>270626000</v>
      </c>
      <c r="H4244">
        <v>273524000</v>
      </c>
    </row>
    <row r="4245" spans="2:8" x14ac:dyDescent="0.25">
      <c r="B4245" t="str">
        <f t="shared" si="66"/>
        <v>IDNPopulation, female</v>
      </c>
      <c r="C4245" t="s">
        <v>242</v>
      </c>
      <c r="D4245" t="s">
        <v>58</v>
      </c>
      <c r="E4245" t="s">
        <v>396</v>
      </c>
      <c r="F4245" t="s">
        <v>727</v>
      </c>
      <c r="G4245">
        <v>134356000</v>
      </c>
      <c r="H4245">
        <v>135806000</v>
      </c>
    </row>
    <row r="4246" spans="2:8" x14ac:dyDescent="0.25">
      <c r="B4246" t="str">
        <f t="shared" si="66"/>
        <v>IDNPopulation growth (annual %)</v>
      </c>
      <c r="C4246" t="s">
        <v>242</v>
      </c>
      <c r="D4246" t="s">
        <v>58</v>
      </c>
      <c r="E4246" t="s">
        <v>399</v>
      </c>
      <c r="F4246" t="s">
        <v>728</v>
      </c>
      <c r="G4246">
        <v>0</v>
      </c>
      <c r="H4246">
        <v>0</v>
      </c>
    </row>
    <row r="4247" spans="2:8" x14ac:dyDescent="0.25">
      <c r="B4247" t="str">
        <f t="shared" si="66"/>
        <v>IRNPopulation ages 0-14, female</v>
      </c>
      <c r="C4247" t="s">
        <v>524</v>
      </c>
      <c r="D4247" t="s">
        <v>61</v>
      </c>
      <c r="E4247" t="s">
        <v>687</v>
      </c>
      <c r="F4247" t="s">
        <v>688</v>
      </c>
      <c r="G4247">
        <v>9950000</v>
      </c>
      <c r="H4247">
        <v>10118000</v>
      </c>
    </row>
    <row r="4248" spans="2:8" x14ac:dyDescent="0.25">
      <c r="B4248" t="str">
        <f t="shared" si="66"/>
        <v>IRNPopulation ages 0-14, male</v>
      </c>
      <c r="C4248" t="s">
        <v>524</v>
      </c>
      <c r="D4248" t="s">
        <v>61</v>
      </c>
      <c r="E4248" t="s">
        <v>689</v>
      </c>
      <c r="F4248" t="s">
        <v>690</v>
      </c>
      <c r="G4248">
        <v>10492000</v>
      </c>
      <c r="H4248">
        <v>10666000</v>
      </c>
    </row>
    <row r="4249" spans="2:8" x14ac:dyDescent="0.25">
      <c r="B4249" t="str">
        <f t="shared" si="66"/>
        <v>IRNPopulation ages 00-04, female</v>
      </c>
      <c r="C4249" t="s">
        <v>524</v>
      </c>
      <c r="D4249" t="s">
        <v>61</v>
      </c>
      <c r="E4249" t="s">
        <v>362</v>
      </c>
      <c r="F4249" t="s">
        <v>691</v>
      </c>
      <c r="G4249">
        <v>3693000</v>
      </c>
      <c r="H4249">
        <v>3724000</v>
      </c>
    </row>
    <row r="4250" spans="2:8" x14ac:dyDescent="0.25">
      <c r="B4250" t="str">
        <f t="shared" si="66"/>
        <v>IRNPopulation ages 00-04, male</v>
      </c>
      <c r="C4250" t="s">
        <v>524</v>
      </c>
      <c r="D4250" t="s">
        <v>61</v>
      </c>
      <c r="E4250" t="s">
        <v>363</v>
      </c>
      <c r="F4250" t="s">
        <v>692</v>
      </c>
      <c r="G4250">
        <v>3890000</v>
      </c>
      <c r="H4250">
        <v>3913000</v>
      </c>
    </row>
    <row r="4251" spans="2:8" x14ac:dyDescent="0.25">
      <c r="B4251" t="str">
        <f t="shared" si="66"/>
        <v>IRNPopulation ages 05-09, female</v>
      </c>
      <c r="C4251" t="s">
        <v>524</v>
      </c>
      <c r="D4251" t="s">
        <v>61</v>
      </c>
      <c r="E4251" t="s">
        <v>364</v>
      </c>
      <c r="F4251" t="s">
        <v>693</v>
      </c>
      <c r="G4251">
        <v>3299000</v>
      </c>
      <c r="H4251">
        <v>3362000</v>
      </c>
    </row>
    <row r="4252" spans="2:8" x14ac:dyDescent="0.25">
      <c r="B4252" t="str">
        <f t="shared" si="66"/>
        <v>IRNPopulation ages 05-09, male</v>
      </c>
      <c r="C4252" t="s">
        <v>524</v>
      </c>
      <c r="D4252" t="s">
        <v>61</v>
      </c>
      <c r="E4252" t="s">
        <v>365</v>
      </c>
      <c r="F4252" t="s">
        <v>694</v>
      </c>
      <c r="G4252">
        <v>3495000</v>
      </c>
      <c r="H4252">
        <v>3567000</v>
      </c>
    </row>
    <row r="4253" spans="2:8" x14ac:dyDescent="0.25">
      <c r="B4253" t="str">
        <f t="shared" si="66"/>
        <v>IRNPopulation ages 10-14, female</v>
      </c>
      <c r="C4253" t="s">
        <v>524</v>
      </c>
      <c r="D4253" t="s">
        <v>61</v>
      </c>
      <c r="E4253" t="s">
        <v>366</v>
      </c>
      <c r="F4253" t="s">
        <v>695</v>
      </c>
      <c r="G4253">
        <v>2958000</v>
      </c>
      <c r="H4253">
        <v>3032000</v>
      </c>
    </row>
    <row r="4254" spans="2:8" x14ac:dyDescent="0.25">
      <c r="B4254" t="str">
        <f t="shared" si="66"/>
        <v>IRNPopulation ages 10-14, male</v>
      </c>
      <c r="C4254" t="s">
        <v>524</v>
      </c>
      <c r="D4254" t="s">
        <v>61</v>
      </c>
      <c r="E4254" t="s">
        <v>367</v>
      </c>
      <c r="F4254" t="s">
        <v>696</v>
      </c>
      <c r="G4254">
        <v>3107000</v>
      </c>
      <c r="H4254">
        <v>3186000</v>
      </c>
    </row>
    <row r="4255" spans="2:8" x14ac:dyDescent="0.25">
      <c r="B4255" t="str">
        <f t="shared" si="66"/>
        <v>IRNPopulation ages 15-19, female</v>
      </c>
      <c r="C4255" t="s">
        <v>524</v>
      </c>
      <c r="D4255" t="s">
        <v>61</v>
      </c>
      <c r="E4255" t="s">
        <v>368</v>
      </c>
      <c r="F4255" t="s">
        <v>697</v>
      </c>
      <c r="G4255">
        <v>2674000</v>
      </c>
      <c r="H4255">
        <v>2700000</v>
      </c>
    </row>
    <row r="4256" spans="2:8" x14ac:dyDescent="0.25">
      <c r="B4256" t="str">
        <f t="shared" si="66"/>
        <v>IRNPopulation ages 15-19, male</v>
      </c>
      <c r="C4256" t="s">
        <v>524</v>
      </c>
      <c r="D4256" t="s">
        <v>61</v>
      </c>
      <c r="E4256" t="s">
        <v>369</v>
      </c>
      <c r="F4256" t="s">
        <v>698</v>
      </c>
      <c r="G4256">
        <v>2792000</v>
      </c>
      <c r="H4256">
        <v>2830000</v>
      </c>
    </row>
    <row r="4257" spans="2:8" x14ac:dyDescent="0.25">
      <c r="B4257" t="str">
        <f t="shared" si="66"/>
        <v>IRNPopulation ages 20-24, female</v>
      </c>
      <c r="C4257" t="s">
        <v>524</v>
      </c>
      <c r="D4257" t="s">
        <v>61</v>
      </c>
      <c r="E4257" t="s">
        <v>370</v>
      </c>
      <c r="F4257" t="s">
        <v>699</v>
      </c>
      <c r="G4257">
        <v>2847000</v>
      </c>
      <c r="H4257">
        <v>2755000</v>
      </c>
    </row>
    <row r="4258" spans="2:8" x14ac:dyDescent="0.25">
      <c r="B4258" t="str">
        <f t="shared" si="66"/>
        <v>IRNPopulation ages 20-24, male</v>
      </c>
      <c r="C4258" t="s">
        <v>524</v>
      </c>
      <c r="D4258" t="s">
        <v>61</v>
      </c>
      <c r="E4258" t="s">
        <v>371</v>
      </c>
      <c r="F4258" t="s">
        <v>700</v>
      </c>
      <c r="G4258">
        <v>2879000</v>
      </c>
      <c r="H4258">
        <v>2801000</v>
      </c>
    </row>
    <row r="4259" spans="2:8" x14ac:dyDescent="0.25">
      <c r="B4259" t="str">
        <f t="shared" si="66"/>
        <v>IRNPopulation ages 25-29, female</v>
      </c>
      <c r="C4259" t="s">
        <v>524</v>
      </c>
      <c r="D4259" t="s">
        <v>61</v>
      </c>
      <c r="E4259" t="s">
        <v>372</v>
      </c>
      <c r="F4259" t="s">
        <v>701</v>
      </c>
      <c r="G4259">
        <v>3593000</v>
      </c>
      <c r="H4259">
        <v>3404000</v>
      </c>
    </row>
    <row r="4260" spans="2:8" x14ac:dyDescent="0.25">
      <c r="B4260" t="str">
        <f t="shared" si="66"/>
        <v>IRNPopulation ages 25-29, male</v>
      </c>
      <c r="C4260" t="s">
        <v>524</v>
      </c>
      <c r="D4260" t="s">
        <v>61</v>
      </c>
      <c r="E4260" t="s">
        <v>373</v>
      </c>
      <c r="F4260" t="s">
        <v>702</v>
      </c>
      <c r="G4260">
        <v>3567000</v>
      </c>
      <c r="H4260">
        <v>3382000</v>
      </c>
    </row>
    <row r="4261" spans="2:8" x14ac:dyDescent="0.25">
      <c r="B4261" t="str">
        <f t="shared" si="66"/>
        <v>IRNPopulation ages 30-34, female</v>
      </c>
      <c r="C4261" t="s">
        <v>524</v>
      </c>
      <c r="D4261" t="s">
        <v>61</v>
      </c>
      <c r="E4261" t="s">
        <v>374</v>
      </c>
      <c r="F4261" t="s">
        <v>703</v>
      </c>
      <c r="G4261">
        <v>4328000</v>
      </c>
      <c r="H4261">
        <v>4255000</v>
      </c>
    </row>
    <row r="4262" spans="2:8" x14ac:dyDescent="0.25">
      <c r="B4262" t="str">
        <f t="shared" si="66"/>
        <v>IRNPopulation ages 30-34, male</v>
      </c>
      <c r="C4262" t="s">
        <v>524</v>
      </c>
      <c r="D4262" t="s">
        <v>61</v>
      </c>
      <c r="E4262" t="s">
        <v>375</v>
      </c>
      <c r="F4262" t="s">
        <v>704</v>
      </c>
      <c r="G4262">
        <v>4288000</v>
      </c>
      <c r="H4262">
        <v>4212000</v>
      </c>
    </row>
    <row r="4263" spans="2:8" x14ac:dyDescent="0.25">
      <c r="B4263" t="str">
        <f t="shared" si="66"/>
        <v>IRNPopulation ages 35-39, female</v>
      </c>
      <c r="C4263" t="s">
        <v>524</v>
      </c>
      <c r="D4263" t="s">
        <v>61</v>
      </c>
      <c r="E4263" t="s">
        <v>376</v>
      </c>
      <c r="F4263" t="s">
        <v>705</v>
      </c>
      <c r="G4263">
        <v>4011000</v>
      </c>
      <c r="H4263">
        <v>4152000</v>
      </c>
    </row>
    <row r="4264" spans="2:8" x14ac:dyDescent="0.25">
      <c r="B4264" t="str">
        <f t="shared" si="66"/>
        <v>IRNPopulation ages 35-39, male</v>
      </c>
      <c r="C4264" t="s">
        <v>524</v>
      </c>
      <c r="D4264" t="s">
        <v>61</v>
      </c>
      <c r="E4264" t="s">
        <v>377</v>
      </c>
      <c r="F4264" t="s">
        <v>706</v>
      </c>
      <c r="G4264">
        <v>3996000</v>
      </c>
      <c r="H4264">
        <v>4120000</v>
      </c>
    </row>
    <row r="4265" spans="2:8" x14ac:dyDescent="0.25">
      <c r="B4265" t="str">
        <f t="shared" si="66"/>
        <v>IRNPopulation ages 40-44, female</v>
      </c>
      <c r="C4265" t="s">
        <v>524</v>
      </c>
      <c r="D4265" t="s">
        <v>61</v>
      </c>
      <c r="E4265" t="s">
        <v>378</v>
      </c>
      <c r="F4265" t="s">
        <v>707</v>
      </c>
      <c r="G4265">
        <v>3051000</v>
      </c>
      <c r="H4265">
        <v>3220000</v>
      </c>
    </row>
    <row r="4266" spans="2:8" x14ac:dyDescent="0.25">
      <c r="B4266" t="str">
        <f t="shared" si="66"/>
        <v>IRNPopulation ages 40-44, male</v>
      </c>
      <c r="C4266" t="s">
        <v>524</v>
      </c>
      <c r="D4266" t="s">
        <v>61</v>
      </c>
      <c r="E4266" t="s">
        <v>379</v>
      </c>
      <c r="F4266" t="s">
        <v>708</v>
      </c>
      <c r="G4266">
        <v>3112000</v>
      </c>
      <c r="H4266">
        <v>3271000</v>
      </c>
    </row>
    <row r="4267" spans="2:8" x14ac:dyDescent="0.25">
      <c r="B4267" t="str">
        <f t="shared" si="66"/>
        <v>IRNPopulation ages 45-49, female</v>
      </c>
      <c r="C4267" t="s">
        <v>524</v>
      </c>
      <c r="D4267" t="s">
        <v>61</v>
      </c>
      <c r="E4267" t="s">
        <v>380</v>
      </c>
      <c r="F4267" t="s">
        <v>709</v>
      </c>
      <c r="G4267">
        <v>2486000</v>
      </c>
      <c r="H4267">
        <v>2556000</v>
      </c>
    </row>
    <row r="4268" spans="2:8" x14ac:dyDescent="0.25">
      <c r="B4268" t="str">
        <f t="shared" si="66"/>
        <v>IRNPopulation ages 45-49, male</v>
      </c>
      <c r="C4268" t="s">
        <v>524</v>
      </c>
      <c r="D4268" t="s">
        <v>61</v>
      </c>
      <c r="E4268" t="s">
        <v>381</v>
      </c>
      <c r="F4268" t="s">
        <v>710</v>
      </c>
      <c r="G4268">
        <v>2537000</v>
      </c>
      <c r="H4268">
        <v>2608000</v>
      </c>
    </row>
    <row r="4269" spans="2:8" x14ac:dyDescent="0.25">
      <c r="B4269" t="str">
        <f t="shared" si="66"/>
        <v>IRNPopulation ages 50-54, female</v>
      </c>
      <c r="C4269" t="s">
        <v>524</v>
      </c>
      <c r="D4269" t="s">
        <v>61</v>
      </c>
      <c r="E4269" t="s">
        <v>382</v>
      </c>
      <c r="F4269" t="s">
        <v>711</v>
      </c>
      <c r="G4269">
        <v>2227000</v>
      </c>
      <c r="H4269">
        <v>2297000</v>
      </c>
    </row>
    <row r="4270" spans="2:8" x14ac:dyDescent="0.25">
      <c r="B4270" t="str">
        <f t="shared" si="66"/>
        <v>IRNPopulation ages 50-54, male</v>
      </c>
      <c r="C4270" t="s">
        <v>524</v>
      </c>
      <c r="D4270" t="s">
        <v>61</v>
      </c>
      <c r="E4270" t="s">
        <v>383</v>
      </c>
      <c r="F4270" t="s">
        <v>712</v>
      </c>
      <c r="G4270">
        <v>2245000</v>
      </c>
      <c r="H4270">
        <v>2322000</v>
      </c>
    </row>
    <row r="4271" spans="2:8" x14ac:dyDescent="0.25">
      <c r="B4271" t="str">
        <f t="shared" si="66"/>
        <v>IRNPopulation ages 55-59, male</v>
      </c>
      <c r="C4271" t="s">
        <v>524</v>
      </c>
      <c r="D4271" t="s">
        <v>61</v>
      </c>
      <c r="E4271" t="s">
        <v>385</v>
      </c>
      <c r="F4271" t="s">
        <v>713</v>
      </c>
      <c r="G4271">
        <v>1767000</v>
      </c>
      <c r="H4271">
        <v>1826000</v>
      </c>
    </row>
    <row r="4272" spans="2:8" x14ac:dyDescent="0.25">
      <c r="B4272" t="str">
        <f t="shared" si="66"/>
        <v>IRNPopulation ages 55-59, female</v>
      </c>
      <c r="C4272" t="s">
        <v>524</v>
      </c>
      <c r="D4272" t="s">
        <v>61</v>
      </c>
      <c r="E4272" t="s">
        <v>384</v>
      </c>
      <c r="F4272" t="s">
        <v>714</v>
      </c>
      <c r="G4272">
        <v>1790000</v>
      </c>
      <c r="H4272">
        <v>1851000</v>
      </c>
    </row>
    <row r="4273" spans="2:8" x14ac:dyDescent="0.25">
      <c r="B4273" t="str">
        <f t="shared" si="66"/>
        <v>IRNPopulation ages 65-69, male</v>
      </c>
      <c r="C4273" t="s">
        <v>524</v>
      </c>
      <c r="D4273" t="s">
        <v>61</v>
      </c>
      <c r="E4273" t="s">
        <v>389</v>
      </c>
      <c r="F4273" t="s">
        <v>715</v>
      </c>
      <c r="G4273">
        <v>1054000</v>
      </c>
      <c r="H4273">
        <v>1129000</v>
      </c>
    </row>
    <row r="4274" spans="2:8" x14ac:dyDescent="0.25">
      <c r="B4274" t="str">
        <f t="shared" si="66"/>
        <v>IRNPopulation ages 65-69, female</v>
      </c>
      <c r="C4274" t="s">
        <v>524</v>
      </c>
      <c r="D4274" t="s">
        <v>61</v>
      </c>
      <c r="E4274" t="s">
        <v>388</v>
      </c>
      <c r="F4274" t="s">
        <v>716</v>
      </c>
      <c r="G4274">
        <v>1064000</v>
      </c>
      <c r="H4274">
        <v>1136000</v>
      </c>
    </row>
    <row r="4275" spans="2:8" x14ac:dyDescent="0.25">
      <c r="B4275" t="str">
        <f t="shared" si="66"/>
        <v>IRNPopulation ages 60-64, female</v>
      </c>
      <c r="C4275" t="s">
        <v>524</v>
      </c>
      <c r="D4275" t="s">
        <v>61</v>
      </c>
      <c r="E4275" t="s">
        <v>386</v>
      </c>
      <c r="F4275" t="s">
        <v>717</v>
      </c>
      <c r="G4275">
        <v>1508000</v>
      </c>
      <c r="H4275">
        <v>1572000</v>
      </c>
    </row>
    <row r="4276" spans="2:8" x14ac:dyDescent="0.25">
      <c r="B4276" t="str">
        <f t="shared" si="66"/>
        <v>IRNPopulation ages 60-64, male</v>
      </c>
      <c r="C4276" t="s">
        <v>524</v>
      </c>
      <c r="D4276" t="s">
        <v>61</v>
      </c>
      <c r="E4276" t="s">
        <v>387</v>
      </c>
      <c r="F4276" t="s">
        <v>718</v>
      </c>
      <c r="G4276">
        <v>1501000</v>
      </c>
      <c r="H4276">
        <v>1560000</v>
      </c>
    </row>
    <row r="4277" spans="2:8" x14ac:dyDescent="0.25">
      <c r="B4277" t="str">
        <f t="shared" si="66"/>
        <v>IRNPopulation ages 70-74, female</v>
      </c>
      <c r="C4277" t="s">
        <v>524</v>
      </c>
      <c r="D4277" t="s">
        <v>61</v>
      </c>
      <c r="E4277" t="s">
        <v>390</v>
      </c>
      <c r="F4277" t="s">
        <v>719</v>
      </c>
      <c r="G4277">
        <v>687000</v>
      </c>
      <c r="H4277">
        <v>738000</v>
      </c>
    </row>
    <row r="4278" spans="2:8" x14ac:dyDescent="0.25">
      <c r="B4278" t="str">
        <f t="shared" si="66"/>
        <v>IRNPopulation ages 70-74, male</v>
      </c>
      <c r="C4278" t="s">
        <v>524</v>
      </c>
      <c r="D4278" t="s">
        <v>61</v>
      </c>
      <c r="E4278" t="s">
        <v>391</v>
      </c>
      <c r="F4278" t="s">
        <v>720</v>
      </c>
      <c r="G4278">
        <v>670000</v>
      </c>
      <c r="H4278">
        <v>710000</v>
      </c>
    </row>
    <row r="4279" spans="2:8" x14ac:dyDescent="0.25">
      <c r="B4279" t="str">
        <f t="shared" si="66"/>
        <v>IRNPopulation ages 75-79, female</v>
      </c>
      <c r="C4279" t="s">
        <v>524</v>
      </c>
      <c r="D4279" t="s">
        <v>61</v>
      </c>
      <c r="E4279" t="s">
        <v>392</v>
      </c>
      <c r="F4279" t="s">
        <v>721</v>
      </c>
      <c r="G4279">
        <v>414000</v>
      </c>
      <c r="H4279">
        <v>435000</v>
      </c>
    </row>
    <row r="4280" spans="2:8" x14ac:dyDescent="0.25">
      <c r="B4280" t="str">
        <f t="shared" si="66"/>
        <v>IRNPopulation ages 75-79, male</v>
      </c>
      <c r="C4280" t="s">
        <v>524</v>
      </c>
      <c r="D4280" t="s">
        <v>61</v>
      </c>
      <c r="E4280" t="s">
        <v>393</v>
      </c>
      <c r="F4280" t="s">
        <v>722</v>
      </c>
      <c r="G4280">
        <v>469000</v>
      </c>
      <c r="H4280">
        <v>471000</v>
      </c>
    </row>
    <row r="4281" spans="2:8" x14ac:dyDescent="0.25">
      <c r="B4281" t="str">
        <f t="shared" si="66"/>
        <v>IRNPopulation ages 80 and above, female</v>
      </c>
      <c r="C4281" t="s">
        <v>524</v>
      </c>
      <c r="D4281" t="s">
        <v>61</v>
      </c>
      <c r="E4281" t="s">
        <v>394</v>
      </c>
      <c r="F4281" t="s">
        <v>723</v>
      </c>
      <c r="G4281">
        <v>395000</v>
      </c>
      <c r="H4281">
        <v>394000</v>
      </c>
    </row>
    <row r="4282" spans="2:8" x14ac:dyDescent="0.25">
      <c r="B4282" t="str">
        <f t="shared" si="66"/>
        <v>IRNPopulation ages 80 and above, male</v>
      </c>
      <c r="C4282" t="s">
        <v>524</v>
      </c>
      <c r="D4282" t="s">
        <v>61</v>
      </c>
      <c r="E4282" t="s">
        <v>395</v>
      </c>
      <c r="F4282" t="s">
        <v>724</v>
      </c>
      <c r="G4282">
        <v>520000</v>
      </c>
      <c r="H4282">
        <v>500000</v>
      </c>
    </row>
    <row r="4283" spans="2:8" x14ac:dyDescent="0.25">
      <c r="B4283" t="str">
        <f t="shared" si="66"/>
        <v>IRNPopulation, male</v>
      </c>
      <c r="C4283" t="s">
        <v>524</v>
      </c>
      <c r="D4283" t="s">
        <v>61</v>
      </c>
      <c r="E4283" t="s">
        <v>397</v>
      </c>
      <c r="F4283" t="s">
        <v>725</v>
      </c>
      <c r="G4283">
        <v>41890000</v>
      </c>
      <c r="H4283">
        <v>42408000</v>
      </c>
    </row>
    <row r="4284" spans="2:8" x14ac:dyDescent="0.25">
      <c r="B4284" t="str">
        <f t="shared" si="66"/>
        <v>IRNPopulation, total</v>
      </c>
      <c r="C4284" t="s">
        <v>524</v>
      </c>
      <c r="D4284" t="s">
        <v>61</v>
      </c>
      <c r="E4284" t="s">
        <v>398</v>
      </c>
      <c r="F4284" t="s">
        <v>726</v>
      </c>
      <c r="G4284">
        <v>82914000</v>
      </c>
      <c r="H4284">
        <v>83993000</v>
      </c>
    </row>
    <row r="4285" spans="2:8" x14ac:dyDescent="0.25">
      <c r="B4285" t="str">
        <f t="shared" si="66"/>
        <v>IRNPopulation, female</v>
      </c>
      <c r="C4285" t="s">
        <v>524</v>
      </c>
      <c r="D4285" t="s">
        <v>61</v>
      </c>
      <c r="E4285" t="s">
        <v>396</v>
      </c>
      <c r="F4285" t="s">
        <v>727</v>
      </c>
      <c r="G4285">
        <v>41024000</v>
      </c>
      <c r="H4285">
        <v>41585000</v>
      </c>
    </row>
    <row r="4286" spans="2:8" x14ac:dyDescent="0.25">
      <c r="B4286" t="str">
        <f t="shared" si="66"/>
        <v>IRNPopulation growth (annual %)</v>
      </c>
      <c r="C4286" t="s">
        <v>524</v>
      </c>
      <c r="D4286" t="s">
        <v>61</v>
      </c>
      <c r="E4286" t="s">
        <v>399</v>
      </c>
      <c r="F4286" t="s">
        <v>728</v>
      </c>
      <c r="G4286">
        <v>0</v>
      </c>
      <c r="H4286">
        <v>0</v>
      </c>
    </row>
    <row r="4287" spans="2:8" x14ac:dyDescent="0.25">
      <c r="B4287" t="str">
        <f t="shared" si="66"/>
        <v>IRQPopulation ages 0-14, female</v>
      </c>
      <c r="C4287" t="s">
        <v>525</v>
      </c>
      <c r="D4287" t="s">
        <v>62</v>
      </c>
      <c r="E4287" t="s">
        <v>687</v>
      </c>
      <c r="F4287" t="s">
        <v>688</v>
      </c>
      <c r="G4287">
        <v>7265000</v>
      </c>
      <c r="H4287">
        <v>7373000</v>
      </c>
    </row>
    <row r="4288" spans="2:8" x14ac:dyDescent="0.25">
      <c r="B4288" t="str">
        <f t="shared" si="66"/>
        <v>IRQPopulation ages 0-14, male</v>
      </c>
      <c r="C4288" t="s">
        <v>525</v>
      </c>
      <c r="D4288" t="s">
        <v>62</v>
      </c>
      <c r="E4288" t="s">
        <v>689</v>
      </c>
      <c r="F4288" t="s">
        <v>690</v>
      </c>
      <c r="G4288">
        <v>7681000</v>
      </c>
      <c r="H4288">
        <v>7797000</v>
      </c>
    </row>
    <row r="4289" spans="2:8" x14ac:dyDescent="0.25">
      <c r="B4289" t="str">
        <f t="shared" si="66"/>
        <v>IRQPopulation ages 00-04, female</v>
      </c>
      <c r="C4289" t="s">
        <v>525</v>
      </c>
      <c r="D4289" t="s">
        <v>62</v>
      </c>
      <c r="E4289" t="s">
        <v>362</v>
      </c>
      <c r="F4289" t="s">
        <v>691</v>
      </c>
      <c r="G4289">
        <v>2609000</v>
      </c>
      <c r="H4289">
        <v>2612000</v>
      </c>
    </row>
    <row r="4290" spans="2:8" x14ac:dyDescent="0.25">
      <c r="B4290" t="str">
        <f t="shared" si="66"/>
        <v>IRQPopulation ages 00-04, male</v>
      </c>
      <c r="C4290" t="s">
        <v>525</v>
      </c>
      <c r="D4290" t="s">
        <v>62</v>
      </c>
      <c r="E4290" t="s">
        <v>363</v>
      </c>
      <c r="F4290" t="s">
        <v>692</v>
      </c>
      <c r="G4290">
        <v>2765000</v>
      </c>
      <c r="H4290">
        <v>2768000</v>
      </c>
    </row>
    <row r="4291" spans="2:8" x14ac:dyDescent="0.25">
      <c r="B4291" t="str">
        <f t="shared" si="66"/>
        <v>IRQPopulation ages 05-09, female</v>
      </c>
      <c r="C4291" t="s">
        <v>525</v>
      </c>
      <c r="D4291" t="s">
        <v>62</v>
      </c>
      <c r="E4291" t="s">
        <v>364</v>
      </c>
      <c r="F4291" t="s">
        <v>693</v>
      </c>
      <c r="G4291">
        <v>2485000</v>
      </c>
      <c r="H4291">
        <v>2542000</v>
      </c>
    </row>
    <row r="4292" spans="2:8" x14ac:dyDescent="0.25">
      <c r="B4292" t="str">
        <f t="shared" si="66"/>
        <v>IRQPopulation ages 05-09, male</v>
      </c>
      <c r="C4292" t="s">
        <v>525</v>
      </c>
      <c r="D4292" t="s">
        <v>62</v>
      </c>
      <c r="E4292" t="s">
        <v>365</v>
      </c>
      <c r="F4292" t="s">
        <v>694</v>
      </c>
      <c r="G4292">
        <v>2626000</v>
      </c>
      <c r="H4292">
        <v>2687000</v>
      </c>
    </row>
    <row r="4293" spans="2:8" x14ac:dyDescent="0.25">
      <c r="B4293" t="str">
        <f t="shared" si="66"/>
        <v>IRQPopulation ages 10-14, female</v>
      </c>
      <c r="C4293" t="s">
        <v>525</v>
      </c>
      <c r="D4293" t="s">
        <v>62</v>
      </c>
      <c r="E4293" t="s">
        <v>366</v>
      </c>
      <c r="F4293" t="s">
        <v>695</v>
      </c>
      <c r="G4293">
        <v>2170000</v>
      </c>
      <c r="H4293">
        <v>2218000</v>
      </c>
    </row>
    <row r="4294" spans="2:8" x14ac:dyDescent="0.25">
      <c r="B4294" t="str">
        <f t="shared" si="66"/>
        <v>IRQPopulation ages 10-14, male</v>
      </c>
      <c r="C4294" t="s">
        <v>525</v>
      </c>
      <c r="D4294" t="s">
        <v>62</v>
      </c>
      <c r="E4294" t="s">
        <v>367</v>
      </c>
      <c r="F4294" t="s">
        <v>696</v>
      </c>
      <c r="G4294">
        <v>2290000</v>
      </c>
      <c r="H4294">
        <v>2341000</v>
      </c>
    </row>
    <row r="4295" spans="2:8" x14ac:dyDescent="0.25">
      <c r="B4295" t="str">
        <f t="shared" ref="B4295:B4358" si="67">CONCATENATE(D4295,E4295)</f>
        <v>IRQPopulation ages 15-19, female</v>
      </c>
      <c r="C4295" t="s">
        <v>525</v>
      </c>
      <c r="D4295" t="s">
        <v>62</v>
      </c>
      <c r="E4295" t="s">
        <v>368</v>
      </c>
      <c r="F4295" t="s">
        <v>697</v>
      </c>
      <c r="G4295">
        <v>1994000</v>
      </c>
      <c r="H4295">
        <v>2023000</v>
      </c>
    </row>
    <row r="4296" spans="2:8" x14ac:dyDescent="0.25">
      <c r="B4296" t="str">
        <f t="shared" si="67"/>
        <v>IRQPopulation ages 15-19, male</v>
      </c>
      <c r="C4296" t="s">
        <v>525</v>
      </c>
      <c r="D4296" t="s">
        <v>62</v>
      </c>
      <c r="E4296" t="s">
        <v>369</v>
      </c>
      <c r="F4296" t="s">
        <v>698</v>
      </c>
      <c r="G4296">
        <v>2096000</v>
      </c>
      <c r="H4296">
        <v>2129000</v>
      </c>
    </row>
    <row r="4297" spans="2:8" x14ac:dyDescent="0.25">
      <c r="B4297" t="str">
        <f t="shared" si="67"/>
        <v>IRQPopulation ages 20-24, female</v>
      </c>
      <c r="C4297" t="s">
        <v>525</v>
      </c>
      <c r="D4297" t="s">
        <v>62</v>
      </c>
      <c r="E4297" t="s">
        <v>370</v>
      </c>
      <c r="F4297" t="s">
        <v>699</v>
      </c>
      <c r="G4297">
        <v>1823000</v>
      </c>
      <c r="H4297">
        <v>1858000</v>
      </c>
    </row>
    <row r="4298" spans="2:8" x14ac:dyDescent="0.25">
      <c r="B4298" t="str">
        <f t="shared" si="67"/>
        <v>IRQPopulation ages 20-24, male</v>
      </c>
      <c r="C4298" t="s">
        <v>525</v>
      </c>
      <c r="D4298" t="s">
        <v>62</v>
      </c>
      <c r="E4298" t="s">
        <v>371</v>
      </c>
      <c r="F4298" t="s">
        <v>700</v>
      </c>
      <c r="G4298">
        <v>1905000</v>
      </c>
      <c r="H4298">
        <v>1941000</v>
      </c>
    </row>
    <row r="4299" spans="2:8" x14ac:dyDescent="0.25">
      <c r="B4299" t="str">
        <f t="shared" si="67"/>
        <v>IRQPopulation ages 25-29, female</v>
      </c>
      <c r="C4299" t="s">
        <v>525</v>
      </c>
      <c r="D4299" t="s">
        <v>62</v>
      </c>
      <c r="E4299" t="s">
        <v>372</v>
      </c>
      <c r="F4299" t="s">
        <v>701</v>
      </c>
      <c r="G4299">
        <v>1607000</v>
      </c>
      <c r="H4299">
        <v>1647000</v>
      </c>
    </row>
    <row r="4300" spans="2:8" x14ac:dyDescent="0.25">
      <c r="B4300" t="str">
        <f t="shared" si="67"/>
        <v>IRQPopulation ages 25-29, male</v>
      </c>
      <c r="C4300" t="s">
        <v>525</v>
      </c>
      <c r="D4300" t="s">
        <v>62</v>
      </c>
      <c r="E4300" t="s">
        <v>373</v>
      </c>
      <c r="F4300" t="s">
        <v>702</v>
      </c>
      <c r="G4300">
        <v>1678000</v>
      </c>
      <c r="H4300">
        <v>1719000</v>
      </c>
    </row>
    <row r="4301" spans="2:8" x14ac:dyDescent="0.25">
      <c r="B4301" t="str">
        <f t="shared" si="67"/>
        <v>IRQPopulation ages 30-34, female</v>
      </c>
      <c r="C4301" t="s">
        <v>525</v>
      </c>
      <c r="D4301" t="s">
        <v>62</v>
      </c>
      <c r="E4301" t="s">
        <v>374</v>
      </c>
      <c r="F4301" t="s">
        <v>703</v>
      </c>
      <c r="G4301">
        <v>1393000</v>
      </c>
      <c r="H4301">
        <v>1435000</v>
      </c>
    </row>
    <row r="4302" spans="2:8" x14ac:dyDescent="0.25">
      <c r="B4302" t="str">
        <f t="shared" si="67"/>
        <v>IRQPopulation ages 30-34, male</v>
      </c>
      <c r="C4302" t="s">
        <v>525</v>
      </c>
      <c r="D4302" t="s">
        <v>62</v>
      </c>
      <c r="E4302" t="s">
        <v>375</v>
      </c>
      <c r="F4302" t="s">
        <v>704</v>
      </c>
      <c r="G4302">
        <v>1450000</v>
      </c>
      <c r="H4302">
        <v>1493000</v>
      </c>
    </row>
    <row r="4303" spans="2:8" x14ac:dyDescent="0.25">
      <c r="B4303" t="str">
        <f t="shared" si="67"/>
        <v>IRQPopulation ages 35-39, female</v>
      </c>
      <c r="C4303" t="s">
        <v>525</v>
      </c>
      <c r="D4303" t="s">
        <v>62</v>
      </c>
      <c r="E4303" t="s">
        <v>376</v>
      </c>
      <c r="F4303" t="s">
        <v>705</v>
      </c>
      <c r="G4303">
        <v>1182000</v>
      </c>
      <c r="H4303">
        <v>1214000</v>
      </c>
    </row>
    <row r="4304" spans="2:8" x14ac:dyDescent="0.25">
      <c r="B4304" t="str">
        <f t="shared" si="67"/>
        <v>IRQPopulation ages 35-39, male</v>
      </c>
      <c r="C4304" t="s">
        <v>525</v>
      </c>
      <c r="D4304" t="s">
        <v>62</v>
      </c>
      <c r="E4304" t="s">
        <v>377</v>
      </c>
      <c r="F4304" t="s">
        <v>706</v>
      </c>
      <c r="G4304">
        <v>1228000</v>
      </c>
      <c r="H4304">
        <v>1262000</v>
      </c>
    </row>
    <row r="4305" spans="2:8" x14ac:dyDescent="0.25">
      <c r="B4305" t="str">
        <f t="shared" si="67"/>
        <v>IRQPopulation ages 40-44, female</v>
      </c>
      <c r="C4305" t="s">
        <v>525</v>
      </c>
      <c r="D4305" t="s">
        <v>62</v>
      </c>
      <c r="E4305" t="s">
        <v>378</v>
      </c>
      <c r="F4305" t="s">
        <v>707</v>
      </c>
      <c r="G4305">
        <v>1033000</v>
      </c>
      <c r="H4305">
        <v>1061000</v>
      </c>
    </row>
    <row r="4306" spans="2:8" x14ac:dyDescent="0.25">
      <c r="B4306" t="str">
        <f t="shared" si="67"/>
        <v>IRQPopulation ages 40-44, male</v>
      </c>
      <c r="C4306" t="s">
        <v>525</v>
      </c>
      <c r="D4306" t="s">
        <v>62</v>
      </c>
      <c r="E4306" t="s">
        <v>379</v>
      </c>
      <c r="F4306" t="s">
        <v>708</v>
      </c>
      <c r="G4306">
        <v>1056000</v>
      </c>
      <c r="H4306">
        <v>1089000</v>
      </c>
    </row>
    <row r="4307" spans="2:8" x14ac:dyDescent="0.25">
      <c r="B4307" t="str">
        <f t="shared" si="67"/>
        <v>IRQPopulation ages 45-49, female</v>
      </c>
      <c r="C4307" t="s">
        <v>525</v>
      </c>
      <c r="D4307" t="s">
        <v>62</v>
      </c>
      <c r="E4307" t="s">
        <v>380</v>
      </c>
      <c r="F4307" t="s">
        <v>709</v>
      </c>
      <c r="G4307">
        <v>869000</v>
      </c>
      <c r="H4307">
        <v>896000</v>
      </c>
    </row>
    <row r="4308" spans="2:8" x14ac:dyDescent="0.25">
      <c r="B4308" t="str">
        <f t="shared" si="67"/>
        <v>IRQPopulation ages 45-49, male</v>
      </c>
      <c r="C4308" t="s">
        <v>525</v>
      </c>
      <c r="D4308" t="s">
        <v>62</v>
      </c>
      <c r="E4308" t="s">
        <v>381</v>
      </c>
      <c r="F4308" t="s">
        <v>710</v>
      </c>
      <c r="G4308">
        <v>856000</v>
      </c>
      <c r="H4308">
        <v>890000</v>
      </c>
    </row>
    <row r="4309" spans="2:8" x14ac:dyDescent="0.25">
      <c r="B4309" t="str">
        <f t="shared" si="67"/>
        <v>IRQPopulation ages 50-54, female</v>
      </c>
      <c r="C4309" t="s">
        <v>525</v>
      </c>
      <c r="D4309" t="s">
        <v>62</v>
      </c>
      <c r="E4309" t="s">
        <v>382</v>
      </c>
      <c r="F4309" t="s">
        <v>711</v>
      </c>
      <c r="G4309">
        <v>691000</v>
      </c>
      <c r="H4309">
        <v>731000</v>
      </c>
    </row>
    <row r="4310" spans="2:8" x14ac:dyDescent="0.25">
      <c r="B4310" t="str">
        <f t="shared" si="67"/>
        <v>IRQPopulation ages 50-54, male</v>
      </c>
      <c r="C4310" t="s">
        <v>525</v>
      </c>
      <c r="D4310" t="s">
        <v>62</v>
      </c>
      <c r="E4310" t="s">
        <v>383</v>
      </c>
      <c r="F4310" t="s">
        <v>712</v>
      </c>
      <c r="G4310">
        <v>640000</v>
      </c>
      <c r="H4310">
        <v>684000</v>
      </c>
    </row>
    <row r="4311" spans="2:8" x14ac:dyDescent="0.25">
      <c r="B4311" t="str">
        <f t="shared" si="67"/>
        <v>IRQPopulation ages 55-59, male</v>
      </c>
      <c r="C4311" t="s">
        <v>525</v>
      </c>
      <c r="D4311" t="s">
        <v>62</v>
      </c>
      <c r="E4311" t="s">
        <v>385</v>
      </c>
      <c r="F4311" t="s">
        <v>713</v>
      </c>
      <c r="G4311">
        <v>399000</v>
      </c>
      <c r="H4311">
        <v>430000</v>
      </c>
    </row>
    <row r="4312" spans="2:8" x14ac:dyDescent="0.25">
      <c r="B4312" t="str">
        <f t="shared" si="67"/>
        <v>IRQPopulation ages 55-59, female</v>
      </c>
      <c r="C4312" t="s">
        <v>525</v>
      </c>
      <c r="D4312" t="s">
        <v>62</v>
      </c>
      <c r="E4312" t="s">
        <v>384</v>
      </c>
      <c r="F4312" t="s">
        <v>714</v>
      </c>
      <c r="G4312">
        <v>463000</v>
      </c>
      <c r="H4312">
        <v>496000</v>
      </c>
    </row>
    <row r="4313" spans="2:8" x14ac:dyDescent="0.25">
      <c r="B4313" t="str">
        <f t="shared" si="67"/>
        <v>IRQPopulation ages 65-69, male</v>
      </c>
      <c r="C4313" t="s">
        <v>525</v>
      </c>
      <c r="D4313" t="s">
        <v>62</v>
      </c>
      <c r="E4313" t="s">
        <v>389</v>
      </c>
      <c r="F4313" t="s">
        <v>715</v>
      </c>
      <c r="G4313">
        <v>273000</v>
      </c>
      <c r="H4313">
        <v>283000</v>
      </c>
    </row>
    <row r="4314" spans="2:8" x14ac:dyDescent="0.25">
      <c r="B4314" t="str">
        <f t="shared" si="67"/>
        <v>IRQPopulation ages 65-69, female</v>
      </c>
      <c r="C4314" t="s">
        <v>525</v>
      </c>
      <c r="D4314" t="s">
        <v>62</v>
      </c>
      <c r="E4314" t="s">
        <v>388</v>
      </c>
      <c r="F4314" t="s">
        <v>716</v>
      </c>
      <c r="G4314">
        <v>323000</v>
      </c>
      <c r="H4314">
        <v>340000</v>
      </c>
    </row>
    <row r="4315" spans="2:8" x14ac:dyDescent="0.25">
      <c r="B4315" t="str">
        <f t="shared" si="67"/>
        <v>IRQPopulation ages 60-64, female</v>
      </c>
      <c r="C4315" t="s">
        <v>525</v>
      </c>
      <c r="D4315" t="s">
        <v>62</v>
      </c>
      <c r="E4315" t="s">
        <v>386</v>
      </c>
      <c r="F4315" t="s">
        <v>717</v>
      </c>
      <c r="G4315">
        <v>360000</v>
      </c>
      <c r="H4315">
        <v>363000</v>
      </c>
    </row>
    <row r="4316" spans="2:8" x14ac:dyDescent="0.25">
      <c r="B4316" t="str">
        <f t="shared" si="67"/>
        <v>IRQPopulation ages 60-64, male</v>
      </c>
      <c r="C4316" t="s">
        <v>525</v>
      </c>
      <c r="D4316" t="s">
        <v>62</v>
      </c>
      <c r="E4316" t="s">
        <v>387</v>
      </c>
      <c r="F4316" t="s">
        <v>718</v>
      </c>
      <c r="G4316">
        <v>305000</v>
      </c>
      <c r="H4316">
        <v>306000</v>
      </c>
    </row>
    <row r="4317" spans="2:8" x14ac:dyDescent="0.25">
      <c r="B4317" t="str">
        <f t="shared" si="67"/>
        <v>IRQPopulation ages 70-74, female</v>
      </c>
      <c r="C4317" t="s">
        <v>525</v>
      </c>
      <c r="D4317" t="s">
        <v>62</v>
      </c>
      <c r="E4317" t="s">
        <v>390</v>
      </c>
      <c r="F4317" t="s">
        <v>719</v>
      </c>
      <c r="G4317">
        <v>166000</v>
      </c>
      <c r="H4317">
        <v>178000</v>
      </c>
    </row>
    <row r="4318" spans="2:8" x14ac:dyDescent="0.25">
      <c r="B4318" t="str">
        <f t="shared" si="67"/>
        <v>IRQPopulation ages 70-74, male</v>
      </c>
      <c r="C4318" t="s">
        <v>525</v>
      </c>
      <c r="D4318" t="s">
        <v>62</v>
      </c>
      <c r="E4318" t="s">
        <v>391</v>
      </c>
      <c r="F4318" t="s">
        <v>720</v>
      </c>
      <c r="G4318">
        <v>145000</v>
      </c>
      <c r="H4318">
        <v>154000</v>
      </c>
    </row>
    <row r="4319" spans="2:8" x14ac:dyDescent="0.25">
      <c r="B4319" t="str">
        <f t="shared" si="67"/>
        <v>IRQPopulation ages 75-79, female</v>
      </c>
      <c r="C4319" t="s">
        <v>525</v>
      </c>
      <c r="D4319" t="s">
        <v>62</v>
      </c>
      <c r="E4319" t="s">
        <v>392</v>
      </c>
      <c r="F4319" t="s">
        <v>721</v>
      </c>
      <c r="G4319">
        <v>134000</v>
      </c>
      <c r="H4319">
        <v>135000</v>
      </c>
    </row>
    <row r="4320" spans="2:8" x14ac:dyDescent="0.25">
      <c r="B4320" t="str">
        <f t="shared" si="67"/>
        <v>IRQPopulation ages 75-79, male</v>
      </c>
      <c r="C4320" t="s">
        <v>525</v>
      </c>
      <c r="D4320" t="s">
        <v>62</v>
      </c>
      <c r="E4320" t="s">
        <v>393</v>
      </c>
      <c r="F4320" t="s">
        <v>722</v>
      </c>
      <c r="G4320">
        <v>106000</v>
      </c>
      <c r="H4320">
        <v>107000</v>
      </c>
    </row>
    <row r="4321" spans="2:8" x14ac:dyDescent="0.25">
      <c r="B4321" t="str">
        <f t="shared" si="67"/>
        <v>IRQPopulation ages 80 and above, female</v>
      </c>
      <c r="C4321" t="s">
        <v>525</v>
      </c>
      <c r="D4321" t="s">
        <v>62</v>
      </c>
      <c r="E4321" t="s">
        <v>394</v>
      </c>
      <c r="F4321" t="s">
        <v>723</v>
      </c>
      <c r="G4321">
        <v>114000</v>
      </c>
      <c r="H4321">
        <v>114000</v>
      </c>
    </row>
    <row r="4322" spans="2:8" x14ac:dyDescent="0.25">
      <c r="B4322" t="str">
        <f t="shared" si="67"/>
        <v>IRQPopulation ages 80 and above, male</v>
      </c>
      <c r="C4322" t="s">
        <v>525</v>
      </c>
      <c r="D4322" t="s">
        <v>62</v>
      </c>
      <c r="E4322" t="s">
        <v>395</v>
      </c>
      <c r="F4322" t="s">
        <v>724</v>
      </c>
      <c r="G4322">
        <v>74000</v>
      </c>
      <c r="H4322">
        <v>74000</v>
      </c>
    </row>
    <row r="4323" spans="2:8" x14ac:dyDescent="0.25">
      <c r="B4323" t="str">
        <f t="shared" si="67"/>
        <v>IRQPopulation, male</v>
      </c>
      <c r="C4323" t="s">
        <v>525</v>
      </c>
      <c r="D4323" t="s">
        <v>62</v>
      </c>
      <c r="E4323" t="s">
        <v>397</v>
      </c>
      <c r="F4323" t="s">
        <v>725</v>
      </c>
      <c r="G4323">
        <v>19892000</v>
      </c>
      <c r="H4323">
        <v>20358000</v>
      </c>
    </row>
    <row r="4324" spans="2:8" x14ac:dyDescent="0.25">
      <c r="B4324" t="str">
        <f t="shared" si="67"/>
        <v>IRQPopulation, total</v>
      </c>
      <c r="C4324" t="s">
        <v>525</v>
      </c>
      <c r="D4324" t="s">
        <v>62</v>
      </c>
      <c r="E4324" t="s">
        <v>398</v>
      </c>
      <c r="F4324" t="s">
        <v>726</v>
      </c>
      <c r="G4324">
        <v>39310000</v>
      </c>
      <c r="H4324">
        <v>40222000</v>
      </c>
    </row>
    <row r="4325" spans="2:8" x14ac:dyDescent="0.25">
      <c r="B4325" t="str">
        <f t="shared" si="67"/>
        <v>IRQPopulation, female</v>
      </c>
      <c r="C4325" t="s">
        <v>525</v>
      </c>
      <c r="D4325" t="s">
        <v>62</v>
      </c>
      <c r="E4325" t="s">
        <v>396</v>
      </c>
      <c r="F4325" t="s">
        <v>727</v>
      </c>
      <c r="G4325">
        <v>19418000</v>
      </c>
      <c r="H4325">
        <v>19865000</v>
      </c>
    </row>
    <row r="4326" spans="2:8" x14ac:dyDescent="0.25">
      <c r="B4326" t="str">
        <f t="shared" si="67"/>
        <v>IRQPopulation growth (annual %)</v>
      </c>
      <c r="C4326" t="s">
        <v>525</v>
      </c>
      <c r="D4326" t="s">
        <v>62</v>
      </c>
      <c r="E4326" t="s">
        <v>399</v>
      </c>
      <c r="F4326" t="s">
        <v>728</v>
      </c>
      <c r="G4326">
        <v>0</v>
      </c>
      <c r="H4326">
        <v>0</v>
      </c>
    </row>
    <row r="4327" spans="2:8" x14ac:dyDescent="0.25">
      <c r="B4327" t="str">
        <f t="shared" si="67"/>
        <v>IRLPopulation ages 0-14, female</v>
      </c>
      <c r="C4327" t="s">
        <v>526</v>
      </c>
      <c r="D4327" t="s">
        <v>60</v>
      </c>
      <c r="E4327" t="s">
        <v>687</v>
      </c>
      <c r="F4327" t="s">
        <v>688</v>
      </c>
      <c r="G4327">
        <v>505000</v>
      </c>
      <c r="H4327">
        <v>501000</v>
      </c>
    </row>
    <row r="4328" spans="2:8" x14ac:dyDescent="0.25">
      <c r="B4328" t="str">
        <f t="shared" si="67"/>
        <v>IRLPopulation ages 0-14, male</v>
      </c>
      <c r="C4328" t="s">
        <v>526</v>
      </c>
      <c r="D4328" t="s">
        <v>60</v>
      </c>
      <c r="E4328" t="s">
        <v>689</v>
      </c>
      <c r="F4328" t="s">
        <v>690</v>
      </c>
      <c r="G4328">
        <v>530000</v>
      </c>
      <c r="H4328">
        <v>527000</v>
      </c>
    </row>
    <row r="4329" spans="2:8" x14ac:dyDescent="0.25">
      <c r="B4329" t="str">
        <f t="shared" si="67"/>
        <v>IRLPopulation ages 00-04, female</v>
      </c>
      <c r="C4329" t="s">
        <v>526</v>
      </c>
      <c r="D4329" t="s">
        <v>60</v>
      </c>
      <c r="E4329" t="s">
        <v>362</v>
      </c>
      <c r="F4329" t="s">
        <v>691</v>
      </c>
      <c r="G4329">
        <v>156000</v>
      </c>
      <c r="H4329">
        <v>152000</v>
      </c>
    </row>
    <row r="4330" spans="2:8" x14ac:dyDescent="0.25">
      <c r="B4330" t="str">
        <f t="shared" si="67"/>
        <v>IRLPopulation ages 00-04, male</v>
      </c>
      <c r="C4330" t="s">
        <v>526</v>
      </c>
      <c r="D4330" t="s">
        <v>60</v>
      </c>
      <c r="E4330" t="s">
        <v>363</v>
      </c>
      <c r="F4330" t="s">
        <v>692</v>
      </c>
      <c r="G4330">
        <v>166000</v>
      </c>
      <c r="H4330">
        <v>161000</v>
      </c>
    </row>
    <row r="4331" spans="2:8" x14ac:dyDescent="0.25">
      <c r="B4331" t="str">
        <f t="shared" si="67"/>
        <v>IRLPopulation ages 05-09, female</v>
      </c>
      <c r="C4331" t="s">
        <v>526</v>
      </c>
      <c r="D4331" t="s">
        <v>60</v>
      </c>
      <c r="E4331" t="s">
        <v>364</v>
      </c>
      <c r="F4331" t="s">
        <v>693</v>
      </c>
      <c r="G4331">
        <v>177000</v>
      </c>
      <c r="H4331">
        <v>174000</v>
      </c>
    </row>
    <row r="4332" spans="2:8" x14ac:dyDescent="0.25">
      <c r="B4332" t="str">
        <f t="shared" si="67"/>
        <v>IRLPopulation ages 05-09, male</v>
      </c>
      <c r="C4332" t="s">
        <v>526</v>
      </c>
      <c r="D4332" t="s">
        <v>60</v>
      </c>
      <c r="E4332" t="s">
        <v>365</v>
      </c>
      <c r="F4332" t="s">
        <v>694</v>
      </c>
      <c r="G4332">
        <v>186000</v>
      </c>
      <c r="H4332">
        <v>184000</v>
      </c>
    </row>
    <row r="4333" spans="2:8" x14ac:dyDescent="0.25">
      <c r="B4333" t="str">
        <f t="shared" si="67"/>
        <v>IRLPopulation ages 10-14, female</v>
      </c>
      <c r="C4333" t="s">
        <v>526</v>
      </c>
      <c r="D4333" t="s">
        <v>60</v>
      </c>
      <c r="E4333" t="s">
        <v>366</v>
      </c>
      <c r="F4333" t="s">
        <v>695</v>
      </c>
      <c r="G4333">
        <v>172000</v>
      </c>
      <c r="H4333">
        <v>175000</v>
      </c>
    </row>
    <row r="4334" spans="2:8" x14ac:dyDescent="0.25">
      <c r="B4334" t="str">
        <f t="shared" si="67"/>
        <v>IRLPopulation ages 10-14, male</v>
      </c>
      <c r="C4334" t="s">
        <v>526</v>
      </c>
      <c r="D4334" t="s">
        <v>60</v>
      </c>
      <c r="E4334" t="s">
        <v>367</v>
      </c>
      <c r="F4334" t="s">
        <v>696</v>
      </c>
      <c r="G4334">
        <v>179000</v>
      </c>
      <c r="H4334">
        <v>182000</v>
      </c>
    </row>
    <row r="4335" spans="2:8" x14ac:dyDescent="0.25">
      <c r="B4335" t="str">
        <f t="shared" si="67"/>
        <v>IRLPopulation ages 15-19, female</v>
      </c>
      <c r="C4335" t="s">
        <v>526</v>
      </c>
      <c r="D4335" t="s">
        <v>60</v>
      </c>
      <c r="E4335" t="s">
        <v>368</v>
      </c>
      <c r="F4335" t="s">
        <v>697</v>
      </c>
      <c r="G4335">
        <v>150000</v>
      </c>
      <c r="H4335">
        <v>153000</v>
      </c>
    </row>
    <row r="4336" spans="2:8" x14ac:dyDescent="0.25">
      <c r="B4336" t="str">
        <f t="shared" si="67"/>
        <v>IRLPopulation ages 15-19, male</v>
      </c>
      <c r="C4336" t="s">
        <v>526</v>
      </c>
      <c r="D4336" t="s">
        <v>60</v>
      </c>
      <c r="E4336" t="s">
        <v>369</v>
      </c>
      <c r="F4336" t="s">
        <v>698</v>
      </c>
      <c r="G4336">
        <v>155000</v>
      </c>
      <c r="H4336">
        <v>159000</v>
      </c>
    </row>
    <row r="4337" spans="2:8" x14ac:dyDescent="0.25">
      <c r="B4337" t="str">
        <f t="shared" si="67"/>
        <v>IRLPopulation ages 20-24, female</v>
      </c>
      <c r="C4337" t="s">
        <v>526</v>
      </c>
      <c r="D4337" t="s">
        <v>60</v>
      </c>
      <c r="E4337" t="s">
        <v>370</v>
      </c>
      <c r="F4337" t="s">
        <v>699</v>
      </c>
      <c r="G4337">
        <v>140000</v>
      </c>
      <c r="H4337">
        <v>143000</v>
      </c>
    </row>
    <row r="4338" spans="2:8" x14ac:dyDescent="0.25">
      <c r="B4338" t="str">
        <f t="shared" si="67"/>
        <v>IRLPopulation ages 20-24, male</v>
      </c>
      <c r="C4338" t="s">
        <v>526</v>
      </c>
      <c r="D4338" t="s">
        <v>60</v>
      </c>
      <c r="E4338" t="s">
        <v>371</v>
      </c>
      <c r="F4338" t="s">
        <v>700</v>
      </c>
      <c r="G4338">
        <v>144000</v>
      </c>
      <c r="H4338">
        <v>147000</v>
      </c>
    </row>
    <row r="4339" spans="2:8" x14ac:dyDescent="0.25">
      <c r="B4339" t="str">
        <f t="shared" si="67"/>
        <v>IRLPopulation ages 25-29, female</v>
      </c>
      <c r="C4339" t="s">
        <v>526</v>
      </c>
      <c r="D4339" t="s">
        <v>60</v>
      </c>
      <c r="E4339" t="s">
        <v>372</v>
      </c>
      <c r="F4339" t="s">
        <v>701</v>
      </c>
      <c r="G4339">
        <v>136000</v>
      </c>
      <c r="H4339">
        <v>136000</v>
      </c>
    </row>
    <row r="4340" spans="2:8" x14ac:dyDescent="0.25">
      <c r="B4340" t="str">
        <f t="shared" si="67"/>
        <v>IRLPopulation ages 25-29, male</v>
      </c>
      <c r="C4340" t="s">
        <v>526</v>
      </c>
      <c r="D4340" t="s">
        <v>60</v>
      </c>
      <c r="E4340" t="s">
        <v>373</v>
      </c>
      <c r="F4340" t="s">
        <v>702</v>
      </c>
      <c r="G4340">
        <v>140000</v>
      </c>
      <c r="H4340">
        <v>141000</v>
      </c>
    </row>
    <row r="4341" spans="2:8" x14ac:dyDescent="0.25">
      <c r="B4341" t="str">
        <f t="shared" si="67"/>
        <v>IRLPopulation ages 30-34, female</v>
      </c>
      <c r="C4341" t="s">
        <v>526</v>
      </c>
      <c r="D4341" t="s">
        <v>60</v>
      </c>
      <c r="E4341" t="s">
        <v>374</v>
      </c>
      <c r="F4341" t="s">
        <v>703</v>
      </c>
      <c r="G4341">
        <v>162000</v>
      </c>
      <c r="H4341">
        <v>156000</v>
      </c>
    </row>
    <row r="4342" spans="2:8" x14ac:dyDescent="0.25">
      <c r="B4342" t="str">
        <f t="shared" si="67"/>
        <v>IRLPopulation ages 30-34, male</v>
      </c>
      <c r="C4342" t="s">
        <v>526</v>
      </c>
      <c r="D4342" t="s">
        <v>60</v>
      </c>
      <c r="E4342" t="s">
        <v>375</v>
      </c>
      <c r="F4342" t="s">
        <v>704</v>
      </c>
      <c r="G4342">
        <v>159000</v>
      </c>
      <c r="H4342">
        <v>155000</v>
      </c>
    </row>
    <row r="4343" spans="2:8" x14ac:dyDescent="0.25">
      <c r="B4343" t="str">
        <f t="shared" si="67"/>
        <v>IRLPopulation ages 35-39, female</v>
      </c>
      <c r="C4343" t="s">
        <v>526</v>
      </c>
      <c r="D4343" t="s">
        <v>60</v>
      </c>
      <c r="E4343" t="s">
        <v>376</v>
      </c>
      <c r="F4343" t="s">
        <v>705</v>
      </c>
      <c r="G4343">
        <v>202000</v>
      </c>
      <c r="H4343">
        <v>198000</v>
      </c>
    </row>
    <row r="4344" spans="2:8" x14ac:dyDescent="0.25">
      <c r="B4344" t="str">
        <f t="shared" si="67"/>
        <v>IRLPopulation ages 35-39, male</v>
      </c>
      <c r="C4344" t="s">
        <v>526</v>
      </c>
      <c r="D4344" t="s">
        <v>60</v>
      </c>
      <c r="E4344" t="s">
        <v>377</v>
      </c>
      <c r="F4344" t="s">
        <v>706</v>
      </c>
      <c r="G4344">
        <v>189000</v>
      </c>
      <c r="H4344">
        <v>187000</v>
      </c>
    </row>
    <row r="4345" spans="2:8" x14ac:dyDescent="0.25">
      <c r="B4345" t="str">
        <f t="shared" si="67"/>
        <v>IRLPopulation ages 40-44, female</v>
      </c>
      <c r="C4345" t="s">
        <v>526</v>
      </c>
      <c r="D4345" t="s">
        <v>60</v>
      </c>
      <c r="E4345" t="s">
        <v>378</v>
      </c>
      <c r="F4345" t="s">
        <v>707</v>
      </c>
      <c r="G4345">
        <v>201000</v>
      </c>
      <c r="H4345">
        <v>203000</v>
      </c>
    </row>
    <row r="4346" spans="2:8" x14ac:dyDescent="0.25">
      <c r="B4346" t="str">
        <f t="shared" si="67"/>
        <v>IRLPopulation ages 40-44, male</v>
      </c>
      <c r="C4346" t="s">
        <v>526</v>
      </c>
      <c r="D4346" t="s">
        <v>60</v>
      </c>
      <c r="E4346" t="s">
        <v>379</v>
      </c>
      <c r="F4346" t="s">
        <v>708</v>
      </c>
      <c r="G4346">
        <v>191000</v>
      </c>
      <c r="H4346">
        <v>192000</v>
      </c>
    </row>
    <row r="4347" spans="2:8" x14ac:dyDescent="0.25">
      <c r="B4347" t="str">
        <f t="shared" si="67"/>
        <v>IRLPopulation ages 45-49, female</v>
      </c>
      <c r="C4347" t="s">
        <v>526</v>
      </c>
      <c r="D4347" t="s">
        <v>60</v>
      </c>
      <c r="E4347" t="s">
        <v>380</v>
      </c>
      <c r="F4347" t="s">
        <v>709</v>
      </c>
      <c r="G4347">
        <v>180000</v>
      </c>
      <c r="H4347">
        <v>186000</v>
      </c>
    </row>
    <row r="4348" spans="2:8" x14ac:dyDescent="0.25">
      <c r="B4348" t="str">
        <f t="shared" si="67"/>
        <v>IRLPopulation ages 45-49, male</v>
      </c>
      <c r="C4348" t="s">
        <v>526</v>
      </c>
      <c r="D4348" t="s">
        <v>60</v>
      </c>
      <c r="E4348" t="s">
        <v>381</v>
      </c>
      <c r="F4348" t="s">
        <v>710</v>
      </c>
      <c r="G4348">
        <v>177000</v>
      </c>
      <c r="H4348">
        <v>182000</v>
      </c>
    </row>
    <row r="4349" spans="2:8" x14ac:dyDescent="0.25">
      <c r="B4349" t="str">
        <f t="shared" si="67"/>
        <v>IRLPopulation ages 50-54, female</v>
      </c>
      <c r="C4349" t="s">
        <v>526</v>
      </c>
      <c r="D4349" t="s">
        <v>60</v>
      </c>
      <c r="E4349" t="s">
        <v>382</v>
      </c>
      <c r="F4349" t="s">
        <v>711</v>
      </c>
      <c r="G4349">
        <v>154000</v>
      </c>
      <c r="H4349">
        <v>157000</v>
      </c>
    </row>
    <row r="4350" spans="2:8" x14ac:dyDescent="0.25">
      <c r="B4350" t="str">
        <f t="shared" si="67"/>
        <v>IRLPopulation ages 50-54, male</v>
      </c>
      <c r="C4350" t="s">
        <v>526</v>
      </c>
      <c r="D4350" t="s">
        <v>60</v>
      </c>
      <c r="E4350" t="s">
        <v>383</v>
      </c>
      <c r="F4350" t="s">
        <v>712</v>
      </c>
      <c r="G4350">
        <v>152000</v>
      </c>
      <c r="H4350">
        <v>155000</v>
      </c>
    </row>
    <row r="4351" spans="2:8" x14ac:dyDescent="0.25">
      <c r="B4351" t="str">
        <f t="shared" si="67"/>
        <v>IRLPopulation ages 55-59, male</v>
      </c>
      <c r="C4351" t="s">
        <v>526</v>
      </c>
      <c r="D4351" t="s">
        <v>60</v>
      </c>
      <c r="E4351" t="s">
        <v>385</v>
      </c>
      <c r="F4351" t="s">
        <v>713</v>
      </c>
      <c r="G4351">
        <v>140000</v>
      </c>
      <c r="H4351">
        <v>143000</v>
      </c>
    </row>
    <row r="4352" spans="2:8" x14ac:dyDescent="0.25">
      <c r="B4352" t="str">
        <f t="shared" si="67"/>
        <v>IRLPopulation ages 55-59, female</v>
      </c>
      <c r="C4352" t="s">
        <v>526</v>
      </c>
      <c r="D4352" t="s">
        <v>60</v>
      </c>
      <c r="E4352" t="s">
        <v>384</v>
      </c>
      <c r="F4352" t="s">
        <v>714</v>
      </c>
      <c r="G4352">
        <v>143000</v>
      </c>
      <c r="H4352">
        <v>145000</v>
      </c>
    </row>
    <row r="4353" spans="2:8" x14ac:dyDescent="0.25">
      <c r="B4353" t="str">
        <f t="shared" si="67"/>
        <v>IRLPopulation ages 65-69, male</v>
      </c>
      <c r="C4353" t="s">
        <v>526</v>
      </c>
      <c r="D4353" t="s">
        <v>60</v>
      </c>
      <c r="E4353" t="s">
        <v>389</v>
      </c>
      <c r="F4353" t="s">
        <v>715</v>
      </c>
      <c r="G4353">
        <v>112000</v>
      </c>
      <c r="H4353">
        <v>113000</v>
      </c>
    </row>
    <row r="4354" spans="2:8" x14ac:dyDescent="0.25">
      <c r="B4354" t="str">
        <f t="shared" si="67"/>
        <v>IRLPopulation ages 65-69, female</v>
      </c>
      <c r="C4354" t="s">
        <v>526</v>
      </c>
      <c r="D4354" t="s">
        <v>60</v>
      </c>
      <c r="E4354" t="s">
        <v>388</v>
      </c>
      <c r="F4354" t="s">
        <v>716</v>
      </c>
      <c r="G4354">
        <v>116000</v>
      </c>
      <c r="H4354">
        <v>117000</v>
      </c>
    </row>
    <row r="4355" spans="2:8" x14ac:dyDescent="0.25">
      <c r="B4355" t="str">
        <f t="shared" si="67"/>
        <v>IRLPopulation ages 60-64, female</v>
      </c>
      <c r="C4355" t="s">
        <v>526</v>
      </c>
      <c r="D4355" t="s">
        <v>60</v>
      </c>
      <c r="E4355" t="s">
        <v>386</v>
      </c>
      <c r="F4355" t="s">
        <v>717</v>
      </c>
      <c r="G4355">
        <v>125000</v>
      </c>
      <c r="H4355">
        <v>127000</v>
      </c>
    </row>
    <row r="4356" spans="2:8" x14ac:dyDescent="0.25">
      <c r="B4356" t="str">
        <f t="shared" si="67"/>
        <v>IRLPopulation ages 60-64, male</v>
      </c>
      <c r="C4356" t="s">
        <v>526</v>
      </c>
      <c r="D4356" t="s">
        <v>60</v>
      </c>
      <c r="E4356" t="s">
        <v>387</v>
      </c>
      <c r="F4356" t="s">
        <v>718</v>
      </c>
      <c r="G4356">
        <v>121000</v>
      </c>
      <c r="H4356">
        <v>123000</v>
      </c>
    </row>
    <row r="4357" spans="2:8" x14ac:dyDescent="0.25">
      <c r="B4357" t="str">
        <f t="shared" si="67"/>
        <v>IRLPopulation ages 70-74, female</v>
      </c>
      <c r="C4357" t="s">
        <v>526</v>
      </c>
      <c r="D4357" t="s">
        <v>60</v>
      </c>
      <c r="E4357" t="s">
        <v>390</v>
      </c>
      <c r="F4357" t="s">
        <v>719</v>
      </c>
      <c r="G4357">
        <v>97000</v>
      </c>
      <c r="H4357">
        <v>101000</v>
      </c>
    </row>
    <row r="4358" spans="2:8" x14ac:dyDescent="0.25">
      <c r="B4358" t="str">
        <f t="shared" si="67"/>
        <v>IRLPopulation ages 70-74, male</v>
      </c>
      <c r="C4358" t="s">
        <v>526</v>
      </c>
      <c r="D4358" t="s">
        <v>60</v>
      </c>
      <c r="E4358" t="s">
        <v>391</v>
      </c>
      <c r="F4358" t="s">
        <v>720</v>
      </c>
      <c r="G4358">
        <v>92000</v>
      </c>
      <c r="H4358">
        <v>96000</v>
      </c>
    </row>
    <row r="4359" spans="2:8" x14ac:dyDescent="0.25">
      <c r="B4359" t="str">
        <f t="shared" ref="B4359:B4422" si="68">CONCATENATE(D4359,E4359)</f>
        <v>IRLPopulation ages 75-79, female</v>
      </c>
      <c r="C4359" t="s">
        <v>526</v>
      </c>
      <c r="D4359" t="s">
        <v>60</v>
      </c>
      <c r="E4359" t="s">
        <v>392</v>
      </c>
      <c r="F4359" t="s">
        <v>721</v>
      </c>
      <c r="G4359">
        <v>66000</v>
      </c>
      <c r="H4359">
        <v>70000</v>
      </c>
    </row>
    <row r="4360" spans="2:8" x14ac:dyDescent="0.25">
      <c r="B4360" t="str">
        <f t="shared" si="68"/>
        <v>IRLPopulation ages 75-79, male</v>
      </c>
      <c r="C4360" t="s">
        <v>526</v>
      </c>
      <c r="D4360" t="s">
        <v>60</v>
      </c>
      <c r="E4360" t="s">
        <v>393</v>
      </c>
      <c r="F4360" t="s">
        <v>722</v>
      </c>
      <c r="G4360">
        <v>60000</v>
      </c>
      <c r="H4360">
        <v>64000</v>
      </c>
    </row>
    <row r="4361" spans="2:8" x14ac:dyDescent="0.25">
      <c r="B4361" t="str">
        <f t="shared" si="68"/>
        <v>IRLPopulation ages 80 and above, female</v>
      </c>
      <c r="C4361" t="s">
        <v>526</v>
      </c>
      <c r="D4361" t="s">
        <v>60</v>
      </c>
      <c r="E4361" t="s">
        <v>394</v>
      </c>
      <c r="F4361" t="s">
        <v>723</v>
      </c>
      <c r="G4361">
        <v>89000</v>
      </c>
      <c r="H4361">
        <v>92000</v>
      </c>
    </row>
    <row r="4362" spans="2:8" x14ac:dyDescent="0.25">
      <c r="B4362" t="str">
        <f t="shared" si="68"/>
        <v>IRLPopulation ages 80 and above, male</v>
      </c>
      <c r="C4362" t="s">
        <v>526</v>
      </c>
      <c r="D4362" t="s">
        <v>60</v>
      </c>
      <c r="E4362" t="s">
        <v>395</v>
      </c>
      <c r="F4362" t="s">
        <v>724</v>
      </c>
      <c r="G4362">
        <v>63000</v>
      </c>
      <c r="H4362">
        <v>66000</v>
      </c>
    </row>
    <row r="4363" spans="2:8" x14ac:dyDescent="0.25">
      <c r="B4363" t="str">
        <f t="shared" si="68"/>
        <v>IRLPopulation, male</v>
      </c>
      <c r="C4363" t="s">
        <v>526</v>
      </c>
      <c r="D4363" t="s">
        <v>60</v>
      </c>
      <c r="E4363" t="s">
        <v>397</v>
      </c>
      <c r="F4363" t="s">
        <v>725</v>
      </c>
      <c r="G4363">
        <v>2428000</v>
      </c>
      <c r="H4363">
        <v>2449000</v>
      </c>
    </row>
    <row r="4364" spans="2:8" x14ac:dyDescent="0.25">
      <c r="B4364" t="str">
        <f t="shared" si="68"/>
        <v>IRLPopulation, total</v>
      </c>
      <c r="C4364" t="s">
        <v>526</v>
      </c>
      <c r="D4364" t="s">
        <v>60</v>
      </c>
      <c r="E4364" t="s">
        <v>398</v>
      </c>
      <c r="F4364" t="s">
        <v>726</v>
      </c>
      <c r="G4364">
        <v>4893000</v>
      </c>
      <c r="H4364">
        <v>4933000</v>
      </c>
    </row>
    <row r="4365" spans="2:8" x14ac:dyDescent="0.25">
      <c r="B4365" t="str">
        <f t="shared" si="68"/>
        <v>IRLPopulation, female</v>
      </c>
      <c r="C4365" t="s">
        <v>526</v>
      </c>
      <c r="D4365" t="s">
        <v>60</v>
      </c>
      <c r="E4365" t="s">
        <v>396</v>
      </c>
      <c r="F4365" t="s">
        <v>727</v>
      </c>
      <c r="G4365">
        <v>2465000</v>
      </c>
      <c r="H4365">
        <v>2484000</v>
      </c>
    </row>
    <row r="4366" spans="2:8" x14ac:dyDescent="0.25">
      <c r="B4366" t="str">
        <f t="shared" si="68"/>
        <v>IRLPopulation growth (annual %)</v>
      </c>
      <c r="C4366" t="s">
        <v>526</v>
      </c>
      <c r="D4366" t="s">
        <v>60</v>
      </c>
      <c r="E4366" t="s">
        <v>399</v>
      </c>
      <c r="F4366" t="s">
        <v>728</v>
      </c>
      <c r="G4366">
        <v>0</v>
      </c>
      <c r="H4366">
        <v>0</v>
      </c>
    </row>
    <row r="4367" spans="2:8" x14ac:dyDescent="0.25">
      <c r="B4367" t="str">
        <f t="shared" si="68"/>
        <v>IMNPopulation ages 0-14, female</v>
      </c>
      <c r="C4367" t="s">
        <v>527</v>
      </c>
      <c r="D4367" t="s">
        <v>528</v>
      </c>
      <c r="E4367" t="s">
        <v>687</v>
      </c>
      <c r="F4367" t="s">
        <v>688</v>
      </c>
      <c r="G4367">
        <v>0</v>
      </c>
      <c r="H4367">
        <v>0</v>
      </c>
    </row>
    <row r="4368" spans="2:8" x14ac:dyDescent="0.25">
      <c r="B4368" t="str">
        <f t="shared" si="68"/>
        <v>IMNPopulation ages 0-14, male</v>
      </c>
      <c r="C4368" t="s">
        <v>527</v>
      </c>
      <c r="D4368" t="s">
        <v>528</v>
      </c>
      <c r="E4368" t="s">
        <v>689</v>
      </c>
      <c r="F4368" t="s">
        <v>690</v>
      </c>
      <c r="G4368">
        <v>0</v>
      </c>
      <c r="H4368">
        <v>0</v>
      </c>
    </row>
    <row r="4369" spans="2:8" x14ac:dyDescent="0.25">
      <c r="B4369" t="str">
        <f t="shared" si="68"/>
        <v>IMNPopulation ages 00-04, female</v>
      </c>
      <c r="C4369" t="s">
        <v>527</v>
      </c>
      <c r="D4369" t="s">
        <v>528</v>
      </c>
      <c r="E4369" t="s">
        <v>362</v>
      </c>
      <c r="F4369" t="s">
        <v>691</v>
      </c>
      <c r="G4369">
        <v>0</v>
      </c>
      <c r="H4369">
        <v>0</v>
      </c>
    </row>
    <row r="4370" spans="2:8" x14ac:dyDescent="0.25">
      <c r="B4370" t="str">
        <f t="shared" si="68"/>
        <v>IMNPopulation ages 00-04, male</v>
      </c>
      <c r="C4370" t="s">
        <v>527</v>
      </c>
      <c r="D4370" t="s">
        <v>528</v>
      </c>
      <c r="E4370" t="s">
        <v>363</v>
      </c>
      <c r="F4370" t="s">
        <v>692</v>
      </c>
      <c r="G4370">
        <v>0</v>
      </c>
      <c r="H4370">
        <v>0</v>
      </c>
    </row>
    <row r="4371" spans="2:8" x14ac:dyDescent="0.25">
      <c r="B4371" t="str">
        <f t="shared" si="68"/>
        <v>IMNPopulation ages 05-09, female</v>
      </c>
      <c r="C4371" t="s">
        <v>527</v>
      </c>
      <c r="D4371" t="s">
        <v>528</v>
      </c>
      <c r="E4371" t="s">
        <v>364</v>
      </c>
      <c r="F4371" t="s">
        <v>693</v>
      </c>
      <c r="G4371">
        <v>0</v>
      </c>
      <c r="H4371">
        <v>0</v>
      </c>
    </row>
    <row r="4372" spans="2:8" x14ac:dyDescent="0.25">
      <c r="B4372" t="str">
        <f t="shared" si="68"/>
        <v>IMNPopulation ages 05-09, male</v>
      </c>
      <c r="C4372" t="s">
        <v>527</v>
      </c>
      <c r="D4372" t="s">
        <v>528</v>
      </c>
      <c r="E4372" t="s">
        <v>365</v>
      </c>
      <c r="F4372" t="s">
        <v>694</v>
      </c>
      <c r="G4372">
        <v>0</v>
      </c>
      <c r="H4372">
        <v>0</v>
      </c>
    </row>
    <row r="4373" spans="2:8" x14ac:dyDescent="0.25">
      <c r="B4373" t="str">
        <f t="shared" si="68"/>
        <v>IMNPopulation ages 10-14, female</v>
      </c>
      <c r="C4373" t="s">
        <v>527</v>
      </c>
      <c r="D4373" t="s">
        <v>528</v>
      </c>
      <c r="E4373" t="s">
        <v>366</v>
      </c>
      <c r="F4373" t="s">
        <v>695</v>
      </c>
      <c r="G4373">
        <v>0</v>
      </c>
      <c r="H4373">
        <v>0</v>
      </c>
    </row>
    <row r="4374" spans="2:8" x14ac:dyDescent="0.25">
      <c r="B4374" t="str">
        <f t="shared" si="68"/>
        <v>IMNPopulation ages 10-14, male</v>
      </c>
      <c r="C4374" t="s">
        <v>527</v>
      </c>
      <c r="D4374" t="s">
        <v>528</v>
      </c>
      <c r="E4374" t="s">
        <v>367</v>
      </c>
      <c r="F4374" t="s">
        <v>696</v>
      </c>
      <c r="G4374">
        <v>0</v>
      </c>
      <c r="H4374">
        <v>0</v>
      </c>
    </row>
    <row r="4375" spans="2:8" x14ac:dyDescent="0.25">
      <c r="B4375" t="str">
        <f t="shared" si="68"/>
        <v>IMNPopulation ages 15-19, female</v>
      </c>
      <c r="C4375" t="s">
        <v>527</v>
      </c>
      <c r="D4375" t="s">
        <v>528</v>
      </c>
      <c r="E4375" t="s">
        <v>368</v>
      </c>
      <c r="F4375" t="s">
        <v>697</v>
      </c>
      <c r="G4375">
        <v>0</v>
      </c>
      <c r="H4375">
        <v>0</v>
      </c>
    </row>
    <row r="4376" spans="2:8" x14ac:dyDescent="0.25">
      <c r="B4376" t="str">
        <f t="shared" si="68"/>
        <v>IMNPopulation ages 15-19, male</v>
      </c>
      <c r="C4376" t="s">
        <v>527</v>
      </c>
      <c r="D4376" t="s">
        <v>528</v>
      </c>
      <c r="E4376" t="s">
        <v>369</v>
      </c>
      <c r="F4376" t="s">
        <v>698</v>
      </c>
      <c r="G4376">
        <v>0</v>
      </c>
      <c r="H4376">
        <v>0</v>
      </c>
    </row>
    <row r="4377" spans="2:8" x14ac:dyDescent="0.25">
      <c r="B4377" t="str">
        <f t="shared" si="68"/>
        <v>IMNPopulation ages 20-24, female</v>
      </c>
      <c r="C4377" t="s">
        <v>527</v>
      </c>
      <c r="D4377" t="s">
        <v>528</v>
      </c>
      <c r="E4377" t="s">
        <v>370</v>
      </c>
      <c r="F4377" t="s">
        <v>699</v>
      </c>
      <c r="G4377">
        <v>0</v>
      </c>
      <c r="H4377">
        <v>0</v>
      </c>
    </row>
    <row r="4378" spans="2:8" x14ac:dyDescent="0.25">
      <c r="B4378" t="str">
        <f t="shared" si="68"/>
        <v>IMNPopulation ages 20-24, male</v>
      </c>
      <c r="C4378" t="s">
        <v>527</v>
      </c>
      <c r="D4378" t="s">
        <v>528</v>
      </c>
      <c r="E4378" t="s">
        <v>371</v>
      </c>
      <c r="F4378" t="s">
        <v>700</v>
      </c>
      <c r="G4378">
        <v>0</v>
      </c>
      <c r="H4378">
        <v>0</v>
      </c>
    </row>
    <row r="4379" spans="2:8" x14ac:dyDescent="0.25">
      <c r="B4379" t="str">
        <f t="shared" si="68"/>
        <v>IMNPopulation ages 25-29, female</v>
      </c>
      <c r="C4379" t="s">
        <v>527</v>
      </c>
      <c r="D4379" t="s">
        <v>528</v>
      </c>
      <c r="E4379" t="s">
        <v>372</v>
      </c>
      <c r="F4379" t="s">
        <v>701</v>
      </c>
      <c r="G4379">
        <v>0</v>
      </c>
      <c r="H4379">
        <v>0</v>
      </c>
    </row>
    <row r="4380" spans="2:8" x14ac:dyDescent="0.25">
      <c r="B4380" t="str">
        <f t="shared" si="68"/>
        <v>IMNPopulation ages 25-29, male</v>
      </c>
      <c r="C4380" t="s">
        <v>527</v>
      </c>
      <c r="D4380" t="s">
        <v>528</v>
      </c>
      <c r="E4380" t="s">
        <v>373</v>
      </c>
      <c r="F4380" t="s">
        <v>702</v>
      </c>
      <c r="G4380">
        <v>0</v>
      </c>
      <c r="H4380">
        <v>0</v>
      </c>
    </row>
    <row r="4381" spans="2:8" x14ac:dyDescent="0.25">
      <c r="B4381" t="str">
        <f t="shared" si="68"/>
        <v>IMNPopulation ages 30-34, female</v>
      </c>
      <c r="C4381" t="s">
        <v>527</v>
      </c>
      <c r="D4381" t="s">
        <v>528</v>
      </c>
      <c r="E4381" t="s">
        <v>374</v>
      </c>
      <c r="F4381" t="s">
        <v>703</v>
      </c>
      <c r="G4381">
        <v>0</v>
      </c>
      <c r="H4381">
        <v>0</v>
      </c>
    </row>
    <row r="4382" spans="2:8" x14ac:dyDescent="0.25">
      <c r="B4382" t="str">
        <f t="shared" si="68"/>
        <v>IMNPopulation ages 30-34, male</v>
      </c>
      <c r="C4382" t="s">
        <v>527</v>
      </c>
      <c r="D4382" t="s">
        <v>528</v>
      </c>
      <c r="E4382" t="s">
        <v>375</v>
      </c>
      <c r="F4382" t="s">
        <v>704</v>
      </c>
      <c r="G4382">
        <v>0</v>
      </c>
      <c r="H4382">
        <v>0</v>
      </c>
    </row>
    <row r="4383" spans="2:8" x14ac:dyDescent="0.25">
      <c r="B4383" t="str">
        <f t="shared" si="68"/>
        <v>IMNPopulation ages 35-39, female</v>
      </c>
      <c r="C4383" t="s">
        <v>527</v>
      </c>
      <c r="D4383" t="s">
        <v>528</v>
      </c>
      <c r="E4383" t="s">
        <v>376</v>
      </c>
      <c r="F4383" t="s">
        <v>705</v>
      </c>
      <c r="G4383">
        <v>0</v>
      </c>
      <c r="H4383">
        <v>0</v>
      </c>
    </row>
    <row r="4384" spans="2:8" x14ac:dyDescent="0.25">
      <c r="B4384" t="str">
        <f t="shared" si="68"/>
        <v>IMNPopulation ages 35-39, male</v>
      </c>
      <c r="C4384" t="s">
        <v>527</v>
      </c>
      <c r="D4384" t="s">
        <v>528</v>
      </c>
      <c r="E4384" t="s">
        <v>377</v>
      </c>
      <c r="F4384" t="s">
        <v>706</v>
      </c>
      <c r="G4384">
        <v>0</v>
      </c>
      <c r="H4384">
        <v>0</v>
      </c>
    </row>
    <row r="4385" spans="2:8" x14ac:dyDescent="0.25">
      <c r="B4385" t="str">
        <f t="shared" si="68"/>
        <v>IMNPopulation ages 40-44, female</v>
      </c>
      <c r="C4385" t="s">
        <v>527</v>
      </c>
      <c r="D4385" t="s">
        <v>528</v>
      </c>
      <c r="E4385" t="s">
        <v>378</v>
      </c>
      <c r="F4385" t="s">
        <v>707</v>
      </c>
      <c r="G4385">
        <v>0</v>
      </c>
      <c r="H4385">
        <v>0</v>
      </c>
    </row>
    <row r="4386" spans="2:8" x14ac:dyDescent="0.25">
      <c r="B4386" t="str">
        <f t="shared" si="68"/>
        <v>IMNPopulation ages 40-44, male</v>
      </c>
      <c r="C4386" t="s">
        <v>527</v>
      </c>
      <c r="D4386" t="s">
        <v>528</v>
      </c>
      <c r="E4386" t="s">
        <v>379</v>
      </c>
      <c r="F4386" t="s">
        <v>708</v>
      </c>
      <c r="G4386">
        <v>0</v>
      </c>
      <c r="H4386">
        <v>0</v>
      </c>
    </row>
    <row r="4387" spans="2:8" x14ac:dyDescent="0.25">
      <c r="B4387" t="str">
        <f t="shared" si="68"/>
        <v>IMNPopulation ages 45-49, female</v>
      </c>
      <c r="C4387" t="s">
        <v>527</v>
      </c>
      <c r="D4387" t="s">
        <v>528</v>
      </c>
      <c r="E4387" t="s">
        <v>380</v>
      </c>
      <c r="F4387" t="s">
        <v>709</v>
      </c>
      <c r="G4387">
        <v>0</v>
      </c>
      <c r="H4387">
        <v>0</v>
      </c>
    </row>
    <row r="4388" spans="2:8" x14ac:dyDescent="0.25">
      <c r="B4388" t="str">
        <f t="shared" si="68"/>
        <v>IMNPopulation ages 45-49, male</v>
      </c>
      <c r="C4388" t="s">
        <v>527</v>
      </c>
      <c r="D4388" t="s">
        <v>528</v>
      </c>
      <c r="E4388" t="s">
        <v>381</v>
      </c>
      <c r="F4388" t="s">
        <v>710</v>
      </c>
      <c r="G4388">
        <v>0</v>
      </c>
      <c r="H4388">
        <v>0</v>
      </c>
    </row>
    <row r="4389" spans="2:8" x14ac:dyDescent="0.25">
      <c r="B4389" t="str">
        <f t="shared" si="68"/>
        <v>IMNPopulation ages 50-54, female</v>
      </c>
      <c r="C4389" t="s">
        <v>527</v>
      </c>
      <c r="D4389" t="s">
        <v>528</v>
      </c>
      <c r="E4389" t="s">
        <v>382</v>
      </c>
      <c r="F4389" t="s">
        <v>711</v>
      </c>
      <c r="G4389">
        <v>0</v>
      </c>
      <c r="H4389">
        <v>0</v>
      </c>
    </row>
    <row r="4390" spans="2:8" x14ac:dyDescent="0.25">
      <c r="B4390" t="str">
        <f t="shared" si="68"/>
        <v>IMNPopulation ages 50-54, male</v>
      </c>
      <c r="C4390" t="s">
        <v>527</v>
      </c>
      <c r="D4390" t="s">
        <v>528</v>
      </c>
      <c r="E4390" t="s">
        <v>383</v>
      </c>
      <c r="F4390" t="s">
        <v>712</v>
      </c>
      <c r="G4390">
        <v>0</v>
      </c>
      <c r="H4390">
        <v>0</v>
      </c>
    </row>
    <row r="4391" spans="2:8" x14ac:dyDescent="0.25">
      <c r="B4391" t="str">
        <f t="shared" si="68"/>
        <v>IMNPopulation ages 55-59, male</v>
      </c>
      <c r="C4391" t="s">
        <v>527</v>
      </c>
      <c r="D4391" t="s">
        <v>528</v>
      </c>
      <c r="E4391" t="s">
        <v>385</v>
      </c>
      <c r="F4391" t="s">
        <v>713</v>
      </c>
      <c r="G4391">
        <v>0</v>
      </c>
      <c r="H4391">
        <v>0</v>
      </c>
    </row>
    <row r="4392" spans="2:8" x14ac:dyDescent="0.25">
      <c r="B4392" t="str">
        <f t="shared" si="68"/>
        <v>IMNPopulation ages 55-59, female</v>
      </c>
      <c r="C4392" t="s">
        <v>527</v>
      </c>
      <c r="D4392" t="s">
        <v>528</v>
      </c>
      <c r="E4392" t="s">
        <v>384</v>
      </c>
      <c r="F4392" t="s">
        <v>714</v>
      </c>
      <c r="G4392">
        <v>0</v>
      </c>
      <c r="H4392">
        <v>0</v>
      </c>
    </row>
    <row r="4393" spans="2:8" x14ac:dyDescent="0.25">
      <c r="B4393" t="str">
        <f t="shared" si="68"/>
        <v>IMNPopulation ages 65-69, male</v>
      </c>
      <c r="C4393" t="s">
        <v>527</v>
      </c>
      <c r="D4393" t="s">
        <v>528</v>
      </c>
      <c r="E4393" t="s">
        <v>389</v>
      </c>
      <c r="F4393" t="s">
        <v>715</v>
      </c>
      <c r="G4393">
        <v>0</v>
      </c>
      <c r="H4393">
        <v>0</v>
      </c>
    </row>
    <row r="4394" spans="2:8" x14ac:dyDescent="0.25">
      <c r="B4394" t="str">
        <f t="shared" si="68"/>
        <v>IMNPopulation ages 65-69, female</v>
      </c>
      <c r="C4394" t="s">
        <v>527</v>
      </c>
      <c r="D4394" t="s">
        <v>528</v>
      </c>
      <c r="E4394" t="s">
        <v>388</v>
      </c>
      <c r="F4394" t="s">
        <v>716</v>
      </c>
      <c r="G4394">
        <v>0</v>
      </c>
      <c r="H4394">
        <v>0</v>
      </c>
    </row>
    <row r="4395" spans="2:8" x14ac:dyDescent="0.25">
      <c r="B4395" t="str">
        <f t="shared" si="68"/>
        <v>IMNPopulation ages 60-64, female</v>
      </c>
      <c r="C4395" t="s">
        <v>527</v>
      </c>
      <c r="D4395" t="s">
        <v>528</v>
      </c>
      <c r="E4395" t="s">
        <v>386</v>
      </c>
      <c r="F4395" t="s">
        <v>717</v>
      </c>
      <c r="G4395">
        <v>0</v>
      </c>
      <c r="H4395">
        <v>0</v>
      </c>
    </row>
    <row r="4396" spans="2:8" x14ac:dyDescent="0.25">
      <c r="B4396" t="str">
        <f t="shared" si="68"/>
        <v>IMNPopulation ages 60-64, male</v>
      </c>
      <c r="C4396" t="s">
        <v>527</v>
      </c>
      <c r="D4396" t="s">
        <v>528</v>
      </c>
      <c r="E4396" t="s">
        <v>387</v>
      </c>
      <c r="F4396" t="s">
        <v>718</v>
      </c>
      <c r="G4396">
        <v>0</v>
      </c>
      <c r="H4396">
        <v>0</v>
      </c>
    </row>
    <row r="4397" spans="2:8" x14ac:dyDescent="0.25">
      <c r="B4397" t="str">
        <f t="shared" si="68"/>
        <v>IMNPopulation ages 70-74, female</v>
      </c>
      <c r="C4397" t="s">
        <v>527</v>
      </c>
      <c r="D4397" t="s">
        <v>528</v>
      </c>
      <c r="E4397" t="s">
        <v>390</v>
      </c>
      <c r="F4397" t="s">
        <v>719</v>
      </c>
      <c r="G4397">
        <v>0</v>
      </c>
      <c r="H4397">
        <v>0</v>
      </c>
    </row>
    <row r="4398" spans="2:8" x14ac:dyDescent="0.25">
      <c r="B4398" t="str">
        <f t="shared" si="68"/>
        <v>IMNPopulation ages 70-74, male</v>
      </c>
      <c r="C4398" t="s">
        <v>527</v>
      </c>
      <c r="D4398" t="s">
        <v>528</v>
      </c>
      <c r="E4398" t="s">
        <v>391</v>
      </c>
      <c r="F4398" t="s">
        <v>720</v>
      </c>
      <c r="G4398">
        <v>0</v>
      </c>
      <c r="H4398">
        <v>0</v>
      </c>
    </row>
    <row r="4399" spans="2:8" x14ac:dyDescent="0.25">
      <c r="B4399" t="str">
        <f t="shared" si="68"/>
        <v>IMNPopulation ages 75-79, female</v>
      </c>
      <c r="C4399" t="s">
        <v>527</v>
      </c>
      <c r="D4399" t="s">
        <v>528</v>
      </c>
      <c r="E4399" t="s">
        <v>392</v>
      </c>
      <c r="F4399" t="s">
        <v>721</v>
      </c>
      <c r="G4399">
        <v>0</v>
      </c>
      <c r="H4399">
        <v>0</v>
      </c>
    </row>
    <row r="4400" spans="2:8" x14ac:dyDescent="0.25">
      <c r="B4400" t="str">
        <f t="shared" si="68"/>
        <v>IMNPopulation ages 75-79, male</v>
      </c>
      <c r="C4400" t="s">
        <v>527</v>
      </c>
      <c r="D4400" t="s">
        <v>528</v>
      </c>
      <c r="E4400" t="s">
        <v>393</v>
      </c>
      <c r="F4400" t="s">
        <v>722</v>
      </c>
      <c r="G4400">
        <v>0</v>
      </c>
      <c r="H4400">
        <v>0</v>
      </c>
    </row>
    <row r="4401" spans="2:8" x14ac:dyDescent="0.25">
      <c r="B4401" t="str">
        <f t="shared" si="68"/>
        <v>IMNPopulation ages 80 and above, female</v>
      </c>
      <c r="C4401" t="s">
        <v>527</v>
      </c>
      <c r="D4401" t="s">
        <v>528</v>
      </c>
      <c r="E4401" t="s">
        <v>394</v>
      </c>
      <c r="F4401" t="s">
        <v>723</v>
      </c>
      <c r="G4401">
        <v>0</v>
      </c>
      <c r="H4401">
        <v>0</v>
      </c>
    </row>
    <row r="4402" spans="2:8" x14ac:dyDescent="0.25">
      <c r="B4402" t="str">
        <f t="shared" si="68"/>
        <v>IMNPopulation ages 80 and above, male</v>
      </c>
      <c r="C4402" t="s">
        <v>527</v>
      </c>
      <c r="D4402" t="s">
        <v>528</v>
      </c>
      <c r="E4402" t="s">
        <v>395</v>
      </c>
      <c r="F4402" t="s">
        <v>724</v>
      </c>
      <c r="G4402">
        <v>0</v>
      </c>
      <c r="H4402">
        <v>0</v>
      </c>
    </row>
    <row r="4403" spans="2:8" x14ac:dyDescent="0.25">
      <c r="B4403" t="str">
        <f t="shared" si="68"/>
        <v>IMNPopulation, male</v>
      </c>
      <c r="C4403" t="s">
        <v>527</v>
      </c>
      <c r="D4403" t="s">
        <v>528</v>
      </c>
      <c r="E4403" t="s">
        <v>397</v>
      </c>
      <c r="F4403" t="s">
        <v>725</v>
      </c>
      <c r="G4403">
        <v>0</v>
      </c>
      <c r="H4403">
        <v>0</v>
      </c>
    </row>
    <row r="4404" spans="2:8" x14ac:dyDescent="0.25">
      <c r="B4404" t="str">
        <f t="shared" si="68"/>
        <v>IMNPopulation, total</v>
      </c>
      <c r="C4404" t="s">
        <v>527</v>
      </c>
      <c r="D4404" t="s">
        <v>528</v>
      </c>
      <c r="E4404" t="s">
        <v>398</v>
      </c>
      <c r="F4404" t="s">
        <v>726</v>
      </c>
      <c r="G4404">
        <v>85000</v>
      </c>
      <c r="H4404">
        <v>85000</v>
      </c>
    </row>
    <row r="4405" spans="2:8" x14ac:dyDescent="0.25">
      <c r="B4405" t="str">
        <f t="shared" si="68"/>
        <v>IMNPopulation, female</v>
      </c>
      <c r="C4405" t="s">
        <v>527</v>
      </c>
      <c r="D4405" t="s">
        <v>528</v>
      </c>
      <c r="E4405" t="s">
        <v>396</v>
      </c>
      <c r="F4405" t="s">
        <v>727</v>
      </c>
      <c r="G4405">
        <v>0</v>
      </c>
      <c r="H4405">
        <v>0</v>
      </c>
    </row>
    <row r="4406" spans="2:8" x14ac:dyDescent="0.25">
      <c r="B4406" t="str">
        <f t="shared" si="68"/>
        <v>IMNPopulation growth (annual %)</v>
      </c>
      <c r="C4406" t="s">
        <v>527</v>
      </c>
      <c r="D4406" t="s">
        <v>528</v>
      </c>
      <c r="E4406" t="s">
        <v>399</v>
      </c>
      <c r="F4406" t="s">
        <v>728</v>
      </c>
      <c r="G4406">
        <v>0</v>
      </c>
      <c r="H4406">
        <v>0</v>
      </c>
    </row>
    <row r="4407" spans="2:8" x14ac:dyDescent="0.25">
      <c r="B4407" t="str">
        <f t="shared" si="68"/>
        <v>ISRPopulation ages 0-14, female</v>
      </c>
      <c r="C4407" t="s">
        <v>529</v>
      </c>
      <c r="D4407" t="s">
        <v>64</v>
      </c>
      <c r="E4407" t="s">
        <v>687</v>
      </c>
      <c r="F4407" t="s">
        <v>688</v>
      </c>
      <c r="G4407">
        <v>1224000</v>
      </c>
      <c r="H4407">
        <v>1240000</v>
      </c>
    </row>
    <row r="4408" spans="2:8" x14ac:dyDescent="0.25">
      <c r="B4408" t="str">
        <f t="shared" si="68"/>
        <v>ISRPopulation ages 0-14, male</v>
      </c>
      <c r="C4408" t="s">
        <v>529</v>
      </c>
      <c r="D4408" t="s">
        <v>64</v>
      </c>
      <c r="E4408" t="s">
        <v>689</v>
      </c>
      <c r="F4408" t="s">
        <v>690</v>
      </c>
      <c r="G4408">
        <v>1291000</v>
      </c>
      <c r="H4408">
        <v>1307000</v>
      </c>
    </row>
    <row r="4409" spans="2:8" x14ac:dyDescent="0.25">
      <c r="B4409" t="str">
        <f t="shared" si="68"/>
        <v>ISRPopulation ages 00-04, female</v>
      </c>
      <c r="C4409" t="s">
        <v>529</v>
      </c>
      <c r="D4409" t="s">
        <v>64</v>
      </c>
      <c r="E4409" t="s">
        <v>362</v>
      </c>
      <c r="F4409" t="s">
        <v>691</v>
      </c>
      <c r="G4409">
        <v>437000</v>
      </c>
      <c r="H4409">
        <v>437000</v>
      </c>
    </row>
    <row r="4410" spans="2:8" x14ac:dyDescent="0.25">
      <c r="B4410" t="str">
        <f t="shared" si="68"/>
        <v>ISRPopulation ages 00-04, male</v>
      </c>
      <c r="C4410" t="s">
        <v>529</v>
      </c>
      <c r="D4410" t="s">
        <v>64</v>
      </c>
      <c r="E4410" t="s">
        <v>363</v>
      </c>
      <c r="F4410" t="s">
        <v>692</v>
      </c>
      <c r="G4410">
        <v>460000</v>
      </c>
      <c r="H4410">
        <v>460000</v>
      </c>
    </row>
    <row r="4411" spans="2:8" x14ac:dyDescent="0.25">
      <c r="B4411" t="str">
        <f t="shared" si="68"/>
        <v>ISRPopulation ages 05-09, female</v>
      </c>
      <c r="C4411" t="s">
        <v>529</v>
      </c>
      <c r="D4411" t="s">
        <v>64</v>
      </c>
      <c r="E4411" t="s">
        <v>364</v>
      </c>
      <c r="F4411" t="s">
        <v>693</v>
      </c>
      <c r="G4411">
        <v>416000</v>
      </c>
      <c r="H4411">
        <v>423000</v>
      </c>
    </row>
    <row r="4412" spans="2:8" x14ac:dyDescent="0.25">
      <c r="B4412" t="str">
        <f t="shared" si="68"/>
        <v>ISRPopulation ages 05-09, male</v>
      </c>
      <c r="C4412" t="s">
        <v>529</v>
      </c>
      <c r="D4412" t="s">
        <v>64</v>
      </c>
      <c r="E4412" t="s">
        <v>365</v>
      </c>
      <c r="F4412" t="s">
        <v>694</v>
      </c>
      <c r="G4412">
        <v>439000</v>
      </c>
      <c r="H4412">
        <v>447000</v>
      </c>
    </row>
    <row r="4413" spans="2:8" x14ac:dyDescent="0.25">
      <c r="B4413" t="str">
        <f t="shared" si="68"/>
        <v>ISRPopulation ages 10-14, female</v>
      </c>
      <c r="C4413" t="s">
        <v>529</v>
      </c>
      <c r="D4413" t="s">
        <v>64</v>
      </c>
      <c r="E4413" t="s">
        <v>366</v>
      </c>
      <c r="F4413" t="s">
        <v>695</v>
      </c>
      <c r="G4413">
        <v>371000</v>
      </c>
      <c r="H4413">
        <v>379000</v>
      </c>
    </row>
    <row r="4414" spans="2:8" x14ac:dyDescent="0.25">
      <c r="B4414" t="str">
        <f t="shared" si="68"/>
        <v>ISRPopulation ages 10-14, male</v>
      </c>
      <c r="C4414" t="s">
        <v>529</v>
      </c>
      <c r="D4414" t="s">
        <v>64</v>
      </c>
      <c r="E4414" t="s">
        <v>367</v>
      </c>
      <c r="F4414" t="s">
        <v>696</v>
      </c>
      <c r="G4414">
        <v>392000</v>
      </c>
      <c r="H4414">
        <v>401000</v>
      </c>
    </row>
    <row r="4415" spans="2:8" x14ac:dyDescent="0.25">
      <c r="B4415" t="str">
        <f t="shared" si="68"/>
        <v>ISRPopulation ages 15-19, female</v>
      </c>
      <c r="C4415" t="s">
        <v>529</v>
      </c>
      <c r="D4415" t="s">
        <v>64</v>
      </c>
      <c r="E4415" t="s">
        <v>368</v>
      </c>
      <c r="F4415" t="s">
        <v>697</v>
      </c>
      <c r="G4415">
        <v>338000</v>
      </c>
      <c r="H4415">
        <v>343000</v>
      </c>
    </row>
    <row r="4416" spans="2:8" x14ac:dyDescent="0.25">
      <c r="B4416" t="str">
        <f t="shared" si="68"/>
        <v>ISRPopulation ages 15-19, male</v>
      </c>
      <c r="C4416" t="s">
        <v>529</v>
      </c>
      <c r="D4416" t="s">
        <v>64</v>
      </c>
      <c r="E4416" t="s">
        <v>369</v>
      </c>
      <c r="F4416" t="s">
        <v>698</v>
      </c>
      <c r="G4416">
        <v>357000</v>
      </c>
      <c r="H4416">
        <v>362000</v>
      </c>
    </row>
    <row r="4417" spans="2:8" x14ac:dyDescent="0.25">
      <c r="B4417" t="str">
        <f t="shared" si="68"/>
        <v>ISRPopulation ages 20-24, female</v>
      </c>
      <c r="C4417" t="s">
        <v>529</v>
      </c>
      <c r="D4417" t="s">
        <v>64</v>
      </c>
      <c r="E4417" t="s">
        <v>370</v>
      </c>
      <c r="F4417" t="s">
        <v>699</v>
      </c>
      <c r="G4417">
        <v>316000</v>
      </c>
      <c r="H4417">
        <v>321000</v>
      </c>
    </row>
    <row r="4418" spans="2:8" x14ac:dyDescent="0.25">
      <c r="B4418" t="str">
        <f t="shared" si="68"/>
        <v>ISRPopulation ages 20-24, male</v>
      </c>
      <c r="C4418" t="s">
        <v>529</v>
      </c>
      <c r="D4418" t="s">
        <v>64</v>
      </c>
      <c r="E4418" t="s">
        <v>371</v>
      </c>
      <c r="F4418" t="s">
        <v>700</v>
      </c>
      <c r="G4418">
        <v>333000</v>
      </c>
      <c r="H4418">
        <v>338000</v>
      </c>
    </row>
    <row r="4419" spans="2:8" x14ac:dyDescent="0.25">
      <c r="B4419" t="str">
        <f t="shared" si="68"/>
        <v>ISRPopulation ages 25-29, female</v>
      </c>
      <c r="C4419" t="s">
        <v>529</v>
      </c>
      <c r="D4419" t="s">
        <v>64</v>
      </c>
      <c r="E4419" t="s">
        <v>372</v>
      </c>
      <c r="F4419" t="s">
        <v>701</v>
      </c>
      <c r="G4419">
        <v>293000</v>
      </c>
      <c r="H4419">
        <v>296000</v>
      </c>
    </row>
    <row r="4420" spans="2:8" x14ac:dyDescent="0.25">
      <c r="B4420" t="str">
        <f t="shared" si="68"/>
        <v>ISRPopulation ages 25-29, male</v>
      </c>
      <c r="C4420" t="s">
        <v>529</v>
      </c>
      <c r="D4420" t="s">
        <v>64</v>
      </c>
      <c r="E4420" t="s">
        <v>373</v>
      </c>
      <c r="F4420" t="s">
        <v>702</v>
      </c>
      <c r="G4420">
        <v>306000</v>
      </c>
      <c r="H4420">
        <v>310000</v>
      </c>
    </row>
    <row r="4421" spans="2:8" x14ac:dyDescent="0.25">
      <c r="B4421" t="str">
        <f t="shared" si="68"/>
        <v>ISRPopulation ages 30-34, female</v>
      </c>
      <c r="C4421" t="s">
        <v>529</v>
      </c>
      <c r="D4421" t="s">
        <v>64</v>
      </c>
      <c r="E4421" t="s">
        <v>374</v>
      </c>
      <c r="F4421" t="s">
        <v>703</v>
      </c>
      <c r="G4421">
        <v>295000</v>
      </c>
      <c r="H4421">
        <v>295000</v>
      </c>
    </row>
    <row r="4422" spans="2:8" x14ac:dyDescent="0.25">
      <c r="B4422" t="str">
        <f t="shared" si="68"/>
        <v>ISRPopulation ages 30-34, male</v>
      </c>
      <c r="C4422" t="s">
        <v>529</v>
      </c>
      <c r="D4422" t="s">
        <v>64</v>
      </c>
      <c r="E4422" t="s">
        <v>375</v>
      </c>
      <c r="F4422" t="s">
        <v>704</v>
      </c>
      <c r="G4422">
        <v>300000</v>
      </c>
      <c r="H4422">
        <v>302000</v>
      </c>
    </row>
    <row r="4423" spans="2:8" x14ac:dyDescent="0.25">
      <c r="B4423" t="str">
        <f t="shared" ref="B4423:B4486" si="69">CONCATENATE(D4423,E4423)</f>
        <v>ISRPopulation ages 35-39, female</v>
      </c>
      <c r="C4423" t="s">
        <v>529</v>
      </c>
      <c r="D4423" t="s">
        <v>64</v>
      </c>
      <c r="E4423" t="s">
        <v>376</v>
      </c>
      <c r="F4423" t="s">
        <v>705</v>
      </c>
      <c r="G4423">
        <v>294000</v>
      </c>
      <c r="H4423">
        <v>295000</v>
      </c>
    </row>
    <row r="4424" spans="2:8" x14ac:dyDescent="0.25">
      <c r="B4424" t="str">
        <f t="shared" si="69"/>
        <v>ISRPopulation ages 35-39, male</v>
      </c>
      <c r="C4424" t="s">
        <v>529</v>
      </c>
      <c r="D4424" t="s">
        <v>64</v>
      </c>
      <c r="E4424" t="s">
        <v>377</v>
      </c>
      <c r="F4424" t="s">
        <v>706</v>
      </c>
      <c r="G4424">
        <v>293000</v>
      </c>
      <c r="H4424">
        <v>295000</v>
      </c>
    </row>
    <row r="4425" spans="2:8" x14ac:dyDescent="0.25">
      <c r="B4425" t="str">
        <f t="shared" si="69"/>
        <v>ISRPopulation ages 40-44, female</v>
      </c>
      <c r="C4425" t="s">
        <v>529</v>
      </c>
      <c r="D4425" t="s">
        <v>64</v>
      </c>
      <c r="E4425" t="s">
        <v>378</v>
      </c>
      <c r="F4425" t="s">
        <v>707</v>
      </c>
      <c r="G4425">
        <v>286000</v>
      </c>
      <c r="H4425">
        <v>289000</v>
      </c>
    </row>
    <row r="4426" spans="2:8" x14ac:dyDescent="0.25">
      <c r="B4426" t="str">
        <f t="shared" si="69"/>
        <v>ISRPopulation ages 40-44, male</v>
      </c>
      <c r="C4426" t="s">
        <v>529</v>
      </c>
      <c r="D4426" t="s">
        <v>64</v>
      </c>
      <c r="E4426" t="s">
        <v>379</v>
      </c>
      <c r="F4426" t="s">
        <v>708</v>
      </c>
      <c r="G4426">
        <v>283000</v>
      </c>
      <c r="H4426">
        <v>286000</v>
      </c>
    </row>
    <row r="4427" spans="2:8" x14ac:dyDescent="0.25">
      <c r="B4427" t="str">
        <f t="shared" si="69"/>
        <v>ISRPopulation ages 45-49, female</v>
      </c>
      <c r="C4427" t="s">
        <v>529</v>
      </c>
      <c r="D4427" t="s">
        <v>64</v>
      </c>
      <c r="E4427" t="s">
        <v>380</v>
      </c>
      <c r="F4427" t="s">
        <v>709</v>
      </c>
      <c r="G4427">
        <v>258000</v>
      </c>
      <c r="H4427">
        <v>265000</v>
      </c>
    </row>
    <row r="4428" spans="2:8" x14ac:dyDescent="0.25">
      <c r="B4428" t="str">
        <f t="shared" si="69"/>
        <v>ISRPopulation ages 45-49, male</v>
      </c>
      <c r="C4428" t="s">
        <v>529</v>
      </c>
      <c r="D4428" t="s">
        <v>64</v>
      </c>
      <c r="E4428" t="s">
        <v>381</v>
      </c>
      <c r="F4428" t="s">
        <v>710</v>
      </c>
      <c r="G4428">
        <v>253000</v>
      </c>
      <c r="H4428">
        <v>260000</v>
      </c>
    </row>
    <row r="4429" spans="2:8" x14ac:dyDescent="0.25">
      <c r="B4429" t="str">
        <f t="shared" si="69"/>
        <v>ISRPopulation ages 50-54, female</v>
      </c>
      <c r="C4429" t="s">
        <v>529</v>
      </c>
      <c r="D4429" t="s">
        <v>64</v>
      </c>
      <c r="E4429" t="s">
        <v>382</v>
      </c>
      <c r="F4429" t="s">
        <v>711</v>
      </c>
      <c r="G4429">
        <v>219000</v>
      </c>
      <c r="H4429">
        <v>224000</v>
      </c>
    </row>
    <row r="4430" spans="2:8" x14ac:dyDescent="0.25">
      <c r="B4430" t="str">
        <f t="shared" si="69"/>
        <v>ISRPopulation ages 50-54, male</v>
      </c>
      <c r="C4430" t="s">
        <v>529</v>
      </c>
      <c r="D4430" t="s">
        <v>64</v>
      </c>
      <c r="E4430" t="s">
        <v>383</v>
      </c>
      <c r="F4430" t="s">
        <v>712</v>
      </c>
      <c r="G4430">
        <v>212000</v>
      </c>
      <c r="H4430">
        <v>217000</v>
      </c>
    </row>
    <row r="4431" spans="2:8" x14ac:dyDescent="0.25">
      <c r="B4431" t="str">
        <f t="shared" si="69"/>
        <v>ISRPopulation ages 55-59, male</v>
      </c>
      <c r="C4431" t="s">
        <v>529</v>
      </c>
      <c r="D4431" t="s">
        <v>64</v>
      </c>
      <c r="E4431" t="s">
        <v>385</v>
      </c>
      <c r="F4431" t="s">
        <v>713</v>
      </c>
      <c r="G4431">
        <v>191000</v>
      </c>
      <c r="H4431">
        <v>194000</v>
      </c>
    </row>
    <row r="4432" spans="2:8" x14ac:dyDescent="0.25">
      <c r="B4432" t="str">
        <f t="shared" si="69"/>
        <v>ISRPopulation ages 55-59, female</v>
      </c>
      <c r="C4432" t="s">
        <v>529</v>
      </c>
      <c r="D4432" t="s">
        <v>64</v>
      </c>
      <c r="E4432" t="s">
        <v>384</v>
      </c>
      <c r="F4432" t="s">
        <v>714</v>
      </c>
      <c r="G4432">
        <v>203000</v>
      </c>
      <c r="H4432">
        <v>206000</v>
      </c>
    </row>
    <row r="4433" spans="2:8" x14ac:dyDescent="0.25">
      <c r="B4433" t="str">
        <f t="shared" si="69"/>
        <v>ISRPopulation ages 65-69, male</v>
      </c>
      <c r="C4433" t="s">
        <v>529</v>
      </c>
      <c r="D4433" t="s">
        <v>64</v>
      </c>
      <c r="E4433" t="s">
        <v>389</v>
      </c>
      <c r="F4433" t="s">
        <v>715</v>
      </c>
      <c r="G4433">
        <v>174000</v>
      </c>
      <c r="H4433">
        <v>175000</v>
      </c>
    </row>
    <row r="4434" spans="2:8" x14ac:dyDescent="0.25">
      <c r="B4434" t="str">
        <f t="shared" si="69"/>
        <v>ISRPopulation ages 65-69, female</v>
      </c>
      <c r="C4434" t="s">
        <v>529</v>
      </c>
      <c r="D4434" t="s">
        <v>64</v>
      </c>
      <c r="E4434" t="s">
        <v>388</v>
      </c>
      <c r="F4434" t="s">
        <v>716</v>
      </c>
      <c r="G4434">
        <v>197000</v>
      </c>
      <c r="H4434">
        <v>199000</v>
      </c>
    </row>
    <row r="4435" spans="2:8" x14ac:dyDescent="0.25">
      <c r="B4435" t="str">
        <f t="shared" si="69"/>
        <v>ISRPopulation ages 60-64, female</v>
      </c>
      <c r="C4435" t="s">
        <v>529</v>
      </c>
      <c r="D4435" t="s">
        <v>64</v>
      </c>
      <c r="E4435" t="s">
        <v>386</v>
      </c>
      <c r="F4435" t="s">
        <v>717</v>
      </c>
      <c r="G4435">
        <v>196000</v>
      </c>
      <c r="H4435">
        <v>194000</v>
      </c>
    </row>
    <row r="4436" spans="2:8" x14ac:dyDescent="0.25">
      <c r="B4436" t="str">
        <f t="shared" si="69"/>
        <v>ISRPopulation ages 60-64, male</v>
      </c>
      <c r="C4436" t="s">
        <v>529</v>
      </c>
      <c r="D4436" t="s">
        <v>64</v>
      </c>
      <c r="E4436" t="s">
        <v>387</v>
      </c>
      <c r="F4436" t="s">
        <v>718</v>
      </c>
      <c r="G4436">
        <v>176000</v>
      </c>
      <c r="H4436">
        <v>176000</v>
      </c>
    </row>
    <row r="4437" spans="2:8" x14ac:dyDescent="0.25">
      <c r="B4437" t="str">
        <f t="shared" si="69"/>
        <v>ISRPopulation ages 70-74, female</v>
      </c>
      <c r="C4437" t="s">
        <v>529</v>
      </c>
      <c r="D4437" t="s">
        <v>64</v>
      </c>
      <c r="E4437" t="s">
        <v>390</v>
      </c>
      <c r="F4437" t="s">
        <v>719</v>
      </c>
      <c r="G4437">
        <v>153000</v>
      </c>
      <c r="H4437">
        <v>163000</v>
      </c>
    </row>
    <row r="4438" spans="2:8" x14ac:dyDescent="0.25">
      <c r="B4438" t="str">
        <f t="shared" si="69"/>
        <v>ISRPopulation ages 70-74, male</v>
      </c>
      <c r="C4438" t="s">
        <v>529</v>
      </c>
      <c r="D4438" t="s">
        <v>64</v>
      </c>
      <c r="E4438" t="s">
        <v>391</v>
      </c>
      <c r="F4438" t="s">
        <v>720</v>
      </c>
      <c r="G4438">
        <v>133000</v>
      </c>
      <c r="H4438">
        <v>142000</v>
      </c>
    </row>
    <row r="4439" spans="2:8" x14ac:dyDescent="0.25">
      <c r="B4439" t="str">
        <f t="shared" si="69"/>
        <v>ISRPopulation ages 75-79, female</v>
      </c>
      <c r="C4439" t="s">
        <v>529</v>
      </c>
      <c r="D4439" t="s">
        <v>64</v>
      </c>
      <c r="E4439" t="s">
        <v>392</v>
      </c>
      <c r="F4439" t="s">
        <v>721</v>
      </c>
      <c r="G4439">
        <v>94000</v>
      </c>
      <c r="H4439">
        <v>99000</v>
      </c>
    </row>
    <row r="4440" spans="2:8" x14ac:dyDescent="0.25">
      <c r="B4440" t="str">
        <f t="shared" si="69"/>
        <v>ISRPopulation ages 75-79, male</v>
      </c>
      <c r="C4440" t="s">
        <v>529</v>
      </c>
      <c r="D4440" t="s">
        <v>64</v>
      </c>
      <c r="E4440" t="s">
        <v>393</v>
      </c>
      <c r="F4440" t="s">
        <v>722</v>
      </c>
      <c r="G4440">
        <v>76000</v>
      </c>
      <c r="H4440">
        <v>82000</v>
      </c>
    </row>
    <row r="4441" spans="2:8" x14ac:dyDescent="0.25">
      <c r="B4441" t="str">
        <f t="shared" si="69"/>
        <v>ISRPopulation ages 80 and above, female</v>
      </c>
      <c r="C4441" t="s">
        <v>529</v>
      </c>
      <c r="D4441" t="s">
        <v>64</v>
      </c>
      <c r="E4441" t="s">
        <v>394</v>
      </c>
      <c r="F4441" t="s">
        <v>723</v>
      </c>
      <c r="G4441">
        <v>166000</v>
      </c>
      <c r="H4441">
        <v>167000</v>
      </c>
    </row>
    <row r="4442" spans="2:8" x14ac:dyDescent="0.25">
      <c r="B4442" t="str">
        <f t="shared" si="69"/>
        <v>ISRPopulation ages 80 and above, male</v>
      </c>
      <c r="C4442" t="s">
        <v>529</v>
      </c>
      <c r="D4442" t="s">
        <v>64</v>
      </c>
      <c r="E4442" t="s">
        <v>395</v>
      </c>
      <c r="F4442" t="s">
        <v>724</v>
      </c>
      <c r="G4442">
        <v>108000</v>
      </c>
      <c r="H4442">
        <v>109000</v>
      </c>
    </row>
    <row r="4443" spans="2:8" x14ac:dyDescent="0.25">
      <c r="B4443" t="str">
        <f t="shared" si="69"/>
        <v>ISRPopulation, male</v>
      </c>
      <c r="C4443" t="s">
        <v>529</v>
      </c>
      <c r="D4443" t="s">
        <v>64</v>
      </c>
      <c r="E4443" t="s">
        <v>397</v>
      </c>
      <c r="F4443" t="s">
        <v>725</v>
      </c>
      <c r="G4443">
        <v>4485000</v>
      </c>
      <c r="H4443">
        <v>4555000</v>
      </c>
    </row>
    <row r="4444" spans="2:8" x14ac:dyDescent="0.25">
      <c r="B4444" t="str">
        <f t="shared" si="69"/>
        <v>ISRPopulation, total</v>
      </c>
      <c r="C4444" t="s">
        <v>529</v>
      </c>
      <c r="D4444" t="s">
        <v>64</v>
      </c>
      <c r="E4444" t="s">
        <v>398</v>
      </c>
      <c r="F4444" t="s">
        <v>726</v>
      </c>
      <c r="G4444">
        <v>9018000</v>
      </c>
      <c r="H4444">
        <v>9152000</v>
      </c>
    </row>
    <row r="4445" spans="2:8" x14ac:dyDescent="0.25">
      <c r="B4445" t="str">
        <f t="shared" si="69"/>
        <v>ISRPopulation, female</v>
      </c>
      <c r="C4445" t="s">
        <v>529</v>
      </c>
      <c r="D4445" t="s">
        <v>64</v>
      </c>
      <c r="E4445" t="s">
        <v>396</v>
      </c>
      <c r="F4445" t="s">
        <v>727</v>
      </c>
      <c r="G4445">
        <v>4533000</v>
      </c>
      <c r="H4445">
        <v>4597000</v>
      </c>
    </row>
    <row r="4446" spans="2:8" x14ac:dyDescent="0.25">
      <c r="B4446" t="str">
        <f t="shared" si="69"/>
        <v>ISRPopulation growth (annual %)</v>
      </c>
      <c r="C4446" t="s">
        <v>529</v>
      </c>
      <c r="D4446" t="s">
        <v>64</v>
      </c>
      <c r="E4446" t="s">
        <v>399</v>
      </c>
      <c r="F4446" t="s">
        <v>728</v>
      </c>
      <c r="G4446">
        <v>0</v>
      </c>
      <c r="H4446">
        <v>0</v>
      </c>
    </row>
    <row r="4447" spans="2:8" x14ac:dyDescent="0.25">
      <c r="B4447" t="str">
        <f t="shared" si="69"/>
        <v>ITAPopulation ages 0-14, female</v>
      </c>
      <c r="C4447" t="s">
        <v>530</v>
      </c>
      <c r="D4447" t="s">
        <v>65</v>
      </c>
      <c r="E4447" t="s">
        <v>687</v>
      </c>
      <c r="F4447" t="s">
        <v>688</v>
      </c>
      <c r="G4447">
        <v>3855000</v>
      </c>
      <c r="H4447">
        <v>3797000</v>
      </c>
    </row>
    <row r="4448" spans="2:8" x14ac:dyDescent="0.25">
      <c r="B4448" t="str">
        <f t="shared" si="69"/>
        <v>ITAPopulation ages 0-14, male</v>
      </c>
      <c r="C4448" t="s">
        <v>530</v>
      </c>
      <c r="D4448" t="s">
        <v>65</v>
      </c>
      <c r="E4448" t="s">
        <v>689</v>
      </c>
      <c r="F4448" t="s">
        <v>690</v>
      </c>
      <c r="G4448">
        <v>4090000</v>
      </c>
      <c r="H4448">
        <v>4028000</v>
      </c>
    </row>
    <row r="4449" spans="2:8" x14ac:dyDescent="0.25">
      <c r="B4449" t="str">
        <f t="shared" si="69"/>
        <v>ITAPopulation ages 00-04, female</v>
      </c>
      <c r="C4449" t="s">
        <v>530</v>
      </c>
      <c r="D4449" t="s">
        <v>65</v>
      </c>
      <c r="E4449" t="s">
        <v>362</v>
      </c>
      <c r="F4449" t="s">
        <v>691</v>
      </c>
      <c r="G4449">
        <v>1151000</v>
      </c>
      <c r="H4449">
        <v>1123000</v>
      </c>
    </row>
    <row r="4450" spans="2:8" x14ac:dyDescent="0.25">
      <c r="B4450" t="str">
        <f t="shared" si="69"/>
        <v>ITAPopulation ages 00-04, male</v>
      </c>
      <c r="C4450" t="s">
        <v>530</v>
      </c>
      <c r="D4450" t="s">
        <v>65</v>
      </c>
      <c r="E4450" t="s">
        <v>363</v>
      </c>
      <c r="F4450" t="s">
        <v>692</v>
      </c>
      <c r="G4450">
        <v>1223000</v>
      </c>
      <c r="H4450">
        <v>1193000</v>
      </c>
    </row>
    <row r="4451" spans="2:8" x14ac:dyDescent="0.25">
      <c r="B4451" t="str">
        <f t="shared" si="69"/>
        <v>ITAPopulation ages 05-09, female</v>
      </c>
      <c r="C4451" t="s">
        <v>530</v>
      </c>
      <c r="D4451" t="s">
        <v>65</v>
      </c>
      <c r="E4451" t="s">
        <v>364</v>
      </c>
      <c r="F4451" t="s">
        <v>693</v>
      </c>
      <c r="G4451">
        <v>1316000</v>
      </c>
      <c r="H4451">
        <v>1291000</v>
      </c>
    </row>
    <row r="4452" spans="2:8" x14ac:dyDescent="0.25">
      <c r="B4452" t="str">
        <f t="shared" si="69"/>
        <v>ITAPopulation ages 05-09, male</v>
      </c>
      <c r="C4452" t="s">
        <v>530</v>
      </c>
      <c r="D4452" t="s">
        <v>65</v>
      </c>
      <c r="E4452" t="s">
        <v>365</v>
      </c>
      <c r="F4452" t="s">
        <v>694</v>
      </c>
      <c r="G4452">
        <v>1396000</v>
      </c>
      <c r="H4452">
        <v>1370000</v>
      </c>
    </row>
    <row r="4453" spans="2:8" x14ac:dyDescent="0.25">
      <c r="B4453" t="str">
        <f t="shared" si="69"/>
        <v>ITAPopulation ages 10-14, female</v>
      </c>
      <c r="C4453" t="s">
        <v>530</v>
      </c>
      <c r="D4453" t="s">
        <v>65</v>
      </c>
      <c r="E4453" t="s">
        <v>366</v>
      </c>
      <c r="F4453" t="s">
        <v>695</v>
      </c>
      <c r="G4453">
        <v>1387000</v>
      </c>
      <c r="H4453">
        <v>1382000</v>
      </c>
    </row>
    <row r="4454" spans="2:8" x14ac:dyDescent="0.25">
      <c r="B4454" t="str">
        <f t="shared" si="69"/>
        <v>ITAPopulation ages 10-14, male</v>
      </c>
      <c r="C4454" t="s">
        <v>530</v>
      </c>
      <c r="D4454" t="s">
        <v>65</v>
      </c>
      <c r="E4454" t="s">
        <v>367</v>
      </c>
      <c r="F4454" t="s">
        <v>696</v>
      </c>
      <c r="G4454">
        <v>1471000</v>
      </c>
      <c r="H4454">
        <v>1465000</v>
      </c>
    </row>
    <row r="4455" spans="2:8" x14ac:dyDescent="0.25">
      <c r="B4455" t="str">
        <f t="shared" si="69"/>
        <v>ITAPopulation ages 15-19, female</v>
      </c>
      <c r="C4455" t="s">
        <v>530</v>
      </c>
      <c r="D4455" t="s">
        <v>65</v>
      </c>
      <c r="E4455" t="s">
        <v>368</v>
      </c>
      <c r="F4455" t="s">
        <v>697</v>
      </c>
      <c r="G4455">
        <v>1382000</v>
      </c>
      <c r="H4455">
        <v>1387000</v>
      </c>
    </row>
    <row r="4456" spans="2:8" x14ac:dyDescent="0.25">
      <c r="B4456" t="str">
        <f t="shared" si="69"/>
        <v>ITAPopulation ages 15-19, male</v>
      </c>
      <c r="C4456" t="s">
        <v>530</v>
      </c>
      <c r="D4456" t="s">
        <v>65</v>
      </c>
      <c r="E4456" t="s">
        <v>369</v>
      </c>
      <c r="F4456" t="s">
        <v>698</v>
      </c>
      <c r="G4456">
        <v>1479000</v>
      </c>
      <c r="H4456">
        <v>1479000</v>
      </c>
    </row>
    <row r="4457" spans="2:8" x14ac:dyDescent="0.25">
      <c r="B4457" t="str">
        <f t="shared" si="69"/>
        <v>ITAPopulation ages 20-24, female</v>
      </c>
      <c r="C4457" t="s">
        <v>530</v>
      </c>
      <c r="D4457" t="s">
        <v>65</v>
      </c>
      <c r="E4457" t="s">
        <v>370</v>
      </c>
      <c r="F4457" t="s">
        <v>699</v>
      </c>
      <c r="G4457">
        <v>1417000</v>
      </c>
      <c r="H4457">
        <v>1411000</v>
      </c>
    </row>
    <row r="4458" spans="2:8" x14ac:dyDescent="0.25">
      <c r="B4458" t="str">
        <f t="shared" si="69"/>
        <v>ITAPopulation ages 20-24, male</v>
      </c>
      <c r="C4458" t="s">
        <v>530</v>
      </c>
      <c r="D4458" t="s">
        <v>65</v>
      </c>
      <c r="E4458" t="s">
        <v>371</v>
      </c>
      <c r="F4458" t="s">
        <v>700</v>
      </c>
      <c r="G4458">
        <v>1528000</v>
      </c>
      <c r="H4458">
        <v>1521000</v>
      </c>
    </row>
    <row r="4459" spans="2:8" x14ac:dyDescent="0.25">
      <c r="B4459" t="str">
        <f t="shared" si="69"/>
        <v>ITAPopulation ages 25-29, female</v>
      </c>
      <c r="C4459" t="s">
        <v>530</v>
      </c>
      <c r="D4459" t="s">
        <v>65</v>
      </c>
      <c r="E4459" t="s">
        <v>372</v>
      </c>
      <c r="F4459" t="s">
        <v>701</v>
      </c>
      <c r="G4459">
        <v>1544000</v>
      </c>
      <c r="H4459">
        <v>1530000</v>
      </c>
    </row>
    <row r="4460" spans="2:8" x14ac:dyDescent="0.25">
      <c r="B4460" t="str">
        <f t="shared" si="69"/>
        <v>ITAPopulation ages 25-29, male</v>
      </c>
      <c r="C4460" t="s">
        <v>530</v>
      </c>
      <c r="D4460" t="s">
        <v>65</v>
      </c>
      <c r="E4460" t="s">
        <v>373</v>
      </c>
      <c r="F4460" t="s">
        <v>702</v>
      </c>
      <c r="G4460">
        <v>1625000</v>
      </c>
      <c r="H4460">
        <v>1620000</v>
      </c>
    </row>
    <row r="4461" spans="2:8" x14ac:dyDescent="0.25">
      <c r="B4461" t="str">
        <f t="shared" si="69"/>
        <v>ITAPopulation ages 30-34, female</v>
      </c>
      <c r="C4461" t="s">
        <v>530</v>
      </c>
      <c r="D4461" t="s">
        <v>65</v>
      </c>
      <c r="E4461" t="s">
        <v>374</v>
      </c>
      <c r="F4461" t="s">
        <v>703</v>
      </c>
      <c r="G4461">
        <v>1672000</v>
      </c>
      <c r="H4461">
        <v>1657000</v>
      </c>
    </row>
    <row r="4462" spans="2:8" x14ac:dyDescent="0.25">
      <c r="B4462" t="str">
        <f t="shared" si="69"/>
        <v>ITAPopulation ages 30-34, male</v>
      </c>
      <c r="C4462" t="s">
        <v>530</v>
      </c>
      <c r="D4462" t="s">
        <v>65</v>
      </c>
      <c r="E4462" t="s">
        <v>375</v>
      </c>
      <c r="F4462" t="s">
        <v>704</v>
      </c>
      <c r="G4462">
        <v>1706000</v>
      </c>
      <c r="H4462">
        <v>1697000</v>
      </c>
    </row>
    <row r="4463" spans="2:8" x14ac:dyDescent="0.25">
      <c r="B4463" t="str">
        <f t="shared" si="69"/>
        <v>ITAPopulation ages 35-39, female</v>
      </c>
      <c r="C4463" t="s">
        <v>530</v>
      </c>
      <c r="D4463" t="s">
        <v>65</v>
      </c>
      <c r="E4463" t="s">
        <v>376</v>
      </c>
      <c r="F4463" t="s">
        <v>705</v>
      </c>
      <c r="G4463">
        <v>1843000</v>
      </c>
      <c r="H4463">
        <v>1802000</v>
      </c>
    </row>
    <row r="4464" spans="2:8" x14ac:dyDescent="0.25">
      <c r="B4464" t="str">
        <f t="shared" si="69"/>
        <v>ITAPopulation ages 35-39, male</v>
      </c>
      <c r="C4464" t="s">
        <v>530</v>
      </c>
      <c r="D4464" t="s">
        <v>65</v>
      </c>
      <c r="E4464" t="s">
        <v>377</v>
      </c>
      <c r="F4464" t="s">
        <v>706</v>
      </c>
      <c r="G4464">
        <v>1855000</v>
      </c>
      <c r="H4464">
        <v>1818000</v>
      </c>
    </row>
    <row r="4465" spans="2:8" x14ac:dyDescent="0.25">
      <c r="B4465" t="str">
        <f t="shared" si="69"/>
        <v>ITAPopulation ages 40-44, female</v>
      </c>
      <c r="C4465" t="s">
        <v>530</v>
      </c>
      <c r="D4465" t="s">
        <v>65</v>
      </c>
      <c r="E4465" t="s">
        <v>378</v>
      </c>
      <c r="F4465" t="s">
        <v>707</v>
      </c>
      <c r="G4465">
        <v>2159000</v>
      </c>
      <c r="H4465">
        <v>2089000</v>
      </c>
    </row>
    <row r="4466" spans="2:8" x14ac:dyDescent="0.25">
      <c r="B4466" t="str">
        <f t="shared" si="69"/>
        <v>ITAPopulation ages 40-44, male</v>
      </c>
      <c r="C4466" t="s">
        <v>530</v>
      </c>
      <c r="D4466" t="s">
        <v>65</v>
      </c>
      <c r="E4466" t="s">
        <v>379</v>
      </c>
      <c r="F4466" t="s">
        <v>708</v>
      </c>
      <c r="G4466">
        <v>2150000</v>
      </c>
      <c r="H4466">
        <v>2085000</v>
      </c>
    </row>
    <row r="4467" spans="2:8" x14ac:dyDescent="0.25">
      <c r="B4467" t="str">
        <f t="shared" si="69"/>
        <v>ITAPopulation ages 45-49, female</v>
      </c>
      <c r="C4467" t="s">
        <v>530</v>
      </c>
      <c r="D4467" t="s">
        <v>65</v>
      </c>
      <c r="E4467" t="s">
        <v>380</v>
      </c>
      <c r="F4467" t="s">
        <v>709</v>
      </c>
      <c r="G4467">
        <v>2460000</v>
      </c>
      <c r="H4467">
        <v>2423000</v>
      </c>
    </row>
    <row r="4468" spans="2:8" x14ac:dyDescent="0.25">
      <c r="B4468" t="str">
        <f t="shared" si="69"/>
        <v>ITAPopulation ages 45-49, male</v>
      </c>
      <c r="C4468" t="s">
        <v>530</v>
      </c>
      <c r="D4468" t="s">
        <v>65</v>
      </c>
      <c r="E4468" t="s">
        <v>381</v>
      </c>
      <c r="F4468" t="s">
        <v>710</v>
      </c>
      <c r="G4468">
        <v>2424000</v>
      </c>
      <c r="H4468">
        <v>2393000</v>
      </c>
    </row>
    <row r="4469" spans="2:8" x14ac:dyDescent="0.25">
      <c r="B4469" t="str">
        <f t="shared" si="69"/>
        <v>ITAPopulation ages 50-54, female</v>
      </c>
      <c r="C4469" t="s">
        <v>530</v>
      </c>
      <c r="D4469" t="s">
        <v>65</v>
      </c>
      <c r="E4469" t="s">
        <v>382</v>
      </c>
      <c r="F4469" t="s">
        <v>711</v>
      </c>
      <c r="G4469">
        <v>2476000</v>
      </c>
      <c r="H4469">
        <v>2479000</v>
      </c>
    </row>
    <row r="4470" spans="2:8" x14ac:dyDescent="0.25">
      <c r="B4470" t="str">
        <f t="shared" si="69"/>
        <v>ITAPopulation ages 50-54, male</v>
      </c>
      <c r="C4470" t="s">
        <v>530</v>
      </c>
      <c r="D4470" t="s">
        <v>65</v>
      </c>
      <c r="E4470" t="s">
        <v>383</v>
      </c>
      <c r="F4470" t="s">
        <v>712</v>
      </c>
      <c r="G4470">
        <v>2403000</v>
      </c>
      <c r="H4470">
        <v>2412000</v>
      </c>
    </row>
    <row r="4471" spans="2:8" x14ac:dyDescent="0.25">
      <c r="B4471" t="str">
        <f t="shared" si="69"/>
        <v>ITAPopulation ages 55-59, male</v>
      </c>
      <c r="C4471" t="s">
        <v>530</v>
      </c>
      <c r="D4471" t="s">
        <v>65</v>
      </c>
      <c r="E4471" t="s">
        <v>385</v>
      </c>
      <c r="F4471" t="s">
        <v>713</v>
      </c>
      <c r="G4471">
        <v>2214000</v>
      </c>
      <c r="H4471">
        <v>2267000</v>
      </c>
    </row>
    <row r="4472" spans="2:8" x14ac:dyDescent="0.25">
      <c r="B4472" t="str">
        <f t="shared" si="69"/>
        <v>ITAPopulation ages 55-59, female</v>
      </c>
      <c r="C4472" t="s">
        <v>530</v>
      </c>
      <c r="D4472" t="s">
        <v>65</v>
      </c>
      <c r="E4472" t="s">
        <v>384</v>
      </c>
      <c r="F4472" t="s">
        <v>714</v>
      </c>
      <c r="G4472">
        <v>2328000</v>
      </c>
      <c r="H4472">
        <v>2376000</v>
      </c>
    </row>
    <row r="4473" spans="2:8" x14ac:dyDescent="0.25">
      <c r="B4473" t="str">
        <f t="shared" si="69"/>
        <v>ITAPopulation ages 65-69, male</v>
      </c>
      <c r="C4473" t="s">
        <v>530</v>
      </c>
      <c r="D4473" t="s">
        <v>65</v>
      </c>
      <c r="E4473" t="s">
        <v>389</v>
      </c>
      <c r="F4473" t="s">
        <v>715</v>
      </c>
      <c r="G4473">
        <v>1675000</v>
      </c>
      <c r="H4473">
        <v>1674000</v>
      </c>
    </row>
    <row r="4474" spans="2:8" x14ac:dyDescent="0.25">
      <c r="B4474" t="str">
        <f t="shared" si="69"/>
        <v>ITAPopulation ages 65-69, female</v>
      </c>
      <c r="C4474" t="s">
        <v>530</v>
      </c>
      <c r="D4474" t="s">
        <v>65</v>
      </c>
      <c r="E4474" t="s">
        <v>388</v>
      </c>
      <c r="F4474" t="s">
        <v>716</v>
      </c>
      <c r="G4474">
        <v>1846000</v>
      </c>
      <c r="H4474">
        <v>1845000</v>
      </c>
    </row>
    <row r="4475" spans="2:8" x14ac:dyDescent="0.25">
      <c r="B4475" t="str">
        <f t="shared" si="69"/>
        <v>ITAPopulation ages 60-64, female</v>
      </c>
      <c r="C4475" t="s">
        <v>530</v>
      </c>
      <c r="D4475" t="s">
        <v>65</v>
      </c>
      <c r="E4475" t="s">
        <v>386</v>
      </c>
      <c r="F4475" t="s">
        <v>717</v>
      </c>
      <c r="G4475">
        <v>1996000</v>
      </c>
      <c r="H4475">
        <v>2043000</v>
      </c>
    </row>
    <row r="4476" spans="2:8" x14ac:dyDescent="0.25">
      <c r="B4476" t="str">
        <f t="shared" si="69"/>
        <v>ITAPopulation ages 60-64, male</v>
      </c>
      <c r="C4476" t="s">
        <v>530</v>
      </c>
      <c r="D4476" t="s">
        <v>65</v>
      </c>
      <c r="E4476" t="s">
        <v>387</v>
      </c>
      <c r="F4476" t="s">
        <v>718</v>
      </c>
      <c r="G4476">
        <v>1848000</v>
      </c>
      <c r="H4476">
        <v>1896000</v>
      </c>
    </row>
    <row r="4477" spans="2:8" x14ac:dyDescent="0.25">
      <c r="B4477" t="str">
        <f t="shared" si="69"/>
        <v>ITAPopulation ages 70-74, female</v>
      </c>
      <c r="C4477" t="s">
        <v>530</v>
      </c>
      <c r="D4477" t="s">
        <v>65</v>
      </c>
      <c r="E4477" t="s">
        <v>390</v>
      </c>
      <c r="F4477" t="s">
        <v>719</v>
      </c>
      <c r="G4477">
        <v>1765000</v>
      </c>
      <c r="H4477">
        <v>1799000</v>
      </c>
    </row>
    <row r="4478" spans="2:8" x14ac:dyDescent="0.25">
      <c r="B4478" t="str">
        <f t="shared" si="69"/>
        <v>ITAPopulation ages 70-74, male</v>
      </c>
      <c r="C4478" t="s">
        <v>530</v>
      </c>
      <c r="D4478" t="s">
        <v>65</v>
      </c>
      <c r="E4478" t="s">
        <v>391</v>
      </c>
      <c r="F4478" t="s">
        <v>720</v>
      </c>
      <c r="G4478">
        <v>1548000</v>
      </c>
      <c r="H4478">
        <v>1581000</v>
      </c>
    </row>
    <row r="4479" spans="2:8" x14ac:dyDescent="0.25">
      <c r="B4479" t="str">
        <f t="shared" si="69"/>
        <v>ITAPopulation ages 75-79, female</v>
      </c>
      <c r="C4479" t="s">
        <v>530</v>
      </c>
      <c r="D4479" t="s">
        <v>65</v>
      </c>
      <c r="E4479" t="s">
        <v>392</v>
      </c>
      <c r="F4479" t="s">
        <v>721</v>
      </c>
      <c r="G4479">
        <v>1442000</v>
      </c>
      <c r="H4479">
        <v>1450000</v>
      </c>
    </row>
    <row r="4480" spans="2:8" x14ac:dyDescent="0.25">
      <c r="B4480" t="str">
        <f t="shared" si="69"/>
        <v>ITAPopulation ages 75-79, male</v>
      </c>
      <c r="C4480" t="s">
        <v>530</v>
      </c>
      <c r="D4480" t="s">
        <v>65</v>
      </c>
      <c r="E4480" t="s">
        <v>393</v>
      </c>
      <c r="F4480" t="s">
        <v>722</v>
      </c>
      <c r="G4480">
        <v>1160000</v>
      </c>
      <c r="H4480">
        <v>1178000</v>
      </c>
    </row>
    <row r="4481" spans="2:8" x14ac:dyDescent="0.25">
      <c r="B4481" t="str">
        <f t="shared" si="69"/>
        <v>ITAPopulation ages 80 and above, female</v>
      </c>
      <c r="C4481" t="s">
        <v>530</v>
      </c>
      <c r="D4481" t="s">
        <v>65</v>
      </c>
      <c r="E4481" t="s">
        <v>394</v>
      </c>
      <c r="F4481" t="s">
        <v>723</v>
      </c>
      <c r="G4481">
        <v>2795000</v>
      </c>
      <c r="H4481">
        <v>2827000</v>
      </c>
    </row>
    <row r="4482" spans="2:8" x14ac:dyDescent="0.25">
      <c r="B4482" t="str">
        <f t="shared" si="69"/>
        <v>ITAPopulation ages 80 and above, male</v>
      </c>
      <c r="C4482" t="s">
        <v>530</v>
      </c>
      <c r="D4482" t="s">
        <v>65</v>
      </c>
      <c r="E4482" t="s">
        <v>395</v>
      </c>
      <c r="F4482" t="s">
        <v>724</v>
      </c>
      <c r="G4482">
        <v>1655000</v>
      </c>
      <c r="H4482">
        <v>1686000</v>
      </c>
    </row>
    <row r="4483" spans="2:8" x14ac:dyDescent="0.25">
      <c r="B4483" t="str">
        <f t="shared" si="69"/>
        <v>ITAPopulation, male</v>
      </c>
      <c r="C4483" t="s">
        <v>530</v>
      </c>
      <c r="D4483" t="s">
        <v>65</v>
      </c>
      <c r="E4483" t="s">
        <v>397</v>
      </c>
      <c r="F4483" t="s">
        <v>725</v>
      </c>
      <c r="G4483">
        <v>29359000</v>
      </c>
      <c r="H4483">
        <v>29334000</v>
      </c>
    </row>
    <row r="4484" spans="2:8" x14ac:dyDescent="0.25">
      <c r="B4484" t="str">
        <f t="shared" si="69"/>
        <v>ITAPopulation, total</v>
      </c>
      <c r="C4484" t="s">
        <v>530</v>
      </c>
      <c r="D4484" t="s">
        <v>65</v>
      </c>
      <c r="E4484" t="s">
        <v>398</v>
      </c>
      <c r="F4484" t="s">
        <v>726</v>
      </c>
      <c r="G4484">
        <v>60340000</v>
      </c>
      <c r="H4484">
        <v>60250000</v>
      </c>
    </row>
    <row r="4485" spans="2:8" x14ac:dyDescent="0.25">
      <c r="B4485" t="str">
        <f t="shared" si="69"/>
        <v>ITAPopulation, female</v>
      </c>
      <c r="C4485" t="s">
        <v>530</v>
      </c>
      <c r="D4485" t="s">
        <v>65</v>
      </c>
      <c r="E4485" t="s">
        <v>396</v>
      </c>
      <c r="F4485" t="s">
        <v>727</v>
      </c>
      <c r="G4485">
        <v>30981000</v>
      </c>
      <c r="H4485">
        <v>30915000</v>
      </c>
    </row>
    <row r="4486" spans="2:8" x14ac:dyDescent="0.25">
      <c r="B4486" t="str">
        <f t="shared" si="69"/>
        <v>ITAPopulation growth (annual %)</v>
      </c>
      <c r="C4486" t="s">
        <v>530</v>
      </c>
      <c r="D4486" t="s">
        <v>65</v>
      </c>
      <c r="E4486" t="s">
        <v>399</v>
      </c>
      <c r="F4486" t="s">
        <v>728</v>
      </c>
      <c r="G4486">
        <v>0</v>
      </c>
      <c r="H4486">
        <v>0</v>
      </c>
    </row>
    <row r="4487" spans="2:8" x14ac:dyDescent="0.25">
      <c r="B4487" t="str">
        <f t="shared" ref="B4487:B4550" si="70">CONCATENATE(D4487,E4487)</f>
        <v>JAMPopulation ages 0-14, female</v>
      </c>
      <c r="C4487" t="s">
        <v>531</v>
      </c>
      <c r="D4487" t="s">
        <v>66</v>
      </c>
      <c r="E4487" t="s">
        <v>687</v>
      </c>
      <c r="F4487" t="s">
        <v>688</v>
      </c>
      <c r="G4487">
        <v>340000</v>
      </c>
      <c r="H4487">
        <v>339000</v>
      </c>
    </row>
    <row r="4488" spans="2:8" x14ac:dyDescent="0.25">
      <c r="B4488" t="str">
        <f t="shared" si="70"/>
        <v>JAMPopulation ages 0-14, male</v>
      </c>
      <c r="C4488" t="s">
        <v>531</v>
      </c>
      <c r="D4488" t="s">
        <v>66</v>
      </c>
      <c r="E4488" t="s">
        <v>689</v>
      </c>
      <c r="F4488" t="s">
        <v>690</v>
      </c>
      <c r="G4488">
        <v>353000</v>
      </c>
      <c r="H4488">
        <v>352000</v>
      </c>
    </row>
    <row r="4489" spans="2:8" x14ac:dyDescent="0.25">
      <c r="B4489" t="str">
        <f t="shared" si="70"/>
        <v>JAMPopulation ages 00-04, female</v>
      </c>
      <c r="C4489" t="s">
        <v>531</v>
      </c>
      <c r="D4489" t="s">
        <v>66</v>
      </c>
      <c r="E4489" t="s">
        <v>362</v>
      </c>
      <c r="F4489" t="s">
        <v>691</v>
      </c>
      <c r="G4489">
        <v>114000</v>
      </c>
      <c r="H4489">
        <v>113000</v>
      </c>
    </row>
    <row r="4490" spans="2:8" x14ac:dyDescent="0.25">
      <c r="B4490" t="str">
        <f t="shared" si="70"/>
        <v>JAMPopulation ages 00-04, male</v>
      </c>
      <c r="C4490" t="s">
        <v>531</v>
      </c>
      <c r="D4490" t="s">
        <v>66</v>
      </c>
      <c r="E4490" t="s">
        <v>363</v>
      </c>
      <c r="F4490" t="s">
        <v>692</v>
      </c>
      <c r="G4490">
        <v>119000</v>
      </c>
      <c r="H4490">
        <v>118000</v>
      </c>
    </row>
    <row r="4491" spans="2:8" x14ac:dyDescent="0.25">
      <c r="B4491" t="str">
        <f t="shared" si="70"/>
        <v>JAMPopulation ages 05-09, female</v>
      </c>
      <c r="C4491" t="s">
        <v>531</v>
      </c>
      <c r="D4491" t="s">
        <v>66</v>
      </c>
      <c r="E4491" t="s">
        <v>364</v>
      </c>
      <c r="F4491" t="s">
        <v>693</v>
      </c>
      <c r="G4491">
        <v>114000</v>
      </c>
      <c r="H4491">
        <v>115000</v>
      </c>
    </row>
    <row r="4492" spans="2:8" x14ac:dyDescent="0.25">
      <c r="B4492" t="str">
        <f t="shared" si="70"/>
        <v>JAMPopulation ages 05-09, male</v>
      </c>
      <c r="C4492" t="s">
        <v>531</v>
      </c>
      <c r="D4492" t="s">
        <v>66</v>
      </c>
      <c r="E4492" t="s">
        <v>365</v>
      </c>
      <c r="F4492" t="s">
        <v>694</v>
      </c>
      <c r="G4492">
        <v>118000</v>
      </c>
      <c r="H4492">
        <v>119000</v>
      </c>
    </row>
    <row r="4493" spans="2:8" x14ac:dyDescent="0.25">
      <c r="B4493" t="str">
        <f t="shared" si="70"/>
        <v>JAMPopulation ages 10-14, female</v>
      </c>
      <c r="C4493" t="s">
        <v>531</v>
      </c>
      <c r="D4493" t="s">
        <v>66</v>
      </c>
      <c r="E4493" t="s">
        <v>366</v>
      </c>
      <c r="F4493" t="s">
        <v>695</v>
      </c>
      <c r="G4493">
        <v>112000</v>
      </c>
      <c r="H4493">
        <v>112000</v>
      </c>
    </row>
    <row r="4494" spans="2:8" x14ac:dyDescent="0.25">
      <c r="B4494" t="str">
        <f t="shared" si="70"/>
        <v>JAMPopulation ages 10-14, male</v>
      </c>
      <c r="C4494" t="s">
        <v>531</v>
      </c>
      <c r="D4494" t="s">
        <v>66</v>
      </c>
      <c r="E4494" t="s">
        <v>367</v>
      </c>
      <c r="F4494" t="s">
        <v>696</v>
      </c>
      <c r="G4494">
        <v>116000</v>
      </c>
      <c r="H4494">
        <v>115000</v>
      </c>
    </row>
    <row r="4495" spans="2:8" x14ac:dyDescent="0.25">
      <c r="B4495" t="str">
        <f t="shared" si="70"/>
        <v>JAMPopulation ages 15-19, female</v>
      </c>
      <c r="C4495" t="s">
        <v>531</v>
      </c>
      <c r="D4495" t="s">
        <v>66</v>
      </c>
      <c r="E4495" t="s">
        <v>368</v>
      </c>
      <c r="F4495" t="s">
        <v>697</v>
      </c>
      <c r="G4495">
        <v>120000</v>
      </c>
      <c r="H4495">
        <v>117000</v>
      </c>
    </row>
    <row r="4496" spans="2:8" x14ac:dyDescent="0.25">
      <c r="B4496" t="str">
        <f t="shared" si="70"/>
        <v>JAMPopulation ages 15-19, male</v>
      </c>
      <c r="C4496" t="s">
        <v>531</v>
      </c>
      <c r="D4496" t="s">
        <v>66</v>
      </c>
      <c r="E4496" t="s">
        <v>369</v>
      </c>
      <c r="F4496" t="s">
        <v>698</v>
      </c>
      <c r="G4496">
        <v>126000</v>
      </c>
      <c r="H4496">
        <v>122000</v>
      </c>
    </row>
    <row r="4497" spans="2:8" x14ac:dyDescent="0.25">
      <c r="B4497" t="str">
        <f t="shared" si="70"/>
        <v>JAMPopulation ages 20-24, female</v>
      </c>
      <c r="C4497" t="s">
        <v>531</v>
      </c>
      <c r="D4497" t="s">
        <v>66</v>
      </c>
      <c r="E4497" t="s">
        <v>370</v>
      </c>
      <c r="F4497" t="s">
        <v>699</v>
      </c>
      <c r="G4497">
        <v>130000</v>
      </c>
      <c r="H4497">
        <v>128000</v>
      </c>
    </row>
    <row r="4498" spans="2:8" x14ac:dyDescent="0.25">
      <c r="B4498" t="str">
        <f t="shared" si="70"/>
        <v>JAMPopulation ages 20-24, male</v>
      </c>
      <c r="C4498" t="s">
        <v>531</v>
      </c>
      <c r="D4498" t="s">
        <v>66</v>
      </c>
      <c r="E4498" t="s">
        <v>371</v>
      </c>
      <c r="F4498" t="s">
        <v>700</v>
      </c>
      <c r="G4498">
        <v>135000</v>
      </c>
      <c r="H4498">
        <v>133000</v>
      </c>
    </row>
    <row r="4499" spans="2:8" x14ac:dyDescent="0.25">
      <c r="B4499" t="str">
        <f t="shared" si="70"/>
        <v>JAMPopulation ages 25-29, female</v>
      </c>
      <c r="C4499" t="s">
        <v>531</v>
      </c>
      <c r="D4499" t="s">
        <v>66</v>
      </c>
      <c r="E4499" t="s">
        <v>372</v>
      </c>
      <c r="F4499" t="s">
        <v>701</v>
      </c>
      <c r="G4499">
        <v>125000</v>
      </c>
      <c r="H4499">
        <v>125000</v>
      </c>
    </row>
    <row r="4500" spans="2:8" x14ac:dyDescent="0.25">
      <c r="B4500" t="str">
        <f t="shared" si="70"/>
        <v>JAMPopulation ages 25-29, male</v>
      </c>
      <c r="C4500" t="s">
        <v>531</v>
      </c>
      <c r="D4500" t="s">
        <v>66</v>
      </c>
      <c r="E4500" t="s">
        <v>373</v>
      </c>
      <c r="F4500" t="s">
        <v>702</v>
      </c>
      <c r="G4500">
        <v>128000</v>
      </c>
      <c r="H4500">
        <v>129000</v>
      </c>
    </row>
    <row r="4501" spans="2:8" x14ac:dyDescent="0.25">
      <c r="B4501" t="str">
        <f t="shared" si="70"/>
        <v>JAMPopulation ages 30-34, female</v>
      </c>
      <c r="C4501" t="s">
        <v>531</v>
      </c>
      <c r="D4501" t="s">
        <v>66</v>
      </c>
      <c r="E4501" t="s">
        <v>374</v>
      </c>
      <c r="F4501" t="s">
        <v>703</v>
      </c>
      <c r="G4501">
        <v>114000</v>
      </c>
      <c r="H4501">
        <v>115000</v>
      </c>
    </row>
    <row r="4502" spans="2:8" x14ac:dyDescent="0.25">
      <c r="B4502" t="str">
        <f t="shared" si="70"/>
        <v>JAMPopulation ages 30-34, male</v>
      </c>
      <c r="C4502" t="s">
        <v>531</v>
      </c>
      <c r="D4502" t="s">
        <v>66</v>
      </c>
      <c r="E4502" t="s">
        <v>375</v>
      </c>
      <c r="F4502" t="s">
        <v>704</v>
      </c>
      <c r="G4502">
        <v>116000</v>
      </c>
      <c r="H4502">
        <v>117000</v>
      </c>
    </row>
    <row r="4503" spans="2:8" x14ac:dyDescent="0.25">
      <c r="B4503" t="str">
        <f t="shared" si="70"/>
        <v>JAMPopulation ages 35-39, female</v>
      </c>
      <c r="C4503" t="s">
        <v>531</v>
      </c>
      <c r="D4503" t="s">
        <v>66</v>
      </c>
      <c r="E4503" t="s">
        <v>376</v>
      </c>
      <c r="F4503" t="s">
        <v>705</v>
      </c>
      <c r="G4503">
        <v>106000</v>
      </c>
      <c r="H4503">
        <v>108000</v>
      </c>
    </row>
    <row r="4504" spans="2:8" x14ac:dyDescent="0.25">
      <c r="B4504" t="str">
        <f t="shared" si="70"/>
        <v>JAMPopulation ages 35-39, male</v>
      </c>
      <c r="C4504" t="s">
        <v>531</v>
      </c>
      <c r="D4504" t="s">
        <v>66</v>
      </c>
      <c r="E4504" t="s">
        <v>377</v>
      </c>
      <c r="F4504" t="s">
        <v>706</v>
      </c>
      <c r="G4504">
        <v>99000</v>
      </c>
      <c r="H4504">
        <v>103000</v>
      </c>
    </row>
    <row r="4505" spans="2:8" x14ac:dyDescent="0.25">
      <c r="B4505" t="str">
        <f t="shared" si="70"/>
        <v>JAMPopulation ages 40-44, female</v>
      </c>
      <c r="C4505" t="s">
        <v>531</v>
      </c>
      <c r="D4505" t="s">
        <v>66</v>
      </c>
      <c r="E4505" t="s">
        <v>378</v>
      </c>
      <c r="F4505" t="s">
        <v>707</v>
      </c>
      <c r="G4505">
        <v>94000</v>
      </c>
      <c r="H4505">
        <v>95000</v>
      </c>
    </row>
    <row r="4506" spans="2:8" x14ac:dyDescent="0.25">
      <c r="B4506" t="str">
        <f t="shared" si="70"/>
        <v>JAMPopulation ages 40-44, male</v>
      </c>
      <c r="C4506" t="s">
        <v>531</v>
      </c>
      <c r="D4506" t="s">
        <v>66</v>
      </c>
      <c r="E4506" t="s">
        <v>379</v>
      </c>
      <c r="F4506" t="s">
        <v>708</v>
      </c>
      <c r="G4506">
        <v>84000</v>
      </c>
      <c r="H4506">
        <v>84000</v>
      </c>
    </row>
    <row r="4507" spans="2:8" x14ac:dyDescent="0.25">
      <c r="B4507" t="str">
        <f t="shared" si="70"/>
        <v>JAMPopulation ages 45-49, female</v>
      </c>
      <c r="C4507" t="s">
        <v>531</v>
      </c>
      <c r="D4507" t="s">
        <v>66</v>
      </c>
      <c r="E4507" t="s">
        <v>380</v>
      </c>
      <c r="F4507" t="s">
        <v>709</v>
      </c>
      <c r="G4507">
        <v>94000</v>
      </c>
      <c r="H4507">
        <v>94000</v>
      </c>
    </row>
    <row r="4508" spans="2:8" x14ac:dyDescent="0.25">
      <c r="B4508" t="str">
        <f t="shared" si="70"/>
        <v>JAMPopulation ages 45-49, male</v>
      </c>
      <c r="C4508" t="s">
        <v>531</v>
      </c>
      <c r="D4508" t="s">
        <v>66</v>
      </c>
      <c r="E4508" t="s">
        <v>381</v>
      </c>
      <c r="F4508" t="s">
        <v>710</v>
      </c>
      <c r="G4508">
        <v>86000</v>
      </c>
      <c r="H4508">
        <v>85000</v>
      </c>
    </row>
    <row r="4509" spans="2:8" x14ac:dyDescent="0.25">
      <c r="B4509" t="str">
        <f t="shared" si="70"/>
        <v>JAMPopulation ages 50-54, female</v>
      </c>
      <c r="C4509" t="s">
        <v>531</v>
      </c>
      <c r="D4509" t="s">
        <v>66</v>
      </c>
      <c r="E4509" t="s">
        <v>382</v>
      </c>
      <c r="F4509" t="s">
        <v>711</v>
      </c>
      <c r="G4509">
        <v>88000</v>
      </c>
      <c r="H4509">
        <v>89000</v>
      </c>
    </row>
    <row r="4510" spans="2:8" x14ac:dyDescent="0.25">
      <c r="B4510" t="str">
        <f t="shared" si="70"/>
        <v>JAMPopulation ages 50-54, male</v>
      </c>
      <c r="C4510" t="s">
        <v>531</v>
      </c>
      <c r="D4510" t="s">
        <v>66</v>
      </c>
      <c r="E4510" t="s">
        <v>383</v>
      </c>
      <c r="F4510" t="s">
        <v>712</v>
      </c>
      <c r="G4510">
        <v>82000</v>
      </c>
      <c r="H4510">
        <v>82000</v>
      </c>
    </row>
    <row r="4511" spans="2:8" x14ac:dyDescent="0.25">
      <c r="B4511" t="str">
        <f t="shared" si="70"/>
        <v>JAMPopulation ages 55-59, male</v>
      </c>
      <c r="C4511" t="s">
        <v>531</v>
      </c>
      <c r="D4511" t="s">
        <v>66</v>
      </c>
      <c r="E4511" t="s">
        <v>385</v>
      </c>
      <c r="F4511" t="s">
        <v>713</v>
      </c>
      <c r="G4511">
        <v>71000</v>
      </c>
      <c r="H4511">
        <v>73000</v>
      </c>
    </row>
    <row r="4512" spans="2:8" x14ac:dyDescent="0.25">
      <c r="B4512" t="str">
        <f t="shared" si="70"/>
        <v>JAMPopulation ages 55-59, female</v>
      </c>
      <c r="C4512" t="s">
        <v>531</v>
      </c>
      <c r="D4512" t="s">
        <v>66</v>
      </c>
      <c r="E4512" t="s">
        <v>384</v>
      </c>
      <c r="F4512" t="s">
        <v>714</v>
      </c>
      <c r="G4512">
        <v>75000</v>
      </c>
      <c r="H4512">
        <v>76000</v>
      </c>
    </row>
    <row r="4513" spans="2:8" x14ac:dyDescent="0.25">
      <c r="B4513" t="str">
        <f t="shared" si="70"/>
        <v>JAMPopulation ages 65-69, male</v>
      </c>
      <c r="C4513" t="s">
        <v>531</v>
      </c>
      <c r="D4513" t="s">
        <v>66</v>
      </c>
      <c r="E4513" t="s">
        <v>389</v>
      </c>
      <c r="F4513" t="s">
        <v>715</v>
      </c>
      <c r="G4513">
        <v>43000</v>
      </c>
      <c r="H4513">
        <v>44000</v>
      </c>
    </row>
    <row r="4514" spans="2:8" x14ac:dyDescent="0.25">
      <c r="B4514" t="str">
        <f t="shared" si="70"/>
        <v>JAMPopulation ages 65-69, female</v>
      </c>
      <c r="C4514" t="s">
        <v>531</v>
      </c>
      <c r="D4514" t="s">
        <v>66</v>
      </c>
      <c r="E4514" t="s">
        <v>388</v>
      </c>
      <c r="F4514" t="s">
        <v>716</v>
      </c>
      <c r="G4514">
        <v>44000</v>
      </c>
      <c r="H4514">
        <v>46000</v>
      </c>
    </row>
    <row r="4515" spans="2:8" x14ac:dyDescent="0.25">
      <c r="B4515" t="str">
        <f t="shared" si="70"/>
        <v>JAMPopulation ages 60-64, female</v>
      </c>
      <c r="C4515" t="s">
        <v>531</v>
      </c>
      <c r="D4515" t="s">
        <v>66</v>
      </c>
      <c r="E4515" t="s">
        <v>386</v>
      </c>
      <c r="F4515" t="s">
        <v>717</v>
      </c>
      <c r="G4515">
        <v>64000</v>
      </c>
      <c r="H4515">
        <v>66000</v>
      </c>
    </row>
    <row r="4516" spans="2:8" x14ac:dyDescent="0.25">
      <c r="B4516" t="str">
        <f t="shared" si="70"/>
        <v>JAMPopulation ages 60-64, male</v>
      </c>
      <c r="C4516" t="s">
        <v>531</v>
      </c>
      <c r="D4516" t="s">
        <v>66</v>
      </c>
      <c r="E4516" t="s">
        <v>387</v>
      </c>
      <c r="F4516" t="s">
        <v>718</v>
      </c>
      <c r="G4516">
        <v>56000</v>
      </c>
      <c r="H4516">
        <v>58000</v>
      </c>
    </row>
    <row r="4517" spans="2:8" x14ac:dyDescent="0.25">
      <c r="B4517" t="str">
        <f t="shared" si="70"/>
        <v>JAMPopulation ages 70-74, female</v>
      </c>
      <c r="C4517" t="s">
        <v>531</v>
      </c>
      <c r="D4517" t="s">
        <v>66</v>
      </c>
      <c r="E4517" t="s">
        <v>390</v>
      </c>
      <c r="F4517" t="s">
        <v>719</v>
      </c>
      <c r="G4517">
        <v>35000</v>
      </c>
      <c r="H4517">
        <v>36000</v>
      </c>
    </row>
    <row r="4518" spans="2:8" x14ac:dyDescent="0.25">
      <c r="B4518" t="str">
        <f t="shared" si="70"/>
        <v>JAMPopulation ages 70-74, male</v>
      </c>
      <c r="C4518" t="s">
        <v>531</v>
      </c>
      <c r="D4518" t="s">
        <v>66</v>
      </c>
      <c r="E4518" t="s">
        <v>391</v>
      </c>
      <c r="F4518" t="s">
        <v>720</v>
      </c>
      <c r="G4518">
        <v>34000</v>
      </c>
      <c r="H4518">
        <v>35000</v>
      </c>
    </row>
    <row r="4519" spans="2:8" x14ac:dyDescent="0.25">
      <c r="B4519" t="str">
        <f t="shared" si="70"/>
        <v>JAMPopulation ages 75-79, female</v>
      </c>
      <c r="C4519" t="s">
        <v>531</v>
      </c>
      <c r="D4519" t="s">
        <v>66</v>
      </c>
      <c r="E4519" t="s">
        <v>392</v>
      </c>
      <c r="F4519" t="s">
        <v>721</v>
      </c>
      <c r="G4519">
        <v>25000</v>
      </c>
      <c r="H4519">
        <v>25000</v>
      </c>
    </row>
    <row r="4520" spans="2:8" x14ac:dyDescent="0.25">
      <c r="B4520" t="str">
        <f t="shared" si="70"/>
        <v>JAMPopulation ages 75-79, male</v>
      </c>
      <c r="C4520" t="s">
        <v>531</v>
      </c>
      <c r="D4520" t="s">
        <v>66</v>
      </c>
      <c r="E4520" t="s">
        <v>393</v>
      </c>
      <c r="F4520" t="s">
        <v>722</v>
      </c>
      <c r="G4520">
        <v>23000</v>
      </c>
      <c r="H4520">
        <v>23000</v>
      </c>
    </row>
    <row r="4521" spans="2:8" x14ac:dyDescent="0.25">
      <c r="B4521" t="str">
        <f t="shared" si="70"/>
        <v>JAMPopulation ages 80 and above, female</v>
      </c>
      <c r="C4521" t="s">
        <v>531</v>
      </c>
      <c r="D4521" t="s">
        <v>66</v>
      </c>
      <c r="E4521" t="s">
        <v>394</v>
      </c>
      <c r="F4521" t="s">
        <v>723</v>
      </c>
      <c r="G4521">
        <v>31000</v>
      </c>
      <c r="H4521">
        <v>31000</v>
      </c>
    </row>
    <row r="4522" spans="2:8" x14ac:dyDescent="0.25">
      <c r="B4522" t="str">
        <f t="shared" si="70"/>
        <v>JAMPopulation ages 80 and above, male</v>
      </c>
      <c r="C4522" t="s">
        <v>531</v>
      </c>
      <c r="D4522" t="s">
        <v>66</v>
      </c>
      <c r="E4522" t="s">
        <v>395</v>
      </c>
      <c r="F4522" t="s">
        <v>724</v>
      </c>
      <c r="G4522">
        <v>28000</v>
      </c>
      <c r="H4522">
        <v>28000</v>
      </c>
    </row>
    <row r="4523" spans="2:8" x14ac:dyDescent="0.25">
      <c r="B4523" t="str">
        <f t="shared" si="70"/>
        <v>JAMPopulation, male</v>
      </c>
      <c r="C4523" t="s">
        <v>531</v>
      </c>
      <c r="D4523" t="s">
        <v>66</v>
      </c>
      <c r="E4523" t="s">
        <v>397</v>
      </c>
      <c r="F4523" t="s">
        <v>725</v>
      </c>
      <c r="G4523">
        <v>1464000</v>
      </c>
      <c r="H4523">
        <v>1470000</v>
      </c>
    </row>
    <row r="4524" spans="2:8" x14ac:dyDescent="0.25">
      <c r="B4524" t="str">
        <f t="shared" si="70"/>
        <v>JAMPopulation, total</v>
      </c>
      <c r="C4524" t="s">
        <v>531</v>
      </c>
      <c r="D4524" t="s">
        <v>66</v>
      </c>
      <c r="E4524" t="s">
        <v>398</v>
      </c>
      <c r="F4524" t="s">
        <v>726</v>
      </c>
      <c r="G4524">
        <v>2948000</v>
      </c>
      <c r="H4524">
        <v>2961000</v>
      </c>
    </row>
    <row r="4525" spans="2:8" x14ac:dyDescent="0.25">
      <c r="B4525" t="str">
        <f t="shared" si="70"/>
        <v>JAMPopulation, female</v>
      </c>
      <c r="C4525" t="s">
        <v>531</v>
      </c>
      <c r="D4525" t="s">
        <v>66</v>
      </c>
      <c r="E4525" t="s">
        <v>396</v>
      </c>
      <c r="F4525" t="s">
        <v>727</v>
      </c>
      <c r="G4525">
        <v>1485000</v>
      </c>
      <c r="H4525">
        <v>1492000</v>
      </c>
    </row>
    <row r="4526" spans="2:8" x14ac:dyDescent="0.25">
      <c r="B4526" t="str">
        <f t="shared" si="70"/>
        <v>JAMPopulation growth (annual %)</v>
      </c>
      <c r="C4526" t="s">
        <v>531</v>
      </c>
      <c r="D4526" t="s">
        <v>66</v>
      </c>
      <c r="E4526" t="s">
        <v>399</v>
      </c>
      <c r="F4526" t="s">
        <v>728</v>
      </c>
      <c r="G4526">
        <v>0</v>
      </c>
      <c r="H4526">
        <v>0</v>
      </c>
    </row>
    <row r="4527" spans="2:8" x14ac:dyDescent="0.25">
      <c r="B4527" t="str">
        <f t="shared" si="70"/>
        <v>JPNPopulation ages 0-14, female</v>
      </c>
      <c r="C4527" t="s">
        <v>532</v>
      </c>
      <c r="D4527" t="s">
        <v>68</v>
      </c>
      <c r="E4527" t="s">
        <v>687</v>
      </c>
      <c r="F4527" t="s">
        <v>688</v>
      </c>
      <c r="G4527">
        <v>7715000</v>
      </c>
      <c r="H4527">
        <v>7611000</v>
      </c>
    </row>
    <row r="4528" spans="2:8" x14ac:dyDescent="0.25">
      <c r="B4528" t="str">
        <f t="shared" si="70"/>
        <v>JPNPopulation ages 0-14, male</v>
      </c>
      <c r="C4528" t="s">
        <v>532</v>
      </c>
      <c r="D4528" t="s">
        <v>68</v>
      </c>
      <c r="E4528" t="s">
        <v>689</v>
      </c>
      <c r="F4528" t="s">
        <v>690</v>
      </c>
      <c r="G4528">
        <v>8139000</v>
      </c>
      <c r="H4528">
        <v>8032000</v>
      </c>
    </row>
    <row r="4529" spans="2:8" x14ac:dyDescent="0.25">
      <c r="B4529" t="str">
        <f t="shared" si="70"/>
        <v>JPNPopulation ages 00-04, female</v>
      </c>
      <c r="C4529" t="s">
        <v>532</v>
      </c>
      <c r="D4529" t="s">
        <v>68</v>
      </c>
      <c r="E4529" t="s">
        <v>362</v>
      </c>
      <c r="F4529" t="s">
        <v>691</v>
      </c>
      <c r="G4529">
        <v>2372000</v>
      </c>
      <c r="H4529">
        <v>2310000</v>
      </c>
    </row>
    <row r="4530" spans="2:8" x14ac:dyDescent="0.25">
      <c r="B4530" t="str">
        <f t="shared" si="70"/>
        <v>JPNPopulation ages 00-04, male</v>
      </c>
      <c r="C4530" t="s">
        <v>532</v>
      </c>
      <c r="D4530" t="s">
        <v>68</v>
      </c>
      <c r="E4530" t="s">
        <v>363</v>
      </c>
      <c r="F4530" t="s">
        <v>692</v>
      </c>
      <c r="G4530">
        <v>2504000</v>
      </c>
      <c r="H4530">
        <v>2438000</v>
      </c>
    </row>
    <row r="4531" spans="2:8" x14ac:dyDescent="0.25">
      <c r="B4531" t="str">
        <f t="shared" si="70"/>
        <v>JPNPopulation ages 05-09, female</v>
      </c>
      <c r="C4531" t="s">
        <v>532</v>
      </c>
      <c r="D4531" t="s">
        <v>68</v>
      </c>
      <c r="E4531" t="s">
        <v>364</v>
      </c>
      <c r="F4531" t="s">
        <v>693</v>
      </c>
      <c r="G4531">
        <v>2640000</v>
      </c>
      <c r="H4531">
        <v>2611000</v>
      </c>
    </row>
    <row r="4532" spans="2:8" x14ac:dyDescent="0.25">
      <c r="B4532" t="str">
        <f t="shared" si="70"/>
        <v>JPNPopulation ages 05-09, male</v>
      </c>
      <c r="C4532" t="s">
        <v>532</v>
      </c>
      <c r="D4532" t="s">
        <v>68</v>
      </c>
      <c r="E4532" t="s">
        <v>365</v>
      </c>
      <c r="F4532" t="s">
        <v>694</v>
      </c>
      <c r="G4532">
        <v>2785000</v>
      </c>
      <c r="H4532">
        <v>2756000</v>
      </c>
    </row>
    <row r="4533" spans="2:8" x14ac:dyDescent="0.25">
      <c r="B4533" t="str">
        <f t="shared" si="70"/>
        <v>JPNPopulation ages 10-14, female</v>
      </c>
      <c r="C4533" t="s">
        <v>532</v>
      </c>
      <c r="D4533" t="s">
        <v>68</v>
      </c>
      <c r="E4533" t="s">
        <v>366</v>
      </c>
      <c r="F4533" t="s">
        <v>695</v>
      </c>
      <c r="G4533">
        <v>2703000</v>
      </c>
      <c r="H4533">
        <v>2690000</v>
      </c>
    </row>
    <row r="4534" spans="2:8" x14ac:dyDescent="0.25">
      <c r="B4534" t="str">
        <f t="shared" si="70"/>
        <v>JPNPopulation ages 10-14, male</v>
      </c>
      <c r="C4534" t="s">
        <v>532</v>
      </c>
      <c r="D4534" t="s">
        <v>68</v>
      </c>
      <c r="E4534" t="s">
        <v>367</v>
      </c>
      <c r="F4534" t="s">
        <v>696</v>
      </c>
      <c r="G4534">
        <v>2851000</v>
      </c>
      <c r="H4534">
        <v>2838000</v>
      </c>
    </row>
    <row r="4535" spans="2:8" x14ac:dyDescent="0.25">
      <c r="B4535" t="str">
        <f t="shared" si="70"/>
        <v>JPNPopulation ages 15-19, female</v>
      </c>
      <c r="C4535" t="s">
        <v>532</v>
      </c>
      <c r="D4535" t="s">
        <v>68</v>
      </c>
      <c r="E4535" t="s">
        <v>368</v>
      </c>
      <c r="F4535" t="s">
        <v>697</v>
      </c>
      <c r="G4535">
        <v>2783000</v>
      </c>
      <c r="H4535">
        <v>2758000</v>
      </c>
    </row>
    <row r="4536" spans="2:8" x14ac:dyDescent="0.25">
      <c r="B4536" t="str">
        <f t="shared" si="70"/>
        <v>JPNPopulation ages 15-19, male</v>
      </c>
      <c r="C4536" t="s">
        <v>532</v>
      </c>
      <c r="D4536" t="s">
        <v>68</v>
      </c>
      <c r="E4536" t="s">
        <v>369</v>
      </c>
      <c r="F4536" t="s">
        <v>698</v>
      </c>
      <c r="G4536">
        <v>2933000</v>
      </c>
      <c r="H4536">
        <v>2908000</v>
      </c>
    </row>
    <row r="4537" spans="2:8" x14ac:dyDescent="0.25">
      <c r="B4537" t="str">
        <f t="shared" si="70"/>
        <v>JPNPopulation ages 20-24, female</v>
      </c>
      <c r="C4537" t="s">
        <v>532</v>
      </c>
      <c r="D4537" t="s">
        <v>68</v>
      </c>
      <c r="E4537" t="s">
        <v>370</v>
      </c>
      <c r="F4537" t="s">
        <v>699</v>
      </c>
      <c r="G4537">
        <v>2921000</v>
      </c>
      <c r="H4537">
        <v>2902000</v>
      </c>
    </row>
    <row r="4538" spans="2:8" x14ac:dyDescent="0.25">
      <c r="B4538" t="str">
        <f t="shared" si="70"/>
        <v>JPNPopulation ages 20-24, male</v>
      </c>
      <c r="C4538" t="s">
        <v>532</v>
      </c>
      <c r="D4538" t="s">
        <v>68</v>
      </c>
      <c r="E4538" t="s">
        <v>371</v>
      </c>
      <c r="F4538" t="s">
        <v>700</v>
      </c>
      <c r="G4538">
        <v>3074000</v>
      </c>
      <c r="H4538">
        <v>3056000</v>
      </c>
    </row>
    <row r="4539" spans="2:8" x14ac:dyDescent="0.25">
      <c r="B4539" t="str">
        <f t="shared" si="70"/>
        <v>JPNPopulation ages 25-29, female</v>
      </c>
      <c r="C4539" t="s">
        <v>532</v>
      </c>
      <c r="D4539" t="s">
        <v>68</v>
      </c>
      <c r="E4539" t="s">
        <v>372</v>
      </c>
      <c r="F4539" t="s">
        <v>701</v>
      </c>
      <c r="G4539">
        <v>3024000</v>
      </c>
      <c r="H4539">
        <v>2980000</v>
      </c>
    </row>
    <row r="4540" spans="2:8" x14ac:dyDescent="0.25">
      <c r="B4540" t="str">
        <f t="shared" si="70"/>
        <v>JPNPopulation ages 25-29, male</v>
      </c>
      <c r="C4540" t="s">
        <v>532</v>
      </c>
      <c r="D4540" t="s">
        <v>68</v>
      </c>
      <c r="E4540" t="s">
        <v>373</v>
      </c>
      <c r="F4540" t="s">
        <v>702</v>
      </c>
      <c r="G4540">
        <v>3176000</v>
      </c>
      <c r="H4540">
        <v>3131000</v>
      </c>
    </row>
    <row r="4541" spans="2:8" x14ac:dyDescent="0.25">
      <c r="B4541" t="str">
        <f t="shared" si="70"/>
        <v>JPNPopulation ages 30-34, female</v>
      </c>
      <c r="C4541" t="s">
        <v>532</v>
      </c>
      <c r="D4541" t="s">
        <v>68</v>
      </c>
      <c r="E4541" t="s">
        <v>374</v>
      </c>
      <c r="F4541" t="s">
        <v>703</v>
      </c>
      <c r="G4541">
        <v>3374000</v>
      </c>
      <c r="H4541">
        <v>3293000</v>
      </c>
    </row>
    <row r="4542" spans="2:8" x14ac:dyDescent="0.25">
      <c r="B4542" t="str">
        <f t="shared" si="70"/>
        <v>JPNPopulation ages 30-34, male</v>
      </c>
      <c r="C4542" t="s">
        <v>532</v>
      </c>
      <c r="D4542" t="s">
        <v>68</v>
      </c>
      <c r="E4542" t="s">
        <v>375</v>
      </c>
      <c r="F4542" t="s">
        <v>704</v>
      </c>
      <c r="G4542">
        <v>3537000</v>
      </c>
      <c r="H4542">
        <v>3453000</v>
      </c>
    </row>
    <row r="4543" spans="2:8" x14ac:dyDescent="0.25">
      <c r="B4543" t="str">
        <f t="shared" si="70"/>
        <v>JPNPopulation ages 35-39, female</v>
      </c>
      <c r="C4543" t="s">
        <v>532</v>
      </c>
      <c r="D4543" t="s">
        <v>68</v>
      </c>
      <c r="E4543" t="s">
        <v>376</v>
      </c>
      <c r="F4543" t="s">
        <v>705</v>
      </c>
      <c r="G4543">
        <v>3798000</v>
      </c>
      <c r="H4543">
        <v>3723000</v>
      </c>
    </row>
    <row r="4544" spans="2:8" x14ac:dyDescent="0.25">
      <c r="B4544" t="str">
        <f t="shared" si="70"/>
        <v>JPNPopulation ages 35-39, male</v>
      </c>
      <c r="C4544" t="s">
        <v>532</v>
      </c>
      <c r="D4544" t="s">
        <v>68</v>
      </c>
      <c r="E4544" t="s">
        <v>377</v>
      </c>
      <c r="F4544" t="s">
        <v>706</v>
      </c>
      <c r="G4544">
        <v>3964000</v>
      </c>
      <c r="H4544">
        <v>3893000</v>
      </c>
    </row>
    <row r="4545" spans="2:8" x14ac:dyDescent="0.25">
      <c r="B4545" t="str">
        <f t="shared" si="70"/>
        <v>JPNPopulation ages 40-44, female</v>
      </c>
      <c r="C4545" t="s">
        <v>532</v>
      </c>
      <c r="D4545" t="s">
        <v>68</v>
      </c>
      <c r="E4545" t="s">
        <v>378</v>
      </c>
      <c r="F4545" t="s">
        <v>707</v>
      </c>
      <c r="G4545">
        <v>4297000</v>
      </c>
      <c r="H4545">
        <v>4134000</v>
      </c>
    </row>
    <row r="4546" spans="2:8" x14ac:dyDescent="0.25">
      <c r="B4546" t="str">
        <f t="shared" si="70"/>
        <v>JPNPopulation ages 40-44, male</v>
      </c>
      <c r="C4546" t="s">
        <v>532</v>
      </c>
      <c r="D4546" t="s">
        <v>68</v>
      </c>
      <c r="E4546" t="s">
        <v>379</v>
      </c>
      <c r="F4546" t="s">
        <v>708</v>
      </c>
      <c r="G4546">
        <v>4448000</v>
      </c>
      <c r="H4546">
        <v>4279000</v>
      </c>
    </row>
    <row r="4547" spans="2:8" x14ac:dyDescent="0.25">
      <c r="B4547" t="str">
        <f t="shared" si="70"/>
        <v>JPNPopulation ages 45-49, female</v>
      </c>
      <c r="C4547" t="s">
        <v>532</v>
      </c>
      <c r="D4547" t="s">
        <v>68</v>
      </c>
      <c r="E4547" t="s">
        <v>380</v>
      </c>
      <c r="F4547" t="s">
        <v>709</v>
      </c>
      <c r="G4547">
        <v>4867000</v>
      </c>
      <c r="H4547">
        <v>4884000</v>
      </c>
    </row>
    <row r="4548" spans="2:8" x14ac:dyDescent="0.25">
      <c r="B4548" t="str">
        <f t="shared" si="70"/>
        <v>JPNPopulation ages 45-49, male</v>
      </c>
      <c r="C4548" t="s">
        <v>532</v>
      </c>
      <c r="D4548" t="s">
        <v>68</v>
      </c>
      <c r="E4548" t="s">
        <v>381</v>
      </c>
      <c r="F4548" t="s">
        <v>710</v>
      </c>
      <c r="G4548">
        <v>5029000</v>
      </c>
      <c r="H4548">
        <v>5056000</v>
      </c>
    </row>
    <row r="4549" spans="2:8" x14ac:dyDescent="0.25">
      <c r="B4549" t="str">
        <f t="shared" si="70"/>
        <v>JPNPopulation ages 50-54, female</v>
      </c>
      <c r="C4549" t="s">
        <v>532</v>
      </c>
      <c r="D4549" t="s">
        <v>68</v>
      </c>
      <c r="E4549" t="s">
        <v>382</v>
      </c>
      <c r="F4549" t="s">
        <v>711</v>
      </c>
      <c r="G4549">
        <v>4162000</v>
      </c>
      <c r="H4549">
        <v>4266000</v>
      </c>
    </row>
    <row r="4550" spans="2:8" x14ac:dyDescent="0.25">
      <c r="B4550" t="str">
        <f t="shared" si="70"/>
        <v>JPNPopulation ages 50-54, male</v>
      </c>
      <c r="C4550" t="s">
        <v>532</v>
      </c>
      <c r="D4550" t="s">
        <v>68</v>
      </c>
      <c r="E4550" t="s">
        <v>383</v>
      </c>
      <c r="F4550" t="s">
        <v>712</v>
      </c>
      <c r="G4550">
        <v>4226000</v>
      </c>
      <c r="H4550">
        <v>4337000</v>
      </c>
    </row>
    <row r="4551" spans="2:8" x14ac:dyDescent="0.25">
      <c r="B4551" t="str">
        <f t="shared" ref="B4551:B4614" si="71">CONCATENATE(D4551,E4551)</f>
        <v>JPNPopulation ages 55-59, male</v>
      </c>
      <c r="C4551" t="s">
        <v>532</v>
      </c>
      <c r="D4551" t="s">
        <v>68</v>
      </c>
      <c r="E4551" t="s">
        <v>385</v>
      </c>
      <c r="F4551" t="s">
        <v>713</v>
      </c>
      <c r="G4551">
        <v>3891000</v>
      </c>
      <c r="H4551">
        <v>3939000</v>
      </c>
    </row>
    <row r="4552" spans="2:8" x14ac:dyDescent="0.25">
      <c r="B4552" t="str">
        <f t="shared" si="71"/>
        <v>JPNPopulation ages 55-59, female</v>
      </c>
      <c r="C4552" t="s">
        <v>532</v>
      </c>
      <c r="D4552" t="s">
        <v>68</v>
      </c>
      <c r="E4552" t="s">
        <v>384</v>
      </c>
      <c r="F4552" t="s">
        <v>714</v>
      </c>
      <c r="G4552">
        <v>3846000</v>
      </c>
      <c r="H4552">
        <v>3893000</v>
      </c>
    </row>
    <row r="4553" spans="2:8" x14ac:dyDescent="0.25">
      <c r="B4553" t="str">
        <f t="shared" si="71"/>
        <v>JPNPopulation ages 65-69, male</v>
      </c>
      <c r="C4553" t="s">
        <v>532</v>
      </c>
      <c r="D4553" t="s">
        <v>68</v>
      </c>
      <c r="E4553" t="s">
        <v>389</v>
      </c>
      <c r="F4553" t="s">
        <v>715</v>
      </c>
      <c r="G4553">
        <v>4212000</v>
      </c>
      <c r="H4553">
        <v>4070000</v>
      </c>
    </row>
    <row r="4554" spans="2:8" x14ac:dyDescent="0.25">
      <c r="B4554" t="str">
        <f t="shared" si="71"/>
        <v>JPNPopulation ages 65-69, female</v>
      </c>
      <c r="C4554" t="s">
        <v>532</v>
      </c>
      <c r="D4554" t="s">
        <v>68</v>
      </c>
      <c r="E4554" t="s">
        <v>388</v>
      </c>
      <c r="F4554" t="s">
        <v>716</v>
      </c>
      <c r="G4554">
        <v>4427000</v>
      </c>
      <c r="H4554">
        <v>4256000</v>
      </c>
    </row>
    <row r="4555" spans="2:8" x14ac:dyDescent="0.25">
      <c r="B4555" t="str">
        <f t="shared" si="71"/>
        <v>JPNPopulation ages 60-64, female</v>
      </c>
      <c r="C4555" t="s">
        <v>532</v>
      </c>
      <c r="D4555" t="s">
        <v>68</v>
      </c>
      <c r="E4555" t="s">
        <v>386</v>
      </c>
      <c r="F4555" t="s">
        <v>717</v>
      </c>
      <c r="G4555">
        <v>3809000</v>
      </c>
      <c r="H4555">
        <v>3738000</v>
      </c>
    </row>
    <row r="4556" spans="2:8" x14ac:dyDescent="0.25">
      <c r="B4556" t="str">
        <f t="shared" si="71"/>
        <v>JPNPopulation ages 60-64, male</v>
      </c>
      <c r="C4556" t="s">
        <v>532</v>
      </c>
      <c r="D4556" t="s">
        <v>68</v>
      </c>
      <c r="E4556" t="s">
        <v>387</v>
      </c>
      <c r="F4556" t="s">
        <v>718</v>
      </c>
      <c r="G4556">
        <v>3772000</v>
      </c>
      <c r="H4556">
        <v>3709000</v>
      </c>
    </row>
    <row r="4557" spans="2:8" x14ac:dyDescent="0.25">
      <c r="B4557" t="str">
        <f t="shared" si="71"/>
        <v>JPNPopulation ages 70-74, female</v>
      </c>
      <c r="C4557" t="s">
        <v>532</v>
      </c>
      <c r="D4557" t="s">
        <v>68</v>
      </c>
      <c r="E4557" t="s">
        <v>390</v>
      </c>
      <c r="F4557" t="s">
        <v>719</v>
      </c>
      <c r="G4557">
        <v>4742000</v>
      </c>
      <c r="H4557">
        <v>4784000</v>
      </c>
    </row>
    <row r="4558" spans="2:8" x14ac:dyDescent="0.25">
      <c r="B4558" t="str">
        <f t="shared" si="71"/>
        <v>JPNPopulation ages 70-74, male</v>
      </c>
      <c r="C4558" t="s">
        <v>532</v>
      </c>
      <c r="D4558" t="s">
        <v>68</v>
      </c>
      <c r="E4558" t="s">
        <v>391</v>
      </c>
      <c r="F4558" t="s">
        <v>720</v>
      </c>
      <c r="G4558">
        <v>4224000</v>
      </c>
      <c r="H4558">
        <v>4285000</v>
      </c>
    </row>
    <row r="4559" spans="2:8" x14ac:dyDescent="0.25">
      <c r="B4559" t="str">
        <f t="shared" si="71"/>
        <v>JPNPopulation ages 75-79, female</v>
      </c>
      <c r="C4559" t="s">
        <v>532</v>
      </c>
      <c r="D4559" t="s">
        <v>68</v>
      </c>
      <c r="E4559" t="s">
        <v>392</v>
      </c>
      <c r="F4559" t="s">
        <v>721</v>
      </c>
      <c r="G4559">
        <v>3743000</v>
      </c>
      <c r="H4559">
        <v>3872000</v>
      </c>
    </row>
    <row r="4560" spans="2:8" x14ac:dyDescent="0.25">
      <c r="B4560" t="str">
        <f t="shared" si="71"/>
        <v>JPNPopulation ages 75-79, male</v>
      </c>
      <c r="C4560" t="s">
        <v>532</v>
      </c>
      <c r="D4560" t="s">
        <v>68</v>
      </c>
      <c r="E4560" t="s">
        <v>393</v>
      </c>
      <c r="F4560" t="s">
        <v>722</v>
      </c>
      <c r="G4560">
        <v>3011000</v>
      </c>
      <c r="H4560">
        <v>3140000</v>
      </c>
    </row>
    <row r="4561" spans="2:8" x14ac:dyDescent="0.25">
      <c r="B4561" t="str">
        <f t="shared" si="71"/>
        <v>JPNPopulation ages 80 and above, female</v>
      </c>
      <c r="C4561" t="s">
        <v>532</v>
      </c>
      <c r="D4561" t="s">
        <v>68</v>
      </c>
      <c r="E4561" t="s">
        <v>394</v>
      </c>
      <c r="F4561" t="s">
        <v>723</v>
      </c>
      <c r="G4561">
        <v>7011000</v>
      </c>
      <c r="H4561">
        <v>7211000</v>
      </c>
    </row>
    <row r="4562" spans="2:8" x14ac:dyDescent="0.25">
      <c r="B4562" t="str">
        <f t="shared" si="71"/>
        <v>JPNPopulation ages 80 and above, male</v>
      </c>
      <c r="C4562" t="s">
        <v>532</v>
      </c>
      <c r="D4562" t="s">
        <v>68</v>
      </c>
      <c r="E4562" t="s">
        <v>395</v>
      </c>
      <c r="F4562" t="s">
        <v>724</v>
      </c>
      <c r="G4562">
        <v>3941000</v>
      </c>
      <c r="H4562">
        <v>4067000</v>
      </c>
    </row>
    <row r="4563" spans="2:8" x14ac:dyDescent="0.25">
      <c r="B4563" t="str">
        <f t="shared" si="71"/>
        <v>JPNPopulation, male</v>
      </c>
      <c r="C4563" t="s">
        <v>532</v>
      </c>
      <c r="D4563" t="s">
        <v>68</v>
      </c>
      <c r="E4563" t="s">
        <v>397</v>
      </c>
      <c r="F4563" t="s">
        <v>725</v>
      </c>
      <c r="G4563">
        <v>61578000</v>
      </c>
      <c r="H4563">
        <v>61355000</v>
      </c>
    </row>
    <row r="4564" spans="2:8" x14ac:dyDescent="0.25">
      <c r="B4564" t="str">
        <f t="shared" si="71"/>
        <v>JPNPopulation, total</v>
      </c>
      <c r="C4564" t="s">
        <v>532</v>
      </c>
      <c r="D4564" t="s">
        <v>68</v>
      </c>
      <c r="E4564" t="s">
        <v>398</v>
      </c>
      <c r="F4564" t="s">
        <v>726</v>
      </c>
      <c r="G4564">
        <v>126097000</v>
      </c>
      <c r="H4564">
        <v>125661000</v>
      </c>
    </row>
    <row r="4565" spans="2:8" x14ac:dyDescent="0.25">
      <c r="B4565" t="str">
        <f t="shared" si="71"/>
        <v>JPNPopulation, female</v>
      </c>
      <c r="C4565" t="s">
        <v>532</v>
      </c>
      <c r="D4565" t="s">
        <v>68</v>
      </c>
      <c r="E4565" t="s">
        <v>396</v>
      </c>
      <c r="F4565" t="s">
        <v>727</v>
      </c>
      <c r="G4565">
        <v>64520000</v>
      </c>
      <c r="H4565">
        <v>64306000</v>
      </c>
    </row>
    <row r="4566" spans="2:8" x14ac:dyDescent="0.25">
      <c r="B4566" t="str">
        <f t="shared" si="71"/>
        <v>JPNPopulation growth (annual %)</v>
      </c>
      <c r="C4566" t="s">
        <v>532</v>
      </c>
      <c r="D4566" t="s">
        <v>68</v>
      </c>
      <c r="E4566" t="s">
        <v>399</v>
      </c>
      <c r="F4566" t="s">
        <v>728</v>
      </c>
      <c r="G4566">
        <v>0</v>
      </c>
      <c r="H4566">
        <v>0</v>
      </c>
    </row>
    <row r="4567" spans="2:8" x14ac:dyDescent="0.25">
      <c r="B4567" t="str">
        <f t="shared" si="71"/>
        <v>JORPopulation ages 0-14, female</v>
      </c>
      <c r="C4567" t="s">
        <v>533</v>
      </c>
      <c r="D4567" t="s">
        <v>67</v>
      </c>
      <c r="E4567" t="s">
        <v>687</v>
      </c>
      <c r="F4567" t="s">
        <v>688</v>
      </c>
      <c r="G4567">
        <v>1666000</v>
      </c>
      <c r="H4567">
        <v>1645000</v>
      </c>
    </row>
    <row r="4568" spans="2:8" x14ac:dyDescent="0.25">
      <c r="B4568" t="str">
        <f t="shared" si="71"/>
        <v>JORPopulation ages 0-14, male</v>
      </c>
      <c r="C4568" t="s">
        <v>533</v>
      </c>
      <c r="D4568" t="s">
        <v>67</v>
      </c>
      <c r="E4568" t="s">
        <v>689</v>
      </c>
      <c r="F4568" t="s">
        <v>690</v>
      </c>
      <c r="G4568">
        <v>1725000</v>
      </c>
      <c r="H4568">
        <v>1708000</v>
      </c>
    </row>
    <row r="4569" spans="2:8" x14ac:dyDescent="0.25">
      <c r="B4569" t="str">
        <f t="shared" si="71"/>
        <v>JORPopulation ages 00-04, female</v>
      </c>
      <c r="C4569" t="s">
        <v>533</v>
      </c>
      <c r="D4569" t="s">
        <v>67</v>
      </c>
      <c r="E4569" t="s">
        <v>362</v>
      </c>
      <c r="F4569" t="s">
        <v>691</v>
      </c>
      <c r="G4569">
        <v>531000</v>
      </c>
      <c r="H4569">
        <v>516000</v>
      </c>
    </row>
    <row r="4570" spans="2:8" x14ac:dyDescent="0.25">
      <c r="B4570" t="str">
        <f t="shared" si="71"/>
        <v>JORPopulation ages 00-04, male</v>
      </c>
      <c r="C4570" t="s">
        <v>533</v>
      </c>
      <c r="D4570" t="s">
        <v>67</v>
      </c>
      <c r="E4570" t="s">
        <v>363</v>
      </c>
      <c r="F4570" t="s">
        <v>692</v>
      </c>
      <c r="G4570">
        <v>557000</v>
      </c>
      <c r="H4570">
        <v>543000</v>
      </c>
    </row>
    <row r="4571" spans="2:8" x14ac:dyDescent="0.25">
      <c r="B4571" t="str">
        <f t="shared" si="71"/>
        <v>JORPopulation ages 05-09, female</v>
      </c>
      <c r="C4571" t="s">
        <v>533</v>
      </c>
      <c r="D4571" t="s">
        <v>67</v>
      </c>
      <c r="E4571" t="s">
        <v>364</v>
      </c>
      <c r="F4571" t="s">
        <v>693</v>
      </c>
      <c r="G4571">
        <v>575000</v>
      </c>
      <c r="H4571">
        <v>566000</v>
      </c>
    </row>
    <row r="4572" spans="2:8" x14ac:dyDescent="0.25">
      <c r="B4572" t="str">
        <f t="shared" si="71"/>
        <v>JORPopulation ages 05-09, male</v>
      </c>
      <c r="C4572" t="s">
        <v>533</v>
      </c>
      <c r="D4572" t="s">
        <v>67</v>
      </c>
      <c r="E4572" t="s">
        <v>365</v>
      </c>
      <c r="F4572" t="s">
        <v>694</v>
      </c>
      <c r="G4572">
        <v>595000</v>
      </c>
      <c r="H4572">
        <v>588000</v>
      </c>
    </row>
    <row r="4573" spans="2:8" x14ac:dyDescent="0.25">
      <c r="B4573" t="str">
        <f t="shared" si="71"/>
        <v>JORPopulation ages 10-14, female</v>
      </c>
      <c r="C4573" t="s">
        <v>533</v>
      </c>
      <c r="D4573" t="s">
        <v>67</v>
      </c>
      <c r="E4573" t="s">
        <v>366</v>
      </c>
      <c r="F4573" t="s">
        <v>695</v>
      </c>
      <c r="G4573">
        <v>560000</v>
      </c>
      <c r="H4573">
        <v>563000</v>
      </c>
    </row>
    <row r="4574" spans="2:8" x14ac:dyDescent="0.25">
      <c r="B4574" t="str">
        <f t="shared" si="71"/>
        <v>JORPopulation ages 10-14, male</v>
      </c>
      <c r="C4574" t="s">
        <v>533</v>
      </c>
      <c r="D4574" t="s">
        <v>67</v>
      </c>
      <c r="E4574" t="s">
        <v>367</v>
      </c>
      <c r="F4574" t="s">
        <v>696</v>
      </c>
      <c r="G4574">
        <v>573000</v>
      </c>
      <c r="H4574">
        <v>577000</v>
      </c>
    </row>
    <row r="4575" spans="2:8" x14ac:dyDescent="0.25">
      <c r="B4575" t="str">
        <f t="shared" si="71"/>
        <v>JORPopulation ages 15-19, female</v>
      </c>
      <c r="C4575" t="s">
        <v>533</v>
      </c>
      <c r="D4575" t="s">
        <v>67</v>
      </c>
      <c r="E4575" t="s">
        <v>368</v>
      </c>
      <c r="F4575" t="s">
        <v>697</v>
      </c>
      <c r="G4575">
        <v>509000</v>
      </c>
      <c r="H4575">
        <v>515000</v>
      </c>
    </row>
    <row r="4576" spans="2:8" x14ac:dyDescent="0.25">
      <c r="B4576" t="str">
        <f t="shared" si="71"/>
        <v>JORPopulation ages 15-19, male</v>
      </c>
      <c r="C4576" t="s">
        <v>533</v>
      </c>
      <c r="D4576" t="s">
        <v>67</v>
      </c>
      <c r="E4576" t="s">
        <v>369</v>
      </c>
      <c r="F4576" t="s">
        <v>698</v>
      </c>
      <c r="G4576">
        <v>518000</v>
      </c>
      <c r="H4576">
        <v>525000</v>
      </c>
    </row>
    <row r="4577" spans="2:8" x14ac:dyDescent="0.25">
      <c r="B4577" t="str">
        <f t="shared" si="71"/>
        <v>JORPopulation ages 20-24, female</v>
      </c>
      <c r="C4577" t="s">
        <v>533</v>
      </c>
      <c r="D4577" t="s">
        <v>67</v>
      </c>
      <c r="E4577" t="s">
        <v>370</v>
      </c>
      <c r="F4577" t="s">
        <v>699</v>
      </c>
      <c r="G4577">
        <v>461000</v>
      </c>
      <c r="H4577">
        <v>466000</v>
      </c>
    </row>
    <row r="4578" spans="2:8" x14ac:dyDescent="0.25">
      <c r="B4578" t="str">
        <f t="shared" si="71"/>
        <v>JORPopulation ages 20-24, male</v>
      </c>
      <c r="C4578" t="s">
        <v>533</v>
      </c>
      <c r="D4578" t="s">
        <v>67</v>
      </c>
      <c r="E4578" t="s">
        <v>371</v>
      </c>
      <c r="F4578" t="s">
        <v>700</v>
      </c>
      <c r="G4578">
        <v>469000</v>
      </c>
      <c r="H4578">
        <v>474000</v>
      </c>
    </row>
    <row r="4579" spans="2:8" x14ac:dyDescent="0.25">
      <c r="B4579" t="str">
        <f t="shared" si="71"/>
        <v>JORPopulation ages 25-29, female</v>
      </c>
      <c r="C4579" t="s">
        <v>533</v>
      </c>
      <c r="D4579" t="s">
        <v>67</v>
      </c>
      <c r="E4579" t="s">
        <v>372</v>
      </c>
      <c r="F4579" t="s">
        <v>701</v>
      </c>
      <c r="G4579">
        <v>422000</v>
      </c>
      <c r="H4579">
        <v>428000</v>
      </c>
    </row>
    <row r="4580" spans="2:8" x14ac:dyDescent="0.25">
      <c r="B4580" t="str">
        <f t="shared" si="71"/>
        <v>JORPopulation ages 25-29, male</v>
      </c>
      <c r="C4580" t="s">
        <v>533</v>
      </c>
      <c r="D4580" t="s">
        <v>67</v>
      </c>
      <c r="E4580" t="s">
        <v>373</v>
      </c>
      <c r="F4580" t="s">
        <v>702</v>
      </c>
      <c r="G4580">
        <v>429000</v>
      </c>
      <c r="H4580">
        <v>435000</v>
      </c>
    </row>
    <row r="4581" spans="2:8" x14ac:dyDescent="0.25">
      <c r="B4581" t="str">
        <f t="shared" si="71"/>
        <v>JORPopulation ages 30-34, female</v>
      </c>
      <c r="C4581" t="s">
        <v>533</v>
      </c>
      <c r="D4581" t="s">
        <v>67</v>
      </c>
      <c r="E4581" t="s">
        <v>374</v>
      </c>
      <c r="F4581" t="s">
        <v>703</v>
      </c>
      <c r="G4581">
        <v>380000</v>
      </c>
      <c r="H4581">
        <v>384000</v>
      </c>
    </row>
    <row r="4582" spans="2:8" x14ac:dyDescent="0.25">
      <c r="B4582" t="str">
        <f t="shared" si="71"/>
        <v>JORPopulation ages 30-34, male</v>
      </c>
      <c r="C4582" t="s">
        <v>533</v>
      </c>
      <c r="D4582" t="s">
        <v>67</v>
      </c>
      <c r="E4582" t="s">
        <v>375</v>
      </c>
      <c r="F4582" t="s">
        <v>704</v>
      </c>
      <c r="G4582">
        <v>389000</v>
      </c>
      <c r="H4582">
        <v>393000</v>
      </c>
    </row>
    <row r="4583" spans="2:8" x14ac:dyDescent="0.25">
      <c r="B4583" t="str">
        <f t="shared" si="71"/>
        <v>JORPopulation ages 35-39, female</v>
      </c>
      <c r="C4583" t="s">
        <v>533</v>
      </c>
      <c r="D4583" t="s">
        <v>67</v>
      </c>
      <c r="E4583" t="s">
        <v>376</v>
      </c>
      <c r="F4583" t="s">
        <v>705</v>
      </c>
      <c r="G4583">
        <v>343000</v>
      </c>
      <c r="H4583">
        <v>350000</v>
      </c>
    </row>
    <row r="4584" spans="2:8" x14ac:dyDescent="0.25">
      <c r="B4584" t="str">
        <f t="shared" si="71"/>
        <v>JORPopulation ages 35-39, male</v>
      </c>
      <c r="C4584" t="s">
        <v>533</v>
      </c>
      <c r="D4584" t="s">
        <v>67</v>
      </c>
      <c r="E4584" t="s">
        <v>377</v>
      </c>
      <c r="F4584" t="s">
        <v>706</v>
      </c>
      <c r="G4584">
        <v>357000</v>
      </c>
      <c r="H4584">
        <v>363000</v>
      </c>
    </row>
    <row r="4585" spans="2:8" x14ac:dyDescent="0.25">
      <c r="B4585" t="str">
        <f t="shared" si="71"/>
        <v>JORPopulation ages 40-44, female</v>
      </c>
      <c r="C4585" t="s">
        <v>533</v>
      </c>
      <c r="D4585" t="s">
        <v>67</v>
      </c>
      <c r="E4585" t="s">
        <v>378</v>
      </c>
      <c r="F4585" t="s">
        <v>707</v>
      </c>
      <c r="G4585">
        <v>289000</v>
      </c>
      <c r="H4585">
        <v>295000</v>
      </c>
    </row>
    <row r="4586" spans="2:8" x14ac:dyDescent="0.25">
      <c r="B4586" t="str">
        <f t="shared" si="71"/>
        <v>JORPopulation ages 40-44, male</v>
      </c>
      <c r="C4586" t="s">
        <v>533</v>
      </c>
      <c r="D4586" t="s">
        <v>67</v>
      </c>
      <c r="E4586" t="s">
        <v>379</v>
      </c>
      <c r="F4586" t="s">
        <v>708</v>
      </c>
      <c r="G4586">
        <v>306000</v>
      </c>
      <c r="H4586">
        <v>311000</v>
      </c>
    </row>
    <row r="4587" spans="2:8" x14ac:dyDescent="0.25">
      <c r="B4587" t="str">
        <f t="shared" si="71"/>
        <v>JORPopulation ages 45-49, female</v>
      </c>
      <c r="C4587" t="s">
        <v>533</v>
      </c>
      <c r="D4587" t="s">
        <v>67</v>
      </c>
      <c r="E4587" t="s">
        <v>380</v>
      </c>
      <c r="F4587" t="s">
        <v>709</v>
      </c>
      <c r="G4587">
        <v>251000</v>
      </c>
      <c r="H4587">
        <v>258000</v>
      </c>
    </row>
    <row r="4588" spans="2:8" x14ac:dyDescent="0.25">
      <c r="B4588" t="str">
        <f t="shared" si="71"/>
        <v>JORPopulation ages 45-49, male</v>
      </c>
      <c r="C4588" t="s">
        <v>533</v>
      </c>
      <c r="D4588" t="s">
        <v>67</v>
      </c>
      <c r="E4588" t="s">
        <v>381</v>
      </c>
      <c r="F4588" t="s">
        <v>710</v>
      </c>
      <c r="G4588">
        <v>271000</v>
      </c>
      <c r="H4588">
        <v>277000</v>
      </c>
    </row>
    <row r="4589" spans="2:8" x14ac:dyDescent="0.25">
      <c r="B4589" t="str">
        <f t="shared" si="71"/>
        <v>JORPopulation ages 50-54, female</v>
      </c>
      <c r="C4589" t="s">
        <v>533</v>
      </c>
      <c r="D4589" t="s">
        <v>67</v>
      </c>
      <c r="E4589" t="s">
        <v>382</v>
      </c>
      <c r="F4589" t="s">
        <v>711</v>
      </c>
      <c r="G4589">
        <v>202000</v>
      </c>
      <c r="H4589">
        <v>209000</v>
      </c>
    </row>
    <row r="4590" spans="2:8" x14ac:dyDescent="0.25">
      <c r="B4590" t="str">
        <f t="shared" si="71"/>
        <v>JORPopulation ages 50-54, male</v>
      </c>
      <c r="C4590" t="s">
        <v>533</v>
      </c>
      <c r="D4590" t="s">
        <v>67</v>
      </c>
      <c r="E4590" t="s">
        <v>383</v>
      </c>
      <c r="F4590" t="s">
        <v>712</v>
      </c>
      <c r="G4590">
        <v>215000</v>
      </c>
      <c r="H4590">
        <v>224000</v>
      </c>
    </row>
    <row r="4591" spans="2:8" x14ac:dyDescent="0.25">
      <c r="B4591" t="str">
        <f t="shared" si="71"/>
        <v>JORPopulation ages 55-59, male</v>
      </c>
      <c r="C4591" t="s">
        <v>533</v>
      </c>
      <c r="D4591" t="s">
        <v>67</v>
      </c>
      <c r="E4591" t="s">
        <v>385</v>
      </c>
      <c r="F4591" t="s">
        <v>713</v>
      </c>
      <c r="G4591">
        <v>152000</v>
      </c>
      <c r="H4591">
        <v>162000</v>
      </c>
    </row>
    <row r="4592" spans="2:8" x14ac:dyDescent="0.25">
      <c r="B4592" t="str">
        <f t="shared" si="71"/>
        <v>JORPopulation ages 55-59, female</v>
      </c>
      <c r="C4592" t="s">
        <v>533</v>
      </c>
      <c r="D4592" t="s">
        <v>67</v>
      </c>
      <c r="E4592" t="s">
        <v>384</v>
      </c>
      <c r="F4592" t="s">
        <v>714</v>
      </c>
      <c r="G4592">
        <v>152000</v>
      </c>
      <c r="H4592">
        <v>160000</v>
      </c>
    </row>
    <row r="4593" spans="2:8" x14ac:dyDescent="0.25">
      <c r="B4593" t="str">
        <f t="shared" si="71"/>
        <v>JORPopulation ages 65-69, male</v>
      </c>
      <c r="C4593" t="s">
        <v>533</v>
      </c>
      <c r="D4593" t="s">
        <v>67</v>
      </c>
      <c r="E4593" t="s">
        <v>389</v>
      </c>
      <c r="F4593" t="s">
        <v>715</v>
      </c>
      <c r="G4593">
        <v>70000</v>
      </c>
      <c r="H4593">
        <v>72000</v>
      </c>
    </row>
    <row r="4594" spans="2:8" x14ac:dyDescent="0.25">
      <c r="B4594" t="str">
        <f t="shared" si="71"/>
        <v>JORPopulation ages 65-69, female</v>
      </c>
      <c r="C4594" t="s">
        <v>533</v>
      </c>
      <c r="D4594" t="s">
        <v>67</v>
      </c>
      <c r="E4594" t="s">
        <v>388</v>
      </c>
      <c r="F4594" t="s">
        <v>716</v>
      </c>
      <c r="G4594">
        <v>74000</v>
      </c>
      <c r="H4594">
        <v>77000</v>
      </c>
    </row>
    <row r="4595" spans="2:8" x14ac:dyDescent="0.25">
      <c r="B4595" t="str">
        <f t="shared" si="71"/>
        <v>JORPopulation ages 60-64, female</v>
      </c>
      <c r="C4595" t="s">
        <v>533</v>
      </c>
      <c r="D4595" t="s">
        <v>67</v>
      </c>
      <c r="E4595" t="s">
        <v>386</v>
      </c>
      <c r="F4595" t="s">
        <v>717</v>
      </c>
      <c r="G4595">
        <v>105000</v>
      </c>
      <c r="H4595">
        <v>111000</v>
      </c>
    </row>
    <row r="4596" spans="2:8" x14ac:dyDescent="0.25">
      <c r="B4596" t="str">
        <f t="shared" si="71"/>
        <v>JORPopulation ages 60-64, male</v>
      </c>
      <c r="C4596" t="s">
        <v>533</v>
      </c>
      <c r="D4596" t="s">
        <v>67</v>
      </c>
      <c r="E4596" t="s">
        <v>387</v>
      </c>
      <c r="F4596" t="s">
        <v>718</v>
      </c>
      <c r="G4596">
        <v>100000</v>
      </c>
      <c r="H4596">
        <v>106000</v>
      </c>
    </row>
    <row r="4597" spans="2:8" x14ac:dyDescent="0.25">
      <c r="B4597" t="str">
        <f t="shared" si="71"/>
        <v>JORPopulation ages 70-74, female</v>
      </c>
      <c r="C4597" t="s">
        <v>533</v>
      </c>
      <c r="D4597" t="s">
        <v>67</v>
      </c>
      <c r="E4597" t="s">
        <v>390</v>
      </c>
      <c r="F4597" t="s">
        <v>719</v>
      </c>
      <c r="G4597">
        <v>59000</v>
      </c>
      <c r="H4597">
        <v>60000</v>
      </c>
    </row>
    <row r="4598" spans="2:8" x14ac:dyDescent="0.25">
      <c r="B4598" t="str">
        <f t="shared" si="71"/>
        <v>JORPopulation ages 70-74, male</v>
      </c>
      <c r="C4598" t="s">
        <v>533</v>
      </c>
      <c r="D4598" t="s">
        <v>67</v>
      </c>
      <c r="E4598" t="s">
        <v>391</v>
      </c>
      <c r="F4598" t="s">
        <v>720</v>
      </c>
      <c r="G4598">
        <v>51000</v>
      </c>
      <c r="H4598">
        <v>52000</v>
      </c>
    </row>
    <row r="4599" spans="2:8" x14ac:dyDescent="0.25">
      <c r="B4599" t="str">
        <f t="shared" si="71"/>
        <v>JORPopulation ages 75-79, female</v>
      </c>
      <c r="C4599" t="s">
        <v>533</v>
      </c>
      <c r="D4599" t="s">
        <v>67</v>
      </c>
      <c r="E4599" t="s">
        <v>392</v>
      </c>
      <c r="F4599" t="s">
        <v>721</v>
      </c>
      <c r="G4599">
        <v>42000</v>
      </c>
      <c r="H4599">
        <v>43000</v>
      </c>
    </row>
    <row r="4600" spans="2:8" x14ac:dyDescent="0.25">
      <c r="B4600" t="str">
        <f t="shared" si="71"/>
        <v>JORPopulation ages 75-79, male</v>
      </c>
      <c r="C4600" t="s">
        <v>533</v>
      </c>
      <c r="D4600" t="s">
        <v>67</v>
      </c>
      <c r="E4600" t="s">
        <v>393</v>
      </c>
      <c r="F4600" t="s">
        <v>722</v>
      </c>
      <c r="G4600">
        <v>36000</v>
      </c>
      <c r="H4600">
        <v>36000</v>
      </c>
    </row>
    <row r="4601" spans="2:8" x14ac:dyDescent="0.25">
      <c r="B4601" t="str">
        <f t="shared" si="71"/>
        <v>JORPopulation ages 80 and above, female</v>
      </c>
      <c r="C4601" t="s">
        <v>533</v>
      </c>
      <c r="D4601" t="s">
        <v>67</v>
      </c>
      <c r="E4601" t="s">
        <v>394</v>
      </c>
      <c r="F4601" t="s">
        <v>723</v>
      </c>
      <c r="G4601">
        <v>34000</v>
      </c>
      <c r="H4601">
        <v>36000</v>
      </c>
    </row>
    <row r="4602" spans="2:8" x14ac:dyDescent="0.25">
      <c r="B4602" t="str">
        <f t="shared" si="71"/>
        <v>JORPopulation ages 80 and above, male</v>
      </c>
      <c r="C4602" t="s">
        <v>533</v>
      </c>
      <c r="D4602" t="s">
        <v>67</v>
      </c>
      <c r="E4602" t="s">
        <v>395</v>
      </c>
      <c r="F4602" t="s">
        <v>724</v>
      </c>
      <c r="G4602">
        <v>28000</v>
      </c>
      <c r="H4602">
        <v>28000</v>
      </c>
    </row>
    <row r="4603" spans="2:8" x14ac:dyDescent="0.25">
      <c r="B4603" t="str">
        <f t="shared" si="71"/>
        <v>JORPopulation, male</v>
      </c>
      <c r="C4603" t="s">
        <v>533</v>
      </c>
      <c r="D4603" t="s">
        <v>67</v>
      </c>
      <c r="E4603" t="s">
        <v>397</v>
      </c>
      <c r="F4603" t="s">
        <v>725</v>
      </c>
      <c r="G4603">
        <v>5113000</v>
      </c>
      <c r="H4603">
        <v>5166000</v>
      </c>
    </row>
    <row r="4604" spans="2:8" x14ac:dyDescent="0.25">
      <c r="B4604" t="str">
        <f t="shared" si="71"/>
        <v>JORPopulation, total</v>
      </c>
      <c r="C4604" t="s">
        <v>533</v>
      </c>
      <c r="D4604" t="s">
        <v>67</v>
      </c>
      <c r="E4604" t="s">
        <v>398</v>
      </c>
      <c r="F4604" t="s">
        <v>726</v>
      </c>
      <c r="G4604">
        <v>10102000</v>
      </c>
      <c r="H4604">
        <v>10203000</v>
      </c>
    </row>
    <row r="4605" spans="2:8" x14ac:dyDescent="0.25">
      <c r="B4605" t="str">
        <f t="shared" si="71"/>
        <v>JORPopulation, female</v>
      </c>
      <c r="C4605" t="s">
        <v>533</v>
      </c>
      <c r="D4605" t="s">
        <v>67</v>
      </c>
      <c r="E4605" t="s">
        <v>396</v>
      </c>
      <c r="F4605" t="s">
        <v>727</v>
      </c>
      <c r="G4605">
        <v>4988000</v>
      </c>
      <c r="H4605">
        <v>5037000</v>
      </c>
    </row>
    <row r="4606" spans="2:8" x14ac:dyDescent="0.25">
      <c r="B4606" t="str">
        <f t="shared" si="71"/>
        <v>JORPopulation growth (annual %)</v>
      </c>
      <c r="C4606" t="s">
        <v>533</v>
      </c>
      <c r="D4606" t="s">
        <v>67</v>
      </c>
      <c r="E4606" t="s">
        <v>399</v>
      </c>
      <c r="F4606" t="s">
        <v>728</v>
      </c>
      <c r="G4606">
        <v>0</v>
      </c>
      <c r="H4606">
        <v>0</v>
      </c>
    </row>
    <row r="4607" spans="2:8" x14ac:dyDescent="0.25">
      <c r="B4607" t="str">
        <f t="shared" si="71"/>
        <v>KAZPopulation ages 0-14, female</v>
      </c>
      <c r="C4607" t="s">
        <v>534</v>
      </c>
      <c r="D4607" t="s">
        <v>69</v>
      </c>
      <c r="E4607" t="s">
        <v>687</v>
      </c>
      <c r="F4607" t="s">
        <v>688</v>
      </c>
      <c r="G4607">
        <v>2589000</v>
      </c>
      <c r="H4607">
        <v>2638000</v>
      </c>
    </row>
    <row r="4608" spans="2:8" x14ac:dyDescent="0.25">
      <c r="B4608" t="str">
        <f t="shared" si="71"/>
        <v>KAZPopulation ages 0-14, male</v>
      </c>
      <c r="C4608" t="s">
        <v>534</v>
      </c>
      <c r="D4608" t="s">
        <v>69</v>
      </c>
      <c r="E4608" t="s">
        <v>689</v>
      </c>
      <c r="F4608" t="s">
        <v>690</v>
      </c>
      <c r="G4608">
        <v>2745000</v>
      </c>
      <c r="H4608">
        <v>2799000</v>
      </c>
    </row>
    <row r="4609" spans="2:8" x14ac:dyDescent="0.25">
      <c r="B4609" t="str">
        <f t="shared" si="71"/>
        <v>KAZPopulation ages 00-04, female</v>
      </c>
      <c r="C4609" t="s">
        <v>534</v>
      </c>
      <c r="D4609" t="s">
        <v>69</v>
      </c>
      <c r="E4609" t="s">
        <v>362</v>
      </c>
      <c r="F4609" t="s">
        <v>691</v>
      </c>
      <c r="G4609">
        <v>939000</v>
      </c>
      <c r="H4609">
        <v>924000</v>
      </c>
    </row>
    <row r="4610" spans="2:8" x14ac:dyDescent="0.25">
      <c r="B4610" t="str">
        <f t="shared" si="71"/>
        <v>KAZPopulation ages 00-04, male</v>
      </c>
      <c r="C4610" t="s">
        <v>534</v>
      </c>
      <c r="D4610" t="s">
        <v>69</v>
      </c>
      <c r="E4610" t="s">
        <v>363</v>
      </c>
      <c r="F4610" t="s">
        <v>692</v>
      </c>
      <c r="G4610">
        <v>1000000</v>
      </c>
      <c r="H4610">
        <v>984000</v>
      </c>
    </row>
    <row r="4611" spans="2:8" x14ac:dyDescent="0.25">
      <c r="B4611" t="str">
        <f t="shared" si="71"/>
        <v>KAZPopulation ages 05-09, female</v>
      </c>
      <c r="C4611" t="s">
        <v>534</v>
      </c>
      <c r="D4611" t="s">
        <v>69</v>
      </c>
      <c r="E4611" t="s">
        <v>364</v>
      </c>
      <c r="F4611" t="s">
        <v>693</v>
      </c>
      <c r="G4611">
        <v>923000</v>
      </c>
      <c r="H4611">
        <v>940000</v>
      </c>
    </row>
    <row r="4612" spans="2:8" x14ac:dyDescent="0.25">
      <c r="B4612" t="str">
        <f t="shared" si="71"/>
        <v>KAZPopulation ages 05-09, male</v>
      </c>
      <c r="C4612" t="s">
        <v>534</v>
      </c>
      <c r="D4612" t="s">
        <v>69</v>
      </c>
      <c r="E4612" t="s">
        <v>365</v>
      </c>
      <c r="F4612" t="s">
        <v>694</v>
      </c>
      <c r="G4612">
        <v>976000</v>
      </c>
      <c r="H4612">
        <v>995000</v>
      </c>
    </row>
    <row r="4613" spans="2:8" x14ac:dyDescent="0.25">
      <c r="B4613" t="str">
        <f t="shared" si="71"/>
        <v>KAZPopulation ages 10-14, female</v>
      </c>
      <c r="C4613" t="s">
        <v>534</v>
      </c>
      <c r="D4613" t="s">
        <v>69</v>
      </c>
      <c r="E4613" t="s">
        <v>366</v>
      </c>
      <c r="F4613" t="s">
        <v>695</v>
      </c>
      <c r="G4613">
        <v>727000</v>
      </c>
      <c r="H4613">
        <v>774000</v>
      </c>
    </row>
    <row r="4614" spans="2:8" x14ac:dyDescent="0.25">
      <c r="B4614" t="str">
        <f t="shared" si="71"/>
        <v>KAZPopulation ages 10-14, male</v>
      </c>
      <c r="C4614" t="s">
        <v>534</v>
      </c>
      <c r="D4614" t="s">
        <v>69</v>
      </c>
      <c r="E4614" t="s">
        <v>367</v>
      </c>
      <c r="F4614" t="s">
        <v>696</v>
      </c>
      <c r="G4614">
        <v>769000</v>
      </c>
      <c r="H4614">
        <v>820000</v>
      </c>
    </row>
    <row r="4615" spans="2:8" x14ac:dyDescent="0.25">
      <c r="B4615" t="str">
        <f t="shared" ref="B4615:B4678" si="72">CONCATENATE(D4615,E4615)</f>
        <v>KAZPopulation ages 15-19, female</v>
      </c>
      <c r="C4615" t="s">
        <v>534</v>
      </c>
      <c r="D4615" t="s">
        <v>69</v>
      </c>
      <c r="E4615" t="s">
        <v>368</v>
      </c>
      <c r="F4615" t="s">
        <v>697</v>
      </c>
      <c r="G4615">
        <v>520000</v>
      </c>
      <c r="H4615">
        <v>541000</v>
      </c>
    </row>
    <row r="4616" spans="2:8" x14ac:dyDescent="0.25">
      <c r="B4616" t="str">
        <f t="shared" si="72"/>
        <v>KAZPopulation ages 15-19, male</v>
      </c>
      <c r="C4616" t="s">
        <v>534</v>
      </c>
      <c r="D4616" t="s">
        <v>69</v>
      </c>
      <c r="E4616" t="s">
        <v>369</v>
      </c>
      <c r="F4616" t="s">
        <v>698</v>
      </c>
      <c r="G4616">
        <v>547000</v>
      </c>
      <c r="H4616">
        <v>568000</v>
      </c>
    </row>
    <row r="4617" spans="2:8" x14ac:dyDescent="0.25">
      <c r="B4617" t="str">
        <f t="shared" si="72"/>
        <v>KAZPopulation ages 20-24, female</v>
      </c>
      <c r="C4617" t="s">
        <v>534</v>
      </c>
      <c r="D4617" t="s">
        <v>69</v>
      </c>
      <c r="E4617" t="s">
        <v>370</v>
      </c>
      <c r="F4617" t="s">
        <v>699</v>
      </c>
      <c r="G4617">
        <v>565000</v>
      </c>
      <c r="H4617">
        <v>533000</v>
      </c>
    </row>
    <row r="4618" spans="2:8" x14ac:dyDescent="0.25">
      <c r="B4618" t="str">
        <f t="shared" si="72"/>
        <v>KAZPopulation ages 20-24, male</v>
      </c>
      <c r="C4618" t="s">
        <v>534</v>
      </c>
      <c r="D4618" t="s">
        <v>69</v>
      </c>
      <c r="E4618" t="s">
        <v>371</v>
      </c>
      <c r="F4618" t="s">
        <v>700</v>
      </c>
      <c r="G4618">
        <v>591000</v>
      </c>
      <c r="H4618">
        <v>560000</v>
      </c>
    </row>
    <row r="4619" spans="2:8" x14ac:dyDescent="0.25">
      <c r="B4619" t="str">
        <f t="shared" si="72"/>
        <v>KAZPopulation ages 25-29, female</v>
      </c>
      <c r="C4619" t="s">
        <v>534</v>
      </c>
      <c r="D4619" t="s">
        <v>69</v>
      </c>
      <c r="E4619" t="s">
        <v>372</v>
      </c>
      <c r="F4619" t="s">
        <v>701</v>
      </c>
      <c r="G4619">
        <v>769000</v>
      </c>
      <c r="H4619">
        <v>728000</v>
      </c>
    </row>
    <row r="4620" spans="2:8" x14ac:dyDescent="0.25">
      <c r="B4620" t="str">
        <f t="shared" si="72"/>
        <v>KAZPopulation ages 25-29, male</v>
      </c>
      <c r="C4620" t="s">
        <v>534</v>
      </c>
      <c r="D4620" t="s">
        <v>69</v>
      </c>
      <c r="E4620" t="s">
        <v>373</v>
      </c>
      <c r="F4620" t="s">
        <v>702</v>
      </c>
      <c r="G4620">
        <v>769000</v>
      </c>
      <c r="H4620">
        <v>735000</v>
      </c>
    </row>
    <row r="4621" spans="2:8" x14ac:dyDescent="0.25">
      <c r="B4621" t="str">
        <f t="shared" si="72"/>
        <v>KAZPopulation ages 30-34, female</v>
      </c>
      <c r="C4621" t="s">
        <v>534</v>
      </c>
      <c r="D4621" t="s">
        <v>69</v>
      </c>
      <c r="E4621" t="s">
        <v>374</v>
      </c>
      <c r="F4621" t="s">
        <v>703</v>
      </c>
      <c r="G4621">
        <v>823000</v>
      </c>
      <c r="H4621">
        <v>837000</v>
      </c>
    </row>
    <row r="4622" spans="2:8" x14ac:dyDescent="0.25">
      <c r="B4622" t="str">
        <f t="shared" si="72"/>
        <v>KAZPopulation ages 30-34, male</v>
      </c>
      <c r="C4622" t="s">
        <v>534</v>
      </c>
      <c r="D4622" t="s">
        <v>69</v>
      </c>
      <c r="E4622" t="s">
        <v>375</v>
      </c>
      <c r="F4622" t="s">
        <v>704</v>
      </c>
      <c r="G4622">
        <v>798000</v>
      </c>
      <c r="H4622">
        <v>810000</v>
      </c>
    </row>
    <row r="4623" spans="2:8" x14ac:dyDescent="0.25">
      <c r="B4623" t="str">
        <f t="shared" si="72"/>
        <v>KAZPopulation ages 35-39, female</v>
      </c>
      <c r="C4623" t="s">
        <v>534</v>
      </c>
      <c r="D4623" t="s">
        <v>69</v>
      </c>
      <c r="E4623" t="s">
        <v>376</v>
      </c>
      <c r="F4623" t="s">
        <v>705</v>
      </c>
      <c r="G4623">
        <v>643000</v>
      </c>
      <c r="H4623">
        <v>665000</v>
      </c>
    </row>
    <row r="4624" spans="2:8" x14ac:dyDescent="0.25">
      <c r="B4624" t="str">
        <f t="shared" si="72"/>
        <v>KAZPopulation ages 35-39, male</v>
      </c>
      <c r="C4624" t="s">
        <v>534</v>
      </c>
      <c r="D4624" t="s">
        <v>69</v>
      </c>
      <c r="E4624" t="s">
        <v>377</v>
      </c>
      <c r="F4624" t="s">
        <v>706</v>
      </c>
      <c r="G4624">
        <v>641000</v>
      </c>
      <c r="H4624">
        <v>662000</v>
      </c>
    </row>
    <row r="4625" spans="2:8" x14ac:dyDescent="0.25">
      <c r="B4625" t="str">
        <f t="shared" si="72"/>
        <v>KAZPopulation ages 40-44, female</v>
      </c>
      <c r="C4625" t="s">
        <v>534</v>
      </c>
      <c r="D4625" t="s">
        <v>69</v>
      </c>
      <c r="E4625" t="s">
        <v>378</v>
      </c>
      <c r="F4625" t="s">
        <v>707</v>
      </c>
      <c r="G4625">
        <v>594000</v>
      </c>
      <c r="H4625">
        <v>599000</v>
      </c>
    </row>
    <row r="4626" spans="2:8" x14ac:dyDescent="0.25">
      <c r="B4626" t="str">
        <f t="shared" si="72"/>
        <v>KAZPopulation ages 40-44, male</v>
      </c>
      <c r="C4626" t="s">
        <v>534</v>
      </c>
      <c r="D4626" t="s">
        <v>69</v>
      </c>
      <c r="E4626" t="s">
        <v>379</v>
      </c>
      <c r="F4626" t="s">
        <v>708</v>
      </c>
      <c r="G4626">
        <v>572000</v>
      </c>
      <c r="H4626">
        <v>577000</v>
      </c>
    </row>
    <row r="4627" spans="2:8" x14ac:dyDescent="0.25">
      <c r="B4627" t="str">
        <f t="shared" si="72"/>
        <v>KAZPopulation ages 45-49, female</v>
      </c>
      <c r="C4627" t="s">
        <v>534</v>
      </c>
      <c r="D4627" t="s">
        <v>69</v>
      </c>
      <c r="E4627" t="s">
        <v>380</v>
      </c>
      <c r="F4627" t="s">
        <v>709</v>
      </c>
      <c r="G4627">
        <v>557000</v>
      </c>
      <c r="H4627">
        <v>565000</v>
      </c>
    </row>
    <row r="4628" spans="2:8" x14ac:dyDescent="0.25">
      <c r="B4628" t="str">
        <f t="shared" si="72"/>
        <v>KAZPopulation ages 45-49, male</v>
      </c>
      <c r="C4628" t="s">
        <v>534</v>
      </c>
      <c r="D4628" t="s">
        <v>69</v>
      </c>
      <c r="E4628" t="s">
        <v>381</v>
      </c>
      <c r="F4628" t="s">
        <v>710</v>
      </c>
      <c r="G4628">
        <v>521000</v>
      </c>
      <c r="H4628">
        <v>530000</v>
      </c>
    </row>
    <row r="4629" spans="2:8" x14ac:dyDescent="0.25">
      <c r="B4629" t="str">
        <f t="shared" si="72"/>
        <v>KAZPopulation ages 50-54, female</v>
      </c>
      <c r="C4629" t="s">
        <v>534</v>
      </c>
      <c r="D4629" t="s">
        <v>69</v>
      </c>
      <c r="E4629" t="s">
        <v>382</v>
      </c>
      <c r="F4629" t="s">
        <v>711</v>
      </c>
      <c r="G4629">
        <v>527000</v>
      </c>
      <c r="H4629">
        <v>516000</v>
      </c>
    </row>
    <row r="4630" spans="2:8" x14ac:dyDescent="0.25">
      <c r="B4630" t="str">
        <f t="shared" si="72"/>
        <v>KAZPopulation ages 50-54, male</v>
      </c>
      <c r="C4630" t="s">
        <v>534</v>
      </c>
      <c r="D4630" t="s">
        <v>69</v>
      </c>
      <c r="E4630" t="s">
        <v>383</v>
      </c>
      <c r="F4630" t="s">
        <v>712</v>
      </c>
      <c r="G4630">
        <v>463000</v>
      </c>
      <c r="H4630">
        <v>456000</v>
      </c>
    </row>
    <row r="4631" spans="2:8" x14ac:dyDescent="0.25">
      <c r="B4631" t="str">
        <f t="shared" si="72"/>
        <v>KAZPopulation ages 55-59, male</v>
      </c>
      <c r="C4631" t="s">
        <v>534</v>
      </c>
      <c r="D4631" t="s">
        <v>69</v>
      </c>
      <c r="E4631" t="s">
        <v>385</v>
      </c>
      <c r="F4631" t="s">
        <v>713</v>
      </c>
      <c r="G4631">
        <v>476000</v>
      </c>
      <c r="H4631">
        <v>482000</v>
      </c>
    </row>
    <row r="4632" spans="2:8" x14ac:dyDescent="0.25">
      <c r="B4632" t="str">
        <f t="shared" si="72"/>
        <v>KAZPopulation ages 55-59, female</v>
      </c>
      <c r="C4632" t="s">
        <v>534</v>
      </c>
      <c r="D4632" t="s">
        <v>69</v>
      </c>
      <c r="E4632" t="s">
        <v>384</v>
      </c>
      <c r="F4632" t="s">
        <v>714</v>
      </c>
      <c r="G4632">
        <v>567000</v>
      </c>
      <c r="H4632">
        <v>573000</v>
      </c>
    </row>
    <row r="4633" spans="2:8" x14ac:dyDescent="0.25">
      <c r="B4633" t="str">
        <f t="shared" si="72"/>
        <v>KAZPopulation ages 65-69, male</v>
      </c>
      <c r="C4633" t="s">
        <v>534</v>
      </c>
      <c r="D4633" t="s">
        <v>69</v>
      </c>
      <c r="E4633" t="s">
        <v>389</v>
      </c>
      <c r="F4633" t="s">
        <v>715</v>
      </c>
      <c r="G4633">
        <v>230000</v>
      </c>
      <c r="H4633">
        <v>246000</v>
      </c>
    </row>
    <row r="4634" spans="2:8" x14ac:dyDescent="0.25">
      <c r="B4634" t="str">
        <f t="shared" si="72"/>
        <v>KAZPopulation ages 65-69, female</v>
      </c>
      <c r="C4634" t="s">
        <v>534</v>
      </c>
      <c r="D4634" t="s">
        <v>69</v>
      </c>
      <c r="E4634" t="s">
        <v>388</v>
      </c>
      <c r="F4634" t="s">
        <v>716</v>
      </c>
      <c r="G4634">
        <v>353000</v>
      </c>
      <c r="H4634">
        <v>377000</v>
      </c>
    </row>
    <row r="4635" spans="2:8" x14ac:dyDescent="0.25">
      <c r="B4635" t="str">
        <f t="shared" si="72"/>
        <v>KAZPopulation ages 60-64, female</v>
      </c>
      <c r="C4635" t="s">
        <v>534</v>
      </c>
      <c r="D4635" t="s">
        <v>69</v>
      </c>
      <c r="E4635" t="s">
        <v>386</v>
      </c>
      <c r="F4635" t="s">
        <v>717</v>
      </c>
      <c r="G4635">
        <v>442000</v>
      </c>
      <c r="H4635">
        <v>455000</v>
      </c>
    </row>
    <row r="4636" spans="2:8" x14ac:dyDescent="0.25">
      <c r="B4636" t="str">
        <f t="shared" si="72"/>
        <v>KAZPopulation ages 60-64, male</v>
      </c>
      <c r="C4636" t="s">
        <v>534</v>
      </c>
      <c r="D4636" t="s">
        <v>69</v>
      </c>
      <c r="E4636" t="s">
        <v>387</v>
      </c>
      <c r="F4636" t="s">
        <v>718</v>
      </c>
      <c r="G4636">
        <v>336000</v>
      </c>
      <c r="H4636">
        <v>351000</v>
      </c>
    </row>
    <row r="4637" spans="2:8" x14ac:dyDescent="0.25">
      <c r="B4637" t="str">
        <f t="shared" si="72"/>
        <v>KAZPopulation ages 70-74, female</v>
      </c>
      <c r="C4637" t="s">
        <v>534</v>
      </c>
      <c r="D4637" t="s">
        <v>69</v>
      </c>
      <c r="E4637" t="s">
        <v>390</v>
      </c>
      <c r="F4637" t="s">
        <v>719</v>
      </c>
      <c r="G4637">
        <v>185000</v>
      </c>
      <c r="H4637">
        <v>200000</v>
      </c>
    </row>
    <row r="4638" spans="2:8" x14ac:dyDescent="0.25">
      <c r="B4638" t="str">
        <f t="shared" si="72"/>
        <v>KAZPopulation ages 70-74, male</v>
      </c>
      <c r="C4638" t="s">
        <v>534</v>
      </c>
      <c r="D4638" t="s">
        <v>69</v>
      </c>
      <c r="E4638" t="s">
        <v>391</v>
      </c>
      <c r="F4638" t="s">
        <v>720</v>
      </c>
      <c r="G4638">
        <v>108000</v>
      </c>
      <c r="H4638">
        <v>118000</v>
      </c>
    </row>
    <row r="4639" spans="2:8" x14ac:dyDescent="0.25">
      <c r="B4639" t="str">
        <f t="shared" si="72"/>
        <v>KAZPopulation ages 75-79, female</v>
      </c>
      <c r="C4639" t="s">
        <v>534</v>
      </c>
      <c r="D4639" t="s">
        <v>69</v>
      </c>
      <c r="E4639" t="s">
        <v>392</v>
      </c>
      <c r="F4639" t="s">
        <v>721</v>
      </c>
      <c r="G4639">
        <v>166000</v>
      </c>
      <c r="H4639">
        <v>157000</v>
      </c>
    </row>
    <row r="4640" spans="2:8" x14ac:dyDescent="0.25">
      <c r="B4640" t="str">
        <f t="shared" si="72"/>
        <v>KAZPopulation ages 75-79, male</v>
      </c>
      <c r="C4640" t="s">
        <v>534</v>
      </c>
      <c r="D4640" t="s">
        <v>69</v>
      </c>
      <c r="E4640" t="s">
        <v>393</v>
      </c>
      <c r="F4640" t="s">
        <v>722</v>
      </c>
      <c r="G4640">
        <v>78000</v>
      </c>
      <c r="H4640">
        <v>74000</v>
      </c>
    </row>
    <row r="4641" spans="2:8" x14ac:dyDescent="0.25">
      <c r="B4641" t="str">
        <f t="shared" si="72"/>
        <v>KAZPopulation ages 80 and above, female</v>
      </c>
      <c r="C4641" t="s">
        <v>534</v>
      </c>
      <c r="D4641" t="s">
        <v>69</v>
      </c>
      <c r="E4641" t="s">
        <v>394</v>
      </c>
      <c r="F4641" t="s">
        <v>723</v>
      </c>
      <c r="G4641">
        <v>209000</v>
      </c>
      <c r="H4641">
        <v>217000</v>
      </c>
    </row>
    <row r="4642" spans="2:8" x14ac:dyDescent="0.25">
      <c r="B4642" t="str">
        <f t="shared" si="72"/>
        <v>KAZPopulation ages 80 and above, male</v>
      </c>
      <c r="C4642" t="s">
        <v>534</v>
      </c>
      <c r="D4642" t="s">
        <v>69</v>
      </c>
      <c r="E4642" t="s">
        <v>395</v>
      </c>
      <c r="F4642" t="s">
        <v>724</v>
      </c>
      <c r="G4642">
        <v>85000</v>
      </c>
      <c r="H4642">
        <v>85000</v>
      </c>
    </row>
    <row r="4643" spans="2:8" x14ac:dyDescent="0.25">
      <c r="B4643" t="str">
        <f t="shared" si="72"/>
        <v>KAZPopulation, male</v>
      </c>
      <c r="C4643" t="s">
        <v>534</v>
      </c>
      <c r="D4643" t="s">
        <v>69</v>
      </c>
      <c r="E4643" t="s">
        <v>397</v>
      </c>
      <c r="F4643" t="s">
        <v>725</v>
      </c>
      <c r="G4643">
        <v>8960000</v>
      </c>
      <c r="H4643">
        <v>9053000</v>
      </c>
    </row>
    <row r="4644" spans="2:8" x14ac:dyDescent="0.25">
      <c r="B4644" t="str">
        <f t="shared" si="72"/>
        <v>KAZPopulation, total</v>
      </c>
      <c r="C4644" t="s">
        <v>534</v>
      </c>
      <c r="D4644" t="s">
        <v>69</v>
      </c>
      <c r="E4644" t="s">
        <v>398</v>
      </c>
      <c r="F4644" t="s">
        <v>726</v>
      </c>
      <c r="G4644">
        <v>18469000</v>
      </c>
      <c r="H4644">
        <v>18654000</v>
      </c>
    </row>
    <row r="4645" spans="2:8" x14ac:dyDescent="0.25">
      <c r="B4645" t="str">
        <f t="shared" si="72"/>
        <v>KAZPopulation, female</v>
      </c>
      <c r="C4645" t="s">
        <v>534</v>
      </c>
      <c r="D4645" t="s">
        <v>69</v>
      </c>
      <c r="E4645" t="s">
        <v>396</v>
      </c>
      <c r="F4645" t="s">
        <v>727</v>
      </c>
      <c r="G4645">
        <v>9509000</v>
      </c>
      <c r="H4645">
        <v>9600000</v>
      </c>
    </row>
    <row r="4646" spans="2:8" x14ac:dyDescent="0.25">
      <c r="B4646" t="str">
        <f t="shared" si="72"/>
        <v>KAZPopulation growth (annual %)</v>
      </c>
      <c r="C4646" t="s">
        <v>534</v>
      </c>
      <c r="D4646" t="s">
        <v>69</v>
      </c>
      <c r="E4646" t="s">
        <v>399</v>
      </c>
      <c r="F4646" t="s">
        <v>728</v>
      </c>
      <c r="G4646">
        <v>0</v>
      </c>
      <c r="H4646">
        <v>0</v>
      </c>
    </row>
    <row r="4647" spans="2:8" x14ac:dyDescent="0.25">
      <c r="B4647" t="str">
        <f t="shared" si="72"/>
        <v>KENPopulation ages 0-14, female</v>
      </c>
      <c r="C4647" t="s">
        <v>199</v>
      </c>
      <c r="D4647" t="s">
        <v>70</v>
      </c>
      <c r="E4647" t="s">
        <v>687</v>
      </c>
      <c r="F4647" t="s">
        <v>688</v>
      </c>
      <c r="G4647">
        <v>10217000</v>
      </c>
      <c r="H4647">
        <v>10288000</v>
      </c>
    </row>
    <row r="4648" spans="2:8" x14ac:dyDescent="0.25">
      <c r="B4648" t="str">
        <f t="shared" si="72"/>
        <v>KENPopulation ages 0-14, male</v>
      </c>
      <c r="C4648" t="s">
        <v>199</v>
      </c>
      <c r="D4648" t="s">
        <v>70</v>
      </c>
      <c r="E4648" t="s">
        <v>689</v>
      </c>
      <c r="F4648" t="s">
        <v>690</v>
      </c>
      <c r="G4648">
        <v>10388000</v>
      </c>
      <c r="H4648">
        <v>10462000</v>
      </c>
    </row>
    <row r="4649" spans="2:8" x14ac:dyDescent="0.25">
      <c r="B4649" t="str">
        <f t="shared" si="72"/>
        <v>KENPopulation ages 00-04, female</v>
      </c>
      <c r="C4649" t="s">
        <v>199</v>
      </c>
      <c r="D4649" t="s">
        <v>70</v>
      </c>
      <c r="E4649" t="s">
        <v>362</v>
      </c>
      <c r="F4649" t="s">
        <v>691</v>
      </c>
      <c r="G4649">
        <v>3471000</v>
      </c>
      <c r="H4649">
        <v>3486000</v>
      </c>
    </row>
    <row r="4650" spans="2:8" x14ac:dyDescent="0.25">
      <c r="B4650" t="str">
        <f t="shared" si="72"/>
        <v>KENPopulation ages 00-04, male</v>
      </c>
      <c r="C4650" t="s">
        <v>199</v>
      </c>
      <c r="D4650" t="s">
        <v>70</v>
      </c>
      <c r="E4650" t="s">
        <v>363</v>
      </c>
      <c r="F4650" t="s">
        <v>692</v>
      </c>
      <c r="G4650">
        <v>3539000</v>
      </c>
      <c r="H4650">
        <v>3558000</v>
      </c>
    </row>
    <row r="4651" spans="2:8" x14ac:dyDescent="0.25">
      <c r="B4651" t="str">
        <f t="shared" si="72"/>
        <v>KENPopulation ages 05-09, female</v>
      </c>
      <c r="C4651" t="s">
        <v>199</v>
      </c>
      <c r="D4651" t="s">
        <v>70</v>
      </c>
      <c r="E4651" t="s">
        <v>364</v>
      </c>
      <c r="F4651" t="s">
        <v>693</v>
      </c>
      <c r="G4651">
        <v>3458000</v>
      </c>
      <c r="H4651">
        <v>3461000</v>
      </c>
    </row>
    <row r="4652" spans="2:8" x14ac:dyDescent="0.25">
      <c r="B4652" t="str">
        <f t="shared" si="72"/>
        <v>KENPopulation ages 05-09, male</v>
      </c>
      <c r="C4652" t="s">
        <v>199</v>
      </c>
      <c r="D4652" t="s">
        <v>70</v>
      </c>
      <c r="E4652" t="s">
        <v>365</v>
      </c>
      <c r="F4652" t="s">
        <v>694</v>
      </c>
      <c r="G4652">
        <v>3508000</v>
      </c>
      <c r="H4652">
        <v>3508000</v>
      </c>
    </row>
    <row r="4653" spans="2:8" x14ac:dyDescent="0.25">
      <c r="B4653" t="str">
        <f t="shared" si="72"/>
        <v>KENPopulation ages 10-14, female</v>
      </c>
      <c r="C4653" t="s">
        <v>199</v>
      </c>
      <c r="D4653" t="s">
        <v>70</v>
      </c>
      <c r="E4653" t="s">
        <v>366</v>
      </c>
      <c r="F4653" t="s">
        <v>695</v>
      </c>
      <c r="G4653">
        <v>3288000</v>
      </c>
      <c r="H4653">
        <v>3341000</v>
      </c>
    </row>
    <row r="4654" spans="2:8" x14ac:dyDescent="0.25">
      <c r="B4654" t="str">
        <f t="shared" si="72"/>
        <v>KENPopulation ages 10-14, male</v>
      </c>
      <c r="C4654" t="s">
        <v>199</v>
      </c>
      <c r="D4654" t="s">
        <v>70</v>
      </c>
      <c r="E4654" t="s">
        <v>367</v>
      </c>
      <c r="F4654" t="s">
        <v>696</v>
      </c>
      <c r="G4654">
        <v>3342000</v>
      </c>
      <c r="H4654">
        <v>3395000</v>
      </c>
    </row>
    <row r="4655" spans="2:8" x14ac:dyDescent="0.25">
      <c r="B4655" t="str">
        <f t="shared" si="72"/>
        <v>KENPopulation ages 15-19, female</v>
      </c>
      <c r="C4655" t="s">
        <v>199</v>
      </c>
      <c r="D4655" t="s">
        <v>70</v>
      </c>
      <c r="E4655" t="s">
        <v>368</v>
      </c>
      <c r="F4655" t="s">
        <v>697</v>
      </c>
      <c r="G4655">
        <v>2918000</v>
      </c>
      <c r="H4655">
        <v>2989000</v>
      </c>
    </row>
    <row r="4656" spans="2:8" x14ac:dyDescent="0.25">
      <c r="B4656" t="str">
        <f t="shared" si="72"/>
        <v>KENPopulation ages 15-19, male</v>
      </c>
      <c r="C4656" t="s">
        <v>199</v>
      </c>
      <c r="D4656" t="s">
        <v>70</v>
      </c>
      <c r="E4656" t="s">
        <v>369</v>
      </c>
      <c r="F4656" t="s">
        <v>698</v>
      </c>
      <c r="G4656">
        <v>2946000</v>
      </c>
      <c r="H4656">
        <v>3022000</v>
      </c>
    </row>
    <row r="4657" spans="2:8" x14ac:dyDescent="0.25">
      <c r="B4657" t="str">
        <f t="shared" si="72"/>
        <v>KENPopulation ages 20-24, female</v>
      </c>
      <c r="C4657" t="s">
        <v>199</v>
      </c>
      <c r="D4657" t="s">
        <v>70</v>
      </c>
      <c r="E4657" t="s">
        <v>370</v>
      </c>
      <c r="F4657" t="s">
        <v>699</v>
      </c>
      <c r="G4657">
        <v>2534000</v>
      </c>
      <c r="H4657">
        <v>2617000</v>
      </c>
    </row>
    <row r="4658" spans="2:8" x14ac:dyDescent="0.25">
      <c r="B4658" t="str">
        <f t="shared" si="72"/>
        <v>KENPopulation ages 20-24, male</v>
      </c>
      <c r="C4658" t="s">
        <v>199</v>
      </c>
      <c r="D4658" t="s">
        <v>70</v>
      </c>
      <c r="E4658" t="s">
        <v>371</v>
      </c>
      <c r="F4658" t="s">
        <v>700</v>
      </c>
      <c r="G4658">
        <v>2532000</v>
      </c>
      <c r="H4658">
        <v>2619000</v>
      </c>
    </row>
    <row r="4659" spans="2:8" x14ac:dyDescent="0.25">
      <c r="B4659" t="str">
        <f t="shared" si="72"/>
        <v>KENPopulation ages 25-29, female</v>
      </c>
      <c r="C4659" t="s">
        <v>199</v>
      </c>
      <c r="D4659" t="s">
        <v>70</v>
      </c>
      <c r="E4659" t="s">
        <v>372</v>
      </c>
      <c r="F4659" t="s">
        <v>701</v>
      </c>
      <c r="G4659">
        <v>2147000</v>
      </c>
      <c r="H4659">
        <v>2191000</v>
      </c>
    </row>
    <row r="4660" spans="2:8" x14ac:dyDescent="0.25">
      <c r="B4660" t="str">
        <f t="shared" si="72"/>
        <v>KENPopulation ages 25-29, male</v>
      </c>
      <c r="C4660" t="s">
        <v>199</v>
      </c>
      <c r="D4660" t="s">
        <v>70</v>
      </c>
      <c r="E4660" t="s">
        <v>373</v>
      </c>
      <c r="F4660" t="s">
        <v>702</v>
      </c>
      <c r="G4660">
        <v>2122000</v>
      </c>
      <c r="H4660">
        <v>2167000</v>
      </c>
    </row>
    <row r="4661" spans="2:8" x14ac:dyDescent="0.25">
      <c r="B4661" t="str">
        <f t="shared" si="72"/>
        <v>KENPopulation ages 30-34, female</v>
      </c>
      <c r="C4661" t="s">
        <v>199</v>
      </c>
      <c r="D4661" t="s">
        <v>70</v>
      </c>
      <c r="E4661" t="s">
        <v>374</v>
      </c>
      <c r="F4661" t="s">
        <v>703</v>
      </c>
      <c r="G4661">
        <v>1994000</v>
      </c>
      <c r="H4661">
        <v>2030000</v>
      </c>
    </row>
    <row r="4662" spans="2:8" x14ac:dyDescent="0.25">
      <c r="B4662" t="str">
        <f t="shared" si="72"/>
        <v>KENPopulation ages 30-34, male</v>
      </c>
      <c r="C4662" t="s">
        <v>199</v>
      </c>
      <c r="D4662" t="s">
        <v>70</v>
      </c>
      <c r="E4662" t="s">
        <v>375</v>
      </c>
      <c r="F4662" t="s">
        <v>704</v>
      </c>
      <c r="G4662">
        <v>1956000</v>
      </c>
      <c r="H4662">
        <v>1993000</v>
      </c>
    </row>
    <row r="4663" spans="2:8" x14ac:dyDescent="0.25">
      <c r="B4663" t="str">
        <f t="shared" si="72"/>
        <v>KENPopulation ages 35-39, female</v>
      </c>
      <c r="C4663" t="s">
        <v>199</v>
      </c>
      <c r="D4663" t="s">
        <v>70</v>
      </c>
      <c r="E4663" t="s">
        <v>376</v>
      </c>
      <c r="F4663" t="s">
        <v>705</v>
      </c>
      <c r="G4663">
        <v>1683000</v>
      </c>
      <c r="H4663">
        <v>1743000</v>
      </c>
    </row>
    <row r="4664" spans="2:8" x14ac:dyDescent="0.25">
      <c r="B4664" t="str">
        <f t="shared" si="72"/>
        <v>KENPopulation ages 35-39, male</v>
      </c>
      <c r="C4664" t="s">
        <v>199</v>
      </c>
      <c r="D4664" t="s">
        <v>70</v>
      </c>
      <c r="E4664" t="s">
        <v>377</v>
      </c>
      <c r="F4664" t="s">
        <v>706</v>
      </c>
      <c r="G4664">
        <v>1647000</v>
      </c>
      <c r="H4664">
        <v>1704000</v>
      </c>
    </row>
    <row r="4665" spans="2:8" x14ac:dyDescent="0.25">
      <c r="B4665" t="str">
        <f t="shared" si="72"/>
        <v>KENPopulation ages 40-44, female</v>
      </c>
      <c r="C4665" t="s">
        <v>199</v>
      </c>
      <c r="D4665" t="s">
        <v>70</v>
      </c>
      <c r="E4665" t="s">
        <v>378</v>
      </c>
      <c r="F4665" t="s">
        <v>707</v>
      </c>
      <c r="G4665">
        <v>1338000</v>
      </c>
      <c r="H4665">
        <v>1397000</v>
      </c>
    </row>
    <row r="4666" spans="2:8" x14ac:dyDescent="0.25">
      <c r="B4666" t="str">
        <f t="shared" si="72"/>
        <v>KENPopulation ages 40-44, male</v>
      </c>
      <c r="C4666" t="s">
        <v>199</v>
      </c>
      <c r="D4666" t="s">
        <v>70</v>
      </c>
      <c r="E4666" t="s">
        <v>379</v>
      </c>
      <c r="F4666" t="s">
        <v>708</v>
      </c>
      <c r="G4666">
        <v>1306000</v>
      </c>
      <c r="H4666">
        <v>1362000</v>
      </c>
    </row>
    <row r="4667" spans="2:8" x14ac:dyDescent="0.25">
      <c r="B4667" t="str">
        <f t="shared" si="72"/>
        <v>KENPopulation ages 45-49, female</v>
      </c>
      <c r="C4667" t="s">
        <v>199</v>
      </c>
      <c r="D4667" t="s">
        <v>70</v>
      </c>
      <c r="E4667" t="s">
        <v>380</v>
      </c>
      <c r="F4667" t="s">
        <v>709</v>
      </c>
      <c r="G4667">
        <v>1038000</v>
      </c>
      <c r="H4667">
        <v>1088000</v>
      </c>
    </row>
    <row r="4668" spans="2:8" x14ac:dyDescent="0.25">
      <c r="B4668" t="str">
        <f t="shared" si="72"/>
        <v>KENPopulation ages 45-49, male</v>
      </c>
      <c r="C4668" t="s">
        <v>199</v>
      </c>
      <c r="D4668" t="s">
        <v>70</v>
      </c>
      <c r="E4668" t="s">
        <v>381</v>
      </c>
      <c r="F4668" t="s">
        <v>710</v>
      </c>
      <c r="G4668">
        <v>1006000</v>
      </c>
      <c r="H4668">
        <v>1055000</v>
      </c>
    </row>
    <row r="4669" spans="2:8" x14ac:dyDescent="0.25">
      <c r="B4669" t="str">
        <f t="shared" si="72"/>
        <v>KENPopulation ages 50-54, female</v>
      </c>
      <c r="C4669" t="s">
        <v>199</v>
      </c>
      <c r="D4669" t="s">
        <v>70</v>
      </c>
      <c r="E4669" t="s">
        <v>382</v>
      </c>
      <c r="F4669" t="s">
        <v>711</v>
      </c>
      <c r="G4669">
        <v>784000</v>
      </c>
      <c r="H4669">
        <v>822000</v>
      </c>
    </row>
    <row r="4670" spans="2:8" x14ac:dyDescent="0.25">
      <c r="B4670" t="str">
        <f t="shared" si="72"/>
        <v>KENPopulation ages 50-54, male</v>
      </c>
      <c r="C4670" t="s">
        <v>199</v>
      </c>
      <c r="D4670" t="s">
        <v>70</v>
      </c>
      <c r="E4670" t="s">
        <v>383</v>
      </c>
      <c r="F4670" t="s">
        <v>712</v>
      </c>
      <c r="G4670">
        <v>744000</v>
      </c>
      <c r="H4670">
        <v>782000</v>
      </c>
    </row>
    <row r="4671" spans="2:8" x14ac:dyDescent="0.25">
      <c r="B4671" t="str">
        <f t="shared" si="72"/>
        <v>KENPopulation ages 55-59, male</v>
      </c>
      <c r="C4671" t="s">
        <v>199</v>
      </c>
      <c r="D4671" t="s">
        <v>70</v>
      </c>
      <c r="E4671" t="s">
        <v>385</v>
      </c>
      <c r="F4671" t="s">
        <v>713</v>
      </c>
      <c r="G4671">
        <v>547000</v>
      </c>
      <c r="H4671">
        <v>574000</v>
      </c>
    </row>
    <row r="4672" spans="2:8" x14ac:dyDescent="0.25">
      <c r="B4672" t="str">
        <f t="shared" si="72"/>
        <v>KENPopulation ages 55-59, female</v>
      </c>
      <c r="C4672" t="s">
        <v>199</v>
      </c>
      <c r="D4672" t="s">
        <v>70</v>
      </c>
      <c r="E4672" t="s">
        <v>384</v>
      </c>
      <c r="F4672" t="s">
        <v>714</v>
      </c>
      <c r="G4672">
        <v>601000</v>
      </c>
      <c r="H4672">
        <v>628000</v>
      </c>
    </row>
    <row r="4673" spans="2:8" x14ac:dyDescent="0.25">
      <c r="B4673" t="str">
        <f t="shared" si="72"/>
        <v>KENPopulation ages 65-69, male</v>
      </c>
      <c r="C4673" t="s">
        <v>199</v>
      </c>
      <c r="D4673" t="s">
        <v>70</v>
      </c>
      <c r="E4673" t="s">
        <v>389</v>
      </c>
      <c r="F4673" t="s">
        <v>715</v>
      </c>
      <c r="G4673">
        <v>264000</v>
      </c>
      <c r="H4673">
        <v>279000</v>
      </c>
    </row>
    <row r="4674" spans="2:8" x14ac:dyDescent="0.25">
      <c r="B4674" t="str">
        <f t="shared" si="72"/>
        <v>KENPopulation ages 65-69, female</v>
      </c>
      <c r="C4674" t="s">
        <v>199</v>
      </c>
      <c r="D4674" t="s">
        <v>70</v>
      </c>
      <c r="E4674" t="s">
        <v>388</v>
      </c>
      <c r="F4674" t="s">
        <v>716</v>
      </c>
      <c r="G4674">
        <v>333000</v>
      </c>
      <c r="H4674">
        <v>351000</v>
      </c>
    </row>
    <row r="4675" spans="2:8" x14ac:dyDescent="0.25">
      <c r="B4675" t="str">
        <f t="shared" si="72"/>
        <v>KENPopulation ages 60-64, female</v>
      </c>
      <c r="C4675" t="s">
        <v>199</v>
      </c>
      <c r="D4675" t="s">
        <v>70</v>
      </c>
      <c r="E4675" t="s">
        <v>386</v>
      </c>
      <c r="F4675" t="s">
        <v>717</v>
      </c>
      <c r="G4675">
        <v>458000</v>
      </c>
      <c r="H4675">
        <v>477000</v>
      </c>
    </row>
    <row r="4676" spans="2:8" x14ac:dyDescent="0.25">
      <c r="B4676" t="str">
        <f t="shared" si="72"/>
        <v>KENPopulation ages 60-64, male</v>
      </c>
      <c r="C4676" t="s">
        <v>199</v>
      </c>
      <c r="D4676" t="s">
        <v>70</v>
      </c>
      <c r="E4676" t="s">
        <v>387</v>
      </c>
      <c r="F4676" t="s">
        <v>718</v>
      </c>
      <c r="G4676">
        <v>392000</v>
      </c>
      <c r="H4676">
        <v>411000</v>
      </c>
    </row>
    <row r="4677" spans="2:8" x14ac:dyDescent="0.25">
      <c r="B4677" t="str">
        <f t="shared" si="72"/>
        <v>KENPopulation ages 70-74, female</v>
      </c>
      <c r="C4677" t="s">
        <v>199</v>
      </c>
      <c r="D4677" t="s">
        <v>70</v>
      </c>
      <c r="E4677" t="s">
        <v>390</v>
      </c>
      <c r="F4677" t="s">
        <v>719</v>
      </c>
      <c r="G4677">
        <v>204000</v>
      </c>
      <c r="H4677">
        <v>220000</v>
      </c>
    </row>
    <row r="4678" spans="2:8" x14ac:dyDescent="0.25">
      <c r="B4678" t="str">
        <f t="shared" si="72"/>
        <v>KENPopulation ages 70-74, male</v>
      </c>
      <c r="C4678" t="s">
        <v>199</v>
      </c>
      <c r="D4678" t="s">
        <v>70</v>
      </c>
      <c r="E4678" t="s">
        <v>391</v>
      </c>
      <c r="F4678" t="s">
        <v>720</v>
      </c>
      <c r="G4678">
        <v>149000</v>
      </c>
      <c r="H4678">
        <v>161000</v>
      </c>
    </row>
    <row r="4679" spans="2:8" x14ac:dyDescent="0.25">
      <c r="B4679" t="str">
        <f t="shared" ref="B4679:B4742" si="73">CONCATENATE(D4679,E4679)</f>
        <v>KENPopulation ages 75-79, female</v>
      </c>
      <c r="C4679" t="s">
        <v>199</v>
      </c>
      <c r="D4679" t="s">
        <v>70</v>
      </c>
      <c r="E4679" t="s">
        <v>392</v>
      </c>
      <c r="F4679" t="s">
        <v>721</v>
      </c>
      <c r="G4679">
        <v>110000</v>
      </c>
      <c r="H4679">
        <v>117000</v>
      </c>
    </row>
    <row r="4680" spans="2:8" x14ac:dyDescent="0.25">
      <c r="B4680" t="str">
        <f t="shared" si="73"/>
        <v>KENPopulation ages 75-79, male</v>
      </c>
      <c r="C4680" t="s">
        <v>199</v>
      </c>
      <c r="D4680" t="s">
        <v>70</v>
      </c>
      <c r="E4680" t="s">
        <v>393</v>
      </c>
      <c r="F4680" t="s">
        <v>722</v>
      </c>
      <c r="G4680">
        <v>72000</v>
      </c>
      <c r="H4680">
        <v>76000</v>
      </c>
    </row>
    <row r="4681" spans="2:8" x14ac:dyDescent="0.25">
      <c r="B4681" t="str">
        <f t="shared" si="73"/>
        <v>KENPopulation ages 80 and above, female</v>
      </c>
      <c r="C4681" t="s">
        <v>199</v>
      </c>
      <c r="D4681" t="s">
        <v>70</v>
      </c>
      <c r="E4681" t="s">
        <v>394</v>
      </c>
      <c r="F4681" t="s">
        <v>723</v>
      </c>
      <c r="G4681">
        <v>93000</v>
      </c>
      <c r="H4681">
        <v>94000</v>
      </c>
    </row>
    <row r="4682" spans="2:8" x14ac:dyDescent="0.25">
      <c r="B4682" t="str">
        <f t="shared" si="73"/>
        <v>KENPopulation ages 80 and above, male</v>
      </c>
      <c r="C4682" t="s">
        <v>199</v>
      </c>
      <c r="D4682" t="s">
        <v>70</v>
      </c>
      <c r="E4682" t="s">
        <v>395</v>
      </c>
      <c r="F4682" t="s">
        <v>724</v>
      </c>
      <c r="G4682">
        <v>50000</v>
      </c>
      <c r="H4682">
        <v>50000</v>
      </c>
    </row>
    <row r="4683" spans="2:8" x14ac:dyDescent="0.25">
      <c r="B4683" t="str">
        <f t="shared" si="73"/>
        <v>KENPopulation, male</v>
      </c>
      <c r="C4683" t="s">
        <v>199</v>
      </c>
      <c r="D4683" t="s">
        <v>70</v>
      </c>
      <c r="E4683" t="s">
        <v>397</v>
      </c>
      <c r="F4683" t="s">
        <v>725</v>
      </c>
      <c r="G4683">
        <v>26122000</v>
      </c>
      <c r="H4683">
        <v>26719000</v>
      </c>
    </row>
    <row r="4684" spans="2:8" x14ac:dyDescent="0.25">
      <c r="B4684" t="str">
        <f t="shared" si="73"/>
        <v>KENPopulation, total</v>
      </c>
      <c r="C4684" t="s">
        <v>199</v>
      </c>
      <c r="D4684" t="s">
        <v>70</v>
      </c>
      <c r="E4684" t="s">
        <v>398</v>
      </c>
      <c r="F4684" t="s">
        <v>726</v>
      </c>
      <c r="G4684">
        <v>52574000</v>
      </c>
      <c r="H4684">
        <v>53771000</v>
      </c>
    </row>
    <row r="4685" spans="2:8" x14ac:dyDescent="0.25">
      <c r="B4685" t="str">
        <f t="shared" si="73"/>
        <v>KENPopulation, female</v>
      </c>
      <c r="C4685" t="s">
        <v>199</v>
      </c>
      <c r="D4685" t="s">
        <v>70</v>
      </c>
      <c r="E4685" t="s">
        <v>396</v>
      </c>
      <c r="F4685" t="s">
        <v>727</v>
      </c>
      <c r="G4685">
        <v>26452000</v>
      </c>
      <c r="H4685">
        <v>27053000</v>
      </c>
    </row>
    <row r="4686" spans="2:8" x14ac:dyDescent="0.25">
      <c r="B4686" t="str">
        <f t="shared" si="73"/>
        <v>KENPopulation growth (annual %)</v>
      </c>
      <c r="C4686" t="s">
        <v>199</v>
      </c>
      <c r="D4686" t="s">
        <v>70</v>
      </c>
      <c r="E4686" t="s">
        <v>399</v>
      </c>
      <c r="F4686" t="s">
        <v>728</v>
      </c>
      <c r="G4686">
        <v>0</v>
      </c>
      <c r="H4686">
        <v>0</v>
      </c>
    </row>
    <row r="4687" spans="2:8" x14ac:dyDescent="0.25">
      <c r="B4687" t="str">
        <f t="shared" si="73"/>
        <v>KIRPopulation ages 0-14, female</v>
      </c>
      <c r="C4687" t="s">
        <v>249</v>
      </c>
      <c r="D4687" t="s">
        <v>73</v>
      </c>
      <c r="E4687" t="s">
        <v>687</v>
      </c>
      <c r="F4687" t="s">
        <v>688</v>
      </c>
      <c r="G4687">
        <v>20000</v>
      </c>
      <c r="H4687">
        <v>21000</v>
      </c>
    </row>
    <row r="4688" spans="2:8" x14ac:dyDescent="0.25">
      <c r="B4688" t="str">
        <f t="shared" si="73"/>
        <v>KIRPopulation ages 0-14, male</v>
      </c>
      <c r="C4688" t="s">
        <v>249</v>
      </c>
      <c r="D4688" t="s">
        <v>73</v>
      </c>
      <c r="E4688" t="s">
        <v>689</v>
      </c>
      <c r="F4688" t="s">
        <v>690</v>
      </c>
      <c r="G4688">
        <v>22000</v>
      </c>
      <c r="H4688">
        <v>22000</v>
      </c>
    </row>
    <row r="4689" spans="2:8" x14ac:dyDescent="0.25">
      <c r="B4689" t="str">
        <f t="shared" si="73"/>
        <v>KIRPopulation ages 00-04, female</v>
      </c>
      <c r="C4689" t="s">
        <v>249</v>
      </c>
      <c r="D4689" t="s">
        <v>73</v>
      </c>
      <c r="E4689" t="s">
        <v>362</v>
      </c>
      <c r="F4689" t="s">
        <v>691</v>
      </c>
      <c r="G4689">
        <v>7200</v>
      </c>
      <c r="H4689">
        <v>7400</v>
      </c>
    </row>
    <row r="4690" spans="2:8" x14ac:dyDescent="0.25">
      <c r="B4690" t="str">
        <f t="shared" si="73"/>
        <v>KIRPopulation ages 00-04, male</v>
      </c>
      <c r="C4690" t="s">
        <v>249</v>
      </c>
      <c r="D4690" t="s">
        <v>73</v>
      </c>
      <c r="E4690" t="s">
        <v>363</v>
      </c>
      <c r="F4690" t="s">
        <v>692</v>
      </c>
      <c r="G4690">
        <v>7700</v>
      </c>
      <c r="H4690">
        <v>7800</v>
      </c>
    </row>
    <row r="4691" spans="2:8" x14ac:dyDescent="0.25">
      <c r="B4691" t="str">
        <f t="shared" si="73"/>
        <v>KIRPopulation ages 05-09, female</v>
      </c>
      <c r="C4691" t="s">
        <v>249</v>
      </c>
      <c r="D4691" t="s">
        <v>73</v>
      </c>
      <c r="E4691" t="s">
        <v>364</v>
      </c>
      <c r="F4691" t="s">
        <v>693</v>
      </c>
      <c r="G4691">
        <v>6900</v>
      </c>
      <c r="H4691">
        <v>6800</v>
      </c>
    </row>
    <row r="4692" spans="2:8" x14ac:dyDescent="0.25">
      <c r="B4692" t="str">
        <f t="shared" si="73"/>
        <v>KIRPopulation ages 05-09, male</v>
      </c>
      <c r="C4692" t="s">
        <v>249</v>
      </c>
      <c r="D4692" t="s">
        <v>73</v>
      </c>
      <c r="E4692" t="s">
        <v>365</v>
      </c>
      <c r="F4692" t="s">
        <v>694</v>
      </c>
      <c r="G4692">
        <v>7400</v>
      </c>
      <c r="H4692">
        <v>7500</v>
      </c>
    </row>
    <row r="4693" spans="2:8" x14ac:dyDescent="0.25">
      <c r="B4693" t="str">
        <f t="shared" si="73"/>
        <v>KIRPopulation ages 10-14, female</v>
      </c>
      <c r="C4693" t="s">
        <v>249</v>
      </c>
      <c r="D4693" t="s">
        <v>73</v>
      </c>
      <c r="E4693" t="s">
        <v>366</v>
      </c>
      <c r="F4693" t="s">
        <v>695</v>
      </c>
      <c r="G4693">
        <v>6300</v>
      </c>
      <c r="H4693">
        <v>6600</v>
      </c>
    </row>
    <row r="4694" spans="2:8" x14ac:dyDescent="0.25">
      <c r="B4694" t="str">
        <f t="shared" si="73"/>
        <v>KIRPopulation ages 10-14, male</v>
      </c>
      <c r="C4694" t="s">
        <v>249</v>
      </c>
      <c r="D4694" t="s">
        <v>73</v>
      </c>
      <c r="E4694" t="s">
        <v>367</v>
      </c>
      <c r="F4694" t="s">
        <v>696</v>
      </c>
      <c r="G4694">
        <v>6500</v>
      </c>
      <c r="H4694">
        <v>6800</v>
      </c>
    </row>
    <row r="4695" spans="2:8" x14ac:dyDescent="0.25">
      <c r="B4695" t="str">
        <f t="shared" si="73"/>
        <v>KIRPopulation ages 15-19, female</v>
      </c>
      <c r="C4695" t="s">
        <v>249</v>
      </c>
      <c r="D4695" t="s">
        <v>73</v>
      </c>
      <c r="E4695" t="s">
        <v>368</v>
      </c>
      <c r="F4695" t="s">
        <v>697</v>
      </c>
      <c r="G4695">
        <v>5000</v>
      </c>
      <c r="H4695">
        <v>5000</v>
      </c>
    </row>
    <row r="4696" spans="2:8" x14ac:dyDescent="0.25">
      <c r="B4696" t="str">
        <f t="shared" si="73"/>
        <v>KIRPopulation ages 15-19, male</v>
      </c>
      <c r="C4696" t="s">
        <v>249</v>
      </c>
      <c r="D4696" t="s">
        <v>73</v>
      </c>
      <c r="E4696" t="s">
        <v>369</v>
      </c>
      <c r="F4696" t="s">
        <v>698</v>
      </c>
      <c r="G4696">
        <v>5200</v>
      </c>
      <c r="H4696">
        <v>5200</v>
      </c>
    </row>
    <row r="4697" spans="2:8" x14ac:dyDescent="0.25">
      <c r="B4697" t="str">
        <f t="shared" si="73"/>
        <v>KIRPopulation ages 20-24, female</v>
      </c>
      <c r="C4697" t="s">
        <v>249</v>
      </c>
      <c r="D4697" t="s">
        <v>73</v>
      </c>
      <c r="E4697" t="s">
        <v>370</v>
      </c>
      <c r="F4697" t="s">
        <v>699</v>
      </c>
      <c r="G4697">
        <v>5500</v>
      </c>
      <c r="H4697">
        <v>5400</v>
      </c>
    </row>
    <row r="4698" spans="2:8" x14ac:dyDescent="0.25">
      <c r="B4698" t="str">
        <f t="shared" si="73"/>
        <v>KIRPopulation ages 20-24, male</v>
      </c>
      <c r="C4698" t="s">
        <v>249</v>
      </c>
      <c r="D4698" t="s">
        <v>73</v>
      </c>
      <c r="E4698" t="s">
        <v>371</v>
      </c>
      <c r="F4698" t="s">
        <v>700</v>
      </c>
      <c r="G4698">
        <v>5500</v>
      </c>
      <c r="H4698">
        <v>5500</v>
      </c>
    </row>
    <row r="4699" spans="2:8" x14ac:dyDescent="0.25">
      <c r="B4699" t="str">
        <f t="shared" si="73"/>
        <v>KIRPopulation ages 25-29, female</v>
      </c>
      <c r="C4699" t="s">
        <v>249</v>
      </c>
      <c r="D4699" t="s">
        <v>73</v>
      </c>
      <c r="E4699" t="s">
        <v>372</v>
      </c>
      <c r="F4699" t="s">
        <v>701</v>
      </c>
      <c r="G4699">
        <v>4800</v>
      </c>
      <c r="H4699">
        <v>4800</v>
      </c>
    </row>
    <row r="4700" spans="2:8" x14ac:dyDescent="0.25">
      <c r="B4700" t="str">
        <f t="shared" si="73"/>
        <v>KIRPopulation ages 25-29, male</v>
      </c>
      <c r="C4700" t="s">
        <v>249</v>
      </c>
      <c r="D4700" t="s">
        <v>73</v>
      </c>
      <c r="E4700" t="s">
        <v>373</v>
      </c>
      <c r="F4700" t="s">
        <v>702</v>
      </c>
      <c r="G4700">
        <v>4800</v>
      </c>
      <c r="H4700">
        <v>4800</v>
      </c>
    </row>
    <row r="4701" spans="2:8" x14ac:dyDescent="0.25">
      <c r="B4701" t="str">
        <f t="shared" si="73"/>
        <v>KIRPopulation ages 30-34, female</v>
      </c>
      <c r="C4701" t="s">
        <v>249</v>
      </c>
      <c r="D4701" t="s">
        <v>73</v>
      </c>
      <c r="E4701" t="s">
        <v>374</v>
      </c>
      <c r="F4701" t="s">
        <v>703</v>
      </c>
      <c r="G4701">
        <v>4700</v>
      </c>
      <c r="H4701">
        <v>4700</v>
      </c>
    </row>
    <row r="4702" spans="2:8" x14ac:dyDescent="0.25">
      <c r="B4702" t="str">
        <f t="shared" si="73"/>
        <v>KIRPopulation ages 30-34, male</v>
      </c>
      <c r="C4702" t="s">
        <v>249</v>
      </c>
      <c r="D4702" t="s">
        <v>73</v>
      </c>
      <c r="E4702" t="s">
        <v>375</v>
      </c>
      <c r="F4702" t="s">
        <v>704</v>
      </c>
      <c r="G4702">
        <v>4300</v>
      </c>
      <c r="H4702">
        <v>4400</v>
      </c>
    </row>
    <row r="4703" spans="2:8" x14ac:dyDescent="0.25">
      <c r="B4703" t="str">
        <f t="shared" si="73"/>
        <v>KIRPopulation ages 35-39, female</v>
      </c>
      <c r="C4703" t="s">
        <v>249</v>
      </c>
      <c r="D4703" t="s">
        <v>73</v>
      </c>
      <c r="E4703" t="s">
        <v>376</v>
      </c>
      <c r="F4703" t="s">
        <v>705</v>
      </c>
      <c r="G4703">
        <v>3800</v>
      </c>
      <c r="H4703">
        <v>4000</v>
      </c>
    </row>
    <row r="4704" spans="2:8" x14ac:dyDescent="0.25">
      <c r="B4704" t="str">
        <f t="shared" si="73"/>
        <v>KIRPopulation ages 35-39, male</v>
      </c>
      <c r="C4704" t="s">
        <v>249</v>
      </c>
      <c r="D4704" t="s">
        <v>73</v>
      </c>
      <c r="E4704" t="s">
        <v>377</v>
      </c>
      <c r="F4704" t="s">
        <v>706</v>
      </c>
      <c r="G4704">
        <v>3500</v>
      </c>
      <c r="H4704">
        <v>3600</v>
      </c>
    </row>
    <row r="4705" spans="2:8" x14ac:dyDescent="0.25">
      <c r="B4705" t="str">
        <f t="shared" si="73"/>
        <v>KIRPopulation ages 40-44, female</v>
      </c>
      <c r="C4705" t="s">
        <v>249</v>
      </c>
      <c r="D4705" t="s">
        <v>73</v>
      </c>
      <c r="E4705" t="s">
        <v>378</v>
      </c>
      <c r="F4705" t="s">
        <v>707</v>
      </c>
      <c r="G4705">
        <v>3100</v>
      </c>
      <c r="H4705">
        <v>3300</v>
      </c>
    </row>
    <row r="4706" spans="2:8" x14ac:dyDescent="0.25">
      <c r="B4706" t="str">
        <f t="shared" si="73"/>
        <v>KIRPopulation ages 40-44, male</v>
      </c>
      <c r="C4706" t="s">
        <v>249</v>
      </c>
      <c r="D4706" t="s">
        <v>73</v>
      </c>
      <c r="E4706" t="s">
        <v>379</v>
      </c>
      <c r="F4706" t="s">
        <v>708</v>
      </c>
      <c r="G4706">
        <v>2900</v>
      </c>
      <c r="H4706">
        <v>3000</v>
      </c>
    </row>
    <row r="4707" spans="2:8" x14ac:dyDescent="0.25">
      <c r="B4707" t="str">
        <f t="shared" si="73"/>
        <v>KIRPopulation ages 45-49, female</v>
      </c>
      <c r="C4707" t="s">
        <v>249</v>
      </c>
      <c r="D4707" t="s">
        <v>73</v>
      </c>
      <c r="E4707" t="s">
        <v>380</v>
      </c>
      <c r="F4707" t="s">
        <v>709</v>
      </c>
      <c r="G4707">
        <v>2600</v>
      </c>
      <c r="H4707">
        <v>2600</v>
      </c>
    </row>
    <row r="4708" spans="2:8" x14ac:dyDescent="0.25">
      <c r="B4708" t="str">
        <f t="shared" si="73"/>
        <v>KIRPopulation ages 45-49, male</v>
      </c>
      <c r="C4708" t="s">
        <v>249</v>
      </c>
      <c r="D4708" t="s">
        <v>73</v>
      </c>
      <c r="E4708" t="s">
        <v>381</v>
      </c>
      <c r="F4708" t="s">
        <v>710</v>
      </c>
      <c r="G4708">
        <v>2400</v>
      </c>
      <c r="H4708">
        <v>2300</v>
      </c>
    </row>
    <row r="4709" spans="2:8" x14ac:dyDescent="0.25">
      <c r="B4709" t="str">
        <f t="shared" si="73"/>
        <v>KIRPopulation ages 50-54, female</v>
      </c>
      <c r="C4709" t="s">
        <v>249</v>
      </c>
      <c r="D4709" t="s">
        <v>73</v>
      </c>
      <c r="E4709" t="s">
        <v>382</v>
      </c>
      <c r="F4709" t="s">
        <v>711</v>
      </c>
      <c r="G4709">
        <v>2900</v>
      </c>
      <c r="H4709">
        <v>2900</v>
      </c>
    </row>
    <row r="4710" spans="2:8" x14ac:dyDescent="0.25">
      <c r="B4710" t="str">
        <f t="shared" si="73"/>
        <v>KIRPopulation ages 50-54, male</v>
      </c>
      <c r="C4710" t="s">
        <v>249</v>
      </c>
      <c r="D4710" t="s">
        <v>73</v>
      </c>
      <c r="E4710" t="s">
        <v>383</v>
      </c>
      <c r="F4710" t="s">
        <v>712</v>
      </c>
      <c r="G4710">
        <v>2500</v>
      </c>
      <c r="H4710">
        <v>2500</v>
      </c>
    </row>
    <row r="4711" spans="2:8" x14ac:dyDescent="0.25">
      <c r="B4711" t="str">
        <f t="shared" si="73"/>
        <v>KIRPopulation ages 55-59, male</v>
      </c>
      <c r="C4711" t="s">
        <v>249</v>
      </c>
      <c r="D4711" t="s">
        <v>73</v>
      </c>
      <c r="E4711" t="s">
        <v>385</v>
      </c>
      <c r="F4711" t="s">
        <v>713</v>
      </c>
      <c r="G4711">
        <v>2100</v>
      </c>
      <c r="H4711">
        <v>2200</v>
      </c>
    </row>
    <row r="4712" spans="2:8" x14ac:dyDescent="0.25">
      <c r="B4712" t="str">
        <f t="shared" si="73"/>
        <v>KIRPopulation ages 55-59, female</v>
      </c>
      <c r="C4712" t="s">
        <v>249</v>
      </c>
      <c r="D4712" t="s">
        <v>73</v>
      </c>
      <c r="E4712" t="s">
        <v>384</v>
      </c>
      <c r="F4712" t="s">
        <v>714</v>
      </c>
      <c r="G4712">
        <v>2300</v>
      </c>
      <c r="H4712">
        <v>2400</v>
      </c>
    </row>
    <row r="4713" spans="2:8" x14ac:dyDescent="0.25">
      <c r="B4713" t="str">
        <f t="shared" si="73"/>
        <v>KIRPopulation ages 65-69, male</v>
      </c>
      <c r="C4713" t="s">
        <v>249</v>
      </c>
      <c r="D4713" t="s">
        <v>73</v>
      </c>
      <c r="E4713" t="s">
        <v>389</v>
      </c>
      <c r="F4713" t="s">
        <v>715</v>
      </c>
      <c r="G4713">
        <v>800</v>
      </c>
      <c r="H4713">
        <v>900</v>
      </c>
    </row>
    <row r="4714" spans="2:8" x14ac:dyDescent="0.25">
      <c r="B4714" t="str">
        <f t="shared" si="73"/>
        <v>KIRPopulation ages 65-69, female</v>
      </c>
      <c r="C4714" t="s">
        <v>249</v>
      </c>
      <c r="D4714" t="s">
        <v>73</v>
      </c>
      <c r="E4714" t="s">
        <v>388</v>
      </c>
      <c r="F4714" t="s">
        <v>716</v>
      </c>
      <c r="G4714">
        <v>1200</v>
      </c>
      <c r="H4714">
        <v>1200</v>
      </c>
    </row>
    <row r="4715" spans="2:8" x14ac:dyDescent="0.25">
      <c r="B4715" t="str">
        <f t="shared" si="73"/>
        <v>KIRPopulation ages 60-64, female</v>
      </c>
      <c r="C4715" t="s">
        <v>249</v>
      </c>
      <c r="D4715" t="s">
        <v>73</v>
      </c>
      <c r="E4715" t="s">
        <v>386</v>
      </c>
      <c r="F4715" t="s">
        <v>717</v>
      </c>
      <c r="G4715">
        <v>1600</v>
      </c>
      <c r="H4715">
        <v>1700</v>
      </c>
    </row>
    <row r="4716" spans="2:8" x14ac:dyDescent="0.25">
      <c r="B4716" t="str">
        <f t="shared" si="73"/>
        <v>KIRPopulation ages 60-64, male</v>
      </c>
      <c r="C4716" t="s">
        <v>249</v>
      </c>
      <c r="D4716" t="s">
        <v>73</v>
      </c>
      <c r="E4716" t="s">
        <v>387</v>
      </c>
      <c r="F4716" t="s">
        <v>718</v>
      </c>
      <c r="G4716">
        <v>1300</v>
      </c>
      <c r="H4716">
        <v>1400</v>
      </c>
    </row>
    <row r="4717" spans="2:8" x14ac:dyDescent="0.25">
      <c r="B4717" t="str">
        <f t="shared" si="73"/>
        <v>KIRPopulation ages 70-74, female</v>
      </c>
      <c r="C4717" t="s">
        <v>249</v>
      </c>
      <c r="D4717" t="s">
        <v>73</v>
      </c>
      <c r="E4717" t="s">
        <v>390</v>
      </c>
      <c r="F4717" t="s">
        <v>719</v>
      </c>
      <c r="G4717">
        <v>900</v>
      </c>
      <c r="H4717">
        <v>900</v>
      </c>
    </row>
    <row r="4718" spans="2:8" x14ac:dyDescent="0.25">
      <c r="B4718" t="str">
        <f t="shared" si="73"/>
        <v>KIRPopulation ages 70-74, male</v>
      </c>
      <c r="C4718" t="s">
        <v>249</v>
      </c>
      <c r="D4718" t="s">
        <v>73</v>
      </c>
      <c r="E4718" t="s">
        <v>391</v>
      </c>
      <c r="F4718" t="s">
        <v>720</v>
      </c>
      <c r="G4718">
        <v>500</v>
      </c>
      <c r="H4718">
        <v>600</v>
      </c>
    </row>
    <row r="4719" spans="2:8" x14ac:dyDescent="0.25">
      <c r="B4719" t="str">
        <f t="shared" si="73"/>
        <v>KIRPopulation ages 75-79, female</v>
      </c>
      <c r="C4719" t="s">
        <v>249</v>
      </c>
      <c r="D4719" t="s">
        <v>73</v>
      </c>
      <c r="E4719" t="s">
        <v>392</v>
      </c>
      <c r="F4719" t="s">
        <v>721</v>
      </c>
      <c r="G4719">
        <v>600</v>
      </c>
      <c r="H4719">
        <v>600</v>
      </c>
    </row>
    <row r="4720" spans="2:8" x14ac:dyDescent="0.25">
      <c r="B4720" t="str">
        <f t="shared" si="73"/>
        <v>KIRPopulation ages 75-79, male</v>
      </c>
      <c r="C4720" t="s">
        <v>249</v>
      </c>
      <c r="D4720" t="s">
        <v>73</v>
      </c>
      <c r="E4720" t="s">
        <v>393</v>
      </c>
      <c r="F4720" t="s">
        <v>722</v>
      </c>
      <c r="G4720">
        <v>200</v>
      </c>
      <c r="H4720">
        <v>300</v>
      </c>
    </row>
    <row r="4721" spans="2:8" x14ac:dyDescent="0.25">
      <c r="B4721" t="str">
        <f t="shared" si="73"/>
        <v>KIRPopulation ages 80 and above, female</v>
      </c>
      <c r="C4721" t="s">
        <v>249</v>
      </c>
      <c r="D4721" t="s">
        <v>73</v>
      </c>
      <c r="E4721" t="s">
        <v>394</v>
      </c>
      <c r="F4721" t="s">
        <v>723</v>
      </c>
      <c r="G4721">
        <v>400</v>
      </c>
      <c r="H4721">
        <v>400</v>
      </c>
    </row>
    <row r="4722" spans="2:8" x14ac:dyDescent="0.25">
      <c r="B4722" t="str">
        <f t="shared" si="73"/>
        <v>KIRPopulation ages 80 and above, male</v>
      </c>
      <c r="C4722" t="s">
        <v>249</v>
      </c>
      <c r="D4722" t="s">
        <v>73</v>
      </c>
      <c r="E4722" t="s">
        <v>395</v>
      </c>
      <c r="F4722" t="s">
        <v>724</v>
      </c>
      <c r="G4722">
        <v>200</v>
      </c>
      <c r="H4722">
        <v>200</v>
      </c>
    </row>
    <row r="4723" spans="2:8" x14ac:dyDescent="0.25">
      <c r="B4723" t="str">
        <f t="shared" si="73"/>
        <v>KIRPopulation, male</v>
      </c>
      <c r="C4723" t="s">
        <v>249</v>
      </c>
      <c r="D4723" t="s">
        <v>73</v>
      </c>
      <c r="E4723" t="s">
        <v>397</v>
      </c>
      <c r="F4723" t="s">
        <v>725</v>
      </c>
      <c r="G4723">
        <v>58000</v>
      </c>
      <c r="H4723">
        <v>59000</v>
      </c>
    </row>
    <row r="4724" spans="2:8" x14ac:dyDescent="0.25">
      <c r="B4724" t="str">
        <f t="shared" si="73"/>
        <v>KIRPopulation, total</v>
      </c>
      <c r="C4724" t="s">
        <v>249</v>
      </c>
      <c r="D4724" t="s">
        <v>73</v>
      </c>
      <c r="E4724" t="s">
        <v>398</v>
      </c>
      <c r="F4724" t="s">
        <v>726</v>
      </c>
      <c r="G4724">
        <v>118000</v>
      </c>
      <c r="H4724">
        <v>119000</v>
      </c>
    </row>
    <row r="4725" spans="2:8" x14ac:dyDescent="0.25">
      <c r="B4725" t="str">
        <f t="shared" si="73"/>
        <v>KIRPopulation, female</v>
      </c>
      <c r="C4725" t="s">
        <v>249</v>
      </c>
      <c r="D4725" t="s">
        <v>73</v>
      </c>
      <c r="E4725" t="s">
        <v>396</v>
      </c>
      <c r="F4725" t="s">
        <v>727</v>
      </c>
      <c r="G4725">
        <v>60000</v>
      </c>
      <c r="H4725">
        <v>61000</v>
      </c>
    </row>
    <row r="4726" spans="2:8" x14ac:dyDescent="0.25">
      <c r="B4726" t="str">
        <f t="shared" si="73"/>
        <v>KIRPopulation growth (annual %)</v>
      </c>
      <c r="C4726" t="s">
        <v>249</v>
      </c>
      <c r="D4726" t="s">
        <v>73</v>
      </c>
      <c r="E4726" t="s">
        <v>399</v>
      </c>
      <c r="F4726" t="s">
        <v>728</v>
      </c>
      <c r="G4726">
        <v>0</v>
      </c>
      <c r="H4726">
        <v>0</v>
      </c>
    </row>
    <row r="4727" spans="2:8" x14ac:dyDescent="0.25">
      <c r="B4727" t="str">
        <f t="shared" si="73"/>
        <v>PRKPopulation ages 0-14, female</v>
      </c>
      <c r="C4727" t="s">
        <v>535</v>
      </c>
      <c r="D4727" t="s">
        <v>158</v>
      </c>
      <c r="E4727" t="s">
        <v>687</v>
      </c>
      <c r="F4727" t="s">
        <v>688</v>
      </c>
      <c r="G4727">
        <v>2508000</v>
      </c>
      <c r="H4727">
        <v>2499000</v>
      </c>
    </row>
    <row r="4728" spans="2:8" x14ac:dyDescent="0.25">
      <c r="B4728" t="str">
        <f t="shared" si="73"/>
        <v>PRKPopulation ages 0-14, male</v>
      </c>
      <c r="C4728" t="s">
        <v>535</v>
      </c>
      <c r="D4728" t="s">
        <v>158</v>
      </c>
      <c r="E4728" t="s">
        <v>689</v>
      </c>
      <c r="F4728" t="s">
        <v>690</v>
      </c>
      <c r="G4728">
        <v>2624000</v>
      </c>
      <c r="H4728">
        <v>2616000</v>
      </c>
    </row>
    <row r="4729" spans="2:8" x14ac:dyDescent="0.25">
      <c r="B4729" t="str">
        <f t="shared" si="73"/>
        <v>PRKPopulation ages 00-04, female</v>
      </c>
      <c r="C4729" t="s">
        <v>535</v>
      </c>
      <c r="D4729" t="s">
        <v>158</v>
      </c>
      <c r="E4729" t="s">
        <v>362</v>
      </c>
      <c r="F4729" t="s">
        <v>691</v>
      </c>
      <c r="G4729">
        <v>851000</v>
      </c>
      <c r="H4729">
        <v>852000</v>
      </c>
    </row>
    <row r="4730" spans="2:8" x14ac:dyDescent="0.25">
      <c r="B4730" t="str">
        <f t="shared" si="73"/>
        <v>PRKPopulation ages 00-04, male</v>
      </c>
      <c r="C4730" t="s">
        <v>535</v>
      </c>
      <c r="D4730" t="s">
        <v>158</v>
      </c>
      <c r="E4730" t="s">
        <v>363</v>
      </c>
      <c r="F4730" t="s">
        <v>692</v>
      </c>
      <c r="G4730">
        <v>892000</v>
      </c>
      <c r="H4730">
        <v>894000</v>
      </c>
    </row>
    <row r="4731" spans="2:8" x14ac:dyDescent="0.25">
      <c r="B4731" t="str">
        <f t="shared" si="73"/>
        <v>PRKPopulation ages 05-09, female</v>
      </c>
      <c r="C4731" t="s">
        <v>535</v>
      </c>
      <c r="D4731" t="s">
        <v>158</v>
      </c>
      <c r="E4731" t="s">
        <v>364</v>
      </c>
      <c r="F4731" t="s">
        <v>693</v>
      </c>
      <c r="G4731">
        <v>817000</v>
      </c>
      <c r="H4731">
        <v>823000</v>
      </c>
    </row>
    <row r="4732" spans="2:8" x14ac:dyDescent="0.25">
      <c r="B4732" t="str">
        <f t="shared" si="73"/>
        <v>PRKPopulation ages 05-09, male</v>
      </c>
      <c r="C4732" t="s">
        <v>535</v>
      </c>
      <c r="D4732" t="s">
        <v>158</v>
      </c>
      <c r="E4732" t="s">
        <v>365</v>
      </c>
      <c r="F4732" t="s">
        <v>694</v>
      </c>
      <c r="G4732">
        <v>855000</v>
      </c>
      <c r="H4732">
        <v>862000</v>
      </c>
    </row>
    <row r="4733" spans="2:8" x14ac:dyDescent="0.25">
      <c r="B4733" t="str">
        <f t="shared" si="73"/>
        <v>PRKPopulation ages 10-14, female</v>
      </c>
      <c r="C4733" t="s">
        <v>535</v>
      </c>
      <c r="D4733" t="s">
        <v>158</v>
      </c>
      <c r="E4733" t="s">
        <v>366</v>
      </c>
      <c r="F4733" t="s">
        <v>695</v>
      </c>
      <c r="G4733">
        <v>840000</v>
      </c>
      <c r="H4733">
        <v>824000</v>
      </c>
    </row>
    <row r="4734" spans="2:8" x14ac:dyDescent="0.25">
      <c r="B4734" t="str">
        <f t="shared" si="73"/>
        <v>PRKPopulation ages 10-14, male</v>
      </c>
      <c r="C4734" t="s">
        <v>535</v>
      </c>
      <c r="D4734" t="s">
        <v>158</v>
      </c>
      <c r="E4734" t="s">
        <v>367</v>
      </c>
      <c r="F4734" t="s">
        <v>696</v>
      </c>
      <c r="G4734">
        <v>876000</v>
      </c>
      <c r="H4734">
        <v>861000</v>
      </c>
    </row>
    <row r="4735" spans="2:8" x14ac:dyDescent="0.25">
      <c r="B4735" t="str">
        <f t="shared" si="73"/>
        <v>PRKPopulation ages 15-19, female</v>
      </c>
      <c r="C4735" t="s">
        <v>535</v>
      </c>
      <c r="D4735" t="s">
        <v>158</v>
      </c>
      <c r="E4735" t="s">
        <v>368</v>
      </c>
      <c r="F4735" t="s">
        <v>697</v>
      </c>
      <c r="G4735">
        <v>932000</v>
      </c>
      <c r="H4735">
        <v>919000</v>
      </c>
    </row>
    <row r="4736" spans="2:8" x14ac:dyDescent="0.25">
      <c r="B4736" t="str">
        <f t="shared" si="73"/>
        <v>PRKPopulation ages 15-19, male</v>
      </c>
      <c r="C4736" t="s">
        <v>535</v>
      </c>
      <c r="D4736" t="s">
        <v>158</v>
      </c>
      <c r="E4736" t="s">
        <v>369</v>
      </c>
      <c r="F4736" t="s">
        <v>698</v>
      </c>
      <c r="G4736">
        <v>972000</v>
      </c>
      <c r="H4736">
        <v>957000</v>
      </c>
    </row>
    <row r="4737" spans="2:8" x14ac:dyDescent="0.25">
      <c r="B4737" t="str">
        <f t="shared" si="73"/>
        <v>PRKPopulation ages 20-24, female</v>
      </c>
      <c r="C4737" t="s">
        <v>535</v>
      </c>
      <c r="D4737" t="s">
        <v>158</v>
      </c>
      <c r="E4737" t="s">
        <v>370</v>
      </c>
      <c r="F4737" t="s">
        <v>699</v>
      </c>
      <c r="G4737">
        <v>956000</v>
      </c>
      <c r="H4737">
        <v>948000</v>
      </c>
    </row>
    <row r="4738" spans="2:8" x14ac:dyDescent="0.25">
      <c r="B4738" t="str">
        <f t="shared" si="73"/>
        <v>PRKPopulation ages 20-24, male</v>
      </c>
      <c r="C4738" t="s">
        <v>535</v>
      </c>
      <c r="D4738" t="s">
        <v>158</v>
      </c>
      <c r="E4738" t="s">
        <v>371</v>
      </c>
      <c r="F4738" t="s">
        <v>700</v>
      </c>
      <c r="G4738">
        <v>1001000</v>
      </c>
      <c r="H4738">
        <v>993000</v>
      </c>
    </row>
    <row r="4739" spans="2:8" x14ac:dyDescent="0.25">
      <c r="B4739" t="str">
        <f t="shared" si="73"/>
        <v>PRKPopulation ages 25-29, female</v>
      </c>
      <c r="C4739" t="s">
        <v>535</v>
      </c>
      <c r="D4739" t="s">
        <v>158</v>
      </c>
      <c r="E4739" t="s">
        <v>372</v>
      </c>
      <c r="F4739" t="s">
        <v>701</v>
      </c>
      <c r="G4739">
        <v>969000</v>
      </c>
      <c r="H4739">
        <v>974000</v>
      </c>
    </row>
    <row r="4740" spans="2:8" x14ac:dyDescent="0.25">
      <c r="B4740" t="str">
        <f t="shared" si="73"/>
        <v>PRKPopulation ages 25-29, male</v>
      </c>
      <c r="C4740" t="s">
        <v>535</v>
      </c>
      <c r="D4740" t="s">
        <v>158</v>
      </c>
      <c r="E4740" t="s">
        <v>373</v>
      </c>
      <c r="F4740" t="s">
        <v>702</v>
      </c>
      <c r="G4740">
        <v>1004000</v>
      </c>
      <c r="H4740">
        <v>1010000</v>
      </c>
    </row>
    <row r="4741" spans="2:8" x14ac:dyDescent="0.25">
      <c r="B4741" t="str">
        <f t="shared" si="73"/>
        <v>PRKPopulation ages 30-34, female</v>
      </c>
      <c r="C4741" t="s">
        <v>535</v>
      </c>
      <c r="D4741" t="s">
        <v>158</v>
      </c>
      <c r="E4741" t="s">
        <v>374</v>
      </c>
      <c r="F4741" t="s">
        <v>703</v>
      </c>
      <c r="G4741">
        <v>907000</v>
      </c>
      <c r="H4741">
        <v>911000</v>
      </c>
    </row>
    <row r="4742" spans="2:8" x14ac:dyDescent="0.25">
      <c r="B4742" t="str">
        <f t="shared" si="73"/>
        <v>PRKPopulation ages 30-34, male</v>
      </c>
      <c r="C4742" t="s">
        <v>535</v>
      </c>
      <c r="D4742" t="s">
        <v>158</v>
      </c>
      <c r="E4742" t="s">
        <v>375</v>
      </c>
      <c r="F4742" t="s">
        <v>704</v>
      </c>
      <c r="G4742">
        <v>935000</v>
      </c>
      <c r="H4742">
        <v>940000</v>
      </c>
    </row>
    <row r="4743" spans="2:8" x14ac:dyDescent="0.25">
      <c r="B4743" t="str">
        <f t="shared" ref="B4743:B4806" si="74">CONCATENATE(D4743,E4743)</f>
        <v>PRKPopulation ages 35-39, female</v>
      </c>
      <c r="C4743" t="s">
        <v>535</v>
      </c>
      <c r="D4743" t="s">
        <v>158</v>
      </c>
      <c r="E4743" t="s">
        <v>376</v>
      </c>
      <c r="F4743" t="s">
        <v>705</v>
      </c>
      <c r="G4743">
        <v>860000</v>
      </c>
      <c r="H4743">
        <v>884000</v>
      </c>
    </row>
    <row r="4744" spans="2:8" x14ac:dyDescent="0.25">
      <c r="B4744" t="str">
        <f t="shared" si="74"/>
        <v>PRKPopulation ages 35-39, male</v>
      </c>
      <c r="C4744" t="s">
        <v>535</v>
      </c>
      <c r="D4744" t="s">
        <v>158</v>
      </c>
      <c r="E4744" t="s">
        <v>377</v>
      </c>
      <c r="F4744" t="s">
        <v>706</v>
      </c>
      <c r="G4744">
        <v>882000</v>
      </c>
      <c r="H4744">
        <v>907000</v>
      </c>
    </row>
    <row r="4745" spans="2:8" x14ac:dyDescent="0.25">
      <c r="B4745" t="str">
        <f t="shared" si="74"/>
        <v>PRKPopulation ages 40-44, female</v>
      </c>
      <c r="C4745" t="s">
        <v>535</v>
      </c>
      <c r="D4745" t="s">
        <v>158</v>
      </c>
      <c r="E4745" t="s">
        <v>378</v>
      </c>
      <c r="F4745" t="s">
        <v>707</v>
      </c>
      <c r="G4745">
        <v>810000</v>
      </c>
      <c r="H4745">
        <v>772000</v>
      </c>
    </row>
    <row r="4746" spans="2:8" x14ac:dyDescent="0.25">
      <c r="B4746" t="str">
        <f t="shared" si="74"/>
        <v>PRKPopulation ages 40-44, male</v>
      </c>
      <c r="C4746" t="s">
        <v>535</v>
      </c>
      <c r="D4746" t="s">
        <v>158</v>
      </c>
      <c r="E4746" t="s">
        <v>379</v>
      </c>
      <c r="F4746" t="s">
        <v>708</v>
      </c>
      <c r="G4746">
        <v>822000</v>
      </c>
      <c r="H4746">
        <v>785000</v>
      </c>
    </row>
    <row r="4747" spans="2:8" x14ac:dyDescent="0.25">
      <c r="B4747" t="str">
        <f t="shared" si="74"/>
        <v>PRKPopulation ages 45-49, female</v>
      </c>
      <c r="C4747" t="s">
        <v>535</v>
      </c>
      <c r="D4747" t="s">
        <v>158</v>
      </c>
      <c r="E4747" t="s">
        <v>380</v>
      </c>
      <c r="F4747" t="s">
        <v>709</v>
      </c>
      <c r="G4747">
        <v>1115000</v>
      </c>
      <c r="H4747">
        <v>1077000</v>
      </c>
    </row>
    <row r="4748" spans="2:8" x14ac:dyDescent="0.25">
      <c r="B4748" t="str">
        <f t="shared" si="74"/>
        <v>PRKPopulation ages 45-49, male</v>
      </c>
      <c r="C4748" t="s">
        <v>535</v>
      </c>
      <c r="D4748" t="s">
        <v>158</v>
      </c>
      <c r="E4748" t="s">
        <v>381</v>
      </c>
      <c r="F4748" t="s">
        <v>710</v>
      </c>
      <c r="G4748">
        <v>1117000</v>
      </c>
      <c r="H4748">
        <v>1081000</v>
      </c>
    </row>
    <row r="4749" spans="2:8" x14ac:dyDescent="0.25">
      <c r="B4749" t="str">
        <f t="shared" si="74"/>
        <v>PRKPopulation ages 50-54, female</v>
      </c>
      <c r="C4749" t="s">
        <v>535</v>
      </c>
      <c r="D4749" t="s">
        <v>158</v>
      </c>
      <c r="E4749" t="s">
        <v>382</v>
      </c>
      <c r="F4749" t="s">
        <v>711</v>
      </c>
      <c r="G4749">
        <v>1029000</v>
      </c>
      <c r="H4749">
        <v>1078000</v>
      </c>
    </row>
    <row r="4750" spans="2:8" x14ac:dyDescent="0.25">
      <c r="B4750" t="str">
        <f t="shared" si="74"/>
        <v>PRKPopulation ages 50-54, male</v>
      </c>
      <c r="C4750" t="s">
        <v>535</v>
      </c>
      <c r="D4750" t="s">
        <v>158</v>
      </c>
      <c r="E4750" t="s">
        <v>383</v>
      </c>
      <c r="F4750" t="s">
        <v>712</v>
      </c>
      <c r="G4750">
        <v>1012000</v>
      </c>
      <c r="H4750">
        <v>1062000</v>
      </c>
    </row>
    <row r="4751" spans="2:8" x14ac:dyDescent="0.25">
      <c r="B4751" t="str">
        <f t="shared" si="74"/>
        <v>PRKPopulation ages 55-59, male</v>
      </c>
      <c r="C4751" t="s">
        <v>535</v>
      </c>
      <c r="D4751" t="s">
        <v>158</v>
      </c>
      <c r="E4751" t="s">
        <v>385</v>
      </c>
      <c r="F4751" t="s">
        <v>713</v>
      </c>
      <c r="G4751">
        <v>708000</v>
      </c>
      <c r="H4751">
        <v>722000</v>
      </c>
    </row>
    <row r="4752" spans="2:8" x14ac:dyDescent="0.25">
      <c r="B4752" t="str">
        <f t="shared" si="74"/>
        <v>PRKPopulation ages 55-59, female</v>
      </c>
      <c r="C4752" t="s">
        <v>535</v>
      </c>
      <c r="D4752" t="s">
        <v>158</v>
      </c>
      <c r="E4752" t="s">
        <v>384</v>
      </c>
      <c r="F4752" t="s">
        <v>714</v>
      </c>
      <c r="G4752">
        <v>750000</v>
      </c>
      <c r="H4752">
        <v>760000</v>
      </c>
    </row>
    <row r="4753" spans="2:8" x14ac:dyDescent="0.25">
      <c r="B4753" t="str">
        <f t="shared" si="74"/>
        <v>PRKPopulation ages 65-69, male</v>
      </c>
      <c r="C4753" t="s">
        <v>535</v>
      </c>
      <c r="D4753" t="s">
        <v>158</v>
      </c>
      <c r="E4753" t="s">
        <v>389</v>
      </c>
      <c r="F4753" t="s">
        <v>715</v>
      </c>
      <c r="G4753">
        <v>265000</v>
      </c>
      <c r="H4753">
        <v>284000</v>
      </c>
    </row>
    <row r="4754" spans="2:8" x14ac:dyDescent="0.25">
      <c r="B4754" t="str">
        <f t="shared" si="74"/>
        <v>PRKPopulation ages 65-69, female</v>
      </c>
      <c r="C4754" t="s">
        <v>535</v>
      </c>
      <c r="D4754" t="s">
        <v>158</v>
      </c>
      <c r="E4754" t="s">
        <v>388</v>
      </c>
      <c r="F4754" t="s">
        <v>716</v>
      </c>
      <c r="G4754">
        <v>364000</v>
      </c>
      <c r="H4754">
        <v>378000</v>
      </c>
    </row>
    <row r="4755" spans="2:8" x14ac:dyDescent="0.25">
      <c r="B4755" t="str">
        <f t="shared" si="74"/>
        <v>PRKPopulation ages 60-64, female</v>
      </c>
      <c r="C4755" t="s">
        <v>535</v>
      </c>
      <c r="D4755" t="s">
        <v>158</v>
      </c>
      <c r="E4755" t="s">
        <v>386</v>
      </c>
      <c r="F4755" t="s">
        <v>717</v>
      </c>
      <c r="G4755">
        <v>729000</v>
      </c>
      <c r="H4755">
        <v>778000</v>
      </c>
    </row>
    <row r="4756" spans="2:8" x14ac:dyDescent="0.25">
      <c r="B4756" t="str">
        <f t="shared" si="74"/>
        <v>PRKPopulation ages 60-64, male</v>
      </c>
      <c r="C4756" t="s">
        <v>535</v>
      </c>
      <c r="D4756" t="s">
        <v>158</v>
      </c>
      <c r="E4756" t="s">
        <v>387</v>
      </c>
      <c r="F4756" t="s">
        <v>718</v>
      </c>
      <c r="G4756">
        <v>650000</v>
      </c>
      <c r="H4756">
        <v>695000</v>
      </c>
    </row>
    <row r="4757" spans="2:8" x14ac:dyDescent="0.25">
      <c r="B4757" t="str">
        <f t="shared" si="74"/>
        <v>PRKPopulation ages 70-74, female</v>
      </c>
      <c r="C4757" t="s">
        <v>535</v>
      </c>
      <c r="D4757" t="s">
        <v>158</v>
      </c>
      <c r="E4757" t="s">
        <v>390</v>
      </c>
      <c r="F4757" t="s">
        <v>719</v>
      </c>
      <c r="G4757">
        <v>476000</v>
      </c>
      <c r="H4757">
        <v>461000</v>
      </c>
    </row>
    <row r="4758" spans="2:8" x14ac:dyDescent="0.25">
      <c r="B4758" t="str">
        <f t="shared" si="74"/>
        <v>PRKPopulation ages 70-74, male</v>
      </c>
      <c r="C4758" t="s">
        <v>535</v>
      </c>
      <c r="D4758" t="s">
        <v>158</v>
      </c>
      <c r="E4758" t="s">
        <v>391</v>
      </c>
      <c r="F4758" t="s">
        <v>720</v>
      </c>
      <c r="G4758">
        <v>297000</v>
      </c>
      <c r="H4758">
        <v>285000</v>
      </c>
    </row>
    <row r="4759" spans="2:8" x14ac:dyDescent="0.25">
      <c r="B4759" t="str">
        <f t="shared" si="74"/>
        <v>PRKPopulation ages 75-79, female</v>
      </c>
      <c r="C4759" t="s">
        <v>535</v>
      </c>
      <c r="D4759" t="s">
        <v>158</v>
      </c>
      <c r="E4759" t="s">
        <v>392</v>
      </c>
      <c r="F4759" t="s">
        <v>721</v>
      </c>
      <c r="G4759">
        <v>372000</v>
      </c>
      <c r="H4759">
        <v>380000</v>
      </c>
    </row>
    <row r="4760" spans="2:8" x14ac:dyDescent="0.25">
      <c r="B4760" t="str">
        <f t="shared" si="74"/>
        <v>PRKPopulation ages 75-79, male</v>
      </c>
      <c r="C4760" t="s">
        <v>535</v>
      </c>
      <c r="D4760" t="s">
        <v>158</v>
      </c>
      <c r="E4760" t="s">
        <v>393</v>
      </c>
      <c r="F4760" t="s">
        <v>722</v>
      </c>
      <c r="G4760">
        <v>176000</v>
      </c>
      <c r="H4760">
        <v>179000</v>
      </c>
    </row>
    <row r="4761" spans="2:8" x14ac:dyDescent="0.25">
      <c r="B4761" t="str">
        <f t="shared" si="74"/>
        <v>PRKPopulation ages 80 and above, female</v>
      </c>
      <c r="C4761" t="s">
        <v>535</v>
      </c>
      <c r="D4761" t="s">
        <v>158</v>
      </c>
      <c r="E4761" t="s">
        <v>394</v>
      </c>
      <c r="F4761" t="s">
        <v>723</v>
      </c>
      <c r="G4761">
        <v>337000</v>
      </c>
      <c r="H4761">
        <v>352000</v>
      </c>
    </row>
    <row r="4762" spans="2:8" x14ac:dyDescent="0.25">
      <c r="B4762" t="str">
        <f t="shared" si="74"/>
        <v>PRKPopulation ages 80 and above, male</v>
      </c>
      <c r="C4762" t="s">
        <v>535</v>
      </c>
      <c r="D4762" t="s">
        <v>158</v>
      </c>
      <c r="E4762" t="s">
        <v>395</v>
      </c>
      <c r="F4762" t="s">
        <v>724</v>
      </c>
      <c r="G4762">
        <v>88000</v>
      </c>
      <c r="H4762">
        <v>92000</v>
      </c>
    </row>
    <row r="4763" spans="2:8" x14ac:dyDescent="0.25">
      <c r="B4763" t="str">
        <f t="shared" si="74"/>
        <v>PRKPopulation, male</v>
      </c>
      <c r="C4763" t="s">
        <v>535</v>
      </c>
      <c r="D4763" t="s">
        <v>158</v>
      </c>
      <c r="E4763" t="s">
        <v>397</v>
      </c>
      <c r="F4763" t="s">
        <v>725</v>
      </c>
      <c r="G4763">
        <v>12553000</v>
      </c>
      <c r="H4763">
        <v>12608000</v>
      </c>
    </row>
    <row r="4764" spans="2:8" x14ac:dyDescent="0.25">
      <c r="B4764" t="str">
        <f t="shared" si="74"/>
        <v>PRKPopulation, total</v>
      </c>
      <c r="C4764" t="s">
        <v>535</v>
      </c>
      <c r="D4764" t="s">
        <v>158</v>
      </c>
      <c r="E4764" t="s">
        <v>398</v>
      </c>
      <c r="F4764" t="s">
        <v>726</v>
      </c>
      <c r="G4764">
        <v>25666000</v>
      </c>
      <c r="H4764">
        <v>25779000</v>
      </c>
    </row>
    <row r="4765" spans="2:8" x14ac:dyDescent="0.25">
      <c r="B4765" t="str">
        <f t="shared" si="74"/>
        <v>PRKPopulation, female</v>
      </c>
      <c r="C4765" t="s">
        <v>535</v>
      </c>
      <c r="D4765" t="s">
        <v>158</v>
      </c>
      <c r="E4765" t="s">
        <v>396</v>
      </c>
      <c r="F4765" t="s">
        <v>727</v>
      </c>
      <c r="G4765">
        <v>13113000</v>
      </c>
      <c r="H4765">
        <v>13170000</v>
      </c>
    </row>
    <row r="4766" spans="2:8" x14ac:dyDescent="0.25">
      <c r="B4766" t="str">
        <f t="shared" si="74"/>
        <v>PRKPopulation growth (annual %)</v>
      </c>
      <c r="C4766" t="s">
        <v>535</v>
      </c>
      <c r="D4766" t="s">
        <v>158</v>
      </c>
      <c r="E4766" t="s">
        <v>399</v>
      </c>
      <c r="F4766" t="s">
        <v>728</v>
      </c>
      <c r="G4766">
        <v>0</v>
      </c>
      <c r="H4766">
        <v>0</v>
      </c>
    </row>
    <row r="4767" spans="2:8" x14ac:dyDescent="0.25">
      <c r="B4767" t="str">
        <f t="shared" si="74"/>
        <v>KORPopulation ages 0-14, female</v>
      </c>
      <c r="C4767" t="s">
        <v>536</v>
      </c>
      <c r="D4767" t="s">
        <v>74</v>
      </c>
      <c r="E4767" t="s">
        <v>687</v>
      </c>
      <c r="F4767" t="s">
        <v>688</v>
      </c>
      <c r="G4767">
        <v>3203000</v>
      </c>
      <c r="H4767">
        <v>3162000</v>
      </c>
    </row>
    <row r="4768" spans="2:8" x14ac:dyDescent="0.25">
      <c r="B4768" t="str">
        <f t="shared" si="74"/>
        <v>KORPopulation ages 0-14, male</v>
      </c>
      <c r="C4768" t="s">
        <v>536</v>
      </c>
      <c r="D4768" t="s">
        <v>74</v>
      </c>
      <c r="E4768" t="s">
        <v>689</v>
      </c>
      <c r="F4768" t="s">
        <v>690</v>
      </c>
      <c r="G4768">
        <v>3398000</v>
      </c>
      <c r="H4768">
        <v>3350000</v>
      </c>
    </row>
    <row r="4769" spans="2:8" x14ac:dyDescent="0.25">
      <c r="B4769" t="str">
        <f t="shared" si="74"/>
        <v>KORPopulation ages 00-04, female</v>
      </c>
      <c r="C4769" t="s">
        <v>536</v>
      </c>
      <c r="D4769" t="s">
        <v>74</v>
      </c>
      <c r="E4769" t="s">
        <v>362</v>
      </c>
      <c r="F4769" t="s">
        <v>691</v>
      </c>
      <c r="G4769">
        <v>969000</v>
      </c>
      <c r="H4769">
        <v>934000</v>
      </c>
    </row>
    <row r="4770" spans="2:8" x14ac:dyDescent="0.25">
      <c r="B4770" t="str">
        <f t="shared" si="74"/>
        <v>KORPopulation ages 00-04, male</v>
      </c>
      <c r="C4770" t="s">
        <v>536</v>
      </c>
      <c r="D4770" t="s">
        <v>74</v>
      </c>
      <c r="E4770" t="s">
        <v>363</v>
      </c>
      <c r="F4770" t="s">
        <v>692</v>
      </c>
      <c r="G4770">
        <v>1022000</v>
      </c>
      <c r="H4770">
        <v>987000</v>
      </c>
    </row>
    <row r="4771" spans="2:8" x14ac:dyDescent="0.25">
      <c r="B4771" t="str">
        <f t="shared" si="74"/>
        <v>KORPopulation ages 05-09, female</v>
      </c>
      <c r="C4771" t="s">
        <v>536</v>
      </c>
      <c r="D4771" t="s">
        <v>74</v>
      </c>
      <c r="E4771" t="s">
        <v>364</v>
      </c>
      <c r="F4771" t="s">
        <v>693</v>
      </c>
      <c r="G4771">
        <v>1117000</v>
      </c>
      <c r="H4771">
        <v>1112000</v>
      </c>
    </row>
    <row r="4772" spans="2:8" x14ac:dyDescent="0.25">
      <c r="B4772" t="str">
        <f t="shared" si="74"/>
        <v>KORPopulation ages 05-09, male</v>
      </c>
      <c r="C4772" t="s">
        <v>536</v>
      </c>
      <c r="D4772" t="s">
        <v>74</v>
      </c>
      <c r="E4772" t="s">
        <v>365</v>
      </c>
      <c r="F4772" t="s">
        <v>694</v>
      </c>
      <c r="G4772">
        <v>1180000</v>
      </c>
      <c r="H4772">
        <v>1173000</v>
      </c>
    </row>
    <row r="4773" spans="2:8" x14ac:dyDescent="0.25">
      <c r="B4773" t="str">
        <f t="shared" si="74"/>
        <v>KORPopulation ages 10-14, female</v>
      </c>
      <c r="C4773" t="s">
        <v>536</v>
      </c>
      <c r="D4773" t="s">
        <v>74</v>
      </c>
      <c r="E4773" t="s">
        <v>366</v>
      </c>
      <c r="F4773" t="s">
        <v>695</v>
      </c>
      <c r="G4773">
        <v>1118000</v>
      </c>
      <c r="H4773">
        <v>1116000</v>
      </c>
    </row>
    <row r="4774" spans="2:8" x14ac:dyDescent="0.25">
      <c r="B4774" t="str">
        <f t="shared" si="74"/>
        <v>KORPopulation ages 10-14, male</v>
      </c>
      <c r="C4774" t="s">
        <v>536</v>
      </c>
      <c r="D4774" t="s">
        <v>74</v>
      </c>
      <c r="E4774" t="s">
        <v>367</v>
      </c>
      <c r="F4774" t="s">
        <v>696</v>
      </c>
      <c r="G4774">
        <v>1196000</v>
      </c>
      <c r="H4774">
        <v>1190000</v>
      </c>
    </row>
    <row r="4775" spans="2:8" x14ac:dyDescent="0.25">
      <c r="B4775" t="str">
        <f t="shared" si="74"/>
        <v>KORPopulation ages 15-19, female</v>
      </c>
      <c r="C4775" t="s">
        <v>536</v>
      </c>
      <c r="D4775" t="s">
        <v>74</v>
      </c>
      <c r="E4775" t="s">
        <v>368</v>
      </c>
      <c r="F4775" t="s">
        <v>697</v>
      </c>
      <c r="G4775">
        <v>1258000</v>
      </c>
      <c r="H4775">
        <v>1202000</v>
      </c>
    </row>
    <row r="4776" spans="2:8" x14ac:dyDescent="0.25">
      <c r="B4776" t="str">
        <f t="shared" si="74"/>
        <v>KORPopulation ages 15-19, male</v>
      </c>
      <c r="C4776" t="s">
        <v>536</v>
      </c>
      <c r="D4776" t="s">
        <v>74</v>
      </c>
      <c r="E4776" t="s">
        <v>369</v>
      </c>
      <c r="F4776" t="s">
        <v>698</v>
      </c>
      <c r="G4776">
        <v>1368000</v>
      </c>
      <c r="H4776">
        <v>1306000</v>
      </c>
    </row>
    <row r="4777" spans="2:8" x14ac:dyDescent="0.25">
      <c r="B4777" t="str">
        <f t="shared" si="74"/>
        <v>KORPopulation ages 20-24, female</v>
      </c>
      <c r="C4777" t="s">
        <v>536</v>
      </c>
      <c r="D4777" t="s">
        <v>74</v>
      </c>
      <c r="E4777" t="s">
        <v>370</v>
      </c>
      <c r="F4777" t="s">
        <v>699</v>
      </c>
      <c r="G4777">
        <v>1596000</v>
      </c>
      <c r="H4777">
        <v>1553000</v>
      </c>
    </row>
    <row r="4778" spans="2:8" x14ac:dyDescent="0.25">
      <c r="B4778" t="str">
        <f t="shared" si="74"/>
        <v>KORPopulation ages 20-24, male</v>
      </c>
      <c r="C4778" t="s">
        <v>536</v>
      </c>
      <c r="D4778" t="s">
        <v>74</v>
      </c>
      <c r="E4778" t="s">
        <v>371</v>
      </c>
      <c r="F4778" t="s">
        <v>700</v>
      </c>
      <c r="G4778">
        <v>1766000</v>
      </c>
      <c r="H4778">
        <v>1705000</v>
      </c>
    </row>
    <row r="4779" spans="2:8" x14ac:dyDescent="0.25">
      <c r="B4779" t="str">
        <f t="shared" si="74"/>
        <v>KORPopulation ages 25-29, female</v>
      </c>
      <c r="C4779" t="s">
        <v>536</v>
      </c>
      <c r="D4779" t="s">
        <v>74</v>
      </c>
      <c r="E4779" t="s">
        <v>372</v>
      </c>
      <c r="F4779" t="s">
        <v>701</v>
      </c>
      <c r="G4779">
        <v>1633000</v>
      </c>
      <c r="H4779">
        <v>1650000</v>
      </c>
    </row>
    <row r="4780" spans="2:8" x14ac:dyDescent="0.25">
      <c r="B4780" t="str">
        <f t="shared" si="74"/>
        <v>KORPopulation ages 25-29, male</v>
      </c>
      <c r="C4780" t="s">
        <v>536</v>
      </c>
      <c r="D4780" t="s">
        <v>74</v>
      </c>
      <c r="E4780" t="s">
        <v>373</v>
      </c>
      <c r="F4780" t="s">
        <v>702</v>
      </c>
      <c r="G4780">
        <v>1876000</v>
      </c>
      <c r="H4780">
        <v>1895000</v>
      </c>
    </row>
    <row r="4781" spans="2:8" x14ac:dyDescent="0.25">
      <c r="B4781" t="str">
        <f t="shared" si="74"/>
        <v>KORPopulation ages 30-34, female</v>
      </c>
      <c r="C4781" t="s">
        <v>536</v>
      </c>
      <c r="D4781" t="s">
        <v>74</v>
      </c>
      <c r="E4781" t="s">
        <v>374</v>
      </c>
      <c r="F4781" t="s">
        <v>703</v>
      </c>
      <c r="G4781">
        <v>1599000</v>
      </c>
      <c r="H4781">
        <v>1569000</v>
      </c>
    </row>
    <row r="4782" spans="2:8" x14ac:dyDescent="0.25">
      <c r="B4782" t="str">
        <f t="shared" si="74"/>
        <v>KORPopulation ages 30-34, male</v>
      </c>
      <c r="C4782" t="s">
        <v>536</v>
      </c>
      <c r="D4782" t="s">
        <v>74</v>
      </c>
      <c r="E4782" t="s">
        <v>375</v>
      </c>
      <c r="F4782" t="s">
        <v>704</v>
      </c>
      <c r="G4782">
        <v>1776000</v>
      </c>
      <c r="H4782">
        <v>1756000</v>
      </c>
    </row>
    <row r="4783" spans="2:8" x14ac:dyDescent="0.25">
      <c r="B4783" t="str">
        <f t="shared" si="74"/>
        <v>KORPopulation ages 35-39, female</v>
      </c>
      <c r="C4783" t="s">
        <v>536</v>
      </c>
      <c r="D4783" t="s">
        <v>74</v>
      </c>
      <c r="E4783" t="s">
        <v>376</v>
      </c>
      <c r="F4783" t="s">
        <v>705</v>
      </c>
      <c r="G4783">
        <v>1878000</v>
      </c>
      <c r="H4783">
        <v>1846000</v>
      </c>
    </row>
    <row r="4784" spans="2:8" x14ac:dyDescent="0.25">
      <c r="B4784" t="str">
        <f t="shared" si="74"/>
        <v>KORPopulation ages 35-39, male</v>
      </c>
      <c r="C4784" t="s">
        <v>536</v>
      </c>
      <c r="D4784" t="s">
        <v>74</v>
      </c>
      <c r="E4784" t="s">
        <v>377</v>
      </c>
      <c r="F4784" t="s">
        <v>706</v>
      </c>
      <c r="G4784">
        <v>2023000</v>
      </c>
      <c r="H4784">
        <v>2000000</v>
      </c>
    </row>
    <row r="4785" spans="2:8" x14ac:dyDescent="0.25">
      <c r="B4785" t="str">
        <f t="shared" si="74"/>
        <v>KORPopulation ages 40-44, female</v>
      </c>
      <c r="C4785" t="s">
        <v>536</v>
      </c>
      <c r="D4785" t="s">
        <v>74</v>
      </c>
      <c r="E4785" t="s">
        <v>378</v>
      </c>
      <c r="F4785" t="s">
        <v>707</v>
      </c>
      <c r="G4785">
        <v>1965000</v>
      </c>
      <c r="H4785">
        <v>1933000</v>
      </c>
    </row>
    <row r="4786" spans="2:8" x14ac:dyDescent="0.25">
      <c r="B4786" t="str">
        <f t="shared" si="74"/>
        <v>KORPopulation ages 40-44, male</v>
      </c>
      <c r="C4786" t="s">
        <v>536</v>
      </c>
      <c r="D4786" t="s">
        <v>74</v>
      </c>
      <c r="E4786" t="s">
        <v>379</v>
      </c>
      <c r="F4786" t="s">
        <v>708</v>
      </c>
      <c r="G4786">
        <v>2068000</v>
      </c>
      <c r="H4786">
        <v>2041000</v>
      </c>
    </row>
    <row r="4787" spans="2:8" x14ac:dyDescent="0.25">
      <c r="B4787" t="str">
        <f t="shared" si="74"/>
        <v>KORPopulation ages 45-49, female</v>
      </c>
      <c r="C4787" t="s">
        <v>536</v>
      </c>
      <c r="D4787" t="s">
        <v>74</v>
      </c>
      <c r="E4787" t="s">
        <v>380</v>
      </c>
      <c r="F4787" t="s">
        <v>709</v>
      </c>
      <c r="G4787">
        <v>2157000</v>
      </c>
      <c r="H4787">
        <v>2134000</v>
      </c>
    </row>
    <row r="4788" spans="2:8" x14ac:dyDescent="0.25">
      <c r="B4788" t="str">
        <f t="shared" si="74"/>
        <v>KORPopulation ages 45-49, male</v>
      </c>
      <c r="C4788" t="s">
        <v>536</v>
      </c>
      <c r="D4788" t="s">
        <v>74</v>
      </c>
      <c r="E4788" t="s">
        <v>381</v>
      </c>
      <c r="F4788" t="s">
        <v>710</v>
      </c>
      <c r="G4788">
        <v>2230000</v>
      </c>
      <c r="H4788">
        <v>2214000</v>
      </c>
    </row>
    <row r="4789" spans="2:8" x14ac:dyDescent="0.25">
      <c r="B4789" t="str">
        <f t="shared" si="74"/>
        <v>KORPopulation ages 50-54, female</v>
      </c>
      <c r="C4789" t="s">
        <v>536</v>
      </c>
      <c r="D4789" t="s">
        <v>74</v>
      </c>
      <c r="E4789" t="s">
        <v>382</v>
      </c>
      <c r="F4789" t="s">
        <v>711</v>
      </c>
      <c r="G4789">
        <v>2168000</v>
      </c>
      <c r="H4789">
        <v>2174000</v>
      </c>
    </row>
    <row r="4790" spans="2:8" x14ac:dyDescent="0.25">
      <c r="B4790" t="str">
        <f t="shared" si="74"/>
        <v>KORPopulation ages 50-54, male</v>
      </c>
      <c r="C4790" t="s">
        <v>536</v>
      </c>
      <c r="D4790" t="s">
        <v>74</v>
      </c>
      <c r="E4790" t="s">
        <v>383</v>
      </c>
      <c r="F4790" t="s">
        <v>712</v>
      </c>
      <c r="G4790">
        <v>2189000</v>
      </c>
      <c r="H4790">
        <v>2196000</v>
      </c>
    </row>
    <row r="4791" spans="2:8" x14ac:dyDescent="0.25">
      <c r="B4791" t="str">
        <f t="shared" si="74"/>
        <v>KORPopulation ages 55-59, male</v>
      </c>
      <c r="C4791" t="s">
        <v>536</v>
      </c>
      <c r="D4791" t="s">
        <v>74</v>
      </c>
      <c r="E4791" t="s">
        <v>385</v>
      </c>
      <c r="F4791" t="s">
        <v>713</v>
      </c>
      <c r="G4791">
        <v>2089000</v>
      </c>
      <c r="H4791">
        <v>2109000</v>
      </c>
    </row>
    <row r="4792" spans="2:8" x14ac:dyDescent="0.25">
      <c r="B4792" t="str">
        <f t="shared" si="74"/>
        <v>KORPopulation ages 55-59, female</v>
      </c>
      <c r="C4792" t="s">
        <v>536</v>
      </c>
      <c r="D4792" t="s">
        <v>74</v>
      </c>
      <c r="E4792" t="s">
        <v>384</v>
      </c>
      <c r="F4792" t="s">
        <v>714</v>
      </c>
      <c r="G4792">
        <v>2088000</v>
      </c>
      <c r="H4792">
        <v>2105000</v>
      </c>
    </row>
    <row r="4793" spans="2:8" x14ac:dyDescent="0.25">
      <c r="B4793" t="str">
        <f t="shared" si="74"/>
        <v>KORPopulation ages 65-69, male</v>
      </c>
      <c r="C4793" t="s">
        <v>536</v>
      </c>
      <c r="D4793" t="s">
        <v>74</v>
      </c>
      <c r="E4793" t="s">
        <v>389</v>
      </c>
      <c r="F4793" t="s">
        <v>715</v>
      </c>
      <c r="G4793">
        <v>1223000</v>
      </c>
      <c r="H4793">
        <v>1304000</v>
      </c>
    </row>
    <row r="4794" spans="2:8" x14ac:dyDescent="0.25">
      <c r="B4794" t="str">
        <f t="shared" si="74"/>
        <v>KORPopulation ages 65-69, female</v>
      </c>
      <c r="C4794" t="s">
        <v>536</v>
      </c>
      <c r="D4794" t="s">
        <v>74</v>
      </c>
      <c r="E4794" t="s">
        <v>388</v>
      </c>
      <c r="F4794" t="s">
        <v>716</v>
      </c>
      <c r="G4794">
        <v>1325000</v>
      </c>
      <c r="H4794">
        <v>1409000</v>
      </c>
    </row>
    <row r="4795" spans="2:8" x14ac:dyDescent="0.25">
      <c r="B4795" t="str">
        <f t="shared" si="74"/>
        <v>KORPopulation ages 60-64, female</v>
      </c>
      <c r="C4795" t="s">
        <v>536</v>
      </c>
      <c r="D4795" t="s">
        <v>74</v>
      </c>
      <c r="E4795" t="s">
        <v>386</v>
      </c>
      <c r="F4795" t="s">
        <v>717</v>
      </c>
      <c r="G4795">
        <v>1860000</v>
      </c>
      <c r="H4795">
        <v>1943000</v>
      </c>
    </row>
    <row r="4796" spans="2:8" x14ac:dyDescent="0.25">
      <c r="B4796" t="str">
        <f t="shared" si="74"/>
        <v>KORPopulation ages 60-64, male</v>
      </c>
      <c r="C4796" t="s">
        <v>536</v>
      </c>
      <c r="D4796" t="s">
        <v>74</v>
      </c>
      <c r="E4796" t="s">
        <v>387</v>
      </c>
      <c r="F4796" t="s">
        <v>718</v>
      </c>
      <c r="G4796">
        <v>1794000</v>
      </c>
      <c r="H4796">
        <v>1880000</v>
      </c>
    </row>
    <row r="4797" spans="2:8" x14ac:dyDescent="0.25">
      <c r="B4797" t="str">
        <f t="shared" si="74"/>
        <v>KORPopulation ages 70-74, female</v>
      </c>
      <c r="C4797" t="s">
        <v>536</v>
      </c>
      <c r="D4797" t="s">
        <v>74</v>
      </c>
      <c r="E4797" t="s">
        <v>390</v>
      </c>
      <c r="F4797" t="s">
        <v>719</v>
      </c>
      <c r="G4797">
        <v>1048000</v>
      </c>
      <c r="H4797">
        <v>1082000</v>
      </c>
    </row>
    <row r="4798" spans="2:8" x14ac:dyDescent="0.25">
      <c r="B4798" t="str">
        <f t="shared" si="74"/>
        <v>KORPopulation ages 70-74, male</v>
      </c>
      <c r="C4798" t="s">
        <v>536</v>
      </c>
      <c r="D4798" t="s">
        <v>74</v>
      </c>
      <c r="E4798" t="s">
        <v>391</v>
      </c>
      <c r="F4798" t="s">
        <v>720</v>
      </c>
      <c r="G4798">
        <v>901000</v>
      </c>
      <c r="H4798">
        <v>942000</v>
      </c>
    </row>
    <row r="4799" spans="2:8" x14ac:dyDescent="0.25">
      <c r="B4799" t="str">
        <f t="shared" si="74"/>
        <v>KORPopulation ages 75-79, female</v>
      </c>
      <c r="C4799" t="s">
        <v>536</v>
      </c>
      <c r="D4799" t="s">
        <v>74</v>
      </c>
      <c r="E4799" t="s">
        <v>392</v>
      </c>
      <c r="F4799" t="s">
        <v>721</v>
      </c>
      <c r="G4799">
        <v>888000</v>
      </c>
      <c r="H4799">
        <v>909000</v>
      </c>
    </row>
    <row r="4800" spans="2:8" x14ac:dyDescent="0.25">
      <c r="B4800" t="str">
        <f t="shared" si="74"/>
        <v>KORPopulation ages 75-79, male</v>
      </c>
      <c r="C4800" t="s">
        <v>536</v>
      </c>
      <c r="D4800" t="s">
        <v>74</v>
      </c>
      <c r="E4800" t="s">
        <v>393</v>
      </c>
      <c r="F4800" t="s">
        <v>722</v>
      </c>
      <c r="G4800">
        <v>646000</v>
      </c>
      <c r="H4800">
        <v>673000</v>
      </c>
    </row>
    <row r="4801" spans="2:8" x14ac:dyDescent="0.25">
      <c r="B4801" t="str">
        <f t="shared" si="74"/>
        <v>KORPopulation ages 80 and above, female</v>
      </c>
      <c r="C4801" t="s">
        <v>536</v>
      </c>
      <c r="D4801" t="s">
        <v>74</v>
      </c>
      <c r="E4801" t="s">
        <v>394</v>
      </c>
      <c r="F4801" t="s">
        <v>723</v>
      </c>
      <c r="G4801">
        <v>1189000</v>
      </c>
      <c r="H4801">
        <v>1257000</v>
      </c>
    </row>
    <row r="4802" spans="2:8" x14ac:dyDescent="0.25">
      <c r="B4802" t="str">
        <f t="shared" si="74"/>
        <v>KORPopulation ages 80 and above, male</v>
      </c>
      <c r="C4802" t="s">
        <v>536</v>
      </c>
      <c r="D4802" t="s">
        <v>74</v>
      </c>
      <c r="E4802" t="s">
        <v>395</v>
      </c>
      <c r="F4802" t="s">
        <v>724</v>
      </c>
      <c r="G4802">
        <v>580000</v>
      </c>
      <c r="H4802">
        <v>623000</v>
      </c>
    </row>
    <row r="4803" spans="2:8" x14ac:dyDescent="0.25">
      <c r="B4803" t="str">
        <f t="shared" si="74"/>
        <v>KORPopulation, male</v>
      </c>
      <c r="C4803" t="s">
        <v>536</v>
      </c>
      <c r="D4803" t="s">
        <v>74</v>
      </c>
      <c r="E4803" t="s">
        <v>397</v>
      </c>
      <c r="F4803" t="s">
        <v>725</v>
      </c>
      <c r="G4803">
        <v>25928000</v>
      </c>
      <c r="H4803">
        <v>25992000</v>
      </c>
    </row>
    <row r="4804" spans="2:8" x14ac:dyDescent="0.25">
      <c r="B4804" t="str">
        <f t="shared" si="74"/>
        <v>KORPopulation, total</v>
      </c>
      <c r="C4804" t="s">
        <v>536</v>
      </c>
      <c r="D4804" t="s">
        <v>74</v>
      </c>
      <c r="E4804" t="s">
        <v>398</v>
      </c>
      <c r="F4804" t="s">
        <v>726</v>
      </c>
      <c r="G4804">
        <v>51782000</v>
      </c>
      <c r="H4804">
        <v>51922000</v>
      </c>
    </row>
    <row r="4805" spans="2:8" x14ac:dyDescent="0.25">
      <c r="B4805" t="str">
        <f t="shared" si="74"/>
        <v>KORPopulation, female</v>
      </c>
      <c r="C4805" t="s">
        <v>536</v>
      </c>
      <c r="D4805" t="s">
        <v>74</v>
      </c>
      <c r="E4805" t="s">
        <v>396</v>
      </c>
      <c r="F4805" t="s">
        <v>727</v>
      </c>
      <c r="G4805">
        <v>25854000</v>
      </c>
      <c r="H4805">
        <v>25929000</v>
      </c>
    </row>
    <row r="4806" spans="2:8" x14ac:dyDescent="0.25">
      <c r="B4806" t="str">
        <f t="shared" si="74"/>
        <v>KORPopulation growth (annual %)</v>
      </c>
      <c r="C4806" t="s">
        <v>536</v>
      </c>
      <c r="D4806" t="s">
        <v>74</v>
      </c>
      <c r="E4806" t="s">
        <v>399</v>
      </c>
      <c r="F4806" t="s">
        <v>728</v>
      </c>
      <c r="G4806">
        <v>0</v>
      </c>
      <c r="H4806">
        <v>0</v>
      </c>
    </row>
    <row r="4807" spans="2:8" x14ac:dyDescent="0.25">
      <c r="B4807" t="str">
        <f t="shared" ref="B4807:B4870" si="75">CONCATENATE(D4807,E4807)</f>
        <v>XKXPopulation ages 0-14, female</v>
      </c>
      <c r="C4807" t="s">
        <v>237</v>
      </c>
      <c r="D4807" t="s">
        <v>537</v>
      </c>
      <c r="E4807" t="s">
        <v>687</v>
      </c>
      <c r="F4807" t="s">
        <v>688</v>
      </c>
      <c r="G4807">
        <v>0</v>
      </c>
      <c r="H4807">
        <v>0</v>
      </c>
    </row>
    <row r="4808" spans="2:8" x14ac:dyDescent="0.25">
      <c r="B4808" t="str">
        <f t="shared" si="75"/>
        <v>XKXPopulation ages 0-14, male</v>
      </c>
      <c r="C4808" t="s">
        <v>237</v>
      </c>
      <c r="D4808" t="s">
        <v>537</v>
      </c>
      <c r="E4808" t="s">
        <v>689</v>
      </c>
      <c r="F4808" t="s">
        <v>690</v>
      </c>
      <c r="G4808">
        <v>0</v>
      </c>
      <c r="H4808">
        <v>0</v>
      </c>
    </row>
    <row r="4809" spans="2:8" x14ac:dyDescent="0.25">
      <c r="B4809" t="str">
        <f t="shared" si="75"/>
        <v>XKXPopulation ages 00-04, female</v>
      </c>
      <c r="C4809" t="s">
        <v>237</v>
      </c>
      <c r="D4809" t="s">
        <v>537</v>
      </c>
      <c r="E4809" t="s">
        <v>362</v>
      </c>
      <c r="F4809" t="s">
        <v>691</v>
      </c>
      <c r="G4809">
        <v>0</v>
      </c>
      <c r="H4809">
        <v>0</v>
      </c>
    </row>
    <row r="4810" spans="2:8" x14ac:dyDescent="0.25">
      <c r="B4810" t="str">
        <f t="shared" si="75"/>
        <v>XKXPopulation ages 00-04, male</v>
      </c>
      <c r="C4810" t="s">
        <v>237</v>
      </c>
      <c r="D4810" t="s">
        <v>537</v>
      </c>
      <c r="E4810" t="s">
        <v>363</v>
      </c>
      <c r="F4810" t="s">
        <v>692</v>
      </c>
      <c r="G4810">
        <v>0</v>
      </c>
      <c r="H4810">
        <v>0</v>
      </c>
    </row>
    <row r="4811" spans="2:8" x14ac:dyDescent="0.25">
      <c r="B4811" t="str">
        <f t="shared" si="75"/>
        <v>XKXPopulation ages 05-09, female</v>
      </c>
      <c r="C4811" t="s">
        <v>237</v>
      </c>
      <c r="D4811" t="s">
        <v>537</v>
      </c>
      <c r="E4811" t="s">
        <v>364</v>
      </c>
      <c r="F4811" t="s">
        <v>693</v>
      </c>
      <c r="G4811">
        <v>0</v>
      </c>
      <c r="H4811">
        <v>0</v>
      </c>
    </row>
    <row r="4812" spans="2:8" x14ac:dyDescent="0.25">
      <c r="B4812" t="str">
        <f t="shared" si="75"/>
        <v>XKXPopulation ages 05-09, male</v>
      </c>
      <c r="C4812" t="s">
        <v>237</v>
      </c>
      <c r="D4812" t="s">
        <v>537</v>
      </c>
      <c r="E4812" t="s">
        <v>365</v>
      </c>
      <c r="F4812" t="s">
        <v>694</v>
      </c>
      <c r="G4812">
        <v>0</v>
      </c>
      <c r="H4812">
        <v>0</v>
      </c>
    </row>
    <row r="4813" spans="2:8" x14ac:dyDescent="0.25">
      <c r="B4813" t="str">
        <f t="shared" si="75"/>
        <v>XKXPopulation ages 10-14, female</v>
      </c>
      <c r="C4813" t="s">
        <v>237</v>
      </c>
      <c r="D4813" t="s">
        <v>537</v>
      </c>
      <c r="E4813" t="s">
        <v>366</v>
      </c>
      <c r="F4813" t="s">
        <v>695</v>
      </c>
      <c r="G4813">
        <v>0</v>
      </c>
      <c r="H4813">
        <v>0</v>
      </c>
    </row>
    <row r="4814" spans="2:8" x14ac:dyDescent="0.25">
      <c r="B4814" t="str">
        <f t="shared" si="75"/>
        <v>XKXPopulation ages 10-14, male</v>
      </c>
      <c r="C4814" t="s">
        <v>237</v>
      </c>
      <c r="D4814" t="s">
        <v>537</v>
      </c>
      <c r="E4814" t="s">
        <v>367</v>
      </c>
      <c r="F4814" t="s">
        <v>696</v>
      </c>
      <c r="G4814">
        <v>0</v>
      </c>
      <c r="H4814">
        <v>0</v>
      </c>
    </row>
    <row r="4815" spans="2:8" x14ac:dyDescent="0.25">
      <c r="B4815" t="str">
        <f t="shared" si="75"/>
        <v>XKXPopulation ages 15-19, female</v>
      </c>
      <c r="C4815" t="s">
        <v>237</v>
      </c>
      <c r="D4815" t="s">
        <v>537</v>
      </c>
      <c r="E4815" t="s">
        <v>368</v>
      </c>
      <c r="F4815" t="s">
        <v>697</v>
      </c>
      <c r="G4815">
        <v>0</v>
      </c>
      <c r="H4815">
        <v>0</v>
      </c>
    </row>
    <row r="4816" spans="2:8" x14ac:dyDescent="0.25">
      <c r="B4816" t="str">
        <f t="shared" si="75"/>
        <v>XKXPopulation ages 15-19, male</v>
      </c>
      <c r="C4816" t="s">
        <v>237</v>
      </c>
      <c r="D4816" t="s">
        <v>537</v>
      </c>
      <c r="E4816" t="s">
        <v>369</v>
      </c>
      <c r="F4816" t="s">
        <v>698</v>
      </c>
      <c r="G4816">
        <v>0</v>
      </c>
      <c r="H4816">
        <v>0</v>
      </c>
    </row>
    <row r="4817" spans="2:8" x14ac:dyDescent="0.25">
      <c r="B4817" t="str">
        <f t="shared" si="75"/>
        <v>XKXPopulation ages 20-24, female</v>
      </c>
      <c r="C4817" t="s">
        <v>237</v>
      </c>
      <c r="D4817" t="s">
        <v>537</v>
      </c>
      <c r="E4817" t="s">
        <v>370</v>
      </c>
      <c r="F4817" t="s">
        <v>699</v>
      </c>
      <c r="G4817">
        <v>0</v>
      </c>
      <c r="H4817">
        <v>0</v>
      </c>
    </row>
    <row r="4818" spans="2:8" x14ac:dyDescent="0.25">
      <c r="B4818" t="str">
        <f t="shared" si="75"/>
        <v>XKXPopulation ages 20-24, male</v>
      </c>
      <c r="C4818" t="s">
        <v>237</v>
      </c>
      <c r="D4818" t="s">
        <v>537</v>
      </c>
      <c r="E4818" t="s">
        <v>371</v>
      </c>
      <c r="F4818" t="s">
        <v>700</v>
      </c>
      <c r="G4818">
        <v>0</v>
      </c>
      <c r="H4818">
        <v>0</v>
      </c>
    </row>
    <row r="4819" spans="2:8" x14ac:dyDescent="0.25">
      <c r="B4819" t="str">
        <f t="shared" si="75"/>
        <v>XKXPopulation ages 25-29, female</v>
      </c>
      <c r="C4819" t="s">
        <v>237</v>
      </c>
      <c r="D4819" t="s">
        <v>537</v>
      </c>
      <c r="E4819" t="s">
        <v>372</v>
      </c>
      <c r="F4819" t="s">
        <v>701</v>
      </c>
      <c r="G4819">
        <v>0</v>
      </c>
      <c r="H4819">
        <v>0</v>
      </c>
    </row>
    <row r="4820" spans="2:8" x14ac:dyDescent="0.25">
      <c r="B4820" t="str">
        <f t="shared" si="75"/>
        <v>XKXPopulation ages 25-29, male</v>
      </c>
      <c r="C4820" t="s">
        <v>237</v>
      </c>
      <c r="D4820" t="s">
        <v>537</v>
      </c>
      <c r="E4820" t="s">
        <v>373</v>
      </c>
      <c r="F4820" t="s">
        <v>702</v>
      </c>
      <c r="G4820">
        <v>0</v>
      </c>
      <c r="H4820">
        <v>0</v>
      </c>
    </row>
    <row r="4821" spans="2:8" x14ac:dyDescent="0.25">
      <c r="B4821" t="str">
        <f t="shared" si="75"/>
        <v>XKXPopulation ages 30-34, female</v>
      </c>
      <c r="C4821" t="s">
        <v>237</v>
      </c>
      <c r="D4821" t="s">
        <v>537</v>
      </c>
      <c r="E4821" t="s">
        <v>374</v>
      </c>
      <c r="F4821" t="s">
        <v>703</v>
      </c>
      <c r="G4821">
        <v>0</v>
      </c>
      <c r="H4821">
        <v>0</v>
      </c>
    </row>
    <row r="4822" spans="2:8" x14ac:dyDescent="0.25">
      <c r="B4822" t="str">
        <f t="shared" si="75"/>
        <v>XKXPopulation ages 30-34, male</v>
      </c>
      <c r="C4822" t="s">
        <v>237</v>
      </c>
      <c r="D4822" t="s">
        <v>537</v>
      </c>
      <c r="E4822" t="s">
        <v>375</v>
      </c>
      <c r="F4822" t="s">
        <v>704</v>
      </c>
      <c r="G4822">
        <v>0</v>
      </c>
      <c r="H4822">
        <v>0</v>
      </c>
    </row>
    <row r="4823" spans="2:8" x14ac:dyDescent="0.25">
      <c r="B4823" t="str">
        <f t="shared" si="75"/>
        <v>XKXPopulation ages 35-39, female</v>
      </c>
      <c r="C4823" t="s">
        <v>237</v>
      </c>
      <c r="D4823" t="s">
        <v>537</v>
      </c>
      <c r="E4823" t="s">
        <v>376</v>
      </c>
      <c r="F4823" t="s">
        <v>705</v>
      </c>
      <c r="G4823">
        <v>0</v>
      </c>
      <c r="H4823">
        <v>0</v>
      </c>
    </row>
    <row r="4824" spans="2:8" x14ac:dyDescent="0.25">
      <c r="B4824" t="str">
        <f t="shared" si="75"/>
        <v>XKXPopulation ages 35-39, male</v>
      </c>
      <c r="C4824" t="s">
        <v>237</v>
      </c>
      <c r="D4824" t="s">
        <v>537</v>
      </c>
      <c r="E4824" t="s">
        <v>377</v>
      </c>
      <c r="F4824" t="s">
        <v>706</v>
      </c>
      <c r="G4824">
        <v>0</v>
      </c>
      <c r="H4824">
        <v>0</v>
      </c>
    </row>
    <row r="4825" spans="2:8" x14ac:dyDescent="0.25">
      <c r="B4825" t="str">
        <f t="shared" si="75"/>
        <v>XKXPopulation ages 40-44, female</v>
      </c>
      <c r="C4825" t="s">
        <v>237</v>
      </c>
      <c r="D4825" t="s">
        <v>537</v>
      </c>
      <c r="E4825" t="s">
        <v>378</v>
      </c>
      <c r="F4825" t="s">
        <v>707</v>
      </c>
      <c r="G4825">
        <v>0</v>
      </c>
      <c r="H4825">
        <v>0</v>
      </c>
    </row>
    <row r="4826" spans="2:8" x14ac:dyDescent="0.25">
      <c r="B4826" t="str">
        <f t="shared" si="75"/>
        <v>XKXPopulation ages 40-44, male</v>
      </c>
      <c r="C4826" t="s">
        <v>237</v>
      </c>
      <c r="D4826" t="s">
        <v>537</v>
      </c>
      <c r="E4826" t="s">
        <v>379</v>
      </c>
      <c r="F4826" t="s">
        <v>708</v>
      </c>
      <c r="G4826">
        <v>0</v>
      </c>
      <c r="H4826">
        <v>0</v>
      </c>
    </row>
    <row r="4827" spans="2:8" x14ac:dyDescent="0.25">
      <c r="B4827" t="str">
        <f t="shared" si="75"/>
        <v>XKXPopulation ages 45-49, female</v>
      </c>
      <c r="C4827" t="s">
        <v>237</v>
      </c>
      <c r="D4827" t="s">
        <v>537</v>
      </c>
      <c r="E4827" t="s">
        <v>380</v>
      </c>
      <c r="F4827" t="s">
        <v>709</v>
      </c>
      <c r="G4827">
        <v>0</v>
      </c>
      <c r="H4827">
        <v>0</v>
      </c>
    </row>
    <row r="4828" spans="2:8" x14ac:dyDescent="0.25">
      <c r="B4828" t="str">
        <f t="shared" si="75"/>
        <v>XKXPopulation ages 45-49, male</v>
      </c>
      <c r="C4828" t="s">
        <v>237</v>
      </c>
      <c r="D4828" t="s">
        <v>537</v>
      </c>
      <c r="E4828" t="s">
        <v>381</v>
      </c>
      <c r="F4828" t="s">
        <v>710</v>
      </c>
      <c r="G4828">
        <v>0</v>
      </c>
      <c r="H4828">
        <v>0</v>
      </c>
    </row>
    <row r="4829" spans="2:8" x14ac:dyDescent="0.25">
      <c r="B4829" t="str">
        <f t="shared" si="75"/>
        <v>XKXPopulation ages 50-54, female</v>
      </c>
      <c r="C4829" t="s">
        <v>237</v>
      </c>
      <c r="D4829" t="s">
        <v>537</v>
      </c>
      <c r="E4829" t="s">
        <v>382</v>
      </c>
      <c r="F4829" t="s">
        <v>711</v>
      </c>
      <c r="G4829">
        <v>0</v>
      </c>
      <c r="H4829">
        <v>0</v>
      </c>
    </row>
    <row r="4830" spans="2:8" x14ac:dyDescent="0.25">
      <c r="B4830" t="str">
        <f t="shared" si="75"/>
        <v>XKXPopulation ages 50-54, male</v>
      </c>
      <c r="C4830" t="s">
        <v>237</v>
      </c>
      <c r="D4830" t="s">
        <v>537</v>
      </c>
      <c r="E4830" t="s">
        <v>383</v>
      </c>
      <c r="F4830" t="s">
        <v>712</v>
      </c>
      <c r="G4830">
        <v>0</v>
      </c>
      <c r="H4830">
        <v>0</v>
      </c>
    </row>
    <row r="4831" spans="2:8" x14ac:dyDescent="0.25">
      <c r="B4831" t="str">
        <f t="shared" si="75"/>
        <v>XKXPopulation ages 55-59, male</v>
      </c>
      <c r="C4831" t="s">
        <v>237</v>
      </c>
      <c r="D4831" t="s">
        <v>537</v>
      </c>
      <c r="E4831" t="s">
        <v>385</v>
      </c>
      <c r="F4831" t="s">
        <v>713</v>
      </c>
      <c r="G4831">
        <v>0</v>
      </c>
      <c r="H4831">
        <v>0</v>
      </c>
    </row>
    <row r="4832" spans="2:8" x14ac:dyDescent="0.25">
      <c r="B4832" t="str">
        <f t="shared" si="75"/>
        <v>XKXPopulation ages 55-59, female</v>
      </c>
      <c r="C4832" t="s">
        <v>237</v>
      </c>
      <c r="D4832" t="s">
        <v>537</v>
      </c>
      <c r="E4832" t="s">
        <v>384</v>
      </c>
      <c r="F4832" t="s">
        <v>714</v>
      </c>
      <c r="G4832">
        <v>0</v>
      </c>
      <c r="H4832">
        <v>0</v>
      </c>
    </row>
    <row r="4833" spans="2:8" x14ac:dyDescent="0.25">
      <c r="B4833" t="str">
        <f t="shared" si="75"/>
        <v>XKXPopulation ages 65-69, male</v>
      </c>
      <c r="C4833" t="s">
        <v>237</v>
      </c>
      <c r="D4833" t="s">
        <v>537</v>
      </c>
      <c r="E4833" t="s">
        <v>389</v>
      </c>
      <c r="F4833" t="s">
        <v>715</v>
      </c>
      <c r="G4833">
        <v>0</v>
      </c>
      <c r="H4833">
        <v>0</v>
      </c>
    </row>
    <row r="4834" spans="2:8" x14ac:dyDescent="0.25">
      <c r="B4834" t="str">
        <f t="shared" si="75"/>
        <v>XKXPopulation ages 65-69, female</v>
      </c>
      <c r="C4834" t="s">
        <v>237</v>
      </c>
      <c r="D4834" t="s">
        <v>537</v>
      </c>
      <c r="E4834" t="s">
        <v>388</v>
      </c>
      <c r="F4834" t="s">
        <v>716</v>
      </c>
      <c r="G4834">
        <v>0</v>
      </c>
      <c r="H4834">
        <v>0</v>
      </c>
    </row>
    <row r="4835" spans="2:8" x14ac:dyDescent="0.25">
      <c r="B4835" t="str">
        <f t="shared" si="75"/>
        <v>XKXPopulation ages 60-64, female</v>
      </c>
      <c r="C4835" t="s">
        <v>237</v>
      </c>
      <c r="D4835" t="s">
        <v>537</v>
      </c>
      <c r="E4835" t="s">
        <v>386</v>
      </c>
      <c r="F4835" t="s">
        <v>717</v>
      </c>
      <c r="G4835">
        <v>0</v>
      </c>
      <c r="H4835">
        <v>0</v>
      </c>
    </row>
    <row r="4836" spans="2:8" x14ac:dyDescent="0.25">
      <c r="B4836" t="str">
        <f t="shared" si="75"/>
        <v>XKXPopulation ages 60-64, male</v>
      </c>
      <c r="C4836" t="s">
        <v>237</v>
      </c>
      <c r="D4836" t="s">
        <v>537</v>
      </c>
      <c r="E4836" t="s">
        <v>387</v>
      </c>
      <c r="F4836" t="s">
        <v>718</v>
      </c>
      <c r="G4836">
        <v>0</v>
      </c>
      <c r="H4836">
        <v>0</v>
      </c>
    </row>
    <row r="4837" spans="2:8" x14ac:dyDescent="0.25">
      <c r="B4837" t="str">
        <f t="shared" si="75"/>
        <v>XKXPopulation ages 70-74, female</v>
      </c>
      <c r="C4837" t="s">
        <v>237</v>
      </c>
      <c r="D4837" t="s">
        <v>537</v>
      </c>
      <c r="E4837" t="s">
        <v>390</v>
      </c>
      <c r="F4837" t="s">
        <v>719</v>
      </c>
      <c r="G4837">
        <v>0</v>
      </c>
      <c r="H4837">
        <v>0</v>
      </c>
    </row>
    <row r="4838" spans="2:8" x14ac:dyDescent="0.25">
      <c r="B4838" t="str">
        <f t="shared" si="75"/>
        <v>XKXPopulation ages 70-74, male</v>
      </c>
      <c r="C4838" t="s">
        <v>237</v>
      </c>
      <c r="D4838" t="s">
        <v>537</v>
      </c>
      <c r="E4838" t="s">
        <v>391</v>
      </c>
      <c r="F4838" t="s">
        <v>720</v>
      </c>
      <c r="G4838">
        <v>0</v>
      </c>
      <c r="H4838">
        <v>0</v>
      </c>
    </row>
    <row r="4839" spans="2:8" x14ac:dyDescent="0.25">
      <c r="B4839" t="str">
        <f t="shared" si="75"/>
        <v>XKXPopulation ages 75-79, female</v>
      </c>
      <c r="C4839" t="s">
        <v>237</v>
      </c>
      <c r="D4839" t="s">
        <v>537</v>
      </c>
      <c r="E4839" t="s">
        <v>392</v>
      </c>
      <c r="F4839" t="s">
        <v>721</v>
      </c>
      <c r="G4839">
        <v>0</v>
      </c>
      <c r="H4839">
        <v>0</v>
      </c>
    </row>
    <row r="4840" spans="2:8" x14ac:dyDescent="0.25">
      <c r="B4840" t="str">
        <f t="shared" si="75"/>
        <v>XKXPopulation ages 75-79, male</v>
      </c>
      <c r="C4840" t="s">
        <v>237</v>
      </c>
      <c r="D4840" t="s">
        <v>537</v>
      </c>
      <c r="E4840" t="s">
        <v>393</v>
      </c>
      <c r="F4840" t="s">
        <v>722</v>
      </c>
      <c r="G4840">
        <v>0</v>
      </c>
      <c r="H4840">
        <v>0</v>
      </c>
    </row>
    <row r="4841" spans="2:8" x14ac:dyDescent="0.25">
      <c r="B4841" t="str">
        <f t="shared" si="75"/>
        <v>XKXPopulation ages 80 and above, female</v>
      </c>
      <c r="C4841" t="s">
        <v>237</v>
      </c>
      <c r="D4841" t="s">
        <v>537</v>
      </c>
      <c r="E4841" t="s">
        <v>394</v>
      </c>
      <c r="F4841" t="s">
        <v>723</v>
      </c>
      <c r="G4841">
        <v>0</v>
      </c>
      <c r="H4841">
        <v>0</v>
      </c>
    </row>
    <row r="4842" spans="2:8" x14ac:dyDescent="0.25">
      <c r="B4842" t="str">
        <f t="shared" si="75"/>
        <v>XKXPopulation ages 80 and above, male</v>
      </c>
      <c r="C4842" t="s">
        <v>237</v>
      </c>
      <c r="D4842" t="s">
        <v>537</v>
      </c>
      <c r="E4842" t="s">
        <v>395</v>
      </c>
      <c r="F4842" t="s">
        <v>724</v>
      </c>
      <c r="G4842">
        <v>0</v>
      </c>
      <c r="H4842">
        <v>0</v>
      </c>
    </row>
    <row r="4843" spans="2:8" x14ac:dyDescent="0.25">
      <c r="B4843" t="str">
        <f t="shared" si="75"/>
        <v>XKXPopulation, male</v>
      </c>
      <c r="C4843" t="s">
        <v>237</v>
      </c>
      <c r="D4843" t="s">
        <v>537</v>
      </c>
      <c r="E4843" t="s">
        <v>397</v>
      </c>
      <c r="F4843" t="s">
        <v>725</v>
      </c>
      <c r="G4843">
        <v>0</v>
      </c>
      <c r="H4843">
        <v>0</v>
      </c>
    </row>
    <row r="4844" spans="2:8" x14ac:dyDescent="0.25">
      <c r="B4844" t="str">
        <f t="shared" si="75"/>
        <v>XKXPopulation, total</v>
      </c>
      <c r="C4844" t="s">
        <v>237</v>
      </c>
      <c r="D4844" t="s">
        <v>537</v>
      </c>
      <c r="E4844" t="s">
        <v>398</v>
      </c>
      <c r="F4844" t="s">
        <v>726</v>
      </c>
      <c r="G4844">
        <v>1857000</v>
      </c>
      <c r="H4844">
        <v>1870000</v>
      </c>
    </row>
    <row r="4845" spans="2:8" x14ac:dyDescent="0.25">
      <c r="B4845" t="str">
        <f t="shared" si="75"/>
        <v>XKXPopulation, female</v>
      </c>
      <c r="C4845" t="s">
        <v>237</v>
      </c>
      <c r="D4845" t="s">
        <v>537</v>
      </c>
      <c r="E4845" t="s">
        <v>396</v>
      </c>
      <c r="F4845" t="s">
        <v>727</v>
      </c>
      <c r="G4845">
        <v>0</v>
      </c>
      <c r="H4845">
        <v>0</v>
      </c>
    </row>
    <row r="4846" spans="2:8" x14ac:dyDescent="0.25">
      <c r="B4846" t="str">
        <f t="shared" si="75"/>
        <v>XKXPopulation growth (annual %)</v>
      </c>
      <c r="C4846" t="s">
        <v>237</v>
      </c>
      <c r="D4846" t="s">
        <v>537</v>
      </c>
      <c r="E4846" t="s">
        <v>399</v>
      </c>
      <c r="F4846" t="s">
        <v>728</v>
      </c>
      <c r="G4846">
        <v>0</v>
      </c>
      <c r="H4846">
        <v>0</v>
      </c>
    </row>
    <row r="4847" spans="2:8" x14ac:dyDescent="0.25">
      <c r="B4847" t="str">
        <f t="shared" si="75"/>
        <v>KWTPopulation ages 0-14, female</v>
      </c>
      <c r="C4847" t="s">
        <v>538</v>
      </c>
      <c r="D4847" t="s">
        <v>75</v>
      </c>
      <c r="E4847" t="s">
        <v>687</v>
      </c>
      <c r="F4847" t="s">
        <v>688</v>
      </c>
      <c r="G4847">
        <v>421000</v>
      </c>
      <c r="H4847">
        <v>425000</v>
      </c>
    </row>
    <row r="4848" spans="2:8" x14ac:dyDescent="0.25">
      <c r="B4848" t="str">
        <f t="shared" si="75"/>
        <v>KWTPopulation ages 0-14, male</v>
      </c>
      <c r="C4848" t="s">
        <v>538</v>
      </c>
      <c r="D4848" t="s">
        <v>75</v>
      </c>
      <c r="E4848" t="s">
        <v>689</v>
      </c>
      <c r="F4848" t="s">
        <v>690</v>
      </c>
      <c r="G4848">
        <v>486000</v>
      </c>
      <c r="H4848">
        <v>492000</v>
      </c>
    </row>
    <row r="4849" spans="2:8" x14ac:dyDescent="0.25">
      <c r="B4849" t="str">
        <f t="shared" si="75"/>
        <v>KWTPopulation ages 00-04, female</v>
      </c>
      <c r="C4849" t="s">
        <v>538</v>
      </c>
      <c r="D4849" t="s">
        <v>75</v>
      </c>
      <c r="E4849" t="s">
        <v>362</v>
      </c>
      <c r="F4849" t="s">
        <v>691</v>
      </c>
      <c r="G4849">
        <v>144000</v>
      </c>
      <c r="H4849">
        <v>141000</v>
      </c>
    </row>
    <row r="4850" spans="2:8" x14ac:dyDescent="0.25">
      <c r="B4850" t="str">
        <f t="shared" si="75"/>
        <v>KWTPopulation ages 00-04, male</v>
      </c>
      <c r="C4850" t="s">
        <v>538</v>
      </c>
      <c r="D4850" t="s">
        <v>75</v>
      </c>
      <c r="E4850" t="s">
        <v>363</v>
      </c>
      <c r="F4850" t="s">
        <v>692</v>
      </c>
      <c r="G4850">
        <v>153000</v>
      </c>
      <c r="H4850">
        <v>148000</v>
      </c>
    </row>
    <row r="4851" spans="2:8" x14ac:dyDescent="0.25">
      <c r="B4851" t="str">
        <f t="shared" si="75"/>
        <v>KWTPopulation ages 05-09, female</v>
      </c>
      <c r="C4851" t="s">
        <v>538</v>
      </c>
      <c r="D4851" t="s">
        <v>75</v>
      </c>
      <c r="E4851" t="s">
        <v>364</v>
      </c>
      <c r="F4851" t="s">
        <v>693</v>
      </c>
      <c r="G4851">
        <v>147000</v>
      </c>
      <c r="H4851">
        <v>148000</v>
      </c>
    </row>
    <row r="4852" spans="2:8" x14ac:dyDescent="0.25">
      <c r="B4852" t="str">
        <f t="shared" si="75"/>
        <v>KWTPopulation ages 05-09, male</v>
      </c>
      <c r="C4852" t="s">
        <v>538</v>
      </c>
      <c r="D4852" t="s">
        <v>75</v>
      </c>
      <c r="E4852" t="s">
        <v>365</v>
      </c>
      <c r="F4852" t="s">
        <v>694</v>
      </c>
      <c r="G4852">
        <v>171000</v>
      </c>
      <c r="H4852">
        <v>171000</v>
      </c>
    </row>
    <row r="4853" spans="2:8" x14ac:dyDescent="0.25">
      <c r="B4853" t="str">
        <f t="shared" si="75"/>
        <v>KWTPopulation ages 10-14, female</v>
      </c>
      <c r="C4853" t="s">
        <v>538</v>
      </c>
      <c r="D4853" t="s">
        <v>75</v>
      </c>
      <c r="E4853" t="s">
        <v>366</v>
      </c>
      <c r="F4853" t="s">
        <v>695</v>
      </c>
      <c r="G4853">
        <v>129000</v>
      </c>
      <c r="H4853">
        <v>135000</v>
      </c>
    </row>
    <row r="4854" spans="2:8" x14ac:dyDescent="0.25">
      <c r="B4854" t="str">
        <f t="shared" si="75"/>
        <v>KWTPopulation ages 10-14, male</v>
      </c>
      <c r="C4854" t="s">
        <v>538</v>
      </c>
      <c r="D4854" t="s">
        <v>75</v>
      </c>
      <c r="E4854" t="s">
        <v>367</v>
      </c>
      <c r="F4854" t="s">
        <v>696</v>
      </c>
      <c r="G4854">
        <v>162000</v>
      </c>
      <c r="H4854">
        <v>173000</v>
      </c>
    </row>
    <row r="4855" spans="2:8" x14ac:dyDescent="0.25">
      <c r="B4855" t="str">
        <f t="shared" si="75"/>
        <v>KWTPopulation ages 15-19, female</v>
      </c>
      <c r="C4855" t="s">
        <v>538</v>
      </c>
      <c r="D4855" t="s">
        <v>75</v>
      </c>
      <c r="E4855" t="s">
        <v>368</v>
      </c>
      <c r="F4855" t="s">
        <v>697</v>
      </c>
      <c r="G4855">
        <v>99000</v>
      </c>
      <c r="H4855">
        <v>101000</v>
      </c>
    </row>
    <row r="4856" spans="2:8" x14ac:dyDescent="0.25">
      <c r="B4856" t="str">
        <f t="shared" si="75"/>
        <v>KWTPopulation ages 15-19, male</v>
      </c>
      <c r="C4856" t="s">
        <v>538</v>
      </c>
      <c r="D4856" t="s">
        <v>75</v>
      </c>
      <c r="E4856" t="s">
        <v>369</v>
      </c>
      <c r="F4856" t="s">
        <v>698</v>
      </c>
      <c r="G4856">
        <v>119000</v>
      </c>
      <c r="H4856">
        <v>124000</v>
      </c>
    </row>
    <row r="4857" spans="2:8" x14ac:dyDescent="0.25">
      <c r="B4857" t="str">
        <f t="shared" si="75"/>
        <v>KWTPopulation ages 20-24, female</v>
      </c>
      <c r="C4857" t="s">
        <v>538</v>
      </c>
      <c r="D4857" t="s">
        <v>75</v>
      </c>
      <c r="E4857" t="s">
        <v>370</v>
      </c>
      <c r="F4857" t="s">
        <v>699</v>
      </c>
      <c r="G4857">
        <v>94000</v>
      </c>
      <c r="H4857">
        <v>94000</v>
      </c>
    </row>
    <row r="4858" spans="2:8" x14ac:dyDescent="0.25">
      <c r="B4858" t="str">
        <f t="shared" si="75"/>
        <v>KWTPopulation ages 20-24, male</v>
      </c>
      <c r="C4858" t="s">
        <v>538</v>
      </c>
      <c r="D4858" t="s">
        <v>75</v>
      </c>
      <c r="E4858" t="s">
        <v>371</v>
      </c>
      <c r="F4858" t="s">
        <v>700</v>
      </c>
      <c r="G4858">
        <v>117000</v>
      </c>
      <c r="H4858">
        <v>113000</v>
      </c>
    </row>
    <row r="4859" spans="2:8" x14ac:dyDescent="0.25">
      <c r="B4859" t="str">
        <f t="shared" si="75"/>
        <v>KWTPopulation ages 25-29, female</v>
      </c>
      <c r="C4859" t="s">
        <v>538</v>
      </c>
      <c r="D4859" t="s">
        <v>75</v>
      </c>
      <c r="E4859" t="s">
        <v>372</v>
      </c>
      <c r="F4859" t="s">
        <v>701</v>
      </c>
      <c r="G4859">
        <v>97000</v>
      </c>
      <c r="H4859">
        <v>89000</v>
      </c>
    </row>
    <row r="4860" spans="2:8" x14ac:dyDescent="0.25">
      <c r="B4860" t="str">
        <f t="shared" si="75"/>
        <v>KWTPopulation ages 25-29, male</v>
      </c>
      <c r="C4860" t="s">
        <v>538</v>
      </c>
      <c r="D4860" t="s">
        <v>75</v>
      </c>
      <c r="E4860" t="s">
        <v>373</v>
      </c>
      <c r="F4860" t="s">
        <v>702</v>
      </c>
      <c r="G4860">
        <v>155000</v>
      </c>
      <c r="H4860">
        <v>148000</v>
      </c>
    </row>
    <row r="4861" spans="2:8" x14ac:dyDescent="0.25">
      <c r="B4861" t="str">
        <f t="shared" si="75"/>
        <v>KWTPopulation ages 30-34, female</v>
      </c>
      <c r="C4861" t="s">
        <v>538</v>
      </c>
      <c r="D4861" t="s">
        <v>75</v>
      </c>
      <c r="E4861" t="s">
        <v>374</v>
      </c>
      <c r="F4861" t="s">
        <v>703</v>
      </c>
      <c r="G4861">
        <v>153000</v>
      </c>
      <c r="H4861">
        <v>140000</v>
      </c>
    </row>
    <row r="4862" spans="2:8" x14ac:dyDescent="0.25">
      <c r="B4862" t="str">
        <f t="shared" si="75"/>
        <v>KWTPopulation ages 30-34, male</v>
      </c>
      <c r="C4862" t="s">
        <v>538</v>
      </c>
      <c r="D4862" t="s">
        <v>75</v>
      </c>
      <c r="E4862" t="s">
        <v>375</v>
      </c>
      <c r="F4862" t="s">
        <v>704</v>
      </c>
      <c r="G4862">
        <v>241000</v>
      </c>
      <c r="H4862">
        <v>226000</v>
      </c>
    </row>
    <row r="4863" spans="2:8" x14ac:dyDescent="0.25">
      <c r="B4863" t="str">
        <f t="shared" si="75"/>
        <v>KWTPopulation ages 35-39, female</v>
      </c>
      <c r="C4863" t="s">
        <v>538</v>
      </c>
      <c r="D4863" t="s">
        <v>75</v>
      </c>
      <c r="E4863" t="s">
        <v>376</v>
      </c>
      <c r="F4863" t="s">
        <v>705</v>
      </c>
      <c r="G4863">
        <v>189000</v>
      </c>
      <c r="H4863">
        <v>186000</v>
      </c>
    </row>
    <row r="4864" spans="2:8" x14ac:dyDescent="0.25">
      <c r="B4864" t="str">
        <f t="shared" si="75"/>
        <v>KWTPopulation ages 35-39, male</v>
      </c>
      <c r="C4864" t="s">
        <v>538</v>
      </c>
      <c r="D4864" t="s">
        <v>75</v>
      </c>
      <c r="E4864" t="s">
        <v>377</v>
      </c>
      <c r="F4864" t="s">
        <v>706</v>
      </c>
      <c r="G4864">
        <v>333000</v>
      </c>
      <c r="H4864">
        <v>326000</v>
      </c>
    </row>
    <row r="4865" spans="2:8" x14ac:dyDescent="0.25">
      <c r="B4865" t="str">
        <f t="shared" si="75"/>
        <v>KWTPopulation ages 40-44, female</v>
      </c>
      <c r="C4865" t="s">
        <v>538</v>
      </c>
      <c r="D4865" t="s">
        <v>75</v>
      </c>
      <c r="E4865" t="s">
        <v>378</v>
      </c>
      <c r="F4865" t="s">
        <v>707</v>
      </c>
      <c r="G4865">
        <v>173000</v>
      </c>
      <c r="H4865">
        <v>174000</v>
      </c>
    </row>
    <row r="4866" spans="2:8" x14ac:dyDescent="0.25">
      <c r="B4866" t="str">
        <f t="shared" si="75"/>
        <v>KWTPopulation ages 40-44, male</v>
      </c>
      <c r="C4866" t="s">
        <v>538</v>
      </c>
      <c r="D4866" t="s">
        <v>75</v>
      </c>
      <c r="E4866" t="s">
        <v>379</v>
      </c>
      <c r="F4866" t="s">
        <v>708</v>
      </c>
      <c r="G4866">
        <v>332000</v>
      </c>
      <c r="H4866">
        <v>340000</v>
      </c>
    </row>
    <row r="4867" spans="2:8" x14ac:dyDescent="0.25">
      <c r="B4867" t="str">
        <f t="shared" si="75"/>
        <v>KWTPopulation ages 45-49, female</v>
      </c>
      <c r="C4867" t="s">
        <v>538</v>
      </c>
      <c r="D4867" t="s">
        <v>75</v>
      </c>
      <c r="E4867" t="s">
        <v>380</v>
      </c>
      <c r="F4867" t="s">
        <v>709</v>
      </c>
      <c r="G4867">
        <v>156000</v>
      </c>
      <c r="H4867">
        <v>161000</v>
      </c>
    </row>
    <row r="4868" spans="2:8" x14ac:dyDescent="0.25">
      <c r="B4868" t="str">
        <f t="shared" si="75"/>
        <v>KWTPopulation ages 45-49, male</v>
      </c>
      <c r="C4868" t="s">
        <v>538</v>
      </c>
      <c r="D4868" t="s">
        <v>75</v>
      </c>
      <c r="E4868" t="s">
        <v>381</v>
      </c>
      <c r="F4868" t="s">
        <v>710</v>
      </c>
      <c r="G4868">
        <v>276000</v>
      </c>
      <c r="H4868">
        <v>290000</v>
      </c>
    </row>
    <row r="4869" spans="2:8" x14ac:dyDescent="0.25">
      <c r="B4869" t="str">
        <f t="shared" si="75"/>
        <v>KWTPopulation ages 50-54, female</v>
      </c>
      <c r="C4869" t="s">
        <v>538</v>
      </c>
      <c r="D4869" t="s">
        <v>75</v>
      </c>
      <c r="E4869" t="s">
        <v>382</v>
      </c>
      <c r="F4869" t="s">
        <v>711</v>
      </c>
      <c r="G4869">
        <v>110000</v>
      </c>
      <c r="H4869">
        <v>119000</v>
      </c>
    </row>
    <row r="4870" spans="2:8" x14ac:dyDescent="0.25">
      <c r="B4870" t="str">
        <f t="shared" si="75"/>
        <v>KWTPopulation ages 50-54, male</v>
      </c>
      <c r="C4870" t="s">
        <v>538</v>
      </c>
      <c r="D4870" t="s">
        <v>75</v>
      </c>
      <c r="E4870" t="s">
        <v>383</v>
      </c>
      <c r="F4870" t="s">
        <v>712</v>
      </c>
      <c r="G4870">
        <v>210000</v>
      </c>
      <c r="H4870">
        <v>228000</v>
      </c>
    </row>
    <row r="4871" spans="2:8" x14ac:dyDescent="0.25">
      <c r="B4871" t="str">
        <f t="shared" ref="B4871:B4934" si="76">CONCATENATE(D4871,E4871)</f>
        <v>KWTPopulation ages 55-59, male</v>
      </c>
      <c r="C4871" t="s">
        <v>538</v>
      </c>
      <c r="D4871" t="s">
        <v>75</v>
      </c>
      <c r="E4871" t="s">
        <v>385</v>
      </c>
      <c r="F4871" t="s">
        <v>713</v>
      </c>
      <c r="G4871">
        <v>131000</v>
      </c>
      <c r="H4871">
        <v>144000</v>
      </c>
    </row>
    <row r="4872" spans="2:8" x14ac:dyDescent="0.25">
      <c r="B4872" t="str">
        <f t="shared" si="76"/>
        <v>KWTPopulation ages 55-59, female</v>
      </c>
      <c r="C4872" t="s">
        <v>538</v>
      </c>
      <c r="D4872" t="s">
        <v>75</v>
      </c>
      <c r="E4872" t="s">
        <v>384</v>
      </c>
      <c r="F4872" t="s">
        <v>714</v>
      </c>
      <c r="G4872">
        <v>64000</v>
      </c>
      <c r="H4872">
        <v>70000</v>
      </c>
    </row>
    <row r="4873" spans="2:8" x14ac:dyDescent="0.25">
      <c r="B4873" t="str">
        <f t="shared" si="76"/>
        <v>KWTPopulation ages 65-69, male</v>
      </c>
      <c r="C4873" t="s">
        <v>538</v>
      </c>
      <c r="D4873" t="s">
        <v>75</v>
      </c>
      <c r="E4873" t="s">
        <v>389</v>
      </c>
      <c r="F4873" t="s">
        <v>715</v>
      </c>
      <c r="G4873">
        <v>41000</v>
      </c>
      <c r="H4873">
        <v>48000</v>
      </c>
    </row>
    <row r="4874" spans="2:8" x14ac:dyDescent="0.25">
      <c r="B4874" t="str">
        <f t="shared" si="76"/>
        <v>KWTPopulation ages 65-69, female</v>
      </c>
      <c r="C4874" t="s">
        <v>538</v>
      </c>
      <c r="D4874" t="s">
        <v>75</v>
      </c>
      <c r="E4874" t="s">
        <v>388</v>
      </c>
      <c r="F4874" t="s">
        <v>716</v>
      </c>
      <c r="G4874">
        <v>20000</v>
      </c>
      <c r="H4874">
        <v>23000</v>
      </c>
    </row>
    <row r="4875" spans="2:8" x14ac:dyDescent="0.25">
      <c r="B4875" t="str">
        <f t="shared" si="76"/>
        <v>KWTPopulation ages 60-64, female</v>
      </c>
      <c r="C4875" t="s">
        <v>538</v>
      </c>
      <c r="D4875" t="s">
        <v>75</v>
      </c>
      <c r="E4875" t="s">
        <v>386</v>
      </c>
      <c r="F4875" t="s">
        <v>717</v>
      </c>
      <c r="G4875">
        <v>45000</v>
      </c>
      <c r="H4875">
        <v>49000</v>
      </c>
    </row>
    <row r="4876" spans="2:8" x14ac:dyDescent="0.25">
      <c r="B4876" t="str">
        <f t="shared" si="76"/>
        <v>KWTPopulation ages 60-64, male</v>
      </c>
      <c r="C4876" t="s">
        <v>538</v>
      </c>
      <c r="D4876" t="s">
        <v>75</v>
      </c>
      <c r="E4876" t="s">
        <v>387</v>
      </c>
      <c r="F4876" t="s">
        <v>718</v>
      </c>
      <c r="G4876">
        <v>91000</v>
      </c>
      <c r="H4876">
        <v>100000</v>
      </c>
    </row>
    <row r="4877" spans="2:8" x14ac:dyDescent="0.25">
      <c r="B4877" t="str">
        <f t="shared" si="76"/>
        <v>KWTPopulation ages 70-74, female</v>
      </c>
      <c r="C4877" t="s">
        <v>538</v>
      </c>
      <c r="D4877" t="s">
        <v>75</v>
      </c>
      <c r="E4877" t="s">
        <v>390</v>
      </c>
      <c r="F4877" t="s">
        <v>719</v>
      </c>
      <c r="G4877">
        <v>13000</v>
      </c>
      <c r="H4877">
        <v>14000</v>
      </c>
    </row>
    <row r="4878" spans="2:8" x14ac:dyDescent="0.25">
      <c r="B4878" t="str">
        <f t="shared" si="76"/>
        <v>KWTPopulation ages 70-74, male</v>
      </c>
      <c r="C4878" t="s">
        <v>538</v>
      </c>
      <c r="D4878" t="s">
        <v>75</v>
      </c>
      <c r="E4878" t="s">
        <v>391</v>
      </c>
      <c r="F4878" t="s">
        <v>720</v>
      </c>
      <c r="G4878">
        <v>16000</v>
      </c>
      <c r="H4878">
        <v>18000</v>
      </c>
    </row>
    <row r="4879" spans="2:8" x14ac:dyDescent="0.25">
      <c r="B4879" t="str">
        <f t="shared" si="76"/>
        <v>KWTPopulation ages 75-79, female</v>
      </c>
      <c r="C4879" t="s">
        <v>538</v>
      </c>
      <c r="D4879" t="s">
        <v>75</v>
      </c>
      <c r="E4879" t="s">
        <v>392</v>
      </c>
      <c r="F4879" t="s">
        <v>721</v>
      </c>
      <c r="G4879">
        <v>6400</v>
      </c>
      <c r="H4879">
        <v>6800</v>
      </c>
    </row>
    <row r="4880" spans="2:8" x14ac:dyDescent="0.25">
      <c r="B4880" t="str">
        <f t="shared" si="76"/>
        <v>KWTPopulation ages 75-79, male</v>
      </c>
      <c r="C4880" t="s">
        <v>538</v>
      </c>
      <c r="D4880" t="s">
        <v>75</v>
      </c>
      <c r="E4880" t="s">
        <v>393</v>
      </c>
      <c r="F4880" t="s">
        <v>722</v>
      </c>
      <c r="G4880">
        <v>9500</v>
      </c>
      <c r="H4880">
        <v>9600</v>
      </c>
    </row>
    <row r="4881" spans="2:8" x14ac:dyDescent="0.25">
      <c r="B4881" t="str">
        <f t="shared" si="76"/>
        <v>KWTPopulation ages 80 and above, female</v>
      </c>
      <c r="C4881" t="s">
        <v>538</v>
      </c>
      <c r="D4881" t="s">
        <v>75</v>
      </c>
      <c r="E4881" t="s">
        <v>394</v>
      </c>
      <c r="F4881" t="s">
        <v>723</v>
      </c>
      <c r="G4881">
        <v>4400</v>
      </c>
      <c r="H4881">
        <v>4500</v>
      </c>
    </row>
    <row r="4882" spans="2:8" x14ac:dyDescent="0.25">
      <c r="B4882" t="str">
        <f t="shared" si="76"/>
        <v>KWTPopulation ages 80 and above, male</v>
      </c>
      <c r="C4882" t="s">
        <v>538</v>
      </c>
      <c r="D4882" t="s">
        <v>75</v>
      </c>
      <c r="E4882" t="s">
        <v>395</v>
      </c>
      <c r="F4882" t="s">
        <v>724</v>
      </c>
      <c r="G4882">
        <v>5500</v>
      </c>
      <c r="H4882">
        <v>5600</v>
      </c>
    </row>
    <row r="4883" spans="2:8" x14ac:dyDescent="0.25">
      <c r="B4883" t="str">
        <f t="shared" si="76"/>
        <v>KWTPopulation, male</v>
      </c>
      <c r="C4883" t="s">
        <v>538</v>
      </c>
      <c r="D4883" t="s">
        <v>75</v>
      </c>
      <c r="E4883" t="s">
        <v>397</v>
      </c>
      <c r="F4883" t="s">
        <v>725</v>
      </c>
      <c r="G4883">
        <v>2563000</v>
      </c>
      <c r="H4883">
        <v>2614000</v>
      </c>
    </row>
    <row r="4884" spans="2:8" x14ac:dyDescent="0.25">
      <c r="B4884" t="str">
        <f t="shared" si="76"/>
        <v>KWTPopulation, total</v>
      </c>
      <c r="C4884" t="s">
        <v>538</v>
      </c>
      <c r="D4884" t="s">
        <v>75</v>
      </c>
      <c r="E4884" t="s">
        <v>398</v>
      </c>
      <c r="F4884" t="s">
        <v>726</v>
      </c>
      <c r="G4884">
        <v>4207000</v>
      </c>
      <c r="H4884">
        <v>4271000</v>
      </c>
    </row>
    <row r="4885" spans="2:8" x14ac:dyDescent="0.25">
      <c r="B4885" t="str">
        <f t="shared" si="76"/>
        <v>KWTPopulation, female</v>
      </c>
      <c r="C4885" t="s">
        <v>538</v>
      </c>
      <c r="D4885" t="s">
        <v>75</v>
      </c>
      <c r="E4885" t="s">
        <v>396</v>
      </c>
      <c r="F4885" t="s">
        <v>727</v>
      </c>
      <c r="G4885">
        <v>1644000</v>
      </c>
      <c r="H4885">
        <v>1656000</v>
      </c>
    </row>
    <row r="4886" spans="2:8" x14ac:dyDescent="0.25">
      <c r="B4886" t="str">
        <f t="shared" si="76"/>
        <v>KWTPopulation growth (annual %)</v>
      </c>
      <c r="C4886" t="s">
        <v>538</v>
      </c>
      <c r="D4886" t="s">
        <v>75</v>
      </c>
      <c r="E4886" t="s">
        <v>399</v>
      </c>
      <c r="F4886" t="s">
        <v>728</v>
      </c>
      <c r="G4886">
        <v>0</v>
      </c>
      <c r="H4886">
        <v>0</v>
      </c>
    </row>
    <row r="4887" spans="2:8" x14ac:dyDescent="0.25">
      <c r="B4887" t="str">
        <f t="shared" si="76"/>
        <v>KGZPopulation ages 0-14, female</v>
      </c>
      <c r="C4887" t="s">
        <v>539</v>
      </c>
      <c r="D4887" t="s">
        <v>71</v>
      </c>
      <c r="E4887" t="s">
        <v>687</v>
      </c>
      <c r="F4887" t="s">
        <v>688</v>
      </c>
      <c r="G4887">
        <v>1016000</v>
      </c>
      <c r="H4887">
        <v>1034000</v>
      </c>
    </row>
    <row r="4888" spans="2:8" x14ac:dyDescent="0.25">
      <c r="B4888" t="str">
        <f t="shared" si="76"/>
        <v>KGZPopulation ages 0-14, male</v>
      </c>
      <c r="C4888" t="s">
        <v>539</v>
      </c>
      <c r="D4888" t="s">
        <v>71</v>
      </c>
      <c r="E4888" t="s">
        <v>689</v>
      </c>
      <c r="F4888" t="s">
        <v>690</v>
      </c>
      <c r="G4888">
        <v>1065000</v>
      </c>
      <c r="H4888">
        <v>1085000</v>
      </c>
    </row>
    <row r="4889" spans="2:8" x14ac:dyDescent="0.25">
      <c r="B4889" t="str">
        <f t="shared" si="76"/>
        <v>KGZPopulation ages 00-04, female</v>
      </c>
      <c r="C4889" t="s">
        <v>539</v>
      </c>
      <c r="D4889" t="s">
        <v>71</v>
      </c>
      <c r="E4889" t="s">
        <v>362</v>
      </c>
      <c r="F4889" t="s">
        <v>691</v>
      </c>
      <c r="G4889">
        <v>375000</v>
      </c>
      <c r="H4889">
        <v>368000</v>
      </c>
    </row>
    <row r="4890" spans="2:8" x14ac:dyDescent="0.25">
      <c r="B4890" t="str">
        <f t="shared" si="76"/>
        <v>KGZPopulation ages 00-04, male</v>
      </c>
      <c r="C4890" t="s">
        <v>539</v>
      </c>
      <c r="D4890" t="s">
        <v>71</v>
      </c>
      <c r="E4890" t="s">
        <v>363</v>
      </c>
      <c r="F4890" t="s">
        <v>692</v>
      </c>
      <c r="G4890">
        <v>396000</v>
      </c>
      <c r="H4890">
        <v>388000</v>
      </c>
    </row>
    <row r="4891" spans="2:8" x14ac:dyDescent="0.25">
      <c r="B4891" t="str">
        <f t="shared" si="76"/>
        <v>KGZPopulation ages 05-09, female</v>
      </c>
      <c r="C4891" t="s">
        <v>539</v>
      </c>
      <c r="D4891" t="s">
        <v>71</v>
      </c>
      <c r="E4891" t="s">
        <v>364</v>
      </c>
      <c r="F4891" t="s">
        <v>693</v>
      </c>
      <c r="G4891">
        <v>361000</v>
      </c>
      <c r="H4891">
        <v>373000</v>
      </c>
    </row>
    <row r="4892" spans="2:8" x14ac:dyDescent="0.25">
      <c r="B4892" t="str">
        <f t="shared" si="76"/>
        <v>KGZPopulation ages 05-09, male</v>
      </c>
      <c r="C4892" t="s">
        <v>539</v>
      </c>
      <c r="D4892" t="s">
        <v>71</v>
      </c>
      <c r="E4892" t="s">
        <v>365</v>
      </c>
      <c r="F4892" t="s">
        <v>694</v>
      </c>
      <c r="G4892">
        <v>378000</v>
      </c>
      <c r="H4892">
        <v>392000</v>
      </c>
    </row>
    <row r="4893" spans="2:8" x14ac:dyDescent="0.25">
      <c r="B4893" t="str">
        <f t="shared" si="76"/>
        <v>KGZPopulation ages 10-14, female</v>
      </c>
      <c r="C4893" t="s">
        <v>539</v>
      </c>
      <c r="D4893" t="s">
        <v>71</v>
      </c>
      <c r="E4893" t="s">
        <v>366</v>
      </c>
      <c r="F4893" t="s">
        <v>695</v>
      </c>
      <c r="G4893">
        <v>280000</v>
      </c>
      <c r="H4893">
        <v>293000</v>
      </c>
    </row>
    <row r="4894" spans="2:8" x14ac:dyDescent="0.25">
      <c r="B4894" t="str">
        <f t="shared" si="76"/>
        <v>KGZPopulation ages 10-14, male</v>
      </c>
      <c r="C4894" t="s">
        <v>539</v>
      </c>
      <c r="D4894" t="s">
        <v>71</v>
      </c>
      <c r="E4894" t="s">
        <v>367</v>
      </c>
      <c r="F4894" t="s">
        <v>696</v>
      </c>
      <c r="G4894">
        <v>291000</v>
      </c>
      <c r="H4894">
        <v>305000</v>
      </c>
    </row>
    <row r="4895" spans="2:8" x14ac:dyDescent="0.25">
      <c r="B4895" t="str">
        <f t="shared" si="76"/>
        <v>KGZPopulation ages 15-19, female</v>
      </c>
      <c r="C4895" t="s">
        <v>539</v>
      </c>
      <c r="D4895" t="s">
        <v>71</v>
      </c>
      <c r="E4895" t="s">
        <v>368</v>
      </c>
      <c r="F4895" t="s">
        <v>697</v>
      </c>
      <c r="G4895">
        <v>243000</v>
      </c>
      <c r="H4895">
        <v>244000</v>
      </c>
    </row>
    <row r="4896" spans="2:8" x14ac:dyDescent="0.25">
      <c r="B4896" t="str">
        <f t="shared" si="76"/>
        <v>KGZPopulation ages 15-19, male</v>
      </c>
      <c r="C4896" t="s">
        <v>539</v>
      </c>
      <c r="D4896" t="s">
        <v>71</v>
      </c>
      <c r="E4896" t="s">
        <v>369</v>
      </c>
      <c r="F4896" t="s">
        <v>698</v>
      </c>
      <c r="G4896">
        <v>252000</v>
      </c>
      <c r="H4896">
        <v>253000</v>
      </c>
    </row>
    <row r="4897" spans="2:8" x14ac:dyDescent="0.25">
      <c r="B4897" t="str">
        <f t="shared" si="76"/>
        <v>KGZPopulation ages 20-24, female</v>
      </c>
      <c r="C4897" t="s">
        <v>539</v>
      </c>
      <c r="D4897" t="s">
        <v>71</v>
      </c>
      <c r="E4897" t="s">
        <v>370</v>
      </c>
      <c r="F4897" t="s">
        <v>699</v>
      </c>
      <c r="G4897">
        <v>258000</v>
      </c>
      <c r="H4897">
        <v>251000</v>
      </c>
    </row>
    <row r="4898" spans="2:8" x14ac:dyDescent="0.25">
      <c r="B4898" t="str">
        <f t="shared" si="76"/>
        <v>KGZPopulation ages 20-24, male</v>
      </c>
      <c r="C4898" t="s">
        <v>539</v>
      </c>
      <c r="D4898" t="s">
        <v>71</v>
      </c>
      <c r="E4898" t="s">
        <v>371</v>
      </c>
      <c r="F4898" t="s">
        <v>700</v>
      </c>
      <c r="G4898">
        <v>268000</v>
      </c>
      <c r="H4898">
        <v>261000</v>
      </c>
    </row>
    <row r="4899" spans="2:8" x14ac:dyDescent="0.25">
      <c r="B4899" t="str">
        <f t="shared" si="76"/>
        <v>KGZPopulation ages 25-29, female</v>
      </c>
      <c r="C4899" t="s">
        <v>539</v>
      </c>
      <c r="D4899" t="s">
        <v>71</v>
      </c>
      <c r="E4899" t="s">
        <v>372</v>
      </c>
      <c r="F4899" t="s">
        <v>701</v>
      </c>
      <c r="G4899">
        <v>285000</v>
      </c>
      <c r="H4899">
        <v>278000</v>
      </c>
    </row>
    <row r="4900" spans="2:8" x14ac:dyDescent="0.25">
      <c r="B4900" t="str">
        <f t="shared" si="76"/>
        <v>KGZPopulation ages 25-29, male</v>
      </c>
      <c r="C4900" t="s">
        <v>539</v>
      </c>
      <c r="D4900" t="s">
        <v>71</v>
      </c>
      <c r="E4900" t="s">
        <v>373</v>
      </c>
      <c r="F4900" t="s">
        <v>702</v>
      </c>
      <c r="G4900">
        <v>292000</v>
      </c>
      <c r="H4900">
        <v>287000</v>
      </c>
    </row>
    <row r="4901" spans="2:8" x14ac:dyDescent="0.25">
      <c r="B4901" t="str">
        <f t="shared" si="76"/>
        <v>KGZPopulation ages 30-34, female</v>
      </c>
      <c r="C4901" t="s">
        <v>539</v>
      </c>
      <c r="D4901" t="s">
        <v>71</v>
      </c>
      <c r="E4901" t="s">
        <v>374</v>
      </c>
      <c r="F4901" t="s">
        <v>703</v>
      </c>
      <c r="G4901">
        <v>279000</v>
      </c>
      <c r="H4901">
        <v>286000</v>
      </c>
    </row>
    <row r="4902" spans="2:8" x14ac:dyDescent="0.25">
      <c r="B4902" t="str">
        <f t="shared" si="76"/>
        <v>KGZPopulation ages 30-34, male</v>
      </c>
      <c r="C4902" t="s">
        <v>539</v>
      </c>
      <c r="D4902" t="s">
        <v>71</v>
      </c>
      <c r="E4902" t="s">
        <v>375</v>
      </c>
      <c r="F4902" t="s">
        <v>704</v>
      </c>
      <c r="G4902">
        <v>276000</v>
      </c>
      <c r="H4902">
        <v>283000</v>
      </c>
    </row>
    <row r="4903" spans="2:8" x14ac:dyDescent="0.25">
      <c r="B4903" t="str">
        <f t="shared" si="76"/>
        <v>KGZPopulation ages 35-39, female</v>
      </c>
      <c r="C4903" t="s">
        <v>539</v>
      </c>
      <c r="D4903" t="s">
        <v>71</v>
      </c>
      <c r="E4903" t="s">
        <v>376</v>
      </c>
      <c r="F4903" t="s">
        <v>705</v>
      </c>
      <c r="G4903">
        <v>210000</v>
      </c>
      <c r="H4903">
        <v>219000</v>
      </c>
    </row>
    <row r="4904" spans="2:8" x14ac:dyDescent="0.25">
      <c r="B4904" t="str">
        <f t="shared" si="76"/>
        <v>KGZPopulation ages 35-39, male</v>
      </c>
      <c r="C4904" t="s">
        <v>539</v>
      </c>
      <c r="D4904" t="s">
        <v>71</v>
      </c>
      <c r="E4904" t="s">
        <v>377</v>
      </c>
      <c r="F4904" t="s">
        <v>706</v>
      </c>
      <c r="G4904">
        <v>211000</v>
      </c>
      <c r="H4904">
        <v>221000</v>
      </c>
    </row>
    <row r="4905" spans="2:8" x14ac:dyDescent="0.25">
      <c r="B4905" t="str">
        <f t="shared" si="76"/>
        <v>KGZPopulation ages 40-44, female</v>
      </c>
      <c r="C4905" t="s">
        <v>539</v>
      </c>
      <c r="D4905" t="s">
        <v>71</v>
      </c>
      <c r="E4905" t="s">
        <v>378</v>
      </c>
      <c r="F4905" t="s">
        <v>707</v>
      </c>
      <c r="G4905">
        <v>178000</v>
      </c>
      <c r="H4905">
        <v>182000</v>
      </c>
    </row>
    <row r="4906" spans="2:8" x14ac:dyDescent="0.25">
      <c r="B4906" t="str">
        <f t="shared" si="76"/>
        <v>KGZPopulation ages 40-44, male</v>
      </c>
      <c r="C4906" t="s">
        <v>539</v>
      </c>
      <c r="D4906" t="s">
        <v>71</v>
      </c>
      <c r="E4906" t="s">
        <v>379</v>
      </c>
      <c r="F4906" t="s">
        <v>708</v>
      </c>
      <c r="G4906">
        <v>174000</v>
      </c>
      <c r="H4906">
        <v>178000</v>
      </c>
    </row>
    <row r="4907" spans="2:8" x14ac:dyDescent="0.25">
      <c r="B4907" t="str">
        <f t="shared" si="76"/>
        <v>KGZPopulation ages 45-49, female</v>
      </c>
      <c r="C4907" t="s">
        <v>539</v>
      </c>
      <c r="D4907" t="s">
        <v>71</v>
      </c>
      <c r="E4907" t="s">
        <v>380</v>
      </c>
      <c r="F4907" t="s">
        <v>709</v>
      </c>
      <c r="G4907">
        <v>165000</v>
      </c>
      <c r="H4907">
        <v>167000</v>
      </c>
    </row>
    <row r="4908" spans="2:8" x14ac:dyDescent="0.25">
      <c r="B4908" t="str">
        <f t="shared" si="76"/>
        <v>KGZPopulation ages 45-49, male</v>
      </c>
      <c r="C4908" t="s">
        <v>539</v>
      </c>
      <c r="D4908" t="s">
        <v>71</v>
      </c>
      <c r="E4908" t="s">
        <v>381</v>
      </c>
      <c r="F4908" t="s">
        <v>710</v>
      </c>
      <c r="G4908">
        <v>155000</v>
      </c>
      <c r="H4908">
        <v>156000</v>
      </c>
    </row>
    <row r="4909" spans="2:8" x14ac:dyDescent="0.25">
      <c r="B4909" t="str">
        <f t="shared" si="76"/>
        <v>KGZPopulation ages 50-54, female</v>
      </c>
      <c r="C4909" t="s">
        <v>539</v>
      </c>
      <c r="D4909" t="s">
        <v>71</v>
      </c>
      <c r="E4909" t="s">
        <v>382</v>
      </c>
      <c r="F4909" t="s">
        <v>711</v>
      </c>
      <c r="G4909">
        <v>155000</v>
      </c>
      <c r="H4909">
        <v>154000</v>
      </c>
    </row>
    <row r="4910" spans="2:8" x14ac:dyDescent="0.25">
      <c r="B4910" t="str">
        <f t="shared" si="76"/>
        <v>KGZPopulation ages 50-54, male</v>
      </c>
      <c r="C4910" t="s">
        <v>539</v>
      </c>
      <c r="D4910" t="s">
        <v>71</v>
      </c>
      <c r="E4910" t="s">
        <v>383</v>
      </c>
      <c r="F4910" t="s">
        <v>712</v>
      </c>
      <c r="G4910">
        <v>141000</v>
      </c>
      <c r="H4910">
        <v>140000</v>
      </c>
    </row>
    <row r="4911" spans="2:8" x14ac:dyDescent="0.25">
      <c r="B4911" t="str">
        <f t="shared" si="76"/>
        <v>KGZPopulation ages 55-59, male</v>
      </c>
      <c r="C4911" t="s">
        <v>539</v>
      </c>
      <c r="D4911" t="s">
        <v>71</v>
      </c>
      <c r="E4911" t="s">
        <v>385</v>
      </c>
      <c r="F4911" t="s">
        <v>713</v>
      </c>
      <c r="G4911">
        <v>130000</v>
      </c>
      <c r="H4911">
        <v>132000</v>
      </c>
    </row>
    <row r="4912" spans="2:8" x14ac:dyDescent="0.25">
      <c r="B4912" t="str">
        <f t="shared" si="76"/>
        <v>KGZPopulation ages 55-59, female</v>
      </c>
      <c r="C4912" t="s">
        <v>539</v>
      </c>
      <c r="D4912" t="s">
        <v>71</v>
      </c>
      <c r="E4912" t="s">
        <v>384</v>
      </c>
      <c r="F4912" t="s">
        <v>714</v>
      </c>
      <c r="G4912">
        <v>150000</v>
      </c>
      <c r="H4912">
        <v>152000</v>
      </c>
    </row>
    <row r="4913" spans="2:8" x14ac:dyDescent="0.25">
      <c r="B4913" t="str">
        <f t="shared" si="76"/>
        <v>KGZPopulation ages 65-69, male</v>
      </c>
      <c r="C4913" t="s">
        <v>539</v>
      </c>
      <c r="D4913" t="s">
        <v>71</v>
      </c>
      <c r="E4913" t="s">
        <v>389</v>
      </c>
      <c r="F4913" t="s">
        <v>715</v>
      </c>
      <c r="G4913">
        <v>56000</v>
      </c>
      <c r="H4913">
        <v>61000</v>
      </c>
    </row>
    <row r="4914" spans="2:8" x14ac:dyDescent="0.25">
      <c r="B4914" t="str">
        <f t="shared" si="76"/>
        <v>KGZPopulation ages 65-69, female</v>
      </c>
      <c r="C4914" t="s">
        <v>539</v>
      </c>
      <c r="D4914" t="s">
        <v>71</v>
      </c>
      <c r="E4914" t="s">
        <v>388</v>
      </c>
      <c r="F4914" t="s">
        <v>716</v>
      </c>
      <c r="G4914">
        <v>76000</v>
      </c>
      <c r="H4914">
        <v>82000</v>
      </c>
    </row>
    <row r="4915" spans="2:8" x14ac:dyDescent="0.25">
      <c r="B4915" t="str">
        <f t="shared" si="76"/>
        <v>KGZPopulation ages 60-64, female</v>
      </c>
      <c r="C4915" t="s">
        <v>539</v>
      </c>
      <c r="D4915" t="s">
        <v>71</v>
      </c>
      <c r="E4915" t="s">
        <v>386</v>
      </c>
      <c r="F4915" t="s">
        <v>717</v>
      </c>
      <c r="G4915">
        <v>115000</v>
      </c>
      <c r="H4915">
        <v>121000</v>
      </c>
    </row>
    <row r="4916" spans="2:8" x14ac:dyDescent="0.25">
      <c r="B4916" t="str">
        <f t="shared" si="76"/>
        <v>KGZPopulation ages 60-64, male</v>
      </c>
      <c r="C4916" t="s">
        <v>539</v>
      </c>
      <c r="D4916" t="s">
        <v>71</v>
      </c>
      <c r="E4916" t="s">
        <v>387</v>
      </c>
      <c r="F4916" t="s">
        <v>718</v>
      </c>
      <c r="G4916">
        <v>93000</v>
      </c>
      <c r="H4916">
        <v>98000</v>
      </c>
    </row>
    <row r="4917" spans="2:8" x14ac:dyDescent="0.25">
      <c r="B4917" t="str">
        <f t="shared" si="76"/>
        <v>KGZPopulation ages 70-74, female</v>
      </c>
      <c r="C4917" t="s">
        <v>539</v>
      </c>
      <c r="D4917" t="s">
        <v>71</v>
      </c>
      <c r="E4917" t="s">
        <v>390</v>
      </c>
      <c r="F4917" t="s">
        <v>719</v>
      </c>
      <c r="G4917">
        <v>44000</v>
      </c>
      <c r="H4917">
        <v>49000</v>
      </c>
    </row>
    <row r="4918" spans="2:8" x14ac:dyDescent="0.25">
      <c r="B4918" t="str">
        <f t="shared" si="76"/>
        <v>KGZPopulation ages 70-74, male</v>
      </c>
      <c r="C4918" t="s">
        <v>539</v>
      </c>
      <c r="D4918" t="s">
        <v>71</v>
      </c>
      <c r="E4918" t="s">
        <v>391</v>
      </c>
      <c r="F4918" t="s">
        <v>720</v>
      </c>
      <c r="G4918">
        <v>27000</v>
      </c>
      <c r="H4918">
        <v>30000</v>
      </c>
    </row>
    <row r="4919" spans="2:8" x14ac:dyDescent="0.25">
      <c r="B4919" t="str">
        <f t="shared" si="76"/>
        <v>KGZPopulation ages 75-79, female</v>
      </c>
      <c r="C4919" t="s">
        <v>539</v>
      </c>
      <c r="D4919" t="s">
        <v>71</v>
      </c>
      <c r="E4919" t="s">
        <v>392</v>
      </c>
      <c r="F4919" t="s">
        <v>721</v>
      </c>
      <c r="G4919">
        <v>22000</v>
      </c>
      <c r="H4919">
        <v>22000</v>
      </c>
    </row>
    <row r="4920" spans="2:8" x14ac:dyDescent="0.25">
      <c r="B4920" t="str">
        <f t="shared" si="76"/>
        <v>KGZPopulation ages 75-79, male</v>
      </c>
      <c r="C4920" t="s">
        <v>539</v>
      </c>
      <c r="D4920" t="s">
        <v>71</v>
      </c>
      <c r="E4920" t="s">
        <v>393</v>
      </c>
      <c r="F4920" t="s">
        <v>722</v>
      </c>
      <c r="G4920">
        <v>11000</v>
      </c>
      <c r="H4920">
        <v>11000</v>
      </c>
    </row>
    <row r="4921" spans="2:8" x14ac:dyDescent="0.25">
      <c r="B4921" t="str">
        <f t="shared" si="76"/>
        <v>KGZPopulation ages 80 and above, female</v>
      </c>
      <c r="C4921" t="s">
        <v>539</v>
      </c>
      <c r="D4921" t="s">
        <v>71</v>
      </c>
      <c r="E4921" t="s">
        <v>394</v>
      </c>
      <c r="F4921" t="s">
        <v>723</v>
      </c>
      <c r="G4921">
        <v>41000</v>
      </c>
      <c r="H4921">
        <v>40000</v>
      </c>
    </row>
    <row r="4922" spans="2:8" x14ac:dyDescent="0.25">
      <c r="B4922" t="str">
        <f t="shared" si="76"/>
        <v>KGZPopulation ages 80 and above, male</v>
      </c>
      <c r="C4922" t="s">
        <v>539</v>
      </c>
      <c r="D4922" t="s">
        <v>71</v>
      </c>
      <c r="E4922" t="s">
        <v>395</v>
      </c>
      <c r="F4922" t="s">
        <v>724</v>
      </c>
      <c r="G4922">
        <v>17000</v>
      </c>
      <c r="H4922">
        <v>14000</v>
      </c>
    </row>
    <row r="4923" spans="2:8" x14ac:dyDescent="0.25">
      <c r="B4923" t="str">
        <f t="shared" si="76"/>
        <v>KGZPopulation, male</v>
      </c>
      <c r="C4923" t="s">
        <v>539</v>
      </c>
      <c r="D4923" t="s">
        <v>71</v>
      </c>
      <c r="E4923" t="s">
        <v>397</v>
      </c>
      <c r="F4923" t="s">
        <v>725</v>
      </c>
      <c r="G4923">
        <v>3168000</v>
      </c>
      <c r="H4923">
        <v>3210000</v>
      </c>
    </row>
    <row r="4924" spans="2:8" x14ac:dyDescent="0.25">
      <c r="B4924" t="str">
        <f t="shared" si="76"/>
        <v>KGZPopulation, total</v>
      </c>
      <c r="C4924" t="s">
        <v>539</v>
      </c>
      <c r="D4924" t="s">
        <v>71</v>
      </c>
      <c r="E4924" t="s">
        <v>398</v>
      </c>
      <c r="F4924" t="s">
        <v>726</v>
      </c>
      <c r="G4924">
        <v>6404000</v>
      </c>
      <c r="H4924">
        <v>6489000</v>
      </c>
    </row>
    <row r="4925" spans="2:8" x14ac:dyDescent="0.25">
      <c r="B4925" t="str">
        <f t="shared" si="76"/>
        <v>KGZPopulation, female</v>
      </c>
      <c r="C4925" t="s">
        <v>539</v>
      </c>
      <c r="D4925" t="s">
        <v>71</v>
      </c>
      <c r="E4925" t="s">
        <v>396</v>
      </c>
      <c r="F4925" t="s">
        <v>727</v>
      </c>
      <c r="G4925">
        <v>3236000</v>
      </c>
      <c r="H4925">
        <v>3279000</v>
      </c>
    </row>
    <row r="4926" spans="2:8" x14ac:dyDescent="0.25">
      <c r="B4926" t="str">
        <f t="shared" si="76"/>
        <v>KGZPopulation growth (annual %)</v>
      </c>
      <c r="C4926" t="s">
        <v>539</v>
      </c>
      <c r="D4926" t="s">
        <v>71</v>
      </c>
      <c r="E4926" t="s">
        <v>399</v>
      </c>
      <c r="F4926" t="s">
        <v>728</v>
      </c>
      <c r="G4926">
        <v>0</v>
      </c>
      <c r="H4926">
        <v>0</v>
      </c>
    </row>
    <row r="4927" spans="2:8" x14ac:dyDescent="0.25">
      <c r="B4927" t="str">
        <f t="shared" si="76"/>
        <v>LAOPopulation ages 0-14, female</v>
      </c>
      <c r="C4927" t="s">
        <v>540</v>
      </c>
      <c r="D4927" t="s">
        <v>76</v>
      </c>
      <c r="E4927" t="s">
        <v>687</v>
      </c>
      <c r="F4927" t="s">
        <v>688</v>
      </c>
      <c r="G4927">
        <v>1137000</v>
      </c>
      <c r="H4927">
        <v>1141000</v>
      </c>
    </row>
    <row r="4928" spans="2:8" x14ac:dyDescent="0.25">
      <c r="B4928" t="str">
        <f t="shared" si="76"/>
        <v>LAOPopulation ages 0-14, male</v>
      </c>
      <c r="C4928" t="s">
        <v>540</v>
      </c>
      <c r="D4928" t="s">
        <v>76</v>
      </c>
      <c r="E4928" t="s">
        <v>689</v>
      </c>
      <c r="F4928" t="s">
        <v>690</v>
      </c>
      <c r="G4928">
        <v>1179000</v>
      </c>
      <c r="H4928">
        <v>1184000</v>
      </c>
    </row>
    <row r="4929" spans="2:8" x14ac:dyDescent="0.25">
      <c r="B4929" t="str">
        <f t="shared" si="76"/>
        <v>LAOPopulation ages 00-04, female</v>
      </c>
      <c r="C4929" t="s">
        <v>540</v>
      </c>
      <c r="D4929" t="s">
        <v>76</v>
      </c>
      <c r="E4929" t="s">
        <v>362</v>
      </c>
      <c r="F4929" t="s">
        <v>691</v>
      </c>
      <c r="G4929">
        <v>389000</v>
      </c>
      <c r="H4929">
        <v>391000</v>
      </c>
    </row>
    <row r="4930" spans="2:8" x14ac:dyDescent="0.25">
      <c r="B4930" t="str">
        <f t="shared" si="76"/>
        <v>LAOPopulation ages 00-04, male</v>
      </c>
      <c r="C4930" t="s">
        <v>540</v>
      </c>
      <c r="D4930" t="s">
        <v>76</v>
      </c>
      <c r="E4930" t="s">
        <v>363</v>
      </c>
      <c r="F4930" t="s">
        <v>692</v>
      </c>
      <c r="G4930">
        <v>405000</v>
      </c>
      <c r="H4930">
        <v>406000</v>
      </c>
    </row>
    <row r="4931" spans="2:8" x14ac:dyDescent="0.25">
      <c r="B4931" t="str">
        <f t="shared" si="76"/>
        <v>LAOPopulation ages 05-09, female</v>
      </c>
      <c r="C4931" t="s">
        <v>540</v>
      </c>
      <c r="D4931" t="s">
        <v>76</v>
      </c>
      <c r="E4931" t="s">
        <v>364</v>
      </c>
      <c r="F4931" t="s">
        <v>693</v>
      </c>
      <c r="G4931">
        <v>378000</v>
      </c>
      <c r="H4931">
        <v>378000</v>
      </c>
    </row>
    <row r="4932" spans="2:8" x14ac:dyDescent="0.25">
      <c r="B4932" t="str">
        <f t="shared" si="76"/>
        <v>LAOPopulation ages 05-09, male</v>
      </c>
      <c r="C4932" t="s">
        <v>540</v>
      </c>
      <c r="D4932" t="s">
        <v>76</v>
      </c>
      <c r="E4932" t="s">
        <v>365</v>
      </c>
      <c r="F4932" t="s">
        <v>694</v>
      </c>
      <c r="G4932">
        <v>393000</v>
      </c>
      <c r="H4932">
        <v>392000</v>
      </c>
    </row>
    <row r="4933" spans="2:8" x14ac:dyDescent="0.25">
      <c r="B4933" t="str">
        <f t="shared" si="76"/>
        <v>LAOPopulation ages 10-14, female</v>
      </c>
      <c r="C4933" t="s">
        <v>540</v>
      </c>
      <c r="D4933" t="s">
        <v>76</v>
      </c>
      <c r="E4933" t="s">
        <v>366</v>
      </c>
      <c r="F4933" t="s">
        <v>695</v>
      </c>
      <c r="G4933">
        <v>369000</v>
      </c>
      <c r="H4933">
        <v>372000</v>
      </c>
    </row>
    <row r="4934" spans="2:8" x14ac:dyDescent="0.25">
      <c r="B4934" t="str">
        <f t="shared" si="76"/>
        <v>LAOPopulation ages 10-14, male</v>
      </c>
      <c r="C4934" t="s">
        <v>540</v>
      </c>
      <c r="D4934" t="s">
        <v>76</v>
      </c>
      <c r="E4934" t="s">
        <v>367</v>
      </c>
      <c r="F4934" t="s">
        <v>696</v>
      </c>
      <c r="G4934">
        <v>382000</v>
      </c>
      <c r="H4934">
        <v>385000</v>
      </c>
    </row>
    <row r="4935" spans="2:8" x14ac:dyDescent="0.25">
      <c r="B4935" t="str">
        <f t="shared" ref="B4935:B4998" si="77">CONCATENATE(D4935,E4935)</f>
        <v>LAOPopulation ages 15-19, female</v>
      </c>
      <c r="C4935" t="s">
        <v>540</v>
      </c>
      <c r="D4935" t="s">
        <v>76</v>
      </c>
      <c r="E4935" t="s">
        <v>368</v>
      </c>
      <c r="F4935" t="s">
        <v>697</v>
      </c>
      <c r="G4935">
        <v>348000</v>
      </c>
      <c r="H4935">
        <v>350000</v>
      </c>
    </row>
    <row r="4936" spans="2:8" x14ac:dyDescent="0.25">
      <c r="B4936" t="str">
        <f t="shared" si="77"/>
        <v>LAOPopulation ages 15-19, male</v>
      </c>
      <c r="C4936" t="s">
        <v>540</v>
      </c>
      <c r="D4936" t="s">
        <v>76</v>
      </c>
      <c r="E4936" t="s">
        <v>369</v>
      </c>
      <c r="F4936" t="s">
        <v>698</v>
      </c>
      <c r="G4936">
        <v>357000</v>
      </c>
      <c r="H4936">
        <v>359000</v>
      </c>
    </row>
    <row r="4937" spans="2:8" x14ac:dyDescent="0.25">
      <c r="B4937" t="str">
        <f t="shared" si="77"/>
        <v>LAOPopulation ages 20-24, female</v>
      </c>
      <c r="C4937" t="s">
        <v>540</v>
      </c>
      <c r="D4937" t="s">
        <v>76</v>
      </c>
      <c r="E4937" t="s">
        <v>370</v>
      </c>
      <c r="F4937" t="s">
        <v>699</v>
      </c>
      <c r="G4937">
        <v>345000</v>
      </c>
      <c r="H4937">
        <v>343000</v>
      </c>
    </row>
    <row r="4938" spans="2:8" x14ac:dyDescent="0.25">
      <c r="B4938" t="str">
        <f t="shared" si="77"/>
        <v>LAOPopulation ages 20-24, male</v>
      </c>
      <c r="C4938" t="s">
        <v>540</v>
      </c>
      <c r="D4938" t="s">
        <v>76</v>
      </c>
      <c r="E4938" t="s">
        <v>371</v>
      </c>
      <c r="F4938" t="s">
        <v>700</v>
      </c>
      <c r="G4938">
        <v>350000</v>
      </c>
      <c r="H4938">
        <v>349000</v>
      </c>
    </row>
    <row r="4939" spans="2:8" x14ac:dyDescent="0.25">
      <c r="B4939" t="str">
        <f t="shared" si="77"/>
        <v>LAOPopulation ages 25-29, female</v>
      </c>
      <c r="C4939" t="s">
        <v>540</v>
      </c>
      <c r="D4939" t="s">
        <v>76</v>
      </c>
      <c r="E4939" t="s">
        <v>372</v>
      </c>
      <c r="F4939" t="s">
        <v>701</v>
      </c>
      <c r="G4939">
        <v>330000</v>
      </c>
      <c r="H4939">
        <v>334000</v>
      </c>
    </row>
    <row r="4940" spans="2:8" x14ac:dyDescent="0.25">
      <c r="B4940" t="str">
        <f t="shared" si="77"/>
        <v>LAOPopulation ages 25-29, male</v>
      </c>
      <c r="C4940" t="s">
        <v>540</v>
      </c>
      <c r="D4940" t="s">
        <v>76</v>
      </c>
      <c r="E4940" t="s">
        <v>373</v>
      </c>
      <c r="F4940" t="s">
        <v>702</v>
      </c>
      <c r="G4940">
        <v>334000</v>
      </c>
      <c r="H4940">
        <v>337000</v>
      </c>
    </row>
    <row r="4941" spans="2:8" x14ac:dyDescent="0.25">
      <c r="B4941" t="str">
        <f t="shared" si="77"/>
        <v>LAOPopulation ages 30-34, female</v>
      </c>
      <c r="C4941" t="s">
        <v>540</v>
      </c>
      <c r="D4941" t="s">
        <v>76</v>
      </c>
      <c r="E4941" t="s">
        <v>374</v>
      </c>
      <c r="F4941" t="s">
        <v>703</v>
      </c>
      <c r="G4941">
        <v>285000</v>
      </c>
      <c r="H4941">
        <v>293000</v>
      </c>
    </row>
    <row r="4942" spans="2:8" x14ac:dyDescent="0.25">
      <c r="B4942" t="str">
        <f t="shared" si="77"/>
        <v>LAOPopulation ages 30-34, male</v>
      </c>
      <c r="C4942" t="s">
        <v>540</v>
      </c>
      <c r="D4942" t="s">
        <v>76</v>
      </c>
      <c r="E4942" t="s">
        <v>375</v>
      </c>
      <c r="F4942" t="s">
        <v>704</v>
      </c>
      <c r="G4942">
        <v>290000</v>
      </c>
      <c r="H4942">
        <v>298000</v>
      </c>
    </row>
    <row r="4943" spans="2:8" x14ac:dyDescent="0.25">
      <c r="B4943" t="str">
        <f t="shared" si="77"/>
        <v>LAOPopulation ages 35-39, female</v>
      </c>
      <c r="C4943" t="s">
        <v>540</v>
      </c>
      <c r="D4943" t="s">
        <v>76</v>
      </c>
      <c r="E4943" t="s">
        <v>376</v>
      </c>
      <c r="F4943" t="s">
        <v>705</v>
      </c>
      <c r="G4943">
        <v>241000</v>
      </c>
      <c r="H4943">
        <v>248000</v>
      </c>
    </row>
    <row r="4944" spans="2:8" x14ac:dyDescent="0.25">
      <c r="B4944" t="str">
        <f t="shared" si="77"/>
        <v>LAOPopulation ages 35-39, male</v>
      </c>
      <c r="C4944" t="s">
        <v>540</v>
      </c>
      <c r="D4944" t="s">
        <v>76</v>
      </c>
      <c r="E4944" t="s">
        <v>377</v>
      </c>
      <c r="F4944" t="s">
        <v>706</v>
      </c>
      <c r="G4944">
        <v>239000</v>
      </c>
      <c r="H4944">
        <v>247000</v>
      </c>
    </row>
    <row r="4945" spans="2:8" x14ac:dyDescent="0.25">
      <c r="B4945" t="str">
        <f t="shared" si="77"/>
        <v>LAOPopulation ages 40-44, female</v>
      </c>
      <c r="C4945" t="s">
        <v>540</v>
      </c>
      <c r="D4945" t="s">
        <v>76</v>
      </c>
      <c r="E4945" t="s">
        <v>378</v>
      </c>
      <c r="F4945" t="s">
        <v>707</v>
      </c>
      <c r="G4945">
        <v>203000</v>
      </c>
      <c r="H4945">
        <v>209000</v>
      </c>
    </row>
    <row r="4946" spans="2:8" x14ac:dyDescent="0.25">
      <c r="B4946" t="str">
        <f t="shared" si="77"/>
        <v>LAOPopulation ages 40-44, male</v>
      </c>
      <c r="C4946" t="s">
        <v>540</v>
      </c>
      <c r="D4946" t="s">
        <v>76</v>
      </c>
      <c r="E4946" t="s">
        <v>379</v>
      </c>
      <c r="F4946" t="s">
        <v>708</v>
      </c>
      <c r="G4946">
        <v>202000</v>
      </c>
      <c r="H4946">
        <v>208000</v>
      </c>
    </row>
    <row r="4947" spans="2:8" x14ac:dyDescent="0.25">
      <c r="B4947" t="str">
        <f t="shared" si="77"/>
        <v>LAOPopulation ages 45-49, female</v>
      </c>
      <c r="C4947" t="s">
        <v>540</v>
      </c>
      <c r="D4947" t="s">
        <v>76</v>
      </c>
      <c r="E4947" t="s">
        <v>380</v>
      </c>
      <c r="F4947" t="s">
        <v>709</v>
      </c>
      <c r="G4947">
        <v>172000</v>
      </c>
      <c r="H4947">
        <v>178000</v>
      </c>
    </row>
    <row r="4948" spans="2:8" x14ac:dyDescent="0.25">
      <c r="B4948" t="str">
        <f t="shared" si="77"/>
        <v>LAOPopulation ages 45-49, male</v>
      </c>
      <c r="C4948" t="s">
        <v>540</v>
      </c>
      <c r="D4948" t="s">
        <v>76</v>
      </c>
      <c r="E4948" t="s">
        <v>381</v>
      </c>
      <c r="F4948" t="s">
        <v>710</v>
      </c>
      <c r="G4948">
        <v>173000</v>
      </c>
      <c r="H4948">
        <v>178000</v>
      </c>
    </row>
    <row r="4949" spans="2:8" x14ac:dyDescent="0.25">
      <c r="B4949" t="str">
        <f t="shared" si="77"/>
        <v>LAOPopulation ages 50-54, female</v>
      </c>
      <c r="C4949" t="s">
        <v>540</v>
      </c>
      <c r="D4949" t="s">
        <v>76</v>
      </c>
      <c r="E4949" t="s">
        <v>382</v>
      </c>
      <c r="F4949" t="s">
        <v>711</v>
      </c>
      <c r="G4949">
        <v>141000</v>
      </c>
      <c r="H4949">
        <v>146000</v>
      </c>
    </row>
    <row r="4950" spans="2:8" x14ac:dyDescent="0.25">
      <c r="B4950" t="str">
        <f t="shared" si="77"/>
        <v>LAOPopulation ages 50-54, male</v>
      </c>
      <c r="C4950" t="s">
        <v>540</v>
      </c>
      <c r="D4950" t="s">
        <v>76</v>
      </c>
      <c r="E4950" t="s">
        <v>383</v>
      </c>
      <c r="F4950" t="s">
        <v>712</v>
      </c>
      <c r="G4950">
        <v>139000</v>
      </c>
      <c r="H4950">
        <v>143000</v>
      </c>
    </row>
    <row r="4951" spans="2:8" x14ac:dyDescent="0.25">
      <c r="B4951" t="str">
        <f t="shared" si="77"/>
        <v>LAOPopulation ages 55-59, male</v>
      </c>
      <c r="C4951" t="s">
        <v>540</v>
      </c>
      <c r="D4951" t="s">
        <v>76</v>
      </c>
      <c r="E4951" t="s">
        <v>385</v>
      </c>
      <c r="F4951" t="s">
        <v>713</v>
      </c>
      <c r="G4951">
        <v>115000</v>
      </c>
      <c r="H4951">
        <v>119000</v>
      </c>
    </row>
    <row r="4952" spans="2:8" x14ac:dyDescent="0.25">
      <c r="B4952" t="str">
        <f t="shared" si="77"/>
        <v>LAOPopulation ages 55-59, female</v>
      </c>
      <c r="C4952" t="s">
        <v>540</v>
      </c>
      <c r="D4952" t="s">
        <v>76</v>
      </c>
      <c r="E4952" t="s">
        <v>384</v>
      </c>
      <c r="F4952" t="s">
        <v>714</v>
      </c>
      <c r="G4952">
        <v>115000</v>
      </c>
      <c r="H4952">
        <v>119000</v>
      </c>
    </row>
    <row r="4953" spans="2:8" x14ac:dyDescent="0.25">
      <c r="B4953" t="str">
        <f t="shared" si="77"/>
        <v>LAOPopulation ages 65-69, male</v>
      </c>
      <c r="C4953" t="s">
        <v>540</v>
      </c>
      <c r="D4953" t="s">
        <v>76</v>
      </c>
      <c r="E4953" t="s">
        <v>389</v>
      </c>
      <c r="F4953" t="s">
        <v>715</v>
      </c>
      <c r="G4953">
        <v>60000</v>
      </c>
      <c r="H4953">
        <v>64000</v>
      </c>
    </row>
    <row r="4954" spans="2:8" x14ac:dyDescent="0.25">
      <c r="B4954" t="str">
        <f t="shared" si="77"/>
        <v>LAOPopulation ages 65-69, female</v>
      </c>
      <c r="C4954" t="s">
        <v>540</v>
      </c>
      <c r="D4954" t="s">
        <v>76</v>
      </c>
      <c r="E4954" t="s">
        <v>388</v>
      </c>
      <c r="F4954" t="s">
        <v>716</v>
      </c>
      <c r="G4954">
        <v>67000</v>
      </c>
      <c r="H4954">
        <v>70000</v>
      </c>
    </row>
    <row r="4955" spans="2:8" x14ac:dyDescent="0.25">
      <c r="B4955" t="str">
        <f t="shared" si="77"/>
        <v>LAOPopulation ages 60-64, female</v>
      </c>
      <c r="C4955" t="s">
        <v>540</v>
      </c>
      <c r="D4955" t="s">
        <v>76</v>
      </c>
      <c r="E4955" t="s">
        <v>386</v>
      </c>
      <c r="F4955" t="s">
        <v>717</v>
      </c>
      <c r="G4955">
        <v>89000</v>
      </c>
      <c r="H4955">
        <v>93000</v>
      </c>
    </row>
    <row r="4956" spans="2:8" x14ac:dyDescent="0.25">
      <c r="B4956" t="str">
        <f t="shared" si="77"/>
        <v>LAOPopulation ages 60-64, male</v>
      </c>
      <c r="C4956" t="s">
        <v>540</v>
      </c>
      <c r="D4956" t="s">
        <v>76</v>
      </c>
      <c r="E4956" t="s">
        <v>387</v>
      </c>
      <c r="F4956" t="s">
        <v>718</v>
      </c>
      <c r="G4956">
        <v>88000</v>
      </c>
      <c r="H4956">
        <v>92000</v>
      </c>
    </row>
    <row r="4957" spans="2:8" x14ac:dyDescent="0.25">
      <c r="B4957" t="str">
        <f t="shared" si="77"/>
        <v>LAOPopulation ages 70-74, female</v>
      </c>
      <c r="C4957" t="s">
        <v>540</v>
      </c>
      <c r="D4957" t="s">
        <v>76</v>
      </c>
      <c r="E4957" t="s">
        <v>390</v>
      </c>
      <c r="F4957" t="s">
        <v>719</v>
      </c>
      <c r="G4957">
        <v>46000</v>
      </c>
      <c r="H4957">
        <v>48000</v>
      </c>
    </row>
    <row r="4958" spans="2:8" x14ac:dyDescent="0.25">
      <c r="B4958" t="str">
        <f t="shared" si="77"/>
        <v>LAOPopulation ages 70-74, male</v>
      </c>
      <c r="C4958" t="s">
        <v>540</v>
      </c>
      <c r="D4958" t="s">
        <v>76</v>
      </c>
      <c r="E4958" t="s">
        <v>391</v>
      </c>
      <c r="F4958" t="s">
        <v>720</v>
      </c>
      <c r="G4958">
        <v>34000</v>
      </c>
      <c r="H4958">
        <v>36000</v>
      </c>
    </row>
    <row r="4959" spans="2:8" x14ac:dyDescent="0.25">
      <c r="B4959" t="str">
        <f t="shared" si="77"/>
        <v>LAOPopulation ages 75-79, female</v>
      </c>
      <c r="C4959" t="s">
        <v>540</v>
      </c>
      <c r="D4959" t="s">
        <v>76</v>
      </c>
      <c r="E4959" t="s">
        <v>392</v>
      </c>
      <c r="F4959" t="s">
        <v>721</v>
      </c>
      <c r="G4959">
        <v>29000</v>
      </c>
      <c r="H4959">
        <v>30000</v>
      </c>
    </row>
    <row r="4960" spans="2:8" x14ac:dyDescent="0.25">
      <c r="B4960" t="str">
        <f t="shared" si="77"/>
        <v>LAOPopulation ages 75-79, male</v>
      </c>
      <c r="C4960" t="s">
        <v>540</v>
      </c>
      <c r="D4960" t="s">
        <v>76</v>
      </c>
      <c r="E4960" t="s">
        <v>393</v>
      </c>
      <c r="F4960" t="s">
        <v>722</v>
      </c>
      <c r="G4960">
        <v>21000</v>
      </c>
      <c r="H4960">
        <v>22000</v>
      </c>
    </row>
    <row r="4961" spans="2:8" x14ac:dyDescent="0.25">
      <c r="B4961" t="str">
        <f t="shared" si="77"/>
        <v>LAOPopulation ages 80 and above, female</v>
      </c>
      <c r="C4961" t="s">
        <v>540</v>
      </c>
      <c r="D4961" t="s">
        <v>76</v>
      </c>
      <c r="E4961" t="s">
        <v>394</v>
      </c>
      <c r="F4961" t="s">
        <v>723</v>
      </c>
      <c r="G4961">
        <v>24000</v>
      </c>
      <c r="H4961">
        <v>24000</v>
      </c>
    </row>
    <row r="4962" spans="2:8" x14ac:dyDescent="0.25">
      <c r="B4962" t="str">
        <f t="shared" si="77"/>
        <v>LAOPopulation ages 80 and above, male</v>
      </c>
      <c r="C4962" t="s">
        <v>540</v>
      </c>
      <c r="D4962" t="s">
        <v>76</v>
      </c>
      <c r="E4962" t="s">
        <v>395</v>
      </c>
      <c r="F4962" t="s">
        <v>724</v>
      </c>
      <c r="G4962">
        <v>16000</v>
      </c>
      <c r="H4962">
        <v>16000</v>
      </c>
    </row>
    <row r="4963" spans="2:8" x14ac:dyDescent="0.25">
      <c r="B4963" t="str">
        <f t="shared" si="77"/>
        <v>LAOPopulation, male</v>
      </c>
      <c r="C4963" t="s">
        <v>540</v>
      </c>
      <c r="D4963" t="s">
        <v>76</v>
      </c>
      <c r="E4963" t="s">
        <v>397</v>
      </c>
      <c r="F4963" t="s">
        <v>725</v>
      </c>
      <c r="G4963">
        <v>3599000</v>
      </c>
      <c r="H4963">
        <v>3652000</v>
      </c>
    </row>
    <row r="4964" spans="2:8" x14ac:dyDescent="0.25">
      <c r="B4964" t="str">
        <f t="shared" si="77"/>
        <v>LAOPopulation, total</v>
      </c>
      <c r="C4964" t="s">
        <v>540</v>
      </c>
      <c r="D4964" t="s">
        <v>76</v>
      </c>
      <c r="E4964" t="s">
        <v>398</v>
      </c>
      <c r="F4964" t="s">
        <v>726</v>
      </c>
      <c r="G4964">
        <v>7169000</v>
      </c>
      <c r="H4964">
        <v>7276000</v>
      </c>
    </row>
    <row r="4965" spans="2:8" x14ac:dyDescent="0.25">
      <c r="B4965" t="str">
        <f t="shared" si="77"/>
        <v>LAOPopulation, female</v>
      </c>
      <c r="C4965" t="s">
        <v>540</v>
      </c>
      <c r="D4965" t="s">
        <v>76</v>
      </c>
      <c r="E4965" t="s">
        <v>396</v>
      </c>
      <c r="F4965" t="s">
        <v>727</v>
      </c>
      <c r="G4965">
        <v>3570000</v>
      </c>
      <c r="H4965">
        <v>3624000</v>
      </c>
    </row>
    <row r="4966" spans="2:8" x14ac:dyDescent="0.25">
      <c r="B4966" t="str">
        <f t="shared" si="77"/>
        <v>LAOPopulation growth (annual %)</v>
      </c>
      <c r="C4966" t="s">
        <v>540</v>
      </c>
      <c r="D4966" t="s">
        <v>76</v>
      </c>
      <c r="E4966" t="s">
        <v>399</v>
      </c>
      <c r="F4966" t="s">
        <v>728</v>
      </c>
      <c r="G4966">
        <v>0</v>
      </c>
      <c r="H4966">
        <v>0</v>
      </c>
    </row>
    <row r="4967" spans="2:8" x14ac:dyDescent="0.25">
      <c r="B4967" t="str">
        <f t="shared" si="77"/>
        <v>LTEPopulation ages 0-14, female</v>
      </c>
      <c r="C4967" t="s">
        <v>541</v>
      </c>
      <c r="D4967" t="s">
        <v>542</v>
      </c>
      <c r="E4967" t="s">
        <v>687</v>
      </c>
      <c r="F4967" t="s">
        <v>688</v>
      </c>
      <c r="G4967">
        <v>206351200</v>
      </c>
      <c r="H4967">
        <v>206231100</v>
      </c>
    </row>
    <row r="4968" spans="2:8" x14ac:dyDescent="0.25">
      <c r="B4968" t="str">
        <f t="shared" si="77"/>
        <v>LTEPopulation ages 0-14, male</v>
      </c>
      <c r="C4968" t="s">
        <v>541</v>
      </c>
      <c r="D4968" t="s">
        <v>542</v>
      </c>
      <c r="E4968" t="s">
        <v>689</v>
      </c>
      <c r="F4968" t="s">
        <v>690</v>
      </c>
      <c r="G4968">
        <v>228954500</v>
      </c>
      <c r="H4968">
        <v>228541400</v>
      </c>
    </row>
    <row r="4969" spans="2:8" x14ac:dyDescent="0.25">
      <c r="B4969" t="str">
        <f t="shared" si="77"/>
        <v>LTEPopulation ages 00-04, female</v>
      </c>
      <c r="C4969" t="s">
        <v>541</v>
      </c>
      <c r="D4969" t="s">
        <v>542</v>
      </c>
      <c r="E4969" t="s">
        <v>362</v>
      </c>
      <c r="F4969" t="s">
        <v>691</v>
      </c>
      <c r="G4969">
        <v>69521400</v>
      </c>
      <c r="H4969">
        <v>68782200</v>
      </c>
    </row>
    <row r="4970" spans="2:8" x14ac:dyDescent="0.25">
      <c r="B4970" t="str">
        <f t="shared" si="77"/>
        <v>LTEPopulation ages 00-04, male</v>
      </c>
      <c r="C4970" t="s">
        <v>541</v>
      </c>
      <c r="D4970" t="s">
        <v>542</v>
      </c>
      <c r="E4970" t="s">
        <v>363</v>
      </c>
      <c r="F4970" t="s">
        <v>692</v>
      </c>
      <c r="G4970">
        <v>76443800</v>
      </c>
      <c r="H4970">
        <v>75484700</v>
      </c>
    </row>
    <row r="4971" spans="2:8" x14ac:dyDescent="0.25">
      <c r="B4971" t="str">
        <f t="shared" si="77"/>
        <v>LTEPopulation ages 05-09, female</v>
      </c>
      <c r="C4971" t="s">
        <v>541</v>
      </c>
      <c r="D4971" t="s">
        <v>542</v>
      </c>
      <c r="E4971" t="s">
        <v>364</v>
      </c>
      <c r="F4971" t="s">
        <v>693</v>
      </c>
      <c r="G4971">
        <v>69660100</v>
      </c>
      <c r="H4971">
        <v>69936400</v>
      </c>
    </row>
    <row r="4972" spans="2:8" x14ac:dyDescent="0.25">
      <c r="B4972" t="str">
        <f t="shared" si="77"/>
        <v>LTEPopulation ages 05-09, male</v>
      </c>
      <c r="C4972" t="s">
        <v>541</v>
      </c>
      <c r="D4972" t="s">
        <v>542</v>
      </c>
      <c r="E4972" t="s">
        <v>365</v>
      </c>
      <c r="F4972" t="s">
        <v>694</v>
      </c>
      <c r="G4972">
        <v>77444300</v>
      </c>
      <c r="H4972">
        <v>77554200</v>
      </c>
    </row>
    <row r="4973" spans="2:8" x14ac:dyDescent="0.25">
      <c r="B4973" t="str">
        <f t="shared" si="77"/>
        <v>LTEPopulation ages 10-14, female</v>
      </c>
      <c r="C4973" t="s">
        <v>541</v>
      </c>
      <c r="D4973" t="s">
        <v>542</v>
      </c>
      <c r="E4973" t="s">
        <v>366</v>
      </c>
      <c r="F4973" t="s">
        <v>695</v>
      </c>
      <c r="G4973">
        <v>67168900</v>
      </c>
      <c r="H4973">
        <v>67514800</v>
      </c>
    </row>
    <row r="4974" spans="2:8" x14ac:dyDescent="0.25">
      <c r="B4974" t="str">
        <f t="shared" si="77"/>
        <v>LTEPopulation ages 10-14, male</v>
      </c>
      <c r="C4974" t="s">
        <v>541</v>
      </c>
      <c r="D4974" t="s">
        <v>542</v>
      </c>
      <c r="E4974" t="s">
        <v>367</v>
      </c>
      <c r="F4974" t="s">
        <v>696</v>
      </c>
      <c r="G4974">
        <v>75057900</v>
      </c>
      <c r="H4974">
        <v>75505500</v>
      </c>
    </row>
    <row r="4975" spans="2:8" x14ac:dyDescent="0.25">
      <c r="B4975" t="str">
        <f t="shared" si="77"/>
        <v>LTEPopulation ages 15-19, female</v>
      </c>
      <c r="C4975" t="s">
        <v>541</v>
      </c>
      <c r="D4975" t="s">
        <v>542</v>
      </c>
      <c r="E4975" t="s">
        <v>368</v>
      </c>
      <c r="F4975" t="s">
        <v>697</v>
      </c>
      <c r="G4975">
        <v>66965100</v>
      </c>
      <c r="H4975">
        <v>66516700</v>
      </c>
    </row>
    <row r="4976" spans="2:8" x14ac:dyDescent="0.25">
      <c r="B4976" t="str">
        <f t="shared" si="77"/>
        <v>LTEPopulation ages 15-19, male</v>
      </c>
      <c r="C4976" t="s">
        <v>541</v>
      </c>
      <c r="D4976" t="s">
        <v>542</v>
      </c>
      <c r="E4976" t="s">
        <v>369</v>
      </c>
      <c r="F4976" t="s">
        <v>698</v>
      </c>
      <c r="G4976">
        <v>73968400</v>
      </c>
      <c r="H4976">
        <v>73624000</v>
      </c>
    </row>
    <row r="4977" spans="2:8" x14ac:dyDescent="0.25">
      <c r="B4977" t="str">
        <f t="shared" si="77"/>
        <v>LTEPopulation ages 20-24, female</v>
      </c>
      <c r="C4977" t="s">
        <v>541</v>
      </c>
      <c r="D4977" t="s">
        <v>542</v>
      </c>
      <c r="E4977" t="s">
        <v>370</v>
      </c>
      <c r="F4977" t="s">
        <v>699</v>
      </c>
      <c r="G4977">
        <v>71602400</v>
      </c>
      <c r="H4977">
        <v>70279200</v>
      </c>
    </row>
    <row r="4978" spans="2:8" x14ac:dyDescent="0.25">
      <c r="B4978" t="str">
        <f t="shared" si="77"/>
        <v>LTEPopulation ages 20-24, male</v>
      </c>
      <c r="C4978" t="s">
        <v>541</v>
      </c>
      <c r="D4978" t="s">
        <v>542</v>
      </c>
      <c r="E4978" t="s">
        <v>371</v>
      </c>
      <c r="F4978" t="s">
        <v>700</v>
      </c>
      <c r="G4978">
        <v>78524700</v>
      </c>
      <c r="H4978">
        <v>77185300</v>
      </c>
    </row>
    <row r="4979" spans="2:8" x14ac:dyDescent="0.25">
      <c r="B4979" t="str">
        <f t="shared" si="77"/>
        <v>LTEPopulation ages 25-29, female</v>
      </c>
      <c r="C4979" t="s">
        <v>541</v>
      </c>
      <c r="D4979" t="s">
        <v>542</v>
      </c>
      <c r="E4979" t="s">
        <v>372</v>
      </c>
      <c r="F4979" t="s">
        <v>701</v>
      </c>
      <c r="G4979">
        <v>82851800</v>
      </c>
      <c r="H4979">
        <v>79029100</v>
      </c>
    </row>
    <row r="4980" spans="2:8" x14ac:dyDescent="0.25">
      <c r="B4980" t="str">
        <f t="shared" si="77"/>
        <v>LTEPopulation ages 25-29, male</v>
      </c>
      <c r="C4980" t="s">
        <v>541</v>
      </c>
      <c r="D4980" t="s">
        <v>542</v>
      </c>
      <c r="E4980" t="s">
        <v>373</v>
      </c>
      <c r="F4980" t="s">
        <v>702</v>
      </c>
      <c r="G4980">
        <v>89926300</v>
      </c>
      <c r="H4980">
        <v>86321800</v>
      </c>
    </row>
    <row r="4981" spans="2:8" x14ac:dyDescent="0.25">
      <c r="B4981" t="str">
        <f t="shared" si="77"/>
        <v>LTEPopulation ages 30-34, female</v>
      </c>
      <c r="C4981" t="s">
        <v>541</v>
      </c>
      <c r="D4981" t="s">
        <v>542</v>
      </c>
      <c r="E4981" t="s">
        <v>374</v>
      </c>
      <c r="F4981" t="s">
        <v>703</v>
      </c>
      <c r="G4981">
        <v>96300300</v>
      </c>
      <c r="H4981">
        <v>96733500</v>
      </c>
    </row>
    <row r="4982" spans="2:8" x14ac:dyDescent="0.25">
      <c r="B4982" t="str">
        <f t="shared" si="77"/>
        <v>LTEPopulation ages 30-34, male</v>
      </c>
      <c r="C4982" t="s">
        <v>541</v>
      </c>
      <c r="D4982" t="s">
        <v>542</v>
      </c>
      <c r="E4982" t="s">
        <v>375</v>
      </c>
      <c r="F4982" t="s">
        <v>704</v>
      </c>
      <c r="G4982">
        <v>101958200</v>
      </c>
      <c r="H4982">
        <v>102802600</v>
      </c>
    </row>
    <row r="4983" spans="2:8" x14ac:dyDescent="0.25">
      <c r="B4983" t="str">
        <f t="shared" si="77"/>
        <v>LTEPopulation ages 35-39, female</v>
      </c>
      <c r="C4983" t="s">
        <v>541</v>
      </c>
      <c r="D4983" t="s">
        <v>542</v>
      </c>
      <c r="E4983" t="s">
        <v>376</v>
      </c>
      <c r="F4983" t="s">
        <v>705</v>
      </c>
      <c r="G4983">
        <v>80566600</v>
      </c>
      <c r="H4983">
        <v>82663600</v>
      </c>
    </row>
    <row r="4984" spans="2:8" x14ac:dyDescent="0.25">
      <c r="B4984" t="str">
        <f t="shared" si="77"/>
        <v>LTEPopulation ages 35-39, male</v>
      </c>
      <c r="C4984" t="s">
        <v>541</v>
      </c>
      <c r="D4984" t="s">
        <v>542</v>
      </c>
      <c r="E4984" t="s">
        <v>377</v>
      </c>
      <c r="F4984" t="s">
        <v>706</v>
      </c>
      <c r="G4984">
        <v>83828800</v>
      </c>
      <c r="H4984">
        <v>86143700</v>
      </c>
    </row>
    <row r="4985" spans="2:8" x14ac:dyDescent="0.25">
      <c r="B4985" t="str">
        <f t="shared" si="77"/>
        <v>LTEPopulation ages 40-44, female</v>
      </c>
      <c r="C4985" t="s">
        <v>541</v>
      </c>
      <c r="D4985" t="s">
        <v>542</v>
      </c>
      <c r="E4985" t="s">
        <v>378</v>
      </c>
      <c r="F4985" t="s">
        <v>707</v>
      </c>
      <c r="G4985">
        <v>79794900</v>
      </c>
      <c r="H4985">
        <v>78386600</v>
      </c>
    </row>
    <row r="4986" spans="2:8" x14ac:dyDescent="0.25">
      <c r="B4986" t="str">
        <f t="shared" si="77"/>
        <v>LTEPopulation ages 40-44, male</v>
      </c>
      <c r="C4986" t="s">
        <v>541</v>
      </c>
      <c r="D4986" t="s">
        <v>542</v>
      </c>
      <c r="E4986" t="s">
        <v>379</v>
      </c>
      <c r="F4986" t="s">
        <v>708</v>
      </c>
      <c r="G4986">
        <v>82041500</v>
      </c>
      <c r="H4986">
        <v>80579300</v>
      </c>
    </row>
    <row r="4987" spans="2:8" x14ac:dyDescent="0.25">
      <c r="B4987" t="str">
        <f t="shared" si="77"/>
        <v>LTEPopulation ages 45-49, female</v>
      </c>
      <c r="C4987" t="s">
        <v>541</v>
      </c>
      <c r="D4987" t="s">
        <v>542</v>
      </c>
      <c r="E4987" t="s">
        <v>380</v>
      </c>
      <c r="F4987" t="s">
        <v>709</v>
      </c>
      <c r="G4987">
        <v>89150100</v>
      </c>
      <c r="H4987">
        <v>87688000</v>
      </c>
    </row>
    <row r="4988" spans="2:8" x14ac:dyDescent="0.25">
      <c r="B4988" t="str">
        <f t="shared" si="77"/>
        <v>LTEPopulation ages 45-49, male</v>
      </c>
      <c r="C4988" t="s">
        <v>541</v>
      </c>
      <c r="D4988" t="s">
        <v>542</v>
      </c>
      <c r="E4988" t="s">
        <v>381</v>
      </c>
      <c r="F4988" t="s">
        <v>710</v>
      </c>
      <c r="G4988">
        <v>90729200</v>
      </c>
      <c r="H4988">
        <v>89401200</v>
      </c>
    </row>
    <row r="4989" spans="2:8" x14ac:dyDescent="0.25">
      <c r="B4989" t="str">
        <f t="shared" si="77"/>
        <v>LTEPopulation ages 50-54, female</v>
      </c>
      <c r="C4989" t="s">
        <v>541</v>
      </c>
      <c r="D4989" t="s">
        <v>542</v>
      </c>
      <c r="E4989" t="s">
        <v>382</v>
      </c>
      <c r="F4989" t="s">
        <v>711</v>
      </c>
      <c r="G4989">
        <v>86663400</v>
      </c>
      <c r="H4989">
        <v>88059700</v>
      </c>
    </row>
    <row r="4990" spans="2:8" x14ac:dyDescent="0.25">
      <c r="B4990" t="str">
        <f t="shared" si="77"/>
        <v>LTEPopulation ages 50-54, male</v>
      </c>
      <c r="C4990" t="s">
        <v>541</v>
      </c>
      <c r="D4990" t="s">
        <v>542</v>
      </c>
      <c r="E4990" t="s">
        <v>383</v>
      </c>
      <c r="F4990" t="s">
        <v>712</v>
      </c>
      <c r="G4990">
        <v>86303300</v>
      </c>
      <c r="H4990">
        <v>87748400</v>
      </c>
    </row>
    <row r="4991" spans="2:8" x14ac:dyDescent="0.25">
      <c r="B4991" t="str">
        <f t="shared" si="77"/>
        <v>LTEPopulation ages 55-59, male</v>
      </c>
      <c r="C4991" t="s">
        <v>541</v>
      </c>
      <c r="D4991" t="s">
        <v>542</v>
      </c>
      <c r="E4991" t="s">
        <v>385</v>
      </c>
      <c r="F4991" t="s">
        <v>713</v>
      </c>
      <c r="G4991">
        <v>71492700</v>
      </c>
      <c r="H4991">
        <v>73974400</v>
      </c>
    </row>
    <row r="4992" spans="2:8" x14ac:dyDescent="0.25">
      <c r="B4992" t="str">
        <f t="shared" si="77"/>
        <v>LTEPopulation ages 55-59, female</v>
      </c>
      <c r="C4992" t="s">
        <v>541</v>
      </c>
      <c r="D4992" t="s">
        <v>542</v>
      </c>
      <c r="E4992" t="s">
        <v>384</v>
      </c>
      <c r="F4992" t="s">
        <v>714</v>
      </c>
      <c r="G4992">
        <v>72778600</v>
      </c>
      <c r="H4992">
        <v>75226700</v>
      </c>
    </row>
    <row r="4993" spans="2:8" x14ac:dyDescent="0.25">
      <c r="B4993" t="str">
        <f t="shared" si="77"/>
        <v>LTEPopulation ages 65-69, male</v>
      </c>
      <c r="C4993" t="s">
        <v>541</v>
      </c>
      <c r="D4993" t="s">
        <v>542</v>
      </c>
      <c r="E4993" t="s">
        <v>389</v>
      </c>
      <c r="F4993" t="s">
        <v>715</v>
      </c>
      <c r="G4993">
        <v>49780800</v>
      </c>
      <c r="H4993">
        <v>51782000</v>
      </c>
    </row>
    <row r="4994" spans="2:8" x14ac:dyDescent="0.25">
      <c r="B4994" t="str">
        <f t="shared" si="77"/>
        <v>LTEPopulation ages 65-69, female</v>
      </c>
      <c r="C4994" t="s">
        <v>541</v>
      </c>
      <c r="D4994" t="s">
        <v>542</v>
      </c>
      <c r="E4994" t="s">
        <v>388</v>
      </c>
      <c r="F4994" t="s">
        <v>716</v>
      </c>
      <c r="G4994">
        <v>55065600</v>
      </c>
      <c r="H4994">
        <v>57247400</v>
      </c>
    </row>
    <row r="4995" spans="2:8" x14ac:dyDescent="0.25">
      <c r="B4995" t="str">
        <f t="shared" si="77"/>
        <v>LTEPopulation ages 60-64, female</v>
      </c>
      <c r="C4995" t="s">
        <v>541</v>
      </c>
      <c r="D4995" t="s">
        <v>542</v>
      </c>
      <c r="E4995" t="s">
        <v>386</v>
      </c>
      <c r="F4995" t="s">
        <v>717</v>
      </c>
      <c r="G4995">
        <v>62152600</v>
      </c>
      <c r="H4995">
        <v>62878200</v>
      </c>
    </row>
    <row r="4996" spans="2:8" x14ac:dyDescent="0.25">
      <c r="B4996" t="str">
        <f t="shared" si="77"/>
        <v>LTEPopulation ages 60-64, male</v>
      </c>
      <c r="C4996" t="s">
        <v>541</v>
      </c>
      <c r="D4996" t="s">
        <v>542</v>
      </c>
      <c r="E4996" t="s">
        <v>387</v>
      </c>
      <c r="F4996" t="s">
        <v>718</v>
      </c>
      <c r="G4996">
        <v>58678700</v>
      </c>
      <c r="H4996">
        <v>59517900</v>
      </c>
    </row>
    <row r="4997" spans="2:8" x14ac:dyDescent="0.25">
      <c r="B4997" t="str">
        <f t="shared" si="77"/>
        <v>LTEPopulation ages 70-74, female</v>
      </c>
      <c r="C4997" t="s">
        <v>541</v>
      </c>
      <c r="D4997" t="s">
        <v>542</v>
      </c>
      <c r="E4997" t="s">
        <v>390</v>
      </c>
      <c r="F4997" t="s">
        <v>719</v>
      </c>
      <c r="G4997">
        <v>34902700</v>
      </c>
      <c r="H4997">
        <v>37543800</v>
      </c>
    </row>
    <row r="4998" spans="2:8" x14ac:dyDescent="0.25">
      <c r="B4998" t="str">
        <f t="shared" si="77"/>
        <v>LTEPopulation ages 70-74, male</v>
      </c>
      <c r="C4998" t="s">
        <v>541</v>
      </c>
      <c r="D4998" t="s">
        <v>542</v>
      </c>
      <c r="E4998" t="s">
        <v>391</v>
      </c>
      <c r="F4998" t="s">
        <v>720</v>
      </c>
      <c r="G4998">
        <v>29221900</v>
      </c>
      <c r="H4998">
        <v>31442700</v>
      </c>
    </row>
    <row r="4999" spans="2:8" x14ac:dyDescent="0.25">
      <c r="B4999" t="str">
        <f t="shared" ref="B4999:B5062" si="78">CONCATENATE(D4999,E4999)</f>
        <v>LTEPopulation ages 75-79, female</v>
      </c>
      <c r="C4999" t="s">
        <v>541</v>
      </c>
      <c r="D4999" t="s">
        <v>542</v>
      </c>
      <c r="E4999" t="s">
        <v>392</v>
      </c>
      <c r="F4999" t="s">
        <v>721</v>
      </c>
      <c r="G4999">
        <v>23192300</v>
      </c>
      <c r="H4999">
        <v>23895500</v>
      </c>
    </row>
    <row r="5000" spans="2:8" x14ac:dyDescent="0.25">
      <c r="B5000" t="str">
        <f t="shared" si="78"/>
        <v>LTEPopulation ages 75-79, male</v>
      </c>
      <c r="C5000" t="s">
        <v>541</v>
      </c>
      <c r="D5000" t="s">
        <v>542</v>
      </c>
      <c r="E5000" t="s">
        <v>393</v>
      </c>
      <c r="F5000" t="s">
        <v>722</v>
      </c>
      <c r="G5000">
        <v>17681500</v>
      </c>
      <c r="H5000">
        <v>18214700</v>
      </c>
    </row>
    <row r="5001" spans="2:8" x14ac:dyDescent="0.25">
      <c r="B5001" t="str">
        <f t="shared" si="78"/>
        <v>LTEPopulation ages 80 and above, female</v>
      </c>
      <c r="C5001" t="s">
        <v>541</v>
      </c>
      <c r="D5001" t="s">
        <v>542</v>
      </c>
      <c r="E5001" t="s">
        <v>394</v>
      </c>
      <c r="F5001" t="s">
        <v>723</v>
      </c>
      <c r="G5001">
        <v>29814900</v>
      </c>
      <c r="H5001">
        <v>30439400</v>
      </c>
    </row>
    <row r="5002" spans="2:8" x14ac:dyDescent="0.25">
      <c r="B5002" t="str">
        <f t="shared" si="78"/>
        <v>LTEPopulation ages 80 and above, male</v>
      </c>
      <c r="C5002" t="s">
        <v>541</v>
      </c>
      <c r="D5002" t="s">
        <v>542</v>
      </c>
      <c r="E5002" t="s">
        <v>395</v>
      </c>
      <c r="F5002" t="s">
        <v>724</v>
      </c>
      <c r="G5002">
        <v>17432500</v>
      </c>
      <c r="H5002">
        <v>17571900</v>
      </c>
    </row>
    <row r="5003" spans="2:8" x14ac:dyDescent="0.25">
      <c r="B5003" t="str">
        <f t="shared" si="78"/>
        <v>LTEPopulation, male</v>
      </c>
      <c r="C5003" t="s">
        <v>541</v>
      </c>
      <c r="D5003" t="s">
        <v>542</v>
      </c>
      <c r="E5003" t="s">
        <v>397</v>
      </c>
      <c r="F5003" t="s">
        <v>725</v>
      </c>
      <c r="G5003">
        <v>1160515000</v>
      </c>
      <c r="H5003">
        <v>1164857000</v>
      </c>
    </row>
    <row r="5004" spans="2:8" x14ac:dyDescent="0.25">
      <c r="B5004" t="str">
        <f t="shared" si="78"/>
        <v>LTEPopulation, total</v>
      </c>
      <c r="C5004" t="s">
        <v>541</v>
      </c>
      <c r="D5004" t="s">
        <v>542</v>
      </c>
      <c r="E5004" t="s">
        <v>398</v>
      </c>
      <c r="F5004" t="s">
        <v>726</v>
      </c>
      <c r="G5004">
        <v>2298671000</v>
      </c>
      <c r="H5004">
        <v>2307681000</v>
      </c>
    </row>
    <row r="5005" spans="2:8" x14ac:dyDescent="0.25">
      <c r="B5005" t="str">
        <f t="shared" si="78"/>
        <v>LTEPopulation, female</v>
      </c>
      <c r="C5005" t="s">
        <v>541</v>
      </c>
      <c r="D5005" t="s">
        <v>542</v>
      </c>
      <c r="E5005" t="s">
        <v>396</v>
      </c>
      <c r="F5005" t="s">
        <v>727</v>
      </c>
      <c r="G5005">
        <v>1138155000</v>
      </c>
      <c r="H5005">
        <v>1142825000</v>
      </c>
    </row>
    <row r="5006" spans="2:8" x14ac:dyDescent="0.25">
      <c r="B5006" t="str">
        <f t="shared" si="78"/>
        <v>LTEPopulation growth (annual %)</v>
      </c>
      <c r="C5006" t="s">
        <v>541</v>
      </c>
      <c r="D5006" t="s">
        <v>542</v>
      </c>
      <c r="E5006" t="s">
        <v>399</v>
      </c>
      <c r="F5006" t="s">
        <v>728</v>
      </c>
      <c r="G5006">
        <v>0.43715584369880389</v>
      </c>
      <c r="H5006">
        <v>0.39196561839428057</v>
      </c>
    </row>
    <row r="5007" spans="2:8" x14ac:dyDescent="0.25">
      <c r="B5007" t="str">
        <f t="shared" si="78"/>
        <v>LCNPopulation ages 0-14, female</v>
      </c>
      <c r="C5007" t="s">
        <v>543</v>
      </c>
      <c r="D5007" t="s">
        <v>544</v>
      </c>
      <c r="E5007" t="s">
        <v>687</v>
      </c>
      <c r="F5007" t="s">
        <v>688</v>
      </c>
      <c r="G5007">
        <v>76717200</v>
      </c>
      <c r="H5007">
        <v>76393100</v>
      </c>
    </row>
    <row r="5008" spans="2:8" x14ac:dyDescent="0.25">
      <c r="B5008" t="str">
        <f t="shared" si="78"/>
        <v>LCNPopulation ages 0-14, male</v>
      </c>
      <c r="C5008" t="s">
        <v>543</v>
      </c>
      <c r="D5008" t="s">
        <v>544</v>
      </c>
      <c r="E5008" t="s">
        <v>689</v>
      </c>
      <c r="F5008" t="s">
        <v>690</v>
      </c>
      <c r="G5008">
        <v>79953500</v>
      </c>
      <c r="H5008">
        <v>79628400</v>
      </c>
    </row>
    <row r="5009" spans="2:8" x14ac:dyDescent="0.25">
      <c r="B5009" t="str">
        <f t="shared" si="78"/>
        <v>LCNPopulation ages 00-04, female</v>
      </c>
      <c r="C5009" t="s">
        <v>543</v>
      </c>
      <c r="D5009" t="s">
        <v>544</v>
      </c>
      <c r="E5009" t="s">
        <v>362</v>
      </c>
      <c r="F5009" t="s">
        <v>691</v>
      </c>
      <c r="G5009">
        <v>25365000</v>
      </c>
      <c r="H5009">
        <v>25226800</v>
      </c>
    </row>
    <row r="5010" spans="2:8" x14ac:dyDescent="0.25">
      <c r="B5010" t="str">
        <f t="shared" si="78"/>
        <v>LCNPopulation ages 00-04, male</v>
      </c>
      <c r="C5010" t="s">
        <v>543</v>
      </c>
      <c r="D5010" t="s">
        <v>544</v>
      </c>
      <c r="E5010" t="s">
        <v>363</v>
      </c>
      <c r="F5010" t="s">
        <v>692</v>
      </c>
      <c r="G5010">
        <v>26521400</v>
      </c>
      <c r="H5010">
        <v>26379100</v>
      </c>
    </row>
    <row r="5011" spans="2:8" x14ac:dyDescent="0.25">
      <c r="B5011" t="str">
        <f t="shared" si="78"/>
        <v>LCNPopulation ages 05-09, female</v>
      </c>
      <c r="C5011" t="s">
        <v>543</v>
      </c>
      <c r="D5011" t="s">
        <v>544</v>
      </c>
      <c r="E5011" t="s">
        <v>364</v>
      </c>
      <c r="F5011" t="s">
        <v>693</v>
      </c>
      <c r="G5011">
        <v>25554600</v>
      </c>
      <c r="H5011">
        <v>25519400</v>
      </c>
    </row>
    <row r="5012" spans="2:8" x14ac:dyDescent="0.25">
      <c r="B5012" t="str">
        <f t="shared" si="78"/>
        <v>LCNPopulation ages 05-09, male</v>
      </c>
      <c r="C5012" t="s">
        <v>543</v>
      </c>
      <c r="D5012" t="s">
        <v>544</v>
      </c>
      <c r="E5012" t="s">
        <v>365</v>
      </c>
      <c r="F5012" t="s">
        <v>694</v>
      </c>
      <c r="G5012">
        <v>26634900</v>
      </c>
      <c r="H5012">
        <v>26610700</v>
      </c>
    </row>
    <row r="5013" spans="2:8" x14ac:dyDescent="0.25">
      <c r="B5013" t="str">
        <f t="shared" si="78"/>
        <v>LCNPopulation ages 10-14, female</v>
      </c>
      <c r="C5013" t="s">
        <v>543</v>
      </c>
      <c r="D5013" t="s">
        <v>544</v>
      </c>
      <c r="E5013" t="s">
        <v>366</v>
      </c>
      <c r="F5013" t="s">
        <v>695</v>
      </c>
      <c r="G5013">
        <v>25792300</v>
      </c>
      <c r="H5013">
        <v>25649000</v>
      </c>
    </row>
    <row r="5014" spans="2:8" x14ac:dyDescent="0.25">
      <c r="B5014" t="str">
        <f t="shared" si="78"/>
        <v>LCNPopulation ages 10-14, male</v>
      </c>
      <c r="C5014" t="s">
        <v>543</v>
      </c>
      <c r="D5014" t="s">
        <v>544</v>
      </c>
      <c r="E5014" t="s">
        <v>367</v>
      </c>
      <c r="F5014" t="s">
        <v>696</v>
      </c>
      <c r="G5014">
        <v>26793400</v>
      </c>
      <c r="H5014">
        <v>26644900</v>
      </c>
    </row>
    <row r="5015" spans="2:8" x14ac:dyDescent="0.25">
      <c r="B5015" t="str">
        <f t="shared" si="78"/>
        <v>LCNPopulation ages 15-19, female</v>
      </c>
      <c r="C5015" t="s">
        <v>543</v>
      </c>
      <c r="D5015" t="s">
        <v>544</v>
      </c>
      <c r="E5015" t="s">
        <v>368</v>
      </c>
      <c r="F5015" t="s">
        <v>697</v>
      </c>
      <c r="G5015">
        <v>26504900</v>
      </c>
      <c r="H5015">
        <v>26307600</v>
      </c>
    </row>
    <row r="5016" spans="2:8" x14ac:dyDescent="0.25">
      <c r="B5016" t="str">
        <f t="shared" si="78"/>
        <v>LCNPopulation ages 15-19, male</v>
      </c>
      <c r="C5016" t="s">
        <v>543</v>
      </c>
      <c r="D5016" t="s">
        <v>544</v>
      </c>
      <c r="E5016" t="s">
        <v>369</v>
      </c>
      <c r="F5016" t="s">
        <v>698</v>
      </c>
      <c r="G5016">
        <v>27333800</v>
      </c>
      <c r="H5016">
        <v>27158300</v>
      </c>
    </row>
    <row r="5017" spans="2:8" x14ac:dyDescent="0.25">
      <c r="B5017" t="str">
        <f t="shared" si="78"/>
        <v>LCNPopulation ages 20-24, female</v>
      </c>
      <c r="C5017" t="s">
        <v>543</v>
      </c>
      <c r="D5017" t="s">
        <v>544</v>
      </c>
      <c r="E5017" t="s">
        <v>370</v>
      </c>
      <c r="F5017" t="s">
        <v>699</v>
      </c>
      <c r="G5017">
        <v>26840000</v>
      </c>
      <c r="H5017">
        <v>26765400</v>
      </c>
    </row>
    <row r="5018" spans="2:8" x14ac:dyDescent="0.25">
      <c r="B5018" t="str">
        <f t="shared" si="78"/>
        <v>LCNPopulation ages 20-24, male</v>
      </c>
      <c r="C5018" t="s">
        <v>543</v>
      </c>
      <c r="D5018" t="s">
        <v>544</v>
      </c>
      <c r="E5018" t="s">
        <v>371</v>
      </c>
      <c r="F5018" t="s">
        <v>700</v>
      </c>
      <c r="G5018">
        <v>27298900</v>
      </c>
      <c r="H5018">
        <v>27189400</v>
      </c>
    </row>
    <row r="5019" spans="2:8" x14ac:dyDescent="0.25">
      <c r="B5019" t="str">
        <f t="shared" si="78"/>
        <v>LCNPopulation ages 25-29, female</v>
      </c>
      <c r="C5019" t="s">
        <v>543</v>
      </c>
      <c r="D5019" t="s">
        <v>544</v>
      </c>
      <c r="E5019" t="s">
        <v>372</v>
      </c>
      <c r="F5019" t="s">
        <v>701</v>
      </c>
      <c r="G5019">
        <v>26436700</v>
      </c>
      <c r="H5019">
        <v>26531200</v>
      </c>
    </row>
    <row r="5020" spans="2:8" x14ac:dyDescent="0.25">
      <c r="B5020" t="str">
        <f t="shared" si="78"/>
        <v>LCNPopulation ages 25-29, male</v>
      </c>
      <c r="C5020" t="s">
        <v>543</v>
      </c>
      <c r="D5020" t="s">
        <v>544</v>
      </c>
      <c r="E5020" t="s">
        <v>373</v>
      </c>
      <c r="F5020" t="s">
        <v>702</v>
      </c>
      <c r="G5020">
        <v>26618700</v>
      </c>
      <c r="H5020">
        <v>26719400</v>
      </c>
    </row>
    <row r="5021" spans="2:8" x14ac:dyDescent="0.25">
      <c r="B5021" t="str">
        <f t="shared" si="78"/>
        <v>LCNPopulation ages 30-34, female</v>
      </c>
      <c r="C5021" t="s">
        <v>543</v>
      </c>
      <c r="D5021" t="s">
        <v>544</v>
      </c>
      <c r="E5021" t="s">
        <v>374</v>
      </c>
      <c r="F5021" t="s">
        <v>703</v>
      </c>
      <c r="G5021">
        <v>25454900</v>
      </c>
      <c r="H5021">
        <v>25604900</v>
      </c>
    </row>
    <row r="5022" spans="2:8" x14ac:dyDescent="0.25">
      <c r="B5022" t="str">
        <f t="shared" si="78"/>
        <v>LCNPopulation ages 30-34, male</v>
      </c>
      <c r="C5022" t="s">
        <v>543</v>
      </c>
      <c r="D5022" t="s">
        <v>544</v>
      </c>
      <c r="E5022" t="s">
        <v>375</v>
      </c>
      <c r="F5022" t="s">
        <v>704</v>
      </c>
      <c r="G5022">
        <v>25102900</v>
      </c>
      <c r="H5022">
        <v>25305300</v>
      </c>
    </row>
    <row r="5023" spans="2:8" x14ac:dyDescent="0.25">
      <c r="B5023" t="str">
        <f t="shared" si="78"/>
        <v>LCNPopulation ages 35-39, female</v>
      </c>
      <c r="C5023" t="s">
        <v>543</v>
      </c>
      <c r="D5023" t="s">
        <v>544</v>
      </c>
      <c r="E5023" t="s">
        <v>376</v>
      </c>
      <c r="F5023" t="s">
        <v>705</v>
      </c>
      <c r="G5023">
        <v>24279400</v>
      </c>
      <c r="H5023">
        <v>24557300</v>
      </c>
    </row>
    <row r="5024" spans="2:8" x14ac:dyDescent="0.25">
      <c r="B5024" t="str">
        <f t="shared" si="78"/>
        <v>LCNPopulation ages 35-39, male</v>
      </c>
      <c r="C5024" t="s">
        <v>543</v>
      </c>
      <c r="D5024" t="s">
        <v>544</v>
      </c>
      <c r="E5024" t="s">
        <v>377</v>
      </c>
      <c r="F5024" t="s">
        <v>706</v>
      </c>
      <c r="G5024">
        <v>23527600</v>
      </c>
      <c r="H5024">
        <v>23863700</v>
      </c>
    </row>
    <row r="5025" spans="2:8" x14ac:dyDescent="0.25">
      <c r="B5025" t="str">
        <f t="shared" si="78"/>
        <v>LCNPopulation ages 40-44, female</v>
      </c>
      <c r="C5025" t="s">
        <v>543</v>
      </c>
      <c r="D5025" t="s">
        <v>544</v>
      </c>
      <c r="E5025" t="s">
        <v>378</v>
      </c>
      <c r="F5025" t="s">
        <v>707</v>
      </c>
      <c r="G5025">
        <v>22274000</v>
      </c>
      <c r="H5025">
        <v>22650900</v>
      </c>
    </row>
    <row r="5026" spans="2:8" x14ac:dyDescent="0.25">
      <c r="B5026" t="str">
        <f t="shared" si="78"/>
        <v>LCNPopulation ages 40-44, male</v>
      </c>
      <c r="C5026" t="s">
        <v>543</v>
      </c>
      <c r="D5026" t="s">
        <v>544</v>
      </c>
      <c r="E5026" t="s">
        <v>379</v>
      </c>
      <c r="F5026" t="s">
        <v>708</v>
      </c>
      <c r="G5026">
        <v>21129500</v>
      </c>
      <c r="H5026">
        <v>21555300</v>
      </c>
    </row>
    <row r="5027" spans="2:8" x14ac:dyDescent="0.25">
      <c r="B5027" t="str">
        <f t="shared" si="78"/>
        <v>LCNPopulation ages 45-49, female</v>
      </c>
      <c r="C5027" t="s">
        <v>543</v>
      </c>
      <c r="D5027" t="s">
        <v>544</v>
      </c>
      <c r="E5027" t="s">
        <v>380</v>
      </c>
      <c r="F5027" t="s">
        <v>709</v>
      </c>
      <c r="G5027">
        <v>20257500</v>
      </c>
      <c r="H5027">
        <v>20562300</v>
      </c>
    </row>
    <row r="5028" spans="2:8" x14ac:dyDescent="0.25">
      <c r="B5028" t="str">
        <f t="shared" si="78"/>
        <v>LCNPopulation ages 45-49, male</v>
      </c>
      <c r="C5028" t="s">
        <v>543</v>
      </c>
      <c r="D5028" t="s">
        <v>544</v>
      </c>
      <c r="E5028" t="s">
        <v>381</v>
      </c>
      <c r="F5028" t="s">
        <v>710</v>
      </c>
      <c r="G5028">
        <v>18895300</v>
      </c>
      <c r="H5028">
        <v>19231100</v>
      </c>
    </row>
    <row r="5029" spans="2:8" x14ac:dyDescent="0.25">
      <c r="B5029" t="str">
        <f t="shared" si="78"/>
        <v>LCNPopulation ages 50-54, female</v>
      </c>
      <c r="C5029" t="s">
        <v>543</v>
      </c>
      <c r="D5029" t="s">
        <v>544</v>
      </c>
      <c r="E5029" t="s">
        <v>382</v>
      </c>
      <c r="F5029" t="s">
        <v>711</v>
      </c>
      <c r="G5029">
        <v>18553700</v>
      </c>
      <c r="H5029">
        <v>18831800</v>
      </c>
    </row>
    <row r="5030" spans="2:8" x14ac:dyDescent="0.25">
      <c r="B5030" t="str">
        <f t="shared" si="78"/>
        <v>LCNPopulation ages 50-54, male</v>
      </c>
      <c r="C5030" t="s">
        <v>543</v>
      </c>
      <c r="D5030" t="s">
        <v>544</v>
      </c>
      <c r="E5030" t="s">
        <v>383</v>
      </c>
      <c r="F5030" t="s">
        <v>712</v>
      </c>
      <c r="G5030">
        <v>17028100</v>
      </c>
      <c r="H5030">
        <v>17299000</v>
      </c>
    </row>
    <row r="5031" spans="2:8" x14ac:dyDescent="0.25">
      <c r="B5031" t="str">
        <f t="shared" si="78"/>
        <v>LCNPopulation ages 55-59, male</v>
      </c>
      <c r="C5031" t="s">
        <v>543</v>
      </c>
      <c r="D5031" t="s">
        <v>544</v>
      </c>
      <c r="E5031" t="s">
        <v>385</v>
      </c>
      <c r="F5031" t="s">
        <v>713</v>
      </c>
      <c r="G5031">
        <v>14848300</v>
      </c>
      <c r="H5031">
        <v>15248600</v>
      </c>
    </row>
    <row r="5032" spans="2:8" x14ac:dyDescent="0.25">
      <c r="B5032" t="str">
        <f t="shared" si="78"/>
        <v>LCNPopulation ages 55-59, female</v>
      </c>
      <c r="C5032" t="s">
        <v>543</v>
      </c>
      <c r="D5032" t="s">
        <v>544</v>
      </c>
      <c r="E5032" t="s">
        <v>384</v>
      </c>
      <c r="F5032" t="s">
        <v>714</v>
      </c>
      <c r="G5032">
        <v>16391700</v>
      </c>
      <c r="H5032">
        <v>16827500</v>
      </c>
    </row>
    <row r="5033" spans="2:8" x14ac:dyDescent="0.25">
      <c r="B5033" t="str">
        <f t="shared" si="78"/>
        <v>LCNPopulation ages 65-69, male</v>
      </c>
      <c r="C5033" t="s">
        <v>543</v>
      </c>
      <c r="D5033" t="s">
        <v>544</v>
      </c>
      <c r="E5033" t="s">
        <v>389</v>
      </c>
      <c r="F5033" t="s">
        <v>715</v>
      </c>
      <c r="G5033">
        <v>9245900</v>
      </c>
      <c r="H5033">
        <v>9612600</v>
      </c>
    </row>
    <row r="5034" spans="2:8" x14ac:dyDescent="0.25">
      <c r="B5034" t="str">
        <f t="shared" si="78"/>
        <v>LCNPopulation ages 65-69, female</v>
      </c>
      <c r="C5034" t="s">
        <v>543</v>
      </c>
      <c r="D5034" t="s">
        <v>544</v>
      </c>
      <c r="E5034" t="s">
        <v>388</v>
      </c>
      <c r="F5034" t="s">
        <v>716</v>
      </c>
      <c r="G5034">
        <v>10787000</v>
      </c>
      <c r="H5034">
        <v>11227700</v>
      </c>
    </row>
    <row r="5035" spans="2:8" x14ac:dyDescent="0.25">
      <c r="B5035" t="str">
        <f t="shared" si="78"/>
        <v>LCNPopulation ages 60-64, female</v>
      </c>
      <c r="C5035" t="s">
        <v>543</v>
      </c>
      <c r="D5035" t="s">
        <v>544</v>
      </c>
      <c r="E5035" t="s">
        <v>386</v>
      </c>
      <c r="F5035" t="s">
        <v>717</v>
      </c>
      <c r="G5035">
        <v>13461900</v>
      </c>
      <c r="H5035">
        <v>13895700</v>
      </c>
    </row>
    <row r="5036" spans="2:8" x14ac:dyDescent="0.25">
      <c r="B5036" t="str">
        <f t="shared" si="78"/>
        <v>LCNPopulation ages 60-64, male</v>
      </c>
      <c r="C5036" t="s">
        <v>543</v>
      </c>
      <c r="D5036" t="s">
        <v>544</v>
      </c>
      <c r="E5036" t="s">
        <v>387</v>
      </c>
      <c r="F5036" t="s">
        <v>718</v>
      </c>
      <c r="G5036">
        <v>11872400</v>
      </c>
      <c r="H5036">
        <v>12267400</v>
      </c>
    </row>
    <row r="5037" spans="2:8" x14ac:dyDescent="0.25">
      <c r="B5037" t="str">
        <f t="shared" si="78"/>
        <v>LCNPopulation ages 70-74, female</v>
      </c>
      <c r="C5037" t="s">
        <v>543</v>
      </c>
      <c r="D5037" t="s">
        <v>544</v>
      </c>
      <c r="E5037" t="s">
        <v>390</v>
      </c>
      <c r="F5037" t="s">
        <v>719</v>
      </c>
      <c r="G5037">
        <v>7863700</v>
      </c>
      <c r="H5037">
        <v>8235700</v>
      </c>
    </row>
    <row r="5038" spans="2:8" x14ac:dyDescent="0.25">
      <c r="B5038" t="str">
        <f t="shared" si="78"/>
        <v>LCNPopulation ages 70-74, male</v>
      </c>
      <c r="C5038" t="s">
        <v>543</v>
      </c>
      <c r="D5038" t="s">
        <v>544</v>
      </c>
      <c r="E5038" t="s">
        <v>391</v>
      </c>
      <c r="F5038" t="s">
        <v>720</v>
      </c>
      <c r="G5038">
        <v>6459400</v>
      </c>
      <c r="H5038">
        <v>6760900</v>
      </c>
    </row>
    <row r="5039" spans="2:8" x14ac:dyDescent="0.25">
      <c r="B5039" t="str">
        <f t="shared" si="78"/>
        <v>LCNPopulation ages 75-79, female</v>
      </c>
      <c r="C5039" t="s">
        <v>543</v>
      </c>
      <c r="D5039" t="s">
        <v>544</v>
      </c>
      <c r="E5039" t="s">
        <v>392</v>
      </c>
      <c r="F5039" t="s">
        <v>721</v>
      </c>
      <c r="G5039">
        <v>5620600</v>
      </c>
      <c r="H5039">
        <v>5838500</v>
      </c>
    </row>
    <row r="5040" spans="2:8" x14ac:dyDescent="0.25">
      <c r="B5040" t="str">
        <f t="shared" si="78"/>
        <v>LCNPopulation ages 75-79, male</v>
      </c>
      <c r="C5040" t="s">
        <v>543</v>
      </c>
      <c r="D5040" t="s">
        <v>544</v>
      </c>
      <c r="E5040" t="s">
        <v>393</v>
      </c>
      <c r="F5040" t="s">
        <v>722</v>
      </c>
      <c r="G5040">
        <v>4322600</v>
      </c>
      <c r="H5040">
        <v>4491400</v>
      </c>
    </row>
    <row r="5041" spans="2:8" x14ac:dyDescent="0.25">
      <c r="B5041" t="str">
        <f t="shared" si="78"/>
        <v>LCNPopulation ages 80 and above, female</v>
      </c>
      <c r="C5041" t="s">
        <v>543</v>
      </c>
      <c r="D5041" t="s">
        <v>544</v>
      </c>
      <c r="E5041" t="s">
        <v>394</v>
      </c>
      <c r="F5041" t="s">
        <v>723</v>
      </c>
      <c r="G5041">
        <v>7303200</v>
      </c>
      <c r="H5041">
        <v>7552100</v>
      </c>
    </row>
    <row r="5042" spans="2:8" x14ac:dyDescent="0.25">
      <c r="B5042" t="str">
        <f t="shared" si="78"/>
        <v>LCNPopulation ages 80 and above, male</v>
      </c>
      <c r="C5042" t="s">
        <v>543</v>
      </c>
      <c r="D5042" t="s">
        <v>544</v>
      </c>
      <c r="E5042" t="s">
        <v>395</v>
      </c>
      <c r="F5042" t="s">
        <v>724</v>
      </c>
      <c r="G5042">
        <v>4659600</v>
      </c>
      <c r="H5042">
        <v>4798900</v>
      </c>
    </row>
    <row r="5043" spans="2:8" x14ac:dyDescent="0.25">
      <c r="B5043" t="str">
        <f t="shared" si="78"/>
        <v>LCNPopulation, male</v>
      </c>
      <c r="C5043" t="s">
        <v>543</v>
      </c>
      <c r="D5043" t="s">
        <v>544</v>
      </c>
      <c r="E5043" t="s">
        <v>397</v>
      </c>
      <c r="F5043" t="s">
        <v>725</v>
      </c>
      <c r="G5043">
        <v>318283000</v>
      </c>
      <c r="H5043">
        <v>321131000</v>
      </c>
    </row>
    <row r="5044" spans="2:8" x14ac:dyDescent="0.25">
      <c r="B5044" t="str">
        <f t="shared" si="78"/>
        <v>LCNPopulation, total</v>
      </c>
      <c r="C5044" t="s">
        <v>543</v>
      </c>
      <c r="D5044" t="s">
        <v>544</v>
      </c>
      <c r="E5044" t="s">
        <v>398</v>
      </c>
      <c r="F5044" t="s">
        <v>726</v>
      </c>
      <c r="G5044">
        <v>647291000</v>
      </c>
      <c r="H5044">
        <v>653182000</v>
      </c>
    </row>
    <row r="5045" spans="2:8" x14ac:dyDescent="0.25">
      <c r="B5045" t="str">
        <f t="shared" si="78"/>
        <v>LCNPopulation, female</v>
      </c>
      <c r="C5045" t="s">
        <v>543</v>
      </c>
      <c r="D5045" t="s">
        <v>544</v>
      </c>
      <c r="E5045" t="s">
        <v>396</v>
      </c>
      <c r="F5045" t="s">
        <v>727</v>
      </c>
      <c r="G5045">
        <v>328748000</v>
      </c>
      <c r="H5045">
        <v>331787000</v>
      </c>
    </row>
    <row r="5046" spans="2:8" x14ac:dyDescent="0.25">
      <c r="B5046" t="str">
        <f t="shared" si="78"/>
        <v>LCNPopulation growth (annual %)</v>
      </c>
      <c r="C5046" t="s">
        <v>543</v>
      </c>
      <c r="D5046" t="s">
        <v>544</v>
      </c>
      <c r="E5046" t="s">
        <v>399</v>
      </c>
      <c r="F5046" t="s">
        <v>728</v>
      </c>
      <c r="G5046">
        <v>0.92514469094511753</v>
      </c>
      <c r="H5046">
        <v>0.91010071204451037</v>
      </c>
    </row>
    <row r="5047" spans="2:8" x14ac:dyDescent="0.25">
      <c r="B5047" t="str">
        <f t="shared" si="78"/>
        <v>LACPopulation ages 0-14, female</v>
      </c>
      <c r="C5047" t="s">
        <v>545</v>
      </c>
      <c r="D5047" t="s">
        <v>546</v>
      </c>
      <c r="E5047" t="s">
        <v>687</v>
      </c>
      <c r="F5047" t="s">
        <v>688</v>
      </c>
      <c r="G5047">
        <v>73499000</v>
      </c>
      <c r="H5047">
        <v>73192000</v>
      </c>
    </row>
    <row r="5048" spans="2:8" x14ac:dyDescent="0.25">
      <c r="B5048" t="str">
        <f t="shared" si="78"/>
        <v>LACPopulation ages 0-14, male</v>
      </c>
      <c r="C5048" t="s">
        <v>545</v>
      </c>
      <c r="D5048" t="s">
        <v>546</v>
      </c>
      <c r="E5048" t="s">
        <v>689</v>
      </c>
      <c r="F5048" t="s">
        <v>690</v>
      </c>
      <c r="G5048">
        <v>76605000</v>
      </c>
      <c r="H5048">
        <v>76299000</v>
      </c>
    </row>
    <row r="5049" spans="2:8" x14ac:dyDescent="0.25">
      <c r="B5049" t="str">
        <f t="shared" si="78"/>
        <v>LACPopulation ages 00-04, female</v>
      </c>
      <c r="C5049" t="s">
        <v>545</v>
      </c>
      <c r="D5049" t="s">
        <v>546</v>
      </c>
      <c r="E5049" t="s">
        <v>362</v>
      </c>
      <c r="F5049" t="s">
        <v>691</v>
      </c>
      <c r="G5049">
        <v>24350700</v>
      </c>
      <c r="H5049">
        <v>24228500</v>
      </c>
    </row>
    <row r="5050" spans="2:8" x14ac:dyDescent="0.25">
      <c r="B5050" t="str">
        <f t="shared" si="78"/>
        <v>LACPopulation ages 00-04, male</v>
      </c>
      <c r="C5050" t="s">
        <v>545</v>
      </c>
      <c r="D5050" t="s">
        <v>546</v>
      </c>
      <c r="E5050" t="s">
        <v>363</v>
      </c>
      <c r="F5050" t="s">
        <v>692</v>
      </c>
      <c r="G5050">
        <v>25463100</v>
      </c>
      <c r="H5050">
        <v>25338000</v>
      </c>
    </row>
    <row r="5051" spans="2:8" x14ac:dyDescent="0.25">
      <c r="B5051" t="str">
        <f t="shared" si="78"/>
        <v>LACPopulation ages 05-09, female</v>
      </c>
      <c r="C5051" t="s">
        <v>545</v>
      </c>
      <c r="D5051" t="s">
        <v>546</v>
      </c>
      <c r="E5051" t="s">
        <v>364</v>
      </c>
      <c r="F5051" t="s">
        <v>693</v>
      </c>
      <c r="G5051">
        <v>24454900</v>
      </c>
      <c r="H5051">
        <v>24427000</v>
      </c>
    </row>
    <row r="5052" spans="2:8" x14ac:dyDescent="0.25">
      <c r="B5052" t="str">
        <f t="shared" si="78"/>
        <v>LACPopulation ages 05-09, male</v>
      </c>
      <c r="C5052" t="s">
        <v>545</v>
      </c>
      <c r="D5052" t="s">
        <v>546</v>
      </c>
      <c r="E5052" t="s">
        <v>365</v>
      </c>
      <c r="F5052" t="s">
        <v>694</v>
      </c>
      <c r="G5052">
        <v>25493300</v>
      </c>
      <c r="H5052">
        <v>25474400</v>
      </c>
    </row>
    <row r="5053" spans="2:8" x14ac:dyDescent="0.25">
      <c r="B5053" t="str">
        <f t="shared" si="78"/>
        <v>LACPopulation ages 10-14, female</v>
      </c>
      <c r="C5053" t="s">
        <v>545</v>
      </c>
      <c r="D5053" t="s">
        <v>546</v>
      </c>
      <c r="E5053" t="s">
        <v>366</v>
      </c>
      <c r="F5053" t="s">
        <v>695</v>
      </c>
      <c r="G5053">
        <v>24688900</v>
      </c>
      <c r="H5053">
        <v>24538800</v>
      </c>
    </row>
    <row r="5054" spans="2:8" x14ac:dyDescent="0.25">
      <c r="B5054" t="str">
        <f t="shared" si="78"/>
        <v>LACPopulation ages 10-14, male</v>
      </c>
      <c r="C5054" t="s">
        <v>545</v>
      </c>
      <c r="D5054" t="s">
        <v>546</v>
      </c>
      <c r="E5054" t="s">
        <v>367</v>
      </c>
      <c r="F5054" t="s">
        <v>696</v>
      </c>
      <c r="G5054">
        <v>25645400</v>
      </c>
      <c r="H5054">
        <v>25491200</v>
      </c>
    </row>
    <row r="5055" spans="2:8" x14ac:dyDescent="0.25">
      <c r="B5055" t="str">
        <f t="shared" si="78"/>
        <v>LACPopulation ages 15-19, female</v>
      </c>
      <c r="C5055" t="s">
        <v>545</v>
      </c>
      <c r="D5055" t="s">
        <v>546</v>
      </c>
      <c r="E5055" t="s">
        <v>368</v>
      </c>
      <c r="F5055" t="s">
        <v>697</v>
      </c>
      <c r="G5055">
        <v>25409000</v>
      </c>
      <c r="H5055">
        <v>25220700</v>
      </c>
    </row>
    <row r="5056" spans="2:8" x14ac:dyDescent="0.25">
      <c r="B5056" t="str">
        <f t="shared" si="78"/>
        <v>LACPopulation ages 15-19, male</v>
      </c>
      <c r="C5056" t="s">
        <v>545</v>
      </c>
      <c r="D5056" t="s">
        <v>546</v>
      </c>
      <c r="E5056" t="s">
        <v>369</v>
      </c>
      <c r="F5056" t="s">
        <v>698</v>
      </c>
      <c r="G5056">
        <v>26190600</v>
      </c>
      <c r="H5056">
        <v>26022100</v>
      </c>
    </row>
    <row r="5057" spans="2:8" x14ac:dyDescent="0.25">
      <c r="B5057" t="str">
        <f t="shared" si="78"/>
        <v>LACPopulation ages 20-24, female</v>
      </c>
      <c r="C5057" t="s">
        <v>545</v>
      </c>
      <c r="D5057" t="s">
        <v>546</v>
      </c>
      <c r="E5057" t="s">
        <v>370</v>
      </c>
      <c r="F5057" t="s">
        <v>699</v>
      </c>
      <c r="G5057">
        <v>25674200</v>
      </c>
      <c r="H5057">
        <v>25621800</v>
      </c>
    </row>
    <row r="5058" spans="2:8" x14ac:dyDescent="0.25">
      <c r="B5058" t="str">
        <f t="shared" si="78"/>
        <v>LACPopulation ages 20-24, male</v>
      </c>
      <c r="C5058" t="s">
        <v>545</v>
      </c>
      <c r="D5058" t="s">
        <v>546</v>
      </c>
      <c r="E5058" t="s">
        <v>371</v>
      </c>
      <c r="F5058" t="s">
        <v>700</v>
      </c>
      <c r="G5058">
        <v>26087500</v>
      </c>
      <c r="H5058">
        <v>25998000</v>
      </c>
    </row>
    <row r="5059" spans="2:8" x14ac:dyDescent="0.25">
      <c r="B5059" t="str">
        <f t="shared" si="78"/>
        <v>LACPopulation ages 25-29, female</v>
      </c>
      <c r="C5059" t="s">
        <v>545</v>
      </c>
      <c r="D5059" t="s">
        <v>546</v>
      </c>
      <c r="E5059" t="s">
        <v>372</v>
      </c>
      <c r="F5059" t="s">
        <v>701</v>
      </c>
      <c r="G5059">
        <v>25192100</v>
      </c>
      <c r="H5059">
        <v>25288300</v>
      </c>
    </row>
    <row r="5060" spans="2:8" x14ac:dyDescent="0.25">
      <c r="B5060" t="str">
        <f t="shared" si="78"/>
        <v>LACPopulation ages 25-29, male</v>
      </c>
      <c r="C5060" t="s">
        <v>545</v>
      </c>
      <c r="D5060" t="s">
        <v>546</v>
      </c>
      <c r="E5060" t="s">
        <v>373</v>
      </c>
      <c r="F5060" t="s">
        <v>702</v>
      </c>
      <c r="G5060">
        <v>25338300</v>
      </c>
      <c r="H5060">
        <v>25439500</v>
      </c>
    </row>
    <row r="5061" spans="2:8" x14ac:dyDescent="0.25">
      <c r="B5061" t="str">
        <f t="shared" si="78"/>
        <v>LACPopulation ages 30-34, female</v>
      </c>
      <c r="C5061" t="s">
        <v>545</v>
      </c>
      <c r="D5061" t="s">
        <v>546</v>
      </c>
      <c r="E5061" t="s">
        <v>374</v>
      </c>
      <c r="F5061" t="s">
        <v>703</v>
      </c>
      <c r="G5061">
        <v>24249700</v>
      </c>
      <c r="H5061">
        <v>24384800</v>
      </c>
    </row>
    <row r="5062" spans="2:8" x14ac:dyDescent="0.25">
      <c r="B5062" t="str">
        <f t="shared" si="78"/>
        <v>LACPopulation ages 30-34, male</v>
      </c>
      <c r="C5062" t="s">
        <v>545</v>
      </c>
      <c r="D5062" t="s">
        <v>546</v>
      </c>
      <c r="E5062" t="s">
        <v>375</v>
      </c>
      <c r="F5062" t="s">
        <v>704</v>
      </c>
      <c r="G5062">
        <v>23874700</v>
      </c>
      <c r="H5062">
        <v>24058800</v>
      </c>
    </row>
    <row r="5063" spans="2:8" x14ac:dyDescent="0.25">
      <c r="B5063" t="str">
        <f t="shared" ref="B5063:B5126" si="79">CONCATENATE(D5063,E5063)</f>
        <v>LACPopulation ages 35-39, female</v>
      </c>
      <c r="C5063" t="s">
        <v>545</v>
      </c>
      <c r="D5063" t="s">
        <v>546</v>
      </c>
      <c r="E5063" t="s">
        <v>376</v>
      </c>
      <c r="F5063" t="s">
        <v>705</v>
      </c>
      <c r="G5063">
        <v>23133500</v>
      </c>
      <c r="H5063">
        <v>23400700</v>
      </c>
    </row>
    <row r="5064" spans="2:8" x14ac:dyDescent="0.25">
      <c r="B5064" t="str">
        <f t="shared" si="79"/>
        <v>LACPopulation ages 35-39, male</v>
      </c>
      <c r="C5064" t="s">
        <v>545</v>
      </c>
      <c r="D5064" t="s">
        <v>546</v>
      </c>
      <c r="E5064" t="s">
        <v>377</v>
      </c>
      <c r="F5064" t="s">
        <v>706</v>
      </c>
      <c r="G5064">
        <v>22379900</v>
      </c>
      <c r="H5064">
        <v>22702000</v>
      </c>
    </row>
    <row r="5065" spans="2:8" x14ac:dyDescent="0.25">
      <c r="B5065" t="str">
        <f t="shared" si="79"/>
        <v>LACPopulation ages 40-44, female</v>
      </c>
      <c r="C5065" t="s">
        <v>545</v>
      </c>
      <c r="D5065" t="s">
        <v>546</v>
      </c>
      <c r="E5065" t="s">
        <v>378</v>
      </c>
      <c r="F5065" t="s">
        <v>707</v>
      </c>
      <c r="G5065">
        <v>21154300</v>
      </c>
      <c r="H5065">
        <v>21523600</v>
      </c>
    </row>
    <row r="5066" spans="2:8" x14ac:dyDescent="0.25">
      <c r="B5066" t="str">
        <f t="shared" si="79"/>
        <v>LACPopulation ages 40-44, male</v>
      </c>
      <c r="C5066" t="s">
        <v>545</v>
      </c>
      <c r="D5066" t="s">
        <v>546</v>
      </c>
      <c r="E5066" t="s">
        <v>379</v>
      </c>
      <c r="F5066" t="s">
        <v>708</v>
      </c>
      <c r="G5066">
        <v>20028200</v>
      </c>
      <c r="H5066">
        <v>20443400</v>
      </c>
    </row>
    <row r="5067" spans="2:8" x14ac:dyDescent="0.25">
      <c r="B5067" t="str">
        <f t="shared" si="79"/>
        <v>LACPopulation ages 45-49, female</v>
      </c>
      <c r="C5067" t="s">
        <v>545</v>
      </c>
      <c r="D5067" t="s">
        <v>546</v>
      </c>
      <c r="E5067" t="s">
        <v>380</v>
      </c>
      <c r="F5067" t="s">
        <v>709</v>
      </c>
      <c r="G5067">
        <v>19175900</v>
      </c>
      <c r="H5067">
        <v>19472900</v>
      </c>
    </row>
    <row r="5068" spans="2:8" x14ac:dyDescent="0.25">
      <c r="B5068" t="str">
        <f t="shared" si="79"/>
        <v>LACPopulation ages 45-49, male</v>
      </c>
      <c r="C5068" t="s">
        <v>545</v>
      </c>
      <c r="D5068" t="s">
        <v>546</v>
      </c>
      <c r="E5068" t="s">
        <v>381</v>
      </c>
      <c r="F5068" t="s">
        <v>710</v>
      </c>
      <c r="G5068">
        <v>17853800</v>
      </c>
      <c r="H5068">
        <v>18178900</v>
      </c>
    </row>
    <row r="5069" spans="2:8" x14ac:dyDescent="0.25">
      <c r="B5069" t="str">
        <f t="shared" si="79"/>
        <v>LACPopulation ages 50-54, female</v>
      </c>
      <c r="C5069" t="s">
        <v>545</v>
      </c>
      <c r="D5069" t="s">
        <v>546</v>
      </c>
      <c r="E5069" t="s">
        <v>382</v>
      </c>
      <c r="F5069" t="s">
        <v>711</v>
      </c>
      <c r="G5069">
        <v>17510100</v>
      </c>
      <c r="H5069">
        <v>17780500</v>
      </c>
    </row>
    <row r="5070" spans="2:8" x14ac:dyDescent="0.25">
      <c r="B5070" t="str">
        <f t="shared" si="79"/>
        <v>LACPopulation ages 50-54, male</v>
      </c>
      <c r="C5070" t="s">
        <v>545</v>
      </c>
      <c r="D5070" t="s">
        <v>546</v>
      </c>
      <c r="E5070" t="s">
        <v>383</v>
      </c>
      <c r="F5070" t="s">
        <v>712</v>
      </c>
      <c r="G5070">
        <v>16046000</v>
      </c>
      <c r="H5070">
        <v>16308200</v>
      </c>
    </row>
    <row r="5071" spans="2:8" x14ac:dyDescent="0.25">
      <c r="B5071" t="str">
        <f t="shared" si="79"/>
        <v>LACPopulation ages 55-59, male</v>
      </c>
      <c r="C5071" t="s">
        <v>545</v>
      </c>
      <c r="D5071" t="s">
        <v>546</v>
      </c>
      <c r="E5071" t="s">
        <v>385</v>
      </c>
      <c r="F5071" t="s">
        <v>713</v>
      </c>
      <c r="G5071">
        <v>13939800</v>
      </c>
      <c r="H5071">
        <v>14325100</v>
      </c>
    </row>
    <row r="5072" spans="2:8" x14ac:dyDescent="0.25">
      <c r="B5072" t="str">
        <f t="shared" si="79"/>
        <v>LACPopulation ages 55-59, female</v>
      </c>
      <c r="C5072" t="s">
        <v>545</v>
      </c>
      <c r="D5072" t="s">
        <v>546</v>
      </c>
      <c r="E5072" t="s">
        <v>384</v>
      </c>
      <c r="F5072" t="s">
        <v>714</v>
      </c>
      <c r="G5072">
        <v>15404600</v>
      </c>
      <c r="H5072">
        <v>15822300</v>
      </c>
    </row>
    <row r="5073" spans="2:8" x14ac:dyDescent="0.25">
      <c r="B5073" t="str">
        <f t="shared" si="79"/>
        <v>LACPopulation ages 65-69, male</v>
      </c>
      <c r="C5073" t="s">
        <v>545</v>
      </c>
      <c r="D5073" t="s">
        <v>546</v>
      </c>
      <c r="E5073" t="s">
        <v>389</v>
      </c>
      <c r="F5073" t="s">
        <v>715</v>
      </c>
      <c r="G5073">
        <v>8635100</v>
      </c>
      <c r="H5073">
        <v>8978000</v>
      </c>
    </row>
    <row r="5074" spans="2:8" x14ac:dyDescent="0.25">
      <c r="B5074" t="str">
        <f t="shared" si="79"/>
        <v>LACPopulation ages 65-69, female</v>
      </c>
      <c r="C5074" t="s">
        <v>545</v>
      </c>
      <c r="D5074" t="s">
        <v>546</v>
      </c>
      <c r="E5074" t="s">
        <v>388</v>
      </c>
      <c r="F5074" t="s">
        <v>716</v>
      </c>
      <c r="G5074">
        <v>10070300</v>
      </c>
      <c r="H5074">
        <v>10482900</v>
      </c>
    </row>
    <row r="5075" spans="2:8" x14ac:dyDescent="0.25">
      <c r="B5075" t="str">
        <f t="shared" si="79"/>
        <v>LACPopulation ages 60-64, female</v>
      </c>
      <c r="C5075" t="s">
        <v>545</v>
      </c>
      <c r="D5075" t="s">
        <v>546</v>
      </c>
      <c r="E5075" t="s">
        <v>386</v>
      </c>
      <c r="F5075" t="s">
        <v>717</v>
      </c>
      <c r="G5075">
        <v>12596400</v>
      </c>
      <c r="H5075">
        <v>13006100</v>
      </c>
    </row>
    <row r="5076" spans="2:8" x14ac:dyDescent="0.25">
      <c r="B5076" t="str">
        <f t="shared" si="79"/>
        <v>LACPopulation ages 60-64, male</v>
      </c>
      <c r="C5076" t="s">
        <v>545</v>
      </c>
      <c r="D5076" t="s">
        <v>546</v>
      </c>
      <c r="E5076" t="s">
        <v>387</v>
      </c>
      <c r="F5076" t="s">
        <v>718</v>
      </c>
      <c r="G5076">
        <v>11100800</v>
      </c>
      <c r="H5076">
        <v>11474800</v>
      </c>
    </row>
    <row r="5077" spans="2:8" x14ac:dyDescent="0.25">
      <c r="B5077" t="str">
        <f t="shared" si="79"/>
        <v>LACPopulation ages 70-74, female</v>
      </c>
      <c r="C5077" t="s">
        <v>545</v>
      </c>
      <c r="D5077" t="s">
        <v>546</v>
      </c>
      <c r="E5077" t="s">
        <v>390</v>
      </c>
      <c r="F5077" t="s">
        <v>719</v>
      </c>
      <c r="G5077">
        <v>7304900</v>
      </c>
      <c r="H5077">
        <v>7653100</v>
      </c>
    </row>
    <row r="5078" spans="2:8" x14ac:dyDescent="0.25">
      <c r="B5078" t="str">
        <f t="shared" si="79"/>
        <v>LACPopulation ages 70-74, male</v>
      </c>
      <c r="C5078" t="s">
        <v>545</v>
      </c>
      <c r="D5078" t="s">
        <v>546</v>
      </c>
      <c r="E5078" t="s">
        <v>391</v>
      </c>
      <c r="F5078" t="s">
        <v>720</v>
      </c>
      <c r="G5078">
        <v>6007800</v>
      </c>
      <c r="H5078">
        <v>6288600</v>
      </c>
    </row>
    <row r="5079" spans="2:8" x14ac:dyDescent="0.25">
      <c r="B5079" t="str">
        <f t="shared" si="79"/>
        <v>LACPopulation ages 75-79, female</v>
      </c>
      <c r="C5079" t="s">
        <v>545</v>
      </c>
      <c r="D5079" t="s">
        <v>546</v>
      </c>
      <c r="E5079" t="s">
        <v>392</v>
      </c>
      <c r="F5079" t="s">
        <v>721</v>
      </c>
      <c r="G5079">
        <v>5202300</v>
      </c>
      <c r="H5079">
        <v>5401400</v>
      </c>
    </row>
    <row r="5080" spans="2:8" x14ac:dyDescent="0.25">
      <c r="B5080" t="str">
        <f t="shared" si="79"/>
        <v>LACPopulation ages 75-79, male</v>
      </c>
      <c r="C5080" t="s">
        <v>545</v>
      </c>
      <c r="D5080" t="s">
        <v>546</v>
      </c>
      <c r="E5080" t="s">
        <v>393</v>
      </c>
      <c r="F5080" t="s">
        <v>722</v>
      </c>
      <c r="G5080">
        <v>4013100</v>
      </c>
      <c r="H5080">
        <v>4165400</v>
      </c>
    </row>
    <row r="5081" spans="2:8" x14ac:dyDescent="0.25">
      <c r="B5081" t="str">
        <f t="shared" si="79"/>
        <v>LACPopulation ages 80 and above, female</v>
      </c>
      <c r="C5081" t="s">
        <v>545</v>
      </c>
      <c r="D5081" t="s">
        <v>546</v>
      </c>
      <c r="E5081" t="s">
        <v>394</v>
      </c>
      <c r="F5081" t="s">
        <v>723</v>
      </c>
      <c r="G5081">
        <v>6675100</v>
      </c>
      <c r="H5081">
        <v>6903500</v>
      </c>
    </row>
    <row r="5082" spans="2:8" x14ac:dyDescent="0.25">
      <c r="B5082" t="str">
        <f t="shared" si="79"/>
        <v>LACPopulation ages 80 and above, male</v>
      </c>
      <c r="C5082" t="s">
        <v>545</v>
      </c>
      <c r="D5082" t="s">
        <v>546</v>
      </c>
      <c r="E5082" t="s">
        <v>395</v>
      </c>
      <c r="F5082" t="s">
        <v>724</v>
      </c>
      <c r="G5082">
        <v>4305000</v>
      </c>
      <c r="H5082">
        <v>4432100</v>
      </c>
    </row>
    <row r="5083" spans="2:8" x14ac:dyDescent="0.25">
      <c r="B5083" t="str">
        <f t="shared" si="79"/>
        <v>LACPopulation, male</v>
      </c>
      <c r="C5083" t="s">
        <v>545</v>
      </c>
      <c r="D5083" t="s">
        <v>546</v>
      </c>
      <c r="E5083" t="s">
        <v>397</v>
      </c>
      <c r="F5083" t="s">
        <v>725</v>
      </c>
      <c r="G5083">
        <v>302391000</v>
      </c>
      <c r="H5083">
        <v>305115000</v>
      </c>
    </row>
    <row r="5084" spans="2:8" x14ac:dyDescent="0.25">
      <c r="B5084" t="str">
        <f t="shared" si="79"/>
        <v>LACPopulation, total</v>
      </c>
      <c r="C5084" t="s">
        <v>545</v>
      </c>
      <c r="D5084" t="s">
        <v>546</v>
      </c>
      <c r="E5084" t="s">
        <v>398</v>
      </c>
      <c r="F5084" t="s">
        <v>726</v>
      </c>
      <c r="G5084">
        <v>614714000</v>
      </c>
      <c r="H5084">
        <v>620352000</v>
      </c>
    </row>
    <row r="5085" spans="2:8" x14ac:dyDescent="0.25">
      <c r="B5085" t="str">
        <f t="shared" si="79"/>
        <v>LACPopulation, female</v>
      </c>
      <c r="C5085" t="s">
        <v>545</v>
      </c>
      <c r="D5085" t="s">
        <v>546</v>
      </c>
      <c r="E5085" t="s">
        <v>396</v>
      </c>
      <c r="F5085" t="s">
        <v>727</v>
      </c>
      <c r="G5085">
        <v>312249000</v>
      </c>
      <c r="H5085">
        <v>315162000</v>
      </c>
    </row>
    <row r="5086" spans="2:8" x14ac:dyDescent="0.25">
      <c r="B5086" t="str">
        <f t="shared" si="79"/>
        <v>LACPopulation growth (annual %)</v>
      </c>
      <c r="C5086" t="s">
        <v>545</v>
      </c>
      <c r="D5086" t="s">
        <v>546</v>
      </c>
      <c r="E5086" t="s">
        <v>399</v>
      </c>
      <c r="F5086" t="s">
        <v>728</v>
      </c>
      <c r="G5086">
        <v>0.93595001391216215</v>
      </c>
      <c r="H5086">
        <v>0.91717449090144498</v>
      </c>
    </row>
    <row r="5087" spans="2:8" x14ac:dyDescent="0.25">
      <c r="B5087" t="str">
        <f t="shared" si="79"/>
        <v>TLAPopulation ages 0-14, female</v>
      </c>
      <c r="C5087" t="s">
        <v>547</v>
      </c>
      <c r="D5087" t="s">
        <v>548</v>
      </c>
      <c r="E5087" t="s">
        <v>687</v>
      </c>
      <c r="F5087" t="s">
        <v>688</v>
      </c>
      <c r="G5087">
        <v>75481000</v>
      </c>
      <c r="H5087">
        <v>75174000</v>
      </c>
    </row>
    <row r="5088" spans="2:8" x14ac:dyDescent="0.25">
      <c r="B5088" t="str">
        <f t="shared" si="79"/>
        <v>TLAPopulation ages 0-14, male</v>
      </c>
      <c r="C5088" t="s">
        <v>547</v>
      </c>
      <c r="D5088" t="s">
        <v>548</v>
      </c>
      <c r="E5088" t="s">
        <v>689</v>
      </c>
      <c r="F5088" t="s">
        <v>690</v>
      </c>
      <c r="G5088">
        <v>78648000</v>
      </c>
      <c r="H5088">
        <v>78342000</v>
      </c>
    </row>
    <row r="5089" spans="2:8" x14ac:dyDescent="0.25">
      <c r="B5089" t="str">
        <f t="shared" si="79"/>
        <v>TLAPopulation ages 00-04, female</v>
      </c>
      <c r="C5089" t="s">
        <v>547</v>
      </c>
      <c r="D5089" t="s">
        <v>548</v>
      </c>
      <c r="E5089" t="s">
        <v>362</v>
      </c>
      <c r="F5089" t="s">
        <v>691</v>
      </c>
      <c r="G5089">
        <v>24999300</v>
      </c>
      <c r="H5089">
        <v>24873100</v>
      </c>
    </row>
    <row r="5090" spans="2:8" x14ac:dyDescent="0.25">
      <c r="B5090" t="str">
        <f t="shared" si="79"/>
        <v>TLAPopulation ages 00-04, male</v>
      </c>
      <c r="C5090" t="s">
        <v>547</v>
      </c>
      <c r="D5090" t="s">
        <v>548</v>
      </c>
      <c r="E5090" t="s">
        <v>363</v>
      </c>
      <c r="F5090" t="s">
        <v>692</v>
      </c>
      <c r="G5090">
        <v>26133800</v>
      </c>
      <c r="H5090">
        <v>26004700</v>
      </c>
    </row>
    <row r="5091" spans="2:8" x14ac:dyDescent="0.25">
      <c r="B5091" t="str">
        <f t="shared" si="79"/>
        <v>TLAPopulation ages 05-09, female</v>
      </c>
      <c r="C5091" t="s">
        <v>547</v>
      </c>
      <c r="D5091" t="s">
        <v>548</v>
      </c>
      <c r="E5091" t="s">
        <v>364</v>
      </c>
      <c r="F5091" t="s">
        <v>693</v>
      </c>
      <c r="G5091">
        <v>25128400</v>
      </c>
      <c r="H5091">
        <v>25098600</v>
      </c>
    </row>
    <row r="5092" spans="2:8" x14ac:dyDescent="0.25">
      <c r="B5092" t="str">
        <f t="shared" si="79"/>
        <v>TLAPopulation ages 05-09, male</v>
      </c>
      <c r="C5092" t="s">
        <v>547</v>
      </c>
      <c r="D5092" t="s">
        <v>548</v>
      </c>
      <c r="E5092" t="s">
        <v>365</v>
      </c>
      <c r="F5092" t="s">
        <v>694</v>
      </c>
      <c r="G5092">
        <v>26185900</v>
      </c>
      <c r="H5092">
        <v>26165100</v>
      </c>
    </row>
    <row r="5093" spans="2:8" x14ac:dyDescent="0.25">
      <c r="B5093" t="str">
        <f t="shared" si="79"/>
        <v>TLAPopulation ages 10-14, female</v>
      </c>
      <c r="C5093" t="s">
        <v>547</v>
      </c>
      <c r="D5093" t="s">
        <v>548</v>
      </c>
      <c r="E5093" t="s">
        <v>366</v>
      </c>
      <c r="F5093" t="s">
        <v>695</v>
      </c>
      <c r="G5093">
        <v>25349300</v>
      </c>
      <c r="H5093">
        <v>25205200</v>
      </c>
    </row>
    <row r="5094" spans="2:8" x14ac:dyDescent="0.25">
      <c r="B5094" t="str">
        <f t="shared" si="79"/>
        <v>TLAPopulation ages 10-14, male</v>
      </c>
      <c r="C5094" t="s">
        <v>547</v>
      </c>
      <c r="D5094" t="s">
        <v>548</v>
      </c>
      <c r="E5094" t="s">
        <v>367</v>
      </c>
      <c r="F5094" t="s">
        <v>696</v>
      </c>
      <c r="G5094">
        <v>26324800</v>
      </c>
      <c r="H5094">
        <v>26177600</v>
      </c>
    </row>
    <row r="5095" spans="2:8" x14ac:dyDescent="0.25">
      <c r="B5095" t="str">
        <f t="shared" si="79"/>
        <v>TLAPopulation ages 15-19, female</v>
      </c>
      <c r="C5095" t="s">
        <v>547</v>
      </c>
      <c r="D5095" t="s">
        <v>548</v>
      </c>
      <c r="E5095" t="s">
        <v>368</v>
      </c>
      <c r="F5095" t="s">
        <v>697</v>
      </c>
      <c r="G5095">
        <v>26053500</v>
      </c>
      <c r="H5095">
        <v>25863200</v>
      </c>
    </row>
    <row r="5096" spans="2:8" x14ac:dyDescent="0.25">
      <c r="B5096" t="str">
        <f t="shared" si="79"/>
        <v>TLAPopulation ages 15-19, male</v>
      </c>
      <c r="C5096" t="s">
        <v>547</v>
      </c>
      <c r="D5096" t="s">
        <v>548</v>
      </c>
      <c r="E5096" t="s">
        <v>369</v>
      </c>
      <c r="F5096" t="s">
        <v>698</v>
      </c>
      <c r="G5096">
        <v>26849200</v>
      </c>
      <c r="H5096">
        <v>26678700</v>
      </c>
    </row>
    <row r="5097" spans="2:8" x14ac:dyDescent="0.25">
      <c r="B5097" t="str">
        <f t="shared" si="79"/>
        <v>TLAPopulation ages 20-24, female</v>
      </c>
      <c r="C5097" t="s">
        <v>547</v>
      </c>
      <c r="D5097" t="s">
        <v>548</v>
      </c>
      <c r="E5097" t="s">
        <v>370</v>
      </c>
      <c r="F5097" t="s">
        <v>699</v>
      </c>
      <c r="G5097">
        <v>26379000</v>
      </c>
      <c r="H5097">
        <v>26314600</v>
      </c>
    </row>
    <row r="5098" spans="2:8" x14ac:dyDescent="0.25">
      <c r="B5098" t="str">
        <f t="shared" si="79"/>
        <v>TLAPopulation ages 20-24, male</v>
      </c>
      <c r="C5098" t="s">
        <v>547</v>
      </c>
      <c r="D5098" t="s">
        <v>548</v>
      </c>
      <c r="E5098" t="s">
        <v>371</v>
      </c>
      <c r="F5098" t="s">
        <v>700</v>
      </c>
      <c r="G5098">
        <v>26802300</v>
      </c>
      <c r="H5098">
        <v>26702800</v>
      </c>
    </row>
    <row r="5099" spans="2:8" x14ac:dyDescent="0.25">
      <c r="B5099" t="str">
        <f t="shared" si="79"/>
        <v>TLAPopulation ages 25-29, female</v>
      </c>
      <c r="C5099" t="s">
        <v>547</v>
      </c>
      <c r="D5099" t="s">
        <v>548</v>
      </c>
      <c r="E5099" t="s">
        <v>372</v>
      </c>
      <c r="F5099" t="s">
        <v>701</v>
      </c>
      <c r="G5099">
        <v>25952800</v>
      </c>
      <c r="H5099">
        <v>26067000</v>
      </c>
    </row>
    <row r="5100" spans="2:8" x14ac:dyDescent="0.25">
      <c r="B5100" t="str">
        <f t="shared" si="79"/>
        <v>TLAPopulation ages 25-29, male</v>
      </c>
      <c r="C5100" t="s">
        <v>547</v>
      </c>
      <c r="D5100" t="s">
        <v>548</v>
      </c>
      <c r="E5100" t="s">
        <v>373</v>
      </c>
      <c r="F5100" t="s">
        <v>702</v>
      </c>
      <c r="G5100">
        <v>26107900</v>
      </c>
      <c r="H5100">
        <v>26226100</v>
      </c>
    </row>
    <row r="5101" spans="2:8" x14ac:dyDescent="0.25">
      <c r="B5101" t="str">
        <f t="shared" si="79"/>
        <v>TLAPopulation ages 30-34, female</v>
      </c>
      <c r="C5101" t="s">
        <v>547</v>
      </c>
      <c r="D5101" t="s">
        <v>548</v>
      </c>
      <c r="E5101" t="s">
        <v>374</v>
      </c>
      <c r="F5101" t="s">
        <v>703</v>
      </c>
      <c r="G5101">
        <v>24923400</v>
      </c>
      <c r="H5101">
        <v>25076500</v>
      </c>
    </row>
    <row r="5102" spans="2:8" x14ac:dyDescent="0.25">
      <c r="B5102" t="str">
        <f t="shared" si="79"/>
        <v>TLAPopulation ages 30-34, male</v>
      </c>
      <c r="C5102" t="s">
        <v>547</v>
      </c>
      <c r="D5102" t="s">
        <v>548</v>
      </c>
      <c r="E5102" t="s">
        <v>375</v>
      </c>
      <c r="F5102" t="s">
        <v>704</v>
      </c>
      <c r="G5102">
        <v>24561100</v>
      </c>
      <c r="H5102">
        <v>24763200</v>
      </c>
    </row>
    <row r="5103" spans="2:8" x14ac:dyDescent="0.25">
      <c r="B5103" t="str">
        <f t="shared" si="79"/>
        <v>TLAPopulation ages 35-39, female</v>
      </c>
      <c r="C5103" t="s">
        <v>547</v>
      </c>
      <c r="D5103" t="s">
        <v>548</v>
      </c>
      <c r="E5103" t="s">
        <v>376</v>
      </c>
      <c r="F5103" t="s">
        <v>705</v>
      </c>
      <c r="G5103">
        <v>23814200</v>
      </c>
      <c r="H5103">
        <v>24081400</v>
      </c>
    </row>
    <row r="5104" spans="2:8" x14ac:dyDescent="0.25">
      <c r="B5104" t="str">
        <f t="shared" si="79"/>
        <v>TLAPopulation ages 35-39, male</v>
      </c>
      <c r="C5104" t="s">
        <v>547</v>
      </c>
      <c r="D5104" t="s">
        <v>548</v>
      </c>
      <c r="E5104" t="s">
        <v>377</v>
      </c>
      <c r="F5104" t="s">
        <v>706</v>
      </c>
      <c r="G5104">
        <v>23061200</v>
      </c>
      <c r="H5104">
        <v>23386300</v>
      </c>
    </row>
    <row r="5105" spans="2:8" x14ac:dyDescent="0.25">
      <c r="B5105" t="str">
        <f t="shared" si="79"/>
        <v>TLAPopulation ages 40-44, female</v>
      </c>
      <c r="C5105" t="s">
        <v>547</v>
      </c>
      <c r="D5105" t="s">
        <v>548</v>
      </c>
      <c r="E5105" t="s">
        <v>378</v>
      </c>
      <c r="F5105" t="s">
        <v>707</v>
      </c>
      <c r="G5105">
        <v>21794000</v>
      </c>
      <c r="H5105">
        <v>22196300</v>
      </c>
    </row>
    <row r="5106" spans="2:8" x14ac:dyDescent="0.25">
      <c r="B5106" t="str">
        <f t="shared" si="79"/>
        <v>TLAPopulation ages 40-44, male</v>
      </c>
      <c r="C5106" t="s">
        <v>547</v>
      </c>
      <c r="D5106" t="s">
        <v>548</v>
      </c>
      <c r="E5106" t="s">
        <v>379</v>
      </c>
      <c r="F5106" t="s">
        <v>708</v>
      </c>
      <c r="G5106">
        <v>20657400</v>
      </c>
      <c r="H5106">
        <v>21106600</v>
      </c>
    </row>
    <row r="5107" spans="2:8" x14ac:dyDescent="0.25">
      <c r="B5107" t="str">
        <f t="shared" si="79"/>
        <v>TLAPopulation ages 45-49, female</v>
      </c>
      <c r="C5107" t="s">
        <v>547</v>
      </c>
      <c r="D5107" t="s">
        <v>548</v>
      </c>
      <c r="E5107" t="s">
        <v>380</v>
      </c>
      <c r="F5107" t="s">
        <v>709</v>
      </c>
      <c r="G5107">
        <v>19604700</v>
      </c>
      <c r="H5107">
        <v>19931700</v>
      </c>
    </row>
    <row r="5108" spans="2:8" x14ac:dyDescent="0.25">
      <c r="B5108" t="str">
        <f t="shared" si="79"/>
        <v>TLAPopulation ages 45-49, male</v>
      </c>
      <c r="C5108" t="s">
        <v>547</v>
      </c>
      <c r="D5108" t="s">
        <v>548</v>
      </c>
      <c r="E5108" t="s">
        <v>381</v>
      </c>
      <c r="F5108" t="s">
        <v>710</v>
      </c>
      <c r="G5108">
        <v>18263000</v>
      </c>
      <c r="H5108">
        <v>18617100</v>
      </c>
    </row>
    <row r="5109" spans="2:8" x14ac:dyDescent="0.25">
      <c r="B5109" t="str">
        <f t="shared" si="79"/>
        <v>TLAPopulation ages 50-54, female</v>
      </c>
      <c r="C5109" t="s">
        <v>547</v>
      </c>
      <c r="D5109" t="s">
        <v>548</v>
      </c>
      <c r="E5109" t="s">
        <v>382</v>
      </c>
      <c r="F5109" t="s">
        <v>711</v>
      </c>
      <c r="G5109">
        <v>17874700</v>
      </c>
      <c r="H5109">
        <v>18156100</v>
      </c>
    </row>
    <row r="5110" spans="2:8" x14ac:dyDescent="0.25">
      <c r="B5110" t="str">
        <f t="shared" si="79"/>
        <v>TLAPopulation ages 50-54, male</v>
      </c>
      <c r="C5110" t="s">
        <v>547</v>
      </c>
      <c r="D5110" t="s">
        <v>548</v>
      </c>
      <c r="E5110" t="s">
        <v>383</v>
      </c>
      <c r="F5110" t="s">
        <v>712</v>
      </c>
      <c r="G5110">
        <v>16396100</v>
      </c>
      <c r="H5110">
        <v>16669400</v>
      </c>
    </row>
    <row r="5111" spans="2:8" x14ac:dyDescent="0.25">
      <c r="B5111" t="str">
        <f t="shared" si="79"/>
        <v>TLAPopulation ages 55-59, male</v>
      </c>
      <c r="C5111" t="s">
        <v>547</v>
      </c>
      <c r="D5111" t="s">
        <v>548</v>
      </c>
      <c r="E5111" t="s">
        <v>385</v>
      </c>
      <c r="F5111" t="s">
        <v>713</v>
      </c>
      <c r="G5111">
        <v>14269500</v>
      </c>
      <c r="H5111">
        <v>14643900</v>
      </c>
    </row>
    <row r="5112" spans="2:8" x14ac:dyDescent="0.25">
      <c r="B5112" t="str">
        <f t="shared" si="79"/>
        <v>TLAPopulation ages 55-59, female</v>
      </c>
      <c r="C5112" t="s">
        <v>547</v>
      </c>
      <c r="D5112" t="s">
        <v>548</v>
      </c>
      <c r="E5112" t="s">
        <v>384</v>
      </c>
      <c r="F5112" t="s">
        <v>714</v>
      </c>
      <c r="G5112">
        <v>15759700</v>
      </c>
      <c r="H5112">
        <v>16165500</v>
      </c>
    </row>
    <row r="5113" spans="2:8" x14ac:dyDescent="0.25">
      <c r="B5113" t="str">
        <f t="shared" si="79"/>
        <v>TLAPopulation ages 65-69, male</v>
      </c>
      <c r="C5113" t="s">
        <v>547</v>
      </c>
      <c r="D5113" t="s">
        <v>548</v>
      </c>
      <c r="E5113" t="s">
        <v>389</v>
      </c>
      <c r="F5113" t="s">
        <v>715</v>
      </c>
      <c r="G5113">
        <v>8885600</v>
      </c>
      <c r="H5113">
        <v>9246600</v>
      </c>
    </row>
    <row r="5114" spans="2:8" x14ac:dyDescent="0.25">
      <c r="B5114" t="str">
        <f t="shared" si="79"/>
        <v>TLAPopulation ages 65-69, female</v>
      </c>
      <c r="C5114" t="s">
        <v>547</v>
      </c>
      <c r="D5114" t="s">
        <v>548</v>
      </c>
      <c r="E5114" t="s">
        <v>388</v>
      </c>
      <c r="F5114" t="s">
        <v>716</v>
      </c>
      <c r="G5114">
        <v>10361000</v>
      </c>
      <c r="H5114">
        <v>10793700</v>
      </c>
    </row>
    <row r="5115" spans="2:8" x14ac:dyDescent="0.25">
      <c r="B5115" t="str">
        <f t="shared" si="79"/>
        <v>TLAPopulation ages 60-64, female</v>
      </c>
      <c r="C5115" t="s">
        <v>547</v>
      </c>
      <c r="D5115" t="s">
        <v>548</v>
      </c>
      <c r="E5115" t="s">
        <v>386</v>
      </c>
      <c r="F5115" t="s">
        <v>717</v>
      </c>
      <c r="G5115">
        <v>13011800</v>
      </c>
      <c r="H5115">
        <v>13425600</v>
      </c>
    </row>
    <row r="5116" spans="2:8" x14ac:dyDescent="0.25">
      <c r="B5116" t="str">
        <f t="shared" si="79"/>
        <v>TLAPopulation ages 60-64, male</v>
      </c>
      <c r="C5116" t="s">
        <v>547</v>
      </c>
      <c r="D5116" t="s">
        <v>548</v>
      </c>
      <c r="E5116" t="s">
        <v>387</v>
      </c>
      <c r="F5116" t="s">
        <v>718</v>
      </c>
      <c r="G5116">
        <v>11473900</v>
      </c>
      <c r="H5116">
        <v>11850000</v>
      </c>
    </row>
    <row r="5117" spans="2:8" x14ac:dyDescent="0.25">
      <c r="B5117" t="str">
        <f t="shared" si="79"/>
        <v>TLAPopulation ages 70-74, female</v>
      </c>
      <c r="C5117" t="s">
        <v>547</v>
      </c>
      <c r="D5117" t="s">
        <v>548</v>
      </c>
      <c r="E5117" t="s">
        <v>390</v>
      </c>
      <c r="F5117" t="s">
        <v>719</v>
      </c>
      <c r="G5117">
        <v>7515200</v>
      </c>
      <c r="H5117">
        <v>7875400</v>
      </c>
    </row>
    <row r="5118" spans="2:8" x14ac:dyDescent="0.25">
      <c r="B5118" t="str">
        <f t="shared" si="79"/>
        <v>TLAPopulation ages 70-74, male</v>
      </c>
      <c r="C5118" t="s">
        <v>547</v>
      </c>
      <c r="D5118" t="s">
        <v>548</v>
      </c>
      <c r="E5118" t="s">
        <v>391</v>
      </c>
      <c r="F5118" t="s">
        <v>720</v>
      </c>
      <c r="G5118">
        <v>6164900</v>
      </c>
      <c r="H5118">
        <v>6458800</v>
      </c>
    </row>
    <row r="5119" spans="2:8" x14ac:dyDescent="0.25">
      <c r="B5119" t="str">
        <f t="shared" si="79"/>
        <v>TLAPopulation ages 75-79, female</v>
      </c>
      <c r="C5119" t="s">
        <v>547</v>
      </c>
      <c r="D5119" t="s">
        <v>548</v>
      </c>
      <c r="E5119" t="s">
        <v>392</v>
      </c>
      <c r="F5119" t="s">
        <v>721</v>
      </c>
      <c r="G5119">
        <v>5350100</v>
      </c>
      <c r="H5119">
        <v>5556300</v>
      </c>
    </row>
    <row r="5120" spans="2:8" x14ac:dyDescent="0.25">
      <c r="B5120" t="str">
        <f t="shared" si="79"/>
        <v>TLAPopulation ages 75-79, male</v>
      </c>
      <c r="C5120" t="s">
        <v>547</v>
      </c>
      <c r="D5120" t="s">
        <v>548</v>
      </c>
      <c r="E5120" t="s">
        <v>393</v>
      </c>
      <c r="F5120" t="s">
        <v>722</v>
      </c>
      <c r="G5120">
        <v>4102800</v>
      </c>
      <c r="H5120">
        <v>4263100</v>
      </c>
    </row>
    <row r="5121" spans="2:8" x14ac:dyDescent="0.25">
      <c r="B5121" t="str">
        <f t="shared" si="79"/>
        <v>TLAPopulation ages 80 and above, female</v>
      </c>
      <c r="C5121" t="s">
        <v>547</v>
      </c>
      <c r="D5121" t="s">
        <v>548</v>
      </c>
      <c r="E5121" t="s">
        <v>394</v>
      </c>
      <c r="F5121" t="s">
        <v>723</v>
      </c>
      <c r="G5121">
        <v>6941000</v>
      </c>
      <c r="H5121">
        <v>7175400</v>
      </c>
    </row>
    <row r="5122" spans="2:8" x14ac:dyDescent="0.25">
      <c r="B5122" t="str">
        <f t="shared" si="79"/>
        <v>TLAPopulation ages 80 and above, male</v>
      </c>
      <c r="C5122" t="s">
        <v>547</v>
      </c>
      <c r="D5122" t="s">
        <v>548</v>
      </c>
      <c r="E5122" t="s">
        <v>395</v>
      </c>
      <c r="F5122" t="s">
        <v>724</v>
      </c>
      <c r="G5122">
        <v>4410700</v>
      </c>
      <c r="H5122">
        <v>4540800</v>
      </c>
    </row>
    <row r="5123" spans="2:8" x14ac:dyDescent="0.25">
      <c r="B5123" t="str">
        <f t="shared" si="79"/>
        <v>TLAPopulation, male</v>
      </c>
      <c r="C5123" t="s">
        <v>547</v>
      </c>
      <c r="D5123" t="s">
        <v>548</v>
      </c>
      <c r="E5123" t="s">
        <v>397</v>
      </c>
      <c r="F5123" t="s">
        <v>725</v>
      </c>
      <c r="G5123">
        <v>310639000</v>
      </c>
      <c r="H5123">
        <v>313494000</v>
      </c>
    </row>
    <row r="5124" spans="2:8" x14ac:dyDescent="0.25">
      <c r="B5124" t="str">
        <f t="shared" si="79"/>
        <v>TLAPopulation, total</v>
      </c>
      <c r="C5124" t="s">
        <v>547</v>
      </c>
      <c r="D5124" t="s">
        <v>548</v>
      </c>
      <c r="E5124" t="s">
        <v>398</v>
      </c>
      <c r="F5124" t="s">
        <v>726</v>
      </c>
      <c r="G5124">
        <v>631586000</v>
      </c>
      <c r="H5124">
        <v>637480000</v>
      </c>
    </row>
    <row r="5125" spans="2:8" x14ac:dyDescent="0.25">
      <c r="B5125" t="str">
        <f t="shared" si="79"/>
        <v>TLAPopulation, female</v>
      </c>
      <c r="C5125" t="s">
        <v>547</v>
      </c>
      <c r="D5125" t="s">
        <v>548</v>
      </c>
      <c r="E5125" t="s">
        <v>396</v>
      </c>
      <c r="F5125" t="s">
        <v>727</v>
      </c>
      <c r="G5125">
        <v>320819000</v>
      </c>
      <c r="H5125">
        <v>323860000</v>
      </c>
    </row>
    <row r="5126" spans="2:8" x14ac:dyDescent="0.25">
      <c r="B5126" t="str">
        <f t="shared" si="79"/>
        <v>TLAPopulation growth (annual %)</v>
      </c>
      <c r="C5126" t="s">
        <v>547</v>
      </c>
      <c r="D5126" t="s">
        <v>548</v>
      </c>
      <c r="E5126" t="s">
        <v>399</v>
      </c>
      <c r="F5126" t="s">
        <v>728</v>
      </c>
      <c r="G5126">
        <v>0.96172926453681384</v>
      </c>
      <c r="H5126">
        <v>0.93320624586358747</v>
      </c>
    </row>
    <row r="5127" spans="2:8" x14ac:dyDescent="0.25">
      <c r="B5127" t="str">
        <f t="shared" ref="B5127:B5190" si="80">CONCATENATE(D5127,E5127)</f>
        <v>LVAPopulation ages 0-14, female</v>
      </c>
      <c r="C5127" t="s">
        <v>549</v>
      </c>
      <c r="D5127" t="s">
        <v>84</v>
      </c>
      <c r="E5127" t="s">
        <v>687</v>
      </c>
      <c r="F5127" t="s">
        <v>688</v>
      </c>
      <c r="G5127">
        <v>151000</v>
      </c>
      <c r="H5127">
        <v>151000</v>
      </c>
    </row>
    <row r="5128" spans="2:8" x14ac:dyDescent="0.25">
      <c r="B5128" t="str">
        <f t="shared" si="80"/>
        <v>LVAPopulation ages 0-14, male</v>
      </c>
      <c r="C5128" t="s">
        <v>549</v>
      </c>
      <c r="D5128" t="s">
        <v>84</v>
      </c>
      <c r="E5128" t="s">
        <v>689</v>
      </c>
      <c r="F5128" t="s">
        <v>690</v>
      </c>
      <c r="G5128">
        <v>162000</v>
      </c>
      <c r="H5128">
        <v>162000</v>
      </c>
    </row>
    <row r="5129" spans="2:8" x14ac:dyDescent="0.25">
      <c r="B5129" t="str">
        <f t="shared" si="80"/>
        <v>LVAPopulation ages 00-04, female</v>
      </c>
      <c r="C5129" t="s">
        <v>549</v>
      </c>
      <c r="D5129" t="s">
        <v>84</v>
      </c>
      <c r="E5129" t="s">
        <v>362</v>
      </c>
      <c r="F5129" t="s">
        <v>691</v>
      </c>
      <c r="G5129">
        <v>54000</v>
      </c>
      <c r="H5129">
        <v>55000</v>
      </c>
    </row>
    <row r="5130" spans="2:8" x14ac:dyDescent="0.25">
      <c r="B5130" t="str">
        <f t="shared" si="80"/>
        <v>LVAPopulation ages 00-04, male</v>
      </c>
      <c r="C5130" t="s">
        <v>549</v>
      </c>
      <c r="D5130" t="s">
        <v>84</v>
      </c>
      <c r="E5130" t="s">
        <v>363</v>
      </c>
      <c r="F5130" t="s">
        <v>692</v>
      </c>
      <c r="G5130">
        <v>59000</v>
      </c>
      <c r="H5130">
        <v>60000</v>
      </c>
    </row>
    <row r="5131" spans="2:8" x14ac:dyDescent="0.25">
      <c r="B5131" t="str">
        <f t="shared" si="80"/>
        <v>LVAPopulation ages 05-09, female</v>
      </c>
      <c r="C5131" t="s">
        <v>549</v>
      </c>
      <c r="D5131" t="s">
        <v>84</v>
      </c>
      <c r="E5131" t="s">
        <v>364</v>
      </c>
      <c r="F5131" t="s">
        <v>693</v>
      </c>
      <c r="G5131">
        <v>47000</v>
      </c>
      <c r="H5131">
        <v>45000</v>
      </c>
    </row>
    <row r="5132" spans="2:8" x14ac:dyDescent="0.25">
      <c r="B5132" t="str">
        <f t="shared" si="80"/>
        <v>LVAPopulation ages 05-09, male</v>
      </c>
      <c r="C5132" t="s">
        <v>549</v>
      </c>
      <c r="D5132" t="s">
        <v>84</v>
      </c>
      <c r="E5132" t="s">
        <v>365</v>
      </c>
      <c r="F5132" t="s">
        <v>694</v>
      </c>
      <c r="G5132">
        <v>50000</v>
      </c>
      <c r="H5132">
        <v>49000</v>
      </c>
    </row>
    <row r="5133" spans="2:8" x14ac:dyDescent="0.25">
      <c r="B5133" t="str">
        <f t="shared" si="80"/>
        <v>LVAPopulation ages 10-14, female</v>
      </c>
      <c r="C5133" t="s">
        <v>549</v>
      </c>
      <c r="D5133" t="s">
        <v>84</v>
      </c>
      <c r="E5133" t="s">
        <v>366</v>
      </c>
      <c r="F5133" t="s">
        <v>695</v>
      </c>
      <c r="G5133">
        <v>50000</v>
      </c>
      <c r="H5133">
        <v>50000</v>
      </c>
    </row>
    <row r="5134" spans="2:8" x14ac:dyDescent="0.25">
      <c r="B5134" t="str">
        <f t="shared" si="80"/>
        <v>LVAPopulation ages 10-14, male</v>
      </c>
      <c r="C5134" t="s">
        <v>549</v>
      </c>
      <c r="D5134" t="s">
        <v>84</v>
      </c>
      <c r="E5134" t="s">
        <v>367</v>
      </c>
      <c r="F5134" t="s">
        <v>696</v>
      </c>
      <c r="G5134">
        <v>52000</v>
      </c>
      <c r="H5134">
        <v>53000</v>
      </c>
    </row>
    <row r="5135" spans="2:8" x14ac:dyDescent="0.25">
      <c r="B5135" t="str">
        <f t="shared" si="80"/>
        <v>LVAPopulation ages 15-19, female</v>
      </c>
      <c r="C5135" t="s">
        <v>549</v>
      </c>
      <c r="D5135" t="s">
        <v>84</v>
      </c>
      <c r="E5135" t="s">
        <v>368</v>
      </c>
      <c r="F5135" t="s">
        <v>697</v>
      </c>
      <c r="G5135">
        <v>41000</v>
      </c>
      <c r="H5135">
        <v>43000</v>
      </c>
    </row>
    <row r="5136" spans="2:8" x14ac:dyDescent="0.25">
      <c r="B5136" t="str">
        <f t="shared" si="80"/>
        <v>LVAPopulation ages 15-19, male</v>
      </c>
      <c r="C5136" t="s">
        <v>549</v>
      </c>
      <c r="D5136" t="s">
        <v>84</v>
      </c>
      <c r="E5136" t="s">
        <v>369</v>
      </c>
      <c r="F5136" t="s">
        <v>698</v>
      </c>
      <c r="G5136">
        <v>42000</v>
      </c>
      <c r="H5136">
        <v>44000</v>
      </c>
    </row>
    <row r="5137" spans="2:8" x14ac:dyDescent="0.25">
      <c r="B5137" t="str">
        <f t="shared" si="80"/>
        <v>LVAPopulation ages 20-24, female</v>
      </c>
      <c r="C5137" t="s">
        <v>549</v>
      </c>
      <c r="D5137" t="s">
        <v>84</v>
      </c>
      <c r="E5137" t="s">
        <v>370</v>
      </c>
      <c r="F5137" t="s">
        <v>699</v>
      </c>
      <c r="G5137">
        <v>38000</v>
      </c>
      <c r="H5137">
        <v>34000</v>
      </c>
    </row>
    <row r="5138" spans="2:8" x14ac:dyDescent="0.25">
      <c r="B5138" t="str">
        <f t="shared" si="80"/>
        <v>LVAPopulation ages 20-24, male</v>
      </c>
      <c r="C5138" t="s">
        <v>549</v>
      </c>
      <c r="D5138" t="s">
        <v>84</v>
      </c>
      <c r="E5138" t="s">
        <v>371</v>
      </c>
      <c r="F5138" t="s">
        <v>700</v>
      </c>
      <c r="G5138">
        <v>41000</v>
      </c>
      <c r="H5138">
        <v>37000</v>
      </c>
    </row>
    <row r="5139" spans="2:8" x14ac:dyDescent="0.25">
      <c r="B5139" t="str">
        <f t="shared" si="80"/>
        <v>LVAPopulation ages 25-29, female</v>
      </c>
      <c r="C5139" t="s">
        <v>549</v>
      </c>
      <c r="D5139" t="s">
        <v>84</v>
      </c>
      <c r="E5139" t="s">
        <v>372</v>
      </c>
      <c r="F5139" t="s">
        <v>701</v>
      </c>
      <c r="G5139">
        <v>62000</v>
      </c>
      <c r="H5139">
        <v>58000</v>
      </c>
    </row>
    <row r="5140" spans="2:8" x14ac:dyDescent="0.25">
      <c r="B5140" t="str">
        <f t="shared" si="80"/>
        <v>LVAPopulation ages 25-29, male</v>
      </c>
      <c r="C5140" t="s">
        <v>549</v>
      </c>
      <c r="D5140" t="s">
        <v>84</v>
      </c>
      <c r="E5140" t="s">
        <v>373</v>
      </c>
      <c r="F5140" t="s">
        <v>702</v>
      </c>
      <c r="G5140">
        <v>66000</v>
      </c>
      <c r="H5140">
        <v>62000</v>
      </c>
    </row>
    <row r="5141" spans="2:8" x14ac:dyDescent="0.25">
      <c r="B5141" t="str">
        <f t="shared" si="80"/>
        <v>LVAPopulation ages 30-34, female</v>
      </c>
      <c r="C5141" t="s">
        <v>549</v>
      </c>
      <c r="D5141" t="s">
        <v>84</v>
      </c>
      <c r="E5141" t="s">
        <v>374</v>
      </c>
      <c r="F5141" t="s">
        <v>703</v>
      </c>
      <c r="G5141">
        <v>69000</v>
      </c>
      <c r="H5141">
        <v>70000</v>
      </c>
    </row>
    <row r="5142" spans="2:8" x14ac:dyDescent="0.25">
      <c r="B5142" t="str">
        <f t="shared" si="80"/>
        <v>LVAPopulation ages 30-34, male</v>
      </c>
      <c r="C5142" t="s">
        <v>549</v>
      </c>
      <c r="D5142" t="s">
        <v>84</v>
      </c>
      <c r="E5142" t="s">
        <v>375</v>
      </c>
      <c r="F5142" t="s">
        <v>704</v>
      </c>
      <c r="G5142">
        <v>73000</v>
      </c>
      <c r="H5142">
        <v>73000</v>
      </c>
    </row>
    <row r="5143" spans="2:8" x14ac:dyDescent="0.25">
      <c r="B5143" t="str">
        <f t="shared" si="80"/>
        <v>LVAPopulation ages 35-39, female</v>
      </c>
      <c r="C5143" t="s">
        <v>549</v>
      </c>
      <c r="D5143" t="s">
        <v>84</v>
      </c>
      <c r="E5143" t="s">
        <v>376</v>
      </c>
      <c r="F5143" t="s">
        <v>705</v>
      </c>
      <c r="G5143">
        <v>60000</v>
      </c>
      <c r="H5143">
        <v>60000</v>
      </c>
    </row>
    <row r="5144" spans="2:8" x14ac:dyDescent="0.25">
      <c r="B5144" t="str">
        <f t="shared" si="80"/>
        <v>LVAPopulation ages 35-39, male</v>
      </c>
      <c r="C5144" t="s">
        <v>549</v>
      </c>
      <c r="D5144" t="s">
        <v>84</v>
      </c>
      <c r="E5144" t="s">
        <v>377</v>
      </c>
      <c r="F5144" t="s">
        <v>706</v>
      </c>
      <c r="G5144">
        <v>62000</v>
      </c>
      <c r="H5144">
        <v>62000</v>
      </c>
    </row>
    <row r="5145" spans="2:8" x14ac:dyDescent="0.25">
      <c r="B5145" t="str">
        <f t="shared" si="80"/>
        <v>LVAPopulation ages 40-44, female</v>
      </c>
      <c r="C5145" t="s">
        <v>549</v>
      </c>
      <c r="D5145" t="s">
        <v>84</v>
      </c>
      <c r="E5145" t="s">
        <v>378</v>
      </c>
      <c r="F5145" t="s">
        <v>707</v>
      </c>
      <c r="G5145">
        <v>63000</v>
      </c>
      <c r="H5145">
        <v>62000</v>
      </c>
    </row>
    <row r="5146" spans="2:8" x14ac:dyDescent="0.25">
      <c r="B5146" t="str">
        <f t="shared" si="80"/>
        <v>LVAPopulation ages 40-44, male</v>
      </c>
      <c r="C5146" t="s">
        <v>549</v>
      </c>
      <c r="D5146" t="s">
        <v>84</v>
      </c>
      <c r="E5146" t="s">
        <v>379</v>
      </c>
      <c r="F5146" t="s">
        <v>708</v>
      </c>
      <c r="G5146">
        <v>62000</v>
      </c>
      <c r="H5146">
        <v>60000</v>
      </c>
    </row>
    <row r="5147" spans="2:8" x14ac:dyDescent="0.25">
      <c r="B5147" t="str">
        <f t="shared" si="80"/>
        <v>LVAPopulation ages 45-49, female</v>
      </c>
      <c r="C5147" t="s">
        <v>549</v>
      </c>
      <c r="D5147" t="s">
        <v>84</v>
      </c>
      <c r="E5147" t="s">
        <v>380</v>
      </c>
      <c r="F5147" t="s">
        <v>709</v>
      </c>
      <c r="G5147">
        <v>68000</v>
      </c>
      <c r="H5147">
        <v>69000</v>
      </c>
    </row>
    <row r="5148" spans="2:8" x14ac:dyDescent="0.25">
      <c r="B5148" t="str">
        <f t="shared" si="80"/>
        <v>LVAPopulation ages 45-49, male</v>
      </c>
      <c r="C5148" t="s">
        <v>549</v>
      </c>
      <c r="D5148" t="s">
        <v>84</v>
      </c>
      <c r="E5148" t="s">
        <v>381</v>
      </c>
      <c r="F5148" t="s">
        <v>710</v>
      </c>
      <c r="G5148">
        <v>65000</v>
      </c>
      <c r="H5148">
        <v>65000</v>
      </c>
    </row>
    <row r="5149" spans="2:8" x14ac:dyDescent="0.25">
      <c r="B5149" t="str">
        <f t="shared" si="80"/>
        <v>LVAPopulation ages 50-54, female</v>
      </c>
      <c r="C5149" t="s">
        <v>549</v>
      </c>
      <c r="D5149" t="s">
        <v>84</v>
      </c>
      <c r="E5149" t="s">
        <v>382</v>
      </c>
      <c r="F5149" t="s">
        <v>711</v>
      </c>
      <c r="G5149">
        <v>66000</v>
      </c>
      <c r="H5149">
        <v>63000</v>
      </c>
    </row>
    <row r="5150" spans="2:8" x14ac:dyDescent="0.25">
      <c r="B5150" t="str">
        <f t="shared" si="80"/>
        <v>LVAPopulation ages 50-54, male</v>
      </c>
      <c r="C5150" t="s">
        <v>549</v>
      </c>
      <c r="D5150" t="s">
        <v>84</v>
      </c>
      <c r="E5150" t="s">
        <v>383</v>
      </c>
      <c r="F5150" t="s">
        <v>712</v>
      </c>
      <c r="G5150">
        <v>59000</v>
      </c>
      <c r="H5150">
        <v>57000</v>
      </c>
    </row>
    <row r="5151" spans="2:8" x14ac:dyDescent="0.25">
      <c r="B5151" t="str">
        <f t="shared" si="80"/>
        <v>LVAPopulation ages 55-59, male</v>
      </c>
      <c r="C5151" t="s">
        <v>549</v>
      </c>
      <c r="D5151" t="s">
        <v>84</v>
      </c>
      <c r="E5151" t="s">
        <v>385</v>
      </c>
      <c r="F5151" t="s">
        <v>713</v>
      </c>
      <c r="G5151">
        <v>67000</v>
      </c>
      <c r="H5151">
        <v>67000</v>
      </c>
    </row>
    <row r="5152" spans="2:8" x14ac:dyDescent="0.25">
      <c r="B5152" t="str">
        <f t="shared" si="80"/>
        <v>LVAPopulation ages 55-59, female</v>
      </c>
      <c r="C5152" t="s">
        <v>549</v>
      </c>
      <c r="D5152" t="s">
        <v>84</v>
      </c>
      <c r="E5152" t="s">
        <v>384</v>
      </c>
      <c r="F5152" t="s">
        <v>714</v>
      </c>
      <c r="G5152">
        <v>79000</v>
      </c>
      <c r="H5152">
        <v>79000</v>
      </c>
    </row>
    <row r="5153" spans="2:8" x14ac:dyDescent="0.25">
      <c r="B5153" t="str">
        <f t="shared" si="80"/>
        <v>LVAPopulation ages 65-69, male</v>
      </c>
      <c r="C5153" t="s">
        <v>549</v>
      </c>
      <c r="D5153" t="s">
        <v>84</v>
      </c>
      <c r="E5153" t="s">
        <v>389</v>
      </c>
      <c r="F5153" t="s">
        <v>715</v>
      </c>
      <c r="G5153">
        <v>45000</v>
      </c>
      <c r="H5153">
        <v>48000</v>
      </c>
    </row>
    <row r="5154" spans="2:8" x14ac:dyDescent="0.25">
      <c r="B5154" t="str">
        <f t="shared" si="80"/>
        <v>LVAPopulation ages 65-69, female</v>
      </c>
      <c r="C5154" t="s">
        <v>549</v>
      </c>
      <c r="D5154" t="s">
        <v>84</v>
      </c>
      <c r="E5154" t="s">
        <v>388</v>
      </c>
      <c r="F5154" t="s">
        <v>716</v>
      </c>
      <c r="G5154">
        <v>69000</v>
      </c>
      <c r="H5154">
        <v>73000</v>
      </c>
    </row>
    <row r="5155" spans="2:8" x14ac:dyDescent="0.25">
      <c r="B5155" t="str">
        <f t="shared" si="80"/>
        <v>LVAPopulation ages 60-64, female</v>
      </c>
      <c r="C5155" t="s">
        <v>549</v>
      </c>
      <c r="D5155" t="s">
        <v>84</v>
      </c>
      <c r="E5155" t="s">
        <v>386</v>
      </c>
      <c r="F5155" t="s">
        <v>717</v>
      </c>
      <c r="G5155">
        <v>74000</v>
      </c>
      <c r="H5155">
        <v>74000</v>
      </c>
    </row>
    <row r="5156" spans="2:8" x14ac:dyDescent="0.25">
      <c r="B5156" t="str">
        <f t="shared" si="80"/>
        <v>LVAPopulation ages 60-64, male</v>
      </c>
      <c r="C5156" t="s">
        <v>549</v>
      </c>
      <c r="D5156" t="s">
        <v>84</v>
      </c>
      <c r="E5156" t="s">
        <v>387</v>
      </c>
      <c r="F5156" t="s">
        <v>718</v>
      </c>
      <c r="G5156">
        <v>56000</v>
      </c>
      <c r="H5156">
        <v>57000</v>
      </c>
    </row>
    <row r="5157" spans="2:8" x14ac:dyDescent="0.25">
      <c r="B5157" t="str">
        <f t="shared" si="80"/>
        <v>LVAPopulation ages 70-74, female</v>
      </c>
      <c r="C5157" t="s">
        <v>549</v>
      </c>
      <c r="D5157" t="s">
        <v>84</v>
      </c>
      <c r="E5157" t="s">
        <v>390</v>
      </c>
      <c r="F5157" t="s">
        <v>719</v>
      </c>
      <c r="G5157">
        <v>51000</v>
      </c>
      <c r="H5157">
        <v>48000</v>
      </c>
    </row>
    <row r="5158" spans="2:8" x14ac:dyDescent="0.25">
      <c r="B5158" t="str">
        <f t="shared" si="80"/>
        <v>LVAPopulation ages 70-74, male</v>
      </c>
      <c r="C5158" t="s">
        <v>549</v>
      </c>
      <c r="D5158" t="s">
        <v>84</v>
      </c>
      <c r="E5158" t="s">
        <v>391</v>
      </c>
      <c r="F5158" t="s">
        <v>720</v>
      </c>
      <c r="G5158">
        <v>28000</v>
      </c>
      <c r="H5158">
        <v>27000</v>
      </c>
    </row>
    <row r="5159" spans="2:8" x14ac:dyDescent="0.25">
      <c r="B5159" t="str">
        <f t="shared" si="80"/>
        <v>LVAPopulation ages 75-79, female</v>
      </c>
      <c r="C5159" t="s">
        <v>549</v>
      </c>
      <c r="D5159" t="s">
        <v>84</v>
      </c>
      <c r="E5159" t="s">
        <v>392</v>
      </c>
      <c r="F5159" t="s">
        <v>721</v>
      </c>
      <c r="G5159">
        <v>59000</v>
      </c>
      <c r="H5159">
        <v>61000</v>
      </c>
    </row>
    <row r="5160" spans="2:8" x14ac:dyDescent="0.25">
      <c r="B5160" t="str">
        <f t="shared" si="80"/>
        <v>LVAPopulation ages 75-79, male</v>
      </c>
      <c r="C5160" t="s">
        <v>549</v>
      </c>
      <c r="D5160" t="s">
        <v>84</v>
      </c>
      <c r="E5160" t="s">
        <v>393</v>
      </c>
      <c r="F5160" t="s">
        <v>722</v>
      </c>
      <c r="G5160">
        <v>28000</v>
      </c>
      <c r="H5160">
        <v>28000</v>
      </c>
    </row>
    <row r="5161" spans="2:8" x14ac:dyDescent="0.25">
      <c r="B5161" t="str">
        <f t="shared" si="80"/>
        <v>LVAPopulation ages 80 and above, female</v>
      </c>
      <c r="C5161" t="s">
        <v>549</v>
      </c>
      <c r="D5161" t="s">
        <v>84</v>
      </c>
      <c r="E5161" t="s">
        <v>394</v>
      </c>
      <c r="F5161" t="s">
        <v>723</v>
      </c>
      <c r="G5161">
        <v>82000</v>
      </c>
      <c r="H5161">
        <v>81000</v>
      </c>
    </row>
    <row r="5162" spans="2:8" x14ac:dyDescent="0.25">
      <c r="B5162" t="str">
        <f t="shared" si="80"/>
        <v>LVAPopulation ages 80 and above, male</v>
      </c>
      <c r="C5162" t="s">
        <v>549</v>
      </c>
      <c r="D5162" t="s">
        <v>84</v>
      </c>
      <c r="E5162" t="s">
        <v>395</v>
      </c>
      <c r="F5162" t="s">
        <v>724</v>
      </c>
      <c r="G5162">
        <v>28000</v>
      </c>
      <c r="H5162">
        <v>27000</v>
      </c>
    </row>
    <row r="5163" spans="2:8" x14ac:dyDescent="0.25">
      <c r="B5163" t="str">
        <f t="shared" si="80"/>
        <v>LVAPopulation, male</v>
      </c>
      <c r="C5163" t="s">
        <v>549</v>
      </c>
      <c r="D5163" t="s">
        <v>84</v>
      </c>
      <c r="E5163" t="s">
        <v>397</v>
      </c>
      <c r="F5163" t="s">
        <v>725</v>
      </c>
      <c r="G5163">
        <v>882000</v>
      </c>
      <c r="H5163">
        <v>878000</v>
      </c>
    </row>
    <row r="5164" spans="2:8" x14ac:dyDescent="0.25">
      <c r="B5164" t="str">
        <f t="shared" si="80"/>
        <v>LVAPopulation, total</v>
      </c>
      <c r="C5164" t="s">
        <v>549</v>
      </c>
      <c r="D5164" t="s">
        <v>84</v>
      </c>
      <c r="E5164" t="s">
        <v>398</v>
      </c>
      <c r="F5164" t="s">
        <v>726</v>
      </c>
      <c r="G5164">
        <v>1916000</v>
      </c>
      <c r="H5164">
        <v>1905000</v>
      </c>
    </row>
    <row r="5165" spans="2:8" x14ac:dyDescent="0.25">
      <c r="B5165" t="str">
        <f t="shared" si="80"/>
        <v>LVAPopulation, female</v>
      </c>
      <c r="C5165" t="s">
        <v>549</v>
      </c>
      <c r="D5165" t="s">
        <v>84</v>
      </c>
      <c r="E5165" t="s">
        <v>396</v>
      </c>
      <c r="F5165" t="s">
        <v>727</v>
      </c>
      <c r="G5165">
        <v>1034000</v>
      </c>
      <c r="H5165">
        <v>1027000</v>
      </c>
    </row>
    <row r="5166" spans="2:8" x14ac:dyDescent="0.25">
      <c r="B5166" t="str">
        <f t="shared" si="80"/>
        <v>LVAPopulation growth (annual %)</v>
      </c>
      <c r="C5166" t="s">
        <v>549</v>
      </c>
      <c r="D5166" t="s">
        <v>84</v>
      </c>
      <c r="E5166" t="s">
        <v>399</v>
      </c>
      <c r="F5166" t="s">
        <v>728</v>
      </c>
      <c r="G5166">
        <v>0</v>
      </c>
      <c r="H5166">
        <v>0</v>
      </c>
    </row>
    <row r="5167" spans="2:8" x14ac:dyDescent="0.25">
      <c r="B5167" t="str">
        <f t="shared" si="80"/>
        <v>LDCPopulation ages 0-14, female</v>
      </c>
      <c r="C5167" t="s">
        <v>550</v>
      </c>
      <c r="D5167" t="s">
        <v>551</v>
      </c>
      <c r="E5167" t="s">
        <v>687</v>
      </c>
      <c r="F5167" t="s">
        <v>688</v>
      </c>
      <c r="G5167">
        <v>199673000</v>
      </c>
      <c r="H5167">
        <v>202662000</v>
      </c>
    </row>
    <row r="5168" spans="2:8" x14ac:dyDescent="0.25">
      <c r="B5168" t="str">
        <f t="shared" si="80"/>
        <v>LDCPopulation ages 0-14, male</v>
      </c>
      <c r="C5168" t="s">
        <v>550</v>
      </c>
      <c r="D5168" t="s">
        <v>551</v>
      </c>
      <c r="E5168" t="s">
        <v>689</v>
      </c>
      <c r="F5168" t="s">
        <v>690</v>
      </c>
      <c r="G5168">
        <v>204669000</v>
      </c>
      <c r="H5168">
        <v>207792000</v>
      </c>
    </row>
    <row r="5169" spans="2:8" x14ac:dyDescent="0.25">
      <c r="B5169" t="str">
        <f t="shared" si="80"/>
        <v>LDCPopulation ages 00-04, female</v>
      </c>
      <c r="C5169" t="s">
        <v>550</v>
      </c>
      <c r="D5169" t="s">
        <v>551</v>
      </c>
      <c r="E5169" t="s">
        <v>362</v>
      </c>
      <c r="F5169" t="s">
        <v>691</v>
      </c>
      <c r="G5169">
        <v>72547200</v>
      </c>
      <c r="H5169">
        <v>73543400</v>
      </c>
    </row>
    <row r="5170" spans="2:8" x14ac:dyDescent="0.25">
      <c r="B5170" t="str">
        <f t="shared" si="80"/>
        <v>LDCPopulation ages 00-04, male</v>
      </c>
      <c r="C5170" t="s">
        <v>550</v>
      </c>
      <c r="D5170" t="s">
        <v>551</v>
      </c>
      <c r="E5170" t="s">
        <v>363</v>
      </c>
      <c r="F5170" t="s">
        <v>692</v>
      </c>
      <c r="G5170">
        <v>74582700</v>
      </c>
      <c r="H5170">
        <v>75613800</v>
      </c>
    </row>
    <row r="5171" spans="2:8" x14ac:dyDescent="0.25">
      <c r="B5171" t="str">
        <f t="shared" si="80"/>
        <v>LDCPopulation ages 05-09, female</v>
      </c>
      <c r="C5171" t="s">
        <v>550</v>
      </c>
      <c r="D5171" t="s">
        <v>551</v>
      </c>
      <c r="E5171" t="s">
        <v>364</v>
      </c>
      <c r="F5171" t="s">
        <v>693</v>
      </c>
      <c r="G5171">
        <v>66424900</v>
      </c>
      <c r="H5171">
        <v>67354800</v>
      </c>
    </row>
    <row r="5172" spans="2:8" x14ac:dyDescent="0.25">
      <c r="B5172" t="str">
        <f t="shared" si="80"/>
        <v>LDCPopulation ages 05-09, male</v>
      </c>
      <c r="C5172" t="s">
        <v>550</v>
      </c>
      <c r="D5172" t="s">
        <v>551</v>
      </c>
      <c r="E5172" t="s">
        <v>365</v>
      </c>
      <c r="F5172" t="s">
        <v>694</v>
      </c>
      <c r="G5172">
        <v>68064400</v>
      </c>
      <c r="H5172">
        <v>69045500</v>
      </c>
    </row>
    <row r="5173" spans="2:8" x14ac:dyDescent="0.25">
      <c r="B5173" t="str">
        <f t="shared" si="80"/>
        <v>LDCPopulation ages 10-14, female</v>
      </c>
      <c r="C5173" t="s">
        <v>550</v>
      </c>
      <c r="D5173" t="s">
        <v>551</v>
      </c>
      <c r="E5173" t="s">
        <v>366</v>
      </c>
      <c r="F5173" t="s">
        <v>695</v>
      </c>
      <c r="G5173">
        <v>60703300</v>
      </c>
      <c r="H5173">
        <v>61763600</v>
      </c>
    </row>
    <row r="5174" spans="2:8" x14ac:dyDescent="0.25">
      <c r="B5174" t="str">
        <f t="shared" si="80"/>
        <v>LDCPopulation ages 10-14, male</v>
      </c>
      <c r="C5174" t="s">
        <v>550</v>
      </c>
      <c r="D5174" t="s">
        <v>551</v>
      </c>
      <c r="E5174" t="s">
        <v>367</v>
      </c>
      <c r="F5174" t="s">
        <v>696</v>
      </c>
      <c r="G5174">
        <v>62025500</v>
      </c>
      <c r="H5174">
        <v>63135800</v>
      </c>
    </row>
    <row r="5175" spans="2:8" x14ac:dyDescent="0.25">
      <c r="B5175" t="str">
        <f t="shared" si="80"/>
        <v>LDCPopulation ages 15-19, female</v>
      </c>
      <c r="C5175" t="s">
        <v>550</v>
      </c>
      <c r="D5175" t="s">
        <v>551</v>
      </c>
      <c r="E5175" t="s">
        <v>368</v>
      </c>
      <c r="F5175" t="s">
        <v>697</v>
      </c>
      <c r="G5175">
        <v>54593000</v>
      </c>
      <c r="H5175">
        <v>55716000</v>
      </c>
    </row>
    <row r="5176" spans="2:8" x14ac:dyDescent="0.25">
      <c r="B5176" t="str">
        <f t="shared" si="80"/>
        <v>LDCPopulation ages 15-19, male</v>
      </c>
      <c r="C5176" t="s">
        <v>550</v>
      </c>
      <c r="D5176" t="s">
        <v>551</v>
      </c>
      <c r="E5176" t="s">
        <v>369</v>
      </c>
      <c r="F5176" t="s">
        <v>698</v>
      </c>
      <c r="G5176">
        <v>55571200</v>
      </c>
      <c r="H5176">
        <v>56786200</v>
      </c>
    </row>
    <row r="5177" spans="2:8" x14ac:dyDescent="0.25">
      <c r="B5177" t="str">
        <f t="shared" si="80"/>
        <v>LDCPopulation ages 20-24, female</v>
      </c>
      <c r="C5177" t="s">
        <v>550</v>
      </c>
      <c r="D5177" t="s">
        <v>551</v>
      </c>
      <c r="E5177" t="s">
        <v>370</v>
      </c>
      <c r="F5177" t="s">
        <v>699</v>
      </c>
      <c r="G5177">
        <v>48172400</v>
      </c>
      <c r="H5177">
        <v>49292600</v>
      </c>
    </row>
    <row r="5178" spans="2:8" x14ac:dyDescent="0.25">
      <c r="B5178" t="str">
        <f t="shared" si="80"/>
        <v>LDCPopulation ages 20-24, male</v>
      </c>
      <c r="C5178" t="s">
        <v>550</v>
      </c>
      <c r="D5178" t="s">
        <v>551</v>
      </c>
      <c r="E5178" t="s">
        <v>371</v>
      </c>
      <c r="F5178" t="s">
        <v>700</v>
      </c>
      <c r="G5178">
        <v>48465600</v>
      </c>
      <c r="H5178">
        <v>49676000</v>
      </c>
    </row>
    <row r="5179" spans="2:8" x14ac:dyDescent="0.25">
      <c r="B5179" t="str">
        <f t="shared" si="80"/>
        <v>LDCPopulation ages 25-29, female</v>
      </c>
      <c r="C5179" t="s">
        <v>550</v>
      </c>
      <c r="D5179" t="s">
        <v>551</v>
      </c>
      <c r="E5179" t="s">
        <v>372</v>
      </c>
      <c r="F5179" t="s">
        <v>701</v>
      </c>
      <c r="G5179">
        <v>41786200</v>
      </c>
      <c r="H5179">
        <v>42931200</v>
      </c>
    </row>
    <row r="5180" spans="2:8" x14ac:dyDescent="0.25">
      <c r="B5180" t="str">
        <f t="shared" si="80"/>
        <v>LDCPopulation ages 25-29, male</v>
      </c>
      <c r="C5180" t="s">
        <v>550</v>
      </c>
      <c r="D5180" t="s">
        <v>551</v>
      </c>
      <c r="E5180" t="s">
        <v>373</v>
      </c>
      <c r="F5180" t="s">
        <v>702</v>
      </c>
      <c r="G5180">
        <v>41278300</v>
      </c>
      <c r="H5180">
        <v>42510400</v>
      </c>
    </row>
    <row r="5181" spans="2:8" x14ac:dyDescent="0.25">
      <c r="B5181" t="str">
        <f t="shared" si="80"/>
        <v>LDCPopulation ages 30-34, female</v>
      </c>
      <c r="C5181" t="s">
        <v>550</v>
      </c>
      <c r="D5181" t="s">
        <v>551</v>
      </c>
      <c r="E5181" t="s">
        <v>374</v>
      </c>
      <c r="F5181" t="s">
        <v>703</v>
      </c>
      <c r="G5181">
        <v>35850700</v>
      </c>
      <c r="H5181">
        <v>36757700</v>
      </c>
    </row>
    <row r="5182" spans="2:8" x14ac:dyDescent="0.25">
      <c r="B5182" t="str">
        <f t="shared" si="80"/>
        <v>LDCPopulation ages 30-34, male</v>
      </c>
      <c r="C5182" t="s">
        <v>550</v>
      </c>
      <c r="D5182" t="s">
        <v>551</v>
      </c>
      <c r="E5182" t="s">
        <v>375</v>
      </c>
      <c r="F5182" t="s">
        <v>704</v>
      </c>
      <c r="G5182">
        <v>34627400</v>
      </c>
      <c r="H5182">
        <v>35621500</v>
      </c>
    </row>
    <row r="5183" spans="2:8" x14ac:dyDescent="0.25">
      <c r="B5183" t="str">
        <f t="shared" si="80"/>
        <v>LDCPopulation ages 35-39, female</v>
      </c>
      <c r="C5183" t="s">
        <v>550</v>
      </c>
      <c r="D5183" t="s">
        <v>551</v>
      </c>
      <c r="E5183" t="s">
        <v>376</v>
      </c>
      <c r="F5183" t="s">
        <v>705</v>
      </c>
      <c r="G5183">
        <v>30937800</v>
      </c>
      <c r="H5183">
        <v>31879300</v>
      </c>
    </row>
    <row r="5184" spans="2:8" x14ac:dyDescent="0.25">
      <c r="B5184" t="str">
        <f t="shared" si="80"/>
        <v>LDCPopulation ages 35-39, male</v>
      </c>
      <c r="C5184" t="s">
        <v>550</v>
      </c>
      <c r="D5184" t="s">
        <v>551</v>
      </c>
      <c r="E5184" t="s">
        <v>377</v>
      </c>
      <c r="F5184" t="s">
        <v>706</v>
      </c>
      <c r="G5184">
        <v>29436400</v>
      </c>
      <c r="H5184">
        <v>30348800</v>
      </c>
    </row>
    <row r="5185" spans="2:8" x14ac:dyDescent="0.25">
      <c r="B5185" t="str">
        <f t="shared" si="80"/>
        <v>LDCPopulation ages 40-44, female</v>
      </c>
      <c r="C5185" t="s">
        <v>550</v>
      </c>
      <c r="D5185" t="s">
        <v>551</v>
      </c>
      <c r="E5185" t="s">
        <v>378</v>
      </c>
      <c r="F5185" t="s">
        <v>707</v>
      </c>
      <c r="G5185">
        <v>25298200</v>
      </c>
      <c r="H5185">
        <v>26179800</v>
      </c>
    </row>
    <row r="5186" spans="2:8" x14ac:dyDescent="0.25">
      <c r="B5186" t="str">
        <f t="shared" si="80"/>
        <v>LDCPopulation ages 40-44, male</v>
      </c>
      <c r="C5186" t="s">
        <v>550</v>
      </c>
      <c r="D5186" t="s">
        <v>551</v>
      </c>
      <c r="E5186" t="s">
        <v>379</v>
      </c>
      <c r="F5186" t="s">
        <v>708</v>
      </c>
      <c r="G5186">
        <v>24116000</v>
      </c>
      <c r="H5186">
        <v>24909600</v>
      </c>
    </row>
    <row r="5187" spans="2:8" x14ac:dyDescent="0.25">
      <c r="B5187" t="str">
        <f t="shared" si="80"/>
        <v>LDCPopulation ages 45-49, female</v>
      </c>
      <c r="C5187" t="s">
        <v>550</v>
      </c>
      <c r="D5187" t="s">
        <v>551</v>
      </c>
      <c r="E5187" t="s">
        <v>380</v>
      </c>
      <c r="F5187" t="s">
        <v>709</v>
      </c>
      <c r="G5187">
        <v>21007600</v>
      </c>
      <c r="H5187">
        <v>21669000</v>
      </c>
    </row>
    <row r="5188" spans="2:8" x14ac:dyDescent="0.25">
      <c r="B5188" t="str">
        <f t="shared" si="80"/>
        <v>LDCPopulation ages 45-49, male</v>
      </c>
      <c r="C5188" t="s">
        <v>550</v>
      </c>
      <c r="D5188" t="s">
        <v>551</v>
      </c>
      <c r="E5188" t="s">
        <v>381</v>
      </c>
      <c r="F5188" t="s">
        <v>710</v>
      </c>
      <c r="G5188">
        <v>20067600</v>
      </c>
      <c r="H5188">
        <v>20682700</v>
      </c>
    </row>
    <row r="5189" spans="2:8" x14ac:dyDescent="0.25">
      <c r="B5189" t="str">
        <f t="shared" si="80"/>
        <v>LDCPopulation ages 50-54, female</v>
      </c>
      <c r="C5189" t="s">
        <v>550</v>
      </c>
      <c r="D5189" t="s">
        <v>551</v>
      </c>
      <c r="E5189" t="s">
        <v>382</v>
      </c>
      <c r="F5189" t="s">
        <v>711</v>
      </c>
      <c r="G5189">
        <v>17385000</v>
      </c>
      <c r="H5189">
        <v>17932200</v>
      </c>
    </row>
    <row r="5190" spans="2:8" x14ac:dyDescent="0.25">
      <c r="B5190" t="str">
        <f t="shared" si="80"/>
        <v>LDCPopulation ages 50-54, male</v>
      </c>
      <c r="C5190" t="s">
        <v>550</v>
      </c>
      <c r="D5190" t="s">
        <v>551</v>
      </c>
      <c r="E5190" t="s">
        <v>383</v>
      </c>
      <c r="F5190" t="s">
        <v>712</v>
      </c>
      <c r="G5190">
        <v>16445800</v>
      </c>
      <c r="H5190">
        <v>16973100</v>
      </c>
    </row>
    <row r="5191" spans="2:8" x14ac:dyDescent="0.25">
      <c r="B5191" t="str">
        <f t="shared" ref="B5191:B5254" si="81">CONCATENATE(D5191,E5191)</f>
        <v>LDCPopulation ages 55-59, male</v>
      </c>
      <c r="C5191" t="s">
        <v>550</v>
      </c>
      <c r="D5191" t="s">
        <v>551</v>
      </c>
      <c r="E5191" t="s">
        <v>385</v>
      </c>
      <c r="F5191" t="s">
        <v>713</v>
      </c>
      <c r="G5191">
        <v>13027400</v>
      </c>
      <c r="H5191">
        <v>13541200</v>
      </c>
    </row>
    <row r="5192" spans="2:8" x14ac:dyDescent="0.25">
      <c r="B5192" t="str">
        <f t="shared" si="81"/>
        <v>LDCPopulation ages 55-59, female</v>
      </c>
      <c r="C5192" t="s">
        <v>550</v>
      </c>
      <c r="D5192" t="s">
        <v>551</v>
      </c>
      <c r="E5192" t="s">
        <v>384</v>
      </c>
      <c r="F5192" t="s">
        <v>714</v>
      </c>
      <c r="G5192">
        <v>13973900</v>
      </c>
      <c r="H5192">
        <v>14507600</v>
      </c>
    </row>
    <row r="5193" spans="2:8" x14ac:dyDescent="0.25">
      <c r="B5193" t="str">
        <f t="shared" si="81"/>
        <v>LDCPopulation ages 65-69, male</v>
      </c>
      <c r="C5193" t="s">
        <v>550</v>
      </c>
      <c r="D5193" t="s">
        <v>551</v>
      </c>
      <c r="E5193" t="s">
        <v>389</v>
      </c>
      <c r="F5193" t="s">
        <v>715</v>
      </c>
      <c r="G5193">
        <v>6821700</v>
      </c>
      <c r="H5193">
        <v>7081000</v>
      </c>
    </row>
    <row r="5194" spans="2:8" x14ac:dyDescent="0.25">
      <c r="B5194" t="str">
        <f t="shared" si="81"/>
        <v>LDCPopulation ages 65-69, female</v>
      </c>
      <c r="C5194" t="s">
        <v>550</v>
      </c>
      <c r="D5194" t="s">
        <v>551</v>
      </c>
      <c r="E5194" t="s">
        <v>388</v>
      </c>
      <c r="F5194" t="s">
        <v>716</v>
      </c>
      <c r="G5194">
        <v>7793200</v>
      </c>
      <c r="H5194">
        <v>8080500</v>
      </c>
    </row>
    <row r="5195" spans="2:8" x14ac:dyDescent="0.25">
      <c r="B5195" t="str">
        <f t="shared" si="81"/>
        <v>LDCPopulation ages 60-64, female</v>
      </c>
      <c r="C5195" t="s">
        <v>550</v>
      </c>
      <c r="D5195" t="s">
        <v>551</v>
      </c>
      <c r="E5195" t="s">
        <v>386</v>
      </c>
      <c r="F5195" t="s">
        <v>717</v>
      </c>
      <c r="G5195">
        <v>10600700</v>
      </c>
      <c r="H5195">
        <v>11073100</v>
      </c>
    </row>
    <row r="5196" spans="2:8" x14ac:dyDescent="0.25">
      <c r="B5196" t="str">
        <f t="shared" si="81"/>
        <v>LDCPopulation ages 60-64, male</v>
      </c>
      <c r="C5196" t="s">
        <v>550</v>
      </c>
      <c r="D5196" t="s">
        <v>551</v>
      </c>
      <c r="E5196" t="s">
        <v>387</v>
      </c>
      <c r="F5196" t="s">
        <v>718</v>
      </c>
      <c r="G5196">
        <v>9583200</v>
      </c>
      <c r="H5196">
        <v>10011200</v>
      </c>
    </row>
    <row r="5197" spans="2:8" x14ac:dyDescent="0.25">
      <c r="B5197" t="str">
        <f t="shared" si="81"/>
        <v>LDCPopulation ages 70-74, female</v>
      </c>
      <c r="C5197" t="s">
        <v>550</v>
      </c>
      <c r="D5197" t="s">
        <v>551</v>
      </c>
      <c r="E5197" t="s">
        <v>390</v>
      </c>
      <c r="F5197" t="s">
        <v>719</v>
      </c>
      <c r="G5197">
        <v>5678200</v>
      </c>
      <c r="H5197">
        <v>5848600</v>
      </c>
    </row>
    <row r="5198" spans="2:8" x14ac:dyDescent="0.25">
      <c r="B5198" t="str">
        <f t="shared" si="81"/>
        <v>LDCPopulation ages 70-74, male</v>
      </c>
      <c r="C5198" t="s">
        <v>550</v>
      </c>
      <c r="D5198" t="s">
        <v>551</v>
      </c>
      <c r="E5198" t="s">
        <v>391</v>
      </c>
      <c r="F5198" t="s">
        <v>720</v>
      </c>
      <c r="G5198">
        <v>4716300</v>
      </c>
      <c r="H5198">
        <v>4849500</v>
      </c>
    </row>
    <row r="5199" spans="2:8" x14ac:dyDescent="0.25">
      <c r="B5199" t="str">
        <f t="shared" si="81"/>
        <v>LDCPopulation ages 75-79, female</v>
      </c>
      <c r="C5199" t="s">
        <v>550</v>
      </c>
      <c r="D5199" t="s">
        <v>551</v>
      </c>
      <c r="E5199" t="s">
        <v>392</v>
      </c>
      <c r="F5199" t="s">
        <v>721</v>
      </c>
      <c r="G5199">
        <v>3669100</v>
      </c>
      <c r="H5199">
        <v>3801100</v>
      </c>
    </row>
    <row r="5200" spans="2:8" x14ac:dyDescent="0.25">
      <c r="B5200" t="str">
        <f t="shared" si="81"/>
        <v>LDCPopulation ages 75-79, male</v>
      </c>
      <c r="C5200" t="s">
        <v>550</v>
      </c>
      <c r="D5200" t="s">
        <v>551</v>
      </c>
      <c r="E5200" t="s">
        <v>393</v>
      </c>
      <c r="F5200" t="s">
        <v>722</v>
      </c>
      <c r="G5200">
        <v>2924900</v>
      </c>
      <c r="H5200">
        <v>3010000</v>
      </c>
    </row>
    <row r="5201" spans="2:8" x14ac:dyDescent="0.25">
      <c r="B5201" t="str">
        <f t="shared" si="81"/>
        <v>LDCPopulation ages 80 and above, female</v>
      </c>
      <c r="C5201" t="s">
        <v>550</v>
      </c>
      <c r="D5201" t="s">
        <v>551</v>
      </c>
      <c r="E5201" t="s">
        <v>394</v>
      </c>
      <c r="F5201" t="s">
        <v>723</v>
      </c>
      <c r="G5201">
        <v>3021400</v>
      </c>
      <c r="H5201">
        <v>3076700</v>
      </c>
    </row>
    <row r="5202" spans="2:8" x14ac:dyDescent="0.25">
      <c r="B5202" t="str">
        <f t="shared" si="81"/>
        <v>LDCPopulation ages 80 and above, male</v>
      </c>
      <c r="C5202" t="s">
        <v>550</v>
      </c>
      <c r="D5202" t="s">
        <v>551</v>
      </c>
      <c r="E5202" t="s">
        <v>395</v>
      </c>
      <c r="F5202" t="s">
        <v>724</v>
      </c>
      <c r="G5202">
        <v>2204900</v>
      </c>
      <c r="H5202">
        <v>2212200</v>
      </c>
    </row>
    <row r="5203" spans="2:8" x14ac:dyDescent="0.25">
      <c r="B5203" t="str">
        <f t="shared" si="81"/>
        <v>LDCPopulation, male</v>
      </c>
      <c r="C5203" t="s">
        <v>550</v>
      </c>
      <c r="D5203" t="s">
        <v>551</v>
      </c>
      <c r="E5203" t="s">
        <v>397</v>
      </c>
      <c r="F5203" t="s">
        <v>725</v>
      </c>
      <c r="G5203">
        <v>513948000</v>
      </c>
      <c r="H5203">
        <v>526010000</v>
      </c>
    </row>
    <row r="5204" spans="2:8" x14ac:dyDescent="0.25">
      <c r="B5204" t="str">
        <f t="shared" si="81"/>
        <v>LDCPopulation, total</v>
      </c>
      <c r="C5204" t="s">
        <v>550</v>
      </c>
      <c r="D5204" t="s">
        <v>551</v>
      </c>
      <c r="E5204" t="s">
        <v>398</v>
      </c>
      <c r="F5204" t="s">
        <v>726</v>
      </c>
      <c r="G5204">
        <v>1033389000</v>
      </c>
      <c r="H5204">
        <v>1057439000</v>
      </c>
    </row>
    <row r="5205" spans="2:8" x14ac:dyDescent="0.25">
      <c r="B5205" t="str">
        <f t="shared" si="81"/>
        <v>LDCPopulation, female</v>
      </c>
      <c r="C5205" t="s">
        <v>550</v>
      </c>
      <c r="D5205" t="s">
        <v>551</v>
      </c>
      <c r="E5205" t="s">
        <v>396</v>
      </c>
      <c r="F5205" t="s">
        <v>727</v>
      </c>
      <c r="G5205">
        <v>519430000</v>
      </c>
      <c r="H5205">
        <v>531416000</v>
      </c>
    </row>
    <row r="5206" spans="2:8" x14ac:dyDescent="0.25">
      <c r="B5206" t="str">
        <f t="shared" si="81"/>
        <v>LDCPopulation growth (annual %)</v>
      </c>
      <c r="C5206" t="s">
        <v>550</v>
      </c>
      <c r="D5206" t="s">
        <v>551</v>
      </c>
      <c r="E5206" t="s">
        <v>399</v>
      </c>
      <c r="F5206" t="s">
        <v>728</v>
      </c>
      <c r="G5206">
        <v>2.3499357624008184</v>
      </c>
      <c r="H5206">
        <v>2.3272939812597286</v>
      </c>
    </row>
    <row r="5207" spans="2:8" x14ac:dyDescent="0.25">
      <c r="B5207" t="str">
        <f t="shared" si="81"/>
        <v>LBNPopulation ages 0-14, female</v>
      </c>
      <c r="C5207" t="s">
        <v>552</v>
      </c>
      <c r="D5207" t="s">
        <v>77</v>
      </c>
      <c r="E5207" t="s">
        <v>687</v>
      </c>
      <c r="F5207" t="s">
        <v>688</v>
      </c>
      <c r="G5207">
        <v>842000</v>
      </c>
      <c r="H5207">
        <v>822000</v>
      </c>
    </row>
    <row r="5208" spans="2:8" x14ac:dyDescent="0.25">
      <c r="B5208" t="str">
        <f t="shared" si="81"/>
        <v>LBNPopulation ages 0-14, male</v>
      </c>
      <c r="C5208" t="s">
        <v>552</v>
      </c>
      <c r="D5208" t="s">
        <v>77</v>
      </c>
      <c r="E5208" t="s">
        <v>689</v>
      </c>
      <c r="F5208" t="s">
        <v>690</v>
      </c>
      <c r="G5208">
        <v>912000</v>
      </c>
      <c r="H5208">
        <v>889000</v>
      </c>
    </row>
    <row r="5209" spans="2:8" x14ac:dyDescent="0.25">
      <c r="B5209" t="str">
        <f t="shared" si="81"/>
        <v>LBNPopulation ages 00-04, female</v>
      </c>
      <c r="C5209" t="s">
        <v>552</v>
      </c>
      <c r="D5209" t="s">
        <v>77</v>
      </c>
      <c r="E5209" t="s">
        <v>362</v>
      </c>
      <c r="F5209" t="s">
        <v>691</v>
      </c>
      <c r="G5209">
        <v>289000</v>
      </c>
      <c r="H5209">
        <v>277000</v>
      </c>
    </row>
    <row r="5210" spans="2:8" x14ac:dyDescent="0.25">
      <c r="B5210" t="str">
        <f t="shared" si="81"/>
        <v>LBNPopulation ages 00-04, male</v>
      </c>
      <c r="C5210" t="s">
        <v>552</v>
      </c>
      <c r="D5210" t="s">
        <v>77</v>
      </c>
      <c r="E5210" t="s">
        <v>363</v>
      </c>
      <c r="F5210" t="s">
        <v>692</v>
      </c>
      <c r="G5210">
        <v>303000</v>
      </c>
      <c r="H5210">
        <v>289000</v>
      </c>
    </row>
    <row r="5211" spans="2:8" x14ac:dyDescent="0.25">
      <c r="B5211" t="str">
        <f t="shared" si="81"/>
        <v>LBNPopulation ages 05-09, female</v>
      </c>
      <c r="C5211" t="s">
        <v>552</v>
      </c>
      <c r="D5211" t="s">
        <v>77</v>
      </c>
      <c r="E5211" t="s">
        <v>364</v>
      </c>
      <c r="F5211" t="s">
        <v>693</v>
      </c>
      <c r="G5211">
        <v>281000</v>
      </c>
      <c r="H5211">
        <v>279000</v>
      </c>
    </row>
    <row r="5212" spans="2:8" x14ac:dyDescent="0.25">
      <c r="B5212" t="str">
        <f t="shared" si="81"/>
        <v>LBNPopulation ages 05-09, male</v>
      </c>
      <c r="C5212" t="s">
        <v>552</v>
      </c>
      <c r="D5212" t="s">
        <v>77</v>
      </c>
      <c r="E5212" t="s">
        <v>365</v>
      </c>
      <c r="F5212" t="s">
        <v>694</v>
      </c>
      <c r="G5212">
        <v>311000</v>
      </c>
      <c r="H5212">
        <v>307000</v>
      </c>
    </row>
    <row r="5213" spans="2:8" x14ac:dyDescent="0.25">
      <c r="B5213" t="str">
        <f t="shared" si="81"/>
        <v>LBNPopulation ages 10-14, female</v>
      </c>
      <c r="C5213" t="s">
        <v>552</v>
      </c>
      <c r="D5213" t="s">
        <v>77</v>
      </c>
      <c r="E5213" t="s">
        <v>366</v>
      </c>
      <c r="F5213" t="s">
        <v>695</v>
      </c>
      <c r="G5213">
        <v>272000</v>
      </c>
      <c r="H5213">
        <v>265000</v>
      </c>
    </row>
    <row r="5214" spans="2:8" x14ac:dyDescent="0.25">
      <c r="B5214" t="str">
        <f t="shared" si="81"/>
        <v>LBNPopulation ages 10-14, male</v>
      </c>
      <c r="C5214" t="s">
        <v>552</v>
      </c>
      <c r="D5214" t="s">
        <v>77</v>
      </c>
      <c r="E5214" t="s">
        <v>367</v>
      </c>
      <c r="F5214" t="s">
        <v>696</v>
      </c>
      <c r="G5214">
        <v>297000</v>
      </c>
      <c r="H5214">
        <v>294000</v>
      </c>
    </row>
    <row r="5215" spans="2:8" x14ac:dyDescent="0.25">
      <c r="B5215" t="str">
        <f t="shared" si="81"/>
        <v>LBNPopulation ages 15-19, female</v>
      </c>
      <c r="C5215" t="s">
        <v>552</v>
      </c>
      <c r="D5215" t="s">
        <v>77</v>
      </c>
      <c r="E5215" t="s">
        <v>368</v>
      </c>
      <c r="F5215" t="s">
        <v>697</v>
      </c>
      <c r="G5215">
        <v>294000</v>
      </c>
      <c r="H5215">
        <v>285000</v>
      </c>
    </row>
    <row r="5216" spans="2:8" x14ac:dyDescent="0.25">
      <c r="B5216" t="str">
        <f t="shared" si="81"/>
        <v>LBNPopulation ages 15-19, male</v>
      </c>
      <c r="C5216" t="s">
        <v>552</v>
      </c>
      <c r="D5216" t="s">
        <v>77</v>
      </c>
      <c r="E5216" t="s">
        <v>369</v>
      </c>
      <c r="F5216" t="s">
        <v>698</v>
      </c>
      <c r="G5216">
        <v>297000</v>
      </c>
      <c r="H5216">
        <v>291000</v>
      </c>
    </row>
    <row r="5217" spans="2:8" x14ac:dyDescent="0.25">
      <c r="B5217" t="str">
        <f t="shared" si="81"/>
        <v>LBNPopulation ages 20-24, female</v>
      </c>
      <c r="C5217" t="s">
        <v>552</v>
      </c>
      <c r="D5217" t="s">
        <v>77</v>
      </c>
      <c r="E5217" t="s">
        <v>370</v>
      </c>
      <c r="F5217" t="s">
        <v>699</v>
      </c>
      <c r="G5217">
        <v>306000</v>
      </c>
      <c r="H5217">
        <v>299000</v>
      </c>
    </row>
    <row r="5218" spans="2:8" x14ac:dyDescent="0.25">
      <c r="B5218" t="str">
        <f t="shared" si="81"/>
        <v>LBNPopulation ages 20-24, male</v>
      </c>
      <c r="C5218" t="s">
        <v>552</v>
      </c>
      <c r="D5218" t="s">
        <v>77</v>
      </c>
      <c r="E5218" t="s">
        <v>371</v>
      </c>
      <c r="F5218" t="s">
        <v>700</v>
      </c>
      <c r="G5218">
        <v>297000</v>
      </c>
      <c r="H5218">
        <v>294000</v>
      </c>
    </row>
    <row r="5219" spans="2:8" x14ac:dyDescent="0.25">
      <c r="B5219" t="str">
        <f t="shared" si="81"/>
        <v>LBNPopulation ages 25-29, female</v>
      </c>
      <c r="C5219" t="s">
        <v>552</v>
      </c>
      <c r="D5219" t="s">
        <v>77</v>
      </c>
      <c r="E5219" t="s">
        <v>372</v>
      </c>
      <c r="F5219" t="s">
        <v>701</v>
      </c>
      <c r="G5219">
        <v>306000</v>
      </c>
      <c r="H5219">
        <v>303000</v>
      </c>
    </row>
    <row r="5220" spans="2:8" x14ac:dyDescent="0.25">
      <c r="B5220" t="str">
        <f t="shared" si="81"/>
        <v>LBNPopulation ages 25-29, male</v>
      </c>
      <c r="C5220" t="s">
        <v>552</v>
      </c>
      <c r="D5220" t="s">
        <v>77</v>
      </c>
      <c r="E5220" t="s">
        <v>373</v>
      </c>
      <c r="F5220" t="s">
        <v>702</v>
      </c>
      <c r="G5220">
        <v>277000</v>
      </c>
      <c r="H5220">
        <v>280000</v>
      </c>
    </row>
    <row r="5221" spans="2:8" x14ac:dyDescent="0.25">
      <c r="B5221" t="str">
        <f t="shared" si="81"/>
        <v>LBNPopulation ages 30-34, female</v>
      </c>
      <c r="C5221" t="s">
        <v>552</v>
      </c>
      <c r="D5221" t="s">
        <v>77</v>
      </c>
      <c r="E5221" t="s">
        <v>374</v>
      </c>
      <c r="F5221" t="s">
        <v>703</v>
      </c>
      <c r="G5221">
        <v>282000</v>
      </c>
      <c r="H5221">
        <v>282000</v>
      </c>
    </row>
    <row r="5222" spans="2:8" x14ac:dyDescent="0.25">
      <c r="B5222" t="str">
        <f t="shared" si="81"/>
        <v>LBNPopulation ages 30-34, male</v>
      </c>
      <c r="C5222" t="s">
        <v>552</v>
      </c>
      <c r="D5222" t="s">
        <v>77</v>
      </c>
      <c r="E5222" t="s">
        <v>375</v>
      </c>
      <c r="F5222" t="s">
        <v>704</v>
      </c>
      <c r="G5222">
        <v>239000</v>
      </c>
      <c r="H5222">
        <v>240000</v>
      </c>
    </row>
    <row r="5223" spans="2:8" x14ac:dyDescent="0.25">
      <c r="B5223" t="str">
        <f t="shared" si="81"/>
        <v>LBNPopulation ages 35-39, female</v>
      </c>
      <c r="C5223" t="s">
        <v>552</v>
      </c>
      <c r="D5223" t="s">
        <v>77</v>
      </c>
      <c r="E5223" t="s">
        <v>376</v>
      </c>
      <c r="F5223" t="s">
        <v>705</v>
      </c>
      <c r="G5223">
        <v>257000</v>
      </c>
      <c r="H5223">
        <v>259000</v>
      </c>
    </row>
    <row r="5224" spans="2:8" x14ac:dyDescent="0.25">
      <c r="B5224" t="str">
        <f t="shared" si="81"/>
        <v>LBNPopulation ages 35-39, male</v>
      </c>
      <c r="C5224" t="s">
        <v>552</v>
      </c>
      <c r="D5224" t="s">
        <v>77</v>
      </c>
      <c r="E5224" t="s">
        <v>377</v>
      </c>
      <c r="F5224" t="s">
        <v>706</v>
      </c>
      <c r="G5224">
        <v>232000</v>
      </c>
      <c r="H5224">
        <v>229000</v>
      </c>
    </row>
    <row r="5225" spans="2:8" x14ac:dyDescent="0.25">
      <c r="B5225" t="str">
        <f t="shared" si="81"/>
        <v>LBNPopulation ages 40-44, female</v>
      </c>
      <c r="C5225" t="s">
        <v>552</v>
      </c>
      <c r="D5225" t="s">
        <v>77</v>
      </c>
      <c r="E5225" t="s">
        <v>378</v>
      </c>
      <c r="F5225" t="s">
        <v>707</v>
      </c>
      <c r="G5225">
        <v>227000</v>
      </c>
      <c r="H5225">
        <v>229000</v>
      </c>
    </row>
    <row r="5226" spans="2:8" x14ac:dyDescent="0.25">
      <c r="B5226" t="str">
        <f t="shared" si="81"/>
        <v>LBNPopulation ages 40-44, male</v>
      </c>
      <c r="C5226" t="s">
        <v>552</v>
      </c>
      <c r="D5226" t="s">
        <v>77</v>
      </c>
      <c r="E5226" t="s">
        <v>379</v>
      </c>
      <c r="F5226" t="s">
        <v>708</v>
      </c>
      <c r="G5226">
        <v>225000</v>
      </c>
      <c r="H5226">
        <v>224000</v>
      </c>
    </row>
    <row r="5227" spans="2:8" x14ac:dyDescent="0.25">
      <c r="B5227" t="str">
        <f t="shared" si="81"/>
        <v>LBNPopulation ages 45-49, female</v>
      </c>
      <c r="C5227" t="s">
        <v>552</v>
      </c>
      <c r="D5227" t="s">
        <v>77</v>
      </c>
      <c r="E5227" t="s">
        <v>380</v>
      </c>
      <c r="F5227" t="s">
        <v>709</v>
      </c>
      <c r="G5227">
        <v>201000</v>
      </c>
      <c r="H5227">
        <v>203000</v>
      </c>
    </row>
    <row r="5228" spans="2:8" x14ac:dyDescent="0.25">
      <c r="B5228" t="str">
        <f t="shared" si="81"/>
        <v>LBNPopulation ages 45-49, male</v>
      </c>
      <c r="C5228" t="s">
        <v>552</v>
      </c>
      <c r="D5228" t="s">
        <v>77</v>
      </c>
      <c r="E5228" t="s">
        <v>381</v>
      </c>
      <c r="F5228" t="s">
        <v>710</v>
      </c>
      <c r="G5228">
        <v>210000</v>
      </c>
      <c r="H5228">
        <v>207000</v>
      </c>
    </row>
    <row r="5229" spans="2:8" x14ac:dyDescent="0.25">
      <c r="B5229" t="str">
        <f t="shared" si="81"/>
        <v>LBNPopulation ages 50-54, female</v>
      </c>
      <c r="C5229" t="s">
        <v>552</v>
      </c>
      <c r="D5229" t="s">
        <v>77</v>
      </c>
      <c r="E5229" t="s">
        <v>382</v>
      </c>
      <c r="F5229" t="s">
        <v>711</v>
      </c>
      <c r="G5229">
        <v>173000</v>
      </c>
      <c r="H5229">
        <v>177000</v>
      </c>
    </row>
    <row r="5230" spans="2:8" x14ac:dyDescent="0.25">
      <c r="B5230" t="str">
        <f t="shared" si="81"/>
        <v>LBNPopulation ages 50-54, male</v>
      </c>
      <c r="C5230" t="s">
        <v>552</v>
      </c>
      <c r="D5230" t="s">
        <v>77</v>
      </c>
      <c r="E5230" t="s">
        <v>383</v>
      </c>
      <c r="F5230" t="s">
        <v>712</v>
      </c>
      <c r="G5230">
        <v>216000</v>
      </c>
      <c r="H5230">
        <v>213000</v>
      </c>
    </row>
    <row r="5231" spans="2:8" x14ac:dyDescent="0.25">
      <c r="B5231" t="str">
        <f t="shared" si="81"/>
        <v>LBNPopulation ages 55-59, male</v>
      </c>
      <c r="C5231" t="s">
        <v>552</v>
      </c>
      <c r="D5231" t="s">
        <v>77</v>
      </c>
      <c r="E5231" t="s">
        <v>385</v>
      </c>
      <c r="F5231" t="s">
        <v>713</v>
      </c>
      <c r="G5231">
        <v>191000</v>
      </c>
      <c r="H5231">
        <v>198000</v>
      </c>
    </row>
    <row r="5232" spans="2:8" x14ac:dyDescent="0.25">
      <c r="B5232" t="str">
        <f t="shared" si="81"/>
        <v>LBNPopulation ages 55-59, female</v>
      </c>
      <c r="C5232" t="s">
        <v>552</v>
      </c>
      <c r="D5232" t="s">
        <v>77</v>
      </c>
      <c r="E5232" t="s">
        <v>384</v>
      </c>
      <c r="F5232" t="s">
        <v>714</v>
      </c>
      <c r="G5232">
        <v>133000</v>
      </c>
      <c r="H5232">
        <v>137000</v>
      </c>
    </row>
    <row r="5233" spans="2:8" x14ac:dyDescent="0.25">
      <c r="B5233" t="str">
        <f t="shared" si="81"/>
        <v>LBNPopulation ages 65-69, male</v>
      </c>
      <c r="C5233" t="s">
        <v>552</v>
      </c>
      <c r="D5233" t="s">
        <v>77</v>
      </c>
      <c r="E5233" t="s">
        <v>389</v>
      </c>
      <c r="F5233" t="s">
        <v>715</v>
      </c>
      <c r="G5233">
        <v>88000</v>
      </c>
      <c r="H5233">
        <v>92000</v>
      </c>
    </row>
    <row r="5234" spans="2:8" x14ac:dyDescent="0.25">
      <c r="B5234" t="str">
        <f t="shared" si="81"/>
        <v>LBNPopulation ages 65-69, female</v>
      </c>
      <c r="C5234" t="s">
        <v>552</v>
      </c>
      <c r="D5234" t="s">
        <v>77</v>
      </c>
      <c r="E5234" t="s">
        <v>388</v>
      </c>
      <c r="F5234" t="s">
        <v>716</v>
      </c>
      <c r="G5234">
        <v>104000</v>
      </c>
      <c r="H5234">
        <v>107000</v>
      </c>
    </row>
    <row r="5235" spans="2:8" x14ac:dyDescent="0.25">
      <c r="B5235" t="str">
        <f t="shared" si="81"/>
        <v>LBNPopulation ages 60-64, female</v>
      </c>
      <c r="C5235" t="s">
        <v>552</v>
      </c>
      <c r="D5235" t="s">
        <v>77</v>
      </c>
      <c r="E5235" t="s">
        <v>386</v>
      </c>
      <c r="F5235" t="s">
        <v>717</v>
      </c>
      <c r="G5235">
        <v>116000</v>
      </c>
      <c r="H5235">
        <v>115000</v>
      </c>
    </row>
    <row r="5236" spans="2:8" x14ac:dyDescent="0.25">
      <c r="B5236" t="str">
        <f t="shared" si="81"/>
        <v>LBNPopulation ages 60-64, male</v>
      </c>
      <c r="C5236" t="s">
        <v>552</v>
      </c>
      <c r="D5236" t="s">
        <v>77</v>
      </c>
      <c r="E5236" t="s">
        <v>387</v>
      </c>
      <c r="F5236" t="s">
        <v>718</v>
      </c>
      <c r="G5236">
        <v>126000</v>
      </c>
      <c r="H5236">
        <v>134000</v>
      </c>
    </row>
    <row r="5237" spans="2:8" x14ac:dyDescent="0.25">
      <c r="B5237" t="str">
        <f t="shared" si="81"/>
        <v>LBNPopulation ages 70-74, female</v>
      </c>
      <c r="C5237" t="s">
        <v>552</v>
      </c>
      <c r="D5237" t="s">
        <v>77</v>
      </c>
      <c r="E5237" t="s">
        <v>390</v>
      </c>
      <c r="F5237" t="s">
        <v>719</v>
      </c>
      <c r="G5237">
        <v>63000</v>
      </c>
      <c r="H5237">
        <v>69000</v>
      </c>
    </row>
    <row r="5238" spans="2:8" x14ac:dyDescent="0.25">
      <c r="B5238" t="str">
        <f t="shared" si="81"/>
        <v>LBNPopulation ages 70-74, male</v>
      </c>
      <c r="C5238" t="s">
        <v>552</v>
      </c>
      <c r="D5238" t="s">
        <v>77</v>
      </c>
      <c r="E5238" t="s">
        <v>391</v>
      </c>
      <c r="F5238" t="s">
        <v>720</v>
      </c>
      <c r="G5238">
        <v>60000</v>
      </c>
      <c r="H5238">
        <v>63000</v>
      </c>
    </row>
    <row r="5239" spans="2:8" x14ac:dyDescent="0.25">
      <c r="B5239" t="str">
        <f t="shared" si="81"/>
        <v>LBNPopulation ages 75-79, female</v>
      </c>
      <c r="C5239" t="s">
        <v>552</v>
      </c>
      <c r="D5239" t="s">
        <v>77</v>
      </c>
      <c r="E5239" t="s">
        <v>392</v>
      </c>
      <c r="F5239" t="s">
        <v>721</v>
      </c>
      <c r="G5239">
        <v>41000</v>
      </c>
      <c r="H5239">
        <v>41000</v>
      </c>
    </row>
    <row r="5240" spans="2:8" x14ac:dyDescent="0.25">
      <c r="B5240" t="str">
        <f t="shared" si="81"/>
        <v>LBNPopulation ages 75-79, male</v>
      </c>
      <c r="C5240" t="s">
        <v>552</v>
      </c>
      <c r="D5240" t="s">
        <v>77</v>
      </c>
      <c r="E5240" t="s">
        <v>393</v>
      </c>
      <c r="F5240" t="s">
        <v>722</v>
      </c>
      <c r="G5240">
        <v>38000</v>
      </c>
      <c r="H5240">
        <v>39000</v>
      </c>
    </row>
    <row r="5241" spans="2:8" x14ac:dyDescent="0.25">
      <c r="B5241" t="str">
        <f t="shared" si="81"/>
        <v>LBNPopulation ages 80 and above, female</v>
      </c>
      <c r="C5241" t="s">
        <v>552</v>
      </c>
      <c r="D5241" t="s">
        <v>77</v>
      </c>
      <c r="E5241" t="s">
        <v>394</v>
      </c>
      <c r="F5241" t="s">
        <v>723</v>
      </c>
      <c r="G5241">
        <v>62000</v>
      </c>
      <c r="H5241">
        <v>63000</v>
      </c>
    </row>
    <row r="5242" spans="2:8" x14ac:dyDescent="0.25">
      <c r="B5242" t="str">
        <f t="shared" si="81"/>
        <v>LBNPopulation ages 80 and above, male</v>
      </c>
      <c r="C5242" t="s">
        <v>552</v>
      </c>
      <c r="D5242" t="s">
        <v>77</v>
      </c>
      <c r="E5242" t="s">
        <v>395</v>
      </c>
      <c r="F5242" t="s">
        <v>724</v>
      </c>
      <c r="G5242">
        <v>42000</v>
      </c>
      <c r="H5242">
        <v>42000</v>
      </c>
    </row>
    <row r="5243" spans="2:8" x14ac:dyDescent="0.25">
      <c r="B5243" t="str">
        <f t="shared" si="81"/>
        <v>LBNPopulation, male</v>
      </c>
      <c r="C5243" t="s">
        <v>552</v>
      </c>
      <c r="D5243" t="s">
        <v>77</v>
      </c>
      <c r="E5243" t="s">
        <v>397</v>
      </c>
      <c r="F5243" t="s">
        <v>725</v>
      </c>
      <c r="G5243">
        <v>3449000</v>
      </c>
      <c r="H5243">
        <v>3436000</v>
      </c>
    </row>
    <row r="5244" spans="2:8" x14ac:dyDescent="0.25">
      <c r="B5244" t="str">
        <f t="shared" si="81"/>
        <v>LBNPopulation, total</v>
      </c>
      <c r="C5244" t="s">
        <v>552</v>
      </c>
      <c r="D5244" t="s">
        <v>77</v>
      </c>
      <c r="E5244" t="s">
        <v>398</v>
      </c>
      <c r="F5244" t="s">
        <v>726</v>
      </c>
      <c r="G5244">
        <v>6856000</v>
      </c>
      <c r="H5244">
        <v>6825000</v>
      </c>
    </row>
    <row r="5245" spans="2:8" x14ac:dyDescent="0.25">
      <c r="B5245" t="str">
        <f t="shared" si="81"/>
        <v>LBNPopulation, female</v>
      </c>
      <c r="C5245" t="s">
        <v>552</v>
      </c>
      <c r="D5245" t="s">
        <v>77</v>
      </c>
      <c r="E5245" t="s">
        <v>396</v>
      </c>
      <c r="F5245" t="s">
        <v>727</v>
      </c>
      <c r="G5245">
        <v>3406000</v>
      </c>
      <c r="H5245">
        <v>3390000</v>
      </c>
    </row>
    <row r="5246" spans="2:8" x14ac:dyDescent="0.25">
      <c r="B5246" t="str">
        <f t="shared" si="81"/>
        <v>LBNPopulation growth (annual %)</v>
      </c>
      <c r="C5246" t="s">
        <v>552</v>
      </c>
      <c r="D5246" t="s">
        <v>77</v>
      </c>
      <c r="E5246" t="s">
        <v>399</v>
      </c>
      <c r="F5246" t="s">
        <v>728</v>
      </c>
      <c r="G5246">
        <v>0</v>
      </c>
      <c r="H5246">
        <v>0</v>
      </c>
    </row>
    <row r="5247" spans="2:8" x14ac:dyDescent="0.25">
      <c r="B5247" t="str">
        <f t="shared" si="81"/>
        <v>LSOPopulation ages 0-14, female</v>
      </c>
      <c r="C5247" t="s">
        <v>200</v>
      </c>
      <c r="D5247" t="s">
        <v>167</v>
      </c>
      <c r="E5247" t="s">
        <v>687</v>
      </c>
      <c r="F5247" t="s">
        <v>688</v>
      </c>
      <c r="G5247">
        <v>345000</v>
      </c>
      <c r="H5247">
        <v>345000</v>
      </c>
    </row>
    <row r="5248" spans="2:8" x14ac:dyDescent="0.25">
      <c r="B5248" t="str">
        <f t="shared" si="81"/>
        <v>LSOPopulation ages 0-14, male</v>
      </c>
      <c r="C5248" t="s">
        <v>200</v>
      </c>
      <c r="D5248" t="s">
        <v>167</v>
      </c>
      <c r="E5248" t="s">
        <v>689</v>
      </c>
      <c r="F5248" t="s">
        <v>690</v>
      </c>
      <c r="G5248">
        <v>345000</v>
      </c>
      <c r="H5248">
        <v>346000</v>
      </c>
    </row>
    <row r="5249" spans="2:8" x14ac:dyDescent="0.25">
      <c r="B5249" t="str">
        <f t="shared" si="81"/>
        <v>LSOPopulation ages 00-04, female</v>
      </c>
      <c r="C5249" t="s">
        <v>200</v>
      </c>
      <c r="D5249" t="s">
        <v>167</v>
      </c>
      <c r="E5249" t="s">
        <v>362</v>
      </c>
      <c r="F5249" t="s">
        <v>691</v>
      </c>
      <c r="G5249">
        <v>126000</v>
      </c>
      <c r="H5249">
        <v>126000</v>
      </c>
    </row>
    <row r="5250" spans="2:8" x14ac:dyDescent="0.25">
      <c r="B5250" t="str">
        <f t="shared" si="81"/>
        <v>LSOPopulation ages 00-04, male</v>
      </c>
      <c r="C5250" t="s">
        <v>200</v>
      </c>
      <c r="D5250" t="s">
        <v>167</v>
      </c>
      <c r="E5250" t="s">
        <v>363</v>
      </c>
      <c r="F5250" t="s">
        <v>692</v>
      </c>
      <c r="G5250">
        <v>127000</v>
      </c>
      <c r="H5250">
        <v>128000</v>
      </c>
    </row>
    <row r="5251" spans="2:8" x14ac:dyDescent="0.25">
      <c r="B5251" t="str">
        <f t="shared" si="81"/>
        <v>LSOPopulation ages 05-09, female</v>
      </c>
      <c r="C5251" t="s">
        <v>200</v>
      </c>
      <c r="D5251" t="s">
        <v>167</v>
      </c>
      <c r="E5251" t="s">
        <v>364</v>
      </c>
      <c r="F5251" t="s">
        <v>693</v>
      </c>
      <c r="G5251">
        <v>112000</v>
      </c>
      <c r="H5251">
        <v>113000</v>
      </c>
    </row>
    <row r="5252" spans="2:8" x14ac:dyDescent="0.25">
      <c r="B5252" t="str">
        <f t="shared" si="81"/>
        <v>LSOPopulation ages 05-09, male</v>
      </c>
      <c r="C5252" t="s">
        <v>200</v>
      </c>
      <c r="D5252" t="s">
        <v>167</v>
      </c>
      <c r="E5252" t="s">
        <v>365</v>
      </c>
      <c r="F5252" t="s">
        <v>694</v>
      </c>
      <c r="G5252">
        <v>112000</v>
      </c>
      <c r="H5252">
        <v>113000</v>
      </c>
    </row>
    <row r="5253" spans="2:8" x14ac:dyDescent="0.25">
      <c r="B5253" t="str">
        <f t="shared" si="81"/>
        <v>LSOPopulation ages 10-14, female</v>
      </c>
      <c r="C5253" t="s">
        <v>200</v>
      </c>
      <c r="D5253" t="s">
        <v>167</v>
      </c>
      <c r="E5253" t="s">
        <v>366</v>
      </c>
      <c r="F5253" t="s">
        <v>695</v>
      </c>
      <c r="G5253">
        <v>107000</v>
      </c>
      <c r="H5253">
        <v>106000</v>
      </c>
    </row>
    <row r="5254" spans="2:8" x14ac:dyDescent="0.25">
      <c r="B5254" t="str">
        <f t="shared" si="81"/>
        <v>LSOPopulation ages 10-14, male</v>
      </c>
      <c r="C5254" t="s">
        <v>200</v>
      </c>
      <c r="D5254" t="s">
        <v>167</v>
      </c>
      <c r="E5254" t="s">
        <v>367</v>
      </c>
      <c r="F5254" t="s">
        <v>696</v>
      </c>
      <c r="G5254">
        <v>106000</v>
      </c>
      <c r="H5254">
        <v>105000</v>
      </c>
    </row>
    <row r="5255" spans="2:8" x14ac:dyDescent="0.25">
      <c r="B5255" t="str">
        <f t="shared" ref="B5255:B5318" si="82">CONCATENATE(D5255,E5255)</f>
        <v>LSOPopulation ages 15-19, female</v>
      </c>
      <c r="C5255" t="s">
        <v>200</v>
      </c>
      <c r="D5255" t="s">
        <v>167</v>
      </c>
      <c r="E5255" t="s">
        <v>368</v>
      </c>
      <c r="F5255" t="s">
        <v>697</v>
      </c>
      <c r="G5255">
        <v>108000</v>
      </c>
      <c r="H5255">
        <v>108000</v>
      </c>
    </row>
    <row r="5256" spans="2:8" x14ac:dyDescent="0.25">
      <c r="B5256" t="str">
        <f t="shared" si="82"/>
        <v>LSOPopulation ages 15-19, male</v>
      </c>
      <c r="C5256" t="s">
        <v>200</v>
      </c>
      <c r="D5256" t="s">
        <v>167</v>
      </c>
      <c r="E5256" t="s">
        <v>369</v>
      </c>
      <c r="F5256" t="s">
        <v>698</v>
      </c>
      <c r="G5256">
        <v>109000</v>
      </c>
      <c r="H5256">
        <v>108000</v>
      </c>
    </row>
    <row r="5257" spans="2:8" x14ac:dyDescent="0.25">
      <c r="B5257" t="str">
        <f t="shared" si="82"/>
        <v>LSOPopulation ages 20-24, female</v>
      </c>
      <c r="C5257" t="s">
        <v>200</v>
      </c>
      <c r="D5257" t="s">
        <v>167</v>
      </c>
      <c r="E5257" t="s">
        <v>370</v>
      </c>
      <c r="F5257" t="s">
        <v>699</v>
      </c>
      <c r="G5257">
        <v>101000</v>
      </c>
      <c r="H5257">
        <v>101000</v>
      </c>
    </row>
    <row r="5258" spans="2:8" x14ac:dyDescent="0.25">
      <c r="B5258" t="str">
        <f t="shared" si="82"/>
        <v>LSOPopulation ages 20-24, male</v>
      </c>
      <c r="C5258" t="s">
        <v>200</v>
      </c>
      <c r="D5258" t="s">
        <v>167</v>
      </c>
      <c r="E5258" t="s">
        <v>371</v>
      </c>
      <c r="F5258" t="s">
        <v>700</v>
      </c>
      <c r="G5258">
        <v>103000</v>
      </c>
      <c r="H5258">
        <v>103000</v>
      </c>
    </row>
    <row r="5259" spans="2:8" x14ac:dyDescent="0.25">
      <c r="B5259" t="str">
        <f t="shared" si="82"/>
        <v>LSOPopulation ages 25-29, female</v>
      </c>
      <c r="C5259" t="s">
        <v>200</v>
      </c>
      <c r="D5259" t="s">
        <v>167</v>
      </c>
      <c r="E5259" t="s">
        <v>372</v>
      </c>
      <c r="F5259" t="s">
        <v>701</v>
      </c>
      <c r="G5259">
        <v>95000</v>
      </c>
      <c r="H5259">
        <v>94000</v>
      </c>
    </row>
    <row r="5260" spans="2:8" x14ac:dyDescent="0.25">
      <c r="B5260" t="str">
        <f t="shared" si="82"/>
        <v>LSOPopulation ages 25-29, male</v>
      </c>
      <c r="C5260" t="s">
        <v>200</v>
      </c>
      <c r="D5260" t="s">
        <v>167</v>
      </c>
      <c r="E5260" t="s">
        <v>373</v>
      </c>
      <c r="F5260" t="s">
        <v>702</v>
      </c>
      <c r="G5260">
        <v>97000</v>
      </c>
      <c r="H5260">
        <v>97000</v>
      </c>
    </row>
    <row r="5261" spans="2:8" x14ac:dyDescent="0.25">
      <c r="B5261" t="str">
        <f t="shared" si="82"/>
        <v>LSOPopulation ages 30-34, female</v>
      </c>
      <c r="C5261" t="s">
        <v>200</v>
      </c>
      <c r="D5261" t="s">
        <v>167</v>
      </c>
      <c r="E5261" t="s">
        <v>374</v>
      </c>
      <c r="F5261" t="s">
        <v>703</v>
      </c>
      <c r="G5261">
        <v>84000</v>
      </c>
      <c r="H5261">
        <v>84000</v>
      </c>
    </row>
    <row r="5262" spans="2:8" x14ac:dyDescent="0.25">
      <c r="B5262" t="str">
        <f t="shared" si="82"/>
        <v>LSOPopulation ages 30-34, male</v>
      </c>
      <c r="C5262" t="s">
        <v>200</v>
      </c>
      <c r="D5262" t="s">
        <v>167</v>
      </c>
      <c r="E5262" t="s">
        <v>375</v>
      </c>
      <c r="F5262" t="s">
        <v>704</v>
      </c>
      <c r="G5262">
        <v>90000</v>
      </c>
      <c r="H5262">
        <v>91000</v>
      </c>
    </row>
    <row r="5263" spans="2:8" x14ac:dyDescent="0.25">
      <c r="B5263" t="str">
        <f t="shared" si="82"/>
        <v>LSOPopulation ages 35-39, female</v>
      </c>
      <c r="C5263" t="s">
        <v>200</v>
      </c>
      <c r="D5263" t="s">
        <v>167</v>
      </c>
      <c r="E5263" t="s">
        <v>376</v>
      </c>
      <c r="F5263" t="s">
        <v>705</v>
      </c>
      <c r="G5263">
        <v>70000</v>
      </c>
      <c r="H5263">
        <v>72000</v>
      </c>
    </row>
    <row r="5264" spans="2:8" x14ac:dyDescent="0.25">
      <c r="B5264" t="str">
        <f t="shared" si="82"/>
        <v>LSOPopulation ages 35-39, male</v>
      </c>
      <c r="C5264" t="s">
        <v>200</v>
      </c>
      <c r="D5264" t="s">
        <v>167</v>
      </c>
      <c r="E5264" t="s">
        <v>377</v>
      </c>
      <c r="F5264" t="s">
        <v>706</v>
      </c>
      <c r="G5264">
        <v>79000</v>
      </c>
      <c r="H5264">
        <v>81000</v>
      </c>
    </row>
    <row r="5265" spans="2:8" x14ac:dyDescent="0.25">
      <c r="B5265" t="str">
        <f t="shared" si="82"/>
        <v>LSOPopulation ages 40-44, female</v>
      </c>
      <c r="C5265" t="s">
        <v>200</v>
      </c>
      <c r="D5265" t="s">
        <v>167</v>
      </c>
      <c r="E5265" t="s">
        <v>378</v>
      </c>
      <c r="F5265" t="s">
        <v>707</v>
      </c>
      <c r="G5265">
        <v>54000</v>
      </c>
      <c r="H5265">
        <v>56000</v>
      </c>
    </row>
    <row r="5266" spans="2:8" x14ac:dyDescent="0.25">
      <c r="B5266" t="str">
        <f t="shared" si="82"/>
        <v>LSOPopulation ages 40-44, male</v>
      </c>
      <c r="C5266" t="s">
        <v>200</v>
      </c>
      <c r="D5266" t="s">
        <v>167</v>
      </c>
      <c r="E5266" t="s">
        <v>379</v>
      </c>
      <c r="F5266" t="s">
        <v>708</v>
      </c>
      <c r="G5266">
        <v>60000</v>
      </c>
      <c r="H5266">
        <v>63000</v>
      </c>
    </row>
    <row r="5267" spans="2:8" x14ac:dyDescent="0.25">
      <c r="B5267" t="str">
        <f t="shared" si="82"/>
        <v>LSOPopulation ages 45-49, female</v>
      </c>
      <c r="C5267" t="s">
        <v>200</v>
      </c>
      <c r="D5267" t="s">
        <v>167</v>
      </c>
      <c r="E5267" t="s">
        <v>380</v>
      </c>
      <c r="F5267" t="s">
        <v>709</v>
      </c>
      <c r="G5267">
        <v>44000</v>
      </c>
      <c r="H5267">
        <v>45000</v>
      </c>
    </row>
    <row r="5268" spans="2:8" x14ac:dyDescent="0.25">
      <c r="B5268" t="str">
        <f t="shared" si="82"/>
        <v>LSOPopulation ages 45-49, male</v>
      </c>
      <c r="C5268" t="s">
        <v>200</v>
      </c>
      <c r="D5268" t="s">
        <v>167</v>
      </c>
      <c r="E5268" t="s">
        <v>381</v>
      </c>
      <c r="F5268" t="s">
        <v>710</v>
      </c>
      <c r="G5268">
        <v>43000</v>
      </c>
      <c r="H5268">
        <v>45000</v>
      </c>
    </row>
    <row r="5269" spans="2:8" x14ac:dyDescent="0.25">
      <c r="B5269" t="str">
        <f t="shared" si="82"/>
        <v>LSOPopulation ages 50-54, female</v>
      </c>
      <c r="C5269" t="s">
        <v>200</v>
      </c>
      <c r="D5269" t="s">
        <v>167</v>
      </c>
      <c r="E5269" t="s">
        <v>382</v>
      </c>
      <c r="F5269" t="s">
        <v>711</v>
      </c>
      <c r="G5269">
        <v>40000</v>
      </c>
      <c r="H5269">
        <v>40000</v>
      </c>
    </row>
    <row r="5270" spans="2:8" x14ac:dyDescent="0.25">
      <c r="B5270" t="str">
        <f t="shared" si="82"/>
        <v>LSOPopulation ages 50-54, male</v>
      </c>
      <c r="C5270" t="s">
        <v>200</v>
      </c>
      <c r="D5270" t="s">
        <v>167</v>
      </c>
      <c r="E5270" t="s">
        <v>383</v>
      </c>
      <c r="F5270" t="s">
        <v>712</v>
      </c>
      <c r="G5270">
        <v>34000</v>
      </c>
      <c r="H5270">
        <v>34000</v>
      </c>
    </row>
    <row r="5271" spans="2:8" x14ac:dyDescent="0.25">
      <c r="B5271" t="str">
        <f t="shared" si="82"/>
        <v>LSOPopulation ages 55-59, male</v>
      </c>
      <c r="C5271" t="s">
        <v>200</v>
      </c>
      <c r="D5271" t="s">
        <v>167</v>
      </c>
      <c r="E5271" t="s">
        <v>385</v>
      </c>
      <c r="F5271" t="s">
        <v>713</v>
      </c>
      <c r="G5271">
        <v>28000</v>
      </c>
      <c r="H5271">
        <v>29000</v>
      </c>
    </row>
    <row r="5272" spans="2:8" x14ac:dyDescent="0.25">
      <c r="B5272" t="str">
        <f t="shared" si="82"/>
        <v>LSOPopulation ages 55-59, female</v>
      </c>
      <c r="C5272" t="s">
        <v>200</v>
      </c>
      <c r="D5272" t="s">
        <v>167</v>
      </c>
      <c r="E5272" t="s">
        <v>384</v>
      </c>
      <c r="F5272" t="s">
        <v>714</v>
      </c>
      <c r="G5272">
        <v>37000</v>
      </c>
      <c r="H5272">
        <v>37000</v>
      </c>
    </row>
    <row r="5273" spans="2:8" x14ac:dyDescent="0.25">
      <c r="B5273" t="str">
        <f t="shared" si="82"/>
        <v>LSOPopulation ages 65-69, male</v>
      </c>
      <c r="C5273" t="s">
        <v>200</v>
      </c>
      <c r="D5273" t="s">
        <v>167</v>
      </c>
      <c r="E5273" t="s">
        <v>389</v>
      </c>
      <c r="F5273" t="s">
        <v>715</v>
      </c>
      <c r="G5273">
        <v>16000</v>
      </c>
      <c r="H5273">
        <v>16000</v>
      </c>
    </row>
    <row r="5274" spans="2:8" x14ac:dyDescent="0.25">
      <c r="B5274" t="str">
        <f t="shared" si="82"/>
        <v>LSOPopulation ages 65-69, female</v>
      </c>
      <c r="C5274" t="s">
        <v>200</v>
      </c>
      <c r="D5274" t="s">
        <v>167</v>
      </c>
      <c r="E5274" t="s">
        <v>388</v>
      </c>
      <c r="F5274" t="s">
        <v>716</v>
      </c>
      <c r="G5274">
        <v>25000</v>
      </c>
      <c r="H5274">
        <v>25000</v>
      </c>
    </row>
    <row r="5275" spans="2:8" x14ac:dyDescent="0.25">
      <c r="B5275" t="str">
        <f t="shared" si="82"/>
        <v>LSOPopulation ages 60-64, female</v>
      </c>
      <c r="C5275" t="s">
        <v>200</v>
      </c>
      <c r="D5275" t="s">
        <v>167</v>
      </c>
      <c r="E5275" t="s">
        <v>386</v>
      </c>
      <c r="F5275" t="s">
        <v>717</v>
      </c>
      <c r="G5275">
        <v>32000</v>
      </c>
      <c r="H5275">
        <v>33000</v>
      </c>
    </row>
    <row r="5276" spans="2:8" x14ac:dyDescent="0.25">
      <c r="B5276" t="str">
        <f t="shared" si="82"/>
        <v>LSOPopulation ages 60-64, male</v>
      </c>
      <c r="C5276" t="s">
        <v>200</v>
      </c>
      <c r="D5276" t="s">
        <v>167</v>
      </c>
      <c r="E5276" t="s">
        <v>387</v>
      </c>
      <c r="F5276" t="s">
        <v>718</v>
      </c>
      <c r="G5276">
        <v>22000</v>
      </c>
      <c r="H5276">
        <v>22000</v>
      </c>
    </row>
    <row r="5277" spans="2:8" x14ac:dyDescent="0.25">
      <c r="B5277" t="str">
        <f t="shared" si="82"/>
        <v>LSOPopulation ages 70-74, female</v>
      </c>
      <c r="C5277" t="s">
        <v>200</v>
      </c>
      <c r="D5277" t="s">
        <v>167</v>
      </c>
      <c r="E5277" t="s">
        <v>390</v>
      </c>
      <c r="F5277" t="s">
        <v>719</v>
      </c>
      <c r="G5277">
        <v>18000</v>
      </c>
      <c r="H5277">
        <v>18000</v>
      </c>
    </row>
    <row r="5278" spans="2:8" x14ac:dyDescent="0.25">
      <c r="B5278" t="str">
        <f t="shared" si="82"/>
        <v>LSOPopulation ages 70-74, male</v>
      </c>
      <c r="C5278" t="s">
        <v>200</v>
      </c>
      <c r="D5278" t="s">
        <v>167</v>
      </c>
      <c r="E5278" t="s">
        <v>391</v>
      </c>
      <c r="F5278" t="s">
        <v>720</v>
      </c>
      <c r="G5278">
        <v>11000</v>
      </c>
      <c r="H5278">
        <v>11000</v>
      </c>
    </row>
    <row r="5279" spans="2:8" x14ac:dyDescent="0.25">
      <c r="B5279" t="str">
        <f t="shared" si="82"/>
        <v>LSOPopulation ages 75-79, female</v>
      </c>
      <c r="C5279" t="s">
        <v>200</v>
      </c>
      <c r="D5279" t="s">
        <v>167</v>
      </c>
      <c r="E5279" t="s">
        <v>392</v>
      </c>
      <c r="F5279" t="s">
        <v>721</v>
      </c>
      <c r="G5279">
        <v>12000</v>
      </c>
      <c r="H5279">
        <v>12000</v>
      </c>
    </row>
    <row r="5280" spans="2:8" x14ac:dyDescent="0.25">
      <c r="B5280" t="str">
        <f t="shared" si="82"/>
        <v>LSOPopulation ages 75-79, male</v>
      </c>
      <c r="C5280" t="s">
        <v>200</v>
      </c>
      <c r="D5280" t="s">
        <v>167</v>
      </c>
      <c r="E5280" t="s">
        <v>393</v>
      </c>
      <c r="F5280" t="s">
        <v>722</v>
      </c>
      <c r="G5280">
        <v>6300</v>
      </c>
      <c r="H5280">
        <v>6400</v>
      </c>
    </row>
    <row r="5281" spans="2:8" x14ac:dyDescent="0.25">
      <c r="B5281" t="str">
        <f t="shared" si="82"/>
        <v>LSOPopulation ages 80 and above, female</v>
      </c>
      <c r="C5281" t="s">
        <v>200</v>
      </c>
      <c r="D5281" t="s">
        <v>167</v>
      </c>
      <c r="E5281" t="s">
        <v>394</v>
      </c>
      <c r="F5281" t="s">
        <v>723</v>
      </c>
      <c r="G5281">
        <v>13000</v>
      </c>
      <c r="H5281">
        <v>12000</v>
      </c>
    </row>
    <row r="5282" spans="2:8" x14ac:dyDescent="0.25">
      <c r="B5282" t="str">
        <f t="shared" si="82"/>
        <v>LSOPopulation ages 80 and above, male</v>
      </c>
      <c r="C5282" t="s">
        <v>200</v>
      </c>
      <c r="D5282" t="s">
        <v>167</v>
      </c>
      <c r="E5282" t="s">
        <v>395</v>
      </c>
      <c r="F5282" t="s">
        <v>724</v>
      </c>
      <c r="G5282">
        <v>3900</v>
      </c>
      <c r="H5282">
        <v>3700</v>
      </c>
    </row>
    <row r="5283" spans="2:8" x14ac:dyDescent="0.25">
      <c r="B5283" t="str">
        <f t="shared" si="82"/>
        <v>LSOPopulation, male</v>
      </c>
      <c r="C5283" t="s">
        <v>200</v>
      </c>
      <c r="D5283" t="s">
        <v>167</v>
      </c>
      <c r="E5283" t="s">
        <v>397</v>
      </c>
      <c r="F5283" t="s">
        <v>725</v>
      </c>
      <c r="G5283">
        <v>1048000</v>
      </c>
      <c r="H5283">
        <v>1057000</v>
      </c>
    </row>
    <row r="5284" spans="2:8" x14ac:dyDescent="0.25">
      <c r="B5284" t="str">
        <f t="shared" si="82"/>
        <v>LSOPopulation, total</v>
      </c>
      <c r="C5284" t="s">
        <v>200</v>
      </c>
      <c r="D5284" t="s">
        <v>167</v>
      </c>
      <c r="E5284" t="s">
        <v>398</v>
      </c>
      <c r="F5284" t="s">
        <v>726</v>
      </c>
      <c r="G5284">
        <v>2125000</v>
      </c>
      <c r="H5284">
        <v>2142000</v>
      </c>
    </row>
    <row r="5285" spans="2:8" x14ac:dyDescent="0.25">
      <c r="B5285" t="str">
        <f t="shared" si="82"/>
        <v>LSOPopulation, female</v>
      </c>
      <c r="C5285" t="s">
        <v>200</v>
      </c>
      <c r="D5285" t="s">
        <v>167</v>
      </c>
      <c r="E5285" t="s">
        <v>396</v>
      </c>
      <c r="F5285" t="s">
        <v>727</v>
      </c>
      <c r="G5285">
        <v>1077000</v>
      </c>
      <c r="H5285">
        <v>1085000</v>
      </c>
    </row>
    <row r="5286" spans="2:8" x14ac:dyDescent="0.25">
      <c r="B5286" t="str">
        <f t="shared" si="82"/>
        <v>LSOPopulation growth (annual %)</v>
      </c>
      <c r="C5286" t="s">
        <v>200</v>
      </c>
      <c r="D5286" t="s">
        <v>167</v>
      </c>
      <c r="E5286" t="s">
        <v>399</v>
      </c>
      <c r="F5286" t="s">
        <v>728</v>
      </c>
      <c r="G5286">
        <v>0</v>
      </c>
      <c r="H5286">
        <v>0</v>
      </c>
    </row>
    <row r="5287" spans="2:8" x14ac:dyDescent="0.25">
      <c r="B5287" t="str">
        <f t="shared" si="82"/>
        <v>LBRPopulation ages 0-14, female</v>
      </c>
      <c r="C5287" t="s">
        <v>201</v>
      </c>
      <c r="D5287" t="s">
        <v>78</v>
      </c>
      <c r="E5287" t="s">
        <v>687</v>
      </c>
      <c r="F5287" t="s">
        <v>688</v>
      </c>
      <c r="G5287">
        <v>986000</v>
      </c>
      <c r="H5287">
        <v>1001000</v>
      </c>
    </row>
    <row r="5288" spans="2:8" x14ac:dyDescent="0.25">
      <c r="B5288" t="str">
        <f t="shared" si="82"/>
        <v>LBRPopulation ages 0-14, male</v>
      </c>
      <c r="C5288" t="s">
        <v>201</v>
      </c>
      <c r="D5288" t="s">
        <v>78</v>
      </c>
      <c r="E5288" t="s">
        <v>689</v>
      </c>
      <c r="F5288" t="s">
        <v>690</v>
      </c>
      <c r="G5288">
        <v>1026000</v>
      </c>
      <c r="H5288">
        <v>1041000</v>
      </c>
    </row>
    <row r="5289" spans="2:8" x14ac:dyDescent="0.25">
      <c r="B5289" t="str">
        <f t="shared" si="82"/>
        <v>LBRPopulation ages 00-04, female</v>
      </c>
      <c r="C5289" t="s">
        <v>201</v>
      </c>
      <c r="D5289" t="s">
        <v>78</v>
      </c>
      <c r="E5289" t="s">
        <v>362</v>
      </c>
      <c r="F5289" t="s">
        <v>691</v>
      </c>
      <c r="G5289">
        <v>357000</v>
      </c>
      <c r="H5289">
        <v>363000</v>
      </c>
    </row>
    <row r="5290" spans="2:8" x14ac:dyDescent="0.25">
      <c r="B5290" t="str">
        <f t="shared" si="82"/>
        <v>LBRPopulation ages 00-04, male</v>
      </c>
      <c r="C5290" t="s">
        <v>201</v>
      </c>
      <c r="D5290" t="s">
        <v>78</v>
      </c>
      <c r="E5290" t="s">
        <v>363</v>
      </c>
      <c r="F5290" t="s">
        <v>692</v>
      </c>
      <c r="G5290">
        <v>373000</v>
      </c>
      <c r="H5290">
        <v>378000</v>
      </c>
    </row>
    <row r="5291" spans="2:8" x14ac:dyDescent="0.25">
      <c r="B5291" t="str">
        <f t="shared" si="82"/>
        <v>LBRPopulation ages 05-09, female</v>
      </c>
      <c r="C5291" t="s">
        <v>201</v>
      </c>
      <c r="D5291" t="s">
        <v>78</v>
      </c>
      <c r="E5291" t="s">
        <v>364</v>
      </c>
      <c r="F5291" t="s">
        <v>693</v>
      </c>
      <c r="G5291">
        <v>328000</v>
      </c>
      <c r="H5291">
        <v>332000</v>
      </c>
    </row>
    <row r="5292" spans="2:8" x14ac:dyDescent="0.25">
      <c r="B5292" t="str">
        <f t="shared" si="82"/>
        <v>LBRPopulation ages 05-09, male</v>
      </c>
      <c r="C5292" t="s">
        <v>201</v>
      </c>
      <c r="D5292" t="s">
        <v>78</v>
      </c>
      <c r="E5292" t="s">
        <v>365</v>
      </c>
      <c r="F5292" t="s">
        <v>694</v>
      </c>
      <c r="G5292">
        <v>342000</v>
      </c>
      <c r="H5292">
        <v>346000</v>
      </c>
    </row>
    <row r="5293" spans="2:8" x14ac:dyDescent="0.25">
      <c r="B5293" t="str">
        <f t="shared" si="82"/>
        <v>LBRPopulation ages 10-14, female</v>
      </c>
      <c r="C5293" t="s">
        <v>201</v>
      </c>
      <c r="D5293" t="s">
        <v>78</v>
      </c>
      <c r="E5293" t="s">
        <v>366</v>
      </c>
      <c r="F5293" t="s">
        <v>695</v>
      </c>
      <c r="G5293">
        <v>300000</v>
      </c>
      <c r="H5293">
        <v>306000</v>
      </c>
    </row>
    <row r="5294" spans="2:8" x14ac:dyDescent="0.25">
      <c r="B5294" t="str">
        <f t="shared" si="82"/>
        <v>LBRPopulation ages 10-14, male</v>
      </c>
      <c r="C5294" t="s">
        <v>201</v>
      </c>
      <c r="D5294" t="s">
        <v>78</v>
      </c>
      <c r="E5294" t="s">
        <v>367</v>
      </c>
      <c r="F5294" t="s">
        <v>696</v>
      </c>
      <c r="G5294">
        <v>311000</v>
      </c>
      <c r="H5294">
        <v>317000</v>
      </c>
    </row>
    <row r="5295" spans="2:8" x14ac:dyDescent="0.25">
      <c r="B5295" t="str">
        <f t="shared" si="82"/>
        <v>LBRPopulation ages 15-19, female</v>
      </c>
      <c r="C5295" t="s">
        <v>201</v>
      </c>
      <c r="D5295" t="s">
        <v>78</v>
      </c>
      <c r="E5295" t="s">
        <v>368</v>
      </c>
      <c r="F5295" t="s">
        <v>697</v>
      </c>
      <c r="G5295">
        <v>264000</v>
      </c>
      <c r="H5295">
        <v>272000</v>
      </c>
    </row>
    <row r="5296" spans="2:8" x14ac:dyDescent="0.25">
      <c r="B5296" t="str">
        <f t="shared" si="82"/>
        <v>LBRPopulation ages 15-19, male</v>
      </c>
      <c r="C5296" t="s">
        <v>201</v>
      </c>
      <c r="D5296" t="s">
        <v>78</v>
      </c>
      <c r="E5296" t="s">
        <v>369</v>
      </c>
      <c r="F5296" t="s">
        <v>698</v>
      </c>
      <c r="G5296">
        <v>272000</v>
      </c>
      <c r="H5296">
        <v>280000</v>
      </c>
    </row>
    <row r="5297" spans="2:8" x14ac:dyDescent="0.25">
      <c r="B5297" t="str">
        <f t="shared" si="82"/>
        <v>LBRPopulation ages 20-24, female</v>
      </c>
      <c r="C5297" t="s">
        <v>201</v>
      </c>
      <c r="D5297" t="s">
        <v>78</v>
      </c>
      <c r="E5297" t="s">
        <v>370</v>
      </c>
      <c r="F5297" t="s">
        <v>699</v>
      </c>
      <c r="G5297">
        <v>221000</v>
      </c>
      <c r="H5297">
        <v>229000</v>
      </c>
    </row>
    <row r="5298" spans="2:8" x14ac:dyDescent="0.25">
      <c r="B5298" t="str">
        <f t="shared" si="82"/>
        <v>LBRPopulation ages 20-24, male</v>
      </c>
      <c r="C5298" t="s">
        <v>201</v>
      </c>
      <c r="D5298" t="s">
        <v>78</v>
      </c>
      <c r="E5298" t="s">
        <v>371</v>
      </c>
      <c r="F5298" t="s">
        <v>700</v>
      </c>
      <c r="G5298">
        <v>225000</v>
      </c>
      <c r="H5298">
        <v>234000</v>
      </c>
    </row>
    <row r="5299" spans="2:8" x14ac:dyDescent="0.25">
      <c r="B5299" t="str">
        <f t="shared" si="82"/>
        <v>LBRPopulation ages 25-29, female</v>
      </c>
      <c r="C5299" t="s">
        <v>201</v>
      </c>
      <c r="D5299" t="s">
        <v>78</v>
      </c>
      <c r="E5299" t="s">
        <v>372</v>
      </c>
      <c r="F5299" t="s">
        <v>701</v>
      </c>
      <c r="G5299">
        <v>183000</v>
      </c>
      <c r="H5299">
        <v>188000</v>
      </c>
    </row>
    <row r="5300" spans="2:8" x14ac:dyDescent="0.25">
      <c r="B5300" t="str">
        <f t="shared" si="82"/>
        <v>LBRPopulation ages 25-29, male</v>
      </c>
      <c r="C5300" t="s">
        <v>201</v>
      </c>
      <c r="D5300" t="s">
        <v>78</v>
      </c>
      <c r="E5300" t="s">
        <v>373</v>
      </c>
      <c r="F5300" t="s">
        <v>702</v>
      </c>
      <c r="G5300">
        <v>185000</v>
      </c>
      <c r="H5300">
        <v>190000</v>
      </c>
    </row>
    <row r="5301" spans="2:8" x14ac:dyDescent="0.25">
      <c r="B5301" t="str">
        <f t="shared" si="82"/>
        <v>LBRPopulation ages 30-34, female</v>
      </c>
      <c r="C5301" t="s">
        <v>201</v>
      </c>
      <c r="D5301" t="s">
        <v>78</v>
      </c>
      <c r="E5301" t="s">
        <v>374</v>
      </c>
      <c r="F5301" t="s">
        <v>703</v>
      </c>
      <c r="G5301">
        <v>164000</v>
      </c>
      <c r="H5301">
        <v>166000</v>
      </c>
    </row>
    <row r="5302" spans="2:8" x14ac:dyDescent="0.25">
      <c r="B5302" t="str">
        <f t="shared" si="82"/>
        <v>LBRPopulation ages 30-34, male</v>
      </c>
      <c r="C5302" t="s">
        <v>201</v>
      </c>
      <c r="D5302" t="s">
        <v>78</v>
      </c>
      <c r="E5302" t="s">
        <v>375</v>
      </c>
      <c r="F5302" t="s">
        <v>704</v>
      </c>
      <c r="G5302">
        <v>165000</v>
      </c>
      <c r="H5302">
        <v>168000</v>
      </c>
    </row>
    <row r="5303" spans="2:8" x14ac:dyDescent="0.25">
      <c r="B5303" t="str">
        <f t="shared" si="82"/>
        <v>LBRPopulation ages 35-39, female</v>
      </c>
      <c r="C5303" t="s">
        <v>201</v>
      </c>
      <c r="D5303" t="s">
        <v>78</v>
      </c>
      <c r="E5303" t="s">
        <v>376</v>
      </c>
      <c r="F5303" t="s">
        <v>705</v>
      </c>
      <c r="G5303">
        <v>143000</v>
      </c>
      <c r="H5303">
        <v>147000</v>
      </c>
    </row>
    <row r="5304" spans="2:8" x14ac:dyDescent="0.25">
      <c r="B5304" t="str">
        <f t="shared" si="82"/>
        <v>LBRPopulation ages 35-39, male</v>
      </c>
      <c r="C5304" t="s">
        <v>201</v>
      </c>
      <c r="D5304" t="s">
        <v>78</v>
      </c>
      <c r="E5304" t="s">
        <v>377</v>
      </c>
      <c r="F5304" t="s">
        <v>706</v>
      </c>
      <c r="G5304">
        <v>145000</v>
      </c>
      <c r="H5304">
        <v>149000</v>
      </c>
    </row>
    <row r="5305" spans="2:8" x14ac:dyDescent="0.25">
      <c r="B5305" t="str">
        <f t="shared" si="82"/>
        <v>LBRPopulation ages 40-44, female</v>
      </c>
      <c r="C5305" t="s">
        <v>201</v>
      </c>
      <c r="D5305" t="s">
        <v>78</v>
      </c>
      <c r="E5305" t="s">
        <v>378</v>
      </c>
      <c r="F5305" t="s">
        <v>707</v>
      </c>
      <c r="G5305">
        <v>118000</v>
      </c>
      <c r="H5305">
        <v>122000</v>
      </c>
    </row>
    <row r="5306" spans="2:8" x14ac:dyDescent="0.25">
      <c r="B5306" t="str">
        <f t="shared" si="82"/>
        <v>LBRPopulation ages 40-44, male</v>
      </c>
      <c r="C5306" t="s">
        <v>201</v>
      </c>
      <c r="D5306" t="s">
        <v>78</v>
      </c>
      <c r="E5306" t="s">
        <v>379</v>
      </c>
      <c r="F5306" t="s">
        <v>708</v>
      </c>
      <c r="G5306">
        <v>119000</v>
      </c>
      <c r="H5306">
        <v>123000</v>
      </c>
    </row>
    <row r="5307" spans="2:8" x14ac:dyDescent="0.25">
      <c r="B5307" t="str">
        <f t="shared" si="82"/>
        <v>LBRPopulation ages 45-49, female</v>
      </c>
      <c r="C5307" t="s">
        <v>201</v>
      </c>
      <c r="D5307" t="s">
        <v>78</v>
      </c>
      <c r="E5307" t="s">
        <v>380</v>
      </c>
      <c r="F5307" t="s">
        <v>709</v>
      </c>
      <c r="G5307">
        <v>96000</v>
      </c>
      <c r="H5307">
        <v>100000</v>
      </c>
    </row>
    <row r="5308" spans="2:8" x14ac:dyDescent="0.25">
      <c r="B5308" t="str">
        <f t="shared" si="82"/>
        <v>LBRPopulation ages 45-49, male</v>
      </c>
      <c r="C5308" t="s">
        <v>201</v>
      </c>
      <c r="D5308" t="s">
        <v>78</v>
      </c>
      <c r="E5308" t="s">
        <v>381</v>
      </c>
      <c r="F5308" t="s">
        <v>710</v>
      </c>
      <c r="G5308">
        <v>95000</v>
      </c>
      <c r="H5308">
        <v>99000</v>
      </c>
    </row>
    <row r="5309" spans="2:8" x14ac:dyDescent="0.25">
      <c r="B5309" t="str">
        <f t="shared" si="82"/>
        <v>LBRPopulation ages 50-54, female</v>
      </c>
      <c r="C5309" t="s">
        <v>201</v>
      </c>
      <c r="D5309" t="s">
        <v>78</v>
      </c>
      <c r="E5309" t="s">
        <v>382</v>
      </c>
      <c r="F5309" t="s">
        <v>711</v>
      </c>
      <c r="G5309">
        <v>78000</v>
      </c>
      <c r="H5309">
        <v>80000</v>
      </c>
    </row>
    <row r="5310" spans="2:8" x14ac:dyDescent="0.25">
      <c r="B5310" t="str">
        <f t="shared" si="82"/>
        <v>LBRPopulation ages 50-54, male</v>
      </c>
      <c r="C5310" t="s">
        <v>201</v>
      </c>
      <c r="D5310" t="s">
        <v>78</v>
      </c>
      <c r="E5310" t="s">
        <v>383</v>
      </c>
      <c r="F5310" t="s">
        <v>712</v>
      </c>
      <c r="G5310">
        <v>75000</v>
      </c>
      <c r="H5310">
        <v>78000</v>
      </c>
    </row>
    <row r="5311" spans="2:8" x14ac:dyDescent="0.25">
      <c r="B5311" t="str">
        <f t="shared" si="82"/>
        <v>LBRPopulation ages 55-59, male</v>
      </c>
      <c r="C5311" t="s">
        <v>201</v>
      </c>
      <c r="D5311" t="s">
        <v>78</v>
      </c>
      <c r="E5311" t="s">
        <v>385</v>
      </c>
      <c r="F5311" t="s">
        <v>713</v>
      </c>
      <c r="G5311">
        <v>58000</v>
      </c>
      <c r="H5311">
        <v>61000</v>
      </c>
    </row>
    <row r="5312" spans="2:8" x14ac:dyDescent="0.25">
      <c r="B5312" t="str">
        <f t="shared" si="82"/>
        <v>LBRPopulation ages 55-59, female</v>
      </c>
      <c r="C5312" t="s">
        <v>201</v>
      </c>
      <c r="D5312" t="s">
        <v>78</v>
      </c>
      <c r="E5312" t="s">
        <v>384</v>
      </c>
      <c r="F5312" t="s">
        <v>714</v>
      </c>
      <c r="G5312">
        <v>63000</v>
      </c>
      <c r="H5312">
        <v>65000</v>
      </c>
    </row>
    <row r="5313" spans="2:8" x14ac:dyDescent="0.25">
      <c r="B5313" t="str">
        <f t="shared" si="82"/>
        <v>LBRPopulation ages 65-69, male</v>
      </c>
      <c r="C5313" t="s">
        <v>201</v>
      </c>
      <c r="D5313" t="s">
        <v>78</v>
      </c>
      <c r="E5313" t="s">
        <v>389</v>
      </c>
      <c r="F5313" t="s">
        <v>715</v>
      </c>
      <c r="G5313">
        <v>31000</v>
      </c>
      <c r="H5313">
        <v>32000</v>
      </c>
    </row>
    <row r="5314" spans="2:8" x14ac:dyDescent="0.25">
      <c r="B5314" t="str">
        <f t="shared" si="82"/>
        <v>LBRPopulation ages 65-69, female</v>
      </c>
      <c r="C5314" t="s">
        <v>201</v>
      </c>
      <c r="D5314" t="s">
        <v>78</v>
      </c>
      <c r="E5314" t="s">
        <v>388</v>
      </c>
      <c r="F5314" t="s">
        <v>716</v>
      </c>
      <c r="G5314">
        <v>37000</v>
      </c>
      <c r="H5314">
        <v>39000</v>
      </c>
    </row>
    <row r="5315" spans="2:8" x14ac:dyDescent="0.25">
      <c r="B5315" t="str">
        <f t="shared" si="82"/>
        <v>LBRPopulation ages 60-64, female</v>
      </c>
      <c r="C5315" t="s">
        <v>201</v>
      </c>
      <c r="D5315" t="s">
        <v>78</v>
      </c>
      <c r="E5315" t="s">
        <v>386</v>
      </c>
      <c r="F5315" t="s">
        <v>717</v>
      </c>
      <c r="G5315">
        <v>50000</v>
      </c>
      <c r="H5315">
        <v>52000</v>
      </c>
    </row>
    <row r="5316" spans="2:8" x14ac:dyDescent="0.25">
      <c r="B5316" t="str">
        <f t="shared" si="82"/>
        <v>LBRPopulation ages 60-64, male</v>
      </c>
      <c r="C5316" t="s">
        <v>201</v>
      </c>
      <c r="D5316" t="s">
        <v>78</v>
      </c>
      <c r="E5316" t="s">
        <v>387</v>
      </c>
      <c r="F5316" t="s">
        <v>718</v>
      </c>
      <c r="G5316">
        <v>44000</v>
      </c>
      <c r="H5316">
        <v>46000</v>
      </c>
    </row>
    <row r="5317" spans="2:8" x14ac:dyDescent="0.25">
      <c r="B5317" t="str">
        <f t="shared" si="82"/>
        <v>LBRPopulation ages 70-74, female</v>
      </c>
      <c r="C5317" t="s">
        <v>201</v>
      </c>
      <c r="D5317" t="s">
        <v>78</v>
      </c>
      <c r="E5317" t="s">
        <v>390</v>
      </c>
      <c r="F5317" t="s">
        <v>719</v>
      </c>
      <c r="G5317">
        <v>24000</v>
      </c>
      <c r="H5317">
        <v>25000</v>
      </c>
    </row>
    <row r="5318" spans="2:8" x14ac:dyDescent="0.25">
      <c r="B5318" t="str">
        <f t="shared" si="82"/>
        <v>LBRPopulation ages 70-74, male</v>
      </c>
      <c r="C5318" t="s">
        <v>201</v>
      </c>
      <c r="D5318" t="s">
        <v>78</v>
      </c>
      <c r="E5318" t="s">
        <v>391</v>
      </c>
      <c r="F5318" t="s">
        <v>720</v>
      </c>
      <c r="G5318">
        <v>19000</v>
      </c>
      <c r="H5318">
        <v>20000</v>
      </c>
    </row>
    <row r="5319" spans="2:8" x14ac:dyDescent="0.25">
      <c r="B5319" t="str">
        <f t="shared" ref="B5319:B5382" si="83">CONCATENATE(D5319,E5319)</f>
        <v>LBRPopulation ages 75-79, female</v>
      </c>
      <c r="C5319" t="s">
        <v>201</v>
      </c>
      <c r="D5319" t="s">
        <v>78</v>
      </c>
      <c r="E5319" t="s">
        <v>392</v>
      </c>
      <c r="F5319" t="s">
        <v>721</v>
      </c>
      <c r="G5319">
        <v>17000</v>
      </c>
      <c r="H5319">
        <v>18000</v>
      </c>
    </row>
    <row r="5320" spans="2:8" x14ac:dyDescent="0.25">
      <c r="B5320" t="str">
        <f t="shared" si="83"/>
        <v>LBRPopulation ages 75-79, male</v>
      </c>
      <c r="C5320" t="s">
        <v>201</v>
      </c>
      <c r="D5320" t="s">
        <v>78</v>
      </c>
      <c r="E5320" t="s">
        <v>393</v>
      </c>
      <c r="F5320" t="s">
        <v>722</v>
      </c>
      <c r="G5320">
        <v>14000</v>
      </c>
      <c r="H5320">
        <v>14000</v>
      </c>
    </row>
    <row r="5321" spans="2:8" x14ac:dyDescent="0.25">
      <c r="B5321" t="str">
        <f t="shared" si="83"/>
        <v>LBRPopulation ages 80 and above, female</v>
      </c>
      <c r="C5321" t="s">
        <v>201</v>
      </c>
      <c r="D5321" t="s">
        <v>78</v>
      </c>
      <c r="E5321" t="s">
        <v>394</v>
      </c>
      <c r="F5321" t="s">
        <v>723</v>
      </c>
      <c r="G5321">
        <v>11000</v>
      </c>
      <c r="H5321">
        <v>12000</v>
      </c>
    </row>
    <row r="5322" spans="2:8" x14ac:dyDescent="0.25">
      <c r="B5322" t="str">
        <f t="shared" si="83"/>
        <v>LBRPopulation ages 80 and above, male</v>
      </c>
      <c r="C5322" t="s">
        <v>201</v>
      </c>
      <c r="D5322" t="s">
        <v>78</v>
      </c>
      <c r="E5322" t="s">
        <v>395</v>
      </c>
      <c r="F5322" t="s">
        <v>724</v>
      </c>
      <c r="G5322">
        <v>8400</v>
      </c>
      <c r="H5322">
        <v>8600</v>
      </c>
    </row>
    <row r="5323" spans="2:8" x14ac:dyDescent="0.25">
      <c r="B5323" t="str">
        <f t="shared" si="83"/>
        <v>LBRPopulation, male</v>
      </c>
      <c r="C5323" t="s">
        <v>201</v>
      </c>
      <c r="D5323" t="s">
        <v>78</v>
      </c>
      <c r="E5323" t="s">
        <v>397</v>
      </c>
      <c r="F5323" t="s">
        <v>725</v>
      </c>
      <c r="G5323">
        <v>2481000</v>
      </c>
      <c r="H5323">
        <v>2543000</v>
      </c>
    </row>
    <row r="5324" spans="2:8" x14ac:dyDescent="0.25">
      <c r="B5324" t="str">
        <f t="shared" si="83"/>
        <v>LBRPopulation, total</v>
      </c>
      <c r="C5324" t="s">
        <v>201</v>
      </c>
      <c r="D5324" t="s">
        <v>78</v>
      </c>
      <c r="E5324" t="s">
        <v>398</v>
      </c>
      <c r="F5324" t="s">
        <v>726</v>
      </c>
      <c r="G5324">
        <v>4937000</v>
      </c>
      <c r="H5324">
        <v>5058000</v>
      </c>
    </row>
    <row r="5325" spans="2:8" x14ac:dyDescent="0.25">
      <c r="B5325" t="str">
        <f t="shared" si="83"/>
        <v>LBRPopulation, female</v>
      </c>
      <c r="C5325" t="s">
        <v>201</v>
      </c>
      <c r="D5325" t="s">
        <v>78</v>
      </c>
      <c r="E5325" t="s">
        <v>396</v>
      </c>
      <c r="F5325" t="s">
        <v>727</v>
      </c>
      <c r="G5325">
        <v>2456000</v>
      </c>
      <c r="H5325">
        <v>2515000</v>
      </c>
    </row>
    <row r="5326" spans="2:8" x14ac:dyDescent="0.25">
      <c r="B5326" t="str">
        <f t="shared" si="83"/>
        <v>LBRPopulation growth (annual %)</v>
      </c>
      <c r="C5326" t="s">
        <v>201</v>
      </c>
      <c r="D5326" t="s">
        <v>78</v>
      </c>
      <c r="E5326" t="s">
        <v>399</v>
      </c>
      <c r="F5326" t="s">
        <v>728</v>
      </c>
      <c r="G5326">
        <v>0</v>
      </c>
      <c r="H5326">
        <v>0</v>
      </c>
    </row>
    <row r="5327" spans="2:8" x14ac:dyDescent="0.25">
      <c r="B5327" t="str">
        <f t="shared" si="83"/>
        <v>LBYPopulation ages 0-14, female</v>
      </c>
      <c r="C5327" t="s">
        <v>553</v>
      </c>
      <c r="D5327" t="s">
        <v>79</v>
      </c>
      <c r="E5327" t="s">
        <v>687</v>
      </c>
      <c r="F5327" t="s">
        <v>688</v>
      </c>
      <c r="G5327">
        <v>926000</v>
      </c>
      <c r="H5327">
        <v>929000</v>
      </c>
    </row>
    <row r="5328" spans="2:8" x14ac:dyDescent="0.25">
      <c r="B5328" t="str">
        <f t="shared" si="83"/>
        <v>LBYPopulation ages 0-14, male</v>
      </c>
      <c r="C5328" t="s">
        <v>553</v>
      </c>
      <c r="D5328" t="s">
        <v>79</v>
      </c>
      <c r="E5328" t="s">
        <v>689</v>
      </c>
      <c r="F5328" t="s">
        <v>690</v>
      </c>
      <c r="G5328">
        <v>976000</v>
      </c>
      <c r="H5328">
        <v>980000</v>
      </c>
    </row>
    <row r="5329" spans="2:8" x14ac:dyDescent="0.25">
      <c r="B5329" t="str">
        <f t="shared" si="83"/>
        <v>LBYPopulation ages 00-04, female</v>
      </c>
      <c r="C5329" t="s">
        <v>553</v>
      </c>
      <c r="D5329" t="s">
        <v>79</v>
      </c>
      <c r="E5329" t="s">
        <v>362</v>
      </c>
      <c r="F5329" t="s">
        <v>691</v>
      </c>
      <c r="G5329">
        <v>308000</v>
      </c>
      <c r="H5329">
        <v>303000</v>
      </c>
    </row>
    <row r="5330" spans="2:8" x14ac:dyDescent="0.25">
      <c r="B5330" t="str">
        <f t="shared" si="83"/>
        <v>LBYPopulation ages 00-04, male</v>
      </c>
      <c r="C5330" t="s">
        <v>553</v>
      </c>
      <c r="D5330" t="s">
        <v>79</v>
      </c>
      <c r="E5330" t="s">
        <v>363</v>
      </c>
      <c r="F5330" t="s">
        <v>692</v>
      </c>
      <c r="G5330">
        <v>325000</v>
      </c>
      <c r="H5330">
        <v>321000</v>
      </c>
    </row>
    <row r="5331" spans="2:8" x14ac:dyDescent="0.25">
      <c r="B5331" t="str">
        <f t="shared" si="83"/>
        <v>LBYPopulation ages 05-09, female</v>
      </c>
      <c r="C5331" t="s">
        <v>553</v>
      </c>
      <c r="D5331" t="s">
        <v>79</v>
      </c>
      <c r="E5331" t="s">
        <v>364</v>
      </c>
      <c r="F5331" t="s">
        <v>693</v>
      </c>
      <c r="G5331">
        <v>320000</v>
      </c>
      <c r="H5331">
        <v>322000</v>
      </c>
    </row>
    <row r="5332" spans="2:8" x14ac:dyDescent="0.25">
      <c r="B5332" t="str">
        <f t="shared" si="83"/>
        <v>LBYPopulation ages 05-09, male</v>
      </c>
      <c r="C5332" t="s">
        <v>553</v>
      </c>
      <c r="D5332" t="s">
        <v>79</v>
      </c>
      <c r="E5332" t="s">
        <v>365</v>
      </c>
      <c r="F5332" t="s">
        <v>694</v>
      </c>
      <c r="G5332">
        <v>338000</v>
      </c>
      <c r="H5332">
        <v>340000</v>
      </c>
    </row>
    <row r="5333" spans="2:8" x14ac:dyDescent="0.25">
      <c r="B5333" t="str">
        <f t="shared" si="83"/>
        <v>LBYPopulation ages 10-14, female</v>
      </c>
      <c r="C5333" t="s">
        <v>553</v>
      </c>
      <c r="D5333" t="s">
        <v>79</v>
      </c>
      <c r="E5333" t="s">
        <v>366</v>
      </c>
      <c r="F5333" t="s">
        <v>695</v>
      </c>
      <c r="G5333">
        <v>298000</v>
      </c>
      <c r="H5333">
        <v>304000</v>
      </c>
    </row>
    <row r="5334" spans="2:8" x14ac:dyDescent="0.25">
      <c r="B5334" t="str">
        <f t="shared" si="83"/>
        <v>LBYPopulation ages 10-14, male</v>
      </c>
      <c r="C5334" t="s">
        <v>553</v>
      </c>
      <c r="D5334" t="s">
        <v>79</v>
      </c>
      <c r="E5334" t="s">
        <v>367</v>
      </c>
      <c r="F5334" t="s">
        <v>696</v>
      </c>
      <c r="G5334">
        <v>313000</v>
      </c>
      <c r="H5334">
        <v>320000</v>
      </c>
    </row>
    <row r="5335" spans="2:8" x14ac:dyDescent="0.25">
      <c r="B5335" t="str">
        <f t="shared" si="83"/>
        <v>LBYPopulation ages 15-19, female</v>
      </c>
      <c r="C5335" t="s">
        <v>553</v>
      </c>
      <c r="D5335" t="s">
        <v>79</v>
      </c>
      <c r="E5335" t="s">
        <v>368</v>
      </c>
      <c r="F5335" t="s">
        <v>697</v>
      </c>
      <c r="G5335">
        <v>270000</v>
      </c>
      <c r="H5335">
        <v>274000</v>
      </c>
    </row>
    <row r="5336" spans="2:8" x14ac:dyDescent="0.25">
      <c r="B5336" t="str">
        <f t="shared" si="83"/>
        <v>LBYPopulation ages 15-19, male</v>
      </c>
      <c r="C5336" t="s">
        <v>553</v>
      </c>
      <c r="D5336" t="s">
        <v>79</v>
      </c>
      <c r="E5336" t="s">
        <v>369</v>
      </c>
      <c r="F5336" t="s">
        <v>698</v>
      </c>
      <c r="G5336">
        <v>284000</v>
      </c>
      <c r="H5336">
        <v>288000</v>
      </c>
    </row>
    <row r="5337" spans="2:8" x14ac:dyDescent="0.25">
      <c r="B5337" t="str">
        <f t="shared" si="83"/>
        <v>LBYPopulation ages 20-24, female</v>
      </c>
      <c r="C5337" t="s">
        <v>553</v>
      </c>
      <c r="D5337" t="s">
        <v>79</v>
      </c>
      <c r="E5337" t="s">
        <v>370</v>
      </c>
      <c r="F5337" t="s">
        <v>699</v>
      </c>
      <c r="G5337">
        <v>267000</v>
      </c>
      <c r="H5337">
        <v>266000</v>
      </c>
    </row>
    <row r="5338" spans="2:8" x14ac:dyDescent="0.25">
      <c r="B5338" t="str">
        <f t="shared" si="83"/>
        <v>LBYPopulation ages 20-24, male</v>
      </c>
      <c r="C5338" t="s">
        <v>553</v>
      </c>
      <c r="D5338" t="s">
        <v>79</v>
      </c>
      <c r="E5338" t="s">
        <v>371</v>
      </c>
      <c r="F5338" t="s">
        <v>700</v>
      </c>
      <c r="G5338">
        <v>276000</v>
      </c>
      <c r="H5338">
        <v>276000</v>
      </c>
    </row>
    <row r="5339" spans="2:8" x14ac:dyDescent="0.25">
      <c r="B5339" t="str">
        <f t="shared" si="83"/>
        <v>LBYPopulation ages 25-29, female</v>
      </c>
      <c r="C5339" t="s">
        <v>553</v>
      </c>
      <c r="D5339" t="s">
        <v>79</v>
      </c>
      <c r="E5339" t="s">
        <v>372</v>
      </c>
      <c r="F5339" t="s">
        <v>701</v>
      </c>
      <c r="G5339">
        <v>278000</v>
      </c>
      <c r="H5339">
        <v>274000</v>
      </c>
    </row>
    <row r="5340" spans="2:8" x14ac:dyDescent="0.25">
      <c r="B5340" t="str">
        <f t="shared" si="83"/>
        <v>LBYPopulation ages 25-29, male</v>
      </c>
      <c r="C5340" t="s">
        <v>553</v>
      </c>
      <c r="D5340" t="s">
        <v>79</v>
      </c>
      <c r="E5340" t="s">
        <v>373</v>
      </c>
      <c r="F5340" t="s">
        <v>702</v>
      </c>
      <c r="G5340">
        <v>282000</v>
      </c>
      <c r="H5340">
        <v>279000</v>
      </c>
    </row>
    <row r="5341" spans="2:8" x14ac:dyDescent="0.25">
      <c r="B5341" t="str">
        <f t="shared" si="83"/>
        <v>LBYPopulation ages 30-34, female</v>
      </c>
      <c r="C5341" t="s">
        <v>553</v>
      </c>
      <c r="D5341" t="s">
        <v>79</v>
      </c>
      <c r="E5341" t="s">
        <v>374</v>
      </c>
      <c r="F5341" t="s">
        <v>703</v>
      </c>
      <c r="G5341">
        <v>294000</v>
      </c>
      <c r="H5341">
        <v>293000</v>
      </c>
    </row>
    <row r="5342" spans="2:8" x14ac:dyDescent="0.25">
      <c r="B5342" t="str">
        <f t="shared" si="83"/>
        <v>LBYPopulation ages 30-34, male</v>
      </c>
      <c r="C5342" t="s">
        <v>553</v>
      </c>
      <c r="D5342" t="s">
        <v>79</v>
      </c>
      <c r="E5342" t="s">
        <v>375</v>
      </c>
      <c r="F5342" t="s">
        <v>704</v>
      </c>
      <c r="G5342">
        <v>294000</v>
      </c>
      <c r="H5342">
        <v>293000</v>
      </c>
    </row>
    <row r="5343" spans="2:8" x14ac:dyDescent="0.25">
      <c r="B5343" t="str">
        <f t="shared" si="83"/>
        <v>LBYPopulation ages 35-39, female</v>
      </c>
      <c r="C5343" t="s">
        <v>553</v>
      </c>
      <c r="D5343" t="s">
        <v>79</v>
      </c>
      <c r="E5343" t="s">
        <v>376</v>
      </c>
      <c r="F5343" t="s">
        <v>705</v>
      </c>
      <c r="G5343">
        <v>287000</v>
      </c>
      <c r="H5343">
        <v>288000</v>
      </c>
    </row>
    <row r="5344" spans="2:8" x14ac:dyDescent="0.25">
      <c r="B5344" t="str">
        <f t="shared" si="83"/>
        <v>LBYPopulation ages 35-39, male</v>
      </c>
      <c r="C5344" t="s">
        <v>553</v>
      </c>
      <c r="D5344" t="s">
        <v>79</v>
      </c>
      <c r="E5344" t="s">
        <v>377</v>
      </c>
      <c r="F5344" t="s">
        <v>706</v>
      </c>
      <c r="G5344">
        <v>291000</v>
      </c>
      <c r="H5344">
        <v>290000</v>
      </c>
    </row>
    <row r="5345" spans="2:8" x14ac:dyDescent="0.25">
      <c r="B5345" t="str">
        <f t="shared" si="83"/>
        <v>LBYPopulation ages 40-44, female</v>
      </c>
      <c r="C5345" t="s">
        <v>553</v>
      </c>
      <c r="D5345" t="s">
        <v>79</v>
      </c>
      <c r="E5345" t="s">
        <v>378</v>
      </c>
      <c r="F5345" t="s">
        <v>707</v>
      </c>
      <c r="G5345">
        <v>272000</v>
      </c>
      <c r="H5345">
        <v>277000</v>
      </c>
    </row>
    <row r="5346" spans="2:8" x14ac:dyDescent="0.25">
      <c r="B5346" t="str">
        <f t="shared" si="83"/>
        <v>LBYPopulation ages 40-44, male</v>
      </c>
      <c r="C5346" t="s">
        <v>553</v>
      </c>
      <c r="D5346" t="s">
        <v>79</v>
      </c>
      <c r="E5346" t="s">
        <v>379</v>
      </c>
      <c r="F5346" t="s">
        <v>708</v>
      </c>
      <c r="G5346">
        <v>283000</v>
      </c>
      <c r="H5346">
        <v>287000</v>
      </c>
    </row>
    <row r="5347" spans="2:8" x14ac:dyDescent="0.25">
      <c r="B5347" t="str">
        <f t="shared" si="83"/>
        <v>LBYPopulation ages 45-49, female</v>
      </c>
      <c r="C5347" t="s">
        <v>553</v>
      </c>
      <c r="D5347" t="s">
        <v>79</v>
      </c>
      <c r="E5347" t="s">
        <v>380</v>
      </c>
      <c r="F5347" t="s">
        <v>709</v>
      </c>
      <c r="G5347">
        <v>227000</v>
      </c>
      <c r="H5347">
        <v>237000</v>
      </c>
    </row>
    <row r="5348" spans="2:8" x14ac:dyDescent="0.25">
      <c r="B5348" t="str">
        <f t="shared" si="83"/>
        <v>LBYPopulation ages 45-49, male</v>
      </c>
      <c r="C5348" t="s">
        <v>553</v>
      </c>
      <c r="D5348" t="s">
        <v>79</v>
      </c>
      <c r="E5348" t="s">
        <v>381</v>
      </c>
      <c r="F5348" t="s">
        <v>710</v>
      </c>
      <c r="G5348">
        <v>239000</v>
      </c>
      <c r="H5348">
        <v>248000</v>
      </c>
    </row>
    <row r="5349" spans="2:8" x14ac:dyDescent="0.25">
      <c r="B5349" t="str">
        <f t="shared" si="83"/>
        <v>LBYPopulation ages 50-54, female</v>
      </c>
      <c r="C5349" t="s">
        <v>553</v>
      </c>
      <c r="D5349" t="s">
        <v>79</v>
      </c>
      <c r="E5349" t="s">
        <v>382</v>
      </c>
      <c r="F5349" t="s">
        <v>711</v>
      </c>
      <c r="G5349">
        <v>171000</v>
      </c>
      <c r="H5349">
        <v>182000</v>
      </c>
    </row>
    <row r="5350" spans="2:8" x14ac:dyDescent="0.25">
      <c r="B5350" t="str">
        <f t="shared" si="83"/>
        <v>LBYPopulation ages 50-54, male</v>
      </c>
      <c r="C5350" t="s">
        <v>553</v>
      </c>
      <c r="D5350" t="s">
        <v>79</v>
      </c>
      <c r="E5350" t="s">
        <v>383</v>
      </c>
      <c r="F5350" t="s">
        <v>712</v>
      </c>
      <c r="G5350">
        <v>177000</v>
      </c>
      <c r="H5350">
        <v>190000</v>
      </c>
    </row>
    <row r="5351" spans="2:8" x14ac:dyDescent="0.25">
      <c r="B5351" t="str">
        <f t="shared" si="83"/>
        <v>LBYPopulation ages 55-59, male</v>
      </c>
      <c r="C5351" t="s">
        <v>553</v>
      </c>
      <c r="D5351" t="s">
        <v>79</v>
      </c>
      <c r="E5351" t="s">
        <v>385</v>
      </c>
      <c r="F5351" t="s">
        <v>713</v>
      </c>
      <c r="G5351">
        <v>110000</v>
      </c>
      <c r="H5351">
        <v>120000</v>
      </c>
    </row>
    <row r="5352" spans="2:8" x14ac:dyDescent="0.25">
      <c r="B5352" t="str">
        <f t="shared" si="83"/>
        <v>LBYPopulation ages 55-59, female</v>
      </c>
      <c r="C5352" t="s">
        <v>553</v>
      </c>
      <c r="D5352" t="s">
        <v>79</v>
      </c>
      <c r="E5352" t="s">
        <v>384</v>
      </c>
      <c r="F5352" t="s">
        <v>714</v>
      </c>
      <c r="G5352">
        <v>116000</v>
      </c>
      <c r="H5352">
        <v>125000</v>
      </c>
    </row>
    <row r="5353" spans="2:8" x14ac:dyDescent="0.25">
      <c r="B5353" t="str">
        <f t="shared" si="83"/>
        <v>LBYPopulation ages 65-69, male</v>
      </c>
      <c r="C5353" t="s">
        <v>553</v>
      </c>
      <c r="D5353" t="s">
        <v>79</v>
      </c>
      <c r="E5353" t="s">
        <v>389</v>
      </c>
      <c r="F5353" t="s">
        <v>715</v>
      </c>
      <c r="G5353">
        <v>54000</v>
      </c>
      <c r="H5353">
        <v>57000</v>
      </c>
    </row>
    <row r="5354" spans="2:8" x14ac:dyDescent="0.25">
      <c r="B5354" t="str">
        <f t="shared" si="83"/>
        <v>LBYPopulation ages 65-69, female</v>
      </c>
      <c r="C5354" t="s">
        <v>553</v>
      </c>
      <c r="D5354" t="s">
        <v>79</v>
      </c>
      <c r="E5354" t="s">
        <v>388</v>
      </c>
      <c r="F5354" t="s">
        <v>716</v>
      </c>
      <c r="G5354">
        <v>61000</v>
      </c>
      <c r="H5354">
        <v>64000</v>
      </c>
    </row>
    <row r="5355" spans="2:8" x14ac:dyDescent="0.25">
      <c r="B5355" t="str">
        <f t="shared" si="83"/>
        <v>LBYPopulation ages 60-64, female</v>
      </c>
      <c r="C5355" t="s">
        <v>553</v>
      </c>
      <c r="D5355" t="s">
        <v>79</v>
      </c>
      <c r="E5355" t="s">
        <v>386</v>
      </c>
      <c r="F5355" t="s">
        <v>717</v>
      </c>
      <c r="G5355">
        <v>81000</v>
      </c>
      <c r="H5355">
        <v>86000</v>
      </c>
    </row>
    <row r="5356" spans="2:8" x14ac:dyDescent="0.25">
      <c r="B5356" t="str">
        <f t="shared" si="83"/>
        <v>LBYPopulation ages 60-64, male</v>
      </c>
      <c r="C5356" t="s">
        <v>553</v>
      </c>
      <c r="D5356" t="s">
        <v>79</v>
      </c>
      <c r="E5356" t="s">
        <v>387</v>
      </c>
      <c r="F5356" t="s">
        <v>718</v>
      </c>
      <c r="G5356">
        <v>74000</v>
      </c>
      <c r="H5356">
        <v>78000</v>
      </c>
    </row>
    <row r="5357" spans="2:8" x14ac:dyDescent="0.25">
      <c r="B5357" t="str">
        <f t="shared" si="83"/>
        <v>LBYPopulation ages 70-74, female</v>
      </c>
      <c r="C5357" t="s">
        <v>553</v>
      </c>
      <c r="D5357" t="s">
        <v>79</v>
      </c>
      <c r="E5357" t="s">
        <v>390</v>
      </c>
      <c r="F5357" t="s">
        <v>719</v>
      </c>
      <c r="G5357">
        <v>42000</v>
      </c>
      <c r="H5357">
        <v>43000</v>
      </c>
    </row>
    <row r="5358" spans="2:8" x14ac:dyDescent="0.25">
      <c r="B5358" t="str">
        <f t="shared" si="83"/>
        <v>LBYPopulation ages 70-74, male</v>
      </c>
      <c r="C5358" t="s">
        <v>553</v>
      </c>
      <c r="D5358" t="s">
        <v>79</v>
      </c>
      <c r="E5358" t="s">
        <v>391</v>
      </c>
      <c r="F5358" t="s">
        <v>720</v>
      </c>
      <c r="G5358">
        <v>36000</v>
      </c>
      <c r="H5358">
        <v>36000</v>
      </c>
    </row>
    <row r="5359" spans="2:8" x14ac:dyDescent="0.25">
      <c r="B5359" t="str">
        <f t="shared" si="83"/>
        <v>LBYPopulation ages 75-79, female</v>
      </c>
      <c r="C5359" t="s">
        <v>553</v>
      </c>
      <c r="D5359" t="s">
        <v>79</v>
      </c>
      <c r="E5359" t="s">
        <v>392</v>
      </c>
      <c r="F5359" t="s">
        <v>721</v>
      </c>
      <c r="G5359">
        <v>32000</v>
      </c>
      <c r="H5359">
        <v>33000</v>
      </c>
    </row>
    <row r="5360" spans="2:8" x14ac:dyDescent="0.25">
      <c r="B5360" t="str">
        <f t="shared" si="83"/>
        <v>LBYPopulation ages 75-79, male</v>
      </c>
      <c r="C5360" t="s">
        <v>553</v>
      </c>
      <c r="D5360" t="s">
        <v>79</v>
      </c>
      <c r="E5360" t="s">
        <v>393</v>
      </c>
      <c r="F5360" t="s">
        <v>722</v>
      </c>
      <c r="G5360">
        <v>26000</v>
      </c>
      <c r="H5360">
        <v>27000</v>
      </c>
    </row>
    <row r="5361" spans="2:8" x14ac:dyDescent="0.25">
      <c r="B5361" t="str">
        <f t="shared" si="83"/>
        <v>LBYPopulation ages 80 and above, female</v>
      </c>
      <c r="C5361" t="s">
        <v>553</v>
      </c>
      <c r="D5361" t="s">
        <v>79</v>
      </c>
      <c r="E5361" t="s">
        <v>394</v>
      </c>
      <c r="F5361" t="s">
        <v>723</v>
      </c>
      <c r="G5361">
        <v>30000</v>
      </c>
      <c r="H5361">
        <v>31000</v>
      </c>
    </row>
    <row r="5362" spans="2:8" x14ac:dyDescent="0.25">
      <c r="B5362" t="str">
        <f t="shared" si="83"/>
        <v>LBYPopulation ages 80 and above, male</v>
      </c>
      <c r="C5362" t="s">
        <v>553</v>
      </c>
      <c r="D5362" t="s">
        <v>79</v>
      </c>
      <c r="E5362" t="s">
        <v>395</v>
      </c>
      <c r="F5362" t="s">
        <v>724</v>
      </c>
      <c r="G5362">
        <v>21000</v>
      </c>
      <c r="H5362">
        <v>21000</v>
      </c>
    </row>
    <row r="5363" spans="2:8" x14ac:dyDescent="0.25">
      <c r="B5363" t="str">
        <f t="shared" si="83"/>
        <v>LBYPopulation, male</v>
      </c>
      <c r="C5363" t="s">
        <v>553</v>
      </c>
      <c r="D5363" t="s">
        <v>79</v>
      </c>
      <c r="E5363" t="s">
        <v>397</v>
      </c>
      <c r="F5363" t="s">
        <v>725</v>
      </c>
      <c r="G5363">
        <v>3423000</v>
      </c>
      <c r="H5363">
        <v>3469000</v>
      </c>
    </row>
    <row r="5364" spans="2:8" x14ac:dyDescent="0.25">
      <c r="B5364" t="str">
        <f t="shared" si="83"/>
        <v>LBYPopulation, total</v>
      </c>
      <c r="C5364" t="s">
        <v>553</v>
      </c>
      <c r="D5364" t="s">
        <v>79</v>
      </c>
      <c r="E5364" t="s">
        <v>398</v>
      </c>
      <c r="F5364" t="s">
        <v>726</v>
      </c>
      <c r="G5364">
        <v>6777000</v>
      </c>
      <c r="H5364">
        <v>6871000</v>
      </c>
    </row>
    <row r="5365" spans="2:8" x14ac:dyDescent="0.25">
      <c r="B5365" t="str">
        <f t="shared" si="83"/>
        <v>LBYPopulation, female</v>
      </c>
      <c r="C5365" t="s">
        <v>553</v>
      </c>
      <c r="D5365" t="s">
        <v>79</v>
      </c>
      <c r="E5365" t="s">
        <v>396</v>
      </c>
      <c r="F5365" t="s">
        <v>727</v>
      </c>
      <c r="G5365">
        <v>3355000</v>
      </c>
      <c r="H5365">
        <v>3403000</v>
      </c>
    </row>
    <row r="5366" spans="2:8" x14ac:dyDescent="0.25">
      <c r="B5366" t="str">
        <f t="shared" si="83"/>
        <v>LBYPopulation growth (annual %)</v>
      </c>
      <c r="C5366" t="s">
        <v>553</v>
      </c>
      <c r="D5366" t="s">
        <v>79</v>
      </c>
      <c r="E5366" t="s">
        <v>399</v>
      </c>
      <c r="F5366" t="s">
        <v>728</v>
      </c>
      <c r="G5366">
        <v>0</v>
      </c>
      <c r="H5366">
        <v>0</v>
      </c>
    </row>
    <row r="5367" spans="2:8" x14ac:dyDescent="0.25">
      <c r="B5367" t="str">
        <f t="shared" si="83"/>
        <v>LIEPopulation ages 0-14, female</v>
      </c>
      <c r="C5367" t="s">
        <v>554</v>
      </c>
      <c r="D5367" t="s">
        <v>555</v>
      </c>
      <c r="E5367" t="s">
        <v>687</v>
      </c>
      <c r="F5367" t="s">
        <v>688</v>
      </c>
      <c r="G5367">
        <v>0</v>
      </c>
      <c r="H5367">
        <v>0</v>
      </c>
    </row>
    <row r="5368" spans="2:8" x14ac:dyDescent="0.25">
      <c r="B5368" t="str">
        <f t="shared" si="83"/>
        <v>LIEPopulation ages 0-14, male</v>
      </c>
      <c r="C5368" t="s">
        <v>554</v>
      </c>
      <c r="D5368" t="s">
        <v>555</v>
      </c>
      <c r="E5368" t="s">
        <v>689</v>
      </c>
      <c r="F5368" t="s">
        <v>690</v>
      </c>
      <c r="G5368">
        <v>0</v>
      </c>
      <c r="H5368">
        <v>0</v>
      </c>
    </row>
    <row r="5369" spans="2:8" x14ac:dyDescent="0.25">
      <c r="B5369" t="str">
        <f t="shared" si="83"/>
        <v>LIEPopulation ages 00-04, female</v>
      </c>
      <c r="C5369" t="s">
        <v>554</v>
      </c>
      <c r="D5369" t="s">
        <v>555</v>
      </c>
      <c r="E5369" t="s">
        <v>362</v>
      </c>
      <c r="F5369" t="s">
        <v>691</v>
      </c>
      <c r="G5369">
        <v>0</v>
      </c>
      <c r="H5369">
        <v>0</v>
      </c>
    </row>
    <row r="5370" spans="2:8" x14ac:dyDescent="0.25">
      <c r="B5370" t="str">
        <f t="shared" si="83"/>
        <v>LIEPopulation ages 00-04, male</v>
      </c>
      <c r="C5370" t="s">
        <v>554</v>
      </c>
      <c r="D5370" t="s">
        <v>555</v>
      </c>
      <c r="E5370" t="s">
        <v>363</v>
      </c>
      <c r="F5370" t="s">
        <v>692</v>
      </c>
      <c r="G5370">
        <v>0</v>
      </c>
      <c r="H5370">
        <v>0</v>
      </c>
    </row>
    <row r="5371" spans="2:8" x14ac:dyDescent="0.25">
      <c r="B5371" t="str">
        <f t="shared" si="83"/>
        <v>LIEPopulation ages 05-09, female</v>
      </c>
      <c r="C5371" t="s">
        <v>554</v>
      </c>
      <c r="D5371" t="s">
        <v>555</v>
      </c>
      <c r="E5371" t="s">
        <v>364</v>
      </c>
      <c r="F5371" t="s">
        <v>693</v>
      </c>
      <c r="G5371">
        <v>0</v>
      </c>
      <c r="H5371">
        <v>0</v>
      </c>
    </row>
    <row r="5372" spans="2:8" x14ac:dyDescent="0.25">
      <c r="B5372" t="str">
        <f t="shared" si="83"/>
        <v>LIEPopulation ages 05-09, male</v>
      </c>
      <c r="C5372" t="s">
        <v>554</v>
      </c>
      <c r="D5372" t="s">
        <v>555</v>
      </c>
      <c r="E5372" t="s">
        <v>365</v>
      </c>
      <c r="F5372" t="s">
        <v>694</v>
      </c>
      <c r="G5372">
        <v>0</v>
      </c>
      <c r="H5372">
        <v>0</v>
      </c>
    </row>
    <row r="5373" spans="2:8" x14ac:dyDescent="0.25">
      <c r="B5373" t="str">
        <f t="shared" si="83"/>
        <v>LIEPopulation ages 10-14, female</v>
      </c>
      <c r="C5373" t="s">
        <v>554</v>
      </c>
      <c r="D5373" t="s">
        <v>555</v>
      </c>
      <c r="E5373" t="s">
        <v>366</v>
      </c>
      <c r="F5373" t="s">
        <v>695</v>
      </c>
      <c r="G5373">
        <v>0</v>
      </c>
      <c r="H5373">
        <v>0</v>
      </c>
    </row>
    <row r="5374" spans="2:8" x14ac:dyDescent="0.25">
      <c r="B5374" t="str">
        <f t="shared" si="83"/>
        <v>LIEPopulation ages 10-14, male</v>
      </c>
      <c r="C5374" t="s">
        <v>554</v>
      </c>
      <c r="D5374" t="s">
        <v>555</v>
      </c>
      <c r="E5374" t="s">
        <v>367</v>
      </c>
      <c r="F5374" t="s">
        <v>696</v>
      </c>
      <c r="G5374">
        <v>0</v>
      </c>
      <c r="H5374">
        <v>0</v>
      </c>
    </row>
    <row r="5375" spans="2:8" x14ac:dyDescent="0.25">
      <c r="B5375" t="str">
        <f t="shared" si="83"/>
        <v>LIEPopulation ages 15-19, female</v>
      </c>
      <c r="C5375" t="s">
        <v>554</v>
      </c>
      <c r="D5375" t="s">
        <v>555</v>
      </c>
      <c r="E5375" t="s">
        <v>368</v>
      </c>
      <c r="F5375" t="s">
        <v>697</v>
      </c>
      <c r="G5375">
        <v>0</v>
      </c>
      <c r="H5375">
        <v>0</v>
      </c>
    </row>
    <row r="5376" spans="2:8" x14ac:dyDescent="0.25">
      <c r="B5376" t="str">
        <f t="shared" si="83"/>
        <v>LIEPopulation ages 15-19, male</v>
      </c>
      <c r="C5376" t="s">
        <v>554</v>
      </c>
      <c r="D5376" t="s">
        <v>555</v>
      </c>
      <c r="E5376" t="s">
        <v>369</v>
      </c>
      <c r="F5376" t="s">
        <v>698</v>
      </c>
      <c r="G5376">
        <v>0</v>
      </c>
      <c r="H5376">
        <v>0</v>
      </c>
    </row>
    <row r="5377" spans="2:8" x14ac:dyDescent="0.25">
      <c r="B5377" t="str">
        <f t="shared" si="83"/>
        <v>LIEPopulation ages 20-24, female</v>
      </c>
      <c r="C5377" t="s">
        <v>554</v>
      </c>
      <c r="D5377" t="s">
        <v>555</v>
      </c>
      <c r="E5377" t="s">
        <v>370</v>
      </c>
      <c r="F5377" t="s">
        <v>699</v>
      </c>
      <c r="G5377">
        <v>0</v>
      </c>
      <c r="H5377">
        <v>0</v>
      </c>
    </row>
    <row r="5378" spans="2:8" x14ac:dyDescent="0.25">
      <c r="B5378" t="str">
        <f t="shared" si="83"/>
        <v>LIEPopulation ages 20-24, male</v>
      </c>
      <c r="C5378" t="s">
        <v>554</v>
      </c>
      <c r="D5378" t="s">
        <v>555</v>
      </c>
      <c r="E5378" t="s">
        <v>371</v>
      </c>
      <c r="F5378" t="s">
        <v>700</v>
      </c>
      <c r="G5378">
        <v>0</v>
      </c>
      <c r="H5378">
        <v>0</v>
      </c>
    </row>
    <row r="5379" spans="2:8" x14ac:dyDescent="0.25">
      <c r="B5379" t="str">
        <f t="shared" si="83"/>
        <v>LIEPopulation ages 25-29, female</v>
      </c>
      <c r="C5379" t="s">
        <v>554</v>
      </c>
      <c r="D5379" t="s">
        <v>555</v>
      </c>
      <c r="E5379" t="s">
        <v>372</v>
      </c>
      <c r="F5379" t="s">
        <v>701</v>
      </c>
      <c r="G5379">
        <v>0</v>
      </c>
      <c r="H5379">
        <v>0</v>
      </c>
    </row>
    <row r="5380" spans="2:8" x14ac:dyDescent="0.25">
      <c r="B5380" t="str">
        <f t="shared" si="83"/>
        <v>LIEPopulation ages 25-29, male</v>
      </c>
      <c r="C5380" t="s">
        <v>554</v>
      </c>
      <c r="D5380" t="s">
        <v>555</v>
      </c>
      <c r="E5380" t="s">
        <v>373</v>
      </c>
      <c r="F5380" t="s">
        <v>702</v>
      </c>
      <c r="G5380">
        <v>0</v>
      </c>
      <c r="H5380">
        <v>0</v>
      </c>
    </row>
    <row r="5381" spans="2:8" x14ac:dyDescent="0.25">
      <c r="B5381" t="str">
        <f t="shared" si="83"/>
        <v>LIEPopulation ages 30-34, female</v>
      </c>
      <c r="C5381" t="s">
        <v>554</v>
      </c>
      <c r="D5381" t="s">
        <v>555</v>
      </c>
      <c r="E5381" t="s">
        <v>374</v>
      </c>
      <c r="F5381" t="s">
        <v>703</v>
      </c>
      <c r="G5381">
        <v>0</v>
      </c>
      <c r="H5381">
        <v>0</v>
      </c>
    </row>
    <row r="5382" spans="2:8" x14ac:dyDescent="0.25">
      <c r="B5382" t="str">
        <f t="shared" si="83"/>
        <v>LIEPopulation ages 30-34, male</v>
      </c>
      <c r="C5382" t="s">
        <v>554</v>
      </c>
      <c r="D5382" t="s">
        <v>555</v>
      </c>
      <c r="E5382" t="s">
        <v>375</v>
      </c>
      <c r="F5382" t="s">
        <v>704</v>
      </c>
      <c r="G5382">
        <v>0</v>
      </c>
      <c r="H5382">
        <v>0</v>
      </c>
    </row>
    <row r="5383" spans="2:8" x14ac:dyDescent="0.25">
      <c r="B5383" t="str">
        <f t="shared" ref="B5383:B5446" si="84">CONCATENATE(D5383,E5383)</f>
        <v>LIEPopulation ages 35-39, female</v>
      </c>
      <c r="C5383" t="s">
        <v>554</v>
      </c>
      <c r="D5383" t="s">
        <v>555</v>
      </c>
      <c r="E5383" t="s">
        <v>376</v>
      </c>
      <c r="F5383" t="s">
        <v>705</v>
      </c>
      <c r="G5383">
        <v>0</v>
      </c>
      <c r="H5383">
        <v>0</v>
      </c>
    </row>
    <row r="5384" spans="2:8" x14ac:dyDescent="0.25">
      <c r="B5384" t="str">
        <f t="shared" si="84"/>
        <v>LIEPopulation ages 35-39, male</v>
      </c>
      <c r="C5384" t="s">
        <v>554</v>
      </c>
      <c r="D5384" t="s">
        <v>555</v>
      </c>
      <c r="E5384" t="s">
        <v>377</v>
      </c>
      <c r="F5384" t="s">
        <v>706</v>
      </c>
      <c r="G5384">
        <v>0</v>
      </c>
      <c r="H5384">
        <v>0</v>
      </c>
    </row>
    <row r="5385" spans="2:8" x14ac:dyDescent="0.25">
      <c r="B5385" t="str">
        <f t="shared" si="84"/>
        <v>LIEPopulation ages 40-44, female</v>
      </c>
      <c r="C5385" t="s">
        <v>554</v>
      </c>
      <c r="D5385" t="s">
        <v>555</v>
      </c>
      <c r="E5385" t="s">
        <v>378</v>
      </c>
      <c r="F5385" t="s">
        <v>707</v>
      </c>
      <c r="G5385">
        <v>0</v>
      </c>
      <c r="H5385">
        <v>0</v>
      </c>
    </row>
    <row r="5386" spans="2:8" x14ac:dyDescent="0.25">
      <c r="B5386" t="str">
        <f t="shared" si="84"/>
        <v>LIEPopulation ages 40-44, male</v>
      </c>
      <c r="C5386" t="s">
        <v>554</v>
      </c>
      <c r="D5386" t="s">
        <v>555</v>
      </c>
      <c r="E5386" t="s">
        <v>379</v>
      </c>
      <c r="F5386" t="s">
        <v>708</v>
      </c>
      <c r="G5386">
        <v>0</v>
      </c>
      <c r="H5386">
        <v>0</v>
      </c>
    </row>
    <row r="5387" spans="2:8" x14ac:dyDescent="0.25">
      <c r="B5387" t="str">
        <f t="shared" si="84"/>
        <v>LIEPopulation ages 45-49, female</v>
      </c>
      <c r="C5387" t="s">
        <v>554</v>
      </c>
      <c r="D5387" t="s">
        <v>555</v>
      </c>
      <c r="E5387" t="s">
        <v>380</v>
      </c>
      <c r="F5387" t="s">
        <v>709</v>
      </c>
      <c r="G5387">
        <v>0</v>
      </c>
      <c r="H5387">
        <v>0</v>
      </c>
    </row>
    <row r="5388" spans="2:8" x14ac:dyDescent="0.25">
      <c r="B5388" t="str">
        <f t="shared" si="84"/>
        <v>LIEPopulation ages 45-49, male</v>
      </c>
      <c r="C5388" t="s">
        <v>554</v>
      </c>
      <c r="D5388" t="s">
        <v>555</v>
      </c>
      <c r="E5388" t="s">
        <v>381</v>
      </c>
      <c r="F5388" t="s">
        <v>710</v>
      </c>
      <c r="G5388">
        <v>0</v>
      </c>
      <c r="H5388">
        <v>0</v>
      </c>
    </row>
    <row r="5389" spans="2:8" x14ac:dyDescent="0.25">
      <c r="B5389" t="str">
        <f t="shared" si="84"/>
        <v>LIEPopulation ages 50-54, female</v>
      </c>
      <c r="C5389" t="s">
        <v>554</v>
      </c>
      <c r="D5389" t="s">
        <v>555</v>
      </c>
      <c r="E5389" t="s">
        <v>382</v>
      </c>
      <c r="F5389" t="s">
        <v>711</v>
      </c>
      <c r="G5389">
        <v>0</v>
      </c>
      <c r="H5389">
        <v>0</v>
      </c>
    </row>
    <row r="5390" spans="2:8" x14ac:dyDescent="0.25">
      <c r="B5390" t="str">
        <f t="shared" si="84"/>
        <v>LIEPopulation ages 50-54, male</v>
      </c>
      <c r="C5390" t="s">
        <v>554</v>
      </c>
      <c r="D5390" t="s">
        <v>555</v>
      </c>
      <c r="E5390" t="s">
        <v>383</v>
      </c>
      <c r="F5390" t="s">
        <v>712</v>
      </c>
      <c r="G5390">
        <v>0</v>
      </c>
      <c r="H5390">
        <v>0</v>
      </c>
    </row>
    <row r="5391" spans="2:8" x14ac:dyDescent="0.25">
      <c r="B5391" t="str">
        <f t="shared" si="84"/>
        <v>LIEPopulation ages 55-59, male</v>
      </c>
      <c r="C5391" t="s">
        <v>554</v>
      </c>
      <c r="D5391" t="s">
        <v>555</v>
      </c>
      <c r="E5391" t="s">
        <v>385</v>
      </c>
      <c r="F5391" t="s">
        <v>713</v>
      </c>
      <c r="G5391">
        <v>0</v>
      </c>
      <c r="H5391">
        <v>0</v>
      </c>
    </row>
    <row r="5392" spans="2:8" x14ac:dyDescent="0.25">
      <c r="B5392" t="str">
        <f t="shared" si="84"/>
        <v>LIEPopulation ages 55-59, female</v>
      </c>
      <c r="C5392" t="s">
        <v>554</v>
      </c>
      <c r="D5392" t="s">
        <v>555</v>
      </c>
      <c r="E5392" t="s">
        <v>384</v>
      </c>
      <c r="F5392" t="s">
        <v>714</v>
      </c>
      <c r="G5392">
        <v>0</v>
      </c>
      <c r="H5392">
        <v>0</v>
      </c>
    </row>
    <row r="5393" spans="2:8" x14ac:dyDescent="0.25">
      <c r="B5393" t="str">
        <f t="shared" si="84"/>
        <v>LIEPopulation ages 65-69, male</v>
      </c>
      <c r="C5393" t="s">
        <v>554</v>
      </c>
      <c r="D5393" t="s">
        <v>555</v>
      </c>
      <c r="E5393" t="s">
        <v>389</v>
      </c>
      <c r="F5393" t="s">
        <v>715</v>
      </c>
      <c r="G5393">
        <v>0</v>
      </c>
      <c r="H5393">
        <v>0</v>
      </c>
    </row>
    <row r="5394" spans="2:8" x14ac:dyDescent="0.25">
      <c r="B5394" t="str">
        <f t="shared" si="84"/>
        <v>LIEPopulation ages 65-69, female</v>
      </c>
      <c r="C5394" t="s">
        <v>554</v>
      </c>
      <c r="D5394" t="s">
        <v>555</v>
      </c>
      <c r="E5394" t="s">
        <v>388</v>
      </c>
      <c r="F5394" t="s">
        <v>716</v>
      </c>
      <c r="G5394">
        <v>0</v>
      </c>
      <c r="H5394">
        <v>0</v>
      </c>
    </row>
    <row r="5395" spans="2:8" x14ac:dyDescent="0.25">
      <c r="B5395" t="str">
        <f t="shared" si="84"/>
        <v>LIEPopulation ages 60-64, female</v>
      </c>
      <c r="C5395" t="s">
        <v>554</v>
      </c>
      <c r="D5395" t="s">
        <v>555</v>
      </c>
      <c r="E5395" t="s">
        <v>386</v>
      </c>
      <c r="F5395" t="s">
        <v>717</v>
      </c>
      <c r="G5395">
        <v>0</v>
      </c>
      <c r="H5395">
        <v>0</v>
      </c>
    </row>
    <row r="5396" spans="2:8" x14ac:dyDescent="0.25">
      <c r="B5396" t="str">
        <f t="shared" si="84"/>
        <v>LIEPopulation ages 60-64, male</v>
      </c>
      <c r="C5396" t="s">
        <v>554</v>
      </c>
      <c r="D5396" t="s">
        <v>555</v>
      </c>
      <c r="E5396" t="s">
        <v>387</v>
      </c>
      <c r="F5396" t="s">
        <v>718</v>
      </c>
      <c r="G5396">
        <v>0</v>
      </c>
      <c r="H5396">
        <v>0</v>
      </c>
    </row>
    <row r="5397" spans="2:8" x14ac:dyDescent="0.25">
      <c r="B5397" t="str">
        <f t="shared" si="84"/>
        <v>LIEPopulation ages 70-74, female</v>
      </c>
      <c r="C5397" t="s">
        <v>554</v>
      </c>
      <c r="D5397" t="s">
        <v>555</v>
      </c>
      <c r="E5397" t="s">
        <v>390</v>
      </c>
      <c r="F5397" t="s">
        <v>719</v>
      </c>
      <c r="G5397">
        <v>0</v>
      </c>
      <c r="H5397">
        <v>0</v>
      </c>
    </row>
    <row r="5398" spans="2:8" x14ac:dyDescent="0.25">
      <c r="B5398" t="str">
        <f t="shared" si="84"/>
        <v>LIEPopulation ages 70-74, male</v>
      </c>
      <c r="C5398" t="s">
        <v>554</v>
      </c>
      <c r="D5398" t="s">
        <v>555</v>
      </c>
      <c r="E5398" t="s">
        <v>391</v>
      </c>
      <c r="F5398" t="s">
        <v>720</v>
      </c>
      <c r="G5398">
        <v>0</v>
      </c>
      <c r="H5398">
        <v>0</v>
      </c>
    </row>
    <row r="5399" spans="2:8" x14ac:dyDescent="0.25">
      <c r="B5399" t="str">
        <f t="shared" si="84"/>
        <v>LIEPopulation ages 75-79, female</v>
      </c>
      <c r="C5399" t="s">
        <v>554</v>
      </c>
      <c r="D5399" t="s">
        <v>555</v>
      </c>
      <c r="E5399" t="s">
        <v>392</v>
      </c>
      <c r="F5399" t="s">
        <v>721</v>
      </c>
      <c r="G5399">
        <v>0</v>
      </c>
      <c r="H5399">
        <v>0</v>
      </c>
    </row>
    <row r="5400" spans="2:8" x14ac:dyDescent="0.25">
      <c r="B5400" t="str">
        <f t="shared" si="84"/>
        <v>LIEPopulation ages 75-79, male</v>
      </c>
      <c r="C5400" t="s">
        <v>554</v>
      </c>
      <c r="D5400" t="s">
        <v>555</v>
      </c>
      <c r="E5400" t="s">
        <v>393</v>
      </c>
      <c r="F5400" t="s">
        <v>722</v>
      </c>
      <c r="G5400">
        <v>0</v>
      </c>
      <c r="H5400">
        <v>0</v>
      </c>
    </row>
    <row r="5401" spans="2:8" x14ac:dyDescent="0.25">
      <c r="B5401" t="str">
        <f t="shared" si="84"/>
        <v>LIEPopulation ages 80 and above, female</v>
      </c>
      <c r="C5401" t="s">
        <v>554</v>
      </c>
      <c r="D5401" t="s">
        <v>555</v>
      </c>
      <c r="E5401" t="s">
        <v>394</v>
      </c>
      <c r="F5401" t="s">
        <v>723</v>
      </c>
      <c r="G5401">
        <v>0</v>
      </c>
      <c r="H5401">
        <v>0</v>
      </c>
    </row>
    <row r="5402" spans="2:8" x14ac:dyDescent="0.25">
      <c r="B5402" t="str">
        <f t="shared" si="84"/>
        <v>LIEPopulation ages 80 and above, male</v>
      </c>
      <c r="C5402" t="s">
        <v>554</v>
      </c>
      <c r="D5402" t="s">
        <v>555</v>
      </c>
      <c r="E5402" t="s">
        <v>395</v>
      </c>
      <c r="F5402" t="s">
        <v>724</v>
      </c>
      <c r="G5402">
        <v>0</v>
      </c>
      <c r="H5402">
        <v>0</v>
      </c>
    </row>
    <row r="5403" spans="2:8" x14ac:dyDescent="0.25">
      <c r="B5403" t="str">
        <f t="shared" si="84"/>
        <v>LIEPopulation, male</v>
      </c>
      <c r="C5403" t="s">
        <v>554</v>
      </c>
      <c r="D5403" t="s">
        <v>555</v>
      </c>
      <c r="E5403" t="s">
        <v>397</v>
      </c>
      <c r="F5403" t="s">
        <v>725</v>
      </c>
      <c r="G5403">
        <v>0</v>
      </c>
      <c r="H5403">
        <v>0</v>
      </c>
    </row>
    <row r="5404" spans="2:8" x14ac:dyDescent="0.25">
      <c r="B5404" t="str">
        <f t="shared" si="84"/>
        <v>LIEPopulation, total</v>
      </c>
      <c r="C5404" t="s">
        <v>554</v>
      </c>
      <c r="D5404" t="s">
        <v>555</v>
      </c>
      <c r="E5404" t="s">
        <v>398</v>
      </c>
      <c r="F5404" t="s">
        <v>726</v>
      </c>
      <c r="G5404">
        <v>38000</v>
      </c>
      <c r="H5404">
        <v>38000</v>
      </c>
    </row>
    <row r="5405" spans="2:8" x14ac:dyDescent="0.25">
      <c r="B5405" t="str">
        <f t="shared" si="84"/>
        <v>LIEPopulation, female</v>
      </c>
      <c r="C5405" t="s">
        <v>554</v>
      </c>
      <c r="D5405" t="s">
        <v>555</v>
      </c>
      <c r="E5405" t="s">
        <v>396</v>
      </c>
      <c r="F5405" t="s">
        <v>727</v>
      </c>
      <c r="G5405">
        <v>0</v>
      </c>
      <c r="H5405">
        <v>0</v>
      </c>
    </row>
    <row r="5406" spans="2:8" x14ac:dyDescent="0.25">
      <c r="B5406" t="str">
        <f t="shared" si="84"/>
        <v>LIEPopulation growth (annual %)</v>
      </c>
      <c r="C5406" t="s">
        <v>554</v>
      </c>
      <c r="D5406" t="s">
        <v>555</v>
      </c>
      <c r="E5406" t="s">
        <v>399</v>
      </c>
      <c r="F5406" t="s">
        <v>728</v>
      </c>
      <c r="G5406">
        <v>0</v>
      </c>
      <c r="H5406">
        <v>0</v>
      </c>
    </row>
    <row r="5407" spans="2:8" x14ac:dyDescent="0.25">
      <c r="B5407" t="str">
        <f t="shared" si="84"/>
        <v>LTUPopulation ages 0-14, female</v>
      </c>
      <c r="C5407" t="s">
        <v>556</v>
      </c>
      <c r="D5407" t="s">
        <v>82</v>
      </c>
      <c r="E5407" t="s">
        <v>687</v>
      </c>
      <c r="F5407" t="s">
        <v>688</v>
      </c>
      <c r="G5407">
        <v>205000</v>
      </c>
      <c r="H5407">
        <v>208000</v>
      </c>
    </row>
    <row r="5408" spans="2:8" x14ac:dyDescent="0.25">
      <c r="B5408" t="str">
        <f t="shared" si="84"/>
        <v>LTUPopulation ages 0-14, male</v>
      </c>
      <c r="C5408" t="s">
        <v>556</v>
      </c>
      <c r="D5408" t="s">
        <v>82</v>
      </c>
      <c r="E5408" t="s">
        <v>689</v>
      </c>
      <c r="F5408" t="s">
        <v>690</v>
      </c>
      <c r="G5408">
        <v>216000</v>
      </c>
      <c r="H5408">
        <v>220000</v>
      </c>
    </row>
    <row r="5409" spans="2:8" x14ac:dyDescent="0.25">
      <c r="B5409" t="str">
        <f t="shared" si="84"/>
        <v>LTUPopulation ages 00-04, female</v>
      </c>
      <c r="C5409" t="s">
        <v>556</v>
      </c>
      <c r="D5409" t="s">
        <v>82</v>
      </c>
      <c r="E5409" t="s">
        <v>362</v>
      </c>
      <c r="F5409" t="s">
        <v>691</v>
      </c>
      <c r="G5409">
        <v>72000</v>
      </c>
      <c r="H5409">
        <v>72000</v>
      </c>
    </row>
    <row r="5410" spans="2:8" x14ac:dyDescent="0.25">
      <c r="B5410" t="str">
        <f t="shared" si="84"/>
        <v>LTUPopulation ages 00-04, male</v>
      </c>
      <c r="C5410" t="s">
        <v>556</v>
      </c>
      <c r="D5410" t="s">
        <v>82</v>
      </c>
      <c r="E5410" t="s">
        <v>363</v>
      </c>
      <c r="F5410" t="s">
        <v>692</v>
      </c>
      <c r="G5410">
        <v>76000</v>
      </c>
      <c r="H5410">
        <v>76000</v>
      </c>
    </row>
    <row r="5411" spans="2:8" x14ac:dyDescent="0.25">
      <c r="B5411" t="str">
        <f t="shared" si="84"/>
        <v>LTUPopulation ages 05-09, female</v>
      </c>
      <c r="C5411" t="s">
        <v>556</v>
      </c>
      <c r="D5411" t="s">
        <v>82</v>
      </c>
      <c r="E5411" t="s">
        <v>364</v>
      </c>
      <c r="F5411" t="s">
        <v>693</v>
      </c>
      <c r="G5411">
        <v>73000</v>
      </c>
      <c r="H5411">
        <v>77000</v>
      </c>
    </row>
    <row r="5412" spans="2:8" x14ac:dyDescent="0.25">
      <c r="B5412" t="str">
        <f t="shared" si="84"/>
        <v>LTUPopulation ages 05-09, male</v>
      </c>
      <c r="C5412" t="s">
        <v>556</v>
      </c>
      <c r="D5412" t="s">
        <v>82</v>
      </c>
      <c r="E5412" t="s">
        <v>365</v>
      </c>
      <c r="F5412" t="s">
        <v>694</v>
      </c>
      <c r="G5412">
        <v>77000</v>
      </c>
      <c r="H5412">
        <v>81000</v>
      </c>
    </row>
    <row r="5413" spans="2:8" x14ac:dyDescent="0.25">
      <c r="B5413" t="str">
        <f t="shared" si="84"/>
        <v>LTUPopulation ages 10-14, female</v>
      </c>
      <c r="C5413" t="s">
        <v>556</v>
      </c>
      <c r="D5413" t="s">
        <v>82</v>
      </c>
      <c r="E5413" t="s">
        <v>366</v>
      </c>
      <c r="F5413" t="s">
        <v>695</v>
      </c>
      <c r="G5413">
        <v>60000</v>
      </c>
      <c r="H5413">
        <v>60000</v>
      </c>
    </row>
    <row r="5414" spans="2:8" x14ac:dyDescent="0.25">
      <c r="B5414" t="str">
        <f t="shared" si="84"/>
        <v>LTUPopulation ages 10-14, male</v>
      </c>
      <c r="C5414" t="s">
        <v>556</v>
      </c>
      <c r="D5414" t="s">
        <v>82</v>
      </c>
      <c r="E5414" t="s">
        <v>367</v>
      </c>
      <c r="F5414" t="s">
        <v>696</v>
      </c>
      <c r="G5414">
        <v>62000</v>
      </c>
      <c r="H5414">
        <v>63000</v>
      </c>
    </row>
    <row r="5415" spans="2:8" x14ac:dyDescent="0.25">
      <c r="B5415" t="str">
        <f t="shared" si="84"/>
        <v>LTUPopulation ages 15-19, female</v>
      </c>
      <c r="C5415" t="s">
        <v>556</v>
      </c>
      <c r="D5415" t="s">
        <v>82</v>
      </c>
      <c r="E5415" t="s">
        <v>368</v>
      </c>
      <c r="F5415" t="s">
        <v>697</v>
      </c>
      <c r="G5415">
        <v>62000</v>
      </c>
      <c r="H5415">
        <v>60000</v>
      </c>
    </row>
    <row r="5416" spans="2:8" x14ac:dyDescent="0.25">
      <c r="B5416" t="str">
        <f t="shared" si="84"/>
        <v>LTUPopulation ages 15-19, male</v>
      </c>
      <c r="C5416" t="s">
        <v>556</v>
      </c>
      <c r="D5416" t="s">
        <v>82</v>
      </c>
      <c r="E5416" t="s">
        <v>369</v>
      </c>
      <c r="F5416" t="s">
        <v>698</v>
      </c>
      <c r="G5416">
        <v>66000</v>
      </c>
      <c r="H5416">
        <v>64000</v>
      </c>
    </row>
    <row r="5417" spans="2:8" x14ac:dyDescent="0.25">
      <c r="B5417" t="str">
        <f t="shared" si="84"/>
        <v>LTUPopulation ages 20-24, female</v>
      </c>
      <c r="C5417" t="s">
        <v>556</v>
      </c>
      <c r="D5417" t="s">
        <v>82</v>
      </c>
      <c r="E5417" t="s">
        <v>370</v>
      </c>
      <c r="F5417" t="s">
        <v>699</v>
      </c>
      <c r="G5417">
        <v>73000</v>
      </c>
      <c r="H5417">
        <v>66000</v>
      </c>
    </row>
    <row r="5418" spans="2:8" x14ac:dyDescent="0.25">
      <c r="B5418" t="str">
        <f t="shared" si="84"/>
        <v>LTUPopulation ages 20-24, male</v>
      </c>
      <c r="C5418" t="s">
        <v>556</v>
      </c>
      <c r="D5418" t="s">
        <v>82</v>
      </c>
      <c r="E5418" t="s">
        <v>371</v>
      </c>
      <c r="F5418" t="s">
        <v>700</v>
      </c>
      <c r="G5418">
        <v>77000</v>
      </c>
      <c r="H5418">
        <v>70000</v>
      </c>
    </row>
    <row r="5419" spans="2:8" x14ac:dyDescent="0.25">
      <c r="B5419" t="str">
        <f t="shared" si="84"/>
        <v>LTUPopulation ages 25-29, female</v>
      </c>
      <c r="C5419" t="s">
        <v>556</v>
      </c>
      <c r="D5419" t="s">
        <v>82</v>
      </c>
      <c r="E5419" t="s">
        <v>372</v>
      </c>
      <c r="F5419" t="s">
        <v>701</v>
      </c>
      <c r="G5419">
        <v>92000</v>
      </c>
      <c r="H5419">
        <v>89000</v>
      </c>
    </row>
    <row r="5420" spans="2:8" x14ac:dyDescent="0.25">
      <c r="B5420" t="str">
        <f t="shared" si="84"/>
        <v>LTUPopulation ages 25-29, male</v>
      </c>
      <c r="C5420" t="s">
        <v>556</v>
      </c>
      <c r="D5420" t="s">
        <v>82</v>
      </c>
      <c r="E5420" t="s">
        <v>373</v>
      </c>
      <c r="F5420" t="s">
        <v>702</v>
      </c>
      <c r="G5420">
        <v>101000</v>
      </c>
      <c r="H5420">
        <v>98000</v>
      </c>
    </row>
    <row r="5421" spans="2:8" x14ac:dyDescent="0.25">
      <c r="B5421" t="str">
        <f t="shared" si="84"/>
        <v>LTUPopulation ages 30-34, female</v>
      </c>
      <c r="C5421" t="s">
        <v>556</v>
      </c>
      <c r="D5421" t="s">
        <v>82</v>
      </c>
      <c r="E5421" t="s">
        <v>374</v>
      </c>
      <c r="F5421" t="s">
        <v>703</v>
      </c>
      <c r="G5421">
        <v>89000</v>
      </c>
      <c r="H5421">
        <v>91000</v>
      </c>
    </row>
    <row r="5422" spans="2:8" x14ac:dyDescent="0.25">
      <c r="B5422" t="str">
        <f t="shared" si="84"/>
        <v>LTUPopulation ages 30-34, male</v>
      </c>
      <c r="C5422" t="s">
        <v>556</v>
      </c>
      <c r="D5422" t="s">
        <v>82</v>
      </c>
      <c r="E5422" t="s">
        <v>375</v>
      </c>
      <c r="F5422" t="s">
        <v>704</v>
      </c>
      <c r="G5422">
        <v>95000</v>
      </c>
      <c r="H5422">
        <v>98000</v>
      </c>
    </row>
    <row r="5423" spans="2:8" x14ac:dyDescent="0.25">
      <c r="B5423" t="str">
        <f t="shared" si="84"/>
        <v>LTUPopulation ages 35-39, female</v>
      </c>
      <c r="C5423" t="s">
        <v>556</v>
      </c>
      <c r="D5423" t="s">
        <v>82</v>
      </c>
      <c r="E5423" t="s">
        <v>376</v>
      </c>
      <c r="F5423" t="s">
        <v>705</v>
      </c>
      <c r="G5423">
        <v>76000</v>
      </c>
      <c r="H5423">
        <v>74000</v>
      </c>
    </row>
    <row r="5424" spans="2:8" x14ac:dyDescent="0.25">
      <c r="B5424" t="str">
        <f t="shared" si="84"/>
        <v>LTUPopulation ages 35-39, male</v>
      </c>
      <c r="C5424" t="s">
        <v>556</v>
      </c>
      <c r="D5424" t="s">
        <v>82</v>
      </c>
      <c r="E5424" t="s">
        <v>377</v>
      </c>
      <c r="F5424" t="s">
        <v>706</v>
      </c>
      <c r="G5424">
        <v>80000</v>
      </c>
      <c r="H5424">
        <v>79000</v>
      </c>
    </row>
    <row r="5425" spans="2:8" x14ac:dyDescent="0.25">
      <c r="B5425" t="str">
        <f t="shared" si="84"/>
        <v>LTUPopulation ages 40-44, female</v>
      </c>
      <c r="C5425" t="s">
        <v>556</v>
      </c>
      <c r="D5425" t="s">
        <v>82</v>
      </c>
      <c r="E5425" t="s">
        <v>378</v>
      </c>
      <c r="F5425" t="s">
        <v>707</v>
      </c>
      <c r="G5425">
        <v>87000</v>
      </c>
      <c r="H5425">
        <v>82000</v>
      </c>
    </row>
    <row r="5426" spans="2:8" x14ac:dyDescent="0.25">
      <c r="B5426" t="str">
        <f t="shared" si="84"/>
        <v>LTUPopulation ages 40-44, male</v>
      </c>
      <c r="C5426" t="s">
        <v>556</v>
      </c>
      <c r="D5426" t="s">
        <v>82</v>
      </c>
      <c r="E5426" t="s">
        <v>379</v>
      </c>
      <c r="F5426" t="s">
        <v>708</v>
      </c>
      <c r="G5426">
        <v>85000</v>
      </c>
      <c r="H5426">
        <v>81000</v>
      </c>
    </row>
    <row r="5427" spans="2:8" x14ac:dyDescent="0.25">
      <c r="B5427" t="str">
        <f t="shared" si="84"/>
        <v>LTUPopulation ages 45-49, female</v>
      </c>
      <c r="C5427" t="s">
        <v>556</v>
      </c>
      <c r="D5427" t="s">
        <v>82</v>
      </c>
      <c r="E5427" t="s">
        <v>380</v>
      </c>
      <c r="F5427" t="s">
        <v>709</v>
      </c>
      <c r="G5427">
        <v>102000</v>
      </c>
      <c r="H5427">
        <v>102000</v>
      </c>
    </row>
    <row r="5428" spans="2:8" x14ac:dyDescent="0.25">
      <c r="B5428" t="str">
        <f t="shared" si="84"/>
        <v>LTUPopulation ages 45-49, male</v>
      </c>
      <c r="C5428" t="s">
        <v>556</v>
      </c>
      <c r="D5428" t="s">
        <v>82</v>
      </c>
      <c r="E5428" t="s">
        <v>381</v>
      </c>
      <c r="F5428" t="s">
        <v>710</v>
      </c>
      <c r="G5428">
        <v>95000</v>
      </c>
      <c r="H5428">
        <v>96000</v>
      </c>
    </row>
    <row r="5429" spans="2:8" x14ac:dyDescent="0.25">
      <c r="B5429" t="str">
        <f t="shared" si="84"/>
        <v>LTUPopulation ages 50-54, female</v>
      </c>
      <c r="C5429" t="s">
        <v>556</v>
      </c>
      <c r="D5429" t="s">
        <v>82</v>
      </c>
      <c r="E5429" t="s">
        <v>382</v>
      </c>
      <c r="F5429" t="s">
        <v>711</v>
      </c>
      <c r="G5429">
        <v>104000</v>
      </c>
      <c r="H5429">
        <v>98000</v>
      </c>
    </row>
    <row r="5430" spans="2:8" x14ac:dyDescent="0.25">
      <c r="B5430" t="str">
        <f t="shared" si="84"/>
        <v>LTUPopulation ages 50-54, male</v>
      </c>
      <c r="C5430" t="s">
        <v>556</v>
      </c>
      <c r="D5430" t="s">
        <v>82</v>
      </c>
      <c r="E5430" t="s">
        <v>383</v>
      </c>
      <c r="F5430" t="s">
        <v>712</v>
      </c>
      <c r="G5430">
        <v>94000</v>
      </c>
      <c r="H5430">
        <v>89000</v>
      </c>
    </row>
    <row r="5431" spans="2:8" x14ac:dyDescent="0.25">
      <c r="B5431" t="str">
        <f t="shared" si="84"/>
        <v>LTUPopulation ages 55-59, male</v>
      </c>
      <c r="C5431" t="s">
        <v>556</v>
      </c>
      <c r="D5431" t="s">
        <v>82</v>
      </c>
      <c r="E5431" t="s">
        <v>385</v>
      </c>
      <c r="F5431" t="s">
        <v>713</v>
      </c>
      <c r="G5431">
        <v>107000</v>
      </c>
      <c r="H5431">
        <v>109000</v>
      </c>
    </row>
    <row r="5432" spans="2:8" x14ac:dyDescent="0.25">
      <c r="B5432" t="str">
        <f t="shared" si="84"/>
        <v>LTUPopulation ages 55-59, female</v>
      </c>
      <c r="C5432" t="s">
        <v>556</v>
      </c>
      <c r="D5432" t="s">
        <v>82</v>
      </c>
      <c r="E5432" t="s">
        <v>384</v>
      </c>
      <c r="F5432" t="s">
        <v>714</v>
      </c>
      <c r="G5432">
        <v>127000</v>
      </c>
      <c r="H5432">
        <v>130000</v>
      </c>
    </row>
    <row r="5433" spans="2:8" x14ac:dyDescent="0.25">
      <c r="B5433" t="str">
        <f t="shared" si="84"/>
        <v>LTUPopulation ages 65-69, male</v>
      </c>
      <c r="C5433" t="s">
        <v>556</v>
      </c>
      <c r="D5433" t="s">
        <v>82</v>
      </c>
      <c r="E5433" t="s">
        <v>389</v>
      </c>
      <c r="F5433" t="s">
        <v>715</v>
      </c>
      <c r="G5433">
        <v>63000</v>
      </c>
      <c r="H5433">
        <v>67000</v>
      </c>
    </row>
    <row r="5434" spans="2:8" x14ac:dyDescent="0.25">
      <c r="B5434" t="str">
        <f t="shared" si="84"/>
        <v>LTUPopulation ages 65-69, female</v>
      </c>
      <c r="C5434" t="s">
        <v>556</v>
      </c>
      <c r="D5434" t="s">
        <v>82</v>
      </c>
      <c r="E5434" t="s">
        <v>388</v>
      </c>
      <c r="F5434" t="s">
        <v>716</v>
      </c>
      <c r="G5434">
        <v>96000</v>
      </c>
      <c r="H5434">
        <v>102000</v>
      </c>
    </row>
    <row r="5435" spans="2:8" x14ac:dyDescent="0.25">
      <c r="B5435" t="str">
        <f t="shared" si="84"/>
        <v>LTUPopulation ages 60-64, female</v>
      </c>
      <c r="C5435" t="s">
        <v>556</v>
      </c>
      <c r="D5435" t="s">
        <v>82</v>
      </c>
      <c r="E5435" t="s">
        <v>386</v>
      </c>
      <c r="F5435" t="s">
        <v>717</v>
      </c>
      <c r="G5435">
        <v>106000</v>
      </c>
      <c r="H5435">
        <v>107000</v>
      </c>
    </row>
    <row r="5436" spans="2:8" x14ac:dyDescent="0.25">
      <c r="B5436" t="str">
        <f t="shared" si="84"/>
        <v>LTUPopulation ages 60-64, male</v>
      </c>
      <c r="C5436" t="s">
        <v>556</v>
      </c>
      <c r="D5436" t="s">
        <v>82</v>
      </c>
      <c r="E5436" t="s">
        <v>387</v>
      </c>
      <c r="F5436" t="s">
        <v>718</v>
      </c>
      <c r="G5436">
        <v>81000</v>
      </c>
      <c r="H5436">
        <v>82000</v>
      </c>
    </row>
    <row r="5437" spans="2:8" x14ac:dyDescent="0.25">
      <c r="B5437" t="str">
        <f t="shared" si="84"/>
        <v>LTUPopulation ages 70-74, female</v>
      </c>
      <c r="C5437" t="s">
        <v>556</v>
      </c>
      <c r="D5437" t="s">
        <v>82</v>
      </c>
      <c r="E5437" t="s">
        <v>390</v>
      </c>
      <c r="F5437" t="s">
        <v>719</v>
      </c>
      <c r="G5437">
        <v>73000</v>
      </c>
      <c r="H5437">
        <v>71000</v>
      </c>
    </row>
    <row r="5438" spans="2:8" x14ac:dyDescent="0.25">
      <c r="B5438" t="str">
        <f t="shared" si="84"/>
        <v>LTUPopulation ages 70-74, male</v>
      </c>
      <c r="C5438" t="s">
        <v>556</v>
      </c>
      <c r="D5438" t="s">
        <v>82</v>
      </c>
      <c r="E5438" t="s">
        <v>391</v>
      </c>
      <c r="F5438" t="s">
        <v>720</v>
      </c>
      <c r="G5438">
        <v>40000</v>
      </c>
      <c r="H5438">
        <v>39000</v>
      </c>
    </row>
    <row r="5439" spans="2:8" x14ac:dyDescent="0.25">
      <c r="B5439" t="str">
        <f t="shared" si="84"/>
        <v>LTUPopulation ages 75-79, female</v>
      </c>
      <c r="C5439" t="s">
        <v>556</v>
      </c>
      <c r="D5439" t="s">
        <v>82</v>
      </c>
      <c r="E5439" t="s">
        <v>392</v>
      </c>
      <c r="F5439" t="s">
        <v>721</v>
      </c>
      <c r="G5439">
        <v>78000</v>
      </c>
      <c r="H5439">
        <v>79000</v>
      </c>
    </row>
    <row r="5440" spans="2:8" x14ac:dyDescent="0.25">
      <c r="B5440" t="str">
        <f t="shared" si="84"/>
        <v>LTUPopulation ages 75-79, male</v>
      </c>
      <c r="C5440" t="s">
        <v>556</v>
      </c>
      <c r="D5440" t="s">
        <v>82</v>
      </c>
      <c r="E5440" t="s">
        <v>393</v>
      </c>
      <c r="F5440" t="s">
        <v>722</v>
      </c>
      <c r="G5440">
        <v>39000</v>
      </c>
      <c r="H5440">
        <v>38000</v>
      </c>
    </row>
    <row r="5441" spans="2:8" x14ac:dyDescent="0.25">
      <c r="B5441" t="str">
        <f t="shared" si="84"/>
        <v>LTUPopulation ages 80 and above, female</v>
      </c>
      <c r="C5441" t="s">
        <v>556</v>
      </c>
      <c r="D5441" t="s">
        <v>82</v>
      </c>
      <c r="E5441" t="s">
        <v>394</v>
      </c>
      <c r="F5441" t="s">
        <v>723</v>
      </c>
      <c r="G5441">
        <v>125000</v>
      </c>
      <c r="H5441">
        <v>126000</v>
      </c>
    </row>
    <row r="5442" spans="2:8" x14ac:dyDescent="0.25">
      <c r="B5442" t="str">
        <f t="shared" si="84"/>
        <v>LTUPopulation ages 80 and above, male</v>
      </c>
      <c r="C5442" t="s">
        <v>556</v>
      </c>
      <c r="D5442" t="s">
        <v>82</v>
      </c>
      <c r="E5442" t="s">
        <v>395</v>
      </c>
      <c r="F5442" t="s">
        <v>724</v>
      </c>
      <c r="G5442">
        <v>47000</v>
      </c>
      <c r="H5442">
        <v>49000</v>
      </c>
    </row>
    <row r="5443" spans="2:8" x14ac:dyDescent="0.25">
      <c r="B5443" t="str">
        <f t="shared" si="84"/>
        <v>LTUPopulation, male</v>
      </c>
      <c r="C5443" t="s">
        <v>556</v>
      </c>
      <c r="D5443" t="s">
        <v>82</v>
      </c>
      <c r="E5443" t="s">
        <v>397</v>
      </c>
      <c r="F5443" t="s">
        <v>725</v>
      </c>
      <c r="G5443">
        <v>1285000</v>
      </c>
      <c r="H5443">
        <v>1281000</v>
      </c>
    </row>
    <row r="5444" spans="2:8" x14ac:dyDescent="0.25">
      <c r="B5444" t="str">
        <f t="shared" si="84"/>
        <v>LTUPopulation, total</v>
      </c>
      <c r="C5444" t="s">
        <v>556</v>
      </c>
      <c r="D5444" t="s">
        <v>82</v>
      </c>
      <c r="E5444" t="s">
        <v>398</v>
      </c>
      <c r="F5444" t="s">
        <v>726</v>
      </c>
      <c r="G5444">
        <v>2778000</v>
      </c>
      <c r="H5444">
        <v>2767000</v>
      </c>
    </row>
    <row r="5445" spans="2:8" x14ac:dyDescent="0.25">
      <c r="B5445" t="str">
        <f t="shared" si="84"/>
        <v>LTUPopulation, female</v>
      </c>
      <c r="C5445" t="s">
        <v>556</v>
      </c>
      <c r="D5445" t="s">
        <v>82</v>
      </c>
      <c r="E5445" t="s">
        <v>396</v>
      </c>
      <c r="F5445" t="s">
        <v>727</v>
      </c>
      <c r="G5445">
        <v>1493000</v>
      </c>
      <c r="H5445">
        <v>1486000</v>
      </c>
    </row>
    <row r="5446" spans="2:8" x14ac:dyDescent="0.25">
      <c r="B5446" t="str">
        <f t="shared" si="84"/>
        <v>LTUPopulation growth (annual %)</v>
      </c>
      <c r="C5446" t="s">
        <v>556</v>
      </c>
      <c r="D5446" t="s">
        <v>82</v>
      </c>
      <c r="E5446" t="s">
        <v>399</v>
      </c>
      <c r="F5446" t="s">
        <v>728</v>
      </c>
      <c r="G5446">
        <v>0</v>
      </c>
      <c r="H5446">
        <v>0</v>
      </c>
    </row>
    <row r="5447" spans="2:8" x14ac:dyDescent="0.25">
      <c r="B5447" t="str">
        <f t="shared" ref="B5447:B5510" si="85">CONCATENATE(D5447,E5447)</f>
        <v>LMYPopulation ages 0-14, female</v>
      </c>
      <c r="C5447" t="s">
        <v>557</v>
      </c>
      <c r="D5447" t="s">
        <v>558</v>
      </c>
      <c r="E5447" t="s">
        <v>687</v>
      </c>
      <c r="F5447" t="s">
        <v>688</v>
      </c>
      <c r="G5447">
        <v>854519000</v>
      </c>
      <c r="H5447">
        <v>858923000</v>
      </c>
    </row>
    <row r="5448" spans="2:8" x14ac:dyDescent="0.25">
      <c r="B5448" t="str">
        <f t="shared" si="85"/>
        <v>LMYPopulation ages 0-14, male</v>
      </c>
      <c r="C5448" t="s">
        <v>557</v>
      </c>
      <c r="D5448" t="s">
        <v>558</v>
      </c>
      <c r="E5448" t="s">
        <v>689</v>
      </c>
      <c r="F5448" t="s">
        <v>690</v>
      </c>
      <c r="G5448">
        <v>913459000</v>
      </c>
      <c r="H5448">
        <v>917481000</v>
      </c>
    </row>
    <row r="5449" spans="2:8" x14ac:dyDescent="0.25">
      <c r="B5449" t="str">
        <f t="shared" si="85"/>
        <v>LMYPopulation ages 00-04, female</v>
      </c>
      <c r="C5449" t="s">
        <v>557</v>
      </c>
      <c r="D5449" t="s">
        <v>558</v>
      </c>
      <c r="E5449" t="s">
        <v>362</v>
      </c>
      <c r="F5449" t="s">
        <v>691</v>
      </c>
      <c r="G5449">
        <v>295396800</v>
      </c>
      <c r="H5449">
        <v>295868800</v>
      </c>
    </row>
    <row r="5450" spans="2:8" x14ac:dyDescent="0.25">
      <c r="B5450" t="str">
        <f t="shared" si="85"/>
        <v>LMYPopulation ages 00-04, male</v>
      </c>
      <c r="C5450" t="s">
        <v>557</v>
      </c>
      <c r="D5450" t="s">
        <v>558</v>
      </c>
      <c r="E5450" t="s">
        <v>363</v>
      </c>
      <c r="F5450" t="s">
        <v>692</v>
      </c>
      <c r="G5450">
        <v>314799400</v>
      </c>
      <c r="H5450">
        <v>315070400</v>
      </c>
    </row>
    <row r="5451" spans="2:8" x14ac:dyDescent="0.25">
      <c r="B5451" t="str">
        <f t="shared" si="85"/>
        <v>LMYPopulation ages 05-09, female</v>
      </c>
      <c r="C5451" t="s">
        <v>557</v>
      </c>
      <c r="D5451" t="s">
        <v>558</v>
      </c>
      <c r="E5451" t="s">
        <v>364</v>
      </c>
      <c r="F5451" t="s">
        <v>693</v>
      </c>
      <c r="G5451">
        <v>286126600</v>
      </c>
      <c r="H5451">
        <v>287669500</v>
      </c>
    </row>
    <row r="5452" spans="2:8" x14ac:dyDescent="0.25">
      <c r="B5452" t="str">
        <f t="shared" si="85"/>
        <v>LMYPopulation ages 05-09, male</v>
      </c>
      <c r="C5452" t="s">
        <v>557</v>
      </c>
      <c r="D5452" t="s">
        <v>558</v>
      </c>
      <c r="E5452" t="s">
        <v>365</v>
      </c>
      <c r="F5452" t="s">
        <v>694</v>
      </c>
      <c r="G5452">
        <v>305830200</v>
      </c>
      <c r="H5452">
        <v>307240400</v>
      </c>
    </row>
    <row r="5453" spans="2:8" x14ac:dyDescent="0.25">
      <c r="B5453" t="str">
        <f t="shared" si="85"/>
        <v>LMYPopulation ages 10-14, female</v>
      </c>
      <c r="C5453" t="s">
        <v>557</v>
      </c>
      <c r="D5453" t="s">
        <v>558</v>
      </c>
      <c r="E5453" t="s">
        <v>366</v>
      </c>
      <c r="F5453" t="s">
        <v>695</v>
      </c>
      <c r="G5453">
        <v>272996700</v>
      </c>
      <c r="H5453">
        <v>275388900</v>
      </c>
    </row>
    <row r="5454" spans="2:8" x14ac:dyDescent="0.25">
      <c r="B5454" t="str">
        <f t="shared" si="85"/>
        <v>LMYPopulation ages 10-14, male</v>
      </c>
      <c r="C5454" t="s">
        <v>557</v>
      </c>
      <c r="D5454" t="s">
        <v>558</v>
      </c>
      <c r="E5454" t="s">
        <v>367</v>
      </c>
      <c r="F5454" t="s">
        <v>696</v>
      </c>
      <c r="G5454">
        <v>292825200</v>
      </c>
      <c r="H5454">
        <v>295178400</v>
      </c>
    </row>
    <row r="5455" spans="2:8" x14ac:dyDescent="0.25">
      <c r="B5455" t="str">
        <f t="shared" si="85"/>
        <v>LMYPopulation ages 15-19, female</v>
      </c>
      <c r="C5455" t="s">
        <v>557</v>
      </c>
      <c r="D5455" t="s">
        <v>558</v>
      </c>
      <c r="E5455" t="s">
        <v>368</v>
      </c>
      <c r="F5455" t="s">
        <v>697</v>
      </c>
      <c r="G5455">
        <v>259895000</v>
      </c>
      <c r="H5455">
        <v>261588100</v>
      </c>
    </row>
    <row r="5456" spans="2:8" x14ac:dyDescent="0.25">
      <c r="B5456" t="str">
        <f t="shared" si="85"/>
        <v>LMYPopulation ages 15-19, male</v>
      </c>
      <c r="C5456" t="s">
        <v>557</v>
      </c>
      <c r="D5456" t="s">
        <v>558</v>
      </c>
      <c r="E5456" t="s">
        <v>369</v>
      </c>
      <c r="F5456" t="s">
        <v>698</v>
      </c>
      <c r="G5456">
        <v>278876400</v>
      </c>
      <c r="H5456">
        <v>280832100</v>
      </c>
    </row>
    <row r="5457" spans="2:8" x14ac:dyDescent="0.25">
      <c r="B5457" t="str">
        <f t="shared" si="85"/>
        <v>LMYPopulation ages 20-24, female</v>
      </c>
      <c r="C5457" t="s">
        <v>557</v>
      </c>
      <c r="D5457" t="s">
        <v>558</v>
      </c>
      <c r="E5457" t="s">
        <v>370</v>
      </c>
      <c r="F5457" t="s">
        <v>699</v>
      </c>
      <c r="G5457">
        <v>252160500</v>
      </c>
      <c r="H5457">
        <v>252828500</v>
      </c>
    </row>
    <row r="5458" spans="2:8" x14ac:dyDescent="0.25">
      <c r="B5458" t="str">
        <f t="shared" si="85"/>
        <v>LMYPopulation ages 20-24, male</v>
      </c>
      <c r="C5458" t="s">
        <v>557</v>
      </c>
      <c r="D5458" t="s">
        <v>558</v>
      </c>
      <c r="E5458" t="s">
        <v>371</v>
      </c>
      <c r="F5458" t="s">
        <v>700</v>
      </c>
      <c r="G5458">
        <v>268577800</v>
      </c>
      <c r="H5458">
        <v>269582800</v>
      </c>
    </row>
    <row r="5459" spans="2:8" x14ac:dyDescent="0.25">
      <c r="B5459" t="str">
        <f t="shared" si="85"/>
        <v>LMYPopulation ages 25-29, female</v>
      </c>
      <c r="C5459" t="s">
        <v>557</v>
      </c>
      <c r="D5459" t="s">
        <v>558</v>
      </c>
      <c r="E5459" t="s">
        <v>372</v>
      </c>
      <c r="F5459" t="s">
        <v>701</v>
      </c>
      <c r="G5459">
        <v>250921600</v>
      </c>
      <c r="H5459">
        <v>248972200</v>
      </c>
    </row>
    <row r="5460" spans="2:8" x14ac:dyDescent="0.25">
      <c r="B5460" t="str">
        <f t="shared" si="85"/>
        <v>LMYPopulation ages 25-29, male</v>
      </c>
      <c r="C5460" t="s">
        <v>557</v>
      </c>
      <c r="D5460" t="s">
        <v>558</v>
      </c>
      <c r="E5460" t="s">
        <v>373</v>
      </c>
      <c r="F5460" t="s">
        <v>702</v>
      </c>
      <c r="G5460">
        <v>264040300</v>
      </c>
      <c r="H5460">
        <v>262653100</v>
      </c>
    </row>
    <row r="5461" spans="2:8" x14ac:dyDescent="0.25">
      <c r="B5461" t="str">
        <f t="shared" si="85"/>
        <v>LMYPopulation ages 30-34, female</v>
      </c>
      <c r="C5461" t="s">
        <v>557</v>
      </c>
      <c r="D5461" t="s">
        <v>558</v>
      </c>
      <c r="E5461" t="s">
        <v>374</v>
      </c>
      <c r="F5461" t="s">
        <v>703</v>
      </c>
      <c r="G5461">
        <v>252176800</v>
      </c>
      <c r="H5461">
        <v>254725100</v>
      </c>
    </row>
    <row r="5462" spans="2:8" x14ac:dyDescent="0.25">
      <c r="B5462" t="str">
        <f t="shared" si="85"/>
        <v>LMYPopulation ages 30-34, male</v>
      </c>
      <c r="C5462" t="s">
        <v>557</v>
      </c>
      <c r="D5462" t="s">
        <v>558</v>
      </c>
      <c r="E5462" t="s">
        <v>375</v>
      </c>
      <c r="F5462" t="s">
        <v>704</v>
      </c>
      <c r="G5462">
        <v>260744200</v>
      </c>
      <c r="H5462">
        <v>263927800</v>
      </c>
    </row>
    <row r="5463" spans="2:8" x14ac:dyDescent="0.25">
      <c r="B5463" t="str">
        <f t="shared" si="85"/>
        <v>LMYPopulation ages 35-39, female</v>
      </c>
      <c r="C5463" t="s">
        <v>557</v>
      </c>
      <c r="D5463" t="s">
        <v>558</v>
      </c>
      <c r="E5463" t="s">
        <v>376</v>
      </c>
      <c r="F5463" t="s">
        <v>705</v>
      </c>
      <c r="G5463">
        <v>220907000</v>
      </c>
      <c r="H5463">
        <v>226185700</v>
      </c>
    </row>
    <row r="5464" spans="2:8" x14ac:dyDescent="0.25">
      <c r="B5464" t="str">
        <f t="shared" si="85"/>
        <v>LMYPopulation ages 35-39, male</v>
      </c>
      <c r="C5464" t="s">
        <v>557</v>
      </c>
      <c r="D5464" t="s">
        <v>558</v>
      </c>
      <c r="E5464" t="s">
        <v>377</v>
      </c>
      <c r="F5464" t="s">
        <v>706</v>
      </c>
      <c r="G5464">
        <v>225883900</v>
      </c>
      <c r="H5464">
        <v>231555400</v>
      </c>
    </row>
    <row r="5465" spans="2:8" x14ac:dyDescent="0.25">
      <c r="B5465" t="str">
        <f t="shared" si="85"/>
        <v>LMYPopulation ages 40-44, female</v>
      </c>
      <c r="C5465" t="s">
        <v>557</v>
      </c>
      <c r="D5465" t="s">
        <v>558</v>
      </c>
      <c r="E5465" t="s">
        <v>378</v>
      </c>
      <c r="F5465" t="s">
        <v>707</v>
      </c>
      <c r="G5465">
        <v>200694000</v>
      </c>
      <c r="H5465">
        <v>202473900</v>
      </c>
    </row>
    <row r="5466" spans="2:8" x14ac:dyDescent="0.25">
      <c r="B5466" t="str">
        <f t="shared" si="85"/>
        <v>LMYPopulation ages 40-44, male</v>
      </c>
      <c r="C5466" t="s">
        <v>557</v>
      </c>
      <c r="D5466" t="s">
        <v>558</v>
      </c>
      <c r="E5466" t="s">
        <v>379</v>
      </c>
      <c r="F5466" t="s">
        <v>708</v>
      </c>
      <c r="G5466">
        <v>203401900</v>
      </c>
      <c r="H5466">
        <v>205259700</v>
      </c>
    </row>
    <row r="5467" spans="2:8" x14ac:dyDescent="0.25">
      <c r="B5467" t="str">
        <f t="shared" si="85"/>
        <v>LMYPopulation ages 45-49, female</v>
      </c>
      <c r="C5467" t="s">
        <v>557</v>
      </c>
      <c r="D5467" t="s">
        <v>558</v>
      </c>
      <c r="E5467" t="s">
        <v>380</v>
      </c>
      <c r="F5467" t="s">
        <v>709</v>
      </c>
      <c r="G5467">
        <v>194029400</v>
      </c>
      <c r="H5467">
        <v>195204900</v>
      </c>
    </row>
    <row r="5468" spans="2:8" x14ac:dyDescent="0.25">
      <c r="B5468" t="str">
        <f t="shared" si="85"/>
        <v>LMYPopulation ages 45-49, male</v>
      </c>
      <c r="C5468" t="s">
        <v>557</v>
      </c>
      <c r="D5468" t="s">
        <v>558</v>
      </c>
      <c r="E5468" t="s">
        <v>381</v>
      </c>
      <c r="F5468" t="s">
        <v>710</v>
      </c>
      <c r="G5468">
        <v>195199500</v>
      </c>
      <c r="H5468">
        <v>196536800</v>
      </c>
    </row>
    <row r="5469" spans="2:8" x14ac:dyDescent="0.25">
      <c r="B5469" t="str">
        <f t="shared" si="85"/>
        <v>LMYPopulation ages 50-54, female</v>
      </c>
      <c r="C5469" t="s">
        <v>557</v>
      </c>
      <c r="D5469" t="s">
        <v>558</v>
      </c>
      <c r="E5469" t="s">
        <v>382</v>
      </c>
      <c r="F5469" t="s">
        <v>711</v>
      </c>
      <c r="G5469">
        <v>176807400</v>
      </c>
      <c r="H5469">
        <v>180469200</v>
      </c>
    </row>
    <row r="5470" spans="2:8" x14ac:dyDescent="0.25">
      <c r="B5470" t="str">
        <f t="shared" si="85"/>
        <v>LMYPopulation ages 50-54, male</v>
      </c>
      <c r="C5470" t="s">
        <v>557</v>
      </c>
      <c r="D5470" t="s">
        <v>558</v>
      </c>
      <c r="E5470" t="s">
        <v>383</v>
      </c>
      <c r="F5470" t="s">
        <v>712</v>
      </c>
      <c r="G5470">
        <v>175214300</v>
      </c>
      <c r="H5470">
        <v>178917900</v>
      </c>
    </row>
    <row r="5471" spans="2:8" x14ac:dyDescent="0.25">
      <c r="B5471" t="str">
        <f t="shared" si="85"/>
        <v>LMYPopulation ages 55-59, male</v>
      </c>
      <c r="C5471" t="s">
        <v>557</v>
      </c>
      <c r="D5471" t="s">
        <v>558</v>
      </c>
      <c r="E5471" t="s">
        <v>385</v>
      </c>
      <c r="F5471" t="s">
        <v>713</v>
      </c>
      <c r="G5471">
        <v>145338900</v>
      </c>
      <c r="H5471">
        <v>150002900</v>
      </c>
    </row>
    <row r="5472" spans="2:8" x14ac:dyDescent="0.25">
      <c r="B5472" t="str">
        <f t="shared" si="85"/>
        <v>LMYPopulation ages 55-59, female</v>
      </c>
      <c r="C5472" t="s">
        <v>557</v>
      </c>
      <c r="D5472" t="s">
        <v>558</v>
      </c>
      <c r="E5472" t="s">
        <v>384</v>
      </c>
      <c r="F5472" t="s">
        <v>714</v>
      </c>
      <c r="G5472">
        <v>148749800</v>
      </c>
      <c r="H5472">
        <v>153465600</v>
      </c>
    </row>
    <row r="5473" spans="2:8" x14ac:dyDescent="0.25">
      <c r="B5473" t="str">
        <f t="shared" si="85"/>
        <v>LMYPopulation ages 65-69, male</v>
      </c>
      <c r="C5473" t="s">
        <v>557</v>
      </c>
      <c r="D5473" t="s">
        <v>558</v>
      </c>
      <c r="E5473" t="s">
        <v>389</v>
      </c>
      <c r="F5473" t="s">
        <v>715</v>
      </c>
      <c r="G5473">
        <v>92415000</v>
      </c>
      <c r="H5473">
        <v>96386200</v>
      </c>
    </row>
    <row r="5474" spans="2:8" x14ac:dyDescent="0.25">
      <c r="B5474" t="str">
        <f t="shared" si="85"/>
        <v>LMYPopulation ages 65-69, female</v>
      </c>
      <c r="C5474" t="s">
        <v>557</v>
      </c>
      <c r="D5474" t="s">
        <v>558</v>
      </c>
      <c r="E5474" t="s">
        <v>388</v>
      </c>
      <c r="F5474" t="s">
        <v>716</v>
      </c>
      <c r="G5474">
        <v>100971900</v>
      </c>
      <c r="H5474">
        <v>105195100</v>
      </c>
    </row>
    <row r="5475" spans="2:8" x14ac:dyDescent="0.25">
      <c r="B5475" t="str">
        <f t="shared" si="85"/>
        <v>LMYPopulation ages 60-64, female</v>
      </c>
      <c r="C5475" t="s">
        <v>557</v>
      </c>
      <c r="D5475" t="s">
        <v>558</v>
      </c>
      <c r="E5475" t="s">
        <v>386</v>
      </c>
      <c r="F5475" t="s">
        <v>717</v>
      </c>
      <c r="G5475">
        <v>122911700</v>
      </c>
      <c r="H5475">
        <v>125764800</v>
      </c>
    </row>
    <row r="5476" spans="2:8" x14ac:dyDescent="0.25">
      <c r="B5476" t="str">
        <f t="shared" si="85"/>
        <v>LMYPopulation ages 60-64, male</v>
      </c>
      <c r="C5476" t="s">
        <v>557</v>
      </c>
      <c r="D5476" t="s">
        <v>558</v>
      </c>
      <c r="E5476" t="s">
        <v>387</v>
      </c>
      <c r="F5476" t="s">
        <v>718</v>
      </c>
      <c r="G5476">
        <v>116636200</v>
      </c>
      <c r="H5476">
        <v>119400600</v>
      </c>
    </row>
    <row r="5477" spans="2:8" x14ac:dyDescent="0.25">
      <c r="B5477" t="str">
        <f t="shared" si="85"/>
        <v>LMYPopulation ages 70-74, female</v>
      </c>
      <c r="C5477" t="s">
        <v>557</v>
      </c>
      <c r="D5477" t="s">
        <v>558</v>
      </c>
      <c r="E5477" t="s">
        <v>390</v>
      </c>
      <c r="F5477" t="s">
        <v>719</v>
      </c>
      <c r="G5477">
        <v>66192300</v>
      </c>
      <c r="H5477">
        <v>70201800</v>
      </c>
    </row>
    <row r="5478" spans="2:8" x14ac:dyDescent="0.25">
      <c r="B5478" t="str">
        <f t="shared" si="85"/>
        <v>LMYPopulation ages 70-74, male</v>
      </c>
      <c r="C5478" t="s">
        <v>557</v>
      </c>
      <c r="D5478" t="s">
        <v>558</v>
      </c>
      <c r="E5478" t="s">
        <v>391</v>
      </c>
      <c r="F5478" t="s">
        <v>720</v>
      </c>
      <c r="G5478">
        <v>56363200</v>
      </c>
      <c r="H5478">
        <v>59846300</v>
      </c>
    </row>
    <row r="5479" spans="2:8" x14ac:dyDescent="0.25">
      <c r="B5479" t="str">
        <f t="shared" si="85"/>
        <v>LMYPopulation ages 75-79, female</v>
      </c>
      <c r="C5479" t="s">
        <v>557</v>
      </c>
      <c r="D5479" t="s">
        <v>558</v>
      </c>
      <c r="E5479" t="s">
        <v>392</v>
      </c>
      <c r="F5479" t="s">
        <v>721</v>
      </c>
      <c r="G5479">
        <v>44127600</v>
      </c>
      <c r="H5479">
        <v>45428900</v>
      </c>
    </row>
    <row r="5480" spans="2:8" x14ac:dyDescent="0.25">
      <c r="B5480" t="str">
        <f t="shared" si="85"/>
        <v>LMYPopulation ages 75-79, male</v>
      </c>
      <c r="C5480" t="s">
        <v>557</v>
      </c>
      <c r="D5480" t="s">
        <v>558</v>
      </c>
      <c r="E5480" t="s">
        <v>393</v>
      </c>
      <c r="F5480" t="s">
        <v>722</v>
      </c>
      <c r="G5480">
        <v>34836000</v>
      </c>
      <c r="H5480">
        <v>35812400</v>
      </c>
    </row>
    <row r="5481" spans="2:8" x14ac:dyDescent="0.25">
      <c r="B5481" t="str">
        <f t="shared" si="85"/>
        <v>LMYPopulation ages 80 and above, female</v>
      </c>
      <c r="C5481" t="s">
        <v>557</v>
      </c>
      <c r="D5481" t="s">
        <v>558</v>
      </c>
      <c r="E5481" t="s">
        <v>394</v>
      </c>
      <c r="F5481" t="s">
        <v>723</v>
      </c>
      <c r="G5481">
        <v>49478600</v>
      </c>
      <c r="H5481">
        <v>50439600</v>
      </c>
    </row>
    <row r="5482" spans="2:8" x14ac:dyDescent="0.25">
      <c r="B5482" t="str">
        <f t="shared" si="85"/>
        <v>LMYPopulation ages 80 and above, male</v>
      </c>
      <c r="C5482" t="s">
        <v>557</v>
      </c>
      <c r="D5482" t="s">
        <v>558</v>
      </c>
      <c r="E5482" t="s">
        <v>395</v>
      </c>
      <c r="F5482" t="s">
        <v>724</v>
      </c>
      <c r="G5482">
        <v>31907300</v>
      </c>
      <c r="H5482">
        <v>32125200</v>
      </c>
    </row>
    <row r="5483" spans="2:8" x14ac:dyDescent="0.25">
      <c r="B5483" t="str">
        <f t="shared" si="85"/>
        <v>LMYPopulation, male</v>
      </c>
      <c r="C5483" t="s">
        <v>557</v>
      </c>
      <c r="D5483" t="s">
        <v>558</v>
      </c>
      <c r="E5483" t="s">
        <v>397</v>
      </c>
      <c r="F5483" t="s">
        <v>725</v>
      </c>
      <c r="G5483">
        <v>3262859000</v>
      </c>
      <c r="H5483">
        <v>3300332000</v>
      </c>
    </row>
    <row r="5484" spans="2:8" x14ac:dyDescent="0.25">
      <c r="B5484" t="str">
        <f t="shared" si="85"/>
        <v>LMYPopulation, total</v>
      </c>
      <c r="C5484" t="s">
        <v>557</v>
      </c>
      <c r="D5484" t="s">
        <v>558</v>
      </c>
      <c r="E5484" t="s">
        <v>398</v>
      </c>
      <c r="F5484" t="s">
        <v>726</v>
      </c>
      <c r="G5484">
        <v>6459453000</v>
      </c>
      <c r="H5484">
        <v>6534303000</v>
      </c>
    </row>
    <row r="5485" spans="2:8" x14ac:dyDescent="0.25">
      <c r="B5485" t="str">
        <f t="shared" si="85"/>
        <v>LMYPopulation, female</v>
      </c>
      <c r="C5485" t="s">
        <v>557</v>
      </c>
      <c r="D5485" t="s">
        <v>558</v>
      </c>
      <c r="E5485" t="s">
        <v>396</v>
      </c>
      <c r="F5485" t="s">
        <v>727</v>
      </c>
      <c r="G5485">
        <v>3194523000</v>
      </c>
      <c r="H5485">
        <v>3231892000</v>
      </c>
    </row>
    <row r="5486" spans="2:8" x14ac:dyDescent="0.25">
      <c r="B5486" t="str">
        <f t="shared" si="85"/>
        <v>LMYPopulation growth (annual %)</v>
      </c>
      <c r="C5486" t="s">
        <v>557</v>
      </c>
      <c r="D5486" t="s">
        <v>558</v>
      </c>
      <c r="E5486" t="s">
        <v>399</v>
      </c>
      <c r="F5486" t="s">
        <v>728</v>
      </c>
      <c r="G5486">
        <v>1.1825702570165362</v>
      </c>
      <c r="H5486">
        <v>1.1587668491434187</v>
      </c>
    </row>
    <row r="5487" spans="2:8" x14ac:dyDescent="0.25">
      <c r="B5487" t="str">
        <f t="shared" si="85"/>
        <v>LICPopulation ages 0-14, female</v>
      </c>
      <c r="C5487" t="s">
        <v>559</v>
      </c>
      <c r="D5487" t="s">
        <v>560</v>
      </c>
      <c r="E5487" t="s">
        <v>687</v>
      </c>
      <c r="F5487" t="s">
        <v>688</v>
      </c>
      <c r="G5487">
        <v>148782000</v>
      </c>
      <c r="H5487">
        <v>151544000</v>
      </c>
    </row>
    <row r="5488" spans="2:8" x14ac:dyDescent="0.25">
      <c r="B5488" t="str">
        <f t="shared" si="85"/>
        <v>LICPopulation ages 0-14, male</v>
      </c>
      <c r="C5488" t="s">
        <v>559</v>
      </c>
      <c r="D5488" t="s">
        <v>560</v>
      </c>
      <c r="E5488" t="s">
        <v>689</v>
      </c>
      <c r="F5488" t="s">
        <v>690</v>
      </c>
      <c r="G5488">
        <v>152369000</v>
      </c>
      <c r="H5488">
        <v>155251000</v>
      </c>
    </row>
    <row r="5489" spans="2:8" x14ac:dyDescent="0.25">
      <c r="B5489" t="str">
        <f t="shared" si="85"/>
        <v>LICPopulation ages 00-04, female</v>
      </c>
      <c r="C5489" t="s">
        <v>559</v>
      </c>
      <c r="D5489" t="s">
        <v>560</v>
      </c>
      <c r="E5489" t="s">
        <v>362</v>
      </c>
      <c r="F5489" t="s">
        <v>691</v>
      </c>
      <c r="G5489">
        <v>55027000</v>
      </c>
      <c r="H5489">
        <v>55965000</v>
      </c>
    </row>
    <row r="5490" spans="2:8" x14ac:dyDescent="0.25">
      <c r="B5490" t="str">
        <f t="shared" si="85"/>
        <v>LICPopulation ages 00-04, male</v>
      </c>
      <c r="C5490" t="s">
        <v>559</v>
      </c>
      <c r="D5490" t="s">
        <v>560</v>
      </c>
      <c r="E5490" t="s">
        <v>363</v>
      </c>
      <c r="F5490" t="s">
        <v>692</v>
      </c>
      <c r="G5490">
        <v>56532000</v>
      </c>
      <c r="H5490">
        <v>57507000</v>
      </c>
    </row>
    <row r="5491" spans="2:8" x14ac:dyDescent="0.25">
      <c r="B5491" t="str">
        <f t="shared" si="85"/>
        <v>LICPopulation ages 05-09, female</v>
      </c>
      <c r="C5491" t="s">
        <v>559</v>
      </c>
      <c r="D5491" t="s">
        <v>560</v>
      </c>
      <c r="E5491" t="s">
        <v>364</v>
      </c>
      <c r="F5491" t="s">
        <v>693</v>
      </c>
      <c r="G5491">
        <v>49478000</v>
      </c>
      <c r="H5491">
        <v>50327000</v>
      </c>
    </row>
    <row r="5492" spans="2:8" x14ac:dyDescent="0.25">
      <c r="B5492" t="str">
        <f t="shared" si="85"/>
        <v>LICPopulation ages 05-09, male</v>
      </c>
      <c r="C5492" t="s">
        <v>559</v>
      </c>
      <c r="D5492" t="s">
        <v>560</v>
      </c>
      <c r="E5492" t="s">
        <v>365</v>
      </c>
      <c r="F5492" t="s">
        <v>694</v>
      </c>
      <c r="G5492">
        <v>50649000</v>
      </c>
      <c r="H5492">
        <v>51543000</v>
      </c>
    </row>
    <row r="5493" spans="2:8" x14ac:dyDescent="0.25">
      <c r="B5493" t="str">
        <f t="shared" si="85"/>
        <v>LICPopulation ages 10-14, female</v>
      </c>
      <c r="C5493" t="s">
        <v>559</v>
      </c>
      <c r="D5493" t="s">
        <v>560</v>
      </c>
      <c r="E5493" t="s">
        <v>366</v>
      </c>
      <c r="F5493" t="s">
        <v>695</v>
      </c>
      <c r="G5493">
        <v>44283000</v>
      </c>
      <c r="H5493">
        <v>45254000</v>
      </c>
    </row>
    <row r="5494" spans="2:8" x14ac:dyDescent="0.25">
      <c r="B5494" t="str">
        <f t="shared" si="85"/>
        <v>LICPopulation ages 10-14, male</v>
      </c>
      <c r="C5494" t="s">
        <v>559</v>
      </c>
      <c r="D5494" t="s">
        <v>560</v>
      </c>
      <c r="E5494" t="s">
        <v>367</v>
      </c>
      <c r="F5494" t="s">
        <v>696</v>
      </c>
      <c r="G5494">
        <v>45189000</v>
      </c>
      <c r="H5494">
        <v>46207000</v>
      </c>
    </row>
    <row r="5495" spans="2:8" x14ac:dyDescent="0.25">
      <c r="B5495" t="str">
        <f t="shared" si="85"/>
        <v>LICPopulation ages 15-19, female</v>
      </c>
      <c r="C5495" t="s">
        <v>559</v>
      </c>
      <c r="D5495" t="s">
        <v>560</v>
      </c>
      <c r="E5495" t="s">
        <v>368</v>
      </c>
      <c r="F5495" t="s">
        <v>697</v>
      </c>
      <c r="G5495">
        <v>38933000</v>
      </c>
      <c r="H5495">
        <v>39898000</v>
      </c>
    </row>
    <row r="5496" spans="2:8" x14ac:dyDescent="0.25">
      <c r="B5496" t="str">
        <f t="shared" si="85"/>
        <v>LICPopulation ages 15-19, male</v>
      </c>
      <c r="C5496" t="s">
        <v>559</v>
      </c>
      <c r="D5496" t="s">
        <v>560</v>
      </c>
      <c r="E5496" t="s">
        <v>369</v>
      </c>
      <c r="F5496" t="s">
        <v>698</v>
      </c>
      <c r="G5496">
        <v>39565000</v>
      </c>
      <c r="H5496">
        <v>40596000</v>
      </c>
    </row>
    <row r="5497" spans="2:8" x14ac:dyDescent="0.25">
      <c r="B5497" t="str">
        <f t="shared" si="85"/>
        <v>LICPopulation ages 20-24, female</v>
      </c>
      <c r="C5497" t="s">
        <v>559</v>
      </c>
      <c r="D5497" t="s">
        <v>560</v>
      </c>
      <c r="E5497" t="s">
        <v>370</v>
      </c>
      <c r="F5497" t="s">
        <v>699</v>
      </c>
      <c r="G5497">
        <v>33815000</v>
      </c>
      <c r="H5497">
        <v>34750000</v>
      </c>
    </row>
    <row r="5498" spans="2:8" x14ac:dyDescent="0.25">
      <c r="B5498" t="str">
        <f t="shared" si="85"/>
        <v>LICPopulation ages 20-24, male</v>
      </c>
      <c r="C5498" t="s">
        <v>559</v>
      </c>
      <c r="D5498" t="s">
        <v>560</v>
      </c>
      <c r="E5498" t="s">
        <v>371</v>
      </c>
      <c r="F5498" t="s">
        <v>700</v>
      </c>
      <c r="G5498">
        <v>33958000</v>
      </c>
      <c r="H5498">
        <v>34960000</v>
      </c>
    </row>
    <row r="5499" spans="2:8" x14ac:dyDescent="0.25">
      <c r="B5499" t="str">
        <f t="shared" si="85"/>
        <v>LICPopulation ages 25-29, female</v>
      </c>
      <c r="C5499" t="s">
        <v>559</v>
      </c>
      <c r="D5499" t="s">
        <v>560</v>
      </c>
      <c r="E5499" t="s">
        <v>372</v>
      </c>
      <c r="F5499" t="s">
        <v>701</v>
      </c>
      <c r="G5499">
        <v>28653000</v>
      </c>
      <c r="H5499">
        <v>29582000</v>
      </c>
    </row>
    <row r="5500" spans="2:8" x14ac:dyDescent="0.25">
      <c r="B5500" t="str">
        <f t="shared" si="85"/>
        <v>LICPopulation ages 25-29, male</v>
      </c>
      <c r="C5500" t="s">
        <v>559</v>
      </c>
      <c r="D5500" t="s">
        <v>560</v>
      </c>
      <c r="E5500" t="s">
        <v>373</v>
      </c>
      <c r="F5500" t="s">
        <v>702</v>
      </c>
      <c r="G5500">
        <v>28337000</v>
      </c>
      <c r="H5500">
        <v>29320000</v>
      </c>
    </row>
    <row r="5501" spans="2:8" x14ac:dyDescent="0.25">
      <c r="B5501" t="str">
        <f t="shared" si="85"/>
        <v>LICPopulation ages 30-34, female</v>
      </c>
      <c r="C5501" t="s">
        <v>559</v>
      </c>
      <c r="D5501" t="s">
        <v>560</v>
      </c>
      <c r="E5501" t="s">
        <v>374</v>
      </c>
      <c r="F5501" t="s">
        <v>703</v>
      </c>
      <c r="G5501">
        <v>23922000</v>
      </c>
      <c r="H5501">
        <v>24698000</v>
      </c>
    </row>
    <row r="5502" spans="2:8" x14ac:dyDescent="0.25">
      <c r="B5502" t="str">
        <f t="shared" si="85"/>
        <v>LICPopulation ages 30-34, male</v>
      </c>
      <c r="C5502" t="s">
        <v>559</v>
      </c>
      <c r="D5502" t="s">
        <v>560</v>
      </c>
      <c r="E5502" t="s">
        <v>375</v>
      </c>
      <c r="F5502" t="s">
        <v>704</v>
      </c>
      <c r="G5502">
        <v>23214000</v>
      </c>
      <c r="H5502">
        <v>24061000</v>
      </c>
    </row>
    <row r="5503" spans="2:8" x14ac:dyDescent="0.25">
      <c r="B5503" t="str">
        <f t="shared" si="85"/>
        <v>LICPopulation ages 35-39, female</v>
      </c>
      <c r="C5503" t="s">
        <v>559</v>
      </c>
      <c r="D5503" t="s">
        <v>560</v>
      </c>
      <c r="E5503" t="s">
        <v>376</v>
      </c>
      <c r="F5503" t="s">
        <v>705</v>
      </c>
      <c r="G5503">
        <v>19976000</v>
      </c>
      <c r="H5503">
        <v>20699000</v>
      </c>
    </row>
    <row r="5504" spans="2:8" x14ac:dyDescent="0.25">
      <c r="B5504" t="str">
        <f t="shared" si="85"/>
        <v>LICPopulation ages 35-39, male</v>
      </c>
      <c r="C5504" t="s">
        <v>559</v>
      </c>
      <c r="D5504" t="s">
        <v>560</v>
      </c>
      <c r="E5504" t="s">
        <v>377</v>
      </c>
      <c r="F5504" t="s">
        <v>706</v>
      </c>
      <c r="G5504">
        <v>18991000</v>
      </c>
      <c r="H5504">
        <v>19702000</v>
      </c>
    </row>
    <row r="5505" spans="2:8" x14ac:dyDescent="0.25">
      <c r="B5505" t="str">
        <f t="shared" si="85"/>
        <v>LICPopulation ages 40-44, female</v>
      </c>
      <c r="C5505" t="s">
        <v>559</v>
      </c>
      <c r="D5505" t="s">
        <v>560</v>
      </c>
      <c r="E5505" t="s">
        <v>378</v>
      </c>
      <c r="F5505" t="s">
        <v>707</v>
      </c>
      <c r="G5505">
        <v>16144000</v>
      </c>
      <c r="H5505">
        <v>16720000</v>
      </c>
    </row>
    <row r="5506" spans="2:8" x14ac:dyDescent="0.25">
      <c r="B5506" t="str">
        <f t="shared" si="85"/>
        <v>LICPopulation ages 40-44, male</v>
      </c>
      <c r="C5506" t="s">
        <v>559</v>
      </c>
      <c r="D5506" t="s">
        <v>560</v>
      </c>
      <c r="E5506" t="s">
        <v>379</v>
      </c>
      <c r="F5506" t="s">
        <v>708</v>
      </c>
      <c r="G5506">
        <v>15419000</v>
      </c>
      <c r="H5506">
        <v>15928000</v>
      </c>
    </row>
    <row r="5507" spans="2:8" x14ac:dyDescent="0.25">
      <c r="B5507" t="str">
        <f t="shared" si="85"/>
        <v>LICPopulation ages 45-49, female</v>
      </c>
      <c r="C5507" t="s">
        <v>559</v>
      </c>
      <c r="D5507" t="s">
        <v>560</v>
      </c>
      <c r="E5507" t="s">
        <v>380</v>
      </c>
      <c r="F5507" t="s">
        <v>709</v>
      </c>
      <c r="G5507">
        <v>13493000</v>
      </c>
      <c r="H5507">
        <v>13918000</v>
      </c>
    </row>
    <row r="5508" spans="2:8" x14ac:dyDescent="0.25">
      <c r="B5508" t="str">
        <f t="shared" si="85"/>
        <v>LICPopulation ages 45-49, male</v>
      </c>
      <c r="C5508" t="s">
        <v>559</v>
      </c>
      <c r="D5508" t="s">
        <v>560</v>
      </c>
      <c r="E5508" t="s">
        <v>381</v>
      </c>
      <c r="F5508" t="s">
        <v>710</v>
      </c>
      <c r="G5508">
        <v>12871000</v>
      </c>
      <c r="H5508">
        <v>13295000</v>
      </c>
    </row>
    <row r="5509" spans="2:8" x14ac:dyDescent="0.25">
      <c r="B5509" t="str">
        <f t="shared" si="85"/>
        <v>LICPopulation ages 50-54, female</v>
      </c>
      <c r="C5509" t="s">
        <v>559</v>
      </c>
      <c r="D5509" t="s">
        <v>560</v>
      </c>
      <c r="E5509" t="s">
        <v>382</v>
      </c>
      <c r="F5509" t="s">
        <v>711</v>
      </c>
      <c r="G5509">
        <v>11106000</v>
      </c>
      <c r="H5509">
        <v>11500000</v>
      </c>
    </row>
    <row r="5510" spans="2:8" x14ac:dyDescent="0.25">
      <c r="B5510" t="str">
        <f t="shared" si="85"/>
        <v>LICPopulation ages 50-54, male</v>
      </c>
      <c r="C5510" t="s">
        <v>559</v>
      </c>
      <c r="D5510" t="s">
        <v>560</v>
      </c>
      <c r="E5510" t="s">
        <v>383</v>
      </c>
      <c r="F5510" t="s">
        <v>712</v>
      </c>
      <c r="G5510">
        <v>10288000</v>
      </c>
      <c r="H5510">
        <v>10696000</v>
      </c>
    </row>
    <row r="5511" spans="2:8" x14ac:dyDescent="0.25">
      <c r="B5511" t="str">
        <f t="shared" ref="B5511:B5574" si="86">CONCATENATE(D5511,E5511)</f>
        <v>LICPopulation ages 55-59, male</v>
      </c>
      <c r="C5511" t="s">
        <v>559</v>
      </c>
      <c r="D5511" t="s">
        <v>560</v>
      </c>
      <c r="E5511" t="s">
        <v>385</v>
      </c>
      <c r="F5511" t="s">
        <v>713</v>
      </c>
      <c r="G5511">
        <v>8038000</v>
      </c>
      <c r="H5511">
        <v>8317000</v>
      </c>
    </row>
    <row r="5512" spans="2:8" x14ac:dyDescent="0.25">
      <c r="B5512" t="str">
        <f t="shared" si="86"/>
        <v>LICPopulation ages 55-59, female</v>
      </c>
      <c r="C5512" t="s">
        <v>559</v>
      </c>
      <c r="D5512" t="s">
        <v>560</v>
      </c>
      <c r="E5512" t="s">
        <v>384</v>
      </c>
      <c r="F5512" t="s">
        <v>714</v>
      </c>
      <c r="G5512">
        <v>8886000</v>
      </c>
      <c r="H5512">
        <v>9177000</v>
      </c>
    </row>
    <row r="5513" spans="2:8" x14ac:dyDescent="0.25">
      <c r="B5513" t="str">
        <f t="shared" si="86"/>
        <v>LICPopulation ages 65-69, male</v>
      </c>
      <c r="C5513" t="s">
        <v>559</v>
      </c>
      <c r="D5513" t="s">
        <v>560</v>
      </c>
      <c r="E5513" t="s">
        <v>389</v>
      </c>
      <c r="F5513" t="s">
        <v>715</v>
      </c>
      <c r="G5513">
        <v>4366000</v>
      </c>
      <c r="H5513">
        <v>4550000</v>
      </c>
    </row>
    <row r="5514" spans="2:8" x14ac:dyDescent="0.25">
      <c r="B5514" t="str">
        <f t="shared" si="86"/>
        <v>LICPopulation ages 65-69, female</v>
      </c>
      <c r="C5514" t="s">
        <v>559</v>
      </c>
      <c r="D5514" t="s">
        <v>560</v>
      </c>
      <c r="E5514" t="s">
        <v>388</v>
      </c>
      <c r="F5514" t="s">
        <v>716</v>
      </c>
      <c r="G5514">
        <v>5195000</v>
      </c>
      <c r="H5514">
        <v>5387000</v>
      </c>
    </row>
    <row r="5515" spans="2:8" x14ac:dyDescent="0.25">
      <c r="B5515" t="str">
        <f t="shared" si="86"/>
        <v>LICPopulation ages 60-64, female</v>
      </c>
      <c r="C5515" t="s">
        <v>559</v>
      </c>
      <c r="D5515" t="s">
        <v>560</v>
      </c>
      <c r="E5515" t="s">
        <v>386</v>
      </c>
      <c r="F5515" t="s">
        <v>717</v>
      </c>
      <c r="G5515">
        <v>7132000</v>
      </c>
      <c r="H5515">
        <v>7420000</v>
      </c>
    </row>
    <row r="5516" spans="2:8" x14ac:dyDescent="0.25">
      <c r="B5516" t="str">
        <f t="shared" si="86"/>
        <v>LICPopulation ages 60-64, male</v>
      </c>
      <c r="C5516" t="s">
        <v>559</v>
      </c>
      <c r="D5516" t="s">
        <v>560</v>
      </c>
      <c r="E5516" t="s">
        <v>387</v>
      </c>
      <c r="F5516" t="s">
        <v>718</v>
      </c>
      <c r="G5516">
        <v>6261000</v>
      </c>
      <c r="H5516">
        <v>6512000</v>
      </c>
    </row>
    <row r="5517" spans="2:8" x14ac:dyDescent="0.25">
      <c r="B5517" t="str">
        <f t="shared" si="86"/>
        <v>LICPopulation ages 70-74, female</v>
      </c>
      <c r="C5517" t="s">
        <v>559</v>
      </c>
      <c r="D5517" t="s">
        <v>560</v>
      </c>
      <c r="E5517" t="s">
        <v>390</v>
      </c>
      <c r="F5517" t="s">
        <v>719</v>
      </c>
      <c r="G5517">
        <v>3909700</v>
      </c>
      <c r="H5517">
        <v>4021400</v>
      </c>
    </row>
    <row r="5518" spans="2:8" x14ac:dyDescent="0.25">
      <c r="B5518" t="str">
        <f t="shared" si="86"/>
        <v>LICPopulation ages 70-74, male</v>
      </c>
      <c r="C5518" t="s">
        <v>559</v>
      </c>
      <c r="D5518" t="s">
        <v>560</v>
      </c>
      <c r="E5518" t="s">
        <v>391</v>
      </c>
      <c r="F5518" t="s">
        <v>720</v>
      </c>
      <c r="G5518">
        <v>3008900</v>
      </c>
      <c r="H5518">
        <v>3096300</v>
      </c>
    </row>
    <row r="5519" spans="2:8" x14ac:dyDescent="0.25">
      <c r="B5519" t="str">
        <f t="shared" si="86"/>
        <v>LICPopulation ages 75-79, female</v>
      </c>
      <c r="C5519" t="s">
        <v>559</v>
      </c>
      <c r="D5519" t="s">
        <v>560</v>
      </c>
      <c r="E5519" t="s">
        <v>392</v>
      </c>
      <c r="F5519" t="s">
        <v>721</v>
      </c>
      <c r="G5519">
        <v>2505100</v>
      </c>
      <c r="H5519">
        <v>2601400</v>
      </c>
    </row>
    <row r="5520" spans="2:8" x14ac:dyDescent="0.25">
      <c r="B5520" t="str">
        <f t="shared" si="86"/>
        <v>LICPopulation ages 75-79, male</v>
      </c>
      <c r="C5520" t="s">
        <v>559</v>
      </c>
      <c r="D5520" t="s">
        <v>560</v>
      </c>
      <c r="E5520" t="s">
        <v>393</v>
      </c>
      <c r="F5520" t="s">
        <v>722</v>
      </c>
      <c r="G5520">
        <v>1801400</v>
      </c>
      <c r="H5520">
        <v>1857500</v>
      </c>
    </row>
    <row r="5521" spans="2:8" x14ac:dyDescent="0.25">
      <c r="B5521" t="str">
        <f t="shared" si="86"/>
        <v>LICPopulation ages 80 and above, female</v>
      </c>
      <c r="C5521" t="s">
        <v>559</v>
      </c>
      <c r="D5521" t="s">
        <v>560</v>
      </c>
      <c r="E5521" t="s">
        <v>394</v>
      </c>
      <c r="F5521" t="s">
        <v>723</v>
      </c>
      <c r="G5521">
        <v>1931500</v>
      </c>
      <c r="H5521">
        <v>1965500</v>
      </c>
    </row>
    <row r="5522" spans="2:8" x14ac:dyDescent="0.25">
      <c r="B5522" t="str">
        <f t="shared" si="86"/>
        <v>LICPopulation ages 80 and above, male</v>
      </c>
      <c r="C5522" t="s">
        <v>559</v>
      </c>
      <c r="D5522" t="s">
        <v>560</v>
      </c>
      <c r="E5522" t="s">
        <v>395</v>
      </c>
      <c r="F5522" t="s">
        <v>724</v>
      </c>
      <c r="G5522">
        <v>1203600</v>
      </c>
      <c r="H5522">
        <v>1207000</v>
      </c>
    </row>
    <row r="5523" spans="2:8" x14ac:dyDescent="0.25">
      <c r="B5523" t="str">
        <f t="shared" si="86"/>
        <v>LICPopulation, male</v>
      </c>
      <c r="C5523" t="s">
        <v>559</v>
      </c>
      <c r="D5523" t="s">
        <v>560</v>
      </c>
      <c r="E5523" t="s">
        <v>397</v>
      </c>
      <c r="F5523" t="s">
        <v>725</v>
      </c>
      <c r="G5523">
        <v>359688000</v>
      </c>
      <c r="H5523">
        <v>369349000</v>
      </c>
    </row>
    <row r="5524" spans="2:8" x14ac:dyDescent="0.25">
      <c r="B5524" t="str">
        <f t="shared" si="86"/>
        <v>LICPopulation, total</v>
      </c>
      <c r="C5524" t="s">
        <v>559</v>
      </c>
      <c r="D5524" t="s">
        <v>560</v>
      </c>
      <c r="E5524" t="s">
        <v>398</v>
      </c>
      <c r="F5524" t="s">
        <v>726</v>
      </c>
      <c r="G5524">
        <v>724057000</v>
      </c>
      <c r="H5524">
        <v>743236000</v>
      </c>
    </row>
    <row r="5525" spans="2:8" x14ac:dyDescent="0.25">
      <c r="B5525" t="str">
        <f t="shared" si="86"/>
        <v>LICPopulation, female</v>
      </c>
      <c r="C5525" t="s">
        <v>559</v>
      </c>
      <c r="D5525" t="s">
        <v>560</v>
      </c>
      <c r="E5525" t="s">
        <v>396</v>
      </c>
      <c r="F5525" t="s">
        <v>727</v>
      </c>
      <c r="G5525">
        <v>364369000</v>
      </c>
      <c r="H5525">
        <v>373884000</v>
      </c>
    </row>
    <row r="5526" spans="2:8" x14ac:dyDescent="0.25">
      <c r="B5526" t="str">
        <f t="shared" si="86"/>
        <v>LICPopulation growth (annual %)</v>
      </c>
      <c r="C5526" t="s">
        <v>559</v>
      </c>
      <c r="D5526" t="s">
        <v>560</v>
      </c>
      <c r="E5526" t="s">
        <v>399</v>
      </c>
      <c r="F5526" t="s">
        <v>728</v>
      </c>
      <c r="G5526">
        <v>2.6423619671794256</v>
      </c>
      <c r="H5526">
        <v>2.6488246091122676</v>
      </c>
    </row>
    <row r="5527" spans="2:8" x14ac:dyDescent="0.25">
      <c r="B5527" t="str">
        <f t="shared" si="86"/>
        <v>LMCPopulation ages 0-14, female</v>
      </c>
      <c r="C5527" t="s">
        <v>561</v>
      </c>
      <c r="D5527" t="s">
        <v>562</v>
      </c>
      <c r="E5527" t="s">
        <v>687</v>
      </c>
      <c r="F5527" t="s">
        <v>688</v>
      </c>
      <c r="G5527">
        <v>442175000</v>
      </c>
      <c r="H5527">
        <v>443671000</v>
      </c>
    </row>
    <row r="5528" spans="2:8" x14ac:dyDescent="0.25">
      <c r="B5528" t="str">
        <f t="shared" si="86"/>
        <v>LMCPopulation ages 0-14, male</v>
      </c>
      <c r="C5528" t="s">
        <v>561</v>
      </c>
      <c r="D5528" t="s">
        <v>562</v>
      </c>
      <c r="E5528" t="s">
        <v>689</v>
      </c>
      <c r="F5528" t="s">
        <v>690</v>
      </c>
      <c r="G5528">
        <v>473451000</v>
      </c>
      <c r="H5528">
        <v>474763000</v>
      </c>
    </row>
    <row r="5529" spans="2:8" x14ac:dyDescent="0.25">
      <c r="B5529" t="str">
        <f t="shared" si="86"/>
        <v>LMCPopulation ages 00-04, female</v>
      </c>
      <c r="C5529" t="s">
        <v>561</v>
      </c>
      <c r="D5529" t="s">
        <v>562</v>
      </c>
      <c r="E5529" t="s">
        <v>362</v>
      </c>
      <c r="F5529" t="s">
        <v>691</v>
      </c>
      <c r="G5529">
        <v>151173100</v>
      </c>
      <c r="H5529">
        <v>151489400</v>
      </c>
    </row>
    <row r="5530" spans="2:8" x14ac:dyDescent="0.25">
      <c r="B5530" t="str">
        <f t="shared" si="86"/>
        <v>LMCPopulation ages 00-04, male</v>
      </c>
      <c r="C5530" t="s">
        <v>561</v>
      </c>
      <c r="D5530" t="s">
        <v>562</v>
      </c>
      <c r="E5530" t="s">
        <v>363</v>
      </c>
      <c r="F5530" t="s">
        <v>692</v>
      </c>
      <c r="G5530">
        <v>161579000</v>
      </c>
      <c r="H5530">
        <v>161883100</v>
      </c>
    </row>
    <row r="5531" spans="2:8" x14ac:dyDescent="0.25">
      <c r="B5531" t="str">
        <f t="shared" si="86"/>
        <v>LMCPopulation ages 05-09, female</v>
      </c>
      <c r="C5531" t="s">
        <v>561</v>
      </c>
      <c r="D5531" t="s">
        <v>562</v>
      </c>
      <c r="E5531" t="s">
        <v>364</v>
      </c>
      <c r="F5531" t="s">
        <v>693</v>
      </c>
      <c r="G5531">
        <v>147710700</v>
      </c>
      <c r="H5531">
        <v>147993500</v>
      </c>
    </row>
    <row r="5532" spans="2:8" x14ac:dyDescent="0.25">
      <c r="B5532" t="str">
        <f t="shared" si="86"/>
        <v>LMCPopulation ages 05-09, male</v>
      </c>
      <c r="C5532" t="s">
        <v>561</v>
      </c>
      <c r="D5532" t="s">
        <v>562</v>
      </c>
      <c r="E5532" t="s">
        <v>365</v>
      </c>
      <c r="F5532" t="s">
        <v>694</v>
      </c>
      <c r="G5532">
        <v>157956500</v>
      </c>
      <c r="H5532">
        <v>158212600</v>
      </c>
    </row>
    <row r="5533" spans="2:8" x14ac:dyDescent="0.25">
      <c r="B5533" t="str">
        <f t="shared" si="86"/>
        <v>LMCPopulation ages 10-14, female</v>
      </c>
      <c r="C5533" t="s">
        <v>561</v>
      </c>
      <c r="D5533" t="s">
        <v>562</v>
      </c>
      <c r="E5533" t="s">
        <v>366</v>
      </c>
      <c r="F5533" t="s">
        <v>695</v>
      </c>
      <c r="G5533">
        <v>143290100</v>
      </c>
      <c r="H5533">
        <v>144192400</v>
      </c>
    </row>
    <row r="5534" spans="2:8" x14ac:dyDescent="0.25">
      <c r="B5534" t="str">
        <f t="shared" si="86"/>
        <v>LMCPopulation ages 10-14, male</v>
      </c>
      <c r="C5534" t="s">
        <v>561</v>
      </c>
      <c r="D5534" t="s">
        <v>562</v>
      </c>
      <c r="E5534" t="s">
        <v>367</v>
      </c>
      <c r="F5534" t="s">
        <v>696</v>
      </c>
      <c r="G5534">
        <v>153916500</v>
      </c>
      <c r="H5534">
        <v>154662800</v>
      </c>
    </row>
    <row r="5535" spans="2:8" x14ac:dyDescent="0.25">
      <c r="B5535" t="str">
        <f t="shared" si="86"/>
        <v>LMCPopulation ages 15-19, female</v>
      </c>
      <c r="C5535" t="s">
        <v>561</v>
      </c>
      <c r="D5535" t="s">
        <v>562</v>
      </c>
      <c r="E5535" t="s">
        <v>368</v>
      </c>
      <c r="F5535" t="s">
        <v>697</v>
      </c>
      <c r="G5535">
        <v>136654600</v>
      </c>
      <c r="H5535">
        <v>137713600</v>
      </c>
    </row>
    <row r="5536" spans="2:8" x14ac:dyDescent="0.25">
      <c r="B5536" t="str">
        <f t="shared" si="86"/>
        <v>LMCPopulation ages 15-19, male</v>
      </c>
      <c r="C5536" t="s">
        <v>561</v>
      </c>
      <c r="D5536" t="s">
        <v>562</v>
      </c>
      <c r="E5536" t="s">
        <v>369</v>
      </c>
      <c r="F5536" t="s">
        <v>698</v>
      </c>
      <c r="G5536">
        <v>147665200</v>
      </c>
      <c r="H5536">
        <v>148767100</v>
      </c>
    </row>
    <row r="5537" spans="2:8" x14ac:dyDescent="0.25">
      <c r="B5537" t="str">
        <f t="shared" si="86"/>
        <v>LMCPopulation ages 20-24, female</v>
      </c>
      <c r="C5537" t="s">
        <v>561</v>
      </c>
      <c r="D5537" t="s">
        <v>562</v>
      </c>
      <c r="E5537" t="s">
        <v>370</v>
      </c>
      <c r="F5537" t="s">
        <v>699</v>
      </c>
      <c r="G5537">
        <v>130196100</v>
      </c>
      <c r="H5537">
        <v>131106200</v>
      </c>
    </row>
    <row r="5538" spans="2:8" x14ac:dyDescent="0.25">
      <c r="B5538" t="str">
        <f t="shared" si="86"/>
        <v>LMCPopulation ages 20-24, male</v>
      </c>
      <c r="C5538" t="s">
        <v>561</v>
      </c>
      <c r="D5538" t="s">
        <v>562</v>
      </c>
      <c r="E5538" t="s">
        <v>371</v>
      </c>
      <c r="F5538" t="s">
        <v>700</v>
      </c>
      <c r="G5538">
        <v>140028700</v>
      </c>
      <c r="H5538">
        <v>141174000</v>
      </c>
    </row>
    <row r="5539" spans="2:8" x14ac:dyDescent="0.25">
      <c r="B5539" t="str">
        <f t="shared" si="86"/>
        <v>LMCPopulation ages 25-29, female</v>
      </c>
      <c r="C5539" t="s">
        <v>561</v>
      </c>
      <c r="D5539" t="s">
        <v>562</v>
      </c>
      <c r="E5539" t="s">
        <v>372</v>
      </c>
      <c r="F5539" t="s">
        <v>701</v>
      </c>
      <c r="G5539">
        <v>123745200</v>
      </c>
      <c r="H5539">
        <v>124681300</v>
      </c>
    </row>
    <row r="5540" spans="2:8" x14ac:dyDescent="0.25">
      <c r="B5540" t="str">
        <f t="shared" si="86"/>
        <v>LMCPopulation ages 25-29, male</v>
      </c>
      <c r="C5540" t="s">
        <v>561</v>
      </c>
      <c r="D5540" t="s">
        <v>562</v>
      </c>
      <c r="E5540" t="s">
        <v>373</v>
      </c>
      <c r="F5540" t="s">
        <v>702</v>
      </c>
      <c r="G5540">
        <v>131600800</v>
      </c>
      <c r="H5540">
        <v>132893000</v>
      </c>
    </row>
    <row r="5541" spans="2:8" x14ac:dyDescent="0.25">
      <c r="B5541" t="str">
        <f t="shared" si="86"/>
        <v>LMCPopulation ages 30-34, female</v>
      </c>
      <c r="C5541" t="s">
        <v>561</v>
      </c>
      <c r="D5541" t="s">
        <v>562</v>
      </c>
      <c r="E5541" t="s">
        <v>374</v>
      </c>
      <c r="F5541" t="s">
        <v>703</v>
      </c>
      <c r="G5541">
        <v>116532500</v>
      </c>
      <c r="H5541">
        <v>117759600</v>
      </c>
    </row>
    <row r="5542" spans="2:8" x14ac:dyDescent="0.25">
      <c r="B5542" t="str">
        <f t="shared" si="86"/>
        <v>LMCPopulation ages 30-34, male</v>
      </c>
      <c r="C5542" t="s">
        <v>561</v>
      </c>
      <c r="D5542" t="s">
        <v>562</v>
      </c>
      <c r="E5542" t="s">
        <v>375</v>
      </c>
      <c r="F5542" t="s">
        <v>704</v>
      </c>
      <c r="G5542">
        <v>122079600</v>
      </c>
      <c r="H5542">
        <v>123533900</v>
      </c>
    </row>
    <row r="5543" spans="2:8" x14ac:dyDescent="0.25">
      <c r="B5543" t="str">
        <f t="shared" si="86"/>
        <v>LMCPopulation ages 35-39, female</v>
      </c>
      <c r="C5543" t="s">
        <v>561</v>
      </c>
      <c r="D5543" t="s">
        <v>562</v>
      </c>
      <c r="E5543" t="s">
        <v>376</v>
      </c>
      <c r="F5543" t="s">
        <v>705</v>
      </c>
      <c r="G5543">
        <v>106440100</v>
      </c>
      <c r="H5543">
        <v>108594700</v>
      </c>
    </row>
    <row r="5544" spans="2:8" x14ac:dyDescent="0.25">
      <c r="B5544" t="str">
        <f t="shared" si="86"/>
        <v>LMCPopulation ages 35-39, male</v>
      </c>
      <c r="C5544" t="s">
        <v>561</v>
      </c>
      <c r="D5544" t="s">
        <v>562</v>
      </c>
      <c r="E5544" t="s">
        <v>377</v>
      </c>
      <c r="F5544" t="s">
        <v>706</v>
      </c>
      <c r="G5544">
        <v>110671800</v>
      </c>
      <c r="H5544">
        <v>113005200</v>
      </c>
    </row>
    <row r="5545" spans="2:8" x14ac:dyDescent="0.25">
      <c r="B5545" t="str">
        <f t="shared" si="86"/>
        <v>LMCPopulation ages 40-44, female</v>
      </c>
      <c r="C5545" t="s">
        <v>561</v>
      </c>
      <c r="D5545" t="s">
        <v>562</v>
      </c>
      <c r="E5545" t="s">
        <v>378</v>
      </c>
      <c r="F5545" t="s">
        <v>707</v>
      </c>
      <c r="G5545">
        <v>92616100</v>
      </c>
      <c r="H5545">
        <v>94852700</v>
      </c>
    </row>
    <row r="5546" spans="2:8" x14ac:dyDescent="0.25">
      <c r="B5546" t="str">
        <f t="shared" si="86"/>
        <v>LMCPopulation ages 40-44, male</v>
      </c>
      <c r="C5546" t="s">
        <v>561</v>
      </c>
      <c r="D5546" t="s">
        <v>562</v>
      </c>
      <c r="E5546" t="s">
        <v>379</v>
      </c>
      <c r="F5546" t="s">
        <v>708</v>
      </c>
      <c r="G5546">
        <v>95182000</v>
      </c>
      <c r="H5546">
        <v>97564700</v>
      </c>
    </row>
    <row r="5547" spans="2:8" x14ac:dyDescent="0.25">
      <c r="B5547" t="str">
        <f t="shared" si="86"/>
        <v>LMCPopulation ages 45-49, female</v>
      </c>
      <c r="C5547" t="s">
        <v>561</v>
      </c>
      <c r="D5547" t="s">
        <v>562</v>
      </c>
      <c r="E5547" t="s">
        <v>380</v>
      </c>
      <c r="F5547" t="s">
        <v>709</v>
      </c>
      <c r="G5547">
        <v>81177400</v>
      </c>
      <c r="H5547">
        <v>83069800</v>
      </c>
    </row>
    <row r="5548" spans="2:8" x14ac:dyDescent="0.25">
      <c r="B5548" t="str">
        <f t="shared" si="86"/>
        <v>LMCPopulation ages 45-49, male</v>
      </c>
      <c r="C5548" t="s">
        <v>561</v>
      </c>
      <c r="D5548" t="s">
        <v>562</v>
      </c>
      <c r="E5548" t="s">
        <v>381</v>
      </c>
      <c r="F5548" t="s">
        <v>710</v>
      </c>
      <c r="G5548">
        <v>82712200</v>
      </c>
      <c r="H5548">
        <v>84603400</v>
      </c>
    </row>
    <row r="5549" spans="2:8" x14ac:dyDescent="0.25">
      <c r="B5549" t="str">
        <f t="shared" si="86"/>
        <v>LMCPopulation ages 50-54, female</v>
      </c>
      <c r="C5549" t="s">
        <v>561</v>
      </c>
      <c r="D5549" t="s">
        <v>562</v>
      </c>
      <c r="E5549" t="s">
        <v>382</v>
      </c>
      <c r="F5549" t="s">
        <v>711</v>
      </c>
      <c r="G5549">
        <v>70380600</v>
      </c>
      <c r="H5549">
        <v>71975800</v>
      </c>
    </row>
    <row r="5550" spans="2:8" x14ac:dyDescent="0.25">
      <c r="B5550" t="str">
        <f t="shared" si="86"/>
        <v>LMCPopulation ages 50-54, male</v>
      </c>
      <c r="C5550" t="s">
        <v>561</v>
      </c>
      <c r="D5550" t="s">
        <v>562</v>
      </c>
      <c r="E5550" t="s">
        <v>383</v>
      </c>
      <c r="F5550" t="s">
        <v>712</v>
      </c>
      <c r="G5550">
        <v>71138300</v>
      </c>
      <c r="H5550">
        <v>72701600</v>
      </c>
    </row>
    <row r="5551" spans="2:8" x14ac:dyDescent="0.25">
      <c r="B5551" t="str">
        <f t="shared" si="86"/>
        <v>LMCPopulation ages 55-59, male</v>
      </c>
      <c r="C5551" t="s">
        <v>561</v>
      </c>
      <c r="D5551" t="s">
        <v>562</v>
      </c>
      <c r="E5551" t="s">
        <v>385</v>
      </c>
      <c r="F5551" t="s">
        <v>713</v>
      </c>
      <c r="G5551">
        <v>59995600</v>
      </c>
      <c r="H5551">
        <v>61556600</v>
      </c>
    </row>
    <row r="5552" spans="2:8" x14ac:dyDescent="0.25">
      <c r="B5552" t="str">
        <f t="shared" si="86"/>
        <v>LMCPopulation ages 55-59, female</v>
      </c>
      <c r="C5552" t="s">
        <v>561</v>
      </c>
      <c r="D5552" t="s">
        <v>562</v>
      </c>
      <c r="E5552" t="s">
        <v>384</v>
      </c>
      <c r="F5552" t="s">
        <v>714</v>
      </c>
      <c r="G5552">
        <v>60220200</v>
      </c>
      <c r="H5552">
        <v>61829900</v>
      </c>
    </row>
    <row r="5553" spans="2:8" x14ac:dyDescent="0.25">
      <c r="B5553" t="str">
        <f t="shared" si="86"/>
        <v>LMCPopulation ages 65-69, male</v>
      </c>
      <c r="C5553" t="s">
        <v>561</v>
      </c>
      <c r="D5553" t="s">
        <v>562</v>
      </c>
      <c r="E5553" t="s">
        <v>389</v>
      </c>
      <c r="F5553" t="s">
        <v>715</v>
      </c>
      <c r="G5553">
        <v>34368300</v>
      </c>
      <c r="H5553">
        <v>36050300</v>
      </c>
    </row>
    <row r="5554" spans="2:8" x14ac:dyDescent="0.25">
      <c r="B5554" t="str">
        <f t="shared" si="86"/>
        <v>LMCPopulation ages 65-69, female</v>
      </c>
      <c r="C5554" t="s">
        <v>561</v>
      </c>
      <c r="D5554" t="s">
        <v>562</v>
      </c>
      <c r="E5554" t="s">
        <v>388</v>
      </c>
      <c r="F5554" t="s">
        <v>716</v>
      </c>
      <c r="G5554">
        <v>36340900</v>
      </c>
      <c r="H5554">
        <v>38032900</v>
      </c>
    </row>
    <row r="5555" spans="2:8" x14ac:dyDescent="0.25">
      <c r="B5555" t="str">
        <f t="shared" si="86"/>
        <v>LMCPopulation ages 60-64, female</v>
      </c>
      <c r="C5555" t="s">
        <v>561</v>
      </c>
      <c r="D5555" t="s">
        <v>562</v>
      </c>
      <c r="E5555" t="s">
        <v>386</v>
      </c>
      <c r="F5555" t="s">
        <v>717</v>
      </c>
      <c r="G5555">
        <v>48560800</v>
      </c>
      <c r="H5555">
        <v>50239500</v>
      </c>
    </row>
    <row r="5556" spans="2:8" x14ac:dyDescent="0.25">
      <c r="B5556" t="str">
        <f t="shared" si="86"/>
        <v>LMCPopulation ages 60-64, male</v>
      </c>
      <c r="C5556" t="s">
        <v>561</v>
      </c>
      <c r="D5556" t="s">
        <v>562</v>
      </c>
      <c r="E5556" t="s">
        <v>387</v>
      </c>
      <c r="F5556" t="s">
        <v>718</v>
      </c>
      <c r="G5556">
        <v>47355300</v>
      </c>
      <c r="H5556">
        <v>48907800</v>
      </c>
    </row>
    <row r="5557" spans="2:8" x14ac:dyDescent="0.25">
      <c r="B5557" t="str">
        <f t="shared" si="86"/>
        <v>LMCPopulation ages 70-74, female</v>
      </c>
      <c r="C5557" t="s">
        <v>561</v>
      </c>
      <c r="D5557" t="s">
        <v>562</v>
      </c>
      <c r="E5557" t="s">
        <v>390</v>
      </c>
      <c r="F5557" t="s">
        <v>719</v>
      </c>
      <c r="G5557">
        <v>24417600</v>
      </c>
      <c r="H5557">
        <v>25549600</v>
      </c>
    </row>
    <row r="5558" spans="2:8" x14ac:dyDescent="0.25">
      <c r="B5558" t="str">
        <f t="shared" si="86"/>
        <v>LMCPopulation ages 70-74, male</v>
      </c>
      <c r="C5558" t="s">
        <v>561</v>
      </c>
      <c r="D5558" t="s">
        <v>562</v>
      </c>
      <c r="E5558" t="s">
        <v>391</v>
      </c>
      <c r="F5558" t="s">
        <v>720</v>
      </c>
      <c r="G5558">
        <v>21346400</v>
      </c>
      <c r="H5558">
        <v>22434500</v>
      </c>
    </row>
    <row r="5559" spans="2:8" x14ac:dyDescent="0.25">
      <c r="B5559" t="str">
        <f t="shared" si="86"/>
        <v>LMCPopulation ages 75-79, female</v>
      </c>
      <c r="C5559" t="s">
        <v>561</v>
      </c>
      <c r="D5559" t="s">
        <v>562</v>
      </c>
      <c r="E5559" t="s">
        <v>392</v>
      </c>
      <c r="F5559" t="s">
        <v>721</v>
      </c>
      <c r="G5559">
        <v>16313400</v>
      </c>
      <c r="H5559">
        <v>16721100</v>
      </c>
    </row>
    <row r="5560" spans="2:8" x14ac:dyDescent="0.25">
      <c r="B5560" t="str">
        <f t="shared" si="86"/>
        <v>LMCPopulation ages 75-79, male</v>
      </c>
      <c r="C5560" t="s">
        <v>561</v>
      </c>
      <c r="D5560" t="s">
        <v>562</v>
      </c>
      <c r="E5560" t="s">
        <v>393</v>
      </c>
      <c r="F5560" t="s">
        <v>722</v>
      </c>
      <c r="G5560">
        <v>13302600</v>
      </c>
      <c r="H5560">
        <v>13647700</v>
      </c>
    </row>
    <row r="5561" spans="2:8" x14ac:dyDescent="0.25">
      <c r="B5561" t="str">
        <f t="shared" si="86"/>
        <v>LMCPopulation ages 80 and above, female</v>
      </c>
      <c r="C5561" t="s">
        <v>561</v>
      </c>
      <c r="D5561" t="s">
        <v>562</v>
      </c>
      <c r="E5561" t="s">
        <v>394</v>
      </c>
      <c r="F5561" t="s">
        <v>723</v>
      </c>
      <c r="G5561">
        <v>16111200</v>
      </c>
      <c r="H5561">
        <v>16342600</v>
      </c>
    </row>
    <row r="5562" spans="2:8" x14ac:dyDescent="0.25">
      <c r="B5562" t="str">
        <f t="shared" si="86"/>
        <v>LMCPopulation ages 80 and above, male</v>
      </c>
      <c r="C5562" t="s">
        <v>561</v>
      </c>
      <c r="D5562" t="s">
        <v>562</v>
      </c>
      <c r="E5562" t="s">
        <v>395</v>
      </c>
      <c r="F5562" t="s">
        <v>724</v>
      </c>
      <c r="G5562">
        <v>11368400</v>
      </c>
      <c r="H5562">
        <v>11419300</v>
      </c>
    </row>
    <row r="5563" spans="2:8" x14ac:dyDescent="0.25">
      <c r="B5563" t="str">
        <f t="shared" si="86"/>
        <v>LMCPopulation, male</v>
      </c>
      <c r="C5563" t="s">
        <v>561</v>
      </c>
      <c r="D5563" t="s">
        <v>562</v>
      </c>
      <c r="E5563" t="s">
        <v>397</v>
      </c>
      <c r="F5563" t="s">
        <v>725</v>
      </c>
      <c r="G5563">
        <v>1562258000</v>
      </c>
      <c r="H5563">
        <v>1583032000</v>
      </c>
    </row>
    <row r="5564" spans="2:8" x14ac:dyDescent="0.25">
      <c r="B5564" t="str">
        <f t="shared" si="86"/>
        <v>LMCPopulation, total</v>
      </c>
      <c r="C5564" t="s">
        <v>561</v>
      </c>
      <c r="D5564" t="s">
        <v>562</v>
      </c>
      <c r="E5564" t="s">
        <v>398</v>
      </c>
      <c r="F5564" t="s">
        <v>726</v>
      </c>
      <c r="G5564">
        <v>3064148000</v>
      </c>
      <c r="H5564">
        <v>3105181000</v>
      </c>
    </row>
    <row r="5565" spans="2:8" x14ac:dyDescent="0.25">
      <c r="B5565" t="str">
        <f t="shared" si="86"/>
        <v>LMCPopulation, female</v>
      </c>
      <c r="C5565" t="s">
        <v>561</v>
      </c>
      <c r="D5565" t="s">
        <v>562</v>
      </c>
      <c r="E5565" t="s">
        <v>396</v>
      </c>
      <c r="F5565" t="s">
        <v>727</v>
      </c>
      <c r="G5565">
        <v>1501891000</v>
      </c>
      <c r="H5565">
        <v>1522150000</v>
      </c>
    </row>
    <row r="5566" spans="2:8" x14ac:dyDescent="0.25">
      <c r="B5566" t="str">
        <f t="shared" si="86"/>
        <v>LMCPopulation growth (annual %)</v>
      </c>
      <c r="C5566" t="s">
        <v>561</v>
      </c>
      <c r="D5566" t="s">
        <v>562</v>
      </c>
      <c r="E5566" t="s">
        <v>399</v>
      </c>
      <c r="F5566" t="s">
        <v>728</v>
      </c>
      <c r="G5566">
        <v>1.3643441885953393</v>
      </c>
      <c r="H5566">
        <v>1.3391324439942167</v>
      </c>
    </row>
    <row r="5567" spans="2:8" x14ac:dyDescent="0.25">
      <c r="B5567" t="str">
        <f t="shared" si="86"/>
        <v>LUXPopulation ages 0-14, female</v>
      </c>
      <c r="C5567" t="s">
        <v>563</v>
      </c>
      <c r="D5567" t="s">
        <v>83</v>
      </c>
      <c r="E5567" t="s">
        <v>687</v>
      </c>
      <c r="F5567" t="s">
        <v>688</v>
      </c>
      <c r="G5567">
        <v>47000</v>
      </c>
      <c r="H5567">
        <v>47000</v>
      </c>
    </row>
    <row r="5568" spans="2:8" x14ac:dyDescent="0.25">
      <c r="B5568" t="str">
        <f t="shared" si="86"/>
        <v>LUXPopulation ages 0-14, male</v>
      </c>
      <c r="C5568" t="s">
        <v>563</v>
      </c>
      <c r="D5568" t="s">
        <v>83</v>
      </c>
      <c r="E5568" t="s">
        <v>689</v>
      </c>
      <c r="F5568" t="s">
        <v>690</v>
      </c>
      <c r="G5568">
        <v>49000</v>
      </c>
      <c r="H5568">
        <v>49000</v>
      </c>
    </row>
    <row r="5569" spans="2:8" x14ac:dyDescent="0.25">
      <c r="B5569" t="str">
        <f t="shared" si="86"/>
        <v>LUXPopulation ages 00-04, female</v>
      </c>
      <c r="C5569" t="s">
        <v>563</v>
      </c>
      <c r="D5569" t="s">
        <v>83</v>
      </c>
      <c r="E5569" t="s">
        <v>362</v>
      </c>
      <c r="F5569" t="s">
        <v>691</v>
      </c>
      <c r="G5569">
        <v>16000</v>
      </c>
      <c r="H5569">
        <v>16000</v>
      </c>
    </row>
    <row r="5570" spans="2:8" x14ac:dyDescent="0.25">
      <c r="B5570" t="str">
        <f t="shared" si="86"/>
        <v>LUXPopulation ages 00-04, male</v>
      </c>
      <c r="C5570" t="s">
        <v>563</v>
      </c>
      <c r="D5570" t="s">
        <v>83</v>
      </c>
      <c r="E5570" t="s">
        <v>363</v>
      </c>
      <c r="F5570" t="s">
        <v>692</v>
      </c>
      <c r="G5570">
        <v>17000</v>
      </c>
      <c r="H5570">
        <v>17000</v>
      </c>
    </row>
    <row r="5571" spans="2:8" x14ac:dyDescent="0.25">
      <c r="B5571" t="str">
        <f t="shared" si="86"/>
        <v>LUXPopulation ages 05-09, female</v>
      </c>
      <c r="C5571" t="s">
        <v>563</v>
      </c>
      <c r="D5571" t="s">
        <v>83</v>
      </c>
      <c r="E5571" t="s">
        <v>364</v>
      </c>
      <c r="F5571" t="s">
        <v>693</v>
      </c>
      <c r="G5571">
        <v>16000</v>
      </c>
      <c r="H5571">
        <v>16000</v>
      </c>
    </row>
    <row r="5572" spans="2:8" x14ac:dyDescent="0.25">
      <c r="B5572" t="str">
        <f t="shared" si="86"/>
        <v>LUXPopulation ages 05-09, male</v>
      </c>
      <c r="C5572" t="s">
        <v>563</v>
      </c>
      <c r="D5572" t="s">
        <v>83</v>
      </c>
      <c r="E5572" t="s">
        <v>365</v>
      </c>
      <c r="F5572" t="s">
        <v>694</v>
      </c>
      <c r="G5572">
        <v>16000</v>
      </c>
      <c r="H5572">
        <v>17000</v>
      </c>
    </row>
    <row r="5573" spans="2:8" x14ac:dyDescent="0.25">
      <c r="B5573" t="str">
        <f t="shared" si="86"/>
        <v>LUXPopulation ages 10-14, female</v>
      </c>
      <c r="C5573" t="s">
        <v>563</v>
      </c>
      <c r="D5573" t="s">
        <v>83</v>
      </c>
      <c r="E5573" t="s">
        <v>366</v>
      </c>
      <c r="F5573" t="s">
        <v>695</v>
      </c>
      <c r="G5573">
        <v>15000</v>
      </c>
      <c r="H5573">
        <v>15000</v>
      </c>
    </row>
    <row r="5574" spans="2:8" x14ac:dyDescent="0.25">
      <c r="B5574" t="str">
        <f t="shared" si="86"/>
        <v>LUXPopulation ages 10-14, male</v>
      </c>
      <c r="C5574" t="s">
        <v>563</v>
      </c>
      <c r="D5574" t="s">
        <v>83</v>
      </c>
      <c r="E5574" t="s">
        <v>367</v>
      </c>
      <c r="F5574" t="s">
        <v>696</v>
      </c>
      <c r="G5574">
        <v>16000</v>
      </c>
      <c r="H5574">
        <v>16000</v>
      </c>
    </row>
    <row r="5575" spans="2:8" x14ac:dyDescent="0.25">
      <c r="B5575" t="str">
        <f t="shared" ref="B5575:B5638" si="87">CONCATENATE(D5575,E5575)</f>
        <v>LUXPopulation ages 15-19, female</v>
      </c>
      <c r="C5575" t="s">
        <v>563</v>
      </c>
      <c r="D5575" t="s">
        <v>83</v>
      </c>
      <c r="E5575" t="s">
        <v>368</v>
      </c>
      <c r="F5575" t="s">
        <v>697</v>
      </c>
      <c r="G5575">
        <v>17000</v>
      </c>
      <c r="H5575">
        <v>17000</v>
      </c>
    </row>
    <row r="5576" spans="2:8" x14ac:dyDescent="0.25">
      <c r="B5576" t="str">
        <f t="shared" si="87"/>
        <v>LUXPopulation ages 15-19, male</v>
      </c>
      <c r="C5576" t="s">
        <v>563</v>
      </c>
      <c r="D5576" t="s">
        <v>83</v>
      </c>
      <c r="E5576" t="s">
        <v>369</v>
      </c>
      <c r="F5576" t="s">
        <v>698</v>
      </c>
      <c r="G5576">
        <v>18000</v>
      </c>
      <c r="H5576">
        <v>18000</v>
      </c>
    </row>
    <row r="5577" spans="2:8" x14ac:dyDescent="0.25">
      <c r="B5577" t="str">
        <f t="shared" si="87"/>
        <v>LUXPopulation ages 20-24, female</v>
      </c>
      <c r="C5577" t="s">
        <v>563</v>
      </c>
      <c r="D5577" t="s">
        <v>83</v>
      </c>
      <c r="E5577" t="s">
        <v>370</v>
      </c>
      <c r="F5577" t="s">
        <v>699</v>
      </c>
      <c r="G5577">
        <v>19000</v>
      </c>
      <c r="H5577">
        <v>19000</v>
      </c>
    </row>
    <row r="5578" spans="2:8" x14ac:dyDescent="0.25">
      <c r="B5578" t="str">
        <f t="shared" si="87"/>
        <v>LUXPopulation ages 20-24, male</v>
      </c>
      <c r="C5578" t="s">
        <v>563</v>
      </c>
      <c r="D5578" t="s">
        <v>83</v>
      </c>
      <c r="E5578" t="s">
        <v>371</v>
      </c>
      <c r="F5578" t="s">
        <v>700</v>
      </c>
      <c r="G5578">
        <v>21000</v>
      </c>
      <c r="H5578">
        <v>20000</v>
      </c>
    </row>
    <row r="5579" spans="2:8" x14ac:dyDescent="0.25">
      <c r="B5579" t="str">
        <f t="shared" si="87"/>
        <v>LUXPopulation ages 25-29, female</v>
      </c>
      <c r="C5579" t="s">
        <v>563</v>
      </c>
      <c r="D5579" t="s">
        <v>83</v>
      </c>
      <c r="E5579" t="s">
        <v>372</v>
      </c>
      <c r="F5579" t="s">
        <v>701</v>
      </c>
      <c r="G5579">
        <v>22000</v>
      </c>
      <c r="H5579">
        <v>22000</v>
      </c>
    </row>
    <row r="5580" spans="2:8" x14ac:dyDescent="0.25">
      <c r="B5580" t="str">
        <f t="shared" si="87"/>
        <v>LUXPopulation ages 25-29, male</v>
      </c>
      <c r="C5580" t="s">
        <v>563</v>
      </c>
      <c r="D5580" t="s">
        <v>83</v>
      </c>
      <c r="E5580" t="s">
        <v>373</v>
      </c>
      <c r="F5580" t="s">
        <v>702</v>
      </c>
      <c r="G5580">
        <v>23000</v>
      </c>
      <c r="H5580">
        <v>23000</v>
      </c>
    </row>
    <row r="5581" spans="2:8" x14ac:dyDescent="0.25">
      <c r="B5581" t="str">
        <f t="shared" si="87"/>
        <v>LUXPopulation ages 30-34, female</v>
      </c>
      <c r="C5581" t="s">
        <v>563</v>
      </c>
      <c r="D5581" t="s">
        <v>83</v>
      </c>
      <c r="E5581" t="s">
        <v>374</v>
      </c>
      <c r="F5581" t="s">
        <v>703</v>
      </c>
      <c r="G5581">
        <v>24000</v>
      </c>
      <c r="H5581">
        <v>24000</v>
      </c>
    </row>
    <row r="5582" spans="2:8" x14ac:dyDescent="0.25">
      <c r="B5582" t="str">
        <f t="shared" si="87"/>
        <v>LUXPopulation ages 30-34, male</v>
      </c>
      <c r="C5582" t="s">
        <v>563</v>
      </c>
      <c r="D5582" t="s">
        <v>83</v>
      </c>
      <c r="E5582" t="s">
        <v>375</v>
      </c>
      <c r="F5582" t="s">
        <v>704</v>
      </c>
      <c r="G5582">
        <v>24000</v>
      </c>
      <c r="H5582">
        <v>24000</v>
      </c>
    </row>
    <row r="5583" spans="2:8" x14ac:dyDescent="0.25">
      <c r="B5583" t="str">
        <f t="shared" si="87"/>
        <v>LUXPopulation ages 35-39, female</v>
      </c>
      <c r="C5583" t="s">
        <v>563</v>
      </c>
      <c r="D5583" t="s">
        <v>83</v>
      </c>
      <c r="E5583" t="s">
        <v>376</v>
      </c>
      <c r="F5583" t="s">
        <v>705</v>
      </c>
      <c r="G5583">
        <v>24000</v>
      </c>
      <c r="H5583">
        <v>24000</v>
      </c>
    </row>
    <row r="5584" spans="2:8" x14ac:dyDescent="0.25">
      <c r="B5584" t="str">
        <f t="shared" si="87"/>
        <v>LUXPopulation ages 35-39, male</v>
      </c>
      <c r="C5584" t="s">
        <v>563</v>
      </c>
      <c r="D5584" t="s">
        <v>83</v>
      </c>
      <c r="E5584" t="s">
        <v>377</v>
      </c>
      <c r="F5584" t="s">
        <v>706</v>
      </c>
      <c r="G5584">
        <v>24000</v>
      </c>
      <c r="H5584">
        <v>24000</v>
      </c>
    </row>
    <row r="5585" spans="2:8" x14ac:dyDescent="0.25">
      <c r="B5585" t="str">
        <f t="shared" si="87"/>
        <v>LUXPopulation ages 40-44, female</v>
      </c>
      <c r="C5585" t="s">
        <v>563</v>
      </c>
      <c r="D5585" t="s">
        <v>83</v>
      </c>
      <c r="E5585" t="s">
        <v>378</v>
      </c>
      <c r="F5585" t="s">
        <v>707</v>
      </c>
      <c r="G5585">
        <v>22000</v>
      </c>
      <c r="H5585">
        <v>22000</v>
      </c>
    </row>
    <row r="5586" spans="2:8" x14ac:dyDescent="0.25">
      <c r="B5586" t="str">
        <f t="shared" si="87"/>
        <v>LUXPopulation ages 40-44, male</v>
      </c>
      <c r="C5586" t="s">
        <v>563</v>
      </c>
      <c r="D5586" t="s">
        <v>83</v>
      </c>
      <c r="E5586" t="s">
        <v>379</v>
      </c>
      <c r="F5586" t="s">
        <v>708</v>
      </c>
      <c r="G5586">
        <v>24000</v>
      </c>
      <c r="H5586">
        <v>24000</v>
      </c>
    </row>
    <row r="5587" spans="2:8" x14ac:dyDescent="0.25">
      <c r="B5587" t="str">
        <f t="shared" si="87"/>
        <v>LUXPopulation ages 45-49, female</v>
      </c>
      <c r="C5587" t="s">
        <v>563</v>
      </c>
      <c r="D5587" t="s">
        <v>83</v>
      </c>
      <c r="E5587" t="s">
        <v>380</v>
      </c>
      <c r="F5587" t="s">
        <v>709</v>
      </c>
      <c r="G5587">
        <v>23000</v>
      </c>
      <c r="H5587">
        <v>23000</v>
      </c>
    </row>
    <row r="5588" spans="2:8" x14ac:dyDescent="0.25">
      <c r="B5588" t="str">
        <f t="shared" si="87"/>
        <v>LUXPopulation ages 45-49, male</v>
      </c>
      <c r="C5588" t="s">
        <v>563</v>
      </c>
      <c r="D5588" t="s">
        <v>83</v>
      </c>
      <c r="E5588" t="s">
        <v>381</v>
      </c>
      <c r="F5588" t="s">
        <v>710</v>
      </c>
      <c r="G5588">
        <v>25000</v>
      </c>
      <c r="H5588">
        <v>25000</v>
      </c>
    </row>
    <row r="5589" spans="2:8" x14ac:dyDescent="0.25">
      <c r="B5589" t="str">
        <f t="shared" si="87"/>
        <v>LUXPopulation ages 50-54, female</v>
      </c>
      <c r="C5589" t="s">
        <v>563</v>
      </c>
      <c r="D5589" t="s">
        <v>83</v>
      </c>
      <c r="E5589" t="s">
        <v>382</v>
      </c>
      <c r="F5589" t="s">
        <v>711</v>
      </c>
      <c r="G5589">
        <v>22000</v>
      </c>
      <c r="H5589">
        <v>23000</v>
      </c>
    </row>
    <row r="5590" spans="2:8" x14ac:dyDescent="0.25">
      <c r="B5590" t="str">
        <f t="shared" si="87"/>
        <v>LUXPopulation ages 50-54, male</v>
      </c>
      <c r="C5590" t="s">
        <v>563</v>
      </c>
      <c r="D5590" t="s">
        <v>83</v>
      </c>
      <c r="E5590" t="s">
        <v>383</v>
      </c>
      <c r="F5590" t="s">
        <v>712</v>
      </c>
      <c r="G5590">
        <v>25000</v>
      </c>
      <c r="H5590">
        <v>25000</v>
      </c>
    </row>
    <row r="5591" spans="2:8" x14ac:dyDescent="0.25">
      <c r="B5591" t="str">
        <f t="shared" si="87"/>
        <v>LUXPopulation ages 55-59, male</v>
      </c>
      <c r="C5591" t="s">
        <v>563</v>
      </c>
      <c r="D5591" t="s">
        <v>83</v>
      </c>
      <c r="E5591" t="s">
        <v>385</v>
      </c>
      <c r="F5591" t="s">
        <v>713</v>
      </c>
      <c r="G5591">
        <v>21000</v>
      </c>
      <c r="H5591">
        <v>22000</v>
      </c>
    </row>
    <row r="5592" spans="2:8" x14ac:dyDescent="0.25">
      <c r="B5592" t="str">
        <f t="shared" si="87"/>
        <v>LUXPopulation ages 55-59, female</v>
      </c>
      <c r="C5592" t="s">
        <v>563</v>
      </c>
      <c r="D5592" t="s">
        <v>83</v>
      </c>
      <c r="E5592" t="s">
        <v>384</v>
      </c>
      <c r="F5592" t="s">
        <v>714</v>
      </c>
      <c r="G5592">
        <v>20000</v>
      </c>
      <c r="H5592">
        <v>21000</v>
      </c>
    </row>
    <row r="5593" spans="2:8" x14ac:dyDescent="0.25">
      <c r="B5593" t="str">
        <f t="shared" si="87"/>
        <v>LUXPopulation ages 65-69, male</v>
      </c>
      <c r="C5593" t="s">
        <v>563</v>
      </c>
      <c r="D5593" t="s">
        <v>83</v>
      </c>
      <c r="E5593" t="s">
        <v>389</v>
      </c>
      <c r="F5593" t="s">
        <v>715</v>
      </c>
      <c r="G5593">
        <v>13000</v>
      </c>
      <c r="H5593">
        <v>14000</v>
      </c>
    </row>
    <row r="5594" spans="2:8" x14ac:dyDescent="0.25">
      <c r="B5594" t="str">
        <f t="shared" si="87"/>
        <v>LUXPopulation ages 65-69, female</v>
      </c>
      <c r="C5594" t="s">
        <v>563</v>
      </c>
      <c r="D5594" t="s">
        <v>83</v>
      </c>
      <c r="E5594" t="s">
        <v>388</v>
      </c>
      <c r="F5594" t="s">
        <v>716</v>
      </c>
      <c r="G5594">
        <v>13000</v>
      </c>
      <c r="H5594">
        <v>14000</v>
      </c>
    </row>
    <row r="5595" spans="2:8" x14ac:dyDescent="0.25">
      <c r="B5595" t="str">
        <f t="shared" si="87"/>
        <v>LUXPopulation ages 60-64, female</v>
      </c>
      <c r="C5595" t="s">
        <v>563</v>
      </c>
      <c r="D5595" t="s">
        <v>83</v>
      </c>
      <c r="E5595" t="s">
        <v>386</v>
      </c>
      <c r="F5595" t="s">
        <v>717</v>
      </c>
      <c r="G5595">
        <v>17000</v>
      </c>
      <c r="H5595">
        <v>17000</v>
      </c>
    </row>
    <row r="5596" spans="2:8" x14ac:dyDescent="0.25">
      <c r="B5596" t="str">
        <f t="shared" si="87"/>
        <v>LUXPopulation ages 60-64, male</v>
      </c>
      <c r="C5596" t="s">
        <v>563</v>
      </c>
      <c r="D5596" t="s">
        <v>83</v>
      </c>
      <c r="E5596" t="s">
        <v>387</v>
      </c>
      <c r="F5596" t="s">
        <v>718</v>
      </c>
      <c r="G5596">
        <v>17000</v>
      </c>
      <c r="H5596">
        <v>18000</v>
      </c>
    </row>
    <row r="5597" spans="2:8" x14ac:dyDescent="0.25">
      <c r="B5597" t="str">
        <f t="shared" si="87"/>
        <v>LUXPopulation ages 70-74, female</v>
      </c>
      <c r="C5597" t="s">
        <v>563</v>
      </c>
      <c r="D5597" t="s">
        <v>83</v>
      </c>
      <c r="E5597" t="s">
        <v>390</v>
      </c>
      <c r="F5597" t="s">
        <v>719</v>
      </c>
      <c r="G5597">
        <v>11000</v>
      </c>
      <c r="H5597">
        <v>11000</v>
      </c>
    </row>
    <row r="5598" spans="2:8" x14ac:dyDescent="0.25">
      <c r="B5598" t="str">
        <f t="shared" si="87"/>
        <v>LUXPopulation ages 70-74, male</v>
      </c>
      <c r="C5598" t="s">
        <v>563</v>
      </c>
      <c r="D5598" t="s">
        <v>83</v>
      </c>
      <c r="E5598" t="s">
        <v>391</v>
      </c>
      <c r="F5598" t="s">
        <v>720</v>
      </c>
      <c r="G5598">
        <v>10000</v>
      </c>
      <c r="H5598">
        <v>11000</v>
      </c>
    </row>
    <row r="5599" spans="2:8" x14ac:dyDescent="0.25">
      <c r="B5599" t="str">
        <f t="shared" si="87"/>
        <v>LUXPopulation ages 75-79, female</v>
      </c>
      <c r="C5599" t="s">
        <v>563</v>
      </c>
      <c r="D5599" t="s">
        <v>83</v>
      </c>
      <c r="E5599" t="s">
        <v>392</v>
      </c>
      <c r="F5599" t="s">
        <v>721</v>
      </c>
      <c r="G5599">
        <v>8500</v>
      </c>
      <c r="H5599">
        <v>8500</v>
      </c>
    </row>
    <row r="5600" spans="2:8" x14ac:dyDescent="0.25">
      <c r="B5600" t="str">
        <f t="shared" si="87"/>
        <v>LUXPopulation ages 75-79, male</v>
      </c>
      <c r="C5600" t="s">
        <v>563</v>
      </c>
      <c r="D5600" t="s">
        <v>83</v>
      </c>
      <c r="E5600" t="s">
        <v>393</v>
      </c>
      <c r="F5600" t="s">
        <v>722</v>
      </c>
      <c r="G5600">
        <v>6800</v>
      </c>
      <c r="H5600">
        <v>7000</v>
      </c>
    </row>
    <row r="5601" spans="2:8" x14ac:dyDescent="0.25">
      <c r="B5601" t="str">
        <f t="shared" si="87"/>
        <v>LUXPopulation ages 80 and above, female</v>
      </c>
      <c r="C5601" t="s">
        <v>563</v>
      </c>
      <c r="D5601" t="s">
        <v>83</v>
      </c>
      <c r="E5601" t="s">
        <v>394</v>
      </c>
      <c r="F5601" t="s">
        <v>723</v>
      </c>
      <c r="G5601">
        <v>15000</v>
      </c>
      <c r="H5601">
        <v>15000</v>
      </c>
    </row>
    <row r="5602" spans="2:8" x14ac:dyDescent="0.25">
      <c r="B5602" t="str">
        <f t="shared" si="87"/>
        <v>LUXPopulation ages 80 and above, male</v>
      </c>
      <c r="C5602" t="s">
        <v>563</v>
      </c>
      <c r="D5602" t="s">
        <v>83</v>
      </c>
      <c r="E5602" t="s">
        <v>395</v>
      </c>
      <c r="F5602" t="s">
        <v>724</v>
      </c>
      <c r="G5602">
        <v>9400</v>
      </c>
      <c r="H5602">
        <v>9500</v>
      </c>
    </row>
    <row r="5603" spans="2:8" x14ac:dyDescent="0.25">
      <c r="B5603" t="str">
        <f t="shared" si="87"/>
        <v>LUXPopulation, male</v>
      </c>
      <c r="C5603" t="s">
        <v>563</v>
      </c>
      <c r="D5603" t="s">
        <v>83</v>
      </c>
      <c r="E5603" t="s">
        <v>397</v>
      </c>
      <c r="F5603" t="s">
        <v>725</v>
      </c>
      <c r="G5603">
        <v>311000</v>
      </c>
      <c r="H5603">
        <v>314000</v>
      </c>
    </row>
    <row r="5604" spans="2:8" x14ac:dyDescent="0.25">
      <c r="B5604" t="str">
        <f t="shared" si="87"/>
        <v>LUXPopulation, total</v>
      </c>
      <c r="C5604" t="s">
        <v>563</v>
      </c>
      <c r="D5604" t="s">
        <v>83</v>
      </c>
      <c r="E5604" t="s">
        <v>398</v>
      </c>
      <c r="F5604" t="s">
        <v>726</v>
      </c>
      <c r="G5604">
        <v>615000</v>
      </c>
      <c r="H5604">
        <v>622000</v>
      </c>
    </row>
    <row r="5605" spans="2:8" x14ac:dyDescent="0.25">
      <c r="B5605" t="str">
        <f t="shared" si="87"/>
        <v>LUXPopulation, female</v>
      </c>
      <c r="C5605" t="s">
        <v>563</v>
      </c>
      <c r="D5605" t="s">
        <v>83</v>
      </c>
      <c r="E5605" t="s">
        <v>396</v>
      </c>
      <c r="F5605" t="s">
        <v>727</v>
      </c>
      <c r="G5605">
        <v>304000</v>
      </c>
      <c r="H5605">
        <v>307000</v>
      </c>
    </row>
    <row r="5606" spans="2:8" x14ac:dyDescent="0.25">
      <c r="B5606" t="str">
        <f t="shared" si="87"/>
        <v>LUXPopulation growth (annual %)</v>
      </c>
      <c r="C5606" t="s">
        <v>563</v>
      </c>
      <c r="D5606" t="s">
        <v>83</v>
      </c>
      <c r="E5606" t="s">
        <v>399</v>
      </c>
      <c r="F5606" t="s">
        <v>728</v>
      </c>
      <c r="G5606">
        <v>0</v>
      </c>
      <c r="H5606">
        <v>0</v>
      </c>
    </row>
    <row r="5607" spans="2:8" x14ac:dyDescent="0.25">
      <c r="B5607" t="str">
        <f t="shared" si="87"/>
        <v>MACPopulation ages 0-14, female</v>
      </c>
      <c r="C5607" t="s">
        <v>564</v>
      </c>
      <c r="D5607" t="s">
        <v>565</v>
      </c>
      <c r="E5607" t="s">
        <v>687</v>
      </c>
      <c r="F5607" t="s">
        <v>688</v>
      </c>
      <c r="G5607">
        <v>44000</v>
      </c>
      <c r="H5607">
        <v>45000</v>
      </c>
    </row>
    <row r="5608" spans="2:8" x14ac:dyDescent="0.25">
      <c r="B5608" t="str">
        <f t="shared" si="87"/>
        <v>MACPopulation ages 0-14, male</v>
      </c>
      <c r="C5608" t="s">
        <v>564</v>
      </c>
      <c r="D5608" t="s">
        <v>565</v>
      </c>
      <c r="E5608" t="s">
        <v>689</v>
      </c>
      <c r="F5608" t="s">
        <v>690</v>
      </c>
      <c r="G5608">
        <v>46000</v>
      </c>
      <c r="H5608">
        <v>48000</v>
      </c>
    </row>
    <row r="5609" spans="2:8" x14ac:dyDescent="0.25">
      <c r="B5609" t="str">
        <f t="shared" si="87"/>
        <v>MACPopulation ages 00-04, female</v>
      </c>
      <c r="C5609" t="s">
        <v>564</v>
      </c>
      <c r="D5609" t="s">
        <v>565</v>
      </c>
      <c r="E5609" t="s">
        <v>362</v>
      </c>
      <c r="F5609" t="s">
        <v>691</v>
      </c>
      <c r="G5609">
        <v>17000</v>
      </c>
      <c r="H5609">
        <v>18000</v>
      </c>
    </row>
    <row r="5610" spans="2:8" x14ac:dyDescent="0.25">
      <c r="B5610" t="str">
        <f t="shared" si="87"/>
        <v>MACPopulation ages 00-04, male</v>
      </c>
      <c r="C5610" t="s">
        <v>564</v>
      </c>
      <c r="D5610" t="s">
        <v>565</v>
      </c>
      <c r="E5610" t="s">
        <v>363</v>
      </c>
      <c r="F5610" t="s">
        <v>692</v>
      </c>
      <c r="G5610">
        <v>18000</v>
      </c>
      <c r="H5610">
        <v>18000</v>
      </c>
    </row>
    <row r="5611" spans="2:8" x14ac:dyDescent="0.25">
      <c r="B5611" t="str">
        <f t="shared" si="87"/>
        <v>MACPopulation ages 05-09, female</v>
      </c>
      <c r="C5611" t="s">
        <v>564</v>
      </c>
      <c r="D5611" t="s">
        <v>565</v>
      </c>
      <c r="E5611" t="s">
        <v>364</v>
      </c>
      <c r="F5611" t="s">
        <v>693</v>
      </c>
      <c r="G5611">
        <v>15000</v>
      </c>
      <c r="H5611">
        <v>16000</v>
      </c>
    </row>
    <row r="5612" spans="2:8" x14ac:dyDescent="0.25">
      <c r="B5612" t="str">
        <f t="shared" si="87"/>
        <v>MACPopulation ages 05-09, male</v>
      </c>
      <c r="C5612" t="s">
        <v>564</v>
      </c>
      <c r="D5612" t="s">
        <v>565</v>
      </c>
      <c r="E5612" t="s">
        <v>365</v>
      </c>
      <c r="F5612" t="s">
        <v>694</v>
      </c>
      <c r="G5612">
        <v>16000</v>
      </c>
      <c r="H5612">
        <v>17000</v>
      </c>
    </row>
    <row r="5613" spans="2:8" x14ac:dyDescent="0.25">
      <c r="B5613" t="str">
        <f t="shared" si="87"/>
        <v>MACPopulation ages 10-14, female</v>
      </c>
      <c r="C5613" t="s">
        <v>564</v>
      </c>
      <c r="D5613" t="s">
        <v>565</v>
      </c>
      <c r="E5613" t="s">
        <v>366</v>
      </c>
      <c r="F5613" t="s">
        <v>695</v>
      </c>
      <c r="G5613">
        <v>11000</v>
      </c>
      <c r="H5613">
        <v>12000</v>
      </c>
    </row>
    <row r="5614" spans="2:8" x14ac:dyDescent="0.25">
      <c r="B5614" t="str">
        <f t="shared" si="87"/>
        <v>MACPopulation ages 10-14, male</v>
      </c>
      <c r="C5614" t="s">
        <v>564</v>
      </c>
      <c r="D5614" t="s">
        <v>565</v>
      </c>
      <c r="E5614" t="s">
        <v>367</v>
      </c>
      <c r="F5614" t="s">
        <v>696</v>
      </c>
      <c r="G5614">
        <v>12000</v>
      </c>
      <c r="H5614">
        <v>13000</v>
      </c>
    </row>
    <row r="5615" spans="2:8" x14ac:dyDescent="0.25">
      <c r="B5615" t="str">
        <f t="shared" si="87"/>
        <v>MACPopulation ages 15-19, female</v>
      </c>
      <c r="C5615" t="s">
        <v>564</v>
      </c>
      <c r="D5615" t="s">
        <v>565</v>
      </c>
      <c r="E5615" t="s">
        <v>368</v>
      </c>
      <c r="F5615" t="s">
        <v>697</v>
      </c>
      <c r="G5615">
        <v>11000</v>
      </c>
      <c r="H5615">
        <v>11000</v>
      </c>
    </row>
    <row r="5616" spans="2:8" x14ac:dyDescent="0.25">
      <c r="B5616" t="str">
        <f t="shared" si="87"/>
        <v>MACPopulation ages 15-19, male</v>
      </c>
      <c r="C5616" t="s">
        <v>564</v>
      </c>
      <c r="D5616" t="s">
        <v>565</v>
      </c>
      <c r="E5616" t="s">
        <v>369</v>
      </c>
      <c r="F5616" t="s">
        <v>698</v>
      </c>
      <c r="G5616">
        <v>12000</v>
      </c>
      <c r="H5616">
        <v>12000</v>
      </c>
    </row>
    <row r="5617" spans="2:8" x14ac:dyDescent="0.25">
      <c r="B5617" t="str">
        <f t="shared" si="87"/>
        <v>MACPopulation ages 20-24, female</v>
      </c>
      <c r="C5617" t="s">
        <v>564</v>
      </c>
      <c r="D5617" t="s">
        <v>565</v>
      </c>
      <c r="E5617" t="s">
        <v>370</v>
      </c>
      <c r="F5617" t="s">
        <v>699</v>
      </c>
      <c r="G5617">
        <v>19000</v>
      </c>
      <c r="H5617">
        <v>18000</v>
      </c>
    </row>
    <row r="5618" spans="2:8" x14ac:dyDescent="0.25">
      <c r="B5618" t="str">
        <f t="shared" si="87"/>
        <v>MACPopulation ages 20-24, male</v>
      </c>
      <c r="C5618" t="s">
        <v>564</v>
      </c>
      <c r="D5618" t="s">
        <v>565</v>
      </c>
      <c r="E5618" t="s">
        <v>371</v>
      </c>
      <c r="F5618" t="s">
        <v>700</v>
      </c>
      <c r="G5618">
        <v>20000</v>
      </c>
      <c r="H5618">
        <v>18000</v>
      </c>
    </row>
    <row r="5619" spans="2:8" x14ac:dyDescent="0.25">
      <c r="B5619" t="str">
        <f t="shared" si="87"/>
        <v>MACPopulation ages 25-29, female</v>
      </c>
      <c r="C5619" t="s">
        <v>564</v>
      </c>
      <c r="D5619" t="s">
        <v>565</v>
      </c>
      <c r="E5619" t="s">
        <v>372</v>
      </c>
      <c r="F5619" t="s">
        <v>701</v>
      </c>
      <c r="G5619">
        <v>28000</v>
      </c>
      <c r="H5619">
        <v>26000</v>
      </c>
    </row>
    <row r="5620" spans="2:8" x14ac:dyDescent="0.25">
      <c r="B5620" t="str">
        <f t="shared" si="87"/>
        <v>MACPopulation ages 25-29, male</v>
      </c>
      <c r="C5620" t="s">
        <v>564</v>
      </c>
      <c r="D5620" t="s">
        <v>565</v>
      </c>
      <c r="E5620" t="s">
        <v>373</v>
      </c>
      <c r="F5620" t="s">
        <v>702</v>
      </c>
      <c r="G5620">
        <v>27000</v>
      </c>
      <c r="H5620">
        <v>26000</v>
      </c>
    </row>
    <row r="5621" spans="2:8" x14ac:dyDescent="0.25">
      <c r="B5621" t="str">
        <f t="shared" si="87"/>
        <v>MACPopulation ages 30-34, female</v>
      </c>
      <c r="C5621" t="s">
        <v>564</v>
      </c>
      <c r="D5621" t="s">
        <v>565</v>
      </c>
      <c r="E5621" t="s">
        <v>374</v>
      </c>
      <c r="F5621" t="s">
        <v>703</v>
      </c>
      <c r="G5621">
        <v>36000</v>
      </c>
      <c r="H5621">
        <v>36000</v>
      </c>
    </row>
    <row r="5622" spans="2:8" x14ac:dyDescent="0.25">
      <c r="B5622" t="str">
        <f t="shared" si="87"/>
        <v>MACPopulation ages 30-34, male</v>
      </c>
      <c r="C5622" t="s">
        <v>564</v>
      </c>
      <c r="D5622" t="s">
        <v>565</v>
      </c>
      <c r="E5622" t="s">
        <v>375</v>
      </c>
      <c r="F5622" t="s">
        <v>704</v>
      </c>
      <c r="G5622">
        <v>32000</v>
      </c>
      <c r="H5622">
        <v>32000</v>
      </c>
    </row>
    <row r="5623" spans="2:8" x14ac:dyDescent="0.25">
      <c r="B5623" t="str">
        <f t="shared" si="87"/>
        <v>MACPopulation ages 35-39, female</v>
      </c>
      <c r="C5623" t="s">
        <v>564</v>
      </c>
      <c r="D5623" t="s">
        <v>565</v>
      </c>
      <c r="E5623" t="s">
        <v>376</v>
      </c>
      <c r="F5623" t="s">
        <v>705</v>
      </c>
      <c r="G5623">
        <v>30000</v>
      </c>
      <c r="H5623">
        <v>32000</v>
      </c>
    </row>
    <row r="5624" spans="2:8" x14ac:dyDescent="0.25">
      <c r="B5624" t="str">
        <f t="shared" si="87"/>
        <v>MACPopulation ages 35-39, male</v>
      </c>
      <c r="C5624" t="s">
        <v>564</v>
      </c>
      <c r="D5624" t="s">
        <v>565</v>
      </c>
      <c r="E5624" t="s">
        <v>377</v>
      </c>
      <c r="F5624" t="s">
        <v>706</v>
      </c>
      <c r="G5624">
        <v>28000</v>
      </c>
      <c r="H5624">
        <v>30000</v>
      </c>
    </row>
    <row r="5625" spans="2:8" x14ac:dyDescent="0.25">
      <c r="B5625" t="str">
        <f t="shared" si="87"/>
        <v>MACPopulation ages 40-44, female</v>
      </c>
      <c r="C5625" t="s">
        <v>564</v>
      </c>
      <c r="D5625" t="s">
        <v>565</v>
      </c>
      <c r="E5625" t="s">
        <v>378</v>
      </c>
      <c r="F5625" t="s">
        <v>707</v>
      </c>
      <c r="G5625">
        <v>22000</v>
      </c>
      <c r="H5625">
        <v>22000</v>
      </c>
    </row>
    <row r="5626" spans="2:8" x14ac:dyDescent="0.25">
      <c r="B5626" t="str">
        <f t="shared" si="87"/>
        <v>MACPopulation ages 40-44, male</v>
      </c>
      <c r="C5626" t="s">
        <v>564</v>
      </c>
      <c r="D5626" t="s">
        <v>565</v>
      </c>
      <c r="E5626" t="s">
        <v>379</v>
      </c>
      <c r="F5626" t="s">
        <v>708</v>
      </c>
      <c r="G5626">
        <v>21000</v>
      </c>
      <c r="H5626">
        <v>22000</v>
      </c>
    </row>
    <row r="5627" spans="2:8" x14ac:dyDescent="0.25">
      <c r="B5627" t="str">
        <f t="shared" si="87"/>
        <v>MACPopulation ages 45-49, female</v>
      </c>
      <c r="C5627" t="s">
        <v>564</v>
      </c>
      <c r="D5627" t="s">
        <v>565</v>
      </c>
      <c r="E5627" t="s">
        <v>380</v>
      </c>
      <c r="F5627" t="s">
        <v>709</v>
      </c>
      <c r="G5627">
        <v>28000</v>
      </c>
      <c r="H5627">
        <v>28000</v>
      </c>
    </row>
    <row r="5628" spans="2:8" x14ac:dyDescent="0.25">
      <c r="B5628" t="str">
        <f t="shared" si="87"/>
        <v>MACPopulation ages 45-49, male</v>
      </c>
      <c r="C5628" t="s">
        <v>564</v>
      </c>
      <c r="D5628" t="s">
        <v>565</v>
      </c>
      <c r="E5628" t="s">
        <v>381</v>
      </c>
      <c r="F5628" t="s">
        <v>710</v>
      </c>
      <c r="G5628">
        <v>21000</v>
      </c>
      <c r="H5628">
        <v>22000</v>
      </c>
    </row>
    <row r="5629" spans="2:8" x14ac:dyDescent="0.25">
      <c r="B5629" t="str">
        <f t="shared" si="87"/>
        <v>MACPopulation ages 50-54, female</v>
      </c>
      <c r="C5629" t="s">
        <v>564</v>
      </c>
      <c r="D5629" t="s">
        <v>565</v>
      </c>
      <c r="E5629" t="s">
        <v>382</v>
      </c>
      <c r="F5629" t="s">
        <v>711</v>
      </c>
      <c r="G5629">
        <v>28000</v>
      </c>
      <c r="H5629">
        <v>27000</v>
      </c>
    </row>
    <row r="5630" spans="2:8" x14ac:dyDescent="0.25">
      <c r="B5630" t="str">
        <f t="shared" si="87"/>
        <v>MACPopulation ages 50-54, male</v>
      </c>
      <c r="C5630" t="s">
        <v>564</v>
      </c>
      <c r="D5630" t="s">
        <v>565</v>
      </c>
      <c r="E5630" t="s">
        <v>383</v>
      </c>
      <c r="F5630" t="s">
        <v>712</v>
      </c>
      <c r="G5630">
        <v>20000</v>
      </c>
      <c r="H5630">
        <v>20000</v>
      </c>
    </row>
    <row r="5631" spans="2:8" x14ac:dyDescent="0.25">
      <c r="B5631" t="str">
        <f t="shared" si="87"/>
        <v>MACPopulation ages 55-59, male</v>
      </c>
      <c r="C5631" t="s">
        <v>564</v>
      </c>
      <c r="D5631" t="s">
        <v>565</v>
      </c>
      <c r="E5631" t="s">
        <v>385</v>
      </c>
      <c r="F5631" t="s">
        <v>713</v>
      </c>
      <c r="G5631">
        <v>24000</v>
      </c>
      <c r="H5631">
        <v>24000</v>
      </c>
    </row>
    <row r="5632" spans="2:8" x14ac:dyDescent="0.25">
      <c r="B5632" t="str">
        <f t="shared" si="87"/>
        <v>MACPopulation ages 55-59, female</v>
      </c>
      <c r="C5632" t="s">
        <v>564</v>
      </c>
      <c r="D5632" t="s">
        <v>565</v>
      </c>
      <c r="E5632" t="s">
        <v>384</v>
      </c>
      <c r="F5632" t="s">
        <v>714</v>
      </c>
      <c r="G5632">
        <v>28000</v>
      </c>
      <c r="H5632">
        <v>29000</v>
      </c>
    </row>
    <row r="5633" spans="2:8" x14ac:dyDescent="0.25">
      <c r="B5633" t="str">
        <f t="shared" si="87"/>
        <v>MACPopulation ages 65-69, male</v>
      </c>
      <c r="C5633" t="s">
        <v>564</v>
      </c>
      <c r="D5633" t="s">
        <v>565</v>
      </c>
      <c r="E5633" t="s">
        <v>389</v>
      </c>
      <c r="F5633" t="s">
        <v>715</v>
      </c>
      <c r="G5633">
        <v>16000</v>
      </c>
      <c r="H5633">
        <v>17000</v>
      </c>
    </row>
    <row r="5634" spans="2:8" x14ac:dyDescent="0.25">
      <c r="B5634" t="str">
        <f t="shared" si="87"/>
        <v>MACPopulation ages 65-69, female</v>
      </c>
      <c r="C5634" t="s">
        <v>564</v>
      </c>
      <c r="D5634" t="s">
        <v>565</v>
      </c>
      <c r="E5634" t="s">
        <v>388</v>
      </c>
      <c r="F5634" t="s">
        <v>716</v>
      </c>
      <c r="G5634">
        <v>16000</v>
      </c>
      <c r="H5634">
        <v>17000</v>
      </c>
    </row>
    <row r="5635" spans="2:8" x14ac:dyDescent="0.25">
      <c r="B5635" t="str">
        <f t="shared" si="87"/>
        <v>MACPopulation ages 60-64, female</v>
      </c>
      <c r="C5635" t="s">
        <v>564</v>
      </c>
      <c r="D5635" t="s">
        <v>565</v>
      </c>
      <c r="E5635" t="s">
        <v>386</v>
      </c>
      <c r="F5635" t="s">
        <v>717</v>
      </c>
      <c r="G5635">
        <v>21000</v>
      </c>
      <c r="H5635">
        <v>22000</v>
      </c>
    </row>
    <row r="5636" spans="2:8" x14ac:dyDescent="0.25">
      <c r="B5636" t="str">
        <f t="shared" si="87"/>
        <v>MACPopulation ages 60-64, male</v>
      </c>
      <c r="C5636" t="s">
        <v>564</v>
      </c>
      <c r="D5636" t="s">
        <v>565</v>
      </c>
      <c r="E5636" t="s">
        <v>387</v>
      </c>
      <c r="F5636" t="s">
        <v>718</v>
      </c>
      <c r="G5636">
        <v>22000</v>
      </c>
      <c r="H5636">
        <v>22000</v>
      </c>
    </row>
    <row r="5637" spans="2:8" x14ac:dyDescent="0.25">
      <c r="B5637" t="str">
        <f t="shared" si="87"/>
        <v>MACPopulation ages 70-74, female</v>
      </c>
      <c r="C5637" t="s">
        <v>564</v>
      </c>
      <c r="D5637" t="s">
        <v>565</v>
      </c>
      <c r="E5637" t="s">
        <v>390</v>
      </c>
      <c r="F5637" t="s">
        <v>719</v>
      </c>
      <c r="G5637">
        <v>8800</v>
      </c>
      <c r="H5637">
        <v>10000</v>
      </c>
    </row>
    <row r="5638" spans="2:8" x14ac:dyDescent="0.25">
      <c r="B5638" t="str">
        <f t="shared" si="87"/>
        <v>MACPopulation ages 70-74, male</v>
      </c>
      <c r="C5638" t="s">
        <v>564</v>
      </c>
      <c r="D5638" t="s">
        <v>565</v>
      </c>
      <c r="E5638" t="s">
        <v>391</v>
      </c>
      <c r="F5638" t="s">
        <v>720</v>
      </c>
      <c r="G5638">
        <v>9400</v>
      </c>
      <c r="H5638">
        <v>11000</v>
      </c>
    </row>
    <row r="5639" spans="2:8" x14ac:dyDescent="0.25">
      <c r="B5639" t="str">
        <f t="shared" ref="B5639:B5702" si="88">CONCATENATE(D5639,E5639)</f>
        <v>MACPopulation ages 75-79, female</v>
      </c>
      <c r="C5639" t="s">
        <v>564</v>
      </c>
      <c r="D5639" t="s">
        <v>565</v>
      </c>
      <c r="E5639" t="s">
        <v>392</v>
      </c>
      <c r="F5639" t="s">
        <v>721</v>
      </c>
      <c r="G5639">
        <v>4400</v>
      </c>
      <c r="H5639">
        <v>4800</v>
      </c>
    </row>
    <row r="5640" spans="2:8" x14ac:dyDescent="0.25">
      <c r="B5640" t="str">
        <f t="shared" si="88"/>
        <v>MACPopulation ages 75-79, male</v>
      </c>
      <c r="C5640" t="s">
        <v>564</v>
      </c>
      <c r="D5640" t="s">
        <v>565</v>
      </c>
      <c r="E5640" t="s">
        <v>393</v>
      </c>
      <c r="F5640" t="s">
        <v>722</v>
      </c>
      <c r="G5640">
        <v>3900</v>
      </c>
      <c r="H5640">
        <v>4400</v>
      </c>
    </row>
    <row r="5641" spans="2:8" x14ac:dyDescent="0.25">
      <c r="B5641" t="str">
        <f t="shared" si="88"/>
        <v>MACPopulation ages 80 and above, female</v>
      </c>
      <c r="C5641" t="s">
        <v>564</v>
      </c>
      <c r="D5641" t="s">
        <v>565</v>
      </c>
      <c r="E5641" t="s">
        <v>394</v>
      </c>
      <c r="F5641" t="s">
        <v>723</v>
      </c>
      <c r="G5641">
        <v>8500</v>
      </c>
      <c r="H5641">
        <v>8600</v>
      </c>
    </row>
    <row r="5642" spans="2:8" x14ac:dyDescent="0.25">
      <c r="B5642" t="str">
        <f t="shared" si="88"/>
        <v>MACPopulation ages 80 and above, male</v>
      </c>
      <c r="C5642" t="s">
        <v>564</v>
      </c>
      <c r="D5642" t="s">
        <v>565</v>
      </c>
      <c r="E5642" t="s">
        <v>395</v>
      </c>
      <c r="F5642" t="s">
        <v>724</v>
      </c>
      <c r="G5642">
        <v>5000</v>
      </c>
      <c r="H5642">
        <v>5100</v>
      </c>
    </row>
    <row r="5643" spans="2:8" x14ac:dyDescent="0.25">
      <c r="B5643" t="str">
        <f t="shared" si="88"/>
        <v>MACPopulation, male</v>
      </c>
      <c r="C5643" t="s">
        <v>564</v>
      </c>
      <c r="D5643" t="s">
        <v>565</v>
      </c>
      <c r="E5643" t="s">
        <v>397</v>
      </c>
      <c r="F5643" t="s">
        <v>725</v>
      </c>
      <c r="G5643">
        <v>308000</v>
      </c>
      <c r="H5643">
        <v>312000</v>
      </c>
    </row>
    <row r="5644" spans="2:8" x14ac:dyDescent="0.25">
      <c r="B5644" t="str">
        <f t="shared" si="88"/>
        <v>MACPopulation, total</v>
      </c>
      <c r="C5644" t="s">
        <v>564</v>
      </c>
      <c r="D5644" t="s">
        <v>565</v>
      </c>
      <c r="E5644" t="s">
        <v>398</v>
      </c>
      <c r="F5644" t="s">
        <v>726</v>
      </c>
      <c r="G5644">
        <v>640000</v>
      </c>
      <c r="H5644">
        <v>649000</v>
      </c>
    </row>
    <row r="5645" spans="2:8" x14ac:dyDescent="0.25">
      <c r="B5645" t="str">
        <f t="shared" si="88"/>
        <v>MACPopulation, female</v>
      </c>
      <c r="C5645" t="s">
        <v>564</v>
      </c>
      <c r="D5645" t="s">
        <v>565</v>
      </c>
      <c r="E5645" t="s">
        <v>396</v>
      </c>
      <c r="F5645" t="s">
        <v>727</v>
      </c>
      <c r="G5645">
        <v>333000</v>
      </c>
      <c r="H5645">
        <v>337000</v>
      </c>
    </row>
    <row r="5646" spans="2:8" x14ac:dyDescent="0.25">
      <c r="B5646" t="str">
        <f t="shared" si="88"/>
        <v>MACPopulation growth (annual %)</v>
      </c>
      <c r="C5646" t="s">
        <v>564</v>
      </c>
      <c r="D5646" t="s">
        <v>565</v>
      </c>
      <c r="E5646" t="s">
        <v>399</v>
      </c>
      <c r="F5646" t="s">
        <v>728</v>
      </c>
      <c r="G5646">
        <v>0</v>
      </c>
      <c r="H5646">
        <v>0</v>
      </c>
    </row>
    <row r="5647" spans="2:8" x14ac:dyDescent="0.25">
      <c r="B5647" t="str">
        <f t="shared" si="88"/>
        <v>MDGPopulation ages 0-14, female</v>
      </c>
      <c r="C5647" t="s">
        <v>202</v>
      </c>
      <c r="D5647" t="s">
        <v>88</v>
      </c>
      <c r="E5647" t="s">
        <v>687</v>
      </c>
      <c r="F5647" t="s">
        <v>688</v>
      </c>
      <c r="G5647">
        <v>5393000</v>
      </c>
      <c r="H5647">
        <v>5494000</v>
      </c>
    </row>
    <row r="5648" spans="2:8" x14ac:dyDescent="0.25">
      <c r="B5648" t="str">
        <f t="shared" si="88"/>
        <v>MDGPopulation ages 0-14, male</v>
      </c>
      <c r="C5648" t="s">
        <v>202</v>
      </c>
      <c r="D5648" t="s">
        <v>88</v>
      </c>
      <c r="E5648" t="s">
        <v>689</v>
      </c>
      <c r="F5648" t="s">
        <v>690</v>
      </c>
      <c r="G5648">
        <v>5494000</v>
      </c>
      <c r="H5648">
        <v>5600000</v>
      </c>
    </row>
    <row r="5649" spans="2:8" x14ac:dyDescent="0.25">
      <c r="B5649" t="str">
        <f t="shared" si="88"/>
        <v>MDGPopulation ages 00-04, female</v>
      </c>
      <c r="C5649" t="s">
        <v>202</v>
      </c>
      <c r="D5649" t="s">
        <v>88</v>
      </c>
      <c r="E5649" t="s">
        <v>362</v>
      </c>
      <c r="F5649" t="s">
        <v>691</v>
      </c>
      <c r="G5649">
        <v>1988000</v>
      </c>
      <c r="H5649">
        <v>2031000</v>
      </c>
    </row>
    <row r="5650" spans="2:8" x14ac:dyDescent="0.25">
      <c r="B5650" t="str">
        <f t="shared" si="88"/>
        <v>MDGPopulation ages 00-04, male</v>
      </c>
      <c r="C5650" t="s">
        <v>202</v>
      </c>
      <c r="D5650" t="s">
        <v>88</v>
      </c>
      <c r="E5650" t="s">
        <v>363</v>
      </c>
      <c r="F5650" t="s">
        <v>692</v>
      </c>
      <c r="G5650">
        <v>2035000</v>
      </c>
      <c r="H5650">
        <v>2079000</v>
      </c>
    </row>
    <row r="5651" spans="2:8" x14ac:dyDescent="0.25">
      <c r="B5651" t="str">
        <f t="shared" si="88"/>
        <v>MDGPopulation ages 05-09, female</v>
      </c>
      <c r="C5651" t="s">
        <v>202</v>
      </c>
      <c r="D5651" t="s">
        <v>88</v>
      </c>
      <c r="E5651" t="s">
        <v>364</v>
      </c>
      <c r="F5651" t="s">
        <v>693</v>
      </c>
      <c r="G5651">
        <v>1778000</v>
      </c>
      <c r="H5651">
        <v>1808000</v>
      </c>
    </row>
    <row r="5652" spans="2:8" x14ac:dyDescent="0.25">
      <c r="B5652" t="str">
        <f t="shared" si="88"/>
        <v>MDGPopulation ages 05-09, male</v>
      </c>
      <c r="C5652" t="s">
        <v>202</v>
      </c>
      <c r="D5652" t="s">
        <v>88</v>
      </c>
      <c r="E5652" t="s">
        <v>365</v>
      </c>
      <c r="F5652" t="s">
        <v>694</v>
      </c>
      <c r="G5652">
        <v>1813000</v>
      </c>
      <c r="H5652">
        <v>1845000</v>
      </c>
    </row>
    <row r="5653" spans="2:8" x14ac:dyDescent="0.25">
      <c r="B5653" t="str">
        <f t="shared" si="88"/>
        <v>MDGPopulation ages 10-14, female</v>
      </c>
      <c r="C5653" t="s">
        <v>202</v>
      </c>
      <c r="D5653" t="s">
        <v>88</v>
      </c>
      <c r="E5653" t="s">
        <v>366</v>
      </c>
      <c r="F5653" t="s">
        <v>695</v>
      </c>
      <c r="G5653">
        <v>1627000</v>
      </c>
      <c r="H5653">
        <v>1655000</v>
      </c>
    </row>
    <row r="5654" spans="2:8" x14ac:dyDescent="0.25">
      <c r="B5654" t="str">
        <f t="shared" si="88"/>
        <v>MDGPopulation ages 10-14, male</v>
      </c>
      <c r="C5654" t="s">
        <v>202</v>
      </c>
      <c r="D5654" t="s">
        <v>88</v>
      </c>
      <c r="E5654" t="s">
        <v>367</v>
      </c>
      <c r="F5654" t="s">
        <v>696</v>
      </c>
      <c r="G5654">
        <v>1646000</v>
      </c>
      <c r="H5654">
        <v>1676000</v>
      </c>
    </row>
    <row r="5655" spans="2:8" x14ac:dyDescent="0.25">
      <c r="B5655" t="str">
        <f t="shared" si="88"/>
        <v>MDGPopulation ages 15-19, female</v>
      </c>
      <c r="C5655" t="s">
        <v>202</v>
      </c>
      <c r="D5655" t="s">
        <v>88</v>
      </c>
      <c r="E5655" t="s">
        <v>368</v>
      </c>
      <c r="F5655" t="s">
        <v>697</v>
      </c>
      <c r="G5655">
        <v>1475000</v>
      </c>
      <c r="H5655">
        <v>1503000</v>
      </c>
    </row>
    <row r="5656" spans="2:8" x14ac:dyDescent="0.25">
      <c r="B5656" t="str">
        <f t="shared" si="88"/>
        <v>MDGPopulation ages 15-19, male</v>
      </c>
      <c r="C5656" t="s">
        <v>202</v>
      </c>
      <c r="D5656" t="s">
        <v>88</v>
      </c>
      <c r="E5656" t="s">
        <v>369</v>
      </c>
      <c r="F5656" t="s">
        <v>698</v>
      </c>
      <c r="G5656">
        <v>1479000</v>
      </c>
      <c r="H5656">
        <v>1509000</v>
      </c>
    </row>
    <row r="5657" spans="2:8" x14ac:dyDescent="0.25">
      <c r="B5657" t="str">
        <f t="shared" si="88"/>
        <v>MDGPopulation ages 20-24, female</v>
      </c>
      <c r="C5657" t="s">
        <v>202</v>
      </c>
      <c r="D5657" t="s">
        <v>88</v>
      </c>
      <c r="E5657" t="s">
        <v>370</v>
      </c>
      <c r="F5657" t="s">
        <v>699</v>
      </c>
      <c r="G5657">
        <v>1302000</v>
      </c>
      <c r="H5657">
        <v>1341000</v>
      </c>
    </row>
    <row r="5658" spans="2:8" x14ac:dyDescent="0.25">
      <c r="B5658" t="str">
        <f t="shared" si="88"/>
        <v>MDGPopulation ages 20-24, male</v>
      </c>
      <c r="C5658" t="s">
        <v>202</v>
      </c>
      <c r="D5658" t="s">
        <v>88</v>
      </c>
      <c r="E5658" t="s">
        <v>371</v>
      </c>
      <c r="F5658" t="s">
        <v>700</v>
      </c>
      <c r="G5658">
        <v>1295000</v>
      </c>
      <c r="H5658">
        <v>1335000</v>
      </c>
    </row>
    <row r="5659" spans="2:8" x14ac:dyDescent="0.25">
      <c r="B5659" t="str">
        <f t="shared" si="88"/>
        <v>MDGPopulation ages 25-29, female</v>
      </c>
      <c r="C5659" t="s">
        <v>202</v>
      </c>
      <c r="D5659" t="s">
        <v>88</v>
      </c>
      <c r="E5659" t="s">
        <v>372</v>
      </c>
      <c r="F5659" t="s">
        <v>701</v>
      </c>
      <c r="G5659">
        <v>1074000</v>
      </c>
      <c r="H5659">
        <v>1115000</v>
      </c>
    </row>
    <row r="5660" spans="2:8" x14ac:dyDescent="0.25">
      <c r="B5660" t="str">
        <f t="shared" si="88"/>
        <v>MDGPopulation ages 25-29, male</v>
      </c>
      <c r="C5660" t="s">
        <v>202</v>
      </c>
      <c r="D5660" t="s">
        <v>88</v>
      </c>
      <c r="E5660" t="s">
        <v>373</v>
      </c>
      <c r="F5660" t="s">
        <v>702</v>
      </c>
      <c r="G5660">
        <v>1067000</v>
      </c>
      <c r="H5660">
        <v>1108000</v>
      </c>
    </row>
    <row r="5661" spans="2:8" x14ac:dyDescent="0.25">
      <c r="B5661" t="str">
        <f t="shared" si="88"/>
        <v>MDGPopulation ages 30-34, female</v>
      </c>
      <c r="C5661" t="s">
        <v>202</v>
      </c>
      <c r="D5661" t="s">
        <v>88</v>
      </c>
      <c r="E5661" t="s">
        <v>374</v>
      </c>
      <c r="F5661" t="s">
        <v>703</v>
      </c>
      <c r="G5661">
        <v>886000</v>
      </c>
      <c r="H5661">
        <v>917000</v>
      </c>
    </row>
    <row r="5662" spans="2:8" x14ac:dyDescent="0.25">
      <c r="B5662" t="str">
        <f t="shared" si="88"/>
        <v>MDGPopulation ages 30-34, male</v>
      </c>
      <c r="C5662" t="s">
        <v>202</v>
      </c>
      <c r="D5662" t="s">
        <v>88</v>
      </c>
      <c r="E5662" t="s">
        <v>375</v>
      </c>
      <c r="F5662" t="s">
        <v>704</v>
      </c>
      <c r="G5662">
        <v>883000</v>
      </c>
      <c r="H5662">
        <v>913000</v>
      </c>
    </row>
    <row r="5663" spans="2:8" x14ac:dyDescent="0.25">
      <c r="B5663" t="str">
        <f t="shared" si="88"/>
        <v>MDGPopulation ages 35-39, female</v>
      </c>
      <c r="C5663" t="s">
        <v>202</v>
      </c>
      <c r="D5663" t="s">
        <v>88</v>
      </c>
      <c r="E5663" t="s">
        <v>376</v>
      </c>
      <c r="F5663" t="s">
        <v>705</v>
      </c>
      <c r="G5663">
        <v>749000</v>
      </c>
      <c r="H5663">
        <v>771000</v>
      </c>
    </row>
    <row r="5664" spans="2:8" x14ac:dyDescent="0.25">
      <c r="B5664" t="str">
        <f t="shared" si="88"/>
        <v>MDGPopulation ages 35-39, male</v>
      </c>
      <c r="C5664" t="s">
        <v>202</v>
      </c>
      <c r="D5664" t="s">
        <v>88</v>
      </c>
      <c r="E5664" t="s">
        <v>377</v>
      </c>
      <c r="F5664" t="s">
        <v>706</v>
      </c>
      <c r="G5664">
        <v>750000</v>
      </c>
      <c r="H5664">
        <v>771000</v>
      </c>
    </row>
    <row r="5665" spans="2:8" x14ac:dyDescent="0.25">
      <c r="B5665" t="str">
        <f t="shared" si="88"/>
        <v>MDGPopulation ages 40-44, female</v>
      </c>
      <c r="C5665" t="s">
        <v>202</v>
      </c>
      <c r="D5665" t="s">
        <v>88</v>
      </c>
      <c r="E5665" t="s">
        <v>378</v>
      </c>
      <c r="F5665" t="s">
        <v>707</v>
      </c>
      <c r="G5665">
        <v>638000</v>
      </c>
      <c r="H5665">
        <v>658000</v>
      </c>
    </row>
    <row r="5666" spans="2:8" x14ac:dyDescent="0.25">
      <c r="B5666" t="str">
        <f t="shared" si="88"/>
        <v>MDGPopulation ages 40-44, male</v>
      </c>
      <c r="C5666" t="s">
        <v>202</v>
      </c>
      <c r="D5666" t="s">
        <v>88</v>
      </c>
      <c r="E5666" t="s">
        <v>379</v>
      </c>
      <c r="F5666" t="s">
        <v>708</v>
      </c>
      <c r="G5666">
        <v>635000</v>
      </c>
      <c r="H5666">
        <v>656000</v>
      </c>
    </row>
    <row r="5667" spans="2:8" x14ac:dyDescent="0.25">
      <c r="B5667" t="str">
        <f t="shared" si="88"/>
        <v>MDGPopulation ages 45-49, female</v>
      </c>
      <c r="C5667" t="s">
        <v>202</v>
      </c>
      <c r="D5667" t="s">
        <v>88</v>
      </c>
      <c r="E5667" t="s">
        <v>380</v>
      </c>
      <c r="F5667" t="s">
        <v>709</v>
      </c>
      <c r="G5667">
        <v>524000</v>
      </c>
      <c r="H5667">
        <v>543000</v>
      </c>
    </row>
    <row r="5668" spans="2:8" x14ac:dyDescent="0.25">
      <c r="B5668" t="str">
        <f t="shared" si="88"/>
        <v>MDGPopulation ages 45-49, male</v>
      </c>
      <c r="C5668" t="s">
        <v>202</v>
      </c>
      <c r="D5668" t="s">
        <v>88</v>
      </c>
      <c r="E5668" t="s">
        <v>381</v>
      </c>
      <c r="F5668" t="s">
        <v>710</v>
      </c>
      <c r="G5668">
        <v>511000</v>
      </c>
      <c r="H5668">
        <v>531000</v>
      </c>
    </row>
    <row r="5669" spans="2:8" x14ac:dyDescent="0.25">
      <c r="B5669" t="str">
        <f t="shared" si="88"/>
        <v>MDGPopulation ages 50-54, female</v>
      </c>
      <c r="C5669" t="s">
        <v>202</v>
      </c>
      <c r="D5669" t="s">
        <v>88</v>
      </c>
      <c r="E5669" t="s">
        <v>382</v>
      </c>
      <c r="F5669" t="s">
        <v>711</v>
      </c>
      <c r="G5669">
        <v>423000</v>
      </c>
      <c r="H5669">
        <v>439000</v>
      </c>
    </row>
    <row r="5670" spans="2:8" x14ac:dyDescent="0.25">
      <c r="B5670" t="str">
        <f t="shared" si="88"/>
        <v>MDGPopulation ages 50-54, male</v>
      </c>
      <c r="C5670" t="s">
        <v>202</v>
      </c>
      <c r="D5670" t="s">
        <v>88</v>
      </c>
      <c r="E5670" t="s">
        <v>383</v>
      </c>
      <c r="F5670" t="s">
        <v>712</v>
      </c>
      <c r="G5670">
        <v>404000</v>
      </c>
      <c r="H5670">
        <v>420000</v>
      </c>
    </row>
    <row r="5671" spans="2:8" x14ac:dyDescent="0.25">
      <c r="B5671" t="str">
        <f t="shared" si="88"/>
        <v>MDGPopulation ages 55-59, male</v>
      </c>
      <c r="C5671" t="s">
        <v>202</v>
      </c>
      <c r="D5671" t="s">
        <v>88</v>
      </c>
      <c r="E5671" t="s">
        <v>385</v>
      </c>
      <c r="F5671" t="s">
        <v>713</v>
      </c>
      <c r="G5671">
        <v>317000</v>
      </c>
      <c r="H5671">
        <v>328000</v>
      </c>
    </row>
    <row r="5672" spans="2:8" x14ac:dyDescent="0.25">
      <c r="B5672" t="str">
        <f t="shared" si="88"/>
        <v>MDGPopulation ages 55-59, female</v>
      </c>
      <c r="C5672" t="s">
        <v>202</v>
      </c>
      <c r="D5672" t="s">
        <v>88</v>
      </c>
      <c r="E5672" t="s">
        <v>384</v>
      </c>
      <c r="F5672" t="s">
        <v>714</v>
      </c>
      <c r="G5672">
        <v>341000</v>
      </c>
      <c r="H5672">
        <v>353000</v>
      </c>
    </row>
    <row r="5673" spans="2:8" x14ac:dyDescent="0.25">
      <c r="B5673" t="str">
        <f t="shared" si="88"/>
        <v>MDGPopulation ages 65-69, male</v>
      </c>
      <c r="C5673" t="s">
        <v>202</v>
      </c>
      <c r="D5673" t="s">
        <v>88</v>
      </c>
      <c r="E5673" t="s">
        <v>389</v>
      </c>
      <c r="F5673" t="s">
        <v>715</v>
      </c>
      <c r="G5673">
        <v>171000</v>
      </c>
      <c r="H5673">
        <v>181000</v>
      </c>
    </row>
    <row r="5674" spans="2:8" x14ac:dyDescent="0.25">
      <c r="B5674" t="str">
        <f t="shared" si="88"/>
        <v>MDGPopulation ages 65-69, female</v>
      </c>
      <c r="C5674" t="s">
        <v>202</v>
      </c>
      <c r="D5674" t="s">
        <v>88</v>
      </c>
      <c r="E5674" t="s">
        <v>388</v>
      </c>
      <c r="F5674" t="s">
        <v>716</v>
      </c>
      <c r="G5674">
        <v>193000</v>
      </c>
      <c r="H5674">
        <v>205000</v>
      </c>
    </row>
    <row r="5675" spans="2:8" x14ac:dyDescent="0.25">
      <c r="B5675" t="str">
        <f t="shared" si="88"/>
        <v>MDGPopulation ages 60-64, female</v>
      </c>
      <c r="C5675" t="s">
        <v>202</v>
      </c>
      <c r="D5675" t="s">
        <v>88</v>
      </c>
      <c r="E5675" t="s">
        <v>386</v>
      </c>
      <c r="F5675" t="s">
        <v>717</v>
      </c>
      <c r="G5675">
        <v>267000</v>
      </c>
      <c r="H5675">
        <v>277000</v>
      </c>
    </row>
    <row r="5676" spans="2:8" x14ac:dyDescent="0.25">
      <c r="B5676" t="str">
        <f t="shared" si="88"/>
        <v>MDGPopulation ages 60-64, male</v>
      </c>
      <c r="C5676" t="s">
        <v>202</v>
      </c>
      <c r="D5676" t="s">
        <v>88</v>
      </c>
      <c r="E5676" t="s">
        <v>387</v>
      </c>
      <c r="F5676" t="s">
        <v>718</v>
      </c>
      <c r="G5676">
        <v>243000</v>
      </c>
      <c r="H5676">
        <v>252000</v>
      </c>
    </row>
    <row r="5677" spans="2:8" x14ac:dyDescent="0.25">
      <c r="B5677" t="str">
        <f t="shared" si="88"/>
        <v>MDGPopulation ages 70-74, female</v>
      </c>
      <c r="C5677" t="s">
        <v>202</v>
      </c>
      <c r="D5677" t="s">
        <v>88</v>
      </c>
      <c r="E5677" t="s">
        <v>390</v>
      </c>
      <c r="F5677" t="s">
        <v>719</v>
      </c>
      <c r="G5677">
        <v>116000</v>
      </c>
      <c r="H5677">
        <v>122000</v>
      </c>
    </row>
    <row r="5678" spans="2:8" x14ac:dyDescent="0.25">
      <c r="B5678" t="str">
        <f t="shared" si="88"/>
        <v>MDGPopulation ages 70-74, male</v>
      </c>
      <c r="C5678" t="s">
        <v>202</v>
      </c>
      <c r="D5678" t="s">
        <v>88</v>
      </c>
      <c r="E5678" t="s">
        <v>391</v>
      </c>
      <c r="F5678" t="s">
        <v>720</v>
      </c>
      <c r="G5678">
        <v>96000</v>
      </c>
      <c r="H5678">
        <v>102000</v>
      </c>
    </row>
    <row r="5679" spans="2:8" x14ac:dyDescent="0.25">
      <c r="B5679" t="str">
        <f t="shared" si="88"/>
        <v>MDGPopulation ages 75-79, female</v>
      </c>
      <c r="C5679" t="s">
        <v>202</v>
      </c>
      <c r="D5679" t="s">
        <v>88</v>
      </c>
      <c r="E5679" t="s">
        <v>392</v>
      </c>
      <c r="F5679" t="s">
        <v>721</v>
      </c>
      <c r="G5679">
        <v>74000</v>
      </c>
      <c r="H5679">
        <v>76000</v>
      </c>
    </row>
    <row r="5680" spans="2:8" x14ac:dyDescent="0.25">
      <c r="B5680" t="str">
        <f t="shared" si="88"/>
        <v>MDGPopulation ages 75-79, male</v>
      </c>
      <c r="C5680" t="s">
        <v>202</v>
      </c>
      <c r="D5680" t="s">
        <v>88</v>
      </c>
      <c r="E5680" t="s">
        <v>393</v>
      </c>
      <c r="F5680" t="s">
        <v>722</v>
      </c>
      <c r="G5680">
        <v>58000</v>
      </c>
      <c r="H5680">
        <v>59000</v>
      </c>
    </row>
    <row r="5681" spans="2:8" x14ac:dyDescent="0.25">
      <c r="B5681" t="str">
        <f t="shared" si="88"/>
        <v>MDGPopulation ages 80 and above, female</v>
      </c>
      <c r="C5681" t="s">
        <v>202</v>
      </c>
      <c r="D5681" t="s">
        <v>88</v>
      </c>
      <c r="E5681" t="s">
        <v>394</v>
      </c>
      <c r="F5681" t="s">
        <v>723</v>
      </c>
      <c r="G5681">
        <v>63000</v>
      </c>
      <c r="H5681">
        <v>63000</v>
      </c>
    </row>
    <row r="5682" spans="2:8" x14ac:dyDescent="0.25">
      <c r="B5682" t="str">
        <f t="shared" si="88"/>
        <v>MDGPopulation ages 80 and above, male</v>
      </c>
      <c r="C5682" t="s">
        <v>202</v>
      </c>
      <c r="D5682" t="s">
        <v>88</v>
      </c>
      <c r="E5682" t="s">
        <v>395</v>
      </c>
      <c r="F5682" t="s">
        <v>724</v>
      </c>
      <c r="G5682">
        <v>51000</v>
      </c>
      <c r="H5682">
        <v>50000</v>
      </c>
    </row>
    <row r="5683" spans="2:8" x14ac:dyDescent="0.25">
      <c r="B5683" t="str">
        <f t="shared" si="88"/>
        <v>MDGPopulation, male</v>
      </c>
      <c r="C5683" t="s">
        <v>202</v>
      </c>
      <c r="D5683" t="s">
        <v>88</v>
      </c>
      <c r="E5683" t="s">
        <v>397</v>
      </c>
      <c r="F5683" t="s">
        <v>725</v>
      </c>
      <c r="G5683">
        <v>13453000</v>
      </c>
      <c r="H5683">
        <v>13815000</v>
      </c>
    </row>
    <row r="5684" spans="2:8" x14ac:dyDescent="0.25">
      <c r="B5684" t="str">
        <f t="shared" si="88"/>
        <v>MDGPopulation, total</v>
      </c>
      <c r="C5684" t="s">
        <v>202</v>
      </c>
      <c r="D5684" t="s">
        <v>88</v>
      </c>
      <c r="E5684" t="s">
        <v>398</v>
      </c>
      <c r="F5684" t="s">
        <v>726</v>
      </c>
      <c r="G5684">
        <v>26969000</v>
      </c>
      <c r="H5684">
        <v>27691000</v>
      </c>
    </row>
    <row r="5685" spans="2:8" x14ac:dyDescent="0.25">
      <c r="B5685" t="str">
        <f t="shared" si="88"/>
        <v>MDGPopulation, female</v>
      </c>
      <c r="C5685" t="s">
        <v>202</v>
      </c>
      <c r="D5685" t="s">
        <v>88</v>
      </c>
      <c r="E5685" t="s">
        <v>396</v>
      </c>
      <c r="F5685" t="s">
        <v>727</v>
      </c>
      <c r="G5685">
        <v>13516000</v>
      </c>
      <c r="H5685">
        <v>13876000</v>
      </c>
    </row>
    <row r="5686" spans="2:8" x14ac:dyDescent="0.25">
      <c r="B5686" t="str">
        <f t="shared" si="88"/>
        <v>MDGPopulation growth (annual %)</v>
      </c>
      <c r="C5686" t="s">
        <v>202</v>
      </c>
      <c r="D5686" t="s">
        <v>88</v>
      </c>
      <c r="E5686" t="s">
        <v>399</v>
      </c>
      <c r="F5686" t="s">
        <v>728</v>
      </c>
      <c r="G5686">
        <v>0</v>
      </c>
      <c r="H5686">
        <v>0</v>
      </c>
    </row>
    <row r="5687" spans="2:8" x14ac:dyDescent="0.25">
      <c r="B5687" t="str">
        <f t="shared" si="88"/>
        <v>MWIPopulation ages 0-14, female</v>
      </c>
      <c r="C5687" t="s">
        <v>203</v>
      </c>
      <c r="D5687" t="s">
        <v>100</v>
      </c>
      <c r="E5687" t="s">
        <v>687</v>
      </c>
      <c r="F5687" t="s">
        <v>688</v>
      </c>
      <c r="G5687">
        <v>4018000</v>
      </c>
      <c r="H5687">
        <v>4079000</v>
      </c>
    </row>
    <row r="5688" spans="2:8" x14ac:dyDescent="0.25">
      <c r="B5688" t="str">
        <f t="shared" si="88"/>
        <v>MWIPopulation ages 0-14, male</v>
      </c>
      <c r="C5688" t="s">
        <v>203</v>
      </c>
      <c r="D5688" t="s">
        <v>100</v>
      </c>
      <c r="E5688" t="s">
        <v>689</v>
      </c>
      <c r="F5688" t="s">
        <v>690</v>
      </c>
      <c r="G5688">
        <v>4080000</v>
      </c>
      <c r="H5688">
        <v>4145000</v>
      </c>
    </row>
    <row r="5689" spans="2:8" x14ac:dyDescent="0.25">
      <c r="B5689" t="str">
        <f t="shared" si="88"/>
        <v>MWIPopulation ages 00-04, female</v>
      </c>
      <c r="C5689" t="s">
        <v>203</v>
      </c>
      <c r="D5689" t="s">
        <v>100</v>
      </c>
      <c r="E5689" t="s">
        <v>362</v>
      </c>
      <c r="F5689" t="s">
        <v>691</v>
      </c>
      <c r="G5689">
        <v>1424000</v>
      </c>
      <c r="H5689">
        <v>1447000</v>
      </c>
    </row>
    <row r="5690" spans="2:8" x14ac:dyDescent="0.25">
      <c r="B5690" t="str">
        <f t="shared" si="88"/>
        <v>MWIPopulation ages 00-04, male</v>
      </c>
      <c r="C5690" t="s">
        <v>203</v>
      </c>
      <c r="D5690" t="s">
        <v>100</v>
      </c>
      <c r="E5690" t="s">
        <v>363</v>
      </c>
      <c r="F5690" t="s">
        <v>692</v>
      </c>
      <c r="G5690">
        <v>1454000</v>
      </c>
      <c r="H5690">
        <v>1477000</v>
      </c>
    </row>
    <row r="5691" spans="2:8" x14ac:dyDescent="0.25">
      <c r="B5691" t="str">
        <f t="shared" si="88"/>
        <v>MWIPopulation ages 05-09, female</v>
      </c>
      <c r="C5691" t="s">
        <v>203</v>
      </c>
      <c r="D5691" t="s">
        <v>100</v>
      </c>
      <c r="E5691" t="s">
        <v>364</v>
      </c>
      <c r="F5691" t="s">
        <v>693</v>
      </c>
      <c r="G5691">
        <v>1349000</v>
      </c>
      <c r="H5691">
        <v>1357000</v>
      </c>
    </row>
    <row r="5692" spans="2:8" x14ac:dyDescent="0.25">
      <c r="B5692" t="str">
        <f t="shared" si="88"/>
        <v>MWIPopulation ages 05-09, male</v>
      </c>
      <c r="C5692" t="s">
        <v>203</v>
      </c>
      <c r="D5692" t="s">
        <v>100</v>
      </c>
      <c r="E5692" t="s">
        <v>365</v>
      </c>
      <c r="F5692" t="s">
        <v>694</v>
      </c>
      <c r="G5692">
        <v>1372000</v>
      </c>
      <c r="H5692">
        <v>1382000</v>
      </c>
    </row>
    <row r="5693" spans="2:8" x14ac:dyDescent="0.25">
      <c r="B5693" t="str">
        <f t="shared" si="88"/>
        <v>MWIPopulation ages 10-14, female</v>
      </c>
      <c r="C5693" t="s">
        <v>203</v>
      </c>
      <c r="D5693" t="s">
        <v>100</v>
      </c>
      <c r="E5693" t="s">
        <v>366</v>
      </c>
      <c r="F5693" t="s">
        <v>695</v>
      </c>
      <c r="G5693">
        <v>1245000</v>
      </c>
      <c r="H5693">
        <v>1275000</v>
      </c>
    </row>
    <row r="5694" spans="2:8" x14ac:dyDescent="0.25">
      <c r="B5694" t="str">
        <f t="shared" si="88"/>
        <v>MWIPopulation ages 10-14, male</v>
      </c>
      <c r="C5694" t="s">
        <v>203</v>
      </c>
      <c r="D5694" t="s">
        <v>100</v>
      </c>
      <c r="E5694" t="s">
        <v>367</v>
      </c>
      <c r="F5694" t="s">
        <v>696</v>
      </c>
      <c r="G5694">
        <v>1255000</v>
      </c>
      <c r="H5694">
        <v>1287000</v>
      </c>
    </row>
    <row r="5695" spans="2:8" x14ac:dyDescent="0.25">
      <c r="B5695" t="str">
        <f t="shared" si="88"/>
        <v>MWIPopulation ages 15-19, female</v>
      </c>
      <c r="C5695" t="s">
        <v>203</v>
      </c>
      <c r="D5695" t="s">
        <v>100</v>
      </c>
      <c r="E5695" t="s">
        <v>368</v>
      </c>
      <c r="F5695" t="s">
        <v>697</v>
      </c>
      <c r="G5695">
        <v>1053000</v>
      </c>
      <c r="H5695">
        <v>1088000</v>
      </c>
    </row>
    <row r="5696" spans="2:8" x14ac:dyDescent="0.25">
      <c r="B5696" t="str">
        <f t="shared" si="88"/>
        <v>MWIPopulation ages 15-19, male</v>
      </c>
      <c r="C5696" t="s">
        <v>203</v>
      </c>
      <c r="D5696" t="s">
        <v>100</v>
      </c>
      <c r="E5696" t="s">
        <v>369</v>
      </c>
      <c r="F5696" t="s">
        <v>698</v>
      </c>
      <c r="G5696">
        <v>1052000</v>
      </c>
      <c r="H5696">
        <v>1088000</v>
      </c>
    </row>
    <row r="5697" spans="2:8" x14ac:dyDescent="0.25">
      <c r="B5697" t="str">
        <f t="shared" si="88"/>
        <v>MWIPopulation ages 20-24, female</v>
      </c>
      <c r="C5697" t="s">
        <v>203</v>
      </c>
      <c r="D5697" t="s">
        <v>100</v>
      </c>
      <c r="E5697" t="s">
        <v>370</v>
      </c>
      <c r="F5697" t="s">
        <v>699</v>
      </c>
      <c r="G5697">
        <v>897000</v>
      </c>
      <c r="H5697">
        <v>925000</v>
      </c>
    </row>
    <row r="5698" spans="2:8" x14ac:dyDescent="0.25">
      <c r="B5698" t="str">
        <f t="shared" si="88"/>
        <v>MWIPopulation ages 20-24, male</v>
      </c>
      <c r="C5698" t="s">
        <v>203</v>
      </c>
      <c r="D5698" t="s">
        <v>100</v>
      </c>
      <c r="E5698" t="s">
        <v>371</v>
      </c>
      <c r="F5698" t="s">
        <v>700</v>
      </c>
      <c r="G5698">
        <v>885000</v>
      </c>
      <c r="H5698">
        <v>914000</v>
      </c>
    </row>
    <row r="5699" spans="2:8" x14ac:dyDescent="0.25">
      <c r="B5699" t="str">
        <f t="shared" si="88"/>
        <v>MWIPopulation ages 25-29, female</v>
      </c>
      <c r="C5699" t="s">
        <v>203</v>
      </c>
      <c r="D5699" t="s">
        <v>100</v>
      </c>
      <c r="E5699" t="s">
        <v>372</v>
      </c>
      <c r="F5699" t="s">
        <v>701</v>
      </c>
      <c r="G5699">
        <v>761000</v>
      </c>
      <c r="H5699">
        <v>782000</v>
      </c>
    </row>
    <row r="5700" spans="2:8" x14ac:dyDescent="0.25">
      <c r="B5700" t="str">
        <f t="shared" si="88"/>
        <v>MWIPopulation ages 25-29, male</v>
      </c>
      <c r="C5700" t="s">
        <v>203</v>
      </c>
      <c r="D5700" t="s">
        <v>100</v>
      </c>
      <c r="E5700" t="s">
        <v>373</v>
      </c>
      <c r="F5700" t="s">
        <v>702</v>
      </c>
      <c r="G5700">
        <v>734000</v>
      </c>
      <c r="H5700">
        <v>757000</v>
      </c>
    </row>
    <row r="5701" spans="2:8" x14ac:dyDescent="0.25">
      <c r="B5701" t="str">
        <f t="shared" si="88"/>
        <v>MWIPopulation ages 30-34, female</v>
      </c>
      <c r="C5701" t="s">
        <v>203</v>
      </c>
      <c r="D5701" t="s">
        <v>100</v>
      </c>
      <c r="E5701" t="s">
        <v>374</v>
      </c>
      <c r="F5701" t="s">
        <v>703</v>
      </c>
      <c r="G5701">
        <v>637000</v>
      </c>
      <c r="H5701">
        <v>663000</v>
      </c>
    </row>
    <row r="5702" spans="2:8" x14ac:dyDescent="0.25">
      <c r="B5702" t="str">
        <f t="shared" si="88"/>
        <v>MWIPopulation ages 30-34, male</v>
      </c>
      <c r="C5702" t="s">
        <v>203</v>
      </c>
      <c r="D5702" t="s">
        <v>100</v>
      </c>
      <c r="E5702" t="s">
        <v>375</v>
      </c>
      <c r="F5702" t="s">
        <v>704</v>
      </c>
      <c r="G5702">
        <v>605000</v>
      </c>
      <c r="H5702">
        <v>630000</v>
      </c>
    </row>
    <row r="5703" spans="2:8" x14ac:dyDescent="0.25">
      <c r="B5703" t="str">
        <f t="shared" ref="B5703:B5766" si="89">CONCATENATE(D5703,E5703)</f>
        <v>MWIPopulation ages 35-39, female</v>
      </c>
      <c r="C5703" t="s">
        <v>203</v>
      </c>
      <c r="D5703" t="s">
        <v>100</v>
      </c>
      <c r="E5703" t="s">
        <v>376</v>
      </c>
      <c r="F5703" t="s">
        <v>705</v>
      </c>
      <c r="G5703">
        <v>489000</v>
      </c>
      <c r="H5703">
        <v>510000</v>
      </c>
    </row>
    <row r="5704" spans="2:8" x14ac:dyDescent="0.25">
      <c r="B5704" t="str">
        <f t="shared" si="89"/>
        <v>MWIPopulation ages 35-39, male</v>
      </c>
      <c r="C5704" t="s">
        <v>203</v>
      </c>
      <c r="D5704" t="s">
        <v>100</v>
      </c>
      <c r="E5704" t="s">
        <v>377</v>
      </c>
      <c r="F5704" t="s">
        <v>706</v>
      </c>
      <c r="G5704">
        <v>465000</v>
      </c>
      <c r="H5704">
        <v>484000</v>
      </c>
    </row>
    <row r="5705" spans="2:8" x14ac:dyDescent="0.25">
      <c r="B5705" t="str">
        <f t="shared" si="89"/>
        <v>MWIPopulation ages 40-44, female</v>
      </c>
      <c r="C5705" t="s">
        <v>203</v>
      </c>
      <c r="D5705" t="s">
        <v>100</v>
      </c>
      <c r="E5705" t="s">
        <v>378</v>
      </c>
      <c r="F5705" t="s">
        <v>707</v>
      </c>
      <c r="G5705">
        <v>399000</v>
      </c>
      <c r="H5705">
        <v>414000</v>
      </c>
    </row>
    <row r="5706" spans="2:8" x14ac:dyDescent="0.25">
      <c r="B5706" t="str">
        <f t="shared" si="89"/>
        <v>MWIPopulation ages 40-44, male</v>
      </c>
      <c r="C5706" t="s">
        <v>203</v>
      </c>
      <c r="D5706" t="s">
        <v>100</v>
      </c>
      <c r="E5706" t="s">
        <v>379</v>
      </c>
      <c r="F5706" t="s">
        <v>708</v>
      </c>
      <c r="G5706">
        <v>379000</v>
      </c>
      <c r="H5706">
        <v>393000</v>
      </c>
    </row>
    <row r="5707" spans="2:8" x14ac:dyDescent="0.25">
      <c r="B5707" t="str">
        <f t="shared" si="89"/>
        <v>MWIPopulation ages 45-49, female</v>
      </c>
      <c r="C5707" t="s">
        <v>203</v>
      </c>
      <c r="D5707" t="s">
        <v>100</v>
      </c>
      <c r="E5707" t="s">
        <v>380</v>
      </c>
      <c r="F5707" t="s">
        <v>709</v>
      </c>
      <c r="G5707">
        <v>312000</v>
      </c>
      <c r="H5707">
        <v>325000</v>
      </c>
    </row>
    <row r="5708" spans="2:8" x14ac:dyDescent="0.25">
      <c r="B5708" t="str">
        <f t="shared" si="89"/>
        <v>MWIPopulation ages 45-49, male</v>
      </c>
      <c r="C5708" t="s">
        <v>203</v>
      </c>
      <c r="D5708" t="s">
        <v>100</v>
      </c>
      <c r="E5708" t="s">
        <v>381</v>
      </c>
      <c r="F5708" t="s">
        <v>710</v>
      </c>
      <c r="G5708">
        <v>291000</v>
      </c>
      <c r="H5708">
        <v>304000</v>
      </c>
    </row>
    <row r="5709" spans="2:8" x14ac:dyDescent="0.25">
      <c r="B5709" t="str">
        <f t="shared" si="89"/>
        <v>MWIPopulation ages 50-54, female</v>
      </c>
      <c r="C5709" t="s">
        <v>203</v>
      </c>
      <c r="D5709" t="s">
        <v>100</v>
      </c>
      <c r="E5709" t="s">
        <v>382</v>
      </c>
      <c r="F5709" t="s">
        <v>711</v>
      </c>
      <c r="G5709">
        <v>244000</v>
      </c>
      <c r="H5709">
        <v>255000</v>
      </c>
    </row>
    <row r="5710" spans="2:8" x14ac:dyDescent="0.25">
      <c r="B5710" t="str">
        <f t="shared" si="89"/>
        <v>MWIPopulation ages 50-54, male</v>
      </c>
      <c r="C5710" t="s">
        <v>203</v>
      </c>
      <c r="D5710" t="s">
        <v>100</v>
      </c>
      <c r="E5710" t="s">
        <v>383</v>
      </c>
      <c r="F5710" t="s">
        <v>712</v>
      </c>
      <c r="G5710">
        <v>217000</v>
      </c>
      <c r="H5710">
        <v>227000</v>
      </c>
    </row>
    <row r="5711" spans="2:8" x14ac:dyDescent="0.25">
      <c r="B5711" t="str">
        <f t="shared" si="89"/>
        <v>MWIPopulation ages 55-59, male</v>
      </c>
      <c r="C5711" t="s">
        <v>203</v>
      </c>
      <c r="D5711" t="s">
        <v>100</v>
      </c>
      <c r="E5711" t="s">
        <v>385</v>
      </c>
      <c r="F5711" t="s">
        <v>713</v>
      </c>
      <c r="G5711">
        <v>161000</v>
      </c>
      <c r="H5711">
        <v>167000</v>
      </c>
    </row>
    <row r="5712" spans="2:8" x14ac:dyDescent="0.25">
      <c r="B5712" t="str">
        <f t="shared" si="89"/>
        <v>MWIPopulation ages 55-59, female</v>
      </c>
      <c r="C5712" t="s">
        <v>203</v>
      </c>
      <c r="D5712" t="s">
        <v>100</v>
      </c>
      <c r="E5712" t="s">
        <v>384</v>
      </c>
      <c r="F5712" t="s">
        <v>714</v>
      </c>
      <c r="G5712">
        <v>190000</v>
      </c>
      <c r="H5712">
        <v>197000</v>
      </c>
    </row>
    <row r="5713" spans="2:8" x14ac:dyDescent="0.25">
      <c r="B5713" t="str">
        <f t="shared" si="89"/>
        <v>MWIPopulation ages 65-69, male</v>
      </c>
      <c r="C5713" t="s">
        <v>203</v>
      </c>
      <c r="D5713" t="s">
        <v>100</v>
      </c>
      <c r="E5713" t="s">
        <v>389</v>
      </c>
      <c r="F5713" t="s">
        <v>715</v>
      </c>
      <c r="G5713">
        <v>85000</v>
      </c>
      <c r="H5713">
        <v>88000</v>
      </c>
    </row>
    <row r="5714" spans="2:8" x14ac:dyDescent="0.25">
      <c r="B5714" t="str">
        <f t="shared" si="89"/>
        <v>MWIPopulation ages 65-69, female</v>
      </c>
      <c r="C5714" t="s">
        <v>203</v>
      </c>
      <c r="D5714" t="s">
        <v>100</v>
      </c>
      <c r="E5714" t="s">
        <v>388</v>
      </c>
      <c r="F5714" t="s">
        <v>716</v>
      </c>
      <c r="G5714">
        <v>112000</v>
      </c>
      <c r="H5714">
        <v>115000</v>
      </c>
    </row>
    <row r="5715" spans="2:8" x14ac:dyDescent="0.25">
      <c r="B5715" t="str">
        <f t="shared" si="89"/>
        <v>MWIPopulation ages 60-64, female</v>
      </c>
      <c r="C5715" t="s">
        <v>203</v>
      </c>
      <c r="D5715" t="s">
        <v>100</v>
      </c>
      <c r="E5715" t="s">
        <v>386</v>
      </c>
      <c r="F5715" t="s">
        <v>717</v>
      </c>
      <c r="G5715">
        <v>148000</v>
      </c>
      <c r="H5715">
        <v>154000</v>
      </c>
    </row>
    <row r="5716" spans="2:8" x14ac:dyDescent="0.25">
      <c r="B5716" t="str">
        <f t="shared" si="89"/>
        <v>MWIPopulation ages 60-64, male</v>
      </c>
      <c r="C5716" t="s">
        <v>203</v>
      </c>
      <c r="D5716" t="s">
        <v>100</v>
      </c>
      <c r="E5716" t="s">
        <v>387</v>
      </c>
      <c r="F5716" t="s">
        <v>718</v>
      </c>
      <c r="G5716">
        <v>119000</v>
      </c>
      <c r="H5716">
        <v>124000</v>
      </c>
    </row>
    <row r="5717" spans="2:8" x14ac:dyDescent="0.25">
      <c r="B5717" t="str">
        <f t="shared" si="89"/>
        <v>MWIPopulation ages 70-74, female</v>
      </c>
      <c r="C5717" t="s">
        <v>203</v>
      </c>
      <c r="D5717" t="s">
        <v>100</v>
      </c>
      <c r="E5717" t="s">
        <v>390</v>
      </c>
      <c r="F5717" t="s">
        <v>719</v>
      </c>
      <c r="G5717">
        <v>89000</v>
      </c>
      <c r="H5717">
        <v>91000</v>
      </c>
    </row>
    <row r="5718" spans="2:8" x14ac:dyDescent="0.25">
      <c r="B5718" t="str">
        <f t="shared" si="89"/>
        <v>MWIPopulation ages 70-74, male</v>
      </c>
      <c r="C5718" t="s">
        <v>203</v>
      </c>
      <c r="D5718" t="s">
        <v>100</v>
      </c>
      <c r="E5718" t="s">
        <v>391</v>
      </c>
      <c r="F5718" t="s">
        <v>720</v>
      </c>
      <c r="G5718">
        <v>60000</v>
      </c>
      <c r="H5718">
        <v>62000</v>
      </c>
    </row>
    <row r="5719" spans="2:8" x14ac:dyDescent="0.25">
      <c r="B5719" t="str">
        <f t="shared" si="89"/>
        <v>MWIPopulation ages 75-79, female</v>
      </c>
      <c r="C5719" t="s">
        <v>203</v>
      </c>
      <c r="D5719" t="s">
        <v>100</v>
      </c>
      <c r="E5719" t="s">
        <v>392</v>
      </c>
      <c r="F5719" t="s">
        <v>721</v>
      </c>
      <c r="G5719">
        <v>55000</v>
      </c>
      <c r="H5719">
        <v>58000</v>
      </c>
    </row>
    <row r="5720" spans="2:8" x14ac:dyDescent="0.25">
      <c r="B5720" t="str">
        <f t="shared" si="89"/>
        <v>MWIPopulation ages 75-79, male</v>
      </c>
      <c r="C5720" t="s">
        <v>203</v>
      </c>
      <c r="D5720" t="s">
        <v>100</v>
      </c>
      <c r="E5720" t="s">
        <v>393</v>
      </c>
      <c r="F5720" t="s">
        <v>722</v>
      </c>
      <c r="G5720">
        <v>33000</v>
      </c>
      <c r="H5720">
        <v>34000</v>
      </c>
    </row>
    <row r="5721" spans="2:8" x14ac:dyDescent="0.25">
      <c r="B5721" t="str">
        <f t="shared" si="89"/>
        <v>MWIPopulation ages 80 and above, female</v>
      </c>
      <c r="C5721" t="s">
        <v>203</v>
      </c>
      <c r="D5721" t="s">
        <v>100</v>
      </c>
      <c r="E5721" t="s">
        <v>394</v>
      </c>
      <c r="F5721" t="s">
        <v>723</v>
      </c>
      <c r="G5721">
        <v>39000</v>
      </c>
      <c r="H5721">
        <v>40000</v>
      </c>
    </row>
    <row r="5722" spans="2:8" x14ac:dyDescent="0.25">
      <c r="B5722" t="str">
        <f t="shared" si="89"/>
        <v>MWIPopulation ages 80 and above, male</v>
      </c>
      <c r="C5722" t="s">
        <v>203</v>
      </c>
      <c r="D5722" t="s">
        <v>100</v>
      </c>
      <c r="E5722" t="s">
        <v>395</v>
      </c>
      <c r="F5722" t="s">
        <v>724</v>
      </c>
      <c r="G5722">
        <v>19000</v>
      </c>
      <c r="H5722">
        <v>19000</v>
      </c>
    </row>
    <row r="5723" spans="2:8" x14ac:dyDescent="0.25">
      <c r="B5723" t="str">
        <f t="shared" si="89"/>
        <v>MWIPopulation, male</v>
      </c>
      <c r="C5723" t="s">
        <v>203</v>
      </c>
      <c r="D5723" t="s">
        <v>100</v>
      </c>
      <c r="E5723" t="s">
        <v>397</v>
      </c>
      <c r="F5723" t="s">
        <v>725</v>
      </c>
      <c r="G5723">
        <v>9185000</v>
      </c>
      <c r="H5723">
        <v>9434000</v>
      </c>
    </row>
    <row r="5724" spans="2:8" x14ac:dyDescent="0.25">
      <c r="B5724" t="str">
        <f t="shared" si="89"/>
        <v>MWIPopulation, total</v>
      </c>
      <c r="C5724" t="s">
        <v>203</v>
      </c>
      <c r="D5724" t="s">
        <v>100</v>
      </c>
      <c r="E5724" t="s">
        <v>398</v>
      </c>
      <c r="F5724" t="s">
        <v>726</v>
      </c>
      <c r="G5724">
        <v>18629000</v>
      </c>
      <c r="H5724">
        <v>19130000</v>
      </c>
    </row>
    <row r="5725" spans="2:8" x14ac:dyDescent="0.25">
      <c r="B5725" t="str">
        <f t="shared" si="89"/>
        <v>MWIPopulation, female</v>
      </c>
      <c r="C5725" t="s">
        <v>203</v>
      </c>
      <c r="D5725" t="s">
        <v>100</v>
      </c>
      <c r="E5725" t="s">
        <v>396</v>
      </c>
      <c r="F5725" t="s">
        <v>727</v>
      </c>
      <c r="G5725">
        <v>9443000</v>
      </c>
      <c r="H5725">
        <v>9696000</v>
      </c>
    </row>
    <row r="5726" spans="2:8" x14ac:dyDescent="0.25">
      <c r="B5726" t="str">
        <f t="shared" si="89"/>
        <v>MWIPopulation growth (annual %)</v>
      </c>
      <c r="C5726" t="s">
        <v>203</v>
      </c>
      <c r="D5726" t="s">
        <v>100</v>
      </c>
      <c r="E5726" t="s">
        <v>399</v>
      </c>
      <c r="F5726" t="s">
        <v>728</v>
      </c>
      <c r="G5726">
        <v>0</v>
      </c>
      <c r="H5726">
        <v>0</v>
      </c>
    </row>
    <row r="5727" spans="2:8" x14ac:dyDescent="0.25">
      <c r="B5727" t="str">
        <f t="shared" si="89"/>
        <v>MYSPopulation ages 0-14, female</v>
      </c>
      <c r="C5727" t="s">
        <v>566</v>
      </c>
      <c r="D5727" t="s">
        <v>101</v>
      </c>
      <c r="E5727" t="s">
        <v>687</v>
      </c>
      <c r="F5727" t="s">
        <v>688</v>
      </c>
      <c r="G5727">
        <v>3674000</v>
      </c>
      <c r="H5727">
        <v>3683000</v>
      </c>
    </row>
    <row r="5728" spans="2:8" x14ac:dyDescent="0.25">
      <c r="B5728" t="str">
        <f t="shared" si="89"/>
        <v>MYSPopulation ages 0-14, male</v>
      </c>
      <c r="C5728" t="s">
        <v>566</v>
      </c>
      <c r="D5728" t="s">
        <v>101</v>
      </c>
      <c r="E5728" t="s">
        <v>689</v>
      </c>
      <c r="F5728" t="s">
        <v>690</v>
      </c>
      <c r="G5728">
        <v>3897000</v>
      </c>
      <c r="H5728">
        <v>3906000</v>
      </c>
    </row>
    <row r="5729" spans="2:8" x14ac:dyDescent="0.25">
      <c r="B5729" t="str">
        <f t="shared" si="89"/>
        <v>MYSPopulation ages 00-04, female</v>
      </c>
      <c r="C5729" t="s">
        <v>566</v>
      </c>
      <c r="D5729" t="s">
        <v>101</v>
      </c>
      <c r="E5729" t="s">
        <v>362</v>
      </c>
      <c r="F5729" t="s">
        <v>691</v>
      </c>
      <c r="G5729">
        <v>1271000</v>
      </c>
      <c r="H5729">
        <v>1279000</v>
      </c>
    </row>
    <row r="5730" spans="2:8" x14ac:dyDescent="0.25">
      <c r="B5730" t="str">
        <f t="shared" si="89"/>
        <v>MYSPopulation ages 00-04, male</v>
      </c>
      <c r="C5730" t="s">
        <v>566</v>
      </c>
      <c r="D5730" t="s">
        <v>101</v>
      </c>
      <c r="E5730" t="s">
        <v>363</v>
      </c>
      <c r="F5730" t="s">
        <v>692</v>
      </c>
      <c r="G5730">
        <v>1349000</v>
      </c>
      <c r="H5730">
        <v>1356000</v>
      </c>
    </row>
    <row r="5731" spans="2:8" x14ac:dyDescent="0.25">
      <c r="B5731" t="str">
        <f t="shared" si="89"/>
        <v>MYSPopulation ages 05-09, female</v>
      </c>
      <c r="C5731" t="s">
        <v>566</v>
      </c>
      <c r="D5731" t="s">
        <v>101</v>
      </c>
      <c r="E5731" t="s">
        <v>364</v>
      </c>
      <c r="F5731" t="s">
        <v>693</v>
      </c>
      <c r="G5731">
        <v>1203000</v>
      </c>
      <c r="H5731">
        <v>1217000</v>
      </c>
    </row>
    <row r="5732" spans="2:8" x14ac:dyDescent="0.25">
      <c r="B5732" t="str">
        <f t="shared" si="89"/>
        <v>MYSPopulation ages 05-09, male</v>
      </c>
      <c r="C5732" t="s">
        <v>566</v>
      </c>
      <c r="D5732" t="s">
        <v>101</v>
      </c>
      <c r="E5732" t="s">
        <v>365</v>
      </c>
      <c r="F5732" t="s">
        <v>694</v>
      </c>
      <c r="G5732">
        <v>1275000</v>
      </c>
      <c r="H5732">
        <v>1291000</v>
      </c>
    </row>
    <row r="5733" spans="2:8" x14ac:dyDescent="0.25">
      <c r="B5733" t="str">
        <f t="shared" si="89"/>
        <v>MYSPopulation ages 10-14, female</v>
      </c>
      <c r="C5733" t="s">
        <v>566</v>
      </c>
      <c r="D5733" t="s">
        <v>101</v>
      </c>
      <c r="E5733" t="s">
        <v>366</v>
      </c>
      <c r="F5733" t="s">
        <v>695</v>
      </c>
      <c r="G5733">
        <v>1200000</v>
      </c>
      <c r="H5733">
        <v>1188000</v>
      </c>
    </row>
    <row r="5734" spans="2:8" x14ac:dyDescent="0.25">
      <c r="B5734" t="str">
        <f t="shared" si="89"/>
        <v>MYSPopulation ages 10-14, male</v>
      </c>
      <c r="C5734" t="s">
        <v>566</v>
      </c>
      <c r="D5734" t="s">
        <v>101</v>
      </c>
      <c r="E5734" t="s">
        <v>367</v>
      </c>
      <c r="F5734" t="s">
        <v>696</v>
      </c>
      <c r="G5734">
        <v>1272000</v>
      </c>
      <c r="H5734">
        <v>1258000</v>
      </c>
    </row>
    <row r="5735" spans="2:8" x14ac:dyDescent="0.25">
      <c r="B5735" t="str">
        <f t="shared" si="89"/>
        <v>MYSPopulation ages 15-19, female</v>
      </c>
      <c r="C5735" t="s">
        <v>566</v>
      </c>
      <c r="D5735" t="s">
        <v>101</v>
      </c>
      <c r="E5735" t="s">
        <v>368</v>
      </c>
      <c r="F5735" t="s">
        <v>697</v>
      </c>
      <c r="G5735">
        <v>1314000</v>
      </c>
      <c r="H5735">
        <v>1293000</v>
      </c>
    </row>
    <row r="5736" spans="2:8" x14ac:dyDescent="0.25">
      <c r="B5736" t="str">
        <f t="shared" si="89"/>
        <v>MYSPopulation ages 15-19, male</v>
      </c>
      <c r="C5736" t="s">
        <v>566</v>
      </c>
      <c r="D5736" t="s">
        <v>101</v>
      </c>
      <c r="E5736" t="s">
        <v>369</v>
      </c>
      <c r="F5736" t="s">
        <v>698</v>
      </c>
      <c r="G5736">
        <v>1399000</v>
      </c>
      <c r="H5736">
        <v>1377000</v>
      </c>
    </row>
    <row r="5737" spans="2:8" x14ac:dyDescent="0.25">
      <c r="B5737" t="str">
        <f t="shared" si="89"/>
        <v>MYSPopulation ages 20-24, female</v>
      </c>
      <c r="C5737" t="s">
        <v>566</v>
      </c>
      <c r="D5737" t="s">
        <v>101</v>
      </c>
      <c r="E5737" t="s">
        <v>370</v>
      </c>
      <c r="F5737" t="s">
        <v>699</v>
      </c>
      <c r="G5737">
        <v>1396000</v>
      </c>
      <c r="H5737">
        <v>1389000</v>
      </c>
    </row>
    <row r="5738" spans="2:8" x14ac:dyDescent="0.25">
      <c r="B5738" t="str">
        <f t="shared" si="89"/>
        <v>MYSPopulation ages 20-24, male</v>
      </c>
      <c r="C5738" t="s">
        <v>566</v>
      </c>
      <c r="D5738" t="s">
        <v>101</v>
      </c>
      <c r="E5738" t="s">
        <v>371</v>
      </c>
      <c r="F5738" t="s">
        <v>700</v>
      </c>
      <c r="G5738">
        <v>1479000</v>
      </c>
      <c r="H5738">
        <v>1474000</v>
      </c>
    </row>
    <row r="5739" spans="2:8" x14ac:dyDescent="0.25">
      <c r="B5739" t="str">
        <f t="shared" si="89"/>
        <v>MYSPopulation ages 25-29, female</v>
      </c>
      <c r="C5739" t="s">
        <v>566</v>
      </c>
      <c r="D5739" t="s">
        <v>101</v>
      </c>
      <c r="E5739" t="s">
        <v>372</v>
      </c>
      <c r="F5739" t="s">
        <v>701</v>
      </c>
      <c r="G5739">
        <v>1415000</v>
      </c>
      <c r="H5739">
        <v>1414000</v>
      </c>
    </row>
    <row r="5740" spans="2:8" x14ac:dyDescent="0.25">
      <c r="B5740" t="str">
        <f t="shared" si="89"/>
        <v>MYSPopulation ages 25-29, male</v>
      </c>
      <c r="C5740" t="s">
        <v>566</v>
      </c>
      <c r="D5740" t="s">
        <v>101</v>
      </c>
      <c r="E5740" t="s">
        <v>373</v>
      </c>
      <c r="F5740" t="s">
        <v>702</v>
      </c>
      <c r="G5740">
        <v>1494000</v>
      </c>
      <c r="H5740">
        <v>1493000</v>
      </c>
    </row>
    <row r="5741" spans="2:8" x14ac:dyDescent="0.25">
      <c r="B5741" t="str">
        <f t="shared" si="89"/>
        <v>MYSPopulation ages 30-34, female</v>
      </c>
      <c r="C5741" t="s">
        <v>566</v>
      </c>
      <c r="D5741" t="s">
        <v>101</v>
      </c>
      <c r="E5741" t="s">
        <v>374</v>
      </c>
      <c r="F5741" t="s">
        <v>703</v>
      </c>
      <c r="G5741">
        <v>1403000</v>
      </c>
      <c r="H5741">
        <v>1417000</v>
      </c>
    </row>
    <row r="5742" spans="2:8" x14ac:dyDescent="0.25">
      <c r="B5742" t="str">
        <f t="shared" si="89"/>
        <v>MYSPopulation ages 30-34, male</v>
      </c>
      <c r="C5742" t="s">
        <v>566</v>
      </c>
      <c r="D5742" t="s">
        <v>101</v>
      </c>
      <c r="E5742" t="s">
        <v>375</v>
      </c>
      <c r="F5742" t="s">
        <v>704</v>
      </c>
      <c r="G5742">
        <v>1509000</v>
      </c>
      <c r="H5742">
        <v>1513000</v>
      </c>
    </row>
    <row r="5743" spans="2:8" x14ac:dyDescent="0.25">
      <c r="B5743" t="str">
        <f t="shared" si="89"/>
        <v>MYSPopulation ages 35-39, female</v>
      </c>
      <c r="C5743" t="s">
        <v>566</v>
      </c>
      <c r="D5743" t="s">
        <v>101</v>
      </c>
      <c r="E5743" t="s">
        <v>376</v>
      </c>
      <c r="F5743" t="s">
        <v>705</v>
      </c>
      <c r="G5743">
        <v>1231000</v>
      </c>
      <c r="H5743">
        <v>1286000</v>
      </c>
    </row>
    <row r="5744" spans="2:8" x14ac:dyDescent="0.25">
      <c r="B5744" t="str">
        <f t="shared" si="89"/>
        <v>MYSPopulation ages 35-39, male</v>
      </c>
      <c r="C5744" t="s">
        <v>566</v>
      </c>
      <c r="D5744" t="s">
        <v>101</v>
      </c>
      <c r="E5744" t="s">
        <v>377</v>
      </c>
      <c r="F5744" t="s">
        <v>706</v>
      </c>
      <c r="G5744">
        <v>1383000</v>
      </c>
      <c r="H5744">
        <v>1435000</v>
      </c>
    </row>
    <row r="5745" spans="2:8" x14ac:dyDescent="0.25">
      <c r="B5745" t="str">
        <f t="shared" si="89"/>
        <v>MYSPopulation ages 40-44, female</v>
      </c>
      <c r="C5745" t="s">
        <v>566</v>
      </c>
      <c r="D5745" t="s">
        <v>101</v>
      </c>
      <c r="E5745" t="s">
        <v>378</v>
      </c>
      <c r="F5745" t="s">
        <v>707</v>
      </c>
      <c r="G5745">
        <v>958000</v>
      </c>
      <c r="H5745">
        <v>989000</v>
      </c>
    </row>
    <row r="5746" spans="2:8" x14ac:dyDescent="0.25">
      <c r="B5746" t="str">
        <f t="shared" si="89"/>
        <v>MYSPopulation ages 40-44, male</v>
      </c>
      <c r="C5746" t="s">
        <v>566</v>
      </c>
      <c r="D5746" t="s">
        <v>101</v>
      </c>
      <c r="E5746" t="s">
        <v>379</v>
      </c>
      <c r="F5746" t="s">
        <v>708</v>
      </c>
      <c r="G5746">
        <v>1065000</v>
      </c>
      <c r="H5746">
        <v>1107000</v>
      </c>
    </row>
    <row r="5747" spans="2:8" x14ac:dyDescent="0.25">
      <c r="B5747" t="str">
        <f t="shared" si="89"/>
        <v>MYSPopulation ages 45-49, female</v>
      </c>
      <c r="C5747" t="s">
        <v>566</v>
      </c>
      <c r="D5747" t="s">
        <v>101</v>
      </c>
      <c r="E5747" t="s">
        <v>380</v>
      </c>
      <c r="F5747" t="s">
        <v>709</v>
      </c>
      <c r="G5747">
        <v>910000</v>
      </c>
      <c r="H5747">
        <v>921000</v>
      </c>
    </row>
    <row r="5748" spans="2:8" x14ac:dyDescent="0.25">
      <c r="B5748" t="str">
        <f t="shared" si="89"/>
        <v>MYSPopulation ages 45-49, male</v>
      </c>
      <c r="C5748" t="s">
        <v>566</v>
      </c>
      <c r="D5748" t="s">
        <v>101</v>
      </c>
      <c r="E5748" t="s">
        <v>381</v>
      </c>
      <c r="F5748" t="s">
        <v>710</v>
      </c>
      <c r="G5748">
        <v>952000</v>
      </c>
      <c r="H5748">
        <v>974000</v>
      </c>
    </row>
    <row r="5749" spans="2:8" x14ac:dyDescent="0.25">
      <c r="B5749" t="str">
        <f t="shared" si="89"/>
        <v>MYSPopulation ages 50-54, female</v>
      </c>
      <c r="C5749" t="s">
        <v>566</v>
      </c>
      <c r="D5749" t="s">
        <v>101</v>
      </c>
      <c r="E5749" t="s">
        <v>382</v>
      </c>
      <c r="F5749" t="s">
        <v>711</v>
      </c>
      <c r="G5749">
        <v>814000</v>
      </c>
      <c r="H5749">
        <v>834000</v>
      </c>
    </row>
    <row r="5750" spans="2:8" x14ac:dyDescent="0.25">
      <c r="B5750" t="str">
        <f t="shared" si="89"/>
        <v>MYSPopulation ages 50-54, male</v>
      </c>
      <c r="C5750" t="s">
        <v>566</v>
      </c>
      <c r="D5750" t="s">
        <v>101</v>
      </c>
      <c r="E5750" t="s">
        <v>383</v>
      </c>
      <c r="F5750" t="s">
        <v>712</v>
      </c>
      <c r="G5750">
        <v>828000</v>
      </c>
      <c r="H5750">
        <v>841000</v>
      </c>
    </row>
    <row r="5751" spans="2:8" x14ac:dyDescent="0.25">
      <c r="B5751" t="str">
        <f t="shared" si="89"/>
        <v>MYSPopulation ages 55-59, male</v>
      </c>
      <c r="C5751" t="s">
        <v>566</v>
      </c>
      <c r="D5751" t="s">
        <v>101</v>
      </c>
      <c r="E5751" t="s">
        <v>385</v>
      </c>
      <c r="F5751" t="s">
        <v>713</v>
      </c>
      <c r="G5751">
        <v>747000</v>
      </c>
      <c r="H5751">
        <v>762000</v>
      </c>
    </row>
    <row r="5752" spans="2:8" x14ac:dyDescent="0.25">
      <c r="B5752" t="str">
        <f t="shared" si="89"/>
        <v>MYSPopulation ages 55-59, female</v>
      </c>
      <c r="C5752" t="s">
        <v>566</v>
      </c>
      <c r="D5752" t="s">
        <v>101</v>
      </c>
      <c r="E5752" t="s">
        <v>384</v>
      </c>
      <c r="F5752" t="s">
        <v>714</v>
      </c>
      <c r="G5752">
        <v>691000</v>
      </c>
      <c r="H5752">
        <v>709000</v>
      </c>
    </row>
    <row r="5753" spans="2:8" x14ac:dyDescent="0.25">
      <c r="B5753" t="str">
        <f t="shared" si="89"/>
        <v>MYSPopulation ages 65-69, male</v>
      </c>
      <c r="C5753" t="s">
        <v>566</v>
      </c>
      <c r="D5753" t="s">
        <v>101</v>
      </c>
      <c r="E5753" t="s">
        <v>389</v>
      </c>
      <c r="F5753" t="s">
        <v>715</v>
      </c>
      <c r="G5753">
        <v>440000</v>
      </c>
      <c r="H5753">
        <v>459000</v>
      </c>
    </row>
    <row r="5754" spans="2:8" x14ac:dyDescent="0.25">
      <c r="B5754" t="str">
        <f t="shared" si="89"/>
        <v>MYSPopulation ages 65-69, female</v>
      </c>
      <c r="C5754" t="s">
        <v>566</v>
      </c>
      <c r="D5754" t="s">
        <v>101</v>
      </c>
      <c r="E5754" t="s">
        <v>388</v>
      </c>
      <c r="F5754" t="s">
        <v>716</v>
      </c>
      <c r="G5754">
        <v>449000</v>
      </c>
      <c r="H5754">
        <v>468000</v>
      </c>
    </row>
    <row r="5755" spans="2:8" x14ac:dyDescent="0.25">
      <c r="B5755" t="str">
        <f t="shared" si="89"/>
        <v>MYSPopulation ages 60-64, female</v>
      </c>
      <c r="C5755" t="s">
        <v>566</v>
      </c>
      <c r="D5755" t="s">
        <v>101</v>
      </c>
      <c r="E5755" t="s">
        <v>386</v>
      </c>
      <c r="F5755" t="s">
        <v>717</v>
      </c>
      <c r="G5755">
        <v>586000</v>
      </c>
      <c r="H5755">
        <v>606000</v>
      </c>
    </row>
    <row r="5756" spans="2:8" x14ac:dyDescent="0.25">
      <c r="B5756" t="str">
        <f t="shared" si="89"/>
        <v>MYSPopulation ages 60-64, male</v>
      </c>
      <c r="C5756" t="s">
        <v>566</v>
      </c>
      <c r="D5756" t="s">
        <v>101</v>
      </c>
      <c r="E5756" t="s">
        <v>387</v>
      </c>
      <c r="F5756" t="s">
        <v>718</v>
      </c>
      <c r="G5756">
        <v>595000</v>
      </c>
      <c r="H5756">
        <v>617000</v>
      </c>
    </row>
    <row r="5757" spans="2:8" x14ac:dyDescent="0.25">
      <c r="B5757" t="str">
        <f t="shared" si="89"/>
        <v>MYSPopulation ages 70-74, female</v>
      </c>
      <c r="C5757" t="s">
        <v>566</v>
      </c>
      <c r="D5757" t="s">
        <v>101</v>
      </c>
      <c r="E5757" t="s">
        <v>390</v>
      </c>
      <c r="F5757" t="s">
        <v>719</v>
      </c>
      <c r="G5757">
        <v>322000</v>
      </c>
      <c r="H5757">
        <v>343000</v>
      </c>
    </row>
    <row r="5758" spans="2:8" x14ac:dyDescent="0.25">
      <c r="B5758" t="str">
        <f t="shared" si="89"/>
        <v>MYSPopulation ages 70-74, male</v>
      </c>
      <c r="C5758" t="s">
        <v>566</v>
      </c>
      <c r="D5758" t="s">
        <v>101</v>
      </c>
      <c r="E5758" t="s">
        <v>391</v>
      </c>
      <c r="F5758" t="s">
        <v>720</v>
      </c>
      <c r="G5758">
        <v>297000</v>
      </c>
      <c r="H5758">
        <v>315000</v>
      </c>
    </row>
    <row r="5759" spans="2:8" x14ac:dyDescent="0.25">
      <c r="B5759" t="str">
        <f t="shared" si="89"/>
        <v>MYSPopulation ages 75-79, female</v>
      </c>
      <c r="C5759" t="s">
        <v>566</v>
      </c>
      <c r="D5759" t="s">
        <v>101</v>
      </c>
      <c r="E5759" t="s">
        <v>392</v>
      </c>
      <c r="F5759" t="s">
        <v>721</v>
      </c>
      <c r="G5759">
        <v>181000</v>
      </c>
      <c r="H5759">
        <v>193000</v>
      </c>
    </row>
    <row r="5760" spans="2:8" x14ac:dyDescent="0.25">
      <c r="B5760" t="str">
        <f t="shared" si="89"/>
        <v>MYSPopulation ages 75-79, male</v>
      </c>
      <c r="C5760" t="s">
        <v>566</v>
      </c>
      <c r="D5760" t="s">
        <v>101</v>
      </c>
      <c r="E5760" t="s">
        <v>393</v>
      </c>
      <c r="F5760" t="s">
        <v>722</v>
      </c>
      <c r="G5760">
        <v>166000</v>
      </c>
      <c r="H5760">
        <v>175000</v>
      </c>
    </row>
    <row r="5761" spans="2:8" x14ac:dyDescent="0.25">
      <c r="B5761" t="str">
        <f t="shared" si="89"/>
        <v>MYSPopulation ages 80 and above, female</v>
      </c>
      <c r="C5761" t="s">
        <v>566</v>
      </c>
      <c r="D5761" t="s">
        <v>101</v>
      </c>
      <c r="E5761" t="s">
        <v>394</v>
      </c>
      <c r="F5761" t="s">
        <v>723</v>
      </c>
      <c r="G5761">
        <v>183000</v>
      </c>
      <c r="H5761">
        <v>190000</v>
      </c>
    </row>
    <row r="5762" spans="2:8" x14ac:dyDescent="0.25">
      <c r="B5762" t="str">
        <f t="shared" si="89"/>
        <v>MYSPopulation ages 80 and above, male</v>
      </c>
      <c r="C5762" t="s">
        <v>566</v>
      </c>
      <c r="D5762" t="s">
        <v>101</v>
      </c>
      <c r="E5762" t="s">
        <v>395</v>
      </c>
      <c r="F5762" t="s">
        <v>724</v>
      </c>
      <c r="G5762">
        <v>175000</v>
      </c>
      <c r="H5762">
        <v>183000</v>
      </c>
    </row>
    <row r="5763" spans="2:8" x14ac:dyDescent="0.25">
      <c r="B5763" t="str">
        <f t="shared" si="89"/>
        <v>MYSPopulation, male</v>
      </c>
      <c r="C5763" t="s">
        <v>566</v>
      </c>
      <c r="D5763" t="s">
        <v>101</v>
      </c>
      <c r="E5763" t="s">
        <v>397</v>
      </c>
      <c r="F5763" t="s">
        <v>725</v>
      </c>
      <c r="G5763">
        <v>16423000</v>
      </c>
      <c r="H5763">
        <v>16631000</v>
      </c>
    </row>
    <row r="5764" spans="2:8" x14ac:dyDescent="0.25">
      <c r="B5764" t="str">
        <f t="shared" si="89"/>
        <v>MYSPopulation, total</v>
      </c>
      <c r="C5764" t="s">
        <v>566</v>
      </c>
      <c r="D5764" t="s">
        <v>101</v>
      </c>
      <c r="E5764" t="s">
        <v>398</v>
      </c>
      <c r="F5764" t="s">
        <v>726</v>
      </c>
      <c r="G5764">
        <v>31950000</v>
      </c>
      <c r="H5764">
        <v>32366000</v>
      </c>
    </row>
    <row r="5765" spans="2:8" x14ac:dyDescent="0.25">
      <c r="B5765" t="str">
        <f t="shared" si="89"/>
        <v>MYSPopulation, female</v>
      </c>
      <c r="C5765" t="s">
        <v>566</v>
      </c>
      <c r="D5765" t="s">
        <v>101</v>
      </c>
      <c r="E5765" t="s">
        <v>396</v>
      </c>
      <c r="F5765" t="s">
        <v>727</v>
      </c>
      <c r="G5765">
        <v>15527000</v>
      </c>
      <c r="H5765">
        <v>15735000</v>
      </c>
    </row>
    <row r="5766" spans="2:8" x14ac:dyDescent="0.25">
      <c r="B5766" t="str">
        <f t="shared" si="89"/>
        <v>MYSPopulation growth (annual %)</v>
      </c>
      <c r="C5766" t="s">
        <v>566</v>
      </c>
      <c r="D5766" t="s">
        <v>101</v>
      </c>
      <c r="E5766" t="s">
        <v>399</v>
      </c>
      <c r="F5766" t="s">
        <v>728</v>
      </c>
      <c r="G5766">
        <v>0</v>
      </c>
      <c r="H5766">
        <v>0</v>
      </c>
    </row>
    <row r="5767" spans="2:8" x14ac:dyDescent="0.25">
      <c r="B5767" t="str">
        <f t="shared" ref="B5767:B5830" si="90">CONCATENATE(D5767,E5767)</f>
        <v>MDVPopulation ages 0-14, female</v>
      </c>
      <c r="C5767" t="s">
        <v>243</v>
      </c>
      <c r="D5767" t="s">
        <v>89</v>
      </c>
      <c r="E5767" t="s">
        <v>687</v>
      </c>
      <c r="F5767" t="s">
        <v>688</v>
      </c>
      <c r="G5767">
        <v>51000</v>
      </c>
      <c r="H5767">
        <v>51000</v>
      </c>
    </row>
    <row r="5768" spans="2:8" x14ac:dyDescent="0.25">
      <c r="B5768" t="str">
        <f t="shared" si="90"/>
        <v>MDVPopulation ages 0-14, male</v>
      </c>
      <c r="C5768" t="s">
        <v>243</v>
      </c>
      <c r="D5768" t="s">
        <v>89</v>
      </c>
      <c r="E5768" t="s">
        <v>689</v>
      </c>
      <c r="F5768" t="s">
        <v>690</v>
      </c>
      <c r="G5768">
        <v>55000</v>
      </c>
      <c r="H5768">
        <v>55000</v>
      </c>
    </row>
    <row r="5769" spans="2:8" x14ac:dyDescent="0.25">
      <c r="B5769" t="str">
        <f t="shared" si="90"/>
        <v>MDVPopulation ages 00-04, female</v>
      </c>
      <c r="C5769" t="s">
        <v>243</v>
      </c>
      <c r="D5769" t="s">
        <v>89</v>
      </c>
      <c r="E5769" t="s">
        <v>362</v>
      </c>
      <c r="F5769" t="s">
        <v>691</v>
      </c>
      <c r="G5769">
        <v>17000</v>
      </c>
      <c r="H5769">
        <v>17000</v>
      </c>
    </row>
    <row r="5770" spans="2:8" x14ac:dyDescent="0.25">
      <c r="B5770" t="str">
        <f t="shared" si="90"/>
        <v>MDVPopulation ages 00-04, male</v>
      </c>
      <c r="C5770" t="s">
        <v>243</v>
      </c>
      <c r="D5770" t="s">
        <v>89</v>
      </c>
      <c r="E5770" t="s">
        <v>363</v>
      </c>
      <c r="F5770" t="s">
        <v>692</v>
      </c>
      <c r="G5770">
        <v>19000</v>
      </c>
      <c r="H5770">
        <v>18000</v>
      </c>
    </row>
    <row r="5771" spans="2:8" x14ac:dyDescent="0.25">
      <c r="B5771" t="str">
        <f t="shared" si="90"/>
        <v>MDVPopulation ages 05-09, female</v>
      </c>
      <c r="C5771" t="s">
        <v>243</v>
      </c>
      <c r="D5771" t="s">
        <v>89</v>
      </c>
      <c r="E5771" t="s">
        <v>364</v>
      </c>
      <c r="F5771" t="s">
        <v>693</v>
      </c>
      <c r="G5771">
        <v>18000</v>
      </c>
      <c r="H5771">
        <v>18000</v>
      </c>
    </row>
    <row r="5772" spans="2:8" x14ac:dyDescent="0.25">
      <c r="B5772" t="str">
        <f t="shared" si="90"/>
        <v>MDVPopulation ages 05-09, male</v>
      </c>
      <c r="C5772" t="s">
        <v>243</v>
      </c>
      <c r="D5772" t="s">
        <v>89</v>
      </c>
      <c r="E5772" t="s">
        <v>365</v>
      </c>
      <c r="F5772" t="s">
        <v>694</v>
      </c>
      <c r="G5772">
        <v>20000</v>
      </c>
      <c r="H5772">
        <v>19000</v>
      </c>
    </row>
    <row r="5773" spans="2:8" x14ac:dyDescent="0.25">
      <c r="B5773" t="str">
        <f t="shared" si="90"/>
        <v>MDVPopulation ages 10-14, female</v>
      </c>
      <c r="C5773" t="s">
        <v>243</v>
      </c>
      <c r="D5773" t="s">
        <v>89</v>
      </c>
      <c r="E5773" t="s">
        <v>366</v>
      </c>
      <c r="F5773" t="s">
        <v>695</v>
      </c>
      <c r="G5773">
        <v>15000</v>
      </c>
      <c r="H5773">
        <v>16000</v>
      </c>
    </row>
    <row r="5774" spans="2:8" x14ac:dyDescent="0.25">
      <c r="B5774" t="str">
        <f t="shared" si="90"/>
        <v>MDVPopulation ages 10-14, male</v>
      </c>
      <c r="C5774" t="s">
        <v>243</v>
      </c>
      <c r="D5774" t="s">
        <v>89</v>
      </c>
      <c r="E5774" t="s">
        <v>367</v>
      </c>
      <c r="F5774" t="s">
        <v>696</v>
      </c>
      <c r="G5774">
        <v>16000</v>
      </c>
      <c r="H5774">
        <v>17000</v>
      </c>
    </row>
    <row r="5775" spans="2:8" x14ac:dyDescent="0.25">
      <c r="B5775" t="str">
        <f t="shared" si="90"/>
        <v>MDVPopulation ages 15-19, female</v>
      </c>
      <c r="C5775" t="s">
        <v>243</v>
      </c>
      <c r="D5775" t="s">
        <v>89</v>
      </c>
      <c r="E5775" t="s">
        <v>368</v>
      </c>
      <c r="F5775" t="s">
        <v>697</v>
      </c>
      <c r="G5775">
        <v>13000</v>
      </c>
      <c r="H5775">
        <v>13000</v>
      </c>
    </row>
    <row r="5776" spans="2:8" x14ac:dyDescent="0.25">
      <c r="B5776" t="str">
        <f t="shared" si="90"/>
        <v>MDVPopulation ages 15-19, male</v>
      </c>
      <c r="C5776" t="s">
        <v>243</v>
      </c>
      <c r="D5776" t="s">
        <v>89</v>
      </c>
      <c r="E5776" t="s">
        <v>369</v>
      </c>
      <c r="F5776" t="s">
        <v>698</v>
      </c>
      <c r="G5776">
        <v>16000</v>
      </c>
      <c r="H5776">
        <v>14000</v>
      </c>
    </row>
    <row r="5777" spans="2:8" x14ac:dyDescent="0.25">
      <c r="B5777" t="str">
        <f t="shared" si="90"/>
        <v>MDVPopulation ages 20-24, female</v>
      </c>
      <c r="C5777" t="s">
        <v>243</v>
      </c>
      <c r="D5777" t="s">
        <v>89</v>
      </c>
      <c r="E5777" t="s">
        <v>370</v>
      </c>
      <c r="F5777" t="s">
        <v>699</v>
      </c>
      <c r="G5777">
        <v>16000</v>
      </c>
      <c r="H5777">
        <v>15000</v>
      </c>
    </row>
    <row r="5778" spans="2:8" x14ac:dyDescent="0.25">
      <c r="B5778" t="str">
        <f t="shared" si="90"/>
        <v>MDVPopulation ages 20-24, male</v>
      </c>
      <c r="C5778" t="s">
        <v>243</v>
      </c>
      <c r="D5778" t="s">
        <v>89</v>
      </c>
      <c r="E5778" t="s">
        <v>371</v>
      </c>
      <c r="F5778" t="s">
        <v>700</v>
      </c>
      <c r="G5778">
        <v>40000</v>
      </c>
      <c r="H5778">
        <v>36000</v>
      </c>
    </row>
    <row r="5779" spans="2:8" x14ac:dyDescent="0.25">
      <c r="B5779" t="str">
        <f t="shared" si="90"/>
        <v>MDVPopulation ages 25-29, female</v>
      </c>
      <c r="C5779" t="s">
        <v>243</v>
      </c>
      <c r="D5779" t="s">
        <v>89</v>
      </c>
      <c r="E5779" t="s">
        <v>372</v>
      </c>
      <c r="F5779" t="s">
        <v>701</v>
      </c>
      <c r="G5779">
        <v>21000</v>
      </c>
      <c r="H5779">
        <v>20000</v>
      </c>
    </row>
    <row r="5780" spans="2:8" x14ac:dyDescent="0.25">
      <c r="B5780" t="str">
        <f t="shared" si="90"/>
        <v>MDVPopulation ages 25-29, male</v>
      </c>
      <c r="C5780" t="s">
        <v>243</v>
      </c>
      <c r="D5780" t="s">
        <v>89</v>
      </c>
      <c r="E5780" t="s">
        <v>373</v>
      </c>
      <c r="F5780" t="s">
        <v>702</v>
      </c>
      <c r="G5780">
        <v>65000</v>
      </c>
      <c r="H5780">
        <v>69000</v>
      </c>
    </row>
    <row r="5781" spans="2:8" x14ac:dyDescent="0.25">
      <c r="B5781" t="str">
        <f t="shared" si="90"/>
        <v>MDVPopulation ages 30-34, female</v>
      </c>
      <c r="C5781" t="s">
        <v>243</v>
      </c>
      <c r="D5781" t="s">
        <v>89</v>
      </c>
      <c r="E5781" t="s">
        <v>374</v>
      </c>
      <c r="F5781" t="s">
        <v>703</v>
      </c>
      <c r="G5781">
        <v>22000</v>
      </c>
      <c r="H5781">
        <v>22000</v>
      </c>
    </row>
    <row r="5782" spans="2:8" x14ac:dyDescent="0.25">
      <c r="B5782" t="str">
        <f t="shared" si="90"/>
        <v>MDVPopulation ages 30-34, male</v>
      </c>
      <c r="C5782" t="s">
        <v>243</v>
      </c>
      <c r="D5782" t="s">
        <v>89</v>
      </c>
      <c r="E5782" t="s">
        <v>375</v>
      </c>
      <c r="F5782" t="s">
        <v>704</v>
      </c>
      <c r="G5782">
        <v>54000</v>
      </c>
      <c r="H5782">
        <v>60000</v>
      </c>
    </row>
    <row r="5783" spans="2:8" x14ac:dyDescent="0.25">
      <c r="B5783" t="str">
        <f t="shared" si="90"/>
        <v>MDVPopulation ages 35-39, female</v>
      </c>
      <c r="C5783" t="s">
        <v>243</v>
      </c>
      <c r="D5783" t="s">
        <v>89</v>
      </c>
      <c r="E5783" t="s">
        <v>376</v>
      </c>
      <c r="F5783" t="s">
        <v>705</v>
      </c>
      <c r="G5783">
        <v>18000</v>
      </c>
      <c r="H5783">
        <v>19000</v>
      </c>
    </row>
    <row r="5784" spans="2:8" x14ac:dyDescent="0.25">
      <c r="B5784" t="str">
        <f t="shared" si="90"/>
        <v>MDVPopulation ages 35-39, male</v>
      </c>
      <c r="C5784" t="s">
        <v>243</v>
      </c>
      <c r="D5784" t="s">
        <v>89</v>
      </c>
      <c r="E5784" t="s">
        <v>377</v>
      </c>
      <c r="F5784" t="s">
        <v>706</v>
      </c>
      <c r="G5784">
        <v>33000</v>
      </c>
      <c r="H5784">
        <v>36000</v>
      </c>
    </row>
    <row r="5785" spans="2:8" x14ac:dyDescent="0.25">
      <c r="B5785" t="str">
        <f t="shared" si="90"/>
        <v>MDVPopulation ages 40-44, female</v>
      </c>
      <c r="C5785" t="s">
        <v>243</v>
      </c>
      <c r="D5785" t="s">
        <v>89</v>
      </c>
      <c r="E5785" t="s">
        <v>378</v>
      </c>
      <c r="F5785" t="s">
        <v>707</v>
      </c>
      <c r="G5785">
        <v>13000</v>
      </c>
      <c r="H5785">
        <v>13000</v>
      </c>
    </row>
    <row r="5786" spans="2:8" x14ac:dyDescent="0.25">
      <c r="B5786" t="str">
        <f t="shared" si="90"/>
        <v>MDVPopulation ages 40-44, male</v>
      </c>
      <c r="C5786" t="s">
        <v>243</v>
      </c>
      <c r="D5786" t="s">
        <v>89</v>
      </c>
      <c r="E5786" t="s">
        <v>379</v>
      </c>
      <c r="F5786" t="s">
        <v>708</v>
      </c>
      <c r="G5786">
        <v>23000</v>
      </c>
      <c r="H5786">
        <v>23000</v>
      </c>
    </row>
    <row r="5787" spans="2:8" x14ac:dyDescent="0.25">
      <c r="B5787" t="str">
        <f t="shared" si="90"/>
        <v>MDVPopulation ages 45-49, female</v>
      </c>
      <c r="C5787" t="s">
        <v>243</v>
      </c>
      <c r="D5787" t="s">
        <v>89</v>
      </c>
      <c r="E5787" t="s">
        <v>380</v>
      </c>
      <c r="F5787" t="s">
        <v>709</v>
      </c>
      <c r="G5787">
        <v>11000</v>
      </c>
      <c r="H5787">
        <v>11000</v>
      </c>
    </row>
    <row r="5788" spans="2:8" x14ac:dyDescent="0.25">
      <c r="B5788" t="str">
        <f t="shared" si="90"/>
        <v>MDVPopulation ages 45-49, male</v>
      </c>
      <c r="C5788" t="s">
        <v>243</v>
      </c>
      <c r="D5788" t="s">
        <v>89</v>
      </c>
      <c r="E5788" t="s">
        <v>381</v>
      </c>
      <c r="F5788" t="s">
        <v>710</v>
      </c>
      <c r="G5788">
        <v>17000</v>
      </c>
      <c r="H5788">
        <v>17000</v>
      </c>
    </row>
    <row r="5789" spans="2:8" x14ac:dyDescent="0.25">
      <c r="B5789" t="str">
        <f t="shared" si="90"/>
        <v>MDVPopulation ages 50-54, female</v>
      </c>
      <c r="C5789" t="s">
        <v>243</v>
      </c>
      <c r="D5789" t="s">
        <v>89</v>
      </c>
      <c r="E5789" t="s">
        <v>382</v>
      </c>
      <c r="F5789" t="s">
        <v>711</v>
      </c>
      <c r="G5789">
        <v>9100</v>
      </c>
      <c r="H5789">
        <v>9300</v>
      </c>
    </row>
    <row r="5790" spans="2:8" x14ac:dyDescent="0.25">
      <c r="B5790" t="str">
        <f t="shared" si="90"/>
        <v>MDVPopulation ages 50-54, male</v>
      </c>
      <c r="C5790" t="s">
        <v>243</v>
      </c>
      <c r="D5790" t="s">
        <v>89</v>
      </c>
      <c r="E5790" t="s">
        <v>383</v>
      </c>
      <c r="F5790" t="s">
        <v>712</v>
      </c>
      <c r="G5790">
        <v>11000</v>
      </c>
      <c r="H5790">
        <v>11000</v>
      </c>
    </row>
    <row r="5791" spans="2:8" x14ac:dyDescent="0.25">
      <c r="B5791" t="str">
        <f t="shared" si="90"/>
        <v>MDVPopulation ages 55-59, male</v>
      </c>
      <c r="C5791" t="s">
        <v>243</v>
      </c>
      <c r="D5791" t="s">
        <v>89</v>
      </c>
      <c r="E5791" t="s">
        <v>385</v>
      </c>
      <c r="F5791" t="s">
        <v>713</v>
      </c>
      <c r="G5791">
        <v>8000</v>
      </c>
      <c r="H5791">
        <v>7500</v>
      </c>
    </row>
    <row r="5792" spans="2:8" x14ac:dyDescent="0.25">
      <c r="B5792" t="str">
        <f t="shared" si="90"/>
        <v>MDVPopulation ages 55-59, female</v>
      </c>
      <c r="C5792" t="s">
        <v>243</v>
      </c>
      <c r="D5792" t="s">
        <v>89</v>
      </c>
      <c r="E5792" t="s">
        <v>384</v>
      </c>
      <c r="F5792" t="s">
        <v>714</v>
      </c>
      <c r="G5792">
        <v>7600</v>
      </c>
      <c r="H5792">
        <v>7800</v>
      </c>
    </row>
    <row r="5793" spans="2:8" x14ac:dyDescent="0.25">
      <c r="B5793" t="str">
        <f t="shared" si="90"/>
        <v>MDVPopulation ages 65-69, male</v>
      </c>
      <c r="C5793" t="s">
        <v>243</v>
      </c>
      <c r="D5793" t="s">
        <v>89</v>
      </c>
      <c r="E5793" t="s">
        <v>389</v>
      </c>
      <c r="F5793" t="s">
        <v>715</v>
      </c>
      <c r="G5793">
        <v>3300</v>
      </c>
      <c r="H5793">
        <v>3300</v>
      </c>
    </row>
    <row r="5794" spans="2:8" x14ac:dyDescent="0.25">
      <c r="B5794" t="str">
        <f t="shared" si="90"/>
        <v>MDVPopulation ages 65-69, female</v>
      </c>
      <c r="C5794" t="s">
        <v>243</v>
      </c>
      <c r="D5794" t="s">
        <v>89</v>
      </c>
      <c r="E5794" t="s">
        <v>388</v>
      </c>
      <c r="F5794" t="s">
        <v>716</v>
      </c>
      <c r="G5794">
        <v>3000</v>
      </c>
      <c r="H5794">
        <v>3300</v>
      </c>
    </row>
    <row r="5795" spans="2:8" x14ac:dyDescent="0.25">
      <c r="B5795" t="str">
        <f t="shared" si="90"/>
        <v>MDVPopulation ages 60-64, female</v>
      </c>
      <c r="C5795" t="s">
        <v>243</v>
      </c>
      <c r="D5795" t="s">
        <v>89</v>
      </c>
      <c r="E5795" t="s">
        <v>386</v>
      </c>
      <c r="F5795" t="s">
        <v>717</v>
      </c>
      <c r="G5795">
        <v>5500</v>
      </c>
      <c r="H5795">
        <v>5900</v>
      </c>
    </row>
    <row r="5796" spans="2:8" x14ac:dyDescent="0.25">
      <c r="B5796" t="str">
        <f t="shared" si="90"/>
        <v>MDVPopulation ages 60-64, male</v>
      </c>
      <c r="C5796" t="s">
        <v>243</v>
      </c>
      <c r="D5796" t="s">
        <v>89</v>
      </c>
      <c r="E5796" t="s">
        <v>387</v>
      </c>
      <c r="F5796" t="s">
        <v>718</v>
      </c>
      <c r="G5796">
        <v>5900</v>
      </c>
      <c r="H5796">
        <v>5700</v>
      </c>
    </row>
    <row r="5797" spans="2:8" x14ac:dyDescent="0.25">
      <c r="B5797" t="str">
        <f t="shared" si="90"/>
        <v>MDVPopulation ages 70-74, female</v>
      </c>
      <c r="C5797" t="s">
        <v>243</v>
      </c>
      <c r="D5797" t="s">
        <v>89</v>
      </c>
      <c r="E5797" t="s">
        <v>390</v>
      </c>
      <c r="F5797" t="s">
        <v>719</v>
      </c>
      <c r="G5797">
        <v>2100</v>
      </c>
      <c r="H5797">
        <v>2100</v>
      </c>
    </row>
    <row r="5798" spans="2:8" x14ac:dyDescent="0.25">
      <c r="B5798" t="str">
        <f t="shared" si="90"/>
        <v>MDVPopulation ages 70-74, male</v>
      </c>
      <c r="C5798" t="s">
        <v>243</v>
      </c>
      <c r="D5798" t="s">
        <v>89</v>
      </c>
      <c r="E5798" t="s">
        <v>391</v>
      </c>
      <c r="F5798" t="s">
        <v>720</v>
      </c>
      <c r="G5798">
        <v>2400</v>
      </c>
      <c r="H5798">
        <v>2300</v>
      </c>
    </row>
    <row r="5799" spans="2:8" x14ac:dyDescent="0.25">
      <c r="B5799" t="str">
        <f t="shared" si="90"/>
        <v>MDVPopulation ages 75-79, female</v>
      </c>
      <c r="C5799" t="s">
        <v>243</v>
      </c>
      <c r="D5799" t="s">
        <v>89</v>
      </c>
      <c r="E5799" t="s">
        <v>392</v>
      </c>
      <c r="F5799" t="s">
        <v>721</v>
      </c>
      <c r="G5799">
        <v>2100</v>
      </c>
      <c r="H5799">
        <v>2000</v>
      </c>
    </row>
    <row r="5800" spans="2:8" x14ac:dyDescent="0.25">
      <c r="B5800" t="str">
        <f t="shared" si="90"/>
        <v>MDVPopulation ages 75-79, male</v>
      </c>
      <c r="C5800" t="s">
        <v>243</v>
      </c>
      <c r="D5800" t="s">
        <v>89</v>
      </c>
      <c r="E5800" t="s">
        <v>393</v>
      </c>
      <c r="F5800" t="s">
        <v>722</v>
      </c>
      <c r="G5800">
        <v>2200</v>
      </c>
      <c r="H5800">
        <v>2100</v>
      </c>
    </row>
    <row r="5801" spans="2:8" x14ac:dyDescent="0.25">
      <c r="B5801" t="str">
        <f t="shared" si="90"/>
        <v>MDVPopulation ages 80 and above, female</v>
      </c>
      <c r="C5801" t="s">
        <v>243</v>
      </c>
      <c r="D5801" t="s">
        <v>89</v>
      </c>
      <c r="E5801" t="s">
        <v>394</v>
      </c>
      <c r="F5801" t="s">
        <v>723</v>
      </c>
      <c r="G5801">
        <v>2000</v>
      </c>
      <c r="H5801">
        <v>2100</v>
      </c>
    </row>
    <row r="5802" spans="2:8" x14ac:dyDescent="0.25">
      <c r="B5802" t="str">
        <f t="shared" si="90"/>
        <v>MDVPopulation ages 80 and above, male</v>
      </c>
      <c r="C5802" t="s">
        <v>243</v>
      </c>
      <c r="D5802" t="s">
        <v>89</v>
      </c>
      <c r="E5802" t="s">
        <v>395</v>
      </c>
      <c r="F5802" t="s">
        <v>724</v>
      </c>
      <c r="G5802">
        <v>2300</v>
      </c>
      <c r="H5802">
        <v>2300</v>
      </c>
    </row>
    <row r="5803" spans="2:8" x14ac:dyDescent="0.25">
      <c r="B5803" t="str">
        <f t="shared" si="90"/>
        <v>MDVPopulation, male</v>
      </c>
      <c r="C5803" t="s">
        <v>243</v>
      </c>
      <c r="D5803" t="s">
        <v>89</v>
      </c>
      <c r="E5803" t="s">
        <v>397</v>
      </c>
      <c r="F5803" t="s">
        <v>725</v>
      </c>
      <c r="G5803">
        <v>336000</v>
      </c>
      <c r="H5803">
        <v>343000</v>
      </c>
    </row>
    <row r="5804" spans="2:8" x14ac:dyDescent="0.25">
      <c r="B5804" t="str">
        <f t="shared" si="90"/>
        <v>MDVPopulation, total</v>
      </c>
      <c r="C5804" t="s">
        <v>243</v>
      </c>
      <c r="D5804" t="s">
        <v>89</v>
      </c>
      <c r="E5804" t="s">
        <v>398</v>
      </c>
      <c r="F5804" t="s">
        <v>726</v>
      </c>
      <c r="G5804">
        <v>531000</v>
      </c>
      <c r="H5804">
        <v>541000</v>
      </c>
    </row>
    <row r="5805" spans="2:8" x14ac:dyDescent="0.25">
      <c r="B5805" t="str">
        <f t="shared" si="90"/>
        <v>MDVPopulation, female</v>
      </c>
      <c r="C5805" t="s">
        <v>243</v>
      </c>
      <c r="D5805" t="s">
        <v>89</v>
      </c>
      <c r="E5805" t="s">
        <v>396</v>
      </c>
      <c r="F5805" t="s">
        <v>727</v>
      </c>
      <c r="G5805">
        <v>195000</v>
      </c>
      <c r="H5805">
        <v>198000</v>
      </c>
    </row>
    <row r="5806" spans="2:8" x14ac:dyDescent="0.25">
      <c r="B5806" t="str">
        <f t="shared" si="90"/>
        <v>MDVPopulation growth (annual %)</v>
      </c>
      <c r="C5806" t="s">
        <v>243</v>
      </c>
      <c r="D5806" t="s">
        <v>89</v>
      </c>
      <c r="E5806" t="s">
        <v>399</v>
      </c>
      <c r="F5806" t="s">
        <v>728</v>
      </c>
      <c r="G5806">
        <v>0</v>
      </c>
      <c r="H5806">
        <v>0</v>
      </c>
    </row>
    <row r="5807" spans="2:8" x14ac:dyDescent="0.25">
      <c r="B5807" t="str">
        <f t="shared" si="90"/>
        <v>MLIPopulation ages 0-14, female</v>
      </c>
      <c r="C5807" t="s">
        <v>204</v>
      </c>
      <c r="D5807" t="s">
        <v>92</v>
      </c>
      <c r="E5807" t="s">
        <v>687</v>
      </c>
      <c r="F5807" t="s">
        <v>688</v>
      </c>
      <c r="G5807">
        <v>4571000</v>
      </c>
      <c r="H5807">
        <v>4679000</v>
      </c>
    </row>
    <row r="5808" spans="2:8" x14ac:dyDescent="0.25">
      <c r="B5808" t="str">
        <f t="shared" si="90"/>
        <v>MLIPopulation ages 0-14, male</v>
      </c>
      <c r="C5808" t="s">
        <v>204</v>
      </c>
      <c r="D5808" t="s">
        <v>92</v>
      </c>
      <c r="E5808" t="s">
        <v>689</v>
      </c>
      <c r="F5808" t="s">
        <v>690</v>
      </c>
      <c r="G5808">
        <v>4728000</v>
      </c>
      <c r="H5808">
        <v>4840000</v>
      </c>
    </row>
    <row r="5809" spans="2:8" x14ac:dyDescent="0.25">
      <c r="B5809" t="str">
        <f t="shared" si="90"/>
        <v>MLIPopulation ages 00-04, female</v>
      </c>
      <c r="C5809" t="s">
        <v>204</v>
      </c>
      <c r="D5809" t="s">
        <v>92</v>
      </c>
      <c r="E5809" t="s">
        <v>362</v>
      </c>
      <c r="F5809" t="s">
        <v>691</v>
      </c>
      <c r="G5809">
        <v>1736000</v>
      </c>
      <c r="H5809">
        <v>1772000</v>
      </c>
    </row>
    <row r="5810" spans="2:8" x14ac:dyDescent="0.25">
      <c r="B5810" t="str">
        <f t="shared" si="90"/>
        <v>MLIPopulation ages 00-04, male</v>
      </c>
      <c r="C5810" t="s">
        <v>204</v>
      </c>
      <c r="D5810" t="s">
        <v>92</v>
      </c>
      <c r="E5810" t="s">
        <v>363</v>
      </c>
      <c r="F5810" t="s">
        <v>692</v>
      </c>
      <c r="G5810">
        <v>1796000</v>
      </c>
      <c r="H5810">
        <v>1834000</v>
      </c>
    </row>
    <row r="5811" spans="2:8" x14ac:dyDescent="0.25">
      <c r="B5811" t="str">
        <f t="shared" si="90"/>
        <v>MLIPopulation ages 05-09, female</v>
      </c>
      <c r="C5811" t="s">
        <v>204</v>
      </c>
      <c r="D5811" t="s">
        <v>92</v>
      </c>
      <c r="E5811" t="s">
        <v>364</v>
      </c>
      <c r="F5811" t="s">
        <v>693</v>
      </c>
      <c r="G5811">
        <v>1522000</v>
      </c>
      <c r="H5811">
        <v>1551000</v>
      </c>
    </row>
    <row r="5812" spans="2:8" x14ac:dyDescent="0.25">
      <c r="B5812" t="str">
        <f t="shared" si="90"/>
        <v>MLIPopulation ages 05-09, male</v>
      </c>
      <c r="C5812" t="s">
        <v>204</v>
      </c>
      <c r="D5812" t="s">
        <v>92</v>
      </c>
      <c r="E5812" t="s">
        <v>365</v>
      </c>
      <c r="F5812" t="s">
        <v>694</v>
      </c>
      <c r="G5812">
        <v>1575000</v>
      </c>
      <c r="H5812">
        <v>1604000</v>
      </c>
    </row>
    <row r="5813" spans="2:8" x14ac:dyDescent="0.25">
      <c r="B5813" t="str">
        <f t="shared" si="90"/>
        <v>MLIPopulation ages 10-14, female</v>
      </c>
      <c r="C5813" t="s">
        <v>204</v>
      </c>
      <c r="D5813" t="s">
        <v>92</v>
      </c>
      <c r="E5813" t="s">
        <v>366</v>
      </c>
      <c r="F5813" t="s">
        <v>695</v>
      </c>
      <c r="G5813">
        <v>1314000</v>
      </c>
      <c r="H5813">
        <v>1357000</v>
      </c>
    </row>
    <row r="5814" spans="2:8" x14ac:dyDescent="0.25">
      <c r="B5814" t="str">
        <f t="shared" si="90"/>
        <v>MLIPopulation ages 10-14, male</v>
      </c>
      <c r="C5814" t="s">
        <v>204</v>
      </c>
      <c r="D5814" t="s">
        <v>92</v>
      </c>
      <c r="E5814" t="s">
        <v>367</v>
      </c>
      <c r="F5814" t="s">
        <v>696</v>
      </c>
      <c r="G5814">
        <v>1357000</v>
      </c>
      <c r="H5814">
        <v>1402000</v>
      </c>
    </row>
    <row r="5815" spans="2:8" x14ac:dyDescent="0.25">
      <c r="B5815" t="str">
        <f t="shared" si="90"/>
        <v>MLIPopulation ages 15-19, female</v>
      </c>
      <c r="C5815" t="s">
        <v>204</v>
      </c>
      <c r="D5815" t="s">
        <v>92</v>
      </c>
      <c r="E5815" t="s">
        <v>368</v>
      </c>
      <c r="F5815" t="s">
        <v>697</v>
      </c>
      <c r="G5815">
        <v>1064000</v>
      </c>
      <c r="H5815">
        <v>1110000</v>
      </c>
    </row>
    <row r="5816" spans="2:8" x14ac:dyDescent="0.25">
      <c r="B5816" t="str">
        <f t="shared" si="90"/>
        <v>MLIPopulation ages 15-19, male</v>
      </c>
      <c r="C5816" t="s">
        <v>204</v>
      </c>
      <c r="D5816" t="s">
        <v>92</v>
      </c>
      <c r="E5816" t="s">
        <v>369</v>
      </c>
      <c r="F5816" t="s">
        <v>698</v>
      </c>
      <c r="G5816">
        <v>1092000</v>
      </c>
      <c r="H5816">
        <v>1141000</v>
      </c>
    </row>
    <row r="5817" spans="2:8" x14ac:dyDescent="0.25">
      <c r="B5817" t="str">
        <f t="shared" si="90"/>
        <v>MLIPopulation ages 20-24, female</v>
      </c>
      <c r="C5817" t="s">
        <v>204</v>
      </c>
      <c r="D5817" t="s">
        <v>92</v>
      </c>
      <c r="E5817" t="s">
        <v>370</v>
      </c>
      <c r="F5817" t="s">
        <v>699</v>
      </c>
      <c r="G5817">
        <v>847000</v>
      </c>
      <c r="H5817">
        <v>880000</v>
      </c>
    </row>
    <row r="5818" spans="2:8" x14ac:dyDescent="0.25">
      <c r="B5818" t="str">
        <f t="shared" si="90"/>
        <v>MLIPopulation ages 20-24, male</v>
      </c>
      <c r="C5818" t="s">
        <v>204</v>
      </c>
      <c r="D5818" t="s">
        <v>92</v>
      </c>
      <c r="E5818" t="s">
        <v>371</v>
      </c>
      <c r="F5818" t="s">
        <v>700</v>
      </c>
      <c r="G5818">
        <v>861000</v>
      </c>
      <c r="H5818">
        <v>896000</v>
      </c>
    </row>
    <row r="5819" spans="2:8" x14ac:dyDescent="0.25">
      <c r="B5819" t="str">
        <f t="shared" si="90"/>
        <v>MLIPopulation ages 25-29, female</v>
      </c>
      <c r="C5819" t="s">
        <v>204</v>
      </c>
      <c r="D5819" t="s">
        <v>92</v>
      </c>
      <c r="E5819" t="s">
        <v>372</v>
      </c>
      <c r="F5819" t="s">
        <v>701</v>
      </c>
      <c r="G5819">
        <v>689000</v>
      </c>
      <c r="H5819">
        <v>712000</v>
      </c>
    </row>
    <row r="5820" spans="2:8" x14ac:dyDescent="0.25">
      <c r="B5820" t="str">
        <f t="shared" si="90"/>
        <v>MLIPopulation ages 25-29, male</v>
      </c>
      <c r="C5820" t="s">
        <v>204</v>
      </c>
      <c r="D5820" t="s">
        <v>92</v>
      </c>
      <c r="E5820" t="s">
        <v>373</v>
      </c>
      <c r="F5820" t="s">
        <v>702</v>
      </c>
      <c r="G5820">
        <v>693000</v>
      </c>
      <c r="H5820">
        <v>716000</v>
      </c>
    </row>
    <row r="5821" spans="2:8" x14ac:dyDescent="0.25">
      <c r="B5821" t="str">
        <f t="shared" si="90"/>
        <v>MLIPopulation ages 30-34, female</v>
      </c>
      <c r="C5821" t="s">
        <v>204</v>
      </c>
      <c r="D5821" t="s">
        <v>92</v>
      </c>
      <c r="E5821" t="s">
        <v>374</v>
      </c>
      <c r="F5821" t="s">
        <v>703</v>
      </c>
      <c r="G5821">
        <v>569000</v>
      </c>
      <c r="H5821">
        <v>584000</v>
      </c>
    </row>
    <row r="5822" spans="2:8" x14ac:dyDescent="0.25">
      <c r="B5822" t="str">
        <f t="shared" si="90"/>
        <v>MLIPopulation ages 30-34, male</v>
      </c>
      <c r="C5822" t="s">
        <v>204</v>
      </c>
      <c r="D5822" t="s">
        <v>92</v>
      </c>
      <c r="E5822" t="s">
        <v>375</v>
      </c>
      <c r="F5822" t="s">
        <v>704</v>
      </c>
      <c r="G5822">
        <v>569000</v>
      </c>
      <c r="H5822">
        <v>583000</v>
      </c>
    </row>
    <row r="5823" spans="2:8" x14ac:dyDescent="0.25">
      <c r="B5823" t="str">
        <f t="shared" si="90"/>
        <v>MLIPopulation ages 35-39, female</v>
      </c>
      <c r="C5823" t="s">
        <v>204</v>
      </c>
      <c r="D5823" t="s">
        <v>92</v>
      </c>
      <c r="E5823" t="s">
        <v>376</v>
      </c>
      <c r="F5823" t="s">
        <v>705</v>
      </c>
      <c r="G5823">
        <v>487000</v>
      </c>
      <c r="H5823">
        <v>499000</v>
      </c>
    </row>
    <row r="5824" spans="2:8" x14ac:dyDescent="0.25">
      <c r="B5824" t="str">
        <f t="shared" si="90"/>
        <v>MLIPopulation ages 35-39, male</v>
      </c>
      <c r="C5824" t="s">
        <v>204</v>
      </c>
      <c r="D5824" t="s">
        <v>92</v>
      </c>
      <c r="E5824" t="s">
        <v>377</v>
      </c>
      <c r="F5824" t="s">
        <v>706</v>
      </c>
      <c r="G5824">
        <v>482000</v>
      </c>
      <c r="H5824">
        <v>494000</v>
      </c>
    </row>
    <row r="5825" spans="2:8" x14ac:dyDescent="0.25">
      <c r="B5825" t="str">
        <f t="shared" si="90"/>
        <v>MLIPopulation ages 40-44, female</v>
      </c>
      <c r="C5825" t="s">
        <v>204</v>
      </c>
      <c r="D5825" t="s">
        <v>92</v>
      </c>
      <c r="E5825" t="s">
        <v>378</v>
      </c>
      <c r="F5825" t="s">
        <v>707</v>
      </c>
      <c r="G5825">
        <v>406000</v>
      </c>
      <c r="H5825">
        <v>419000</v>
      </c>
    </row>
    <row r="5826" spans="2:8" x14ac:dyDescent="0.25">
      <c r="B5826" t="str">
        <f t="shared" si="90"/>
        <v>MLIPopulation ages 40-44, male</v>
      </c>
      <c r="C5826" t="s">
        <v>204</v>
      </c>
      <c r="D5826" t="s">
        <v>92</v>
      </c>
      <c r="E5826" t="s">
        <v>379</v>
      </c>
      <c r="F5826" t="s">
        <v>708</v>
      </c>
      <c r="G5826">
        <v>395000</v>
      </c>
      <c r="H5826">
        <v>408000</v>
      </c>
    </row>
    <row r="5827" spans="2:8" x14ac:dyDescent="0.25">
      <c r="B5827" t="str">
        <f t="shared" si="90"/>
        <v>MLIPopulation ages 45-49, female</v>
      </c>
      <c r="C5827" t="s">
        <v>204</v>
      </c>
      <c r="D5827" t="s">
        <v>92</v>
      </c>
      <c r="E5827" t="s">
        <v>380</v>
      </c>
      <c r="F5827" t="s">
        <v>709</v>
      </c>
      <c r="G5827">
        <v>323000</v>
      </c>
      <c r="H5827">
        <v>337000</v>
      </c>
    </row>
    <row r="5828" spans="2:8" x14ac:dyDescent="0.25">
      <c r="B5828" t="str">
        <f t="shared" si="90"/>
        <v>MLIPopulation ages 45-49, male</v>
      </c>
      <c r="C5828" t="s">
        <v>204</v>
      </c>
      <c r="D5828" t="s">
        <v>92</v>
      </c>
      <c r="E5828" t="s">
        <v>381</v>
      </c>
      <c r="F5828" t="s">
        <v>710</v>
      </c>
      <c r="G5828">
        <v>307000</v>
      </c>
      <c r="H5828">
        <v>322000</v>
      </c>
    </row>
    <row r="5829" spans="2:8" x14ac:dyDescent="0.25">
      <c r="B5829" t="str">
        <f t="shared" si="90"/>
        <v>MLIPopulation ages 50-54, female</v>
      </c>
      <c r="C5829" t="s">
        <v>204</v>
      </c>
      <c r="D5829" t="s">
        <v>92</v>
      </c>
      <c r="E5829" t="s">
        <v>382</v>
      </c>
      <c r="F5829" t="s">
        <v>711</v>
      </c>
      <c r="G5829">
        <v>244000</v>
      </c>
      <c r="H5829">
        <v>256000</v>
      </c>
    </row>
    <row r="5830" spans="2:8" x14ac:dyDescent="0.25">
      <c r="B5830" t="str">
        <f t="shared" si="90"/>
        <v>MLIPopulation ages 50-54, male</v>
      </c>
      <c r="C5830" t="s">
        <v>204</v>
      </c>
      <c r="D5830" t="s">
        <v>92</v>
      </c>
      <c r="E5830" t="s">
        <v>383</v>
      </c>
      <c r="F5830" t="s">
        <v>712</v>
      </c>
      <c r="G5830">
        <v>221000</v>
      </c>
      <c r="H5830">
        <v>233000</v>
      </c>
    </row>
    <row r="5831" spans="2:8" x14ac:dyDescent="0.25">
      <c r="B5831" t="str">
        <f t="shared" ref="B5831:B5894" si="91">CONCATENATE(D5831,E5831)</f>
        <v>MLIPopulation ages 55-59, male</v>
      </c>
      <c r="C5831" t="s">
        <v>204</v>
      </c>
      <c r="D5831" t="s">
        <v>92</v>
      </c>
      <c r="E5831" t="s">
        <v>385</v>
      </c>
      <c r="F5831" t="s">
        <v>713</v>
      </c>
      <c r="G5831">
        <v>159000</v>
      </c>
      <c r="H5831">
        <v>166000</v>
      </c>
    </row>
    <row r="5832" spans="2:8" x14ac:dyDescent="0.25">
      <c r="B5832" t="str">
        <f t="shared" si="91"/>
        <v>MLIPopulation ages 55-59, female</v>
      </c>
      <c r="C5832" t="s">
        <v>204</v>
      </c>
      <c r="D5832" t="s">
        <v>92</v>
      </c>
      <c r="E5832" t="s">
        <v>384</v>
      </c>
      <c r="F5832" t="s">
        <v>714</v>
      </c>
      <c r="G5832">
        <v>187000</v>
      </c>
      <c r="H5832">
        <v>194000</v>
      </c>
    </row>
    <row r="5833" spans="2:8" x14ac:dyDescent="0.25">
      <c r="B5833" t="str">
        <f t="shared" si="91"/>
        <v>MLIPopulation ages 65-69, male</v>
      </c>
      <c r="C5833" t="s">
        <v>204</v>
      </c>
      <c r="D5833" t="s">
        <v>92</v>
      </c>
      <c r="E5833" t="s">
        <v>389</v>
      </c>
      <c r="F5833" t="s">
        <v>715</v>
      </c>
      <c r="G5833">
        <v>95000</v>
      </c>
      <c r="H5833">
        <v>99000</v>
      </c>
    </row>
    <row r="5834" spans="2:8" x14ac:dyDescent="0.25">
      <c r="B5834" t="str">
        <f t="shared" si="91"/>
        <v>MLIPopulation ages 65-69, female</v>
      </c>
      <c r="C5834" t="s">
        <v>204</v>
      </c>
      <c r="D5834" t="s">
        <v>92</v>
      </c>
      <c r="E5834" t="s">
        <v>388</v>
      </c>
      <c r="F5834" t="s">
        <v>716</v>
      </c>
      <c r="G5834">
        <v>119000</v>
      </c>
      <c r="H5834">
        <v>123000</v>
      </c>
    </row>
    <row r="5835" spans="2:8" x14ac:dyDescent="0.25">
      <c r="B5835" t="str">
        <f t="shared" si="91"/>
        <v>MLIPopulation ages 60-64, female</v>
      </c>
      <c r="C5835" t="s">
        <v>204</v>
      </c>
      <c r="D5835" t="s">
        <v>92</v>
      </c>
      <c r="E5835" t="s">
        <v>386</v>
      </c>
      <c r="F5835" t="s">
        <v>717</v>
      </c>
      <c r="G5835">
        <v>151000</v>
      </c>
      <c r="H5835">
        <v>154000</v>
      </c>
    </row>
    <row r="5836" spans="2:8" x14ac:dyDescent="0.25">
      <c r="B5836" t="str">
        <f t="shared" si="91"/>
        <v>MLIPopulation ages 60-64, male</v>
      </c>
      <c r="C5836" t="s">
        <v>204</v>
      </c>
      <c r="D5836" t="s">
        <v>92</v>
      </c>
      <c r="E5836" t="s">
        <v>387</v>
      </c>
      <c r="F5836" t="s">
        <v>718</v>
      </c>
      <c r="G5836">
        <v>123000</v>
      </c>
      <c r="H5836">
        <v>126000</v>
      </c>
    </row>
    <row r="5837" spans="2:8" x14ac:dyDescent="0.25">
      <c r="B5837" t="str">
        <f t="shared" si="91"/>
        <v>MLIPopulation ages 70-74, female</v>
      </c>
      <c r="C5837" t="s">
        <v>204</v>
      </c>
      <c r="D5837" t="s">
        <v>92</v>
      </c>
      <c r="E5837" t="s">
        <v>390</v>
      </c>
      <c r="F5837" t="s">
        <v>719</v>
      </c>
      <c r="G5837">
        <v>78000</v>
      </c>
      <c r="H5837">
        <v>80000</v>
      </c>
    </row>
    <row r="5838" spans="2:8" x14ac:dyDescent="0.25">
      <c r="B5838" t="str">
        <f t="shared" si="91"/>
        <v>MLIPopulation ages 70-74, male</v>
      </c>
      <c r="C5838" t="s">
        <v>204</v>
      </c>
      <c r="D5838" t="s">
        <v>92</v>
      </c>
      <c r="E5838" t="s">
        <v>391</v>
      </c>
      <c r="F5838" t="s">
        <v>720</v>
      </c>
      <c r="G5838">
        <v>59000</v>
      </c>
      <c r="H5838">
        <v>61000</v>
      </c>
    </row>
    <row r="5839" spans="2:8" x14ac:dyDescent="0.25">
      <c r="B5839" t="str">
        <f t="shared" si="91"/>
        <v>MLIPopulation ages 75-79, female</v>
      </c>
      <c r="C5839" t="s">
        <v>204</v>
      </c>
      <c r="D5839" t="s">
        <v>92</v>
      </c>
      <c r="E5839" t="s">
        <v>392</v>
      </c>
      <c r="F5839" t="s">
        <v>721</v>
      </c>
      <c r="G5839">
        <v>50000</v>
      </c>
      <c r="H5839">
        <v>51000</v>
      </c>
    </row>
    <row r="5840" spans="2:8" x14ac:dyDescent="0.25">
      <c r="B5840" t="str">
        <f t="shared" si="91"/>
        <v>MLIPopulation ages 75-79, male</v>
      </c>
      <c r="C5840" t="s">
        <v>204</v>
      </c>
      <c r="D5840" t="s">
        <v>92</v>
      </c>
      <c r="E5840" t="s">
        <v>393</v>
      </c>
      <c r="F5840" t="s">
        <v>722</v>
      </c>
      <c r="G5840">
        <v>39000</v>
      </c>
      <c r="H5840">
        <v>39000</v>
      </c>
    </row>
    <row r="5841" spans="2:8" x14ac:dyDescent="0.25">
      <c r="B5841" t="str">
        <f t="shared" si="91"/>
        <v>MLIPopulation ages 80 and above, female</v>
      </c>
      <c r="C5841" t="s">
        <v>204</v>
      </c>
      <c r="D5841" t="s">
        <v>92</v>
      </c>
      <c r="E5841" t="s">
        <v>394</v>
      </c>
      <c r="F5841" t="s">
        <v>723</v>
      </c>
      <c r="G5841">
        <v>28000</v>
      </c>
      <c r="H5841">
        <v>28000</v>
      </c>
    </row>
    <row r="5842" spans="2:8" x14ac:dyDescent="0.25">
      <c r="B5842" t="str">
        <f t="shared" si="91"/>
        <v>MLIPopulation ages 80 and above, male</v>
      </c>
      <c r="C5842" t="s">
        <v>204</v>
      </c>
      <c r="D5842" t="s">
        <v>92</v>
      </c>
      <c r="E5842" t="s">
        <v>395</v>
      </c>
      <c r="F5842" t="s">
        <v>724</v>
      </c>
      <c r="G5842">
        <v>23000</v>
      </c>
      <c r="H5842">
        <v>22000</v>
      </c>
    </row>
    <row r="5843" spans="2:8" x14ac:dyDescent="0.25">
      <c r="B5843" t="str">
        <f t="shared" si="91"/>
        <v>MLIPopulation, male</v>
      </c>
      <c r="C5843" t="s">
        <v>204</v>
      </c>
      <c r="D5843" t="s">
        <v>92</v>
      </c>
      <c r="E5843" t="s">
        <v>397</v>
      </c>
      <c r="F5843" t="s">
        <v>725</v>
      </c>
      <c r="G5843">
        <v>9845000</v>
      </c>
      <c r="H5843">
        <v>10145000</v>
      </c>
    </row>
    <row r="5844" spans="2:8" x14ac:dyDescent="0.25">
      <c r="B5844" t="str">
        <f t="shared" si="91"/>
        <v>MLIPopulation, total</v>
      </c>
      <c r="C5844" t="s">
        <v>204</v>
      </c>
      <c r="D5844" t="s">
        <v>92</v>
      </c>
      <c r="E5844" t="s">
        <v>398</v>
      </c>
      <c r="F5844" t="s">
        <v>726</v>
      </c>
      <c r="G5844">
        <v>19658000</v>
      </c>
      <c r="H5844">
        <v>20251000</v>
      </c>
    </row>
    <row r="5845" spans="2:8" x14ac:dyDescent="0.25">
      <c r="B5845" t="str">
        <f t="shared" si="91"/>
        <v>MLIPopulation, female</v>
      </c>
      <c r="C5845" t="s">
        <v>204</v>
      </c>
      <c r="D5845" t="s">
        <v>92</v>
      </c>
      <c r="E5845" t="s">
        <v>396</v>
      </c>
      <c r="F5845" t="s">
        <v>727</v>
      </c>
      <c r="G5845">
        <v>9813000</v>
      </c>
      <c r="H5845">
        <v>10106000</v>
      </c>
    </row>
    <row r="5846" spans="2:8" x14ac:dyDescent="0.25">
      <c r="B5846" t="str">
        <f t="shared" si="91"/>
        <v>MLIPopulation growth (annual %)</v>
      </c>
      <c r="C5846" t="s">
        <v>204</v>
      </c>
      <c r="D5846" t="s">
        <v>92</v>
      </c>
      <c r="E5846" t="s">
        <v>399</v>
      </c>
      <c r="F5846" t="s">
        <v>728</v>
      </c>
      <c r="G5846">
        <v>0</v>
      </c>
      <c r="H5846">
        <v>0</v>
      </c>
    </row>
    <row r="5847" spans="2:8" x14ac:dyDescent="0.25">
      <c r="B5847" t="str">
        <f t="shared" si="91"/>
        <v>MLTPopulation ages 0-14, female</v>
      </c>
      <c r="C5847" t="s">
        <v>567</v>
      </c>
      <c r="D5847" t="s">
        <v>93</v>
      </c>
      <c r="E5847" t="s">
        <v>687</v>
      </c>
      <c r="F5847" t="s">
        <v>688</v>
      </c>
      <c r="G5847">
        <v>34000</v>
      </c>
      <c r="H5847">
        <v>34000</v>
      </c>
    </row>
    <row r="5848" spans="2:8" x14ac:dyDescent="0.25">
      <c r="B5848" t="str">
        <f t="shared" si="91"/>
        <v>MLTPopulation ages 0-14, male</v>
      </c>
      <c r="C5848" t="s">
        <v>567</v>
      </c>
      <c r="D5848" t="s">
        <v>93</v>
      </c>
      <c r="E5848" t="s">
        <v>689</v>
      </c>
      <c r="F5848" t="s">
        <v>690</v>
      </c>
      <c r="G5848">
        <v>36000</v>
      </c>
      <c r="H5848">
        <v>36000</v>
      </c>
    </row>
    <row r="5849" spans="2:8" x14ac:dyDescent="0.25">
      <c r="B5849" t="str">
        <f t="shared" si="91"/>
        <v>MLTPopulation ages 00-04, female</v>
      </c>
      <c r="C5849" t="s">
        <v>567</v>
      </c>
      <c r="D5849" t="s">
        <v>93</v>
      </c>
      <c r="E5849" t="s">
        <v>362</v>
      </c>
      <c r="F5849" t="s">
        <v>691</v>
      </c>
      <c r="G5849">
        <v>12000</v>
      </c>
      <c r="H5849">
        <v>12000</v>
      </c>
    </row>
    <row r="5850" spans="2:8" x14ac:dyDescent="0.25">
      <c r="B5850" t="str">
        <f t="shared" si="91"/>
        <v>MLTPopulation ages 00-04, male</v>
      </c>
      <c r="C5850" t="s">
        <v>567</v>
      </c>
      <c r="D5850" t="s">
        <v>93</v>
      </c>
      <c r="E5850" t="s">
        <v>363</v>
      </c>
      <c r="F5850" t="s">
        <v>692</v>
      </c>
      <c r="G5850">
        <v>12000</v>
      </c>
      <c r="H5850">
        <v>12000</v>
      </c>
    </row>
    <row r="5851" spans="2:8" x14ac:dyDescent="0.25">
      <c r="B5851" t="str">
        <f t="shared" si="91"/>
        <v>MLTPopulation ages 05-09, female</v>
      </c>
      <c r="C5851" t="s">
        <v>567</v>
      </c>
      <c r="D5851" t="s">
        <v>93</v>
      </c>
      <c r="E5851" t="s">
        <v>364</v>
      </c>
      <c r="F5851" t="s">
        <v>693</v>
      </c>
      <c r="G5851">
        <v>11000</v>
      </c>
      <c r="H5851">
        <v>11000</v>
      </c>
    </row>
    <row r="5852" spans="2:8" x14ac:dyDescent="0.25">
      <c r="B5852" t="str">
        <f t="shared" si="91"/>
        <v>MLTPopulation ages 05-09, male</v>
      </c>
      <c r="C5852" t="s">
        <v>567</v>
      </c>
      <c r="D5852" t="s">
        <v>93</v>
      </c>
      <c r="E5852" t="s">
        <v>365</v>
      </c>
      <c r="F5852" t="s">
        <v>694</v>
      </c>
      <c r="G5852">
        <v>12000</v>
      </c>
      <c r="H5852">
        <v>12000</v>
      </c>
    </row>
    <row r="5853" spans="2:8" x14ac:dyDescent="0.25">
      <c r="B5853" t="str">
        <f t="shared" si="91"/>
        <v>MLTPopulation ages 10-14, female</v>
      </c>
      <c r="C5853" t="s">
        <v>567</v>
      </c>
      <c r="D5853" t="s">
        <v>93</v>
      </c>
      <c r="E5853" t="s">
        <v>366</v>
      </c>
      <c r="F5853" t="s">
        <v>695</v>
      </c>
      <c r="G5853">
        <v>11000</v>
      </c>
      <c r="H5853">
        <v>11000</v>
      </c>
    </row>
    <row r="5854" spans="2:8" x14ac:dyDescent="0.25">
      <c r="B5854" t="str">
        <f t="shared" si="91"/>
        <v>MLTPopulation ages 10-14, male</v>
      </c>
      <c r="C5854" t="s">
        <v>567</v>
      </c>
      <c r="D5854" t="s">
        <v>93</v>
      </c>
      <c r="E5854" t="s">
        <v>367</v>
      </c>
      <c r="F5854" t="s">
        <v>696</v>
      </c>
      <c r="G5854">
        <v>11000</v>
      </c>
      <c r="H5854">
        <v>12000</v>
      </c>
    </row>
    <row r="5855" spans="2:8" x14ac:dyDescent="0.25">
      <c r="B5855" t="str">
        <f t="shared" si="91"/>
        <v>MLTPopulation ages 15-19, female</v>
      </c>
      <c r="C5855" t="s">
        <v>567</v>
      </c>
      <c r="D5855" t="s">
        <v>93</v>
      </c>
      <c r="E5855" t="s">
        <v>368</v>
      </c>
      <c r="F5855" t="s">
        <v>697</v>
      </c>
      <c r="G5855">
        <v>11000</v>
      </c>
      <c r="H5855">
        <v>11000</v>
      </c>
    </row>
    <row r="5856" spans="2:8" x14ac:dyDescent="0.25">
      <c r="B5856" t="str">
        <f t="shared" si="91"/>
        <v>MLTPopulation ages 15-19, male</v>
      </c>
      <c r="C5856" t="s">
        <v>567</v>
      </c>
      <c r="D5856" t="s">
        <v>93</v>
      </c>
      <c r="E5856" t="s">
        <v>369</v>
      </c>
      <c r="F5856" t="s">
        <v>698</v>
      </c>
      <c r="G5856">
        <v>12000</v>
      </c>
      <c r="H5856">
        <v>12000</v>
      </c>
    </row>
    <row r="5857" spans="2:8" x14ac:dyDescent="0.25">
      <c r="B5857" t="str">
        <f t="shared" si="91"/>
        <v>MLTPopulation ages 20-24, female</v>
      </c>
      <c r="C5857" t="s">
        <v>567</v>
      </c>
      <c r="D5857" t="s">
        <v>93</v>
      </c>
      <c r="E5857" t="s">
        <v>370</v>
      </c>
      <c r="F5857" t="s">
        <v>699</v>
      </c>
      <c r="G5857">
        <v>14000</v>
      </c>
      <c r="H5857">
        <v>13000</v>
      </c>
    </row>
    <row r="5858" spans="2:8" x14ac:dyDescent="0.25">
      <c r="B5858" t="str">
        <f t="shared" si="91"/>
        <v>MLTPopulation ages 20-24, male</v>
      </c>
      <c r="C5858" t="s">
        <v>567</v>
      </c>
      <c r="D5858" t="s">
        <v>93</v>
      </c>
      <c r="E5858" t="s">
        <v>371</v>
      </c>
      <c r="F5858" t="s">
        <v>700</v>
      </c>
      <c r="G5858">
        <v>15000</v>
      </c>
      <c r="H5858">
        <v>14000</v>
      </c>
    </row>
    <row r="5859" spans="2:8" x14ac:dyDescent="0.25">
      <c r="B5859" t="str">
        <f t="shared" si="91"/>
        <v>MLTPopulation ages 25-29, female</v>
      </c>
      <c r="C5859" t="s">
        <v>567</v>
      </c>
      <c r="D5859" t="s">
        <v>93</v>
      </c>
      <c r="E5859" t="s">
        <v>372</v>
      </c>
      <c r="F5859" t="s">
        <v>701</v>
      </c>
      <c r="G5859">
        <v>16000</v>
      </c>
      <c r="H5859">
        <v>16000</v>
      </c>
    </row>
    <row r="5860" spans="2:8" x14ac:dyDescent="0.25">
      <c r="B5860" t="str">
        <f t="shared" si="91"/>
        <v>MLTPopulation ages 25-29, male</v>
      </c>
      <c r="C5860" t="s">
        <v>567</v>
      </c>
      <c r="D5860" t="s">
        <v>93</v>
      </c>
      <c r="E5860" t="s">
        <v>373</v>
      </c>
      <c r="F5860" t="s">
        <v>702</v>
      </c>
      <c r="G5860">
        <v>18000</v>
      </c>
      <c r="H5860">
        <v>17000</v>
      </c>
    </row>
    <row r="5861" spans="2:8" x14ac:dyDescent="0.25">
      <c r="B5861" t="str">
        <f t="shared" si="91"/>
        <v>MLTPopulation ages 30-34, female</v>
      </c>
      <c r="C5861" t="s">
        <v>567</v>
      </c>
      <c r="D5861" t="s">
        <v>93</v>
      </c>
      <c r="E5861" t="s">
        <v>374</v>
      </c>
      <c r="F5861" t="s">
        <v>703</v>
      </c>
      <c r="G5861">
        <v>17000</v>
      </c>
      <c r="H5861">
        <v>17000</v>
      </c>
    </row>
    <row r="5862" spans="2:8" x14ac:dyDescent="0.25">
      <c r="B5862" t="str">
        <f t="shared" si="91"/>
        <v>MLTPopulation ages 30-34, male</v>
      </c>
      <c r="C5862" t="s">
        <v>567</v>
      </c>
      <c r="D5862" t="s">
        <v>93</v>
      </c>
      <c r="E5862" t="s">
        <v>375</v>
      </c>
      <c r="F5862" t="s">
        <v>704</v>
      </c>
      <c r="G5862">
        <v>19000</v>
      </c>
      <c r="H5862">
        <v>19000</v>
      </c>
    </row>
    <row r="5863" spans="2:8" x14ac:dyDescent="0.25">
      <c r="B5863" t="str">
        <f t="shared" si="91"/>
        <v>MLTPopulation ages 35-39, female</v>
      </c>
      <c r="C5863" t="s">
        <v>567</v>
      </c>
      <c r="D5863" t="s">
        <v>93</v>
      </c>
      <c r="E5863" t="s">
        <v>376</v>
      </c>
      <c r="F5863" t="s">
        <v>705</v>
      </c>
      <c r="G5863">
        <v>17000</v>
      </c>
      <c r="H5863">
        <v>17000</v>
      </c>
    </row>
    <row r="5864" spans="2:8" x14ac:dyDescent="0.25">
      <c r="B5864" t="str">
        <f t="shared" si="91"/>
        <v>MLTPopulation ages 35-39, male</v>
      </c>
      <c r="C5864" t="s">
        <v>567</v>
      </c>
      <c r="D5864" t="s">
        <v>93</v>
      </c>
      <c r="E5864" t="s">
        <v>377</v>
      </c>
      <c r="F5864" t="s">
        <v>706</v>
      </c>
      <c r="G5864">
        <v>18000</v>
      </c>
      <c r="H5864">
        <v>19000</v>
      </c>
    </row>
    <row r="5865" spans="2:8" x14ac:dyDescent="0.25">
      <c r="B5865" t="str">
        <f t="shared" si="91"/>
        <v>MLTPopulation ages 40-44, female</v>
      </c>
      <c r="C5865" t="s">
        <v>567</v>
      </c>
      <c r="D5865" t="s">
        <v>93</v>
      </c>
      <c r="E5865" t="s">
        <v>378</v>
      </c>
      <c r="F5865" t="s">
        <v>707</v>
      </c>
      <c r="G5865">
        <v>16000</v>
      </c>
      <c r="H5865">
        <v>17000</v>
      </c>
    </row>
    <row r="5866" spans="2:8" x14ac:dyDescent="0.25">
      <c r="B5866" t="str">
        <f t="shared" si="91"/>
        <v>MLTPopulation ages 40-44, male</v>
      </c>
      <c r="C5866" t="s">
        <v>567</v>
      </c>
      <c r="D5866" t="s">
        <v>93</v>
      </c>
      <c r="E5866" t="s">
        <v>379</v>
      </c>
      <c r="F5866" t="s">
        <v>708</v>
      </c>
      <c r="G5866">
        <v>17000</v>
      </c>
      <c r="H5866">
        <v>18000</v>
      </c>
    </row>
    <row r="5867" spans="2:8" x14ac:dyDescent="0.25">
      <c r="B5867" t="str">
        <f t="shared" si="91"/>
        <v>MLTPopulation ages 45-49, female</v>
      </c>
      <c r="C5867" t="s">
        <v>567</v>
      </c>
      <c r="D5867" t="s">
        <v>93</v>
      </c>
      <c r="E5867" t="s">
        <v>380</v>
      </c>
      <c r="F5867" t="s">
        <v>709</v>
      </c>
      <c r="G5867">
        <v>15000</v>
      </c>
      <c r="H5867">
        <v>15000</v>
      </c>
    </row>
    <row r="5868" spans="2:8" x14ac:dyDescent="0.25">
      <c r="B5868" t="str">
        <f t="shared" si="91"/>
        <v>MLTPopulation ages 45-49, male</v>
      </c>
      <c r="C5868" t="s">
        <v>567</v>
      </c>
      <c r="D5868" t="s">
        <v>93</v>
      </c>
      <c r="E5868" t="s">
        <v>381</v>
      </c>
      <c r="F5868" t="s">
        <v>710</v>
      </c>
      <c r="G5868">
        <v>16000</v>
      </c>
      <c r="H5868">
        <v>16000</v>
      </c>
    </row>
    <row r="5869" spans="2:8" x14ac:dyDescent="0.25">
      <c r="B5869" t="str">
        <f t="shared" si="91"/>
        <v>MLTPopulation ages 50-54, female</v>
      </c>
      <c r="C5869" t="s">
        <v>567</v>
      </c>
      <c r="D5869" t="s">
        <v>93</v>
      </c>
      <c r="E5869" t="s">
        <v>382</v>
      </c>
      <c r="F5869" t="s">
        <v>711</v>
      </c>
      <c r="G5869">
        <v>14000</v>
      </c>
      <c r="H5869">
        <v>14000</v>
      </c>
    </row>
    <row r="5870" spans="2:8" x14ac:dyDescent="0.25">
      <c r="B5870" t="str">
        <f t="shared" si="91"/>
        <v>MLTPopulation ages 50-54, male</v>
      </c>
      <c r="C5870" t="s">
        <v>567</v>
      </c>
      <c r="D5870" t="s">
        <v>93</v>
      </c>
      <c r="E5870" t="s">
        <v>383</v>
      </c>
      <c r="F5870" t="s">
        <v>712</v>
      </c>
      <c r="G5870">
        <v>14000</v>
      </c>
      <c r="H5870">
        <v>14000</v>
      </c>
    </row>
    <row r="5871" spans="2:8" x14ac:dyDescent="0.25">
      <c r="B5871" t="str">
        <f t="shared" si="91"/>
        <v>MLTPopulation ages 55-59, male</v>
      </c>
      <c r="C5871" t="s">
        <v>567</v>
      </c>
      <c r="D5871" t="s">
        <v>93</v>
      </c>
      <c r="E5871" t="s">
        <v>385</v>
      </c>
      <c r="F5871" t="s">
        <v>713</v>
      </c>
      <c r="G5871">
        <v>16000</v>
      </c>
      <c r="H5871">
        <v>16000</v>
      </c>
    </row>
    <row r="5872" spans="2:8" x14ac:dyDescent="0.25">
      <c r="B5872" t="str">
        <f t="shared" si="91"/>
        <v>MLTPopulation ages 55-59, female</v>
      </c>
      <c r="C5872" t="s">
        <v>567</v>
      </c>
      <c r="D5872" t="s">
        <v>93</v>
      </c>
      <c r="E5872" t="s">
        <v>384</v>
      </c>
      <c r="F5872" t="s">
        <v>714</v>
      </c>
      <c r="G5872">
        <v>16000</v>
      </c>
      <c r="H5872">
        <v>15000</v>
      </c>
    </row>
    <row r="5873" spans="2:8" x14ac:dyDescent="0.25">
      <c r="B5873" t="str">
        <f t="shared" si="91"/>
        <v>MLTPopulation ages 65-69, male</v>
      </c>
      <c r="C5873" t="s">
        <v>567</v>
      </c>
      <c r="D5873" t="s">
        <v>93</v>
      </c>
      <c r="E5873" t="s">
        <v>389</v>
      </c>
      <c r="F5873" t="s">
        <v>715</v>
      </c>
      <c r="G5873">
        <v>15000</v>
      </c>
      <c r="H5873">
        <v>15000</v>
      </c>
    </row>
    <row r="5874" spans="2:8" x14ac:dyDescent="0.25">
      <c r="B5874" t="str">
        <f t="shared" si="91"/>
        <v>MLTPopulation ages 65-69, female</v>
      </c>
      <c r="C5874" t="s">
        <v>567</v>
      </c>
      <c r="D5874" t="s">
        <v>93</v>
      </c>
      <c r="E5874" t="s">
        <v>388</v>
      </c>
      <c r="F5874" t="s">
        <v>716</v>
      </c>
      <c r="G5874">
        <v>16000</v>
      </c>
      <c r="H5874">
        <v>15000</v>
      </c>
    </row>
    <row r="5875" spans="2:8" x14ac:dyDescent="0.25">
      <c r="B5875" t="str">
        <f t="shared" si="91"/>
        <v>MLTPopulation ages 60-64, female</v>
      </c>
      <c r="C5875" t="s">
        <v>567</v>
      </c>
      <c r="D5875" t="s">
        <v>93</v>
      </c>
      <c r="E5875" t="s">
        <v>386</v>
      </c>
      <c r="F5875" t="s">
        <v>717</v>
      </c>
      <c r="G5875">
        <v>17000</v>
      </c>
      <c r="H5875">
        <v>17000</v>
      </c>
    </row>
    <row r="5876" spans="2:8" x14ac:dyDescent="0.25">
      <c r="B5876" t="str">
        <f t="shared" si="91"/>
        <v>MLTPopulation ages 60-64, male</v>
      </c>
      <c r="C5876" t="s">
        <v>567</v>
      </c>
      <c r="D5876" t="s">
        <v>93</v>
      </c>
      <c r="E5876" t="s">
        <v>387</v>
      </c>
      <c r="F5876" t="s">
        <v>718</v>
      </c>
      <c r="G5876">
        <v>16000</v>
      </c>
      <c r="H5876">
        <v>16000</v>
      </c>
    </row>
    <row r="5877" spans="2:8" x14ac:dyDescent="0.25">
      <c r="B5877" t="str">
        <f t="shared" si="91"/>
        <v>MLTPopulation ages 70-74, female</v>
      </c>
      <c r="C5877" t="s">
        <v>567</v>
      </c>
      <c r="D5877" t="s">
        <v>93</v>
      </c>
      <c r="E5877" t="s">
        <v>390</v>
      </c>
      <c r="F5877" t="s">
        <v>719</v>
      </c>
      <c r="G5877">
        <v>15000</v>
      </c>
      <c r="H5877">
        <v>16000</v>
      </c>
    </row>
    <row r="5878" spans="2:8" x14ac:dyDescent="0.25">
      <c r="B5878" t="str">
        <f t="shared" si="91"/>
        <v>MLTPopulation ages 70-74, male</v>
      </c>
      <c r="C5878" t="s">
        <v>567</v>
      </c>
      <c r="D5878" t="s">
        <v>93</v>
      </c>
      <c r="E5878" t="s">
        <v>391</v>
      </c>
      <c r="F5878" t="s">
        <v>720</v>
      </c>
      <c r="G5878">
        <v>14000</v>
      </c>
      <c r="H5878">
        <v>15000</v>
      </c>
    </row>
    <row r="5879" spans="2:8" x14ac:dyDescent="0.25">
      <c r="B5879" t="str">
        <f t="shared" si="91"/>
        <v>MLTPopulation ages 75-79, female</v>
      </c>
      <c r="C5879" t="s">
        <v>567</v>
      </c>
      <c r="D5879" t="s">
        <v>93</v>
      </c>
      <c r="E5879" t="s">
        <v>392</v>
      </c>
      <c r="F5879" t="s">
        <v>721</v>
      </c>
      <c r="G5879">
        <v>9600</v>
      </c>
      <c r="H5879">
        <v>10000</v>
      </c>
    </row>
    <row r="5880" spans="2:8" x14ac:dyDescent="0.25">
      <c r="B5880" t="str">
        <f t="shared" si="91"/>
        <v>MLTPopulation ages 75-79, male</v>
      </c>
      <c r="C5880" t="s">
        <v>567</v>
      </c>
      <c r="D5880" t="s">
        <v>93</v>
      </c>
      <c r="E5880" t="s">
        <v>393</v>
      </c>
      <c r="F5880" t="s">
        <v>722</v>
      </c>
      <c r="G5880">
        <v>8000</v>
      </c>
      <c r="H5880">
        <v>8700</v>
      </c>
    </row>
    <row r="5881" spans="2:8" x14ac:dyDescent="0.25">
      <c r="B5881" t="str">
        <f t="shared" si="91"/>
        <v>MLTPopulation ages 80 and above, female</v>
      </c>
      <c r="C5881" t="s">
        <v>567</v>
      </c>
      <c r="D5881" t="s">
        <v>93</v>
      </c>
      <c r="E5881" t="s">
        <v>394</v>
      </c>
      <c r="F5881" t="s">
        <v>723</v>
      </c>
      <c r="G5881">
        <v>14000</v>
      </c>
      <c r="H5881">
        <v>15000</v>
      </c>
    </row>
    <row r="5882" spans="2:8" x14ac:dyDescent="0.25">
      <c r="B5882" t="str">
        <f t="shared" si="91"/>
        <v>MLTPopulation ages 80 and above, male</v>
      </c>
      <c r="C5882" t="s">
        <v>567</v>
      </c>
      <c r="D5882" t="s">
        <v>93</v>
      </c>
      <c r="E5882" t="s">
        <v>395</v>
      </c>
      <c r="F5882" t="s">
        <v>724</v>
      </c>
      <c r="G5882">
        <v>8600</v>
      </c>
      <c r="H5882">
        <v>8900</v>
      </c>
    </row>
    <row r="5883" spans="2:8" x14ac:dyDescent="0.25">
      <c r="B5883" t="str">
        <f t="shared" si="91"/>
        <v>MLTPopulation, male</v>
      </c>
      <c r="C5883" t="s">
        <v>567</v>
      </c>
      <c r="D5883" t="s">
        <v>93</v>
      </c>
      <c r="E5883" t="s">
        <v>397</v>
      </c>
      <c r="F5883" t="s">
        <v>725</v>
      </c>
      <c r="G5883">
        <v>243000</v>
      </c>
      <c r="H5883">
        <v>244000</v>
      </c>
    </row>
    <row r="5884" spans="2:8" x14ac:dyDescent="0.25">
      <c r="B5884" t="str">
        <f t="shared" si="91"/>
        <v>MLTPopulation, total</v>
      </c>
      <c r="C5884" t="s">
        <v>567</v>
      </c>
      <c r="D5884" t="s">
        <v>93</v>
      </c>
      <c r="E5884" t="s">
        <v>398</v>
      </c>
      <c r="F5884" t="s">
        <v>726</v>
      </c>
      <c r="G5884">
        <v>485000</v>
      </c>
      <c r="H5884">
        <v>486000</v>
      </c>
    </row>
    <row r="5885" spans="2:8" x14ac:dyDescent="0.25">
      <c r="B5885" t="str">
        <f t="shared" si="91"/>
        <v>MLTPopulation, female</v>
      </c>
      <c r="C5885" t="s">
        <v>567</v>
      </c>
      <c r="D5885" t="s">
        <v>93</v>
      </c>
      <c r="E5885" t="s">
        <v>396</v>
      </c>
      <c r="F5885" t="s">
        <v>727</v>
      </c>
      <c r="G5885">
        <v>242000</v>
      </c>
      <c r="H5885">
        <v>242000</v>
      </c>
    </row>
    <row r="5886" spans="2:8" x14ac:dyDescent="0.25">
      <c r="B5886" t="str">
        <f t="shared" si="91"/>
        <v>MLTPopulation growth (annual %)</v>
      </c>
      <c r="C5886" t="s">
        <v>567</v>
      </c>
      <c r="D5886" t="s">
        <v>93</v>
      </c>
      <c r="E5886" t="s">
        <v>399</v>
      </c>
      <c r="F5886" t="s">
        <v>728</v>
      </c>
      <c r="G5886">
        <v>0</v>
      </c>
      <c r="H5886">
        <v>0</v>
      </c>
    </row>
    <row r="5887" spans="2:8" x14ac:dyDescent="0.25">
      <c r="B5887" t="str">
        <f t="shared" si="91"/>
        <v>MHLPopulation ages 0-14, female</v>
      </c>
      <c r="C5887" t="s">
        <v>568</v>
      </c>
      <c r="D5887" t="s">
        <v>91</v>
      </c>
      <c r="E5887" t="s">
        <v>687</v>
      </c>
      <c r="F5887" t="s">
        <v>688</v>
      </c>
      <c r="G5887">
        <v>0</v>
      </c>
      <c r="H5887">
        <v>0</v>
      </c>
    </row>
    <row r="5888" spans="2:8" x14ac:dyDescent="0.25">
      <c r="B5888" t="str">
        <f t="shared" si="91"/>
        <v>MHLPopulation ages 0-14, male</v>
      </c>
      <c r="C5888" t="s">
        <v>568</v>
      </c>
      <c r="D5888" t="s">
        <v>91</v>
      </c>
      <c r="E5888" t="s">
        <v>689</v>
      </c>
      <c r="F5888" t="s">
        <v>690</v>
      </c>
      <c r="G5888">
        <v>0</v>
      </c>
      <c r="H5888">
        <v>0</v>
      </c>
    </row>
    <row r="5889" spans="2:8" x14ac:dyDescent="0.25">
      <c r="B5889" t="str">
        <f t="shared" si="91"/>
        <v>MHLPopulation ages 00-04, female</v>
      </c>
      <c r="C5889" t="s">
        <v>568</v>
      </c>
      <c r="D5889" t="s">
        <v>91</v>
      </c>
      <c r="E5889" t="s">
        <v>362</v>
      </c>
      <c r="F5889" t="s">
        <v>691</v>
      </c>
      <c r="G5889">
        <v>0</v>
      </c>
      <c r="H5889">
        <v>0</v>
      </c>
    </row>
    <row r="5890" spans="2:8" x14ac:dyDescent="0.25">
      <c r="B5890" t="str">
        <f t="shared" si="91"/>
        <v>MHLPopulation ages 00-04, male</v>
      </c>
      <c r="C5890" t="s">
        <v>568</v>
      </c>
      <c r="D5890" t="s">
        <v>91</v>
      </c>
      <c r="E5890" t="s">
        <v>363</v>
      </c>
      <c r="F5890" t="s">
        <v>692</v>
      </c>
      <c r="G5890">
        <v>0</v>
      </c>
      <c r="H5890">
        <v>0</v>
      </c>
    </row>
    <row r="5891" spans="2:8" x14ac:dyDescent="0.25">
      <c r="B5891" t="str">
        <f t="shared" si="91"/>
        <v>MHLPopulation ages 05-09, female</v>
      </c>
      <c r="C5891" t="s">
        <v>568</v>
      </c>
      <c r="D5891" t="s">
        <v>91</v>
      </c>
      <c r="E5891" t="s">
        <v>364</v>
      </c>
      <c r="F5891" t="s">
        <v>693</v>
      </c>
      <c r="G5891">
        <v>0</v>
      </c>
      <c r="H5891">
        <v>0</v>
      </c>
    </row>
    <row r="5892" spans="2:8" x14ac:dyDescent="0.25">
      <c r="B5892" t="str">
        <f t="shared" si="91"/>
        <v>MHLPopulation ages 05-09, male</v>
      </c>
      <c r="C5892" t="s">
        <v>568</v>
      </c>
      <c r="D5892" t="s">
        <v>91</v>
      </c>
      <c r="E5892" t="s">
        <v>365</v>
      </c>
      <c r="F5892" t="s">
        <v>694</v>
      </c>
      <c r="G5892">
        <v>0</v>
      </c>
      <c r="H5892">
        <v>0</v>
      </c>
    </row>
    <row r="5893" spans="2:8" x14ac:dyDescent="0.25">
      <c r="B5893" t="str">
        <f t="shared" si="91"/>
        <v>MHLPopulation ages 10-14, female</v>
      </c>
      <c r="C5893" t="s">
        <v>568</v>
      </c>
      <c r="D5893" t="s">
        <v>91</v>
      </c>
      <c r="E5893" t="s">
        <v>366</v>
      </c>
      <c r="F5893" t="s">
        <v>695</v>
      </c>
      <c r="G5893">
        <v>0</v>
      </c>
      <c r="H5893">
        <v>0</v>
      </c>
    </row>
    <row r="5894" spans="2:8" x14ac:dyDescent="0.25">
      <c r="B5894" t="str">
        <f t="shared" si="91"/>
        <v>MHLPopulation ages 10-14, male</v>
      </c>
      <c r="C5894" t="s">
        <v>568</v>
      </c>
      <c r="D5894" t="s">
        <v>91</v>
      </c>
      <c r="E5894" t="s">
        <v>367</v>
      </c>
      <c r="F5894" t="s">
        <v>696</v>
      </c>
      <c r="G5894">
        <v>0</v>
      </c>
      <c r="H5894">
        <v>0</v>
      </c>
    </row>
    <row r="5895" spans="2:8" x14ac:dyDescent="0.25">
      <c r="B5895" t="str">
        <f t="shared" ref="B5895:B5958" si="92">CONCATENATE(D5895,E5895)</f>
        <v>MHLPopulation ages 15-19, female</v>
      </c>
      <c r="C5895" t="s">
        <v>568</v>
      </c>
      <c r="D5895" t="s">
        <v>91</v>
      </c>
      <c r="E5895" t="s">
        <v>368</v>
      </c>
      <c r="F5895" t="s">
        <v>697</v>
      </c>
      <c r="G5895">
        <v>0</v>
      </c>
      <c r="H5895">
        <v>0</v>
      </c>
    </row>
    <row r="5896" spans="2:8" x14ac:dyDescent="0.25">
      <c r="B5896" t="str">
        <f t="shared" si="92"/>
        <v>MHLPopulation ages 15-19, male</v>
      </c>
      <c r="C5896" t="s">
        <v>568</v>
      </c>
      <c r="D5896" t="s">
        <v>91</v>
      </c>
      <c r="E5896" t="s">
        <v>369</v>
      </c>
      <c r="F5896" t="s">
        <v>698</v>
      </c>
      <c r="G5896">
        <v>0</v>
      </c>
      <c r="H5896">
        <v>0</v>
      </c>
    </row>
    <row r="5897" spans="2:8" x14ac:dyDescent="0.25">
      <c r="B5897" t="str">
        <f t="shared" si="92"/>
        <v>MHLPopulation ages 20-24, female</v>
      </c>
      <c r="C5897" t="s">
        <v>568</v>
      </c>
      <c r="D5897" t="s">
        <v>91</v>
      </c>
      <c r="E5897" t="s">
        <v>370</v>
      </c>
      <c r="F5897" t="s">
        <v>699</v>
      </c>
      <c r="G5897">
        <v>0</v>
      </c>
      <c r="H5897">
        <v>0</v>
      </c>
    </row>
    <row r="5898" spans="2:8" x14ac:dyDescent="0.25">
      <c r="B5898" t="str">
        <f t="shared" si="92"/>
        <v>MHLPopulation ages 20-24, male</v>
      </c>
      <c r="C5898" t="s">
        <v>568</v>
      </c>
      <c r="D5898" t="s">
        <v>91</v>
      </c>
      <c r="E5898" t="s">
        <v>371</v>
      </c>
      <c r="F5898" t="s">
        <v>700</v>
      </c>
      <c r="G5898">
        <v>0</v>
      </c>
      <c r="H5898">
        <v>0</v>
      </c>
    </row>
    <row r="5899" spans="2:8" x14ac:dyDescent="0.25">
      <c r="B5899" t="str">
        <f t="shared" si="92"/>
        <v>MHLPopulation ages 25-29, female</v>
      </c>
      <c r="C5899" t="s">
        <v>568</v>
      </c>
      <c r="D5899" t="s">
        <v>91</v>
      </c>
      <c r="E5899" t="s">
        <v>372</v>
      </c>
      <c r="F5899" t="s">
        <v>701</v>
      </c>
      <c r="G5899">
        <v>0</v>
      </c>
      <c r="H5899">
        <v>0</v>
      </c>
    </row>
    <row r="5900" spans="2:8" x14ac:dyDescent="0.25">
      <c r="B5900" t="str">
        <f t="shared" si="92"/>
        <v>MHLPopulation ages 25-29, male</v>
      </c>
      <c r="C5900" t="s">
        <v>568</v>
      </c>
      <c r="D5900" t="s">
        <v>91</v>
      </c>
      <c r="E5900" t="s">
        <v>373</v>
      </c>
      <c r="F5900" t="s">
        <v>702</v>
      </c>
      <c r="G5900">
        <v>0</v>
      </c>
      <c r="H5900">
        <v>0</v>
      </c>
    </row>
    <row r="5901" spans="2:8" x14ac:dyDescent="0.25">
      <c r="B5901" t="str">
        <f t="shared" si="92"/>
        <v>MHLPopulation ages 30-34, female</v>
      </c>
      <c r="C5901" t="s">
        <v>568</v>
      </c>
      <c r="D5901" t="s">
        <v>91</v>
      </c>
      <c r="E5901" t="s">
        <v>374</v>
      </c>
      <c r="F5901" t="s">
        <v>703</v>
      </c>
      <c r="G5901">
        <v>0</v>
      </c>
      <c r="H5901">
        <v>0</v>
      </c>
    </row>
    <row r="5902" spans="2:8" x14ac:dyDescent="0.25">
      <c r="B5902" t="str">
        <f t="shared" si="92"/>
        <v>MHLPopulation ages 30-34, male</v>
      </c>
      <c r="C5902" t="s">
        <v>568</v>
      </c>
      <c r="D5902" t="s">
        <v>91</v>
      </c>
      <c r="E5902" t="s">
        <v>375</v>
      </c>
      <c r="F5902" t="s">
        <v>704</v>
      </c>
      <c r="G5902">
        <v>0</v>
      </c>
      <c r="H5902">
        <v>0</v>
      </c>
    </row>
    <row r="5903" spans="2:8" x14ac:dyDescent="0.25">
      <c r="B5903" t="str">
        <f t="shared" si="92"/>
        <v>MHLPopulation ages 35-39, female</v>
      </c>
      <c r="C5903" t="s">
        <v>568</v>
      </c>
      <c r="D5903" t="s">
        <v>91</v>
      </c>
      <c r="E5903" t="s">
        <v>376</v>
      </c>
      <c r="F5903" t="s">
        <v>705</v>
      </c>
      <c r="G5903">
        <v>0</v>
      </c>
      <c r="H5903">
        <v>0</v>
      </c>
    </row>
    <row r="5904" spans="2:8" x14ac:dyDescent="0.25">
      <c r="B5904" t="str">
        <f t="shared" si="92"/>
        <v>MHLPopulation ages 35-39, male</v>
      </c>
      <c r="C5904" t="s">
        <v>568</v>
      </c>
      <c r="D5904" t="s">
        <v>91</v>
      </c>
      <c r="E5904" t="s">
        <v>377</v>
      </c>
      <c r="F5904" t="s">
        <v>706</v>
      </c>
      <c r="G5904">
        <v>0</v>
      </c>
      <c r="H5904">
        <v>0</v>
      </c>
    </row>
    <row r="5905" spans="2:8" x14ac:dyDescent="0.25">
      <c r="B5905" t="str">
        <f t="shared" si="92"/>
        <v>MHLPopulation ages 40-44, female</v>
      </c>
      <c r="C5905" t="s">
        <v>568</v>
      </c>
      <c r="D5905" t="s">
        <v>91</v>
      </c>
      <c r="E5905" t="s">
        <v>378</v>
      </c>
      <c r="F5905" t="s">
        <v>707</v>
      </c>
      <c r="G5905">
        <v>0</v>
      </c>
      <c r="H5905">
        <v>0</v>
      </c>
    </row>
    <row r="5906" spans="2:8" x14ac:dyDescent="0.25">
      <c r="B5906" t="str">
        <f t="shared" si="92"/>
        <v>MHLPopulation ages 40-44, male</v>
      </c>
      <c r="C5906" t="s">
        <v>568</v>
      </c>
      <c r="D5906" t="s">
        <v>91</v>
      </c>
      <c r="E5906" t="s">
        <v>379</v>
      </c>
      <c r="F5906" t="s">
        <v>708</v>
      </c>
      <c r="G5906">
        <v>0</v>
      </c>
      <c r="H5906">
        <v>0</v>
      </c>
    </row>
    <row r="5907" spans="2:8" x14ac:dyDescent="0.25">
      <c r="B5907" t="str">
        <f t="shared" si="92"/>
        <v>MHLPopulation ages 45-49, female</v>
      </c>
      <c r="C5907" t="s">
        <v>568</v>
      </c>
      <c r="D5907" t="s">
        <v>91</v>
      </c>
      <c r="E5907" t="s">
        <v>380</v>
      </c>
      <c r="F5907" t="s">
        <v>709</v>
      </c>
      <c r="G5907">
        <v>0</v>
      </c>
      <c r="H5907">
        <v>0</v>
      </c>
    </row>
    <row r="5908" spans="2:8" x14ac:dyDescent="0.25">
      <c r="B5908" t="str">
        <f t="shared" si="92"/>
        <v>MHLPopulation ages 45-49, male</v>
      </c>
      <c r="C5908" t="s">
        <v>568</v>
      </c>
      <c r="D5908" t="s">
        <v>91</v>
      </c>
      <c r="E5908" t="s">
        <v>381</v>
      </c>
      <c r="F5908" t="s">
        <v>710</v>
      </c>
      <c r="G5908">
        <v>0</v>
      </c>
      <c r="H5908">
        <v>0</v>
      </c>
    </row>
    <row r="5909" spans="2:8" x14ac:dyDescent="0.25">
      <c r="B5909" t="str">
        <f t="shared" si="92"/>
        <v>MHLPopulation ages 50-54, female</v>
      </c>
      <c r="C5909" t="s">
        <v>568</v>
      </c>
      <c r="D5909" t="s">
        <v>91</v>
      </c>
      <c r="E5909" t="s">
        <v>382</v>
      </c>
      <c r="F5909" t="s">
        <v>711</v>
      </c>
      <c r="G5909">
        <v>0</v>
      </c>
      <c r="H5909">
        <v>0</v>
      </c>
    </row>
    <row r="5910" spans="2:8" x14ac:dyDescent="0.25">
      <c r="B5910" t="str">
        <f t="shared" si="92"/>
        <v>MHLPopulation ages 50-54, male</v>
      </c>
      <c r="C5910" t="s">
        <v>568</v>
      </c>
      <c r="D5910" t="s">
        <v>91</v>
      </c>
      <c r="E5910" t="s">
        <v>383</v>
      </c>
      <c r="F5910" t="s">
        <v>712</v>
      </c>
      <c r="G5910">
        <v>0</v>
      </c>
      <c r="H5910">
        <v>0</v>
      </c>
    </row>
    <row r="5911" spans="2:8" x14ac:dyDescent="0.25">
      <c r="B5911" t="str">
        <f t="shared" si="92"/>
        <v>MHLPopulation ages 55-59, male</v>
      </c>
      <c r="C5911" t="s">
        <v>568</v>
      </c>
      <c r="D5911" t="s">
        <v>91</v>
      </c>
      <c r="E5911" t="s">
        <v>385</v>
      </c>
      <c r="F5911" t="s">
        <v>713</v>
      </c>
      <c r="G5911">
        <v>0</v>
      </c>
      <c r="H5911">
        <v>0</v>
      </c>
    </row>
    <row r="5912" spans="2:8" x14ac:dyDescent="0.25">
      <c r="B5912" t="str">
        <f t="shared" si="92"/>
        <v>MHLPopulation ages 55-59, female</v>
      </c>
      <c r="C5912" t="s">
        <v>568</v>
      </c>
      <c r="D5912" t="s">
        <v>91</v>
      </c>
      <c r="E5912" t="s">
        <v>384</v>
      </c>
      <c r="F5912" t="s">
        <v>714</v>
      </c>
      <c r="G5912">
        <v>0</v>
      </c>
      <c r="H5912">
        <v>0</v>
      </c>
    </row>
    <row r="5913" spans="2:8" x14ac:dyDescent="0.25">
      <c r="B5913" t="str">
        <f t="shared" si="92"/>
        <v>MHLPopulation ages 65-69, male</v>
      </c>
      <c r="C5913" t="s">
        <v>568</v>
      </c>
      <c r="D5913" t="s">
        <v>91</v>
      </c>
      <c r="E5913" t="s">
        <v>389</v>
      </c>
      <c r="F5913" t="s">
        <v>715</v>
      </c>
      <c r="G5913">
        <v>0</v>
      </c>
      <c r="H5913">
        <v>0</v>
      </c>
    </row>
    <row r="5914" spans="2:8" x14ac:dyDescent="0.25">
      <c r="B5914" t="str">
        <f t="shared" si="92"/>
        <v>MHLPopulation ages 65-69, female</v>
      </c>
      <c r="C5914" t="s">
        <v>568</v>
      </c>
      <c r="D5914" t="s">
        <v>91</v>
      </c>
      <c r="E5914" t="s">
        <v>388</v>
      </c>
      <c r="F5914" t="s">
        <v>716</v>
      </c>
      <c r="G5914">
        <v>0</v>
      </c>
      <c r="H5914">
        <v>0</v>
      </c>
    </row>
    <row r="5915" spans="2:8" x14ac:dyDescent="0.25">
      <c r="B5915" t="str">
        <f t="shared" si="92"/>
        <v>MHLPopulation ages 60-64, female</v>
      </c>
      <c r="C5915" t="s">
        <v>568</v>
      </c>
      <c r="D5915" t="s">
        <v>91</v>
      </c>
      <c r="E5915" t="s">
        <v>386</v>
      </c>
      <c r="F5915" t="s">
        <v>717</v>
      </c>
      <c r="G5915">
        <v>0</v>
      </c>
      <c r="H5915">
        <v>0</v>
      </c>
    </row>
    <row r="5916" spans="2:8" x14ac:dyDescent="0.25">
      <c r="B5916" t="str">
        <f t="shared" si="92"/>
        <v>MHLPopulation ages 60-64, male</v>
      </c>
      <c r="C5916" t="s">
        <v>568</v>
      </c>
      <c r="D5916" t="s">
        <v>91</v>
      </c>
      <c r="E5916" t="s">
        <v>387</v>
      </c>
      <c r="F5916" t="s">
        <v>718</v>
      </c>
      <c r="G5916">
        <v>0</v>
      </c>
      <c r="H5916">
        <v>0</v>
      </c>
    </row>
    <row r="5917" spans="2:8" x14ac:dyDescent="0.25">
      <c r="B5917" t="str">
        <f t="shared" si="92"/>
        <v>MHLPopulation ages 70-74, female</v>
      </c>
      <c r="C5917" t="s">
        <v>568</v>
      </c>
      <c r="D5917" t="s">
        <v>91</v>
      </c>
      <c r="E5917" t="s">
        <v>390</v>
      </c>
      <c r="F5917" t="s">
        <v>719</v>
      </c>
      <c r="G5917">
        <v>0</v>
      </c>
      <c r="H5917">
        <v>0</v>
      </c>
    </row>
    <row r="5918" spans="2:8" x14ac:dyDescent="0.25">
      <c r="B5918" t="str">
        <f t="shared" si="92"/>
        <v>MHLPopulation ages 70-74, male</v>
      </c>
      <c r="C5918" t="s">
        <v>568</v>
      </c>
      <c r="D5918" t="s">
        <v>91</v>
      </c>
      <c r="E5918" t="s">
        <v>391</v>
      </c>
      <c r="F5918" t="s">
        <v>720</v>
      </c>
      <c r="G5918">
        <v>0</v>
      </c>
      <c r="H5918">
        <v>0</v>
      </c>
    </row>
    <row r="5919" spans="2:8" x14ac:dyDescent="0.25">
      <c r="B5919" t="str">
        <f t="shared" si="92"/>
        <v>MHLPopulation ages 75-79, female</v>
      </c>
      <c r="C5919" t="s">
        <v>568</v>
      </c>
      <c r="D5919" t="s">
        <v>91</v>
      </c>
      <c r="E5919" t="s">
        <v>392</v>
      </c>
      <c r="F5919" t="s">
        <v>721</v>
      </c>
      <c r="G5919">
        <v>0</v>
      </c>
      <c r="H5919">
        <v>0</v>
      </c>
    </row>
    <row r="5920" spans="2:8" x14ac:dyDescent="0.25">
      <c r="B5920" t="str">
        <f t="shared" si="92"/>
        <v>MHLPopulation ages 75-79, male</v>
      </c>
      <c r="C5920" t="s">
        <v>568</v>
      </c>
      <c r="D5920" t="s">
        <v>91</v>
      </c>
      <c r="E5920" t="s">
        <v>393</v>
      </c>
      <c r="F5920" t="s">
        <v>722</v>
      </c>
      <c r="G5920">
        <v>0</v>
      </c>
      <c r="H5920">
        <v>0</v>
      </c>
    </row>
    <row r="5921" spans="2:8" x14ac:dyDescent="0.25">
      <c r="B5921" t="str">
        <f t="shared" si="92"/>
        <v>MHLPopulation ages 80 and above, female</v>
      </c>
      <c r="C5921" t="s">
        <v>568</v>
      </c>
      <c r="D5921" t="s">
        <v>91</v>
      </c>
      <c r="E5921" t="s">
        <v>394</v>
      </c>
      <c r="F5921" t="s">
        <v>723</v>
      </c>
      <c r="G5921">
        <v>0</v>
      </c>
      <c r="H5921">
        <v>0</v>
      </c>
    </row>
    <row r="5922" spans="2:8" x14ac:dyDescent="0.25">
      <c r="B5922" t="str">
        <f t="shared" si="92"/>
        <v>MHLPopulation ages 80 and above, male</v>
      </c>
      <c r="C5922" t="s">
        <v>568</v>
      </c>
      <c r="D5922" t="s">
        <v>91</v>
      </c>
      <c r="E5922" t="s">
        <v>395</v>
      </c>
      <c r="F5922" t="s">
        <v>724</v>
      </c>
      <c r="G5922">
        <v>0</v>
      </c>
      <c r="H5922">
        <v>0</v>
      </c>
    </row>
    <row r="5923" spans="2:8" x14ac:dyDescent="0.25">
      <c r="B5923" t="str">
        <f t="shared" si="92"/>
        <v>MHLPopulation, male</v>
      </c>
      <c r="C5923" t="s">
        <v>568</v>
      </c>
      <c r="D5923" t="s">
        <v>91</v>
      </c>
      <c r="E5923" t="s">
        <v>397</v>
      </c>
      <c r="F5923" t="s">
        <v>725</v>
      </c>
      <c r="G5923">
        <v>0</v>
      </c>
      <c r="H5923">
        <v>0</v>
      </c>
    </row>
    <row r="5924" spans="2:8" x14ac:dyDescent="0.25">
      <c r="B5924" t="str">
        <f t="shared" si="92"/>
        <v>MHLPopulation, total</v>
      </c>
      <c r="C5924" t="s">
        <v>568</v>
      </c>
      <c r="D5924" t="s">
        <v>91</v>
      </c>
      <c r="E5924" t="s">
        <v>398</v>
      </c>
      <c r="F5924" t="s">
        <v>726</v>
      </c>
      <c r="G5924">
        <v>59000</v>
      </c>
      <c r="H5924">
        <v>59000</v>
      </c>
    </row>
    <row r="5925" spans="2:8" x14ac:dyDescent="0.25">
      <c r="B5925" t="str">
        <f t="shared" si="92"/>
        <v>MHLPopulation, female</v>
      </c>
      <c r="C5925" t="s">
        <v>568</v>
      </c>
      <c r="D5925" t="s">
        <v>91</v>
      </c>
      <c r="E5925" t="s">
        <v>396</v>
      </c>
      <c r="F5925" t="s">
        <v>727</v>
      </c>
      <c r="G5925">
        <v>0</v>
      </c>
      <c r="H5925">
        <v>0</v>
      </c>
    </row>
    <row r="5926" spans="2:8" x14ac:dyDescent="0.25">
      <c r="B5926" t="str">
        <f t="shared" si="92"/>
        <v>MHLPopulation growth (annual %)</v>
      </c>
      <c r="C5926" t="s">
        <v>568</v>
      </c>
      <c r="D5926" t="s">
        <v>91</v>
      </c>
      <c r="E5926" t="s">
        <v>399</v>
      </c>
      <c r="F5926" t="s">
        <v>728</v>
      </c>
      <c r="G5926">
        <v>0</v>
      </c>
      <c r="H5926">
        <v>0</v>
      </c>
    </row>
    <row r="5927" spans="2:8" x14ac:dyDescent="0.25">
      <c r="B5927" t="str">
        <f t="shared" si="92"/>
        <v>MRTPopulation ages 0-14, female</v>
      </c>
      <c r="C5927" t="s">
        <v>205</v>
      </c>
      <c r="D5927" t="s">
        <v>98</v>
      </c>
      <c r="E5927" t="s">
        <v>687</v>
      </c>
      <c r="F5927" t="s">
        <v>688</v>
      </c>
      <c r="G5927">
        <v>888000</v>
      </c>
      <c r="H5927">
        <v>908000</v>
      </c>
    </row>
    <row r="5928" spans="2:8" x14ac:dyDescent="0.25">
      <c r="B5928" t="str">
        <f t="shared" si="92"/>
        <v>MRTPopulation ages 0-14, male</v>
      </c>
      <c r="C5928" t="s">
        <v>205</v>
      </c>
      <c r="D5928" t="s">
        <v>98</v>
      </c>
      <c r="E5928" t="s">
        <v>689</v>
      </c>
      <c r="F5928" t="s">
        <v>690</v>
      </c>
      <c r="G5928">
        <v>917000</v>
      </c>
      <c r="H5928">
        <v>938000</v>
      </c>
    </row>
    <row r="5929" spans="2:8" x14ac:dyDescent="0.25">
      <c r="B5929" t="str">
        <f t="shared" si="92"/>
        <v>MRTPopulation ages 00-04, female</v>
      </c>
      <c r="C5929" t="s">
        <v>205</v>
      </c>
      <c r="D5929" t="s">
        <v>98</v>
      </c>
      <c r="E5929" t="s">
        <v>362</v>
      </c>
      <c r="F5929" t="s">
        <v>691</v>
      </c>
      <c r="G5929">
        <v>333000</v>
      </c>
      <c r="H5929">
        <v>339000</v>
      </c>
    </row>
    <row r="5930" spans="2:8" x14ac:dyDescent="0.25">
      <c r="B5930" t="str">
        <f t="shared" si="92"/>
        <v>MRTPopulation ages 00-04, male</v>
      </c>
      <c r="C5930" t="s">
        <v>205</v>
      </c>
      <c r="D5930" t="s">
        <v>98</v>
      </c>
      <c r="E5930" t="s">
        <v>363</v>
      </c>
      <c r="F5930" t="s">
        <v>692</v>
      </c>
      <c r="G5930">
        <v>346000</v>
      </c>
      <c r="H5930">
        <v>351000</v>
      </c>
    </row>
    <row r="5931" spans="2:8" x14ac:dyDescent="0.25">
      <c r="B5931" t="str">
        <f t="shared" si="92"/>
        <v>MRTPopulation ages 05-09, female</v>
      </c>
      <c r="C5931" t="s">
        <v>205</v>
      </c>
      <c r="D5931" t="s">
        <v>98</v>
      </c>
      <c r="E5931" t="s">
        <v>364</v>
      </c>
      <c r="F5931" t="s">
        <v>693</v>
      </c>
      <c r="G5931">
        <v>297000</v>
      </c>
      <c r="H5931">
        <v>304000</v>
      </c>
    </row>
    <row r="5932" spans="2:8" x14ac:dyDescent="0.25">
      <c r="B5932" t="str">
        <f t="shared" si="92"/>
        <v>MRTPopulation ages 05-09, male</v>
      </c>
      <c r="C5932" t="s">
        <v>205</v>
      </c>
      <c r="D5932" t="s">
        <v>98</v>
      </c>
      <c r="E5932" t="s">
        <v>365</v>
      </c>
      <c r="F5932" t="s">
        <v>694</v>
      </c>
      <c r="G5932">
        <v>306000</v>
      </c>
      <c r="H5932">
        <v>314000</v>
      </c>
    </row>
    <row r="5933" spans="2:8" x14ac:dyDescent="0.25">
      <c r="B5933" t="str">
        <f t="shared" si="92"/>
        <v>MRTPopulation ages 10-14, female</v>
      </c>
      <c r="C5933" t="s">
        <v>205</v>
      </c>
      <c r="D5933" t="s">
        <v>98</v>
      </c>
      <c r="E5933" t="s">
        <v>366</v>
      </c>
      <c r="F5933" t="s">
        <v>695</v>
      </c>
      <c r="G5933">
        <v>258000</v>
      </c>
      <c r="H5933">
        <v>265000</v>
      </c>
    </row>
    <row r="5934" spans="2:8" x14ac:dyDescent="0.25">
      <c r="B5934" t="str">
        <f t="shared" si="92"/>
        <v>MRTPopulation ages 10-14, male</v>
      </c>
      <c r="C5934" t="s">
        <v>205</v>
      </c>
      <c r="D5934" t="s">
        <v>98</v>
      </c>
      <c r="E5934" t="s">
        <v>367</v>
      </c>
      <c r="F5934" t="s">
        <v>696</v>
      </c>
      <c r="G5934">
        <v>265000</v>
      </c>
      <c r="H5934">
        <v>272000</v>
      </c>
    </row>
    <row r="5935" spans="2:8" x14ac:dyDescent="0.25">
      <c r="B5935" t="str">
        <f t="shared" si="92"/>
        <v>MRTPopulation ages 15-19, female</v>
      </c>
      <c r="C5935" t="s">
        <v>205</v>
      </c>
      <c r="D5935" t="s">
        <v>98</v>
      </c>
      <c r="E5935" t="s">
        <v>368</v>
      </c>
      <c r="F5935" t="s">
        <v>697</v>
      </c>
      <c r="G5935">
        <v>226000</v>
      </c>
      <c r="H5935">
        <v>232000</v>
      </c>
    </row>
    <row r="5936" spans="2:8" x14ac:dyDescent="0.25">
      <c r="B5936" t="str">
        <f t="shared" si="92"/>
        <v>MRTPopulation ages 15-19, male</v>
      </c>
      <c r="C5936" t="s">
        <v>205</v>
      </c>
      <c r="D5936" t="s">
        <v>98</v>
      </c>
      <c r="E5936" t="s">
        <v>369</v>
      </c>
      <c r="F5936" t="s">
        <v>698</v>
      </c>
      <c r="G5936">
        <v>232000</v>
      </c>
      <c r="H5936">
        <v>238000</v>
      </c>
    </row>
    <row r="5937" spans="2:8" x14ac:dyDescent="0.25">
      <c r="B5937" t="str">
        <f t="shared" si="92"/>
        <v>MRTPopulation ages 20-24, female</v>
      </c>
      <c r="C5937" t="s">
        <v>205</v>
      </c>
      <c r="D5937" t="s">
        <v>98</v>
      </c>
      <c r="E5937" t="s">
        <v>370</v>
      </c>
      <c r="F5937" t="s">
        <v>699</v>
      </c>
      <c r="G5937">
        <v>200000</v>
      </c>
      <c r="H5937">
        <v>205000</v>
      </c>
    </row>
    <row r="5938" spans="2:8" x14ac:dyDescent="0.25">
      <c r="B5938" t="str">
        <f t="shared" si="92"/>
        <v>MRTPopulation ages 20-24, male</v>
      </c>
      <c r="C5938" t="s">
        <v>205</v>
      </c>
      <c r="D5938" t="s">
        <v>98</v>
      </c>
      <c r="E5938" t="s">
        <v>371</v>
      </c>
      <c r="F5938" t="s">
        <v>700</v>
      </c>
      <c r="G5938">
        <v>206000</v>
      </c>
      <c r="H5938">
        <v>211000</v>
      </c>
    </row>
    <row r="5939" spans="2:8" x14ac:dyDescent="0.25">
      <c r="B5939" t="str">
        <f t="shared" si="92"/>
        <v>MRTPopulation ages 25-29, female</v>
      </c>
      <c r="C5939" t="s">
        <v>205</v>
      </c>
      <c r="D5939" t="s">
        <v>98</v>
      </c>
      <c r="E5939" t="s">
        <v>372</v>
      </c>
      <c r="F5939" t="s">
        <v>701</v>
      </c>
      <c r="G5939">
        <v>180000</v>
      </c>
      <c r="H5939">
        <v>183000</v>
      </c>
    </row>
    <row r="5940" spans="2:8" x14ac:dyDescent="0.25">
      <c r="B5940" t="str">
        <f t="shared" si="92"/>
        <v>MRTPopulation ages 25-29, male</v>
      </c>
      <c r="C5940" t="s">
        <v>205</v>
      </c>
      <c r="D5940" t="s">
        <v>98</v>
      </c>
      <c r="E5940" t="s">
        <v>373</v>
      </c>
      <c r="F5940" t="s">
        <v>702</v>
      </c>
      <c r="G5940">
        <v>184000</v>
      </c>
      <c r="H5940">
        <v>188000</v>
      </c>
    </row>
    <row r="5941" spans="2:8" x14ac:dyDescent="0.25">
      <c r="B5941" t="str">
        <f t="shared" si="92"/>
        <v>MRTPopulation ages 30-34, female</v>
      </c>
      <c r="C5941" t="s">
        <v>205</v>
      </c>
      <c r="D5941" t="s">
        <v>98</v>
      </c>
      <c r="E5941" t="s">
        <v>374</v>
      </c>
      <c r="F5941" t="s">
        <v>703</v>
      </c>
      <c r="G5941">
        <v>161000</v>
      </c>
      <c r="H5941">
        <v>165000</v>
      </c>
    </row>
    <row r="5942" spans="2:8" x14ac:dyDescent="0.25">
      <c r="B5942" t="str">
        <f t="shared" si="92"/>
        <v>MRTPopulation ages 30-34, male</v>
      </c>
      <c r="C5942" t="s">
        <v>205</v>
      </c>
      <c r="D5942" t="s">
        <v>98</v>
      </c>
      <c r="E5942" t="s">
        <v>375</v>
      </c>
      <c r="F5942" t="s">
        <v>704</v>
      </c>
      <c r="G5942">
        <v>165000</v>
      </c>
      <c r="H5942">
        <v>169000</v>
      </c>
    </row>
    <row r="5943" spans="2:8" x14ac:dyDescent="0.25">
      <c r="B5943" t="str">
        <f t="shared" si="92"/>
        <v>MRTPopulation ages 35-39, female</v>
      </c>
      <c r="C5943" t="s">
        <v>205</v>
      </c>
      <c r="D5943" t="s">
        <v>98</v>
      </c>
      <c r="E5943" t="s">
        <v>376</v>
      </c>
      <c r="F5943" t="s">
        <v>705</v>
      </c>
      <c r="G5943">
        <v>136000</v>
      </c>
      <c r="H5943">
        <v>141000</v>
      </c>
    </row>
    <row r="5944" spans="2:8" x14ac:dyDescent="0.25">
      <c r="B5944" t="str">
        <f t="shared" si="92"/>
        <v>MRTPopulation ages 35-39, male</v>
      </c>
      <c r="C5944" t="s">
        <v>205</v>
      </c>
      <c r="D5944" t="s">
        <v>98</v>
      </c>
      <c r="E5944" t="s">
        <v>377</v>
      </c>
      <c r="F5944" t="s">
        <v>706</v>
      </c>
      <c r="G5944">
        <v>139000</v>
      </c>
      <c r="H5944">
        <v>144000</v>
      </c>
    </row>
    <row r="5945" spans="2:8" x14ac:dyDescent="0.25">
      <c r="B5945" t="str">
        <f t="shared" si="92"/>
        <v>MRTPopulation ages 40-44, female</v>
      </c>
      <c r="C5945" t="s">
        <v>205</v>
      </c>
      <c r="D5945" t="s">
        <v>98</v>
      </c>
      <c r="E5945" t="s">
        <v>378</v>
      </c>
      <c r="F5945" t="s">
        <v>707</v>
      </c>
      <c r="G5945">
        <v>112000</v>
      </c>
      <c r="H5945">
        <v>117000</v>
      </c>
    </row>
    <row r="5946" spans="2:8" x14ac:dyDescent="0.25">
      <c r="B5946" t="str">
        <f t="shared" si="92"/>
        <v>MRTPopulation ages 40-44, male</v>
      </c>
      <c r="C5946" t="s">
        <v>205</v>
      </c>
      <c r="D5946" t="s">
        <v>98</v>
      </c>
      <c r="E5946" t="s">
        <v>379</v>
      </c>
      <c r="F5946" t="s">
        <v>708</v>
      </c>
      <c r="G5946">
        <v>113000</v>
      </c>
      <c r="H5946">
        <v>118000</v>
      </c>
    </row>
    <row r="5947" spans="2:8" x14ac:dyDescent="0.25">
      <c r="B5947" t="str">
        <f t="shared" si="92"/>
        <v>MRTPopulation ages 45-49, female</v>
      </c>
      <c r="C5947" t="s">
        <v>205</v>
      </c>
      <c r="D5947" t="s">
        <v>98</v>
      </c>
      <c r="E5947" t="s">
        <v>380</v>
      </c>
      <c r="F5947" t="s">
        <v>709</v>
      </c>
      <c r="G5947">
        <v>91000</v>
      </c>
      <c r="H5947">
        <v>94000</v>
      </c>
    </row>
    <row r="5948" spans="2:8" x14ac:dyDescent="0.25">
      <c r="B5948" t="str">
        <f t="shared" si="92"/>
        <v>MRTPopulation ages 45-49, male</v>
      </c>
      <c r="C5948" t="s">
        <v>205</v>
      </c>
      <c r="D5948" t="s">
        <v>98</v>
      </c>
      <c r="E5948" t="s">
        <v>381</v>
      </c>
      <c r="F5948" t="s">
        <v>710</v>
      </c>
      <c r="G5948">
        <v>90000</v>
      </c>
      <c r="H5948">
        <v>94000</v>
      </c>
    </row>
    <row r="5949" spans="2:8" x14ac:dyDescent="0.25">
      <c r="B5949" t="str">
        <f t="shared" si="92"/>
        <v>MRTPopulation ages 50-54, female</v>
      </c>
      <c r="C5949" t="s">
        <v>205</v>
      </c>
      <c r="D5949" t="s">
        <v>98</v>
      </c>
      <c r="E5949" t="s">
        <v>382</v>
      </c>
      <c r="F5949" t="s">
        <v>711</v>
      </c>
      <c r="G5949">
        <v>74000</v>
      </c>
      <c r="H5949">
        <v>76000</v>
      </c>
    </row>
    <row r="5950" spans="2:8" x14ac:dyDescent="0.25">
      <c r="B5950" t="str">
        <f t="shared" si="92"/>
        <v>MRTPopulation ages 50-54, male</v>
      </c>
      <c r="C5950" t="s">
        <v>205</v>
      </c>
      <c r="D5950" t="s">
        <v>98</v>
      </c>
      <c r="E5950" t="s">
        <v>383</v>
      </c>
      <c r="F5950" t="s">
        <v>712</v>
      </c>
      <c r="G5950">
        <v>70000</v>
      </c>
      <c r="H5950">
        <v>73000</v>
      </c>
    </row>
    <row r="5951" spans="2:8" x14ac:dyDescent="0.25">
      <c r="B5951" t="str">
        <f t="shared" si="92"/>
        <v>MRTPopulation ages 55-59, male</v>
      </c>
      <c r="C5951" t="s">
        <v>205</v>
      </c>
      <c r="D5951" t="s">
        <v>98</v>
      </c>
      <c r="E5951" t="s">
        <v>385</v>
      </c>
      <c r="F5951" t="s">
        <v>713</v>
      </c>
      <c r="G5951">
        <v>54000</v>
      </c>
      <c r="H5951">
        <v>56000</v>
      </c>
    </row>
    <row r="5952" spans="2:8" x14ac:dyDescent="0.25">
      <c r="B5952" t="str">
        <f t="shared" si="92"/>
        <v>MRTPopulation ages 55-59, female</v>
      </c>
      <c r="C5952" t="s">
        <v>205</v>
      </c>
      <c r="D5952" t="s">
        <v>98</v>
      </c>
      <c r="E5952" t="s">
        <v>384</v>
      </c>
      <c r="F5952" t="s">
        <v>714</v>
      </c>
      <c r="G5952">
        <v>59000</v>
      </c>
      <c r="H5952">
        <v>61000</v>
      </c>
    </row>
    <row r="5953" spans="2:8" x14ac:dyDescent="0.25">
      <c r="B5953" t="str">
        <f t="shared" si="92"/>
        <v>MRTPopulation ages 65-69, male</v>
      </c>
      <c r="C5953" t="s">
        <v>205</v>
      </c>
      <c r="D5953" t="s">
        <v>98</v>
      </c>
      <c r="E5953" t="s">
        <v>389</v>
      </c>
      <c r="F5953" t="s">
        <v>715</v>
      </c>
      <c r="G5953">
        <v>27000</v>
      </c>
      <c r="H5953">
        <v>28000</v>
      </c>
    </row>
    <row r="5954" spans="2:8" x14ac:dyDescent="0.25">
      <c r="B5954" t="str">
        <f t="shared" si="92"/>
        <v>MRTPopulation ages 65-69, female</v>
      </c>
      <c r="C5954" t="s">
        <v>205</v>
      </c>
      <c r="D5954" t="s">
        <v>98</v>
      </c>
      <c r="E5954" t="s">
        <v>388</v>
      </c>
      <c r="F5954" t="s">
        <v>716</v>
      </c>
      <c r="G5954">
        <v>32000</v>
      </c>
      <c r="H5954">
        <v>34000</v>
      </c>
    </row>
    <row r="5955" spans="2:8" x14ac:dyDescent="0.25">
      <c r="B5955" t="str">
        <f t="shared" si="92"/>
        <v>MRTPopulation ages 60-64, female</v>
      </c>
      <c r="C5955" t="s">
        <v>205</v>
      </c>
      <c r="D5955" t="s">
        <v>98</v>
      </c>
      <c r="E5955" t="s">
        <v>386</v>
      </c>
      <c r="F5955" t="s">
        <v>717</v>
      </c>
      <c r="G5955">
        <v>45000</v>
      </c>
      <c r="H5955">
        <v>47000</v>
      </c>
    </row>
    <row r="5956" spans="2:8" x14ac:dyDescent="0.25">
      <c r="B5956" t="str">
        <f t="shared" si="92"/>
        <v>MRTPopulation ages 60-64, male</v>
      </c>
      <c r="C5956" t="s">
        <v>205</v>
      </c>
      <c r="D5956" t="s">
        <v>98</v>
      </c>
      <c r="E5956" t="s">
        <v>387</v>
      </c>
      <c r="F5956" t="s">
        <v>718</v>
      </c>
      <c r="G5956">
        <v>40000</v>
      </c>
      <c r="H5956">
        <v>42000</v>
      </c>
    </row>
    <row r="5957" spans="2:8" x14ac:dyDescent="0.25">
      <c r="B5957" t="str">
        <f t="shared" si="92"/>
        <v>MRTPopulation ages 70-74, female</v>
      </c>
      <c r="C5957" t="s">
        <v>205</v>
      </c>
      <c r="D5957" t="s">
        <v>98</v>
      </c>
      <c r="E5957" t="s">
        <v>390</v>
      </c>
      <c r="F5957" t="s">
        <v>719</v>
      </c>
      <c r="G5957">
        <v>23000</v>
      </c>
      <c r="H5957">
        <v>24000</v>
      </c>
    </row>
    <row r="5958" spans="2:8" x14ac:dyDescent="0.25">
      <c r="B5958" t="str">
        <f t="shared" si="92"/>
        <v>MRTPopulation ages 70-74, male</v>
      </c>
      <c r="C5958" t="s">
        <v>205</v>
      </c>
      <c r="D5958" t="s">
        <v>98</v>
      </c>
      <c r="E5958" t="s">
        <v>391</v>
      </c>
      <c r="F5958" t="s">
        <v>720</v>
      </c>
      <c r="G5958">
        <v>17000</v>
      </c>
      <c r="H5958">
        <v>17000</v>
      </c>
    </row>
    <row r="5959" spans="2:8" x14ac:dyDescent="0.25">
      <c r="B5959" t="str">
        <f t="shared" ref="B5959:B6022" si="93">CONCATENATE(D5959,E5959)</f>
        <v>MRTPopulation ages 75-79, female</v>
      </c>
      <c r="C5959" t="s">
        <v>205</v>
      </c>
      <c r="D5959" t="s">
        <v>98</v>
      </c>
      <c r="E5959" t="s">
        <v>392</v>
      </c>
      <c r="F5959" t="s">
        <v>721</v>
      </c>
      <c r="G5959">
        <v>15000</v>
      </c>
      <c r="H5959">
        <v>15000</v>
      </c>
    </row>
    <row r="5960" spans="2:8" x14ac:dyDescent="0.25">
      <c r="B5960" t="str">
        <f t="shared" si="93"/>
        <v>MRTPopulation ages 75-79, male</v>
      </c>
      <c r="C5960" t="s">
        <v>205</v>
      </c>
      <c r="D5960" t="s">
        <v>98</v>
      </c>
      <c r="E5960" t="s">
        <v>393</v>
      </c>
      <c r="F5960" t="s">
        <v>722</v>
      </c>
      <c r="G5960">
        <v>9900</v>
      </c>
      <c r="H5960">
        <v>10000</v>
      </c>
    </row>
    <row r="5961" spans="2:8" x14ac:dyDescent="0.25">
      <c r="B5961" t="str">
        <f t="shared" si="93"/>
        <v>MRTPopulation ages 80 and above, female</v>
      </c>
      <c r="C5961" t="s">
        <v>205</v>
      </c>
      <c r="D5961" t="s">
        <v>98</v>
      </c>
      <c r="E5961" t="s">
        <v>394</v>
      </c>
      <c r="F5961" t="s">
        <v>723</v>
      </c>
      <c r="G5961">
        <v>12000</v>
      </c>
      <c r="H5961">
        <v>12000</v>
      </c>
    </row>
    <row r="5962" spans="2:8" x14ac:dyDescent="0.25">
      <c r="B5962" t="str">
        <f t="shared" si="93"/>
        <v>MRTPopulation ages 80 and above, male</v>
      </c>
      <c r="C5962" t="s">
        <v>205</v>
      </c>
      <c r="D5962" t="s">
        <v>98</v>
      </c>
      <c r="E5962" t="s">
        <v>395</v>
      </c>
      <c r="F5962" t="s">
        <v>724</v>
      </c>
      <c r="G5962">
        <v>7100</v>
      </c>
      <c r="H5962">
        <v>7000</v>
      </c>
    </row>
    <row r="5963" spans="2:8" x14ac:dyDescent="0.25">
      <c r="B5963" t="str">
        <f t="shared" si="93"/>
        <v>MRTPopulation, male</v>
      </c>
      <c r="C5963" t="s">
        <v>205</v>
      </c>
      <c r="D5963" t="s">
        <v>98</v>
      </c>
      <c r="E5963" t="s">
        <v>397</v>
      </c>
      <c r="F5963" t="s">
        <v>725</v>
      </c>
      <c r="G5963">
        <v>2272000</v>
      </c>
      <c r="H5963">
        <v>2335000</v>
      </c>
    </row>
    <row r="5964" spans="2:8" x14ac:dyDescent="0.25">
      <c r="B5964" t="str">
        <f t="shared" si="93"/>
        <v>MRTPopulation, total</v>
      </c>
      <c r="C5964" t="s">
        <v>205</v>
      </c>
      <c r="D5964" t="s">
        <v>98</v>
      </c>
      <c r="E5964" t="s">
        <v>398</v>
      </c>
      <c r="F5964" t="s">
        <v>726</v>
      </c>
      <c r="G5964">
        <v>4526000</v>
      </c>
      <c r="H5964">
        <v>4650000</v>
      </c>
    </row>
    <row r="5965" spans="2:8" x14ac:dyDescent="0.25">
      <c r="B5965" t="str">
        <f t="shared" si="93"/>
        <v>MRTPopulation, female</v>
      </c>
      <c r="C5965" t="s">
        <v>205</v>
      </c>
      <c r="D5965" t="s">
        <v>98</v>
      </c>
      <c r="E5965" t="s">
        <v>396</v>
      </c>
      <c r="F5965" t="s">
        <v>727</v>
      </c>
      <c r="G5965">
        <v>2254000</v>
      </c>
      <c r="H5965">
        <v>2315000</v>
      </c>
    </row>
    <row r="5966" spans="2:8" x14ac:dyDescent="0.25">
      <c r="B5966" t="str">
        <f t="shared" si="93"/>
        <v>MRTPopulation growth (annual %)</v>
      </c>
      <c r="C5966" t="s">
        <v>205</v>
      </c>
      <c r="D5966" t="s">
        <v>98</v>
      </c>
      <c r="E5966" t="s">
        <v>399</v>
      </c>
      <c r="F5966" t="s">
        <v>728</v>
      </c>
      <c r="G5966">
        <v>0</v>
      </c>
      <c r="H5966">
        <v>0</v>
      </c>
    </row>
    <row r="5967" spans="2:8" x14ac:dyDescent="0.25">
      <c r="B5967" t="str">
        <f t="shared" si="93"/>
        <v>MUSPopulation ages 0-14, female</v>
      </c>
      <c r="C5967" t="s">
        <v>206</v>
      </c>
      <c r="D5967" t="s">
        <v>99</v>
      </c>
      <c r="E5967" t="s">
        <v>687</v>
      </c>
      <c r="F5967" t="s">
        <v>688</v>
      </c>
      <c r="G5967">
        <v>107000</v>
      </c>
      <c r="H5967">
        <v>105000</v>
      </c>
    </row>
    <row r="5968" spans="2:8" x14ac:dyDescent="0.25">
      <c r="B5968" t="str">
        <f t="shared" si="93"/>
        <v>MUSPopulation ages 0-14, male</v>
      </c>
      <c r="C5968" t="s">
        <v>206</v>
      </c>
      <c r="D5968" t="s">
        <v>99</v>
      </c>
      <c r="E5968" t="s">
        <v>689</v>
      </c>
      <c r="F5968" t="s">
        <v>690</v>
      </c>
      <c r="G5968">
        <v>112000</v>
      </c>
      <c r="H5968">
        <v>109000</v>
      </c>
    </row>
    <row r="5969" spans="2:8" x14ac:dyDescent="0.25">
      <c r="B5969" t="str">
        <f t="shared" si="93"/>
        <v>MUSPopulation ages 00-04, female</v>
      </c>
      <c r="C5969" t="s">
        <v>206</v>
      </c>
      <c r="D5969" t="s">
        <v>99</v>
      </c>
      <c r="E5969" t="s">
        <v>362</v>
      </c>
      <c r="F5969" t="s">
        <v>691</v>
      </c>
      <c r="G5969">
        <v>32000</v>
      </c>
      <c r="H5969">
        <v>31000</v>
      </c>
    </row>
    <row r="5970" spans="2:8" x14ac:dyDescent="0.25">
      <c r="B5970" t="str">
        <f t="shared" si="93"/>
        <v>MUSPopulation ages 00-04, male</v>
      </c>
      <c r="C5970" t="s">
        <v>206</v>
      </c>
      <c r="D5970" t="s">
        <v>99</v>
      </c>
      <c r="E5970" t="s">
        <v>363</v>
      </c>
      <c r="F5970" t="s">
        <v>692</v>
      </c>
      <c r="G5970">
        <v>33000</v>
      </c>
      <c r="H5970">
        <v>33000</v>
      </c>
    </row>
    <row r="5971" spans="2:8" x14ac:dyDescent="0.25">
      <c r="B5971" t="str">
        <f t="shared" si="93"/>
        <v>MUSPopulation ages 05-09, female</v>
      </c>
      <c r="C5971" t="s">
        <v>206</v>
      </c>
      <c r="D5971" t="s">
        <v>99</v>
      </c>
      <c r="E5971" t="s">
        <v>364</v>
      </c>
      <c r="F5971" t="s">
        <v>693</v>
      </c>
      <c r="G5971">
        <v>35000</v>
      </c>
      <c r="H5971">
        <v>34000</v>
      </c>
    </row>
    <row r="5972" spans="2:8" x14ac:dyDescent="0.25">
      <c r="B5972" t="str">
        <f t="shared" si="93"/>
        <v>MUSPopulation ages 05-09, male</v>
      </c>
      <c r="C5972" t="s">
        <v>206</v>
      </c>
      <c r="D5972" t="s">
        <v>99</v>
      </c>
      <c r="E5972" t="s">
        <v>365</v>
      </c>
      <c r="F5972" t="s">
        <v>694</v>
      </c>
      <c r="G5972">
        <v>36000</v>
      </c>
      <c r="H5972">
        <v>35000</v>
      </c>
    </row>
    <row r="5973" spans="2:8" x14ac:dyDescent="0.25">
      <c r="B5973" t="str">
        <f t="shared" si="93"/>
        <v>MUSPopulation ages 10-14, female</v>
      </c>
      <c r="C5973" t="s">
        <v>206</v>
      </c>
      <c r="D5973" t="s">
        <v>99</v>
      </c>
      <c r="E5973" t="s">
        <v>366</v>
      </c>
      <c r="F5973" t="s">
        <v>695</v>
      </c>
      <c r="G5973">
        <v>41000</v>
      </c>
      <c r="H5973">
        <v>39000</v>
      </c>
    </row>
    <row r="5974" spans="2:8" x14ac:dyDescent="0.25">
      <c r="B5974" t="str">
        <f t="shared" si="93"/>
        <v>MUSPopulation ages 10-14, male</v>
      </c>
      <c r="C5974" t="s">
        <v>206</v>
      </c>
      <c r="D5974" t="s">
        <v>99</v>
      </c>
      <c r="E5974" t="s">
        <v>367</v>
      </c>
      <c r="F5974" t="s">
        <v>696</v>
      </c>
      <c r="G5974">
        <v>43000</v>
      </c>
      <c r="H5974">
        <v>41000</v>
      </c>
    </row>
    <row r="5975" spans="2:8" x14ac:dyDescent="0.25">
      <c r="B5975" t="str">
        <f t="shared" si="93"/>
        <v>MUSPopulation ages 15-19, female</v>
      </c>
      <c r="C5975" t="s">
        <v>206</v>
      </c>
      <c r="D5975" t="s">
        <v>99</v>
      </c>
      <c r="E5975" t="s">
        <v>368</v>
      </c>
      <c r="F5975" t="s">
        <v>697</v>
      </c>
      <c r="G5975">
        <v>47000</v>
      </c>
      <c r="H5975">
        <v>46000</v>
      </c>
    </row>
    <row r="5976" spans="2:8" x14ac:dyDescent="0.25">
      <c r="B5976" t="str">
        <f t="shared" si="93"/>
        <v>MUSPopulation ages 15-19, male</v>
      </c>
      <c r="C5976" t="s">
        <v>206</v>
      </c>
      <c r="D5976" t="s">
        <v>99</v>
      </c>
      <c r="E5976" t="s">
        <v>369</v>
      </c>
      <c r="F5976" t="s">
        <v>698</v>
      </c>
      <c r="G5976">
        <v>48000</v>
      </c>
      <c r="H5976">
        <v>48000</v>
      </c>
    </row>
    <row r="5977" spans="2:8" x14ac:dyDescent="0.25">
      <c r="B5977" t="str">
        <f t="shared" si="93"/>
        <v>MUSPopulation ages 20-24, female</v>
      </c>
      <c r="C5977" t="s">
        <v>206</v>
      </c>
      <c r="D5977" t="s">
        <v>99</v>
      </c>
      <c r="E5977" t="s">
        <v>370</v>
      </c>
      <c r="F5977" t="s">
        <v>699</v>
      </c>
      <c r="G5977">
        <v>47000</v>
      </c>
      <c r="H5977">
        <v>47000</v>
      </c>
    </row>
    <row r="5978" spans="2:8" x14ac:dyDescent="0.25">
      <c r="B5978" t="str">
        <f t="shared" si="93"/>
        <v>MUSPopulation ages 20-24, male</v>
      </c>
      <c r="C5978" t="s">
        <v>206</v>
      </c>
      <c r="D5978" t="s">
        <v>99</v>
      </c>
      <c r="E5978" t="s">
        <v>371</v>
      </c>
      <c r="F5978" t="s">
        <v>700</v>
      </c>
      <c r="G5978">
        <v>48000</v>
      </c>
      <c r="H5978">
        <v>47000</v>
      </c>
    </row>
    <row r="5979" spans="2:8" x14ac:dyDescent="0.25">
      <c r="B5979" t="str">
        <f t="shared" si="93"/>
        <v>MUSPopulation ages 25-29, female</v>
      </c>
      <c r="C5979" t="s">
        <v>206</v>
      </c>
      <c r="D5979" t="s">
        <v>99</v>
      </c>
      <c r="E5979" t="s">
        <v>372</v>
      </c>
      <c r="F5979" t="s">
        <v>701</v>
      </c>
      <c r="G5979">
        <v>50000</v>
      </c>
      <c r="H5979">
        <v>51000</v>
      </c>
    </row>
    <row r="5980" spans="2:8" x14ac:dyDescent="0.25">
      <c r="B5980" t="str">
        <f t="shared" si="93"/>
        <v>MUSPopulation ages 25-29, male</v>
      </c>
      <c r="C5980" t="s">
        <v>206</v>
      </c>
      <c r="D5980" t="s">
        <v>99</v>
      </c>
      <c r="E5980" t="s">
        <v>373</v>
      </c>
      <c r="F5980" t="s">
        <v>702</v>
      </c>
      <c r="G5980">
        <v>51000</v>
      </c>
      <c r="H5980">
        <v>52000</v>
      </c>
    </row>
    <row r="5981" spans="2:8" x14ac:dyDescent="0.25">
      <c r="B5981" t="str">
        <f t="shared" si="93"/>
        <v>MUSPopulation ages 30-34, female</v>
      </c>
      <c r="C5981" t="s">
        <v>206</v>
      </c>
      <c r="D5981" t="s">
        <v>99</v>
      </c>
      <c r="E5981" t="s">
        <v>374</v>
      </c>
      <c r="F5981" t="s">
        <v>703</v>
      </c>
      <c r="G5981">
        <v>43000</v>
      </c>
      <c r="H5981">
        <v>44000</v>
      </c>
    </row>
    <row r="5982" spans="2:8" x14ac:dyDescent="0.25">
      <c r="B5982" t="str">
        <f t="shared" si="93"/>
        <v>MUSPopulation ages 30-34, male</v>
      </c>
      <c r="C5982" t="s">
        <v>206</v>
      </c>
      <c r="D5982" t="s">
        <v>99</v>
      </c>
      <c r="E5982" t="s">
        <v>375</v>
      </c>
      <c r="F5982" t="s">
        <v>704</v>
      </c>
      <c r="G5982">
        <v>43000</v>
      </c>
      <c r="H5982">
        <v>44000</v>
      </c>
    </row>
    <row r="5983" spans="2:8" x14ac:dyDescent="0.25">
      <c r="B5983" t="str">
        <f t="shared" si="93"/>
        <v>MUSPopulation ages 35-39, female</v>
      </c>
      <c r="C5983" t="s">
        <v>206</v>
      </c>
      <c r="D5983" t="s">
        <v>99</v>
      </c>
      <c r="E5983" t="s">
        <v>376</v>
      </c>
      <c r="F5983" t="s">
        <v>705</v>
      </c>
      <c r="G5983">
        <v>44000</v>
      </c>
      <c r="H5983">
        <v>43000</v>
      </c>
    </row>
    <row r="5984" spans="2:8" x14ac:dyDescent="0.25">
      <c r="B5984" t="str">
        <f t="shared" si="93"/>
        <v>MUSPopulation ages 35-39, male</v>
      </c>
      <c r="C5984" t="s">
        <v>206</v>
      </c>
      <c r="D5984" t="s">
        <v>99</v>
      </c>
      <c r="E5984" t="s">
        <v>377</v>
      </c>
      <c r="F5984" t="s">
        <v>706</v>
      </c>
      <c r="G5984">
        <v>45000</v>
      </c>
      <c r="H5984">
        <v>44000</v>
      </c>
    </row>
    <row r="5985" spans="2:8" x14ac:dyDescent="0.25">
      <c r="B5985" t="str">
        <f t="shared" si="93"/>
        <v>MUSPopulation ages 40-44, female</v>
      </c>
      <c r="C5985" t="s">
        <v>206</v>
      </c>
      <c r="D5985" t="s">
        <v>99</v>
      </c>
      <c r="E5985" t="s">
        <v>378</v>
      </c>
      <c r="F5985" t="s">
        <v>707</v>
      </c>
      <c r="G5985">
        <v>49000</v>
      </c>
      <c r="H5985">
        <v>49000</v>
      </c>
    </row>
    <row r="5986" spans="2:8" x14ac:dyDescent="0.25">
      <c r="B5986" t="str">
        <f t="shared" si="93"/>
        <v>MUSPopulation ages 40-44, male</v>
      </c>
      <c r="C5986" t="s">
        <v>206</v>
      </c>
      <c r="D5986" t="s">
        <v>99</v>
      </c>
      <c r="E5986" t="s">
        <v>379</v>
      </c>
      <c r="F5986" t="s">
        <v>708</v>
      </c>
      <c r="G5986">
        <v>49000</v>
      </c>
      <c r="H5986">
        <v>50000</v>
      </c>
    </row>
    <row r="5987" spans="2:8" x14ac:dyDescent="0.25">
      <c r="B5987" t="str">
        <f t="shared" si="93"/>
        <v>MUSPopulation ages 45-49, female</v>
      </c>
      <c r="C5987" t="s">
        <v>206</v>
      </c>
      <c r="D5987" t="s">
        <v>99</v>
      </c>
      <c r="E5987" t="s">
        <v>380</v>
      </c>
      <c r="F5987" t="s">
        <v>709</v>
      </c>
      <c r="G5987">
        <v>41000</v>
      </c>
      <c r="H5987">
        <v>41000</v>
      </c>
    </row>
    <row r="5988" spans="2:8" x14ac:dyDescent="0.25">
      <c r="B5988" t="str">
        <f t="shared" si="93"/>
        <v>MUSPopulation ages 45-49, male</v>
      </c>
      <c r="C5988" t="s">
        <v>206</v>
      </c>
      <c r="D5988" t="s">
        <v>99</v>
      </c>
      <c r="E5988" t="s">
        <v>381</v>
      </c>
      <c r="F5988" t="s">
        <v>710</v>
      </c>
      <c r="G5988">
        <v>41000</v>
      </c>
      <c r="H5988">
        <v>42000</v>
      </c>
    </row>
    <row r="5989" spans="2:8" x14ac:dyDescent="0.25">
      <c r="B5989" t="str">
        <f t="shared" si="93"/>
        <v>MUSPopulation ages 50-54, female</v>
      </c>
      <c r="C5989" t="s">
        <v>206</v>
      </c>
      <c r="D5989" t="s">
        <v>99</v>
      </c>
      <c r="E5989" t="s">
        <v>382</v>
      </c>
      <c r="F5989" t="s">
        <v>711</v>
      </c>
      <c r="G5989">
        <v>44000</v>
      </c>
      <c r="H5989">
        <v>43000</v>
      </c>
    </row>
    <row r="5990" spans="2:8" x14ac:dyDescent="0.25">
      <c r="B5990" t="str">
        <f t="shared" si="93"/>
        <v>MUSPopulation ages 50-54, male</v>
      </c>
      <c r="C5990" t="s">
        <v>206</v>
      </c>
      <c r="D5990" t="s">
        <v>99</v>
      </c>
      <c r="E5990" t="s">
        <v>383</v>
      </c>
      <c r="F5990" t="s">
        <v>712</v>
      </c>
      <c r="G5990">
        <v>43000</v>
      </c>
      <c r="H5990">
        <v>42000</v>
      </c>
    </row>
    <row r="5991" spans="2:8" x14ac:dyDescent="0.25">
      <c r="B5991" t="str">
        <f t="shared" si="93"/>
        <v>MUSPopulation ages 55-59, male</v>
      </c>
      <c r="C5991" t="s">
        <v>206</v>
      </c>
      <c r="D5991" t="s">
        <v>99</v>
      </c>
      <c r="E5991" t="s">
        <v>385</v>
      </c>
      <c r="F5991" t="s">
        <v>713</v>
      </c>
      <c r="G5991">
        <v>44000</v>
      </c>
      <c r="H5991">
        <v>44000</v>
      </c>
    </row>
    <row r="5992" spans="2:8" x14ac:dyDescent="0.25">
      <c r="B5992" t="str">
        <f t="shared" si="93"/>
        <v>MUSPopulation ages 55-59, female</v>
      </c>
      <c r="C5992" t="s">
        <v>206</v>
      </c>
      <c r="D5992" t="s">
        <v>99</v>
      </c>
      <c r="E5992" t="s">
        <v>384</v>
      </c>
      <c r="F5992" t="s">
        <v>714</v>
      </c>
      <c r="G5992">
        <v>45000</v>
      </c>
      <c r="H5992">
        <v>46000</v>
      </c>
    </row>
    <row r="5993" spans="2:8" x14ac:dyDescent="0.25">
      <c r="B5993" t="str">
        <f t="shared" si="93"/>
        <v>MUSPopulation ages 65-69, male</v>
      </c>
      <c r="C5993" t="s">
        <v>206</v>
      </c>
      <c r="D5993" t="s">
        <v>99</v>
      </c>
      <c r="E5993" t="s">
        <v>389</v>
      </c>
      <c r="F5993" t="s">
        <v>715</v>
      </c>
      <c r="G5993">
        <v>28000</v>
      </c>
      <c r="H5993">
        <v>29000</v>
      </c>
    </row>
    <row r="5994" spans="2:8" x14ac:dyDescent="0.25">
      <c r="B5994" t="str">
        <f t="shared" si="93"/>
        <v>MUSPopulation ages 65-69, female</v>
      </c>
      <c r="C5994" t="s">
        <v>206</v>
      </c>
      <c r="D5994" t="s">
        <v>99</v>
      </c>
      <c r="E5994" t="s">
        <v>388</v>
      </c>
      <c r="F5994" t="s">
        <v>716</v>
      </c>
      <c r="G5994">
        <v>32000</v>
      </c>
      <c r="H5994">
        <v>33000</v>
      </c>
    </row>
    <row r="5995" spans="2:8" x14ac:dyDescent="0.25">
      <c r="B5995" t="str">
        <f t="shared" si="93"/>
        <v>MUSPopulation ages 60-64, female</v>
      </c>
      <c r="C5995" t="s">
        <v>206</v>
      </c>
      <c r="D5995" t="s">
        <v>99</v>
      </c>
      <c r="E5995" t="s">
        <v>386</v>
      </c>
      <c r="F5995" t="s">
        <v>717</v>
      </c>
      <c r="G5995">
        <v>38000</v>
      </c>
      <c r="H5995">
        <v>39000</v>
      </c>
    </row>
    <row r="5996" spans="2:8" x14ac:dyDescent="0.25">
      <c r="B5996" t="str">
        <f t="shared" si="93"/>
        <v>MUSPopulation ages 60-64, male</v>
      </c>
      <c r="C5996" t="s">
        <v>206</v>
      </c>
      <c r="D5996" t="s">
        <v>99</v>
      </c>
      <c r="E5996" t="s">
        <v>387</v>
      </c>
      <c r="F5996" t="s">
        <v>718</v>
      </c>
      <c r="G5996">
        <v>35000</v>
      </c>
      <c r="H5996">
        <v>36000</v>
      </c>
    </row>
    <row r="5997" spans="2:8" x14ac:dyDescent="0.25">
      <c r="B5997" t="str">
        <f t="shared" si="93"/>
        <v>MUSPopulation ages 70-74, female</v>
      </c>
      <c r="C5997" t="s">
        <v>206</v>
      </c>
      <c r="D5997" t="s">
        <v>99</v>
      </c>
      <c r="E5997" t="s">
        <v>390</v>
      </c>
      <c r="F5997" t="s">
        <v>719</v>
      </c>
      <c r="G5997">
        <v>23000</v>
      </c>
      <c r="H5997">
        <v>25000</v>
      </c>
    </row>
    <row r="5998" spans="2:8" x14ac:dyDescent="0.25">
      <c r="B5998" t="str">
        <f t="shared" si="93"/>
        <v>MUSPopulation ages 70-74, male</v>
      </c>
      <c r="C5998" t="s">
        <v>206</v>
      </c>
      <c r="D5998" t="s">
        <v>99</v>
      </c>
      <c r="E5998" t="s">
        <v>391</v>
      </c>
      <c r="F5998" t="s">
        <v>720</v>
      </c>
      <c r="G5998">
        <v>18000</v>
      </c>
      <c r="H5998">
        <v>20000</v>
      </c>
    </row>
    <row r="5999" spans="2:8" x14ac:dyDescent="0.25">
      <c r="B5999" t="str">
        <f t="shared" si="93"/>
        <v>MUSPopulation ages 75-79, female</v>
      </c>
      <c r="C5999" t="s">
        <v>206</v>
      </c>
      <c r="D5999" t="s">
        <v>99</v>
      </c>
      <c r="E5999" t="s">
        <v>392</v>
      </c>
      <c r="F5999" t="s">
        <v>721</v>
      </c>
      <c r="G5999">
        <v>14000</v>
      </c>
      <c r="H5999">
        <v>14000</v>
      </c>
    </row>
    <row r="6000" spans="2:8" x14ac:dyDescent="0.25">
      <c r="B6000" t="str">
        <f t="shared" si="93"/>
        <v>MUSPopulation ages 75-79, male</v>
      </c>
      <c r="C6000" t="s">
        <v>206</v>
      </c>
      <c r="D6000" t="s">
        <v>99</v>
      </c>
      <c r="E6000" t="s">
        <v>393</v>
      </c>
      <c r="F6000" t="s">
        <v>722</v>
      </c>
      <c r="G6000">
        <v>9500</v>
      </c>
      <c r="H6000">
        <v>10000</v>
      </c>
    </row>
    <row r="6001" spans="2:8" x14ac:dyDescent="0.25">
      <c r="B6001" t="str">
        <f t="shared" si="93"/>
        <v>MUSPopulation ages 80 and above, female</v>
      </c>
      <c r="C6001" t="s">
        <v>206</v>
      </c>
      <c r="D6001" t="s">
        <v>99</v>
      </c>
      <c r="E6001" t="s">
        <v>394</v>
      </c>
      <c r="F6001" t="s">
        <v>723</v>
      </c>
      <c r="G6001">
        <v>17000</v>
      </c>
      <c r="H6001">
        <v>18000</v>
      </c>
    </row>
    <row r="6002" spans="2:8" x14ac:dyDescent="0.25">
      <c r="B6002" t="str">
        <f t="shared" si="93"/>
        <v>MUSPopulation ages 80 and above, male</v>
      </c>
      <c r="C6002" t="s">
        <v>206</v>
      </c>
      <c r="D6002" t="s">
        <v>99</v>
      </c>
      <c r="E6002" t="s">
        <v>395</v>
      </c>
      <c r="F6002" t="s">
        <v>724</v>
      </c>
      <c r="G6002">
        <v>9400</v>
      </c>
      <c r="H6002">
        <v>9500</v>
      </c>
    </row>
    <row r="6003" spans="2:8" x14ac:dyDescent="0.25">
      <c r="B6003" t="str">
        <f t="shared" si="93"/>
        <v>MUSPopulation, male</v>
      </c>
      <c r="C6003" t="s">
        <v>206</v>
      </c>
      <c r="D6003" t="s">
        <v>99</v>
      </c>
      <c r="E6003" t="s">
        <v>397</v>
      </c>
      <c r="F6003" t="s">
        <v>725</v>
      </c>
      <c r="G6003">
        <v>626000</v>
      </c>
      <c r="H6003">
        <v>627000</v>
      </c>
    </row>
    <row r="6004" spans="2:8" x14ac:dyDescent="0.25">
      <c r="B6004" t="str">
        <f t="shared" si="93"/>
        <v>MUSPopulation, total</v>
      </c>
      <c r="C6004" t="s">
        <v>206</v>
      </c>
      <c r="D6004" t="s">
        <v>99</v>
      </c>
      <c r="E6004" t="s">
        <v>398</v>
      </c>
      <c r="F6004" t="s">
        <v>726</v>
      </c>
      <c r="G6004">
        <v>1268000</v>
      </c>
      <c r="H6004">
        <v>1270000</v>
      </c>
    </row>
    <row r="6005" spans="2:8" x14ac:dyDescent="0.25">
      <c r="B6005" t="str">
        <f t="shared" si="93"/>
        <v>MUSPopulation, female</v>
      </c>
      <c r="C6005" t="s">
        <v>206</v>
      </c>
      <c r="D6005" t="s">
        <v>99</v>
      </c>
      <c r="E6005" t="s">
        <v>396</v>
      </c>
      <c r="F6005" t="s">
        <v>727</v>
      </c>
      <c r="G6005">
        <v>642000</v>
      </c>
      <c r="H6005">
        <v>644000</v>
      </c>
    </row>
    <row r="6006" spans="2:8" x14ac:dyDescent="0.25">
      <c r="B6006" t="str">
        <f t="shared" si="93"/>
        <v>MUSPopulation growth (annual %)</v>
      </c>
      <c r="C6006" t="s">
        <v>206</v>
      </c>
      <c r="D6006" t="s">
        <v>99</v>
      </c>
      <c r="E6006" t="s">
        <v>399</v>
      </c>
      <c r="F6006" t="s">
        <v>728</v>
      </c>
      <c r="G6006">
        <v>0</v>
      </c>
      <c r="H6006">
        <v>0</v>
      </c>
    </row>
    <row r="6007" spans="2:8" x14ac:dyDescent="0.25">
      <c r="B6007" t="str">
        <f t="shared" si="93"/>
        <v>MEXPopulation ages 0-14, female</v>
      </c>
      <c r="C6007" t="s">
        <v>569</v>
      </c>
      <c r="D6007" t="s">
        <v>90</v>
      </c>
      <c r="E6007" t="s">
        <v>687</v>
      </c>
      <c r="F6007" t="s">
        <v>688</v>
      </c>
      <c r="G6007">
        <v>16332000</v>
      </c>
      <c r="H6007">
        <v>16281000</v>
      </c>
    </row>
    <row r="6008" spans="2:8" x14ac:dyDescent="0.25">
      <c r="B6008" t="str">
        <f t="shared" si="93"/>
        <v>MEXPopulation ages 0-14, male</v>
      </c>
      <c r="C6008" t="s">
        <v>569</v>
      </c>
      <c r="D6008" t="s">
        <v>90</v>
      </c>
      <c r="E6008" t="s">
        <v>689</v>
      </c>
      <c r="F6008" t="s">
        <v>690</v>
      </c>
      <c r="G6008">
        <v>17074000</v>
      </c>
      <c r="H6008">
        <v>17029000</v>
      </c>
    </row>
    <row r="6009" spans="2:8" x14ac:dyDescent="0.25">
      <c r="B6009" t="str">
        <f t="shared" si="93"/>
        <v>MEXPopulation ages 00-04, female</v>
      </c>
      <c r="C6009" t="s">
        <v>569</v>
      </c>
      <c r="D6009" t="s">
        <v>90</v>
      </c>
      <c r="E6009" t="s">
        <v>362</v>
      </c>
      <c r="F6009" t="s">
        <v>691</v>
      </c>
      <c r="G6009">
        <v>5395000</v>
      </c>
      <c r="H6009">
        <v>5354000</v>
      </c>
    </row>
    <row r="6010" spans="2:8" x14ac:dyDescent="0.25">
      <c r="B6010" t="str">
        <f t="shared" si="93"/>
        <v>MEXPopulation ages 00-04, male</v>
      </c>
      <c r="C6010" t="s">
        <v>569</v>
      </c>
      <c r="D6010" t="s">
        <v>90</v>
      </c>
      <c r="E6010" t="s">
        <v>363</v>
      </c>
      <c r="F6010" t="s">
        <v>692</v>
      </c>
      <c r="G6010">
        <v>5646000</v>
      </c>
      <c r="H6010">
        <v>5605000</v>
      </c>
    </row>
    <row r="6011" spans="2:8" x14ac:dyDescent="0.25">
      <c r="B6011" t="str">
        <f t="shared" si="93"/>
        <v>MEXPopulation ages 05-09, female</v>
      </c>
      <c r="C6011" t="s">
        <v>569</v>
      </c>
      <c r="D6011" t="s">
        <v>90</v>
      </c>
      <c r="E6011" t="s">
        <v>364</v>
      </c>
      <c r="F6011" t="s">
        <v>693</v>
      </c>
      <c r="G6011">
        <v>5475000</v>
      </c>
      <c r="H6011">
        <v>5479000</v>
      </c>
    </row>
    <row r="6012" spans="2:8" x14ac:dyDescent="0.25">
      <c r="B6012" t="str">
        <f t="shared" si="93"/>
        <v>MEXPopulation ages 05-09, male</v>
      </c>
      <c r="C6012" t="s">
        <v>569</v>
      </c>
      <c r="D6012" t="s">
        <v>90</v>
      </c>
      <c r="E6012" t="s">
        <v>365</v>
      </c>
      <c r="F6012" t="s">
        <v>694</v>
      </c>
      <c r="G6012">
        <v>5729000</v>
      </c>
      <c r="H6012">
        <v>5732000</v>
      </c>
    </row>
    <row r="6013" spans="2:8" x14ac:dyDescent="0.25">
      <c r="B6013" t="str">
        <f t="shared" si="93"/>
        <v>MEXPopulation ages 10-14, female</v>
      </c>
      <c r="C6013" t="s">
        <v>569</v>
      </c>
      <c r="D6013" t="s">
        <v>90</v>
      </c>
      <c r="E6013" t="s">
        <v>366</v>
      </c>
      <c r="F6013" t="s">
        <v>695</v>
      </c>
      <c r="G6013">
        <v>5461000</v>
      </c>
      <c r="H6013">
        <v>5448000</v>
      </c>
    </row>
    <row r="6014" spans="2:8" x14ac:dyDescent="0.25">
      <c r="B6014" t="str">
        <f t="shared" si="93"/>
        <v>MEXPopulation ages 10-14, male</v>
      </c>
      <c r="C6014" t="s">
        <v>569</v>
      </c>
      <c r="D6014" t="s">
        <v>90</v>
      </c>
      <c r="E6014" t="s">
        <v>367</v>
      </c>
      <c r="F6014" t="s">
        <v>696</v>
      </c>
      <c r="G6014">
        <v>5699000</v>
      </c>
      <c r="H6014">
        <v>5693000</v>
      </c>
    </row>
    <row r="6015" spans="2:8" x14ac:dyDescent="0.25">
      <c r="B6015" t="str">
        <f t="shared" si="93"/>
        <v>MEXPopulation ages 15-19, female</v>
      </c>
      <c r="C6015" t="s">
        <v>569</v>
      </c>
      <c r="D6015" t="s">
        <v>90</v>
      </c>
      <c r="E6015" t="s">
        <v>368</v>
      </c>
      <c r="F6015" t="s">
        <v>697</v>
      </c>
      <c r="G6015">
        <v>5517000</v>
      </c>
      <c r="H6015">
        <v>5515000</v>
      </c>
    </row>
    <row r="6016" spans="2:8" x14ac:dyDescent="0.25">
      <c r="B6016" t="str">
        <f t="shared" si="93"/>
        <v>MEXPopulation ages 15-19, male</v>
      </c>
      <c r="C6016" t="s">
        <v>569</v>
      </c>
      <c r="D6016" t="s">
        <v>90</v>
      </c>
      <c r="E6016" t="s">
        <v>369</v>
      </c>
      <c r="F6016" t="s">
        <v>698</v>
      </c>
      <c r="G6016">
        <v>5680000</v>
      </c>
      <c r="H6016">
        <v>5695000</v>
      </c>
    </row>
    <row r="6017" spans="2:8" x14ac:dyDescent="0.25">
      <c r="B6017" t="str">
        <f t="shared" si="93"/>
        <v>MEXPopulation ages 20-24, female</v>
      </c>
      <c r="C6017" t="s">
        <v>569</v>
      </c>
      <c r="D6017" t="s">
        <v>90</v>
      </c>
      <c r="E6017" t="s">
        <v>370</v>
      </c>
      <c r="F6017" t="s">
        <v>699</v>
      </c>
      <c r="G6017">
        <v>5442000</v>
      </c>
      <c r="H6017">
        <v>5435000</v>
      </c>
    </row>
    <row r="6018" spans="2:8" x14ac:dyDescent="0.25">
      <c r="B6018" t="str">
        <f t="shared" si="93"/>
        <v>MEXPopulation ages 20-24, male</v>
      </c>
      <c r="C6018" t="s">
        <v>569</v>
      </c>
      <c r="D6018" t="s">
        <v>90</v>
      </c>
      <c r="E6018" t="s">
        <v>371</v>
      </c>
      <c r="F6018" t="s">
        <v>700</v>
      </c>
      <c r="G6018">
        <v>5502000</v>
      </c>
      <c r="H6018">
        <v>5505000</v>
      </c>
    </row>
    <row r="6019" spans="2:8" x14ac:dyDescent="0.25">
      <c r="B6019" t="str">
        <f t="shared" si="93"/>
        <v>MEXPopulation ages 25-29, female</v>
      </c>
      <c r="C6019" t="s">
        <v>569</v>
      </c>
      <c r="D6019" t="s">
        <v>90</v>
      </c>
      <c r="E6019" t="s">
        <v>372</v>
      </c>
      <c r="F6019" t="s">
        <v>701</v>
      </c>
      <c r="G6019">
        <v>5371000</v>
      </c>
      <c r="H6019">
        <v>5412000</v>
      </c>
    </row>
    <row r="6020" spans="2:8" x14ac:dyDescent="0.25">
      <c r="B6020" t="str">
        <f t="shared" si="93"/>
        <v>MEXPopulation ages 25-29, male</v>
      </c>
      <c r="C6020" t="s">
        <v>569</v>
      </c>
      <c r="D6020" t="s">
        <v>90</v>
      </c>
      <c r="E6020" t="s">
        <v>373</v>
      </c>
      <c r="F6020" t="s">
        <v>702</v>
      </c>
      <c r="G6020">
        <v>5309000</v>
      </c>
      <c r="H6020">
        <v>5384000</v>
      </c>
    </row>
    <row r="6021" spans="2:8" x14ac:dyDescent="0.25">
      <c r="B6021" t="str">
        <f t="shared" si="93"/>
        <v>MEXPopulation ages 30-34, female</v>
      </c>
      <c r="C6021" t="s">
        <v>569</v>
      </c>
      <c r="D6021" t="s">
        <v>90</v>
      </c>
      <c r="E6021" t="s">
        <v>374</v>
      </c>
      <c r="F6021" t="s">
        <v>703</v>
      </c>
      <c r="G6021">
        <v>4980000</v>
      </c>
      <c r="H6021">
        <v>5041000</v>
      </c>
    </row>
    <row r="6022" spans="2:8" x14ac:dyDescent="0.25">
      <c r="B6022" t="str">
        <f t="shared" si="93"/>
        <v>MEXPopulation ages 30-34, male</v>
      </c>
      <c r="C6022" t="s">
        <v>569</v>
      </c>
      <c r="D6022" t="s">
        <v>90</v>
      </c>
      <c r="E6022" t="s">
        <v>375</v>
      </c>
      <c r="F6022" t="s">
        <v>704</v>
      </c>
      <c r="G6022">
        <v>4660000</v>
      </c>
      <c r="H6022">
        <v>4748000</v>
      </c>
    </row>
    <row r="6023" spans="2:8" x14ac:dyDescent="0.25">
      <c r="B6023" t="str">
        <f t="shared" ref="B6023:B6086" si="94">CONCATENATE(D6023,E6023)</f>
        <v>MEXPopulation ages 35-39, female</v>
      </c>
      <c r="C6023" t="s">
        <v>569</v>
      </c>
      <c r="D6023" t="s">
        <v>90</v>
      </c>
      <c r="E6023" t="s">
        <v>376</v>
      </c>
      <c r="F6023" t="s">
        <v>705</v>
      </c>
      <c r="G6023">
        <v>4704000</v>
      </c>
      <c r="H6023">
        <v>4746000</v>
      </c>
    </row>
    <row r="6024" spans="2:8" x14ac:dyDescent="0.25">
      <c r="B6024" t="str">
        <f t="shared" si="94"/>
        <v>MEXPopulation ages 35-39, male</v>
      </c>
      <c r="C6024" t="s">
        <v>569</v>
      </c>
      <c r="D6024" t="s">
        <v>90</v>
      </c>
      <c r="E6024" t="s">
        <v>377</v>
      </c>
      <c r="F6024" t="s">
        <v>706</v>
      </c>
      <c r="G6024">
        <v>4293000</v>
      </c>
      <c r="H6024">
        <v>4344000</v>
      </c>
    </row>
    <row r="6025" spans="2:8" x14ac:dyDescent="0.25">
      <c r="B6025" t="str">
        <f t="shared" si="94"/>
        <v>MEXPopulation ages 40-44, female</v>
      </c>
      <c r="C6025" t="s">
        <v>569</v>
      </c>
      <c r="D6025" t="s">
        <v>90</v>
      </c>
      <c r="E6025" t="s">
        <v>378</v>
      </c>
      <c r="F6025" t="s">
        <v>707</v>
      </c>
      <c r="G6025">
        <v>4467000</v>
      </c>
      <c r="H6025">
        <v>4502000</v>
      </c>
    </row>
    <row r="6026" spans="2:8" x14ac:dyDescent="0.25">
      <c r="B6026" t="str">
        <f t="shared" si="94"/>
        <v>MEXPopulation ages 40-44, male</v>
      </c>
      <c r="C6026" t="s">
        <v>569</v>
      </c>
      <c r="D6026" t="s">
        <v>90</v>
      </c>
      <c r="E6026" t="s">
        <v>379</v>
      </c>
      <c r="F6026" t="s">
        <v>708</v>
      </c>
      <c r="G6026">
        <v>4002000</v>
      </c>
      <c r="H6026">
        <v>4030000</v>
      </c>
    </row>
    <row r="6027" spans="2:8" x14ac:dyDescent="0.25">
      <c r="B6027" t="str">
        <f t="shared" si="94"/>
        <v>MEXPopulation ages 45-49, female</v>
      </c>
      <c r="C6027" t="s">
        <v>569</v>
      </c>
      <c r="D6027" t="s">
        <v>90</v>
      </c>
      <c r="E6027" t="s">
        <v>380</v>
      </c>
      <c r="F6027" t="s">
        <v>709</v>
      </c>
      <c r="G6027">
        <v>4158000</v>
      </c>
      <c r="H6027">
        <v>4233000</v>
      </c>
    </row>
    <row r="6028" spans="2:8" x14ac:dyDescent="0.25">
      <c r="B6028" t="str">
        <f t="shared" si="94"/>
        <v>MEXPopulation ages 45-49, male</v>
      </c>
      <c r="C6028" t="s">
        <v>569</v>
      </c>
      <c r="D6028" t="s">
        <v>90</v>
      </c>
      <c r="E6028" t="s">
        <v>381</v>
      </c>
      <c r="F6028" t="s">
        <v>710</v>
      </c>
      <c r="G6028">
        <v>3716000</v>
      </c>
      <c r="H6028">
        <v>3783000</v>
      </c>
    </row>
    <row r="6029" spans="2:8" x14ac:dyDescent="0.25">
      <c r="B6029" t="str">
        <f t="shared" si="94"/>
        <v>MEXPopulation ages 50-54, female</v>
      </c>
      <c r="C6029" t="s">
        <v>569</v>
      </c>
      <c r="D6029" t="s">
        <v>90</v>
      </c>
      <c r="E6029" t="s">
        <v>382</v>
      </c>
      <c r="F6029" t="s">
        <v>711</v>
      </c>
      <c r="G6029">
        <v>3586000</v>
      </c>
      <c r="H6029">
        <v>3689000</v>
      </c>
    </row>
    <row r="6030" spans="2:8" x14ac:dyDescent="0.25">
      <c r="B6030" t="str">
        <f t="shared" si="94"/>
        <v>MEXPopulation ages 50-54, male</v>
      </c>
      <c r="C6030" t="s">
        <v>569</v>
      </c>
      <c r="D6030" t="s">
        <v>90</v>
      </c>
      <c r="E6030" t="s">
        <v>383</v>
      </c>
      <c r="F6030" t="s">
        <v>712</v>
      </c>
      <c r="G6030">
        <v>3157000</v>
      </c>
      <c r="H6030">
        <v>3236000</v>
      </c>
    </row>
    <row r="6031" spans="2:8" x14ac:dyDescent="0.25">
      <c r="B6031" t="str">
        <f t="shared" si="94"/>
        <v>MEXPopulation ages 55-59, male</v>
      </c>
      <c r="C6031" t="s">
        <v>569</v>
      </c>
      <c r="D6031" t="s">
        <v>90</v>
      </c>
      <c r="E6031" t="s">
        <v>385</v>
      </c>
      <c r="F6031" t="s">
        <v>713</v>
      </c>
      <c r="G6031">
        <v>2663000</v>
      </c>
      <c r="H6031">
        <v>2742000</v>
      </c>
    </row>
    <row r="6032" spans="2:8" x14ac:dyDescent="0.25">
      <c r="B6032" t="str">
        <f t="shared" si="94"/>
        <v>MEXPopulation ages 55-59, female</v>
      </c>
      <c r="C6032" t="s">
        <v>569</v>
      </c>
      <c r="D6032" t="s">
        <v>90</v>
      </c>
      <c r="E6032" t="s">
        <v>384</v>
      </c>
      <c r="F6032" t="s">
        <v>714</v>
      </c>
      <c r="G6032">
        <v>2992000</v>
      </c>
      <c r="H6032">
        <v>3091000</v>
      </c>
    </row>
    <row r="6033" spans="2:8" x14ac:dyDescent="0.25">
      <c r="B6033" t="str">
        <f t="shared" si="94"/>
        <v>MEXPopulation ages 65-69, male</v>
      </c>
      <c r="C6033" t="s">
        <v>569</v>
      </c>
      <c r="D6033" t="s">
        <v>90</v>
      </c>
      <c r="E6033" t="s">
        <v>389</v>
      </c>
      <c r="F6033" t="s">
        <v>715</v>
      </c>
      <c r="G6033">
        <v>1588000</v>
      </c>
      <c r="H6033">
        <v>1657000</v>
      </c>
    </row>
    <row r="6034" spans="2:8" x14ac:dyDescent="0.25">
      <c r="B6034" t="str">
        <f t="shared" si="94"/>
        <v>MEXPopulation ages 65-69, female</v>
      </c>
      <c r="C6034" t="s">
        <v>569</v>
      </c>
      <c r="D6034" t="s">
        <v>90</v>
      </c>
      <c r="E6034" t="s">
        <v>388</v>
      </c>
      <c r="F6034" t="s">
        <v>716</v>
      </c>
      <c r="G6034">
        <v>1848000</v>
      </c>
      <c r="H6034">
        <v>1938000</v>
      </c>
    </row>
    <row r="6035" spans="2:8" x14ac:dyDescent="0.25">
      <c r="B6035" t="str">
        <f t="shared" si="94"/>
        <v>MEXPopulation ages 60-64, female</v>
      </c>
      <c r="C6035" t="s">
        <v>569</v>
      </c>
      <c r="D6035" t="s">
        <v>90</v>
      </c>
      <c r="E6035" t="s">
        <v>386</v>
      </c>
      <c r="F6035" t="s">
        <v>717</v>
      </c>
      <c r="G6035">
        <v>2413000</v>
      </c>
      <c r="H6035">
        <v>2500000</v>
      </c>
    </row>
    <row r="6036" spans="2:8" x14ac:dyDescent="0.25">
      <c r="B6036" t="str">
        <f t="shared" si="94"/>
        <v>MEXPopulation ages 60-64, male</v>
      </c>
      <c r="C6036" t="s">
        <v>569</v>
      </c>
      <c r="D6036" t="s">
        <v>90</v>
      </c>
      <c r="E6036" t="s">
        <v>387</v>
      </c>
      <c r="F6036" t="s">
        <v>718</v>
      </c>
      <c r="G6036">
        <v>2097000</v>
      </c>
      <c r="H6036">
        <v>2169000</v>
      </c>
    </row>
    <row r="6037" spans="2:8" x14ac:dyDescent="0.25">
      <c r="B6037" t="str">
        <f t="shared" si="94"/>
        <v>MEXPopulation ages 70-74, female</v>
      </c>
      <c r="C6037" t="s">
        <v>569</v>
      </c>
      <c r="D6037" t="s">
        <v>90</v>
      </c>
      <c r="E6037" t="s">
        <v>390</v>
      </c>
      <c r="F6037" t="s">
        <v>719</v>
      </c>
      <c r="G6037">
        <v>1280000</v>
      </c>
      <c r="H6037">
        <v>1341000</v>
      </c>
    </row>
    <row r="6038" spans="2:8" x14ac:dyDescent="0.25">
      <c r="B6038" t="str">
        <f t="shared" si="94"/>
        <v>MEXPopulation ages 70-74, male</v>
      </c>
      <c r="C6038" t="s">
        <v>569</v>
      </c>
      <c r="D6038" t="s">
        <v>90</v>
      </c>
      <c r="E6038" t="s">
        <v>391</v>
      </c>
      <c r="F6038" t="s">
        <v>720</v>
      </c>
      <c r="G6038">
        <v>1082000</v>
      </c>
      <c r="H6038">
        <v>1126000</v>
      </c>
    </row>
    <row r="6039" spans="2:8" x14ac:dyDescent="0.25">
      <c r="B6039" t="str">
        <f t="shared" si="94"/>
        <v>MEXPopulation ages 75-79, female</v>
      </c>
      <c r="C6039" t="s">
        <v>569</v>
      </c>
      <c r="D6039" t="s">
        <v>90</v>
      </c>
      <c r="E6039" t="s">
        <v>392</v>
      </c>
      <c r="F6039" t="s">
        <v>721</v>
      </c>
      <c r="G6039">
        <v>913000</v>
      </c>
      <c r="H6039">
        <v>948000</v>
      </c>
    </row>
    <row r="6040" spans="2:8" x14ac:dyDescent="0.25">
      <c r="B6040" t="str">
        <f t="shared" si="94"/>
        <v>MEXPopulation ages 75-79, male</v>
      </c>
      <c r="C6040" t="s">
        <v>569</v>
      </c>
      <c r="D6040" t="s">
        <v>90</v>
      </c>
      <c r="E6040" t="s">
        <v>393</v>
      </c>
      <c r="F6040" t="s">
        <v>722</v>
      </c>
      <c r="G6040">
        <v>749000</v>
      </c>
      <c r="H6040">
        <v>774000</v>
      </c>
    </row>
    <row r="6041" spans="2:8" x14ac:dyDescent="0.25">
      <c r="B6041" t="str">
        <f t="shared" si="94"/>
        <v>MEXPopulation ages 80 and above, female</v>
      </c>
      <c r="C6041" t="s">
        <v>569</v>
      </c>
      <c r="D6041" t="s">
        <v>90</v>
      </c>
      <c r="E6041" t="s">
        <v>394</v>
      </c>
      <c r="F6041" t="s">
        <v>723</v>
      </c>
      <c r="G6041">
        <v>1169000</v>
      </c>
      <c r="H6041">
        <v>1190000</v>
      </c>
    </row>
    <row r="6042" spans="2:8" x14ac:dyDescent="0.25">
      <c r="B6042" t="str">
        <f t="shared" si="94"/>
        <v>MEXPopulation ages 80 and above, male</v>
      </c>
      <c r="C6042" t="s">
        <v>569</v>
      </c>
      <c r="D6042" t="s">
        <v>90</v>
      </c>
      <c r="E6042" t="s">
        <v>395</v>
      </c>
      <c r="F6042" t="s">
        <v>724</v>
      </c>
      <c r="G6042">
        <v>833000</v>
      </c>
      <c r="H6042">
        <v>848000</v>
      </c>
    </row>
    <row r="6043" spans="2:8" x14ac:dyDescent="0.25">
      <c r="B6043" t="str">
        <f t="shared" si="94"/>
        <v>MEXPopulation, male</v>
      </c>
      <c r="C6043" t="s">
        <v>569</v>
      </c>
      <c r="D6043" t="s">
        <v>90</v>
      </c>
      <c r="E6043" t="s">
        <v>397</v>
      </c>
      <c r="F6043" t="s">
        <v>725</v>
      </c>
      <c r="G6043">
        <v>62403000</v>
      </c>
      <c r="H6043">
        <v>63071000</v>
      </c>
    </row>
    <row r="6044" spans="2:8" x14ac:dyDescent="0.25">
      <c r="B6044" t="str">
        <f t="shared" si="94"/>
        <v>MEXPopulation, total</v>
      </c>
      <c r="C6044" t="s">
        <v>569</v>
      </c>
      <c r="D6044" t="s">
        <v>90</v>
      </c>
      <c r="E6044" t="s">
        <v>398</v>
      </c>
      <c r="F6044" t="s">
        <v>726</v>
      </c>
      <c r="G6044">
        <v>127576000</v>
      </c>
      <c r="H6044">
        <v>128933000</v>
      </c>
    </row>
    <row r="6045" spans="2:8" x14ac:dyDescent="0.25">
      <c r="B6045" t="str">
        <f t="shared" si="94"/>
        <v>MEXPopulation, female</v>
      </c>
      <c r="C6045" t="s">
        <v>569</v>
      </c>
      <c r="D6045" t="s">
        <v>90</v>
      </c>
      <c r="E6045" t="s">
        <v>396</v>
      </c>
      <c r="F6045" t="s">
        <v>727</v>
      </c>
      <c r="G6045">
        <v>65172000</v>
      </c>
      <c r="H6045">
        <v>65861000</v>
      </c>
    </row>
    <row r="6046" spans="2:8" x14ac:dyDescent="0.25">
      <c r="B6046" t="str">
        <f t="shared" si="94"/>
        <v>MEXPopulation growth (annual %)</v>
      </c>
      <c r="C6046" t="s">
        <v>569</v>
      </c>
      <c r="D6046" t="s">
        <v>90</v>
      </c>
      <c r="E6046" t="s">
        <v>399</v>
      </c>
      <c r="F6046" t="s">
        <v>728</v>
      </c>
      <c r="G6046">
        <v>0</v>
      </c>
      <c r="H6046">
        <v>0</v>
      </c>
    </row>
    <row r="6047" spans="2:8" x14ac:dyDescent="0.25">
      <c r="B6047" t="str">
        <f t="shared" si="94"/>
        <v>FSMPopulation ages 0-14, female</v>
      </c>
      <c r="C6047" t="s">
        <v>570</v>
      </c>
      <c r="D6047" t="s">
        <v>571</v>
      </c>
      <c r="E6047" t="s">
        <v>687</v>
      </c>
      <c r="F6047" t="s">
        <v>688</v>
      </c>
      <c r="G6047">
        <v>17000</v>
      </c>
      <c r="H6047">
        <v>17000</v>
      </c>
    </row>
    <row r="6048" spans="2:8" x14ac:dyDescent="0.25">
      <c r="B6048" t="str">
        <f t="shared" si="94"/>
        <v>FSMPopulation ages 0-14, male</v>
      </c>
      <c r="C6048" t="s">
        <v>570</v>
      </c>
      <c r="D6048" t="s">
        <v>571</v>
      </c>
      <c r="E6048" t="s">
        <v>689</v>
      </c>
      <c r="F6048" t="s">
        <v>690</v>
      </c>
      <c r="G6048">
        <v>18000</v>
      </c>
      <c r="H6048">
        <v>18000</v>
      </c>
    </row>
    <row r="6049" spans="2:8" x14ac:dyDescent="0.25">
      <c r="B6049" t="str">
        <f t="shared" si="94"/>
        <v>FSMPopulation ages 00-04, female</v>
      </c>
      <c r="C6049" t="s">
        <v>570</v>
      </c>
      <c r="D6049" t="s">
        <v>571</v>
      </c>
      <c r="E6049" t="s">
        <v>362</v>
      </c>
      <c r="F6049" t="s">
        <v>691</v>
      </c>
      <c r="G6049">
        <v>5900</v>
      </c>
      <c r="H6049">
        <v>6000</v>
      </c>
    </row>
    <row r="6050" spans="2:8" x14ac:dyDescent="0.25">
      <c r="B6050" t="str">
        <f t="shared" si="94"/>
        <v>FSMPopulation ages 00-04, male</v>
      </c>
      <c r="C6050" t="s">
        <v>570</v>
      </c>
      <c r="D6050" t="s">
        <v>571</v>
      </c>
      <c r="E6050" t="s">
        <v>363</v>
      </c>
      <c r="F6050" t="s">
        <v>692</v>
      </c>
      <c r="G6050">
        <v>6300</v>
      </c>
      <c r="H6050">
        <v>6300</v>
      </c>
    </row>
    <row r="6051" spans="2:8" x14ac:dyDescent="0.25">
      <c r="B6051" t="str">
        <f t="shared" si="94"/>
        <v>FSMPopulation ages 05-09, female</v>
      </c>
      <c r="C6051" t="s">
        <v>570</v>
      </c>
      <c r="D6051" t="s">
        <v>571</v>
      </c>
      <c r="E6051" t="s">
        <v>364</v>
      </c>
      <c r="F6051" t="s">
        <v>693</v>
      </c>
      <c r="G6051">
        <v>5800</v>
      </c>
      <c r="H6051">
        <v>5700</v>
      </c>
    </row>
    <row r="6052" spans="2:8" x14ac:dyDescent="0.25">
      <c r="B6052" t="str">
        <f t="shared" si="94"/>
        <v>FSMPopulation ages 05-09, male</v>
      </c>
      <c r="C6052" t="s">
        <v>570</v>
      </c>
      <c r="D6052" t="s">
        <v>571</v>
      </c>
      <c r="E6052" t="s">
        <v>365</v>
      </c>
      <c r="F6052" t="s">
        <v>694</v>
      </c>
      <c r="G6052">
        <v>6100</v>
      </c>
      <c r="H6052">
        <v>6100</v>
      </c>
    </row>
    <row r="6053" spans="2:8" x14ac:dyDescent="0.25">
      <c r="B6053" t="str">
        <f t="shared" si="94"/>
        <v>FSMPopulation ages 10-14, female</v>
      </c>
      <c r="C6053" t="s">
        <v>570</v>
      </c>
      <c r="D6053" t="s">
        <v>571</v>
      </c>
      <c r="E6053" t="s">
        <v>366</v>
      </c>
      <c r="F6053" t="s">
        <v>695</v>
      </c>
      <c r="G6053">
        <v>5800</v>
      </c>
      <c r="H6053">
        <v>5800</v>
      </c>
    </row>
    <row r="6054" spans="2:8" x14ac:dyDescent="0.25">
      <c r="B6054" t="str">
        <f t="shared" si="94"/>
        <v>FSMPopulation ages 10-14, male</v>
      </c>
      <c r="C6054" t="s">
        <v>570</v>
      </c>
      <c r="D6054" t="s">
        <v>571</v>
      </c>
      <c r="E6054" t="s">
        <v>367</v>
      </c>
      <c r="F6054" t="s">
        <v>696</v>
      </c>
      <c r="G6054">
        <v>6000</v>
      </c>
      <c r="H6054">
        <v>6000</v>
      </c>
    </row>
    <row r="6055" spans="2:8" x14ac:dyDescent="0.25">
      <c r="B6055" t="str">
        <f t="shared" si="94"/>
        <v>FSMPopulation ages 15-19, female</v>
      </c>
      <c r="C6055" t="s">
        <v>570</v>
      </c>
      <c r="D6055" t="s">
        <v>571</v>
      </c>
      <c r="E6055" t="s">
        <v>368</v>
      </c>
      <c r="F6055" t="s">
        <v>697</v>
      </c>
      <c r="G6055">
        <v>5600</v>
      </c>
      <c r="H6055">
        <v>5600</v>
      </c>
    </row>
    <row r="6056" spans="2:8" x14ac:dyDescent="0.25">
      <c r="B6056" t="str">
        <f t="shared" si="94"/>
        <v>FSMPopulation ages 15-19, male</v>
      </c>
      <c r="C6056" t="s">
        <v>570</v>
      </c>
      <c r="D6056" t="s">
        <v>571</v>
      </c>
      <c r="E6056" t="s">
        <v>369</v>
      </c>
      <c r="F6056" t="s">
        <v>698</v>
      </c>
      <c r="G6056">
        <v>6000</v>
      </c>
      <c r="H6056">
        <v>5900</v>
      </c>
    </row>
    <row r="6057" spans="2:8" x14ac:dyDescent="0.25">
      <c r="B6057" t="str">
        <f t="shared" si="94"/>
        <v>FSMPopulation ages 20-24, female</v>
      </c>
      <c r="C6057" t="s">
        <v>570</v>
      </c>
      <c r="D6057" t="s">
        <v>571</v>
      </c>
      <c r="E6057" t="s">
        <v>370</v>
      </c>
      <c r="F6057" t="s">
        <v>699</v>
      </c>
      <c r="G6057">
        <v>5700</v>
      </c>
      <c r="H6057">
        <v>5600</v>
      </c>
    </row>
    <row r="6058" spans="2:8" x14ac:dyDescent="0.25">
      <c r="B6058" t="str">
        <f t="shared" si="94"/>
        <v>FSMPopulation ages 20-24, male</v>
      </c>
      <c r="C6058" t="s">
        <v>570</v>
      </c>
      <c r="D6058" t="s">
        <v>571</v>
      </c>
      <c r="E6058" t="s">
        <v>371</v>
      </c>
      <c r="F6058" t="s">
        <v>700</v>
      </c>
      <c r="G6058">
        <v>6100</v>
      </c>
      <c r="H6058">
        <v>6000</v>
      </c>
    </row>
    <row r="6059" spans="2:8" x14ac:dyDescent="0.25">
      <c r="B6059" t="str">
        <f t="shared" si="94"/>
        <v>FSMPopulation ages 25-29, female</v>
      </c>
      <c r="C6059" t="s">
        <v>570</v>
      </c>
      <c r="D6059" t="s">
        <v>571</v>
      </c>
      <c r="E6059" t="s">
        <v>372</v>
      </c>
      <c r="F6059" t="s">
        <v>701</v>
      </c>
      <c r="G6059">
        <v>5000</v>
      </c>
      <c r="H6059">
        <v>5100</v>
      </c>
    </row>
    <row r="6060" spans="2:8" x14ac:dyDescent="0.25">
      <c r="B6060" t="str">
        <f t="shared" si="94"/>
        <v>FSMPopulation ages 25-29, male</v>
      </c>
      <c r="C6060" t="s">
        <v>570</v>
      </c>
      <c r="D6060" t="s">
        <v>571</v>
      </c>
      <c r="E6060" t="s">
        <v>373</v>
      </c>
      <c r="F6060" t="s">
        <v>702</v>
      </c>
      <c r="G6060">
        <v>5500</v>
      </c>
      <c r="H6060">
        <v>5600</v>
      </c>
    </row>
    <row r="6061" spans="2:8" x14ac:dyDescent="0.25">
      <c r="B6061" t="str">
        <f t="shared" si="94"/>
        <v>FSMPopulation ages 30-34, female</v>
      </c>
      <c r="C6061" t="s">
        <v>570</v>
      </c>
      <c r="D6061" t="s">
        <v>571</v>
      </c>
      <c r="E6061" t="s">
        <v>374</v>
      </c>
      <c r="F6061" t="s">
        <v>703</v>
      </c>
      <c r="G6061">
        <v>3800</v>
      </c>
      <c r="H6061">
        <v>3900</v>
      </c>
    </row>
    <row r="6062" spans="2:8" x14ac:dyDescent="0.25">
      <c r="B6062" t="str">
        <f t="shared" si="94"/>
        <v>FSMPopulation ages 30-34, male</v>
      </c>
      <c r="C6062" t="s">
        <v>570</v>
      </c>
      <c r="D6062" t="s">
        <v>571</v>
      </c>
      <c r="E6062" t="s">
        <v>375</v>
      </c>
      <c r="F6062" t="s">
        <v>704</v>
      </c>
      <c r="G6062">
        <v>4200</v>
      </c>
      <c r="H6062">
        <v>4400</v>
      </c>
    </row>
    <row r="6063" spans="2:8" x14ac:dyDescent="0.25">
      <c r="B6063" t="str">
        <f t="shared" si="94"/>
        <v>FSMPopulation ages 35-39, female</v>
      </c>
      <c r="C6063" t="s">
        <v>570</v>
      </c>
      <c r="D6063" t="s">
        <v>571</v>
      </c>
      <c r="E6063" t="s">
        <v>376</v>
      </c>
      <c r="F6063" t="s">
        <v>705</v>
      </c>
      <c r="G6063">
        <v>3300</v>
      </c>
      <c r="H6063">
        <v>3400</v>
      </c>
    </row>
    <row r="6064" spans="2:8" x14ac:dyDescent="0.25">
      <c r="B6064" t="str">
        <f t="shared" si="94"/>
        <v>FSMPopulation ages 35-39, male</v>
      </c>
      <c r="C6064" t="s">
        <v>570</v>
      </c>
      <c r="D6064" t="s">
        <v>571</v>
      </c>
      <c r="E6064" t="s">
        <v>377</v>
      </c>
      <c r="F6064" t="s">
        <v>706</v>
      </c>
      <c r="G6064">
        <v>3400</v>
      </c>
      <c r="H6064">
        <v>3400</v>
      </c>
    </row>
    <row r="6065" spans="2:8" x14ac:dyDescent="0.25">
      <c r="B6065" t="str">
        <f t="shared" si="94"/>
        <v>FSMPopulation ages 40-44, female</v>
      </c>
      <c r="C6065" t="s">
        <v>570</v>
      </c>
      <c r="D6065" t="s">
        <v>571</v>
      </c>
      <c r="E6065" t="s">
        <v>378</v>
      </c>
      <c r="F6065" t="s">
        <v>707</v>
      </c>
      <c r="G6065">
        <v>2900</v>
      </c>
      <c r="H6065">
        <v>2900</v>
      </c>
    </row>
    <row r="6066" spans="2:8" x14ac:dyDescent="0.25">
      <c r="B6066" t="str">
        <f t="shared" si="94"/>
        <v>FSMPopulation ages 40-44, male</v>
      </c>
      <c r="C6066" t="s">
        <v>570</v>
      </c>
      <c r="D6066" t="s">
        <v>571</v>
      </c>
      <c r="E6066" t="s">
        <v>379</v>
      </c>
      <c r="F6066" t="s">
        <v>708</v>
      </c>
      <c r="G6066">
        <v>3000</v>
      </c>
      <c r="H6066">
        <v>3100</v>
      </c>
    </row>
    <row r="6067" spans="2:8" x14ac:dyDescent="0.25">
      <c r="B6067" t="str">
        <f t="shared" si="94"/>
        <v>FSMPopulation ages 45-49, female</v>
      </c>
      <c r="C6067" t="s">
        <v>570</v>
      </c>
      <c r="D6067" t="s">
        <v>571</v>
      </c>
      <c r="E6067" t="s">
        <v>380</v>
      </c>
      <c r="F6067" t="s">
        <v>709</v>
      </c>
      <c r="G6067">
        <v>2800</v>
      </c>
      <c r="H6067">
        <v>2800</v>
      </c>
    </row>
    <row r="6068" spans="2:8" x14ac:dyDescent="0.25">
      <c r="B6068" t="str">
        <f t="shared" si="94"/>
        <v>FSMPopulation ages 45-49, male</v>
      </c>
      <c r="C6068" t="s">
        <v>570</v>
      </c>
      <c r="D6068" t="s">
        <v>571</v>
      </c>
      <c r="E6068" t="s">
        <v>381</v>
      </c>
      <c r="F6068" t="s">
        <v>710</v>
      </c>
      <c r="G6068">
        <v>2600</v>
      </c>
      <c r="H6068">
        <v>2700</v>
      </c>
    </row>
    <row r="6069" spans="2:8" x14ac:dyDescent="0.25">
      <c r="B6069" t="str">
        <f t="shared" si="94"/>
        <v>FSMPopulation ages 50-54, female</v>
      </c>
      <c r="C6069" t="s">
        <v>570</v>
      </c>
      <c r="D6069" t="s">
        <v>571</v>
      </c>
      <c r="E6069" t="s">
        <v>382</v>
      </c>
      <c r="F6069" t="s">
        <v>711</v>
      </c>
      <c r="G6069">
        <v>2600</v>
      </c>
      <c r="H6069">
        <v>2600</v>
      </c>
    </row>
    <row r="6070" spans="2:8" x14ac:dyDescent="0.25">
      <c r="B6070" t="str">
        <f t="shared" si="94"/>
        <v>FSMPopulation ages 50-54, male</v>
      </c>
      <c r="C6070" t="s">
        <v>570</v>
      </c>
      <c r="D6070" t="s">
        <v>571</v>
      </c>
      <c r="E6070" t="s">
        <v>383</v>
      </c>
      <c r="F6070" t="s">
        <v>712</v>
      </c>
      <c r="G6070">
        <v>2500</v>
      </c>
      <c r="H6070">
        <v>2500</v>
      </c>
    </row>
    <row r="6071" spans="2:8" x14ac:dyDescent="0.25">
      <c r="B6071" t="str">
        <f t="shared" si="94"/>
        <v>FSMPopulation ages 55-59, male</v>
      </c>
      <c r="C6071" t="s">
        <v>570</v>
      </c>
      <c r="D6071" t="s">
        <v>571</v>
      </c>
      <c r="E6071" t="s">
        <v>385</v>
      </c>
      <c r="F6071" t="s">
        <v>713</v>
      </c>
      <c r="G6071">
        <v>2300</v>
      </c>
      <c r="H6071">
        <v>2400</v>
      </c>
    </row>
    <row r="6072" spans="2:8" x14ac:dyDescent="0.25">
      <c r="B6072" t="str">
        <f t="shared" si="94"/>
        <v>FSMPopulation ages 55-59, female</v>
      </c>
      <c r="C6072" t="s">
        <v>570</v>
      </c>
      <c r="D6072" t="s">
        <v>571</v>
      </c>
      <c r="E6072" t="s">
        <v>384</v>
      </c>
      <c r="F6072" t="s">
        <v>714</v>
      </c>
      <c r="G6072">
        <v>2300</v>
      </c>
      <c r="H6072">
        <v>2300</v>
      </c>
    </row>
    <row r="6073" spans="2:8" x14ac:dyDescent="0.25">
      <c r="B6073" t="str">
        <f t="shared" si="94"/>
        <v>FSMPopulation ages 65-69, male</v>
      </c>
      <c r="C6073" t="s">
        <v>570</v>
      </c>
      <c r="D6073" t="s">
        <v>571</v>
      </c>
      <c r="E6073" t="s">
        <v>389</v>
      </c>
      <c r="F6073" t="s">
        <v>715</v>
      </c>
      <c r="G6073">
        <v>1300</v>
      </c>
      <c r="H6073">
        <v>1400</v>
      </c>
    </row>
    <row r="6074" spans="2:8" x14ac:dyDescent="0.25">
      <c r="B6074" t="str">
        <f t="shared" si="94"/>
        <v>FSMPopulation ages 65-69, female</v>
      </c>
      <c r="C6074" t="s">
        <v>570</v>
      </c>
      <c r="D6074" t="s">
        <v>571</v>
      </c>
      <c r="E6074" t="s">
        <v>388</v>
      </c>
      <c r="F6074" t="s">
        <v>716</v>
      </c>
      <c r="G6074">
        <v>1300</v>
      </c>
      <c r="H6074">
        <v>1400</v>
      </c>
    </row>
    <row r="6075" spans="2:8" x14ac:dyDescent="0.25">
      <c r="B6075" t="str">
        <f t="shared" si="94"/>
        <v>FSMPopulation ages 60-64, female</v>
      </c>
      <c r="C6075" t="s">
        <v>570</v>
      </c>
      <c r="D6075" t="s">
        <v>571</v>
      </c>
      <c r="E6075" t="s">
        <v>386</v>
      </c>
      <c r="F6075" t="s">
        <v>717</v>
      </c>
      <c r="G6075">
        <v>2000</v>
      </c>
      <c r="H6075">
        <v>2000</v>
      </c>
    </row>
    <row r="6076" spans="2:8" x14ac:dyDescent="0.25">
      <c r="B6076" t="str">
        <f t="shared" si="94"/>
        <v>FSMPopulation ages 60-64, male</v>
      </c>
      <c r="C6076" t="s">
        <v>570</v>
      </c>
      <c r="D6076" t="s">
        <v>571</v>
      </c>
      <c r="E6076" t="s">
        <v>387</v>
      </c>
      <c r="F6076" t="s">
        <v>718</v>
      </c>
      <c r="G6076">
        <v>1900</v>
      </c>
      <c r="H6076">
        <v>1900</v>
      </c>
    </row>
    <row r="6077" spans="2:8" x14ac:dyDescent="0.25">
      <c r="B6077" t="str">
        <f t="shared" si="94"/>
        <v>FSMPopulation ages 70-74, female</v>
      </c>
      <c r="C6077" t="s">
        <v>570</v>
      </c>
      <c r="D6077" t="s">
        <v>571</v>
      </c>
      <c r="E6077" t="s">
        <v>390</v>
      </c>
      <c r="F6077" t="s">
        <v>719</v>
      </c>
      <c r="G6077">
        <v>700</v>
      </c>
      <c r="H6077">
        <v>800</v>
      </c>
    </row>
    <row r="6078" spans="2:8" x14ac:dyDescent="0.25">
      <c r="B6078" t="str">
        <f t="shared" si="94"/>
        <v>FSMPopulation ages 70-74, male</v>
      </c>
      <c r="C6078" t="s">
        <v>570</v>
      </c>
      <c r="D6078" t="s">
        <v>571</v>
      </c>
      <c r="E6078" t="s">
        <v>391</v>
      </c>
      <c r="F6078" t="s">
        <v>720</v>
      </c>
      <c r="G6078">
        <v>600</v>
      </c>
      <c r="H6078">
        <v>600</v>
      </c>
    </row>
    <row r="6079" spans="2:8" x14ac:dyDescent="0.25">
      <c r="B6079" t="str">
        <f t="shared" si="94"/>
        <v>FSMPopulation ages 75-79, female</v>
      </c>
      <c r="C6079" t="s">
        <v>570</v>
      </c>
      <c r="D6079" t="s">
        <v>571</v>
      </c>
      <c r="E6079" t="s">
        <v>392</v>
      </c>
      <c r="F6079" t="s">
        <v>721</v>
      </c>
      <c r="G6079">
        <v>300</v>
      </c>
      <c r="H6079">
        <v>300</v>
      </c>
    </row>
    <row r="6080" spans="2:8" x14ac:dyDescent="0.25">
      <c r="B6080" t="str">
        <f t="shared" si="94"/>
        <v>FSMPopulation ages 75-79, male</v>
      </c>
      <c r="C6080" t="s">
        <v>570</v>
      </c>
      <c r="D6080" t="s">
        <v>571</v>
      </c>
      <c r="E6080" t="s">
        <v>393</v>
      </c>
      <c r="F6080" t="s">
        <v>722</v>
      </c>
      <c r="G6080">
        <v>200</v>
      </c>
      <c r="H6080">
        <v>200</v>
      </c>
    </row>
    <row r="6081" spans="2:8" x14ac:dyDescent="0.25">
      <c r="B6081" t="str">
        <f t="shared" si="94"/>
        <v>FSMPopulation ages 80 and above, female</v>
      </c>
      <c r="C6081" t="s">
        <v>570</v>
      </c>
      <c r="D6081" t="s">
        <v>571</v>
      </c>
      <c r="E6081" t="s">
        <v>394</v>
      </c>
      <c r="F6081" t="s">
        <v>723</v>
      </c>
      <c r="G6081">
        <v>300</v>
      </c>
      <c r="H6081">
        <v>300</v>
      </c>
    </row>
    <row r="6082" spans="2:8" x14ac:dyDescent="0.25">
      <c r="B6082" t="str">
        <f t="shared" si="94"/>
        <v>FSMPopulation ages 80 and above, male</v>
      </c>
      <c r="C6082" t="s">
        <v>570</v>
      </c>
      <c r="D6082" t="s">
        <v>571</v>
      </c>
      <c r="E6082" t="s">
        <v>395</v>
      </c>
      <c r="F6082" t="s">
        <v>724</v>
      </c>
      <c r="G6082">
        <v>100</v>
      </c>
      <c r="H6082">
        <v>100</v>
      </c>
    </row>
    <row r="6083" spans="2:8" x14ac:dyDescent="0.25">
      <c r="B6083" t="str">
        <f t="shared" si="94"/>
        <v>FSMPopulation, male</v>
      </c>
      <c r="C6083" t="s">
        <v>570</v>
      </c>
      <c r="D6083" t="s">
        <v>571</v>
      </c>
      <c r="E6083" t="s">
        <v>397</v>
      </c>
      <c r="F6083" t="s">
        <v>725</v>
      </c>
      <c r="G6083">
        <v>58000</v>
      </c>
      <c r="H6083">
        <v>58000</v>
      </c>
    </row>
    <row r="6084" spans="2:8" x14ac:dyDescent="0.25">
      <c r="B6084" t="str">
        <f t="shared" si="94"/>
        <v>FSMPopulation, total</v>
      </c>
      <c r="C6084" t="s">
        <v>570</v>
      </c>
      <c r="D6084" t="s">
        <v>571</v>
      </c>
      <c r="E6084" t="s">
        <v>398</v>
      </c>
      <c r="F6084" t="s">
        <v>726</v>
      </c>
      <c r="G6084">
        <v>114000</v>
      </c>
      <c r="H6084">
        <v>115000</v>
      </c>
    </row>
    <row r="6085" spans="2:8" x14ac:dyDescent="0.25">
      <c r="B6085" t="str">
        <f t="shared" si="94"/>
        <v>FSMPopulation, female</v>
      </c>
      <c r="C6085" t="s">
        <v>570</v>
      </c>
      <c r="D6085" t="s">
        <v>571</v>
      </c>
      <c r="E6085" t="s">
        <v>396</v>
      </c>
      <c r="F6085" t="s">
        <v>727</v>
      </c>
      <c r="G6085">
        <v>56000</v>
      </c>
      <c r="H6085">
        <v>57000</v>
      </c>
    </row>
    <row r="6086" spans="2:8" x14ac:dyDescent="0.25">
      <c r="B6086" t="str">
        <f t="shared" si="94"/>
        <v>FSMPopulation growth (annual %)</v>
      </c>
      <c r="C6086" t="s">
        <v>570</v>
      </c>
      <c r="D6086" t="s">
        <v>571</v>
      </c>
      <c r="E6086" t="s">
        <v>399</v>
      </c>
      <c r="F6086" t="s">
        <v>728</v>
      </c>
      <c r="G6086">
        <v>0</v>
      </c>
      <c r="H6086">
        <v>0</v>
      </c>
    </row>
    <row r="6087" spans="2:8" x14ac:dyDescent="0.25">
      <c r="B6087" t="str">
        <f t="shared" ref="B6087:B6150" si="95">CONCATENATE(D6087,E6087)</f>
        <v>MEAPopulation ages 0-14, female</v>
      </c>
      <c r="C6087" t="s">
        <v>572</v>
      </c>
      <c r="D6087" t="s">
        <v>573</v>
      </c>
      <c r="E6087" t="s">
        <v>687</v>
      </c>
      <c r="F6087" t="s">
        <v>688</v>
      </c>
      <c r="G6087">
        <v>66409000</v>
      </c>
      <c r="H6087">
        <v>67450000</v>
      </c>
    </row>
    <row r="6088" spans="2:8" x14ac:dyDescent="0.25">
      <c r="B6088" t="str">
        <f t="shared" si="95"/>
        <v>MEAPopulation ages 0-14, male</v>
      </c>
      <c r="C6088" t="s">
        <v>572</v>
      </c>
      <c r="D6088" t="s">
        <v>573</v>
      </c>
      <c r="E6088" t="s">
        <v>689</v>
      </c>
      <c r="F6088" t="s">
        <v>690</v>
      </c>
      <c r="G6088">
        <v>69906000</v>
      </c>
      <c r="H6088">
        <v>70987000</v>
      </c>
    </row>
    <row r="6089" spans="2:8" x14ac:dyDescent="0.25">
      <c r="B6089" t="str">
        <f t="shared" si="95"/>
        <v>MEAPopulation ages 00-04, female</v>
      </c>
      <c r="C6089" t="s">
        <v>572</v>
      </c>
      <c r="D6089" t="s">
        <v>573</v>
      </c>
      <c r="E6089" t="s">
        <v>362</v>
      </c>
      <c r="F6089" t="s">
        <v>691</v>
      </c>
      <c r="G6089">
        <v>24162000</v>
      </c>
      <c r="H6089">
        <v>24142000</v>
      </c>
    </row>
    <row r="6090" spans="2:8" x14ac:dyDescent="0.25">
      <c r="B6090" t="str">
        <f t="shared" si="95"/>
        <v>MEAPopulation ages 00-04, male</v>
      </c>
      <c r="C6090" t="s">
        <v>572</v>
      </c>
      <c r="D6090" t="s">
        <v>573</v>
      </c>
      <c r="E6090" t="s">
        <v>363</v>
      </c>
      <c r="F6090" t="s">
        <v>692</v>
      </c>
      <c r="G6090">
        <v>25408000</v>
      </c>
      <c r="H6090">
        <v>25364000</v>
      </c>
    </row>
    <row r="6091" spans="2:8" x14ac:dyDescent="0.25">
      <c r="B6091" t="str">
        <f t="shared" si="95"/>
        <v>MEAPopulation ages 05-09, female</v>
      </c>
      <c r="C6091" t="s">
        <v>572</v>
      </c>
      <c r="D6091" t="s">
        <v>573</v>
      </c>
      <c r="E6091" t="s">
        <v>364</v>
      </c>
      <c r="F6091" t="s">
        <v>693</v>
      </c>
      <c r="G6091">
        <v>22679000</v>
      </c>
      <c r="H6091">
        <v>23203000</v>
      </c>
    </row>
    <row r="6092" spans="2:8" x14ac:dyDescent="0.25">
      <c r="B6092" t="str">
        <f t="shared" si="95"/>
        <v>MEAPopulation ages 05-09, male</v>
      </c>
      <c r="C6092" t="s">
        <v>572</v>
      </c>
      <c r="D6092" t="s">
        <v>573</v>
      </c>
      <c r="E6092" t="s">
        <v>365</v>
      </c>
      <c r="F6092" t="s">
        <v>694</v>
      </c>
      <c r="G6092">
        <v>23907000</v>
      </c>
      <c r="H6092">
        <v>24461000</v>
      </c>
    </row>
    <row r="6093" spans="2:8" x14ac:dyDescent="0.25">
      <c r="B6093" t="str">
        <f t="shared" si="95"/>
        <v>MEAPopulation ages 10-14, female</v>
      </c>
      <c r="C6093" t="s">
        <v>572</v>
      </c>
      <c r="D6093" t="s">
        <v>573</v>
      </c>
      <c r="E6093" t="s">
        <v>366</v>
      </c>
      <c r="F6093" t="s">
        <v>695</v>
      </c>
      <c r="G6093">
        <v>19569000</v>
      </c>
      <c r="H6093">
        <v>20100000</v>
      </c>
    </row>
    <row r="6094" spans="2:8" x14ac:dyDescent="0.25">
      <c r="B6094" t="str">
        <f t="shared" si="95"/>
        <v>MEAPopulation ages 10-14, male</v>
      </c>
      <c r="C6094" t="s">
        <v>572</v>
      </c>
      <c r="D6094" t="s">
        <v>573</v>
      </c>
      <c r="E6094" t="s">
        <v>367</v>
      </c>
      <c r="F6094" t="s">
        <v>696</v>
      </c>
      <c r="G6094">
        <v>20585000</v>
      </c>
      <c r="H6094">
        <v>21168000</v>
      </c>
    </row>
    <row r="6095" spans="2:8" x14ac:dyDescent="0.25">
      <c r="B6095" t="str">
        <f t="shared" si="95"/>
        <v>MEAPopulation ages 15-19, female</v>
      </c>
      <c r="C6095" t="s">
        <v>572</v>
      </c>
      <c r="D6095" t="s">
        <v>573</v>
      </c>
      <c r="E6095" t="s">
        <v>368</v>
      </c>
      <c r="F6095" t="s">
        <v>697</v>
      </c>
      <c r="G6095">
        <v>17670000</v>
      </c>
      <c r="H6095">
        <v>17847000</v>
      </c>
    </row>
    <row r="6096" spans="2:8" x14ac:dyDescent="0.25">
      <c r="B6096" t="str">
        <f t="shared" si="95"/>
        <v>MEAPopulation ages 15-19, male</v>
      </c>
      <c r="C6096" t="s">
        <v>572</v>
      </c>
      <c r="D6096" t="s">
        <v>573</v>
      </c>
      <c r="E6096" t="s">
        <v>369</v>
      </c>
      <c r="F6096" t="s">
        <v>698</v>
      </c>
      <c r="G6096">
        <v>18552000</v>
      </c>
      <c r="H6096">
        <v>18710000</v>
      </c>
    </row>
    <row r="6097" spans="2:8" x14ac:dyDescent="0.25">
      <c r="B6097" t="str">
        <f t="shared" si="95"/>
        <v>MEAPopulation ages 20-24, female</v>
      </c>
      <c r="C6097" t="s">
        <v>572</v>
      </c>
      <c r="D6097" t="s">
        <v>573</v>
      </c>
      <c r="E6097" t="s">
        <v>370</v>
      </c>
      <c r="F6097" t="s">
        <v>699</v>
      </c>
      <c r="G6097">
        <v>17654000</v>
      </c>
      <c r="H6097">
        <v>17501000</v>
      </c>
    </row>
    <row r="6098" spans="2:8" x14ac:dyDescent="0.25">
      <c r="B6098" t="str">
        <f t="shared" si="95"/>
        <v>MEAPopulation ages 20-24, male</v>
      </c>
      <c r="C6098" t="s">
        <v>572</v>
      </c>
      <c r="D6098" t="s">
        <v>573</v>
      </c>
      <c r="E6098" t="s">
        <v>371</v>
      </c>
      <c r="F6098" t="s">
        <v>700</v>
      </c>
      <c r="G6098">
        <v>18942000</v>
      </c>
      <c r="H6098">
        <v>18730000</v>
      </c>
    </row>
    <row r="6099" spans="2:8" x14ac:dyDescent="0.25">
      <c r="B6099" t="str">
        <f t="shared" si="95"/>
        <v>MEAPopulation ages 25-29, female</v>
      </c>
      <c r="C6099" t="s">
        <v>572</v>
      </c>
      <c r="D6099" t="s">
        <v>573</v>
      </c>
      <c r="E6099" t="s">
        <v>372</v>
      </c>
      <c r="F6099" t="s">
        <v>701</v>
      </c>
      <c r="G6099">
        <v>18746000</v>
      </c>
      <c r="H6099">
        <v>18553000</v>
      </c>
    </row>
    <row r="6100" spans="2:8" x14ac:dyDescent="0.25">
      <c r="B6100" t="str">
        <f t="shared" si="95"/>
        <v>MEAPopulation ages 25-29, male</v>
      </c>
      <c r="C6100" t="s">
        <v>572</v>
      </c>
      <c r="D6100" t="s">
        <v>573</v>
      </c>
      <c r="E6100" t="s">
        <v>373</v>
      </c>
      <c r="F6100" t="s">
        <v>702</v>
      </c>
      <c r="G6100">
        <v>20892000</v>
      </c>
      <c r="H6100">
        <v>20792000</v>
      </c>
    </row>
    <row r="6101" spans="2:8" x14ac:dyDescent="0.25">
      <c r="B6101" t="str">
        <f t="shared" si="95"/>
        <v>MEAPopulation ages 30-34, female</v>
      </c>
      <c r="C6101" t="s">
        <v>572</v>
      </c>
      <c r="D6101" t="s">
        <v>573</v>
      </c>
      <c r="E6101" t="s">
        <v>374</v>
      </c>
      <c r="F6101" t="s">
        <v>703</v>
      </c>
      <c r="G6101">
        <v>19128000</v>
      </c>
      <c r="H6101">
        <v>19247000</v>
      </c>
    </row>
    <row r="6102" spans="2:8" x14ac:dyDescent="0.25">
      <c r="B6102" t="str">
        <f t="shared" si="95"/>
        <v>MEAPopulation ages 30-34, male</v>
      </c>
      <c r="C6102" t="s">
        <v>572</v>
      </c>
      <c r="D6102" t="s">
        <v>573</v>
      </c>
      <c r="E6102" t="s">
        <v>375</v>
      </c>
      <c r="F6102" t="s">
        <v>704</v>
      </c>
      <c r="G6102">
        <v>21540000</v>
      </c>
      <c r="H6102">
        <v>21790000</v>
      </c>
    </row>
    <row r="6103" spans="2:8" x14ac:dyDescent="0.25">
      <c r="B6103" t="str">
        <f t="shared" si="95"/>
        <v>MEAPopulation ages 35-39, female</v>
      </c>
      <c r="C6103" t="s">
        <v>572</v>
      </c>
      <c r="D6103" t="s">
        <v>573</v>
      </c>
      <c r="E6103" t="s">
        <v>376</v>
      </c>
      <c r="F6103" t="s">
        <v>705</v>
      </c>
      <c r="G6103">
        <v>17310000</v>
      </c>
      <c r="H6103">
        <v>17780000</v>
      </c>
    </row>
    <row r="6104" spans="2:8" x14ac:dyDescent="0.25">
      <c r="B6104" t="str">
        <f t="shared" si="95"/>
        <v>MEAPopulation ages 35-39, male</v>
      </c>
      <c r="C6104" t="s">
        <v>572</v>
      </c>
      <c r="D6104" t="s">
        <v>573</v>
      </c>
      <c r="E6104" t="s">
        <v>377</v>
      </c>
      <c r="F6104" t="s">
        <v>706</v>
      </c>
      <c r="G6104">
        <v>19429000</v>
      </c>
      <c r="H6104">
        <v>19901000</v>
      </c>
    </row>
    <row r="6105" spans="2:8" x14ac:dyDescent="0.25">
      <c r="B6105" t="str">
        <f t="shared" si="95"/>
        <v>MEAPopulation ages 40-44, female</v>
      </c>
      <c r="C6105" t="s">
        <v>572</v>
      </c>
      <c r="D6105" t="s">
        <v>573</v>
      </c>
      <c r="E6105" t="s">
        <v>378</v>
      </c>
      <c r="F6105" t="s">
        <v>707</v>
      </c>
      <c r="G6105">
        <v>14311000</v>
      </c>
      <c r="H6105">
        <v>14850000</v>
      </c>
    </row>
    <row r="6106" spans="2:8" x14ac:dyDescent="0.25">
      <c r="B6106" t="str">
        <f t="shared" si="95"/>
        <v>MEAPopulation ages 40-44, male</v>
      </c>
      <c r="C6106" t="s">
        <v>572</v>
      </c>
      <c r="D6106" t="s">
        <v>573</v>
      </c>
      <c r="E6106" t="s">
        <v>379</v>
      </c>
      <c r="F6106" t="s">
        <v>708</v>
      </c>
      <c r="G6106">
        <v>16300000</v>
      </c>
      <c r="H6106">
        <v>16853000</v>
      </c>
    </row>
    <row r="6107" spans="2:8" x14ac:dyDescent="0.25">
      <c r="B6107" t="str">
        <f t="shared" si="95"/>
        <v>MEAPopulation ages 45-49, female</v>
      </c>
      <c r="C6107" t="s">
        <v>572</v>
      </c>
      <c r="D6107" t="s">
        <v>573</v>
      </c>
      <c r="E6107" t="s">
        <v>380</v>
      </c>
      <c r="F6107" t="s">
        <v>709</v>
      </c>
      <c r="G6107">
        <v>11736000</v>
      </c>
      <c r="H6107">
        <v>12103000</v>
      </c>
    </row>
    <row r="6108" spans="2:8" x14ac:dyDescent="0.25">
      <c r="B6108" t="str">
        <f t="shared" si="95"/>
        <v>MEAPopulation ages 45-49, male</v>
      </c>
      <c r="C6108" t="s">
        <v>572</v>
      </c>
      <c r="D6108" t="s">
        <v>573</v>
      </c>
      <c r="E6108" t="s">
        <v>381</v>
      </c>
      <c r="F6108" t="s">
        <v>710</v>
      </c>
      <c r="G6108">
        <v>13201000</v>
      </c>
      <c r="H6108">
        <v>13643000</v>
      </c>
    </row>
    <row r="6109" spans="2:8" x14ac:dyDescent="0.25">
      <c r="B6109" t="str">
        <f t="shared" si="95"/>
        <v>MEAPopulation ages 50-54, female</v>
      </c>
      <c r="C6109" t="s">
        <v>572</v>
      </c>
      <c r="D6109" t="s">
        <v>573</v>
      </c>
      <c r="E6109" t="s">
        <v>382</v>
      </c>
      <c r="F6109" t="s">
        <v>711</v>
      </c>
      <c r="G6109">
        <v>9919000</v>
      </c>
      <c r="H6109">
        <v>10224000</v>
      </c>
    </row>
    <row r="6110" spans="2:8" x14ac:dyDescent="0.25">
      <c r="B6110" t="str">
        <f t="shared" si="95"/>
        <v>MEAPopulation ages 50-54, male</v>
      </c>
      <c r="C6110" t="s">
        <v>572</v>
      </c>
      <c r="D6110" t="s">
        <v>573</v>
      </c>
      <c r="E6110" t="s">
        <v>383</v>
      </c>
      <c r="F6110" t="s">
        <v>712</v>
      </c>
      <c r="G6110">
        <v>10821000</v>
      </c>
      <c r="H6110">
        <v>11166000</v>
      </c>
    </row>
    <row r="6111" spans="2:8" x14ac:dyDescent="0.25">
      <c r="B6111" t="str">
        <f t="shared" si="95"/>
        <v>MEAPopulation ages 55-59, male</v>
      </c>
      <c r="C6111" t="s">
        <v>572</v>
      </c>
      <c r="D6111" t="s">
        <v>573</v>
      </c>
      <c r="E6111" t="s">
        <v>385</v>
      </c>
      <c r="F6111" t="s">
        <v>713</v>
      </c>
      <c r="G6111">
        <v>8709000</v>
      </c>
      <c r="H6111">
        <v>9010000</v>
      </c>
    </row>
    <row r="6112" spans="2:8" x14ac:dyDescent="0.25">
      <c r="B6112" t="str">
        <f t="shared" si="95"/>
        <v>MEAPopulation ages 55-59, female</v>
      </c>
      <c r="C6112" t="s">
        <v>572</v>
      </c>
      <c r="D6112" t="s">
        <v>573</v>
      </c>
      <c r="E6112" t="s">
        <v>384</v>
      </c>
      <c r="F6112" t="s">
        <v>714</v>
      </c>
      <c r="G6112">
        <v>8053000</v>
      </c>
      <c r="H6112">
        <v>8337000</v>
      </c>
    </row>
    <row r="6113" spans="2:8" x14ac:dyDescent="0.25">
      <c r="B6113" t="str">
        <f t="shared" si="95"/>
        <v>MEAPopulation ages 65-69, male</v>
      </c>
      <c r="C6113" t="s">
        <v>572</v>
      </c>
      <c r="D6113" t="s">
        <v>573</v>
      </c>
      <c r="E6113" t="s">
        <v>389</v>
      </c>
      <c r="F6113" t="s">
        <v>715</v>
      </c>
      <c r="G6113">
        <v>4808500</v>
      </c>
      <c r="H6113">
        <v>5069800</v>
      </c>
    </row>
    <row r="6114" spans="2:8" x14ac:dyDescent="0.25">
      <c r="B6114" t="str">
        <f t="shared" si="95"/>
        <v>MEAPopulation ages 65-69, female</v>
      </c>
      <c r="C6114" t="s">
        <v>572</v>
      </c>
      <c r="D6114" t="s">
        <v>573</v>
      </c>
      <c r="E6114" t="s">
        <v>388</v>
      </c>
      <c r="F6114" t="s">
        <v>716</v>
      </c>
      <c r="G6114">
        <v>4921200</v>
      </c>
      <c r="H6114">
        <v>5179000</v>
      </c>
    </row>
    <row r="6115" spans="2:8" x14ac:dyDescent="0.25">
      <c r="B6115" t="str">
        <f t="shared" si="95"/>
        <v>MEAPopulation ages 60-64, female</v>
      </c>
      <c r="C6115" t="s">
        <v>572</v>
      </c>
      <c r="D6115" t="s">
        <v>573</v>
      </c>
      <c r="E6115" t="s">
        <v>386</v>
      </c>
      <c r="F6115" t="s">
        <v>717</v>
      </c>
      <c r="G6115">
        <v>6478500</v>
      </c>
      <c r="H6115">
        <v>6721000</v>
      </c>
    </row>
    <row r="6116" spans="2:8" x14ac:dyDescent="0.25">
      <c r="B6116" t="str">
        <f t="shared" si="95"/>
        <v>MEAPopulation ages 60-64, male</v>
      </c>
      <c r="C6116" t="s">
        <v>572</v>
      </c>
      <c r="D6116" t="s">
        <v>573</v>
      </c>
      <c r="E6116" t="s">
        <v>387</v>
      </c>
      <c r="F6116" t="s">
        <v>718</v>
      </c>
      <c r="G6116">
        <v>6723000</v>
      </c>
      <c r="H6116">
        <v>6994000</v>
      </c>
    </row>
    <row r="6117" spans="2:8" x14ac:dyDescent="0.25">
      <c r="B6117" t="str">
        <f t="shared" si="95"/>
        <v>MEAPopulation ages 70-74, female</v>
      </c>
      <c r="C6117" t="s">
        <v>572</v>
      </c>
      <c r="D6117" t="s">
        <v>573</v>
      </c>
      <c r="E6117" t="s">
        <v>390</v>
      </c>
      <c r="F6117" t="s">
        <v>719</v>
      </c>
      <c r="G6117">
        <v>3300900</v>
      </c>
      <c r="H6117">
        <v>3494700</v>
      </c>
    </row>
    <row r="6118" spans="2:8" x14ac:dyDescent="0.25">
      <c r="B6118" t="str">
        <f t="shared" si="95"/>
        <v>MEAPopulation ages 70-74, male</v>
      </c>
      <c r="C6118" t="s">
        <v>572</v>
      </c>
      <c r="D6118" t="s">
        <v>573</v>
      </c>
      <c r="E6118" t="s">
        <v>391</v>
      </c>
      <c r="F6118" t="s">
        <v>720</v>
      </c>
      <c r="G6118">
        <v>3033800</v>
      </c>
      <c r="H6118">
        <v>3208000</v>
      </c>
    </row>
    <row r="6119" spans="2:8" x14ac:dyDescent="0.25">
      <c r="B6119" t="str">
        <f t="shared" si="95"/>
        <v>MEAPopulation ages 75-79, female</v>
      </c>
      <c r="C6119" t="s">
        <v>572</v>
      </c>
      <c r="D6119" t="s">
        <v>573</v>
      </c>
      <c r="E6119" t="s">
        <v>392</v>
      </c>
      <c r="F6119" t="s">
        <v>721</v>
      </c>
      <c r="G6119">
        <v>2184700</v>
      </c>
      <c r="H6119">
        <v>2261400</v>
      </c>
    </row>
    <row r="6120" spans="2:8" x14ac:dyDescent="0.25">
      <c r="B6120" t="str">
        <f t="shared" si="95"/>
        <v>MEAPopulation ages 75-79, male</v>
      </c>
      <c r="C6120" t="s">
        <v>572</v>
      </c>
      <c r="D6120" t="s">
        <v>573</v>
      </c>
      <c r="E6120" t="s">
        <v>393</v>
      </c>
      <c r="F6120" t="s">
        <v>722</v>
      </c>
      <c r="G6120">
        <v>1914200</v>
      </c>
      <c r="H6120">
        <v>1973700</v>
      </c>
    </row>
    <row r="6121" spans="2:8" x14ac:dyDescent="0.25">
      <c r="B6121" t="str">
        <f t="shared" si="95"/>
        <v>MEAPopulation ages 80 and above, female</v>
      </c>
      <c r="C6121" t="s">
        <v>572</v>
      </c>
      <c r="D6121" t="s">
        <v>573</v>
      </c>
      <c r="E6121" t="s">
        <v>394</v>
      </c>
      <c r="F6121" t="s">
        <v>723</v>
      </c>
      <c r="G6121">
        <v>2252800</v>
      </c>
      <c r="H6121">
        <v>2274300</v>
      </c>
    </row>
    <row r="6122" spans="2:8" x14ac:dyDescent="0.25">
      <c r="B6122" t="str">
        <f t="shared" si="95"/>
        <v>MEAPopulation ages 80 and above, male</v>
      </c>
      <c r="C6122" t="s">
        <v>572</v>
      </c>
      <c r="D6122" t="s">
        <v>573</v>
      </c>
      <c r="E6122" t="s">
        <v>395</v>
      </c>
      <c r="F6122" t="s">
        <v>724</v>
      </c>
      <c r="G6122">
        <v>1819400</v>
      </c>
      <c r="H6122">
        <v>1802900</v>
      </c>
    </row>
    <row r="6123" spans="2:8" x14ac:dyDescent="0.25">
      <c r="B6123" t="str">
        <f t="shared" si="95"/>
        <v>MEAPopulation, male</v>
      </c>
      <c r="C6123" t="s">
        <v>572</v>
      </c>
      <c r="D6123" t="s">
        <v>573</v>
      </c>
      <c r="E6123" t="s">
        <v>397</v>
      </c>
      <c r="F6123" t="s">
        <v>725</v>
      </c>
      <c r="G6123">
        <v>236584000</v>
      </c>
      <c r="H6123">
        <v>240632000</v>
      </c>
    </row>
    <row r="6124" spans="2:8" x14ac:dyDescent="0.25">
      <c r="B6124" t="str">
        <f t="shared" si="95"/>
        <v>MEAPopulation, total</v>
      </c>
      <c r="C6124" t="s">
        <v>572</v>
      </c>
      <c r="D6124" t="s">
        <v>573</v>
      </c>
      <c r="E6124" t="s">
        <v>398</v>
      </c>
      <c r="F6124" t="s">
        <v>726</v>
      </c>
      <c r="G6124">
        <v>456661000</v>
      </c>
      <c r="H6124">
        <v>464460000</v>
      </c>
    </row>
    <row r="6125" spans="2:8" x14ac:dyDescent="0.25">
      <c r="B6125" t="str">
        <f t="shared" si="95"/>
        <v>MEAPopulation, female</v>
      </c>
      <c r="C6125" t="s">
        <v>572</v>
      </c>
      <c r="D6125" t="s">
        <v>573</v>
      </c>
      <c r="E6125" t="s">
        <v>396</v>
      </c>
      <c r="F6125" t="s">
        <v>727</v>
      </c>
      <c r="G6125">
        <v>220079000</v>
      </c>
      <c r="H6125">
        <v>223829000</v>
      </c>
    </row>
    <row r="6126" spans="2:8" x14ac:dyDescent="0.25">
      <c r="B6126" t="str">
        <f t="shared" si="95"/>
        <v>MEAPopulation growth (annual %)</v>
      </c>
      <c r="C6126" t="s">
        <v>572</v>
      </c>
      <c r="D6126" t="s">
        <v>573</v>
      </c>
      <c r="E6126" t="s">
        <v>399</v>
      </c>
      <c r="F6126" t="s">
        <v>728</v>
      </c>
      <c r="G6126">
        <v>1.7259788497170092</v>
      </c>
      <c r="H6126">
        <v>1.7078314110467119</v>
      </c>
    </row>
    <row r="6127" spans="2:8" x14ac:dyDescent="0.25">
      <c r="B6127" t="str">
        <f t="shared" si="95"/>
        <v>MNAPopulation ages 0-14, female</v>
      </c>
      <c r="C6127" t="s">
        <v>574</v>
      </c>
      <c r="D6127" t="s">
        <v>575</v>
      </c>
      <c r="E6127" t="s">
        <v>687</v>
      </c>
      <c r="F6127" t="s">
        <v>688</v>
      </c>
      <c r="G6127">
        <v>58952000</v>
      </c>
      <c r="H6127">
        <v>59895000</v>
      </c>
    </row>
    <row r="6128" spans="2:8" x14ac:dyDescent="0.25">
      <c r="B6128" t="str">
        <f t="shared" si="95"/>
        <v>MNAPopulation ages 0-14, male</v>
      </c>
      <c r="C6128" t="s">
        <v>574</v>
      </c>
      <c r="D6128" t="s">
        <v>575</v>
      </c>
      <c r="E6128" t="s">
        <v>689</v>
      </c>
      <c r="F6128" t="s">
        <v>690</v>
      </c>
      <c r="G6128">
        <v>62108000</v>
      </c>
      <c r="H6128">
        <v>63093000</v>
      </c>
    </row>
    <row r="6129" spans="2:8" x14ac:dyDescent="0.25">
      <c r="B6129" t="str">
        <f t="shared" si="95"/>
        <v>MNAPopulation ages 00-04, female</v>
      </c>
      <c r="C6129" t="s">
        <v>574</v>
      </c>
      <c r="D6129" t="s">
        <v>575</v>
      </c>
      <c r="E6129" t="s">
        <v>362</v>
      </c>
      <c r="F6129" t="s">
        <v>691</v>
      </c>
      <c r="G6129">
        <v>21511000</v>
      </c>
      <c r="H6129">
        <v>21499000</v>
      </c>
    </row>
    <row r="6130" spans="2:8" x14ac:dyDescent="0.25">
      <c r="B6130" t="str">
        <f t="shared" si="95"/>
        <v>MNAPopulation ages 00-04, male</v>
      </c>
      <c r="C6130" t="s">
        <v>574</v>
      </c>
      <c r="D6130" t="s">
        <v>575</v>
      </c>
      <c r="E6130" t="s">
        <v>363</v>
      </c>
      <c r="F6130" t="s">
        <v>692</v>
      </c>
      <c r="G6130">
        <v>22651000</v>
      </c>
      <c r="H6130">
        <v>22622000</v>
      </c>
    </row>
    <row r="6131" spans="2:8" x14ac:dyDescent="0.25">
      <c r="B6131" t="str">
        <f t="shared" si="95"/>
        <v>MNAPopulation ages 05-09, female</v>
      </c>
      <c r="C6131" t="s">
        <v>574</v>
      </c>
      <c r="D6131" t="s">
        <v>575</v>
      </c>
      <c r="E6131" t="s">
        <v>364</v>
      </c>
      <c r="F6131" t="s">
        <v>693</v>
      </c>
      <c r="G6131">
        <v>20114000</v>
      </c>
      <c r="H6131">
        <v>20598000</v>
      </c>
    </row>
    <row r="6132" spans="2:8" x14ac:dyDescent="0.25">
      <c r="B6132" t="str">
        <f t="shared" si="95"/>
        <v>MNAPopulation ages 05-09, male</v>
      </c>
      <c r="C6132" t="s">
        <v>574</v>
      </c>
      <c r="D6132" t="s">
        <v>575</v>
      </c>
      <c r="E6132" t="s">
        <v>365</v>
      </c>
      <c r="F6132" t="s">
        <v>694</v>
      </c>
      <c r="G6132">
        <v>21220000</v>
      </c>
      <c r="H6132">
        <v>21738000</v>
      </c>
    </row>
    <row r="6133" spans="2:8" x14ac:dyDescent="0.25">
      <c r="B6133" t="str">
        <f t="shared" si="95"/>
        <v>MNAPopulation ages 10-14, female</v>
      </c>
      <c r="C6133" t="s">
        <v>574</v>
      </c>
      <c r="D6133" t="s">
        <v>575</v>
      </c>
      <c r="E6133" t="s">
        <v>366</v>
      </c>
      <c r="F6133" t="s">
        <v>695</v>
      </c>
      <c r="G6133">
        <v>17328000</v>
      </c>
      <c r="H6133">
        <v>17796000</v>
      </c>
    </row>
    <row r="6134" spans="2:8" x14ac:dyDescent="0.25">
      <c r="B6134" t="str">
        <f t="shared" si="95"/>
        <v>MNAPopulation ages 10-14, male</v>
      </c>
      <c r="C6134" t="s">
        <v>574</v>
      </c>
      <c r="D6134" t="s">
        <v>575</v>
      </c>
      <c r="E6134" t="s">
        <v>367</v>
      </c>
      <c r="F6134" t="s">
        <v>696</v>
      </c>
      <c r="G6134">
        <v>18233000</v>
      </c>
      <c r="H6134">
        <v>18735000</v>
      </c>
    </row>
    <row r="6135" spans="2:8" x14ac:dyDescent="0.25">
      <c r="B6135" t="str">
        <f t="shared" si="95"/>
        <v>MNAPopulation ages 15-19, female</v>
      </c>
      <c r="C6135" t="s">
        <v>574</v>
      </c>
      <c r="D6135" t="s">
        <v>575</v>
      </c>
      <c r="E6135" t="s">
        <v>368</v>
      </c>
      <c r="F6135" t="s">
        <v>697</v>
      </c>
      <c r="G6135">
        <v>15739000</v>
      </c>
      <c r="H6135">
        <v>15904000</v>
      </c>
    </row>
    <row r="6136" spans="2:8" x14ac:dyDescent="0.25">
      <c r="B6136" t="str">
        <f t="shared" si="95"/>
        <v>MNAPopulation ages 15-19, male</v>
      </c>
      <c r="C6136" t="s">
        <v>574</v>
      </c>
      <c r="D6136" t="s">
        <v>575</v>
      </c>
      <c r="E6136" t="s">
        <v>369</v>
      </c>
      <c r="F6136" t="s">
        <v>698</v>
      </c>
      <c r="G6136">
        <v>16489000</v>
      </c>
      <c r="H6136">
        <v>16681000</v>
      </c>
    </row>
    <row r="6137" spans="2:8" x14ac:dyDescent="0.25">
      <c r="B6137" t="str">
        <f t="shared" si="95"/>
        <v>MNAPopulation ages 20-24, female</v>
      </c>
      <c r="C6137" t="s">
        <v>574</v>
      </c>
      <c r="D6137" t="s">
        <v>575</v>
      </c>
      <c r="E6137" t="s">
        <v>370</v>
      </c>
      <c r="F6137" t="s">
        <v>699</v>
      </c>
      <c r="G6137">
        <v>15628000</v>
      </c>
      <c r="H6137">
        <v>15523000</v>
      </c>
    </row>
    <row r="6138" spans="2:8" x14ac:dyDescent="0.25">
      <c r="B6138" t="str">
        <f t="shared" si="95"/>
        <v>MNAPopulation ages 20-24, male</v>
      </c>
      <c r="C6138" t="s">
        <v>574</v>
      </c>
      <c r="D6138" t="s">
        <v>575</v>
      </c>
      <c r="E6138" t="s">
        <v>371</v>
      </c>
      <c r="F6138" t="s">
        <v>700</v>
      </c>
      <c r="G6138">
        <v>16179000</v>
      </c>
      <c r="H6138">
        <v>16108000</v>
      </c>
    </row>
    <row r="6139" spans="2:8" x14ac:dyDescent="0.25">
      <c r="B6139" t="str">
        <f t="shared" si="95"/>
        <v>MNAPopulation ages 25-29, female</v>
      </c>
      <c r="C6139" t="s">
        <v>574</v>
      </c>
      <c r="D6139" t="s">
        <v>575</v>
      </c>
      <c r="E6139" t="s">
        <v>372</v>
      </c>
      <c r="F6139" t="s">
        <v>701</v>
      </c>
      <c r="G6139">
        <v>16302000</v>
      </c>
      <c r="H6139">
        <v>16124000</v>
      </c>
    </row>
    <row r="6140" spans="2:8" x14ac:dyDescent="0.25">
      <c r="B6140" t="str">
        <f t="shared" si="95"/>
        <v>MNAPopulation ages 25-29, male</v>
      </c>
      <c r="C6140" t="s">
        <v>574</v>
      </c>
      <c r="D6140" t="s">
        <v>575</v>
      </c>
      <c r="E6140" t="s">
        <v>373</v>
      </c>
      <c r="F6140" t="s">
        <v>702</v>
      </c>
      <c r="G6140">
        <v>16581000</v>
      </c>
      <c r="H6140">
        <v>16438000</v>
      </c>
    </row>
    <row r="6141" spans="2:8" x14ac:dyDescent="0.25">
      <c r="B6141" t="str">
        <f t="shared" si="95"/>
        <v>MNAPopulation ages 30-34, female</v>
      </c>
      <c r="C6141" t="s">
        <v>574</v>
      </c>
      <c r="D6141" t="s">
        <v>575</v>
      </c>
      <c r="E6141" t="s">
        <v>374</v>
      </c>
      <c r="F6141" t="s">
        <v>703</v>
      </c>
      <c r="G6141">
        <v>16461000</v>
      </c>
      <c r="H6141">
        <v>16538000</v>
      </c>
    </row>
    <row r="6142" spans="2:8" x14ac:dyDescent="0.25">
      <c r="B6142" t="str">
        <f t="shared" si="95"/>
        <v>MNAPopulation ages 30-34, male</v>
      </c>
      <c r="C6142" t="s">
        <v>574</v>
      </c>
      <c r="D6142" t="s">
        <v>575</v>
      </c>
      <c r="E6142" t="s">
        <v>375</v>
      </c>
      <c r="F6142" t="s">
        <v>704</v>
      </c>
      <c r="G6142">
        <v>16523000</v>
      </c>
      <c r="H6142">
        <v>16610000</v>
      </c>
    </row>
    <row r="6143" spans="2:8" x14ac:dyDescent="0.25">
      <c r="B6143" t="str">
        <f t="shared" si="95"/>
        <v>MNAPopulation ages 35-39, female</v>
      </c>
      <c r="C6143" t="s">
        <v>574</v>
      </c>
      <c r="D6143" t="s">
        <v>575</v>
      </c>
      <c r="E6143" t="s">
        <v>376</v>
      </c>
      <c r="F6143" t="s">
        <v>705</v>
      </c>
      <c r="G6143">
        <v>14811000</v>
      </c>
      <c r="H6143">
        <v>15241000</v>
      </c>
    </row>
    <row r="6144" spans="2:8" x14ac:dyDescent="0.25">
      <c r="B6144" t="str">
        <f t="shared" si="95"/>
        <v>MNAPopulation ages 35-39, male</v>
      </c>
      <c r="C6144" t="s">
        <v>574</v>
      </c>
      <c r="D6144" t="s">
        <v>575</v>
      </c>
      <c r="E6144" t="s">
        <v>377</v>
      </c>
      <c r="F6144" t="s">
        <v>706</v>
      </c>
      <c r="G6144">
        <v>14837000</v>
      </c>
      <c r="H6144">
        <v>15249000</v>
      </c>
    </row>
    <row r="6145" spans="2:8" x14ac:dyDescent="0.25">
      <c r="B6145" t="str">
        <f t="shared" si="95"/>
        <v>MNAPopulation ages 40-44, female</v>
      </c>
      <c r="C6145" t="s">
        <v>574</v>
      </c>
      <c r="D6145" t="s">
        <v>575</v>
      </c>
      <c r="E6145" t="s">
        <v>378</v>
      </c>
      <c r="F6145" t="s">
        <v>707</v>
      </c>
      <c r="G6145">
        <v>12138000</v>
      </c>
      <c r="H6145">
        <v>12627000</v>
      </c>
    </row>
    <row r="6146" spans="2:8" x14ac:dyDescent="0.25">
      <c r="B6146" t="str">
        <f t="shared" si="95"/>
        <v>MNAPopulation ages 40-44, male</v>
      </c>
      <c r="C6146" t="s">
        <v>574</v>
      </c>
      <c r="D6146" t="s">
        <v>575</v>
      </c>
      <c r="E6146" t="s">
        <v>379</v>
      </c>
      <c r="F6146" t="s">
        <v>708</v>
      </c>
      <c r="G6146">
        <v>12155000</v>
      </c>
      <c r="H6146">
        <v>12655000</v>
      </c>
    </row>
    <row r="6147" spans="2:8" x14ac:dyDescent="0.25">
      <c r="B6147" t="str">
        <f t="shared" si="95"/>
        <v>MNAPopulation ages 45-49, female</v>
      </c>
      <c r="C6147" t="s">
        <v>574</v>
      </c>
      <c r="D6147" t="s">
        <v>575</v>
      </c>
      <c r="E6147" t="s">
        <v>380</v>
      </c>
      <c r="F6147" t="s">
        <v>709</v>
      </c>
      <c r="G6147">
        <v>10081000</v>
      </c>
      <c r="H6147">
        <v>10380000</v>
      </c>
    </row>
    <row r="6148" spans="2:8" x14ac:dyDescent="0.25">
      <c r="B6148" t="str">
        <f t="shared" si="95"/>
        <v>MNAPopulation ages 45-49, male</v>
      </c>
      <c r="C6148" t="s">
        <v>574</v>
      </c>
      <c r="D6148" t="s">
        <v>575</v>
      </c>
      <c r="E6148" t="s">
        <v>381</v>
      </c>
      <c r="F6148" t="s">
        <v>710</v>
      </c>
      <c r="G6148">
        <v>9920000</v>
      </c>
      <c r="H6148">
        <v>10237000</v>
      </c>
    </row>
    <row r="6149" spans="2:8" x14ac:dyDescent="0.25">
      <c r="B6149" t="str">
        <f t="shared" si="95"/>
        <v>MNAPopulation ages 50-54, female</v>
      </c>
      <c r="C6149" t="s">
        <v>574</v>
      </c>
      <c r="D6149" t="s">
        <v>575</v>
      </c>
      <c r="E6149" t="s">
        <v>382</v>
      </c>
      <c r="F6149" t="s">
        <v>711</v>
      </c>
      <c r="G6149">
        <v>8763000</v>
      </c>
      <c r="H6149">
        <v>9021000</v>
      </c>
    </row>
    <row r="6150" spans="2:8" x14ac:dyDescent="0.25">
      <c r="B6150" t="str">
        <f t="shared" si="95"/>
        <v>MNAPopulation ages 50-54, male</v>
      </c>
      <c r="C6150" t="s">
        <v>574</v>
      </c>
      <c r="D6150" t="s">
        <v>575</v>
      </c>
      <c r="E6150" t="s">
        <v>383</v>
      </c>
      <c r="F6150" t="s">
        <v>712</v>
      </c>
      <c r="G6150">
        <v>8551000</v>
      </c>
      <c r="H6150">
        <v>8785000</v>
      </c>
    </row>
    <row r="6151" spans="2:8" x14ac:dyDescent="0.25">
      <c r="B6151" t="str">
        <f t="shared" ref="B6151:B6214" si="96">CONCATENATE(D6151,E6151)</f>
        <v>MNAPopulation ages 55-59, male</v>
      </c>
      <c r="C6151" t="s">
        <v>574</v>
      </c>
      <c r="D6151" t="s">
        <v>575</v>
      </c>
      <c r="E6151" t="s">
        <v>385</v>
      </c>
      <c r="F6151" t="s">
        <v>713</v>
      </c>
      <c r="G6151">
        <v>7077000</v>
      </c>
      <c r="H6151">
        <v>7296000</v>
      </c>
    </row>
    <row r="6152" spans="2:8" x14ac:dyDescent="0.25">
      <c r="B6152" t="str">
        <f t="shared" si="96"/>
        <v>MNAPopulation ages 55-59, female</v>
      </c>
      <c r="C6152" t="s">
        <v>574</v>
      </c>
      <c r="D6152" t="s">
        <v>575</v>
      </c>
      <c r="E6152" t="s">
        <v>384</v>
      </c>
      <c r="F6152" t="s">
        <v>714</v>
      </c>
      <c r="G6152">
        <v>7200000</v>
      </c>
      <c r="H6152">
        <v>7450000</v>
      </c>
    </row>
    <row r="6153" spans="2:8" x14ac:dyDescent="0.25">
      <c r="B6153" t="str">
        <f t="shared" si="96"/>
        <v>MNAPopulation ages 65-69, male</v>
      </c>
      <c r="C6153" t="s">
        <v>574</v>
      </c>
      <c r="D6153" t="s">
        <v>575</v>
      </c>
      <c r="E6153" t="s">
        <v>389</v>
      </c>
      <c r="F6153" t="s">
        <v>715</v>
      </c>
      <c r="G6153">
        <v>4192500</v>
      </c>
      <c r="H6153">
        <v>4416800</v>
      </c>
    </row>
    <row r="6154" spans="2:8" x14ac:dyDescent="0.25">
      <c r="B6154" t="str">
        <f t="shared" si="96"/>
        <v>MNAPopulation ages 65-69, female</v>
      </c>
      <c r="C6154" t="s">
        <v>574</v>
      </c>
      <c r="D6154" t="s">
        <v>575</v>
      </c>
      <c r="E6154" t="s">
        <v>388</v>
      </c>
      <c r="F6154" t="s">
        <v>716</v>
      </c>
      <c r="G6154">
        <v>4405900</v>
      </c>
      <c r="H6154">
        <v>4642200</v>
      </c>
    </row>
    <row r="6155" spans="2:8" x14ac:dyDescent="0.25">
      <c r="B6155" t="str">
        <f t="shared" si="96"/>
        <v>MNAPopulation ages 60-64, female</v>
      </c>
      <c r="C6155" t="s">
        <v>574</v>
      </c>
      <c r="D6155" t="s">
        <v>575</v>
      </c>
      <c r="E6155" t="s">
        <v>386</v>
      </c>
      <c r="F6155" t="s">
        <v>717</v>
      </c>
      <c r="G6155">
        <v>5847000</v>
      </c>
      <c r="H6155">
        <v>6071000</v>
      </c>
    </row>
    <row r="6156" spans="2:8" x14ac:dyDescent="0.25">
      <c r="B6156" t="str">
        <f t="shared" si="96"/>
        <v>MNAPopulation ages 60-64, male</v>
      </c>
      <c r="C6156" t="s">
        <v>574</v>
      </c>
      <c r="D6156" t="s">
        <v>575</v>
      </c>
      <c r="E6156" t="s">
        <v>387</v>
      </c>
      <c r="F6156" t="s">
        <v>718</v>
      </c>
      <c r="G6156">
        <v>5694000</v>
      </c>
      <c r="H6156">
        <v>5898000</v>
      </c>
    </row>
    <row r="6157" spans="2:8" x14ac:dyDescent="0.25">
      <c r="B6157" t="str">
        <f t="shared" si="96"/>
        <v>MNAPopulation ages 70-74, female</v>
      </c>
      <c r="C6157" t="s">
        <v>574</v>
      </c>
      <c r="D6157" t="s">
        <v>575</v>
      </c>
      <c r="E6157" t="s">
        <v>390</v>
      </c>
      <c r="F6157" t="s">
        <v>719</v>
      </c>
      <c r="G6157">
        <v>2950900</v>
      </c>
      <c r="H6157">
        <v>3122100</v>
      </c>
    </row>
    <row r="6158" spans="2:8" x14ac:dyDescent="0.25">
      <c r="B6158" t="str">
        <f t="shared" si="96"/>
        <v>MNAPopulation ages 70-74, male</v>
      </c>
      <c r="C6158" t="s">
        <v>574</v>
      </c>
      <c r="D6158" t="s">
        <v>575</v>
      </c>
      <c r="E6158" t="s">
        <v>391</v>
      </c>
      <c r="F6158" t="s">
        <v>720</v>
      </c>
      <c r="G6158">
        <v>2677600</v>
      </c>
      <c r="H6158">
        <v>2830800</v>
      </c>
    </row>
    <row r="6159" spans="2:8" x14ac:dyDescent="0.25">
      <c r="B6159" t="str">
        <f t="shared" si="96"/>
        <v>MNAPopulation ages 75-79, female</v>
      </c>
      <c r="C6159" t="s">
        <v>574</v>
      </c>
      <c r="D6159" t="s">
        <v>575</v>
      </c>
      <c r="E6159" t="s">
        <v>392</v>
      </c>
      <c r="F6159" t="s">
        <v>721</v>
      </c>
      <c r="G6159">
        <v>1956200</v>
      </c>
      <c r="H6159">
        <v>2023400</v>
      </c>
    </row>
    <row r="6160" spans="2:8" x14ac:dyDescent="0.25">
      <c r="B6160" t="str">
        <f t="shared" si="96"/>
        <v>MNAPopulation ages 75-79, male</v>
      </c>
      <c r="C6160" t="s">
        <v>574</v>
      </c>
      <c r="D6160" t="s">
        <v>575</v>
      </c>
      <c r="E6160" t="s">
        <v>393</v>
      </c>
      <c r="F6160" t="s">
        <v>722</v>
      </c>
      <c r="G6160">
        <v>1690800</v>
      </c>
      <c r="H6160">
        <v>1739000</v>
      </c>
    </row>
    <row r="6161" spans="2:8" x14ac:dyDescent="0.25">
      <c r="B6161" t="str">
        <f t="shared" si="96"/>
        <v>MNAPopulation ages 80 and above, female</v>
      </c>
      <c r="C6161" t="s">
        <v>574</v>
      </c>
      <c r="D6161" t="s">
        <v>575</v>
      </c>
      <c r="E6161" t="s">
        <v>394</v>
      </c>
      <c r="F6161" t="s">
        <v>723</v>
      </c>
      <c r="G6161">
        <v>1958300</v>
      </c>
      <c r="H6161">
        <v>1975400</v>
      </c>
    </row>
    <row r="6162" spans="2:8" x14ac:dyDescent="0.25">
      <c r="B6162" t="str">
        <f t="shared" si="96"/>
        <v>MNAPopulation ages 80 and above, male</v>
      </c>
      <c r="C6162" t="s">
        <v>574</v>
      </c>
      <c r="D6162" t="s">
        <v>575</v>
      </c>
      <c r="E6162" t="s">
        <v>395</v>
      </c>
      <c r="F6162" t="s">
        <v>724</v>
      </c>
      <c r="G6162">
        <v>1598100</v>
      </c>
      <c r="H6162">
        <v>1577400</v>
      </c>
    </row>
    <row r="6163" spans="2:8" x14ac:dyDescent="0.25">
      <c r="B6163" t="str">
        <f t="shared" si="96"/>
        <v>MNAPopulation, male</v>
      </c>
      <c r="C6163" t="s">
        <v>574</v>
      </c>
      <c r="D6163" t="s">
        <v>575</v>
      </c>
      <c r="E6163" t="s">
        <v>397</v>
      </c>
      <c r="F6163" t="s">
        <v>725</v>
      </c>
      <c r="G6163">
        <v>196269000</v>
      </c>
      <c r="H6163">
        <v>199617000</v>
      </c>
    </row>
    <row r="6164" spans="2:8" x14ac:dyDescent="0.25">
      <c r="B6164" t="str">
        <f t="shared" si="96"/>
        <v>MNAPopulation, total</v>
      </c>
      <c r="C6164" t="s">
        <v>574</v>
      </c>
      <c r="D6164" t="s">
        <v>575</v>
      </c>
      <c r="E6164" t="s">
        <v>398</v>
      </c>
      <c r="F6164" t="s">
        <v>726</v>
      </c>
      <c r="G6164">
        <v>389463000</v>
      </c>
      <c r="H6164">
        <v>396157000</v>
      </c>
    </row>
    <row r="6165" spans="2:8" x14ac:dyDescent="0.25">
      <c r="B6165" t="str">
        <f t="shared" si="96"/>
        <v>MNAPopulation, female</v>
      </c>
      <c r="C6165" t="s">
        <v>574</v>
      </c>
      <c r="D6165" t="s">
        <v>575</v>
      </c>
      <c r="E6165" t="s">
        <v>396</v>
      </c>
      <c r="F6165" t="s">
        <v>727</v>
      </c>
      <c r="G6165">
        <v>193195000</v>
      </c>
      <c r="H6165">
        <v>196544000</v>
      </c>
    </row>
    <row r="6166" spans="2:8" x14ac:dyDescent="0.25">
      <c r="B6166" t="str">
        <f t="shared" si="96"/>
        <v>MNAPopulation growth (annual %)</v>
      </c>
      <c r="C6166" t="s">
        <v>574</v>
      </c>
      <c r="D6166" t="s">
        <v>575</v>
      </c>
      <c r="E6166" t="s">
        <v>399</v>
      </c>
      <c r="F6166" t="s">
        <v>728</v>
      </c>
      <c r="G6166">
        <v>1.7148971883971456</v>
      </c>
      <c r="H6166">
        <v>1.7187768799603589</v>
      </c>
    </row>
    <row r="6167" spans="2:8" x14ac:dyDescent="0.25">
      <c r="B6167" t="str">
        <f t="shared" si="96"/>
        <v>TMNPopulation ages 0-14, female</v>
      </c>
      <c r="C6167" t="s">
        <v>576</v>
      </c>
      <c r="D6167" t="s">
        <v>577</v>
      </c>
      <c r="E6167" t="s">
        <v>687</v>
      </c>
      <c r="F6167" t="s">
        <v>688</v>
      </c>
      <c r="G6167">
        <v>58066000</v>
      </c>
      <c r="H6167">
        <v>58993000</v>
      </c>
    </row>
    <row r="6168" spans="2:8" x14ac:dyDescent="0.25">
      <c r="B6168" t="str">
        <f t="shared" si="96"/>
        <v>TMNPopulation ages 0-14, male</v>
      </c>
      <c r="C6168" t="s">
        <v>576</v>
      </c>
      <c r="D6168" t="s">
        <v>577</v>
      </c>
      <c r="E6168" t="s">
        <v>689</v>
      </c>
      <c r="F6168" t="s">
        <v>690</v>
      </c>
      <c r="G6168">
        <v>61182000</v>
      </c>
      <c r="H6168">
        <v>62149000</v>
      </c>
    </row>
    <row r="6169" spans="2:8" x14ac:dyDescent="0.25">
      <c r="B6169" t="str">
        <f t="shared" si="96"/>
        <v>TMNPopulation ages 00-04, female</v>
      </c>
      <c r="C6169" t="s">
        <v>576</v>
      </c>
      <c r="D6169" t="s">
        <v>577</v>
      </c>
      <c r="E6169" t="s">
        <v>362</v>
      </c>
      <c r="F6169" t="s">
        <v>691</v>
      </c>
      <c r="G6169">
        <v>21194000</v>
      </c>
      <c r="H6169">
        <v>21180000</v>
      </c>
    </row>
    <row r="6170" spans="2:8" x14ac:dyDescent="0.25">
      <c r="B6170" t="str">
        <f t="shared" si="96"/>
        <v>TMNPopulation ages 00-04, male</v>
      </c>
      <c r="C6170" t="s">
        <v>576</v>
      </c>
      <c r="D6170" t="s">
        <v>577</v>
      </c>
      <c r="E6170" t="s">
        <v>363</v>
      </c>
      <c r="F6170" t="s">
        <v>692</v>
      </c>
      <c r="G6170">
        <v>22318000</v>
      </c>
      <c r="H6170">
        <v>22288000</v>
      </c>
    </row>
    <row r="6171" spans="2:8" x14ac:dyDescent="0.25">
      <c r="B6171" t="str">
        <f t="shared" si="96"/>
        <v>TMNPopulation ages 05-09, female</v>
      </c>
      <c r="C6171" t="s">
        <v>576</v>
      </c>
      <c r="D6171" t="s">
        <v>577</v>
      </c>
      <c r="E6171" t="s">
        <v>364</v>
      </c>
      <c r="F6171" t="s">
        <v>693</v>
      </c>
      <c r="G6171">
        <v>19811000</v>
      </c>
      <c r="H6171">
        <v>20288000</v>
      </c>
    </row>
    <row r="6172" spans="2:8" x14ac:dyDescent="0.25">
      <c r="B6172" t="str">
        <f t="shared" si="96"/>
        <v>TMNPopulation ages 05-09, male</v>
      </c>
      <c r="C6172" t="s">
        <v>576</v>
      </c>
      <c r="D6172" t="s">
        <v>577</v>
      </c>
      <c r="E6172" t="s">
        <v>365</v>
      </c>
      <c r="F6172" t="s">
        <v>694</v>
      </c>
      <c r="G6172">
        <v>20903000</v>
      </c>
      <c r="H6172">
        <v>21414000</v>
      </c>
    </row>
    <row r="6173" spans="2:8" x14ac:dyDescent="0.25">
      <c r="B6173" t="str">
        <f t="shared" si="96"/>
        <v>TMNPopulation ages 10-14, female</v>
      </c>
      <c r="C6173" t="s">
        <v>576</v>
      </c>
      <c r="D6173" t="s">
        <v>577</v>
      </c>
      <c r="E6173" t="s">
        <v>366</v>
      </c>
      <c r="F6173" t="s">
        <v>695</v>
      </c>
      <c r="G6173">
        <v>17062000</v>
      </c>
      <c r="H6173">
        <v>17523000</v>
      </c>
    </row>
    <row r="6174" spans="2:8" x14ac:dyDescent="0.25">
      <c r="B6174" t="str">
        <f t="shared" si="96"/>
        <v>TMNPopulation ages 10-14, male</v>
      </c>
      <c r="C6174" t="s">
        <v>576</v>
      </c>
      <c r="D6174" t="s">
        <v>577</v>
      </c>
      <c r="E6174" t="s">
        <v>367</v>
      </c>
      <c r="F6174" t="s">
        <v>696</v>
      </c>
      <c r="G6174">
        <v>17956000</v>
      </c>
      <c r="H6174">
        <v>18450000</v>
      </c>
    </row>
    <row r="6175" spans="2:8" x14ac:dyDescent="0.25">
      <c r="B6175" t="str">
        <f t="shared" si="96"/>
        <v>TMNPopulation ages 15-19, female</v>
      </c>
      <c r="C6175" t="s">
        <v>576</v>
      </c>
      <c r="D6175" t="s">
        <v>577</v>
      </c>
      <c r="E6175" t="s">
        <v>368</v>
      </c>
      <c r="F6175" t="s">
        <v>697</v>
      </c>
      <c r="G6175">
        <v>15502000</v>
      </c>
      <c r="H6175">
        <v>15664000</v>
      </c>
    </row>
    <row r="6176" spans="2:8" x14ac:dyDescent="0.25">
      <c r="B6176" t="str">
        <f t="shared" si="96"/>
        <v>TMNPopulation ages 15-19, male</v>
      </c>
      <c r="C6176" t="s">
        <v>576</v>
      </c>
      <c r="D6176" t="s">
        <v>577</v>
      </c>
      <c r="E6176" t="s">
        <v>369</v>
      </c>
      <c r="F6176" t="s">
        <v>698</v>
      </c>
      <c r="G6176">
        <v>16244000</v>
      </c>
      <c r="H6176">
        <v>16433000</v>
      </c>
    </row>
    <row r="6177" spans="2:8" x14ac:dyDescent="0.25">
      <c r="B6177" t="str">
        <f t="shared" si="96"/>
        <v>TMNPopulation ages 20-24, female</v>
      </c>
      <c r="C6177" t="s">
        <v>576</v>
      </c>
      <c r="D6177" t="s">
        <v>577</v>
      </c>
      <c r="E6177" t="s">
        <v>370</v>
      </c>
      <c r="F6177" t="s">
        <v>699</v>
      </c>
      <c r="G6177">
        <v>15397000</v>
      </c>
      <c r="H6177">
        <v>15291000</v>
      </c>
    </row>
    <row r="6178" spans="2:8" x14ac:dyDescent="0.25">
      <c r="B6178" t="str">
        <f t="shared" si="96"/>
        <v>TMNPopulation ages 20-24, male</v>
      </c>
      <c r="C6178" t="s">
        <v>576</v>
      </c>
      <c r="D6178" t="s">
        <v>577</v>
      </c>
      <c r="E6178" t="s">
        <v>371</v>
      </c>
      <c r="F6178" t="s">
        <v>700</v>
      </c>
      <c r="G6178">
        <v>15941000</v>
      </c>
      <c r="H6178">
        <v>15869000</v>
      </c>
    </row>
    <row r="6179" spans="2:8" x14ac:dyDescent="0.25">
      <c r="B6179" t="str">
        <f t="shared" si="96"/>
        <v>TMNPopulation ages 25-29, female</v>
      </c>
      <c r="C6179" t="s">
        <v>576</v>
      </c>
      <c r="D6179" t="s">
        <v>577</v>
      </c>
      <c r="E6179" t="s">
        <v>372</v>
      </c>
      <c r="F6179" t="s">
        <v>701</v>
      </c>
      <c r="G6179">
        <v>16093000</v>
      </c>
      <c r="H6179">
        <v>15908000</v>
      </c>
    </row>
    <row r="6180" spans="2:8" x14ac:dyDescent="0.25">
      <c r="B6180" t="str">
        <f t="shared" si="96"/>
        <v>TMNPopulation ages 25-29, male</v>
      </c>
      <c r="C6180" t="s">
        <v>576</v>
      </c>
      <c r="D6180" t="s">
        <v>577</v>
      </c>
      <c r="E6180" t="s">
        <v>373</v>
      </c>
      <c r="F6180" t="s">
        <v>702</v>
      </c>
      <c r="G6180">
        <v>16364000</v>
      </c>
      <c r="H6180">
        <v>16214000</v>
      </c>
    </row>
    <row r="6181" spans="2:8" x14ac:dyDescent="0.25">
      <c r="B6181" t="str">
        <f t="shared" si="96"/>
        <v>TMNPopulation ages 30-34, female</v>
      </c>
      <c r="C6181" t="s">
        <v>576</v>
      </c>
      <c r="D6181" t="s">
        <v>577</v>
      </c>
      <c r="E6181" t="s">
        <v>374</v>
      </c>
      <c r="F6181" t="s">
        <v>703</v>
      </c>
      <c r="G6181">
        <v>16298000</v>
      </c>
      <c r="H6181">
        <v>16367000</v>
      </c>
    </row>
    <row r="6182" spans="2:8" x14ac:dyDescent="0.25">
      <c r="B6182" t="str">
        <f t="shared" si="96"/>
        <v>TMNPopulation ages 30-34, male</v>
      </c>
      <c r="C6182" t="s">
        <v>576</v>
      </c>
      <c r="D6182" t="s">
        <v>577</v>
      </c>
      <c r="E6182" t="s">
        <v>375</v>
      </c>
      <c r="F6182" t="s">
        <v>704</v>
      </c>
      <c r="G6182">
        <v>16354000</v>
      </c>
      <c r="H6182">
        <v>16432000</v>
      </c>
    </row>
    <row r="6183" spans="2:8" x14ac:dyDescent="0.25">
      <c r="B6183" t="str">
        <f t="shared" si="96"/>
        <v>TMNPopulation ages 35-39, female</v>
      </c>
      <c r="C6183" t="s">
        <v>576</v>
      </c>
      <c r="D6183" t="s">
        <v>577</v>
      </c>
      <c r="E6183" t="s">
        <v>376</v>
      </c>
      <c r="F6183" t="s">
        <v>705</v>
      </c>
      <c r="G6183">
        <v>14680000</v>
      </c>
      <c r="H6183">
        <v>15104000</v>
      </c>
    </row>
    <row r="6184" spans="2:8" x14ac:dyDescent="0.25">
      <c r="B6184" t="str">
        <f t="shared" si="96"/>
        <v>TMNPopulation ages 35-39, male</v>
      </c>
      <c r="C6184" t="s">
        <v>576</v>
      </c>
      <c r="D6184" t="s">
        <v>577</v>
      </c>
      <c r="E6184" t="s">
        <v>377</v>
      </c>
      <c r="F6184" t="s">
        <v>706</v>
      </c>
      <c r="G6184">
        <v>14701000</v>
      </c>
      <c r="H6184">
        <v>15108000</v>
      </c>
    </row>
    <row r="6185" spans="2:8" x14ac:dyDescent="0.25">
      <c r="B6185" t="str">
        <f t="shared" si="96"/>
        <v>TMNPopulation ages 40-44, female</v>
      </c>
      <c r="C6185" t="s">
        <v>576</v>
      </c>
      <c r="D6185" t="s">
        <v>577</v>
      </c>
      <c r="E6185" t="s">
        <v>378</v>
      </c>
      <c r="F6185" t="s">
        <v>707</v>
      </c>
      <c r="G6185">
        <v>12027000</v>
      </c>
      <c r="H6185">
        <v>12512000</v>
      </c>
    </row>
    <row r="6186" spans="2:8" x14ac:dyDescent="0.25">
      <c r="B6186" t="str">
        <f t="shared" si="96"/>
        <v>TMNPopulation ages 40-44, male</v>
      </c>
      <c r="C6186" t="s">
        <v>576</v>
      </c>
      <c r="D6186" t="s">
        <v>577</v>
      </c>
      <c r="E6186" t="s">
        <v>379</v>
      </c>
      <c r="F6186" t="s">
        <v>708</v>
      </c>
      <c r="G6186">
        <v>12041000</v>
      </c>
      <c r="H6186">
        <v>12537000</v>
      </c>
    </row>
    <row r="6187" spans="2:8" x14ac:dyDescent="0.25">
      <c r="B6187" t="str">
        <f t="shared" si="96"/>
        <v>TMNPopulation ages 45-49, female</v>
      </c>
      <c r="C6187" t="s">
        <v>576</v>
      </c>
      <c r="D6187" t="s">
        <v>577</v>
      </c>
      <c r="E6187" t="s">
        <v>380</v>
      </c>
      <c r="F6187" t="s">
        <v>709</v>
      </c>
      <c r="G6187">
        <v>9990000</v>
      </c>
      <c r="H6187">
        <v>10286000</v>
      </c>
    </row>
    <row r="6188" spans="2:8" x14ac:dyDescent="0.25">
      <c r="B6188" t="str">
        <f t="shared" si="96"/>
        <v>TMNPopulation ages 45-49, male</v>
      </c>
      <c r="C6188" t="s">
        <v>576</v>
      </c>
      <c r="D6188" t="s">
        <v>577</v>
      </c>
      <c r="E6188" t="s">
        <v>381</v>
      </c>
      <c r="F6188" t="s">
        <v>710</v>
      </c>
      <c r="G6188">
        <v>9828000</v>
      </c>
      <c r="H6188">
        <v>10141000</v>
      </c>
    </row>
    <row r="6189" spans="2:8" x14ac:dyDescent="0.25">
      <c r="B6189" t="str">
        <f t="shared" si="96"/>
        <v>TMNPopulation ages 50-54, female</v>
      </c>
      <c r="C6189" t="s">
        <v>576</v>
      </c>
      <c r="D6189" t="s">
        <v>577</v>
      </c>
      <c r="E6189" t="s">
        <v>382</v>
      </c>
      <c r="F6189" t="s">
        <v>711</v>
      </c>
      <c r="G6189">
        <v>8687000</v>
      </c>
      <c r="H6189">
        <v>8943000</v>
      </c>
    </row>
    <row r="6190" spans="2:8" x14ac:dyDescent="0.25">
      <c r="B6190" t="str">
        <f t="shared" si="96"/>
        <v>TMNPopulation ages 50-54, male</v>
      </c>
      <c r="C6190" t="s">
        <v>576</v>
      </c>
      <c r="D6190" t="s">
        <v>577</v>
      </c>
      <c r="E6190" t="s">
        <v>383</v>
      </c>
      <c r="F6190" t="s">
        <v>712</v>
      </c>
      <c r="G6190">
        <v>8475000</v>
      </c>
      <c r="H6190">
        <v>8706000</v>
      </c>
    </row>
    <row r="6191" spans="2:8" x14ac:dyDescent="0.25">
      <c r="B6191" t="str">
        <f t="shared" si="96"/>
        <v>TMNPopulation ages 55-59, male</v>
      </c>
      <c r="C6191" t="s">
        <v>576</v>
      </c>
      <c r="D6191" t="s">
        <v>577</v>
      </c>
      <c r="E6191" t="s">
        <v>385</v>
      </c>
      <c r="F6191" t="s">
        <v>713</v>
      </c>
      <c r="G6191">
        <v>7020000</v>
      </c>
      <c r="H6191">
        <v>7235000</v>
      </c>
    </row>
    <row r="6192" spans="2:8" x14ac:dyDescent="0.25">
      <c r="B6192" t="str">
        <f t="shared" si="96"/>
        <v>TMNPopulation ages 55-59, female</v>
      </c>
      <c r="C6192" t="s">
        <v>576</v>
      </c>
      <c r="D6192" t="s">
        <v>577</v>
      </c>
      <c r="E6192" t="s">
        <v>384</v>
      </c>
      <c r="F6192" t="s">
        <v>714</v>
      </c>
      <c r="G6192">
        <v>7142000</v>
      </c>
      <c r="H6192">
        <v>7388000</v>
      </c>
    </row>
    <row r="6193" spans="2:8" x14ac:dyDescent="0.25">
      <c r="B6193" t="str">
        <f t="shared" si="96"/>
        <v>TMNPopulation ages 65-69, male</v>
      </c>
      <c r="C6193" t="s">
        <v>576</v>
      </c>
      <c r="D6193" t="s">
        <v>577</v>
      </c>
      <c r="E6193" t="s">
        <v>389</v>
      </c>
      <c r="F6193" t="s">
        <v>715</v>
      </c>
      <c r="G6193">
        <v>4164500</v>
      </c>
      <c r="H6193">
        <v>4388800</v>
      </c>
    </row>
    <row r="6194" spans="2:8" x14ac:dyDescent="0.25">
      <c r="B6194" t="str">
        <f t="shared" si="96"/>
        <v>TMNPopulation ages 65-69, female</v>
      </c>
      <c r="C6194" t="s">
        <v>576</v>
      </c>
      <c r="D6194" t="s">
        <v>577</v>
      </c>
      <c r="E6194" t="s">
        <v>388</v>
      </c>
      <c r="F6194" t="s">
        <v>716</v>
      </c>
      <c r="G6194">
        <v>4374900</v>
      </c>
      <c r="H6194">
        <v>4610200</v>
      </c>
    </row>
    <row r="6195" spans="2:8" x14ac:dyDescent="0.25">
      <c r="B6195" t="str">
        <f t="shared" si="96"/>
        <v>TMNPopulation ages 60-64, female</v>
      </c>
      <c r="C6195" t="s">
        <v>576</v>
      </c>
      <c r="D6195" t="s">
        <v>577</v>
      </c>
      <c r="E6195" t="s">
        <v>386</v>
      </c>
      <c r="F6195" t="s">
        <v>717</v>
      </c>
      <c r="G6195">
        <v>5807000</v>
      </c>
      <c r="H6195">
        <v>6028000</v>
      </c>
    </row>
    <row r="6196" spans="2:8" x14ac:dyDescent="0.25">
      <c r="B6196" t="str">
        <f t="shared" si="96"/>
        <v>TMNPopulation ages 60-64, male</v>
      </c>
      <c r="C6196" t="s">
        <v>576</v>
      </c>
      <c r="D6196" t="s">
        <v>577</v>
      </c>
      <c r="E6196" t="s">
        <v>387</v>
      </c>
      <c r="F6196" t="s">
        <v>718</v>
      </c>
      <c r="G6196">
        <v>5656000</v>
      </c>
      <c r="H6196">
        <v>5858000</v>
      </c>
    </row>
    <row r="6197" spans="2:8" x14ac:dyDescent="0.25">
      <c r="B6197" t="str">
        <f t="shared" si="96"/>
        <v>TMNPopulation ages 70-74, female</v>
      </c>
      <c r="C6197" t="s">
        <v>576</v>
      </c>
      <c r="D6197" t="s">
        <v>577</v>
      </c>
      <c r="E6197" t="s">
        <v>390</v>
      </c>
      <c r="F6197" t="s">
        <v>719</v>
      </c>
      <c r="G6197">
        <v>2928900</v>
      </c>
      <c r="H6197">
        <v>3099100</v>
      </c>
    </row>
    <row r="6198" spans="2:8" x14ac:dyDescent="0.25">
      <c r="B6198" t="str">
        <f t="shared" si="96"/>
        <v>TMNPopulation ages 70-74, male</v>
      </c>
      <c r="C6198" t="s">
        <v>576</v>
      </c>
      <c r="D6198" t="s">
        <v>577</v>
      </c>
      <c r="E6198" t="s">
        <v>391</v>
      </c>
      <c r="F6198" t="s">
        <v>720</v>
      </c>
      <c r="G6198">
        <v>2655600</v>
      </c>
      <c r="H6198">
        <v>2807800</v>
      </c>
    </row>
    <row r="6199" spans="2:8" x14ac:dyDescent="0.25">
      <c r="B6199" t="str">
        <f t="shared" si="96"/>
        <v>TMNPopulation ages 75-79, female</v>
      </c>
      <c r="C6199" t="s">
        <v>576</v>
      </c>
      <c r="D6199" t="s">
        <v>577</v>
      </c>
      <c r="E6199" t="s">
        <v>392</v>
      </c>
      <c r="F6199" t="s">
        <v>721</v>
      </c>
      <c r="G6199">
        <v>1941200</v>
      </c>
      <c r="H6199">
        <v>2008400</v>
      </c>
    </row>
    <row r="6200" spans="2:8" x14ac:dyDescent="0.25">
      <c r="B6200" t="str">
        <f t="shared" si="96"/>
        <v>TMNPopulation ages 75-79, male</v>
      </c>
      <c r="C6200" t="s">
        <v>576</v>
      </c>
      <c r="D6200" t="s">
        <v>577</v>
      </c>
      <c r="E6200" t="s">
        <v>393</v>
      </c>
      <c r="F6200" t="s">
        <v>722</v>
      </c>
      <c r="G6200">
        <v>1678800</v>
      </c>
      <c r="H6200">
        <v>1726000</v>
      </c>
    </row>
    <row r="6201" spans="2:8" x14ac:dyDescent="0.25">
      <c r="B6201" t="str">
        <f t="shared" si="96"/>
        <v>TMNPopulation ages 80 and above, female</v>
      </c>
      <c r="C6201" t="s">
        <v>576</v>
      </c>
      <c r="D6201" t="s">
        <v>577</v>
      </c>
      <c r="E6201" t="s">
        <v>394</v>
      </c>
      <c r="F6201" t="s">
        <v>723</v>
      </c>
      <c r="G6201">
        <v>1946300</v>
      </c>
      <c r="H6201">
        <v>1963400</v>
      </c>
    </row>
    <row r="6202" spans="2:8" x14ac:dyDescent="0.25">
      <c r="B6202" t="str">
        <f t="shared" si="96"/>
        <v>TMNPopulation ages 80 and above, male</v>
      </c>
      <c r="C6202" t="s">
        <v>576</v>
      </c>
      <c r="D6202" t="s">
        <v>577</v>
      </c>
      <c r="E6202" t="s">
        <v>395</v>
      </c>
      <c r="F6202" t="s">
        <v>724</v>
      </c>
      <c r="G6202">
        <v>1589700</v>
      </c>
      <c r="H6202">
        <v>1568700</v>
      </c>
    </row>
    <row r="6203" spans="2:8" x14ac:dyDescent="0.25">
      <c r="B6203" t="str">
        <f t="shared" si="96"/>
        <v>TMNPopulation, male</v>
      </c>
      <c r="C6203" t="s">
        <v>576</v>
      </c>
      <c r="D6203" t="s">
        <v>577</v>
      </c>
      <c r="E6203" t="s">
        <v>397</v>
      </c>
      <c r="F6203" t="s">
        <v>725</v>
      </c>
      <c r="G6203">
        <v>193890000</v>
      </c>
      <c r="H6203">
        <v>197176000</v>
      </c>
    </row>
    <row r="6204" spans="2:8" x14ac:dyDescent="0.25">
      <c r="B6204" t="str">
        <f t="shared" si="96"/>
        <v>TMNPopulation, total</v>
      </c>
      <c r="C6204" t="s">
        <v>576</v>
      </c>
      <c r="D6204" t="s">
        <v>577</v>
      </c>
      <c r="E6204" t="s">
        <v>398</v>
      </c>
      <c r="F6204" t="s">
        <v>726</v>
      </c>
      <c r="G6204">
        <v>384773000</v>
      </c>
      <c r="H6204">
        <v>391344000</v>
      </c>
    </row>
    <row r="6205" spans="2:8" x14ac:dyDescent="0.25">
      <c r="B6205" t="str">
        <f t="shared" si="96"/>
        <v>TMNPopulation, female</v>
      </c>
      <c r="C6205" t="s">
        <v>576</v>
      </c>
      <c r="D6205" t="s">
        <v>577</v>
      </c>
      <c r="E6205" t="s">
        <v>396</v>
      </c>
      <c r="F6205" t="s">
        <v>727</v>
      </c>
      <c r="G6205">
        <v>190883000</v>
      </c>
      <c r="H6205">
        <v>194172000</v>
      </c>
    </row>
    <row r="6206" spans="2:8" x14ac:dyDescent="0.25">
      <c r="B6206" t="str">
        <f t="shared" si="96"/>
        <v>TMNPopulation growth (annual %)</v>
      </c>
      <c r="C6206" t="s">
        <v>576</v>
      </c>
      <c r="D6206" t="s">
        <v>577</v>
      </c>
      <c r="E6206" t="s">
        <v>399</v>
      </c>
      <c r="F6206" t="s">
        <v>728</v>
      </c>
      <c r="G6206">
        <v>1.7036482463818317</v>
      </c>
      <c r="H6206">
        <v>1.707760159886476</v>
      </c>
    </row>
    <row r="6207" spans="2:8" x14ac:dyDescent="0.25">
      <c r="B6207" t="str">
        <f t="shared" si="96"/>
        <v>MICPopulation ages 0-14, female</v>
      </c>
      <c r="C6207" t="s">
        <v>578</v>
      </c>
      <c r="D6207" t="s">
        <v>579</v>
      </c>
      <c r="E6207" t="s">
        <v>687</v>
      </c>
      <c r="F6207" t="s">
        <v>688</v>
      </c>
      <c r="G6207">
        <v>705737000</v>
      </c>
      <c r="H6207">
        <v>707379000</v>
      </c>
    </row>
    <row r="6208" spans="2:8" x14ac:dyDescent="0.25">
      <c r="B6208" t="str">
        <f t="shared" si="96"/>
        <v>MICPopulation ages 0-14, male</v>
      </c>
      <c r="C6208" t="s">
        <v>578</v>
      </c>
      <c r="D6208" t="s">
        <v>579</v>
      </c>
      <c r="E6208" t="s">
        <v>689</v>
      </c>
      <c r="F6208" t="s">
        <v>690</v>
      </c>
      <c r="G6208">
        <v>761090000</v>
      </c>
      <c r="H6208">
        <v>762230000</v>
      </c>
    </row>
    <row r="6209" spans="2:8" x14ac:dyDescent="0.25">
      <c r="B6209" t="str">
        <f t="shared" si="96"/>
        <v>MICPopulation ages 00-04, female</v>
      </c>
      <c r="C6209" t="s">
        <v>578</v>
      </c>
      <c r="D6209" t="s">
        <v>579</v>
      </c>
      <c r="E6209" t="s">
        <v>362</v>
      </c>
      <c r="F6209" t="s">
        <v>691</v>
      </c>
      <c r="G6209">
        <v>240369800</v>
      </c>
      <c r="H6209">
        <v>239903800</v>
      </c>
    </row>
    <row r="6210" spans="2:8" x14ac:dyDescent="0.25">
      <c r="B6210" t="str">
        <f t="shared" si="96"/>
        <v>MICPopulation ages 00-04, male</v>
      </c>
      <c r="C6210" t="s">
        <v>578</v>
      </c>
      <c r="D6210" t="s">
        <v>579</v>
      </c>
      <c r="E6210" t="s">
        <v>363</v>
      </c>
      <c r="F6210" t="s">
        <v>692</v>
      </c>
      <c r="G6210">
        <v>258267400</v>
      </c>
      <c r="H6210">
        <v>257563400</v>
      </c>
    </row>
    <row r="6211" spans="2:8" x14ac:dyDescent="0.25">
      <c r="B6211" t="str">
        <f t="shared" si="96"/>
        <v>MICPopulation ages 05-09, female</v>
      </c>
      <c r="C6211" t="s">
        <v>578</v>
      </c>
      <c r="D6211" t="s">
        <v>579</v>
      </c>
      <c r="E6211" t="s">
        <v>364</v>
      </c>
      <c r="F6211" t="s">
        <v>693</v>
      </c>
      <c r="G6211">
        <v>236648600</v>
      </c>
      <c r="H6211">
        <v>237342500</v>
      </c>
    </row>
    <row r="6212" spans="2:8" x14ac:dyDescent="0.25">
      <c r="B6212" t="str">
        <f t="shared" si="96"/>
        <v>MICPopulation ages 05-09, male</v>
      </c>
      <c r="C6212" t="s">
        <v>578</v>
      </c>
      <c r="D6212" t="s">
        <v>579</v>
      </c>
      <c r="E6212" t="s">
        <v>365</v>
      </c>
      <c r="F6212" t="s">
        <v>694</v>
      </c>
      <c r="G6212">
        <v>255181200</v>
      </c>
      <c r="H6212">
        <v>255697400</v>
      </c>
    </row>
    <row r="6213" spans="2:8" x14ac:dyDescent="0.25">
      <c r="B6213" t="str">
        <f t="shared" si="96"/>
        <v>MICPopulation ages 10-14, female</v>
      </c>
      <c r="C6213" t="s">
        <v>578</v>
      </c>
      <c r="D6213" t="s">
        <v>579</v>
      </c>
      <c r="E6213" t="s">
        <v>366</v>
      </c>
      <c r="F6213" t="s">
        <v>695</v>
      </c>
      <c r="G6213">
        <v>228713700</v>
      </c>
      <c r="H6213">
        <v>230134900</v>
      </c>
    </row>
    <row r="6214" spans="2:8" x14ac:dyDescent="0.25">
      <c r="B6214" t="str">
        <f t="shared" si="96"/>
        <v>MICPopulation ages 10-14, male</v>
      </c>
      <c r="C6214" t="s">
        <v>578</v>
      </c>
      <c r="D6214" t="s">
        <v>579</v>
      </c>
      <c r="E6214" t="s">
        <v>367</v>
      </c>
      <c r="F6214" t="s">
        <v>696</v>
      </c>
      <c r="G6214">
        <v>247636200</v>
      </c>
      <c r="H6214">
        <v>248971400</v>
      </c>
    </row>
    <row r="6215" spans="2:8" x14ac:dyDescent="0.25">
      <c r="B6215" t="str">
        <f t="shared" ref="B6215:B6278" si="97">CONCATENATE(D6215,E6215)</f>
        <v>MICPopulation ages 15-19, female</v>
      </c>
      <c r="C6215" t="s">
        <v>578</v>
      </c>
      <c r="D6215" t="s">
        <v>579</v>
      </c>
      <c r="E6215" t="s">
        <v>368</v>
      </c>
      <c r="F6215" t="s">
        <v>697</v>
      </c>
      <c r="G6215">
        <v>220962000</v>
      </c>
      <c r="H6215">
        <v>221690100</v>
      </c>
    </row>
    <row r="6216" spans="2:8" x14ac:dyDescent="0.25">
      <c r="B6216" t="str">
        <f t="shared" si="97"/>
        <v>MICPopulation ages 15-19, male</v>
      </c>
      <c r="C6216" t="s">
        <v>578</v>
      </c>
      <c r="D6216" t="s">
        <v>579</v>
      </c>
      <c r="E6216" t="s">
        <v>369</v>
      </c>
      <c r="F6216" t="s">
        <v>698</v>
      </c>
      <c r="G6216">
        <v>239311400</v>
      </c>
      <c r="H6216">
        <v>240236100</v>
      </c>
    </row>
    <row r="6217" spans="2:8" x14ac:dyDescent="0.25">
      <c r="B6217" t="str">
        <f t="shared" si="97"/>
        <v>MICPopulation ages 20-24, female</v>
      </c>
      <c r="C6217" t="s">
        <v>578</v>
      </c>
      <c r="D6217" t="s">
        <v>579</v>
      </c>
      <c r="E6217" t="s">
        <v>370</v>
      </c>
      <c r="F6217" t="s">
        <v>699</v>
      </c>
      <c r="G6217">
        <v>218345500</v>
      </c>
      <c r="H6217">
        <v>218078500</v>
      </c>
    </row>
    <row r="6218" spans="2:8" x14ac:dyDescent="0.25">
      <c r="B6218" t="str">
        <f t="shared" si="97"/>
        <v>MICPopulation ages 20-24, male</v>
      </c>
      <c r="C6218" t="s">
        <v>578</v>
      </c>
      <c r="D6218" t="s">
        <v>579</v>
      </c>
      <c r="E6218" t="s">
        <v>371</v>
      </c>
      <c r="F6218" t="s">
        <v>700</v>
      </c>
      <c r="G6218">
        <v>234619800</v>
      </c>
      <c r="H6218">
        <v>234622800</v>
      </c>
    </row>
    <row r="6219" spans="2:8" x14ac:dyDescent="0.25">
      <c r="B6219" t="str">
        <f t="shared" si="97"/>
        <v>MICPopulation ages 25-29, female</v>
      </c>
      <c r="C6219" t="s">
        <v>578</v>
      </c>
      <c r="D6219" t="s">
        <v>579</v>
      </c>
      <c r="E6219" t="s">
        <v>372</v>
      </c>
      <c r="F6219" t="s">
        <v>701</v>
      </c>
      <c r="G6219">
        <v>222268600</v>
      </c>
      <c r="H6219">
        <v>219390200</v>
      </c>
    </row>
    <row r="6220" spans="2:8" x14ac:dyDescent="0.25">
      <c r="B6220" t="str">
        <f t="shared" si="97"/>
        <v>MICPopulation ages 25-29, male</v>
      </c>
      <c r="C6220" t="s">
        <v>578</v>
      </c>
      <c r="D6220" t="s">
        <v>579</v>
      </c>
      <c r="E6220" t="s">
        <v>373</v>
      </c>
      <c r="F6220" t="s">
        <v>702</v>
      </c>
      <c r="G6220">
        <v>235703300</v>
      </c>
      <c r="H6220">
        <v>233333100</v>
      </c>
    </row>
    <row r="6221" spans="2:8" x14ac:dyDescent="0.25">
      <c r="B6221" t="str">
        <f t="shared" si="97"/>
        <v>MICPopulation ages 30-34, female</v>
      </c>
      <c r="C6221" t="s">
        <v>578</v>
      </c>
      <c r="D6221" t="s">
        <v>579</v>
      </c>
      <c r="E6221" t="s">
        <v>374</v>
      </c>
      <c r="F6221" t="s">
        <v>703</v>
      </c>
      <c r="G6221">
        <v>228254800</v>
      </c>
      <c r="H6221">
        <v>230027100</v>
      </c>
    </row>
    <row r="6222" spans="2:8" x14ac:dyDescent="0.25">
      <c r="B6222" t="str">
        <f t="shared" si="97"/>
        <v>MICPopulation ages 30-34, male</v>
      </c>
      <c r="C6222" t="s">
        <v>578</v>
      </c>
      <c r="D6222" t="s">
        <v>579</v>
      </c>
      <c r="E6222" t="s">
        <v>375</v>
      </c>
      <c r="F6222" t="s">
        <v>704</v>
      </c>
      <c r="G6222">
        <v>237530200</v>
      </c>
      <c r="H6222">
        <v>239866800</v>
      </c>
    </row>
    <row r="6223" spans="2:8" x14ac:dyDescent="0.25">
      <c r="B6223" t="str">
        <f t="shared" si="97"/>
        <v>MICPopulation ages 35-39, female</v>
      </c>
      <c r="C6223" t="s">
        <v>578</v>
      </c>
      <c r="D6223" t="s">
        <v>579</v>
      </c>
      <c r="E6223" t="s">
        <v>376</v>
      </c>
      <c r="F6223" t="s">
        <v>705</v>
      </c>
      <c r="G6223">
        <v>200931000</v>
      </c>
      <c r="H6223">
        <v>205486700</v>
      </c>
    </row>
    <row r="6224" spans="2:8" x14ac:dyDescent="0.25">
      <c r="B6224" t="str">
        <f t="shared" si="97"/>
        <v>MICPopulation ages 35-39, male</v>
      </c>
      <c r="C6224" t="s">
        <v>578</v>
      </c>
      <c r="D6224" t="s">
        <v>579</v>
      </c>
      <c r="E6224" t="s">
        <v>377</v>
      </c>
      <c r="F6224" t="s">
        <v>706</v>
      </c>
      <c r="G6224">
        <v>206892900</v>
      </c>
      <c r="H6224">
        <v>211853400</v>
      </c>
    </row>
    <row r="6225" spans="2:8" x14ac:dyDescent="0.25">
      <c r="B6225" t="str">
        <f t="shared" si="97"/>
        <v>MICPopulation ages 40-44, female</v>
      </c>
      <c r="C6225" t="s">
        <v>578</v>
      </c>
      <c r="D6225" t="s">
        <v>579</v>
      </c>
      <c r="E6225" t="s">
        <v>378</v>
      </c>
      <c r="F6225" t="s">
        <v>707</v>
      </c>
      <c r="G6225">
        <v>184550000</v>
      </c>
      <c r="H6225">
        <v>185753900</v>
      </c>
    </row>
    <row r="6226" spans="2:8" x14ac:dyDescent="0.25">
      <c r="B6226" t="str">
        <f t="shared" si="97"/>
        <v>MICPopulation ages 40-44, male</v>
      </c>
      <c r="C6226" t="s">
        <v>578</v>
      </c>
      <c r="D6226" t="s">
        <v>579</v>
      </c>
      <c r="E6226" t="s">
        <v>379</v>
      </c>
      <c r="F6226" t="s">
        <v>708</v>
      </c>
      <c r="G6226">
        <v>187982900</v>
      </c>
      <c r="H6226">
        <v>189331700</v>
      </c>
    </row>
    <row r="6227" spans="2:8" x14ac:dyDescent="0.25">
      <c r="B6227" t="str">
        <f t="shared" si="97"/>
        <v>MICPopulation ages 45-49, female</v>
      </c>
      <c r="C6227" t="s">
        <v>578</v>
      </c>
      <c r="D6227" t="s">
        <v>579</v>
      </c>
      <c r="E6227" t="s">
        <v>380</v>
      </c>
      <c r="F6227" t="s">
        <v>709</v>
      </c>
      <c r="G6227">
        <v>180536400</v>
      </c>
      <c r="H6227">
        <v>181286900</v>
      </c>
    </row>
    <row r="6228" spans="2:8" x14ac:dyDescent="0.25">
      <c r="B6228" t="str">
        <f t="shared" si="97"/>
        <v>MICPopulation ages 45-49, male</v>
      </c>
      <c r="C6228" t="s">
        <v>578</v>
      </c>
      <c r="D6228" t="s">
        <v>579</v>
      </c>
      <c r="E6228" t="s">
        <v>381</v>
      </c>
      <c r="F6228" t="s">
        <v>710</v>
      </c>
      <c r="G6228">
        <v>182328500</v>
      </c>
      <c r="H6228">
        <v>183241800</v>
      </c>
    </row>
    <row r="6229" spans="2:8" x14ac:dyDescent="0.25">
      <c r="B6229" t="str">
        <f t="shared" si="97"/>
        <v>MICPopulation ages 50-54, female</v>
      </c>
      <c r="C6229" t="s">
        <v>578</v>
      </c>
      <c r="D6229" t="s">
        <v>579</v>
      </c>
      <c r="E6229" t="s">
        <v>382</v>
      </c>
      <c r="F6229" t="s">
        <v>711</v>
      </c>
      <c r="G6229">
        <v>165701400</v>
      </c>
      <c r="H6229">
        <v>168969200</v>
      </c>
    </row>
    <row r="6230" spans="2:8" x14ac:dyDescent="0.25">
      <c r="B6230" t="str">
        <f t="shared" si="97"/>
        <v>MICPopulation ages 50-54, male</v>
      </c>
      <c r="C6230" t="s">
        <v>578</v>
      </c>
      <c r="D6230" t="s">
        <v>579</v>
      </c>
      <c r="E6230" t="s">
        <v>383</v>
      </c>
      <c r="F6230" t="s">
        <v>712</v>
      </c>
      <c r="G6230">
        <v>164926300</v>
      </c>
      <c r="H6230">
        <v>168221900</v>
      </c>
    </row>
    <row r="6231" spans="2:8" x14ac:dyDescent="0.25">
      <c r="B6231" t="str">
        <f t="shared" si="97"/>
        <v>MICPopulation ages 55-59, male</v>
      </c>
      <c r="C6231" t="s">
        <v>578</v>
      </c>
      <c r="D6231" t="s">
        <v>579</v>
      </c>
      <c r="E6231" t="s">
        <v>385</v>
      </c>
      <c r="F6231" t="s">
        <v>713</v>
      </c>
      <c r="G6231">
        <v>137300900</v>
      </c>
      <c r="H6231">
        <v>141685900</v>
      </c>
    </row>
    <row r="6232" spans="2:8" x14ac:dyDescent="0.25">
      <c r="B6232" t="str">
        <f t="shared" si="97"/>
        <v>MICPopulation ages 55-59, female</v>
      </c>
      <c r="C6232" t="s">
        <v>578</v>
      </c>
      <c r="D6232" t="s">
        <v>579</v>
      </c>
      <c r="E6232" t="s">
        <v>384</v>
      </c>
      <c r="F6232" t="s">
        <v>714</v>
      </c>
      <c r="G6232">
        <v>139863800</v>
      </c>
      <c r="H6232">
        <v>144288600</v>
      </c>
    </row>
    <row r="6233" spans="2:8" x14ac:dyDescent="0.25">
      <c r="B6233" t="str">
        <f t="shared" si="97"/>
        <v>MICPopulation ages 65-69, male</v>
      </c>
      <c r="C6233" t="s">
        <v>578</v>
      </c>
      <c r="D6233" t="s">
        <v>579</v>
      </c>
      <c r="E6233" t="s">
        <v>389</v>
      </c>
      <c r="F6233" t="s">
        <v>715</v>
      </c>
      <c r="G6233">
        <v>88049000</v>
      </c>
      <c r="H6233">
        <v>91836200</v>
      </c>
    </row>
    <row r="6234" spans="2:8" x14ac:dyDescent="0.25">
      <c r="B6234" t="str">
        <f t="shared" si="97"/>
        <v>MICPopulation ages 65-69, female</v>
      </c>
      <c r="C6234" t="s">
        <v>578</v>
      </c>
      <c r="D6234" t="s">
        <v>579</v>
      </c>
      <c r="E6234" t="s">
        <v>388</v>
      </c>
      <c r="F6234" t="s">
        <v>716</v>
      </c>
      <c r="G6234">
        <v>95776900</v>
      </c>
      <c r="H6234">
        <v>99808100</v>
      </c>
    </row>
    <row r="6235" spans="2:8" x14ac:dyDescent="0.25">
      <c r="B6235" t="str">
        <f t="shared" si="97"/>
        <v>MICPopulation ages 60-64, female</v>
      </c>
      <c r="C6235" t="s">
        <v>578</v>
      </c>
      <c r="D6235" t="s">
        <v>579</v>
      </c>
      <c r="E6235" t="s">
        <v>386</v>
      </c>
      <c r="F6235" t="s">
        <v>717</v>
      </c>
      <c r="G6235">
        <v>115779700</v>
      </c>
      <c r="H6235">
        <v>118344800</v>
      </c>
    </row>
    <row r="6236" spans="2:8" x14ac:dyDescent="0.25">
      <c r="B6236" t="str">
        <f t="shared" si="97"/>
        <v>MICPopulation ages 60-64, male</v>
      </c>
      <c r="C6236" t="s">
        <v>578</v>
      </c>
      <c r="D6236" t="s">
        <v>579</v>
      </c>
      <c r="E6236" t="s">
        <v>387</v>
      </c>
      <c r="F6236" t="s">
        <v>718</v>
      </c>
      <c r="G6236">
        <v>110375200</v>
      </c>
      <c r="H6236">
        <v>112888600</v>
      </c>
    </row>
    <row r="6237" spans="2:8" x14ac:dyDescent="0.25">
      <c r="B6237" t="str">
        <f t="shared" si="97"/>
        <v>MICPopulation ages 70-74, female</v>
      </c>
      <c r="C6237" t="s">
        <v>578</v>
      </c>
      <c r="D6237" t="s">
        <v>579</v>
      </c>
      <c r="E6237" t="s">
        <v>390</v>
      </c>
      <c r="F6237" t="s">
        <v>719</v>
      </c>
      <c r="G6237">
        <v>62282600</v>
      </c>
      <c r="H6237">
        <v>66180400</v>
      </c>
    </row>
    <row r="6238" spans="2:8" x14ac:dyDescent="0.25">
      <c r="B6238" t="str">
        <f t="shared" si="97"/>
        <v>MICPopulation ages 70-74, male</v>
      </c>
      <c r="C6238" t="s">
        <v>578</v>
      </c>
      <c r="D6238" t="s">
        <v>579</v>
      </c>
      <c r="E6238" t="s">
        <v>391</v>
      </c>
      <c r="F6238" t="s">
        <v>720</v>
      </c>
      <c r="G6238">
        <v>53354300</v>
      </c>
      <c r="H6238">
        <v>56750000</v>
      </c>
    </row>
    <row r="6239" spans="2:8" x14ac:dyDescent="0.25">
      <c r="B6239" t="str">
        <f t="shared" si="97"/>
        <v>MICPopulation ages 75-79, female</v>
      </c>
      <c r="C6239" t="s">
        <v>578</v>
      </c>
      <c r="D6239" t="s">
        <v>579</v>
      </c>
      <c r="E6239" t="s">
        <v>392</v>
      </c>
      <c r="F6239" t="s">
        <v>721</v>
      </c>
      <c r="G6239">
        <v>41622500</v>
      </c>
      <c r="H6239">
        <v>42827500</v>
      </c>
    </row>
    <row r="6240" spans="2:8" x14ac:dyDescent="0.25">
      <c r="B6240" t="str">
        <f t="shared" si="97"/>
        <v>MICPopulation ages 75-79, male</v>
      </c>
      <c r="C6240" t="s">
        <v>578</v>
      </c>
      <c r="D6240" t="s">
        <v>579</v>
      </c>
      <c r="E6240" t="s">
        <v>393</v>
      </c>
      <c r="F6240" t="s">
        <v>722</v>
      </c>
      <c r="G6240">
        <v>33034600</v>
      </c>
      <c r="H6240">
        <v>33954900</v>
      </c>
    </row>
    <row r="6241" spans="2:8" x14ac:dyDescent="0.25">
      <c r="B6241" t="str">
        <f t="shared" si="97"/>
        <v>MICPopulation ages 80 and above, female</v>
      </c>
      <c r="C6241" t="s">
        <v>578</v>
      </c>
      <c r="D6241" t="s">
        <v>579</v>
      </c>
      <c r="E6241" t="s">
        <v>394</v>
      </c>
      <c r="F6241" t="s">
        <v>723</v>
      </c>
      <c r="G6241">
        <v>47547100</v>
      </c>
      <c r="H6241">
        <v>48474100</v>
      </c>
    </row>
    <row r="6242" spans="2:8" x14ac:dyDescent="0.25">
      <c r="B6242" t="str">
        <f t="shared" si="97"/>
        <v>MICPopulation ages 80 and above, male</v>
      </c>
      <c r="C6242" t="s">
        <v>578</v>
      </c>
      <c r="D6242" t="s">
        <v>579</v>
      </c>
      <c r="E6242" t="s">
        <v>395</v>
      </c>
      <c r="F6242" t="s">
        <v>724</v>
      </c>
      <c r="G6242">
        <v>30703700</v>
      </c>
      <c r="H6242">
        <v>30918200</v>
      </c>
    </row>
    <row r="6243" spans="2:8" x14ac:dyDescent="0.25">
      <c r="B6243" t="str">
        <f t="shared" si="97"/>
        <v>MICPopulation, male</v>
      </c>
      <c r="C6243" t="s">
        <v>578</v>
      </c>
      <c r="D6243" t="s">
        <v>579</v>
      </c>
      <c r="E6243" t="s">
        <v>397</v>
      </c>
      <c r="F6243" t="s">
        <v>725</v>
      </c>
      <c r="G6243">
        <v>2903171000</v>
      </c>
      <c r="H6243">
        <v>2930983000</v>
      </c>
    </row>
    <row r="6244" spans="2:8" x14ac:dyDescent="0.25">
      <c r="B6244" t="str">
        <f t="shared" si="97"/>
        <v>MICPopulation, total</v>
      </c>
      <c r="C6244" t="s">
        <v>578</v>
      </c>
      <c r="D6244" t="s">
        <v>579</v>
      </c>
      <c r="E6244" t="s">
        <v>398</v>
      </c>
      <c r="F6244" t="s">
        <v>726</v>
      </c>
      <c r="G6244">
        <v>5735396000</v>
      </c>
      <c r="H6244">
        <v>5791067000</v>
      </c>
    </row>
    <row r="6245" spans="2:8" x14ac:dyDescent="0.25">
      <c r="B6245" t="str">
        <f t="shared" si="97"/>
        <v>MICPopulation, female</v>
      </c>
      <c r="C6245" t="s">
        <v>578</v>
      </c>
      <c r="D6245" t="s">
        <v>579</v>
      </c>
      <c r="E6245" t="s">
        <v>396</v>
      </c>
      <c r="F6245" t="s">
        <v>727</v>
      </c>
      <c r="G6245">
        <v>2830154000</v>
      </c>
      <c r="H6245">
        <v>2858008000</v>
      </c>
    </row>
    <row r="6246" spans="2:8" x14ac:dyDescent="0.25">
      <c r="B6246" t="str">
        <f t="shared" si="97"/>
        <v>MICPopulation growth (annual %)</v>
      </c>
      <c r="C6246" t="s">
        <v>578</v>
      </c>
      <c r="D6246" t="s">
        <v>579</v>
      </c>
      <c r="E6246" t="s">
        <v>399</v>
      </c>
      <c r="F6246" t="s">
        <v>728</v>
      </c>
      <c r="G6246">
        <v>1.001227482928698</v>
      </c>
      <c r="H6246">
        <v>0.97065660331038828</v>
      </c>
    </row>
    <row r="6247" spans="2:8" x14ac:dyDescent="0.25">
      <c r="B6247" t="str">
        <f t="shared" si="97"/>
        <v>MDAPopulation ages 0-14, female</v>
      </c>
      <c r="C6247" t="s">
        <v>580</v>
      </c>
      <c r="D6247" t="s">
        <v>87</v>
      </c>
      <c r="E6247" t="s">
        <v>687</v>
      </c>
      <c r="F6247" t="s">
        <v>688</v>
      </c>
      <c r="G6247">
        <v>273000</v>
      </c>
      <c r="H6247">
        <v>272000</v>
      </c>
    </row>
    <row r="6248" spans="2:8" x14ac:dyDescent="0.25">
      <c r="B6248" t="str">
        <f t="shared" si="97"/>
        <v>MDAPopulation ages 0-14, male</v>
      </c>
      <c r="C6248" t="s">
        <v>580</v>
      </c>
      <c r="D6248" t="s">
        <v>87</v>
      </c>
      <c r="E6248" t="s">
        <v>689</v>
      </c>
      <c r="F6248" t="s">
        <v>690</v>
      </c>
      <c r="G6248">
        <v>289000</v>
      </c>
      <c r="H6248">
        <v>288000</v>
      </c>
    </row>
    <row r="6249" spans="2:8" x14ac:dyDescent="0.25">
      <c r="B6249" t="str">
        <f t="shared" si="97"/>
        <v>MDAPopulation ages 00-04, female</v>
      </c>
      <c r="C6249" t="s">
        <v>580</v>
      </c>
      <c r="D6249" t="s">
        <v>87</v>
      </c>
      <c r="E6249" t="s">
        <v>362</v>
      </c>
      <c r="F6249" t="s">
        <v>691</v>
      </c>
      <c r="G6249">
        <v>88000</v>
      </c>
      <c r="H6249">
        <v>86000</v>
      </c>
    </row>
    <row r="6250" spans="2:8" x14ac:dyDescent="0.25">
      <c r="B6250" t="str">
        <f t="shared" si="97"/>
        <v>MDAPopulation ages 00-04, male</v>
      </c>
      <c r="C6250" t="s">
        <v>580</v>
      </c>
      <c r="D6250" t="s">
        <v>87</v>
      </c>
      <c r="E6250" t="s">
        <v>363</v>
      </c>
      <c r="F6250" t="s">
        <v>692</v>
      </c>
      <c r="G6250">
        <v>93000</v>
      </c>
      <c r="H6250">
        <v>91000</v>
      </c>
    </row>
    <row r="6251" spans="2:8" x14ac:dyDescent="0.25">
      <c r="B6251" t="str">
        <f t="shared" si="97"/>
        <v>MDAPopulation ages 05-09, female</v>
      </c>
      <c r="C6251" t="s">
        <v>580</v>
      </c>
      <c r="D6251" t="s">
        <v>87</v>
      </c>
      <c r="E6251" t="s">
        <v>364</v>
      </c>
      <c r="F6251" t="s">
        <v>693</v>
      </c>
      <c r="G6251">
        <v>94000</v>
      </c>
      <c r="H6251">
        <v>94000</v>
      </c>
    </row>
    <row r="6252" spans="2:8" x14ac:dyDescent="0.25">
      <c r="B6252" t="str">
        <f t="shared" si="97"/>
        <v>MDAPopulation ages 05-09, male</v>
      </c>
      <c r="C6252" t="s">
        <v>580</v>
      </c>
      <c r="D6252" t="s">
        <v>87</v>
      </c>
      <c r="E6252" t="s">
        <v>365</v>
      </c>
      <c r="F6252" t="s">
        <v>694</v>
      </c>
      <c r="G6252">
        <v>100000</v>
      </c>
      <c r="H6252">
        <v>100000</v>
      </c>
    </row>
    <row r="6253" spans="2:8" x14ac:dyDescent="0.25">
      <c r="B6253" t="str">
        <f t="shared" si="97"/>
        <v>MDAPopulation ages 10-14, female</v>
      </c>
      <c r="C6253" t="s">
        <v>580</v>
      </c>
      <c r="D6253" t="s">
        <v>87</v>
      </c>
      <c r="E6253" t="s">
        <v>366</v>
      </c>
      <c r="F6253" t="s">
        <v>695</v>
      </c>
      <c r="G6253">
        <v>91000</v>
      </c>
      <c r="H6253">
        <v>92000</v>
      </c>
    </row>
    <row r="6254" spans="2:8" x14ac:dyDescent="0.25">
      <c r="B6254" t="str">
        <f t="shared" si="97"/>
        <v>MDAPopulation ages 10-14, male</v>
      </c>
      <c r="C6254" t="s">
        <v>580</v>
      </c>
      <c r="D6254" t="s">
        <v>87</v>
      </c>
      <c r="E6254" t="s">
        <v>367</v>
      </c>
      <c r="F6254" t="s">
        <v>696</v>
      </c>
      <c r="G6254">
        <v>96000</v>
      </c>
      <c r="H6254">
        <v>97000</v>
      </c>
    </row>
    <row r="6255" spans="2:8" x14ac:dyDescent="0.25">
      <c r="B6255" t="str">
        <f t="shared" si="97"/>
        <v>MDAPopulation ages 15-19, female</v>
      </c>
      <c r="C6255" t="s">
        <v>580</v>
      </c>
      <c r="D6255" t="s">
        <v>87</v>
      </c>
      <c r="E6255" t="s">
        <v>368</v>
      </c>
      <c r="F6255" t="s">
        <v>697</v>
      </c>
      <c r="G6255">
        <v>87000</v>
      </c>
      <c r="H6255">
        <v>85000</v>
      </c>
    </row>
    <row r="6256" spans="2:8" x14ac:dyDescent="0.25">
      <c r="B6256" t="str">
        <f t="shared" si="97"/>
        <v>MDAPopulation ages 15-19, male</v>
      </c>
      <c r="C6256" t="s">
        <v>580</v>
      </c>
      <c r="D6256" t="s">
        <v>87</v>
      </c>
      <c r="E6256" t="s">
        <v>369</v>
      </c>
      <c r="F6256" t="s">
        <v>698</v>
      </c>
      <c r="G6256">
        <v>93000</v>
      </c>
      <c r="H6256">
        <v>91000</v>
      </c>
    </row>
    <row r="6257" spans="2:8" x14ac:dyDescent="0.25">
      <c r="B6257" t="str">
        <f t="shared" si="97"/>
        <v>MDAPopulation ages 20-24, female</v>
      </c>
      <c r="C6257" t="s">
        <v>580</v>
      </c>
      <c r="D6257" t="s">
        <v>87</v>
      </c>
      <c r="E6257" t="s">
        <v>370</v>
      </c>
      <c r="F6257" t="s">
        <v>699</v>
      </c>
      <c r="G6257">
        <v>110000</v>
      </c>
      <c r="H6257">
        <v>103000</v>
      </c>
    </row>
    <row r="6258" spans="2:8" x14ac:dyDescent="0.25">
      <c r="B6258" t="str">
        <f t="shared" si="97"/>
        <v>MDAPopulation ages 20-24, male</v>
      </c>
      <c r="C6258" t="s">
        <v>580</v>
      </c>
      <c r="D6258" t="s">
        <v>87</v>
      </c>
      <c r="E6258" t="s">
        <v>371</v>
      </c>
      <c r="F6258" t="s">
        <v>700</v>
      </c>
      <c r="G6258">
        <v>114000</v>
      </c>
      <c r="H6258">
        <v>108000</v>
      </c>
    </row>
    <row r="6259" spans="2:8" x14ac:dyDescent="0.25">
      <c r="B6259" t="str">
        <f t="shared" si="97"/>
        <v>MDAPopulation ages 25-29, female</v>
      </c>
      <c r="C6259" t="s">
        <v>580</v>
      </c>
      <c r="D6259" t="s">
        <v>87</v>
      </c>
      <c r="E6259" t="s">
        <v>372</v>
      </c>
      <c r="F6259" t="s">
        <v>701</v>
      </c>
      <c r="G6259">
        <v>151000</v>
      </c>
      <c r="H6259">
        <v>141000</v>
      </c>
    </row>
    <row r="6260" spans="2:8" x14ac:dyDescent="0.25">
      <c r="B6260" t="str">
        <f t="shared" si="97"/>
        <v>MDAPopulation ages 25-29, male</v>
      </c>
      <c r="C6260" t="s">
        <v>580</v>
      </c>
      <c r="D6260" t="s">
        <v>87</v>
      </c>
      <c r="E6260" t="s">
        <v>373</v>
      </c>
      <c r="F6260" t="s">
        <v>702</v>
      </c>
      <c r="G6260">
        <v>157000</v>
      </c>
      <c r="H6260">
        <v>147000</v>
      </c>
    </row>
    <row r="6261" spans="2:8" x14ac:dyDescent="0.25">
      <c r="B6261" t="str">
        <f t="shared" si="97"/>
        <v>MDAPopulation ages 30-34, female</v>
      </c>
      <c r="C6261" t="s">
        <v>580</v>
      </c>
      <c r="D6261" t="s">
        <v>87</v>
      </c>
      <c r="E6261" t="s">
        <v>374</v>
      </c>
      <c r="F6261" t="s">
        <v>703</v>
      </c>
      <c r="G6261">
        <v>179000</v>
      </c>
      <c r="H6261">
        <v>180000</v>
      </c>
    </row>
    <row r="6262" spans="2:8" x14ac:dyDescent="0.25">
      <c r="B6262" t="str">
        <f t="shared" si="97"/>
        <v>MDAPopulation ages 30-34, male</v>
      </c>
      <c r="C6262" t="s">
        <v>580</v>
      </c>
      <c r="D6262" t="s">
        <v>87</v>
      </c>
      <c r="E6262" t="s">
        <v>375</v>
      </c>
      <c r="F6262" t="s">
        <v>704</v>
      </c>
      <c r="G6262">
        <v>185000</v>
      </c>
      <c r="H6262">
        <v>185000</v>
      </c>
    </row>
    <row r="6263" spans="2:8" x14ac:dyDescent="0.25">
      <c r="B6263" t="str">
        <f t="shared" si="97"/>
        <v>MDAPopulation ages 35-39, female</v>
      </c>
      <c r="C6263" t="s">
        <v>580</v>
      </c>
      <c r="D6263" t="s">
        <v>87</v>
      </c>
      <c r="E6263" t="s">
        <v>376</v>
      </c>
      <c r="F6263" t="s">
        <v>705</v>
      </c>
      <c r="G6263">
        <v>148000</v>
      </c>
      <c r="H6263">
        <v>153000</v>
      </c>
    </row>
    <row r="6264" spans="2:8" x14ac:dyDescent="0.25">
      <c r="B6264" t="str">
        <f t="shared" si="97"/>
        <v>MDAPopulation ages 35-39, male</v>
      </c>
      <c r="C6264" t="s">
        <v>580</v>
      </c>
      <c r="D6264" t="s">
        <v>87</v>
      </c>
      <c r="E6264" t="s">
        <v>377</v>
      </c>
      <c r="F6264" t="s">
        <v>706</v>
      </c>
      <c r="G6264">
        <v>152000</v>
      </c>
      <c r="H6264">
        <v>158000</v>
      </c>
    </row>
    <row r="6265" spans="2:8" x14ac:dyDescent="0.25">
      <c r="B6265" t="str">
        <f t="shared" si="97"/>
        <v>MDAPopulation ages 40-44, female</v>
      </c>
      <c r="C6265" t="s">
        <v>580</v>
      </c>
      <c r="D6265" t="s">
        <v>87</v>
      </c>
      <c r="E6265" t="s">
        <v>378</v>
      </c>
      <c r="F6265" t="s">
        <v>707</v>
      </c>
      <c r="G6265">
        <v>130000</v>
      </c>
      <c r="H6265">
        <v>133000</v>
      </c>
    </row>
    <row r="6266" spans="2:8" x14ac:dyDescent="0.25">
      <c r="B6266" t="str">
        <f t="shared" si="97"/>
        <v>MDAPopulation ages 40-44, male</v>
      </c>
      <c r="C6266" t="s">
        <v>580</v>
      </c>
      <c r="D6266" t="s">
        <v>87</v>
      </c>
      <c r="E6266" t="s">
        <v>379</v>
      </c>
      <c r="F6266" t="s">
        <v>708</v>
      </c>
      <c r="G6266">
        <v>127000</v>
      </c>
      <c r="H6266">
        <v>131000</v>
      </c>
    </row>
    <row r="6267" spans="2:8" x14ac:dyDescent="0.25">
      <c r="B6267" t="str">
        <f t="shared" si="97"/>
        <v>MDAPopulation ages 45-49, female</v>
      </c>
      <c r="C6267" t="s">
        <v>580</v>
      </c>
      <c r="D6267" t="s">
        <v>87</v>
      </c>
      <c r="E6267" t="s">
        <v>380</v>
      </c>
      <c r="F6267" t="s">
        <v>709</v>
      </c>
      <c r="G6267">
        <v>115000</v>
      </c>
      <c r="H6267">
        <v>118000</v>
      </c>
    </row>
    <row r="6268" spans="2:8" x14ac:dyDescent="0.25">
      <c r="B6268" t="str">
        <f t="shared" si="97"/>
        <v>MDAPopulation ages 45-49, male</v>
      </c>
      <c r="C6268" t="s">
        <v>580</v>
      </c>
      <c r="D6268" t="s">
        <v>87</v>
      </c>
      <c r="E6268" t="s">
        <v>381</v>
      </c>
      <c r="F6268" t="s">
        <v>710</v>
      </c>
      <c r="G6268">
        <v>107000</v>
      </c>
      <c r="H6268">
        <v>110000</v>
      </c>
    </row>
    <row r="6269" spans="2:8" x14ac:dyDescent="0.25">
      <c r="B6269" t="str">
        <f t="shared" si="97"/>
        <v>MDAPopulation ages 50-54, female</v>
      </c>
      <c r="C6269" t="s">
        <v>580</v>
      </c>
      <c r="D6269" t="s">
        <v>87</v>
      </c>
      <c r="E6269" t="s">
        <v>382</v>
      </c>
      <c r="F6269" t="s">
        <v>711</v>
      </c>
      <c r="G6269">
        <v>113000</v>
      </c>
      <c r="H6269">
        <v>109000</v>
      </c>
    </row>
    <row r="6270" spans="2:8" x14ac:dyDescent="0.25">
      <c r="B6270" t="str">
        <f t="shared" si="97"/>
        <v>MDAPopulation ages 50-54, male</v>
      </c>
      <c r="C6270" t="s">
        <v>580</v>
      </c>
      <c r="D6270" t="s">
        <v>87</v>
      </c>
      <c r="E6270" t="s">
        <v>383</v>
      </c>
      <c r="F6270" t="s">
        <v>712</v>
      </c>
      <c r="G6270">
        <v>99000</v>
      </c>
      <c r="H6270">
        <v>96000</v>
      </c>
    </row>
    <row r="6271" spans="2:8" x14ac:dyDescent="0.25">
      <c r="B6271" t="str">
        <f t="shared" si="97"/>
        <v>MDAPopulation ages 55-59, male</v>
      </c>
      <c r="C6271" t="s">
        <v>580</v>
      </c>
      <c r="D6271" t="s">
        <v>87</v>
      </c>
      <c r="E6271" t="s">
        <v>385</v>
      </c>
      <c r="F6271" t="s">
        <v>713</v>
      </c>
      <c r="G6271">
        <v>115000</v>
      </c>
      <c r="H6271">
        <v>113000</v>
      </c>
    </row>
    <row r="6272" spans="2:8" x14ac:dyDescent="0.25">
      <c r="B6272" t="str">
        <f t="shared" si="97"/>
        <v>MDAPopulation ages 55-59, female</v>
      </c>
      <c r="C6272" t="s">
        <v>580</v>
      </c>
      <c r="D6272" t="s">
        <v>87</v>
      </c>
      <c r="E6272" t="s">
        <v>384</v>
      </c>
      <c r="F6272" t="s">
        <v>714</v>
      </c>
      <c r="G6272">
        <v>139000</v>
      </c>
      <c r="H6272">
        <v>137000</v>
      </c>
    </row>
    <row r="6273" spans="2:8" x14ac:dyDescent="0.25">
      <c r="B6273" t="str">
        <f t="shared" si="97"/>
        <v>MDAPopulation ages 65-69, male</v>
      </c>
      <c r="C6273" t="s">
        <v>580</v>
      </c>
      <c r="D6273" t="s">
        <v>87</v>
      </c>
      <c r="E6273" t="s">
        <v>389</v>
      </c>
      <c r="F6273" t="s">
        <v>715</v>
      </c>
      <c r="G6273">
        <v>78000</v>
      </c>
      <c r="H6273">
        <v>82000</v>
      </c>
    </row>
    <row r="6274" spans="2:8" x14ac:dyDescent="0.25">
      <c r="B6274" t="str">
        <f t="shared" si="97"/>
        <v>MDAPopulation ages 65-69, female</v>
      </c>
      <c r="C6274" t="s">
        <v>580</v>
      </c>
      <c r="D6274" t="s">
        <v>87</v>
      </c>
      <c r="E6274" t="s">
        <v>388</v>
      </c>
      <c r="F6274" t="s">
        <v>716</v>
      </c>
      <c r="G6274">
        <v>111000</v>
      </c>
      <c r="H6274">
        <v>119000</v>
      </c>
    </row>
    <row r="6275" spans="2:8" x14ac:dyDescent="0.25">
      <c r="B6275" t="str">
        <f t="shared" si="97"/>
        <v>MDAPopulation ages 60-64, female</v>
      </c>
      <c r="C6275" t="s">
        <v>580</v>
      </c>
      <c r="D6275" t="s">
        <v>87</v>
      </c>
      <c r="E6275" t="s">
        <v>386</v>
      </c>
      <c r="F6275" t="s">
        <v>717</v>
      </c>
      <c r="G6275">
        <v>128000</v>
      </c>
      <c r="H6275">
        <v>128000</v>
      </c>
    </row>
    <row r="6276" spans="2:8" x14ac:dyDescent="0.25">
      <c r="B6276" t="str">
        <f t="shared" si="97"/>
        <v>MDAPopulation ages 60-64, male</v>
      </c>
      <c r="C6276" t="s">
        <v>580</v>
      </c>
      <c r="D6276" t="s">
        <v>87</v>
      </c>
      <c r="E6276" t="s">
        <v>387</v>
      </c>
      <c r="F6276" t="s">
        <v>718</v>
      </c>
      <c r="G6276">
        <v>98000</v>
      </c>
      <c r="H6276">
        <v>98000</v>
      </c>
    </row>
    <row r="6277" spans="2:8" x14ac:dyDescent="0.25">
      <c r="B6277" t="str">
        <f t="shared" si="97"/>
        <v>MDAPopulation ages 70-74, female</v>
      </c>
      <c r="C6277" t="s">
        <v>580</v>
      </c>
      <c r="D6277" t="s">
        <v>87</v>
      </c>
      <c r="E6277" t="s">
        <v>390</v>
      </c>
      <c r="F6277" t="s">
        <v>719</v>
      </c>
      <c r="G6277">
        <v>51000</v>
      </c>
      <c r="H6277">
        <v>56000</v>
      </c>
    </row>
    <row r="6278" spans="2:8" x14ac:dyDescent="0.25">
      <c r="B6278" t="str">
        <f t="shared" si="97"/>
        <v>MDAPopulation ages 70-74, male</v>
      </c>
      <c r="C6278" t="s">
        <v>580</v>
      </c>
      <c r="D6278" t="s">
        <v>87</v>
      </c>
      <c r="E6278" t="s">
        <v>391</v>
      </c>
      <c r="F6278" t="s">
        <v>720</v>
      </c>
      <c r="G6278">
        <v>33000</v>
      </c>
      <c r="H6278">
        <v>36000</v>
      </c>
    </row>
    <row r="6279" spans="2:8" x14ac:dyDescent="0.25">
      <c r="B6279" t="str">
        <f t="shared" ref="B6279:B6342" si="98">CONCATENATE(D6279,E6279)</f>
        <v>MDAPopulation ages 75-79, female</v>
      </c>
      <c r="C6279" t="s">
        <v>580</v>
      </c>
      <c r="D6279" t="s">
        <v>87</v>
      </c>
      <c r="E6279" t="s">
        <v>392</v>
      </c>
      <c r="F6279" t="s">
        <v>721</v>
      </c>
      <c r="G6279">
        <v>47000</v>
      </c>
      <c r="H6279">
        <v>46000</v>
      </c>
    </row>
    <row r="6280" spans="2:8" x14ac:dyDescent="0.25">
      <c r="B6280" t="str">
        <f t="shared" si="98"/>
        <v>MDAPopulation ages 75-79, male</v>
      </c>
      <c r="C6280" t="s">
        <v>580</v>
      </c>
      <c r="D6280" t="s">
        <v>87</v>
      </c>
      <c r="E6280" t="s">
        <v>393</v>
      </c>
      <c r="F6280" t="s">
        <v>722</v>
      </c>
      <c r="G6280">
        <v>24000</v>
      </c>
      <c r="H6280">
        <v>24000</v>
      </c>
    </row>
    <row r="6281" spans="2:8" x14ac:dyDescent="0.25">
      <c r="B6281" t="str">
        <f t="shared" si="98"/>
        <v>MDAPopulation ages 80 and above, female</v>
      </c>
      <c r="C6281" t="s">
        <v>580</v>
      </c>
      <c r="D6281" t="s">
        <v>87</v>
      </c>
      <c r="E6281" t="s">
        <v>394</v>
      </c>
      <c r="F6281" t="s">
        <v>723</v>
      </c>
      <c r="G6281">
        <v>57000</v>
      </c>
      <c r="H6281">
        <v>56000</v>
      </c>
    </row>
    <row r="6282" spans="2:8" x14ac:dyDescent="0.25">
      <c r="B6282" t="str">
        <f t="shared" si="98"/>
        <v>MDAPopulation ages 80 and above, male</v>
      </c>
      <c r="C6282" t="s">
        <v>580</v>
      </c>
      <c r="D6282" t="s">
        <v>87</v>
      </c>
      <c r="E6282" t="s">
        <v>395</v>
      </c>
      <c r="F6282" t="s">
        <v>724</v>
      </c>
      <c r="G6282">
        <v>23000</v>
      </c>
      <c r="H6282">
        <v>21000</v>
      </c>
    </row>
    <row r="6283" spans="2:8" x14ac:dyDescent="0.25">
      <c r="B6283" t="str">
        <f t="shared" si="98"/>
        <v>MDAPopulation, male</v>
      </c>
      <c r="C6283" t="s">
        <v>580</v>
      </c>
      <c r="D6283" t="s">
        <v>87</v>
      </c>
      <c r="E6283" t="s">
        <v>397</v>
      </c>
      <c r="F6283" t="s">
        <v>725</v>
      </c>
      <c r="G6283">
        <v>1695000</v>
      </c>
      <c r="H6283">
        <v>1688000</v>
      </c>
    </row>
    <row r="6284" spans="2:8" x14ac:dyDescent="0.25">
      <c r="B6284" t="str">
        <f t="shared" si="98"/>
        <v>MDAPopulation, total</v>
      </c>
      <c r="C6284" t="s">
        <v>580</v>
      </c>
      <c r="D6284" t="s">
        <v>87</v>
      </c>
      <c r="E6284" t="s">
        <v>398</v>
      </c>
      <c r="F6284" t="s">
        <v>726</v>
      </c>
      <c r="G6284">
        <v>3536000</v>
      </c>
      <c r="H6284">
        <v>3525000</v>
      </c>
    </row>
    <row r="6285" spans="2:8" x14ac:dyDescent="0.25">
      <c r="B6285" t="str">
        <f t="shared" si="98"/>
        <v>MDAPopulation, female</v>
      </c>
      <c r="C6285" t="s">
        <v>580</v>
      </c>
      <c r="D6285" t="s">
        <v>87</v>
      </c>
      <c r="E6285" t="s">
        <v>396</v>
      </c>
      <c r="F6285" t="s">
        <v>727</v>
      </c>
      <c r="G6285">
        <v>1841000</v>
      </c>
      <c r="H6285">
        <v>1837000</v>
      </c>
    </row>
    <row r="6286" spans="2:8" x14ac:dyDescent="0.25">
      <c r="B6286" t="str">
        <f t="shared" si="98"/>
        <v>MDAPopulation growth (annual %)</v>
      </c>
      <c r="C6286" t="s">
        <v>580</v>
      </c>
      <c r="D6286" t="s">
        <v>87</v>
      </c>
      <c r="E6286" t="s">
        <v>399</v>
      </c>
      <c r="F6286" t="s">
        <v>728</v>
      </c>
      <c r="G6286">
        <v>0</v>
      </c>
      <c r="H6286">
        <v>0</v>
      </c>
    </row>
    <row r="6287" spans="2:8" x14ac:dyDescent="0.25">
      <c r="B6287" t="str">
        <f t="shared" si="98"/>
        <v>MCOPopulation ages 0-14, female</v>
      </c>
      <c r="C6287" t="s">
        <v>581</v>
      </c>
      <c r="D6287" t="s">
        <v>86</v>
      </c>
      <c r="E6287" t="s">
        <v>687</v>
      </c>
      <c r="F6287" t="s">
        <v>688</v>
      </c>
      <c r="G6287">
        <v>0</v>
      </c>
      <c r="H6287">
        <v>0</v>
      </c>
    </row>
    <row r="6288" spans="2:8" x14ac:dyDescent="0.25">
      <c r="B6288" t="str">
        <f t="shared" si="98"/>
        <v>MCOPopulation ages 0-14, male</v>
      </c>
      <c r="C6288" t="s">
        <v>581</v>
      </c>
      <c r="D6288" t="s">
        <v>86</v>
      </c>
      <c r="E6288" t="s">
        <v>689</v>
      </c>
      <c r="F6288" t="s">
        <v>690</v>
      </c>
      <c r="G6288">
        <v>0</v>
      </c>
      <c r="H6288">
        <v>0</v>
      </c>
    </row>
    <row r="6289" spans="2:8" x14ac:dyDescent="0.25">
      <c r="B6289" t="str">
        <f t="shared" si="98"/>
        <v>MCOPopulation ages 00-04, female</v>
      </c>
      <c r="C6289" t="s">
        <v>581</v>
      </c>
      <c r="D6289" t="s">
        <v>86</v>
      </c>
      <c r="E6289" t="s">
        <v>362</v>
      </c>
      <c r="F6289" t="s">
        <v>691</v>
      </c>
      <c r="G6289">
        <v>0</v>
      </c>
      <c r="H6289">
        <v>0</v>
      </c>
    </row>
    <row r="6290" spans="2:8" x14ac:dyDescent="0.25">
      <c r="B6290" t="str">
        <f t="shared" si="98"/>
        <v>MCOPopulation ages 00-04, male</v>
      </c>
      <c r="C6290" t="s">
        <v>581</v>
      </c>
      <c r="D6290" t="s">
        <v>86</v>
      </c>
      <c r="E6290" t="s">
        <v>363</v>
      </c>
      <c r="F6290" t="s">
        <v>692</v>
      </c>
      <c r="G6290">
        <v>0</v>
      </c>
      <c r="H6290">
        <v>0</v>
      </c>
    </row>
    <row r="6291" spans="2:8" x14ac:dyDescent="0.25">
      <c r="B6291" t="str">
        <f t="shared" si="98"/>
        <v>MCOPopulation ages 05-09, female</v>
      </c>
      <c r="C6291" t="s">
        <v>581</v>
      </c>
      <c r="D6291" t="s">
        <v>86</v>
      </c>
      <c r="E6291" t="s">
        <v>364</v>
      </c>
      <c r="F6291" t="s">
        <v>693</v>
      </c>
      <c r="G6291">
        <v>0</v>
      </c>
      <c r="H6291">
        <v>0</v>
      </c>
    </row>
    <row r="6292" spans="2:8" x14ac:dyDescent="0.25">
      <c r="B6292" t="str">
        <f t="shared" si="98"/>
        <v>MCOPopulation ages 05-09, male</v>
      </c>
      <c r="C6292" t="s">
        <v>581</v>
      </c>
      <c r="D6292" t="s">
        <v>86</v>
      </c>
      <c r="E6292" t="s">
        <v>365</v>
      </c>
      <c r="F6292" t="s">
        <v>694</v>
      </c>
      <c r="G6292">
        <v>0</v>
      </c>
      <c r="H6292">
        <v>0</v>
      </c>
    </row>
    <row r="6293" spans="2:8" x14ac:dyDescent="0.25">
      <c r="B6293" t="str">
        <f t="shared" si="98"/>
        <v>MCOPopulation ages 10-14, female</v>
      </c>
      <c r="C6293" t="s">
        <v>581</v>
      </c>
      <c r="D6293" t="s">
        <v>86</v>
      </c>
      <c r="E6293" t="s">
        <v>366</v>
      </c>
      <c r="F6293" t="s">
        <v>695</v>
      </c>
      <c r="G6293">
        <v>0</v>
      </c>
      <c r="H6293">
        <v>0</v>
      </c>
    </row>
    <row r="6294" spans="2:8" x14ac:dyDescent="0.25">
      <c r="B6294" t="str">
        <f t="shared" si="98"/>
        <v>MCOPopulation ages 10-14, male</v>
      </c>
      <c r="C6294" t="s">
        <v>581</v>
      </c>
      <c r="D6294" t="s">
        <v>86</v>
      </c>
      <c r="E6294" t="s">
        <v>367</v>
      </c>
      <c r="F6294" t="s">
        <v>696</v>
      </c>
      <c r="G6294">
        <v>0</v>
      </c>
      <c r="H6294">
        <v>0</v>
      </c>
    </row>
    <row r="6295" spans="2:8" x14ac:dyDescent="0.25">
      <c r="B6295" t="str">
        <f t="shared" si="98"/>
        <v>MCOPopulation ages 15-19, female</v>
      </c>
      <c r="C6295" t="s">
        <v>581</v>
      </c>
      <c r="D6295" t="s">
        <v>86</v>
      </c>
      <c r="E6295" t="s">
        <v>368</v>
      </c>
      <c r="F6295" t="s">
        <v>697</v>
      </c>
      <c r="G6295">
        <v>0</v>
      </c>
      <c r="H6295">
        <v>0</v>
      </c>
    </row>
    <row r="6296" spans="2:8" x14ac:dyDescent="0.25">
      <c r="B6296" t="str">
        <f t="shared" si="98"/>
        <v>MCOPopulation ages 15-19, male</v>
      </c>
      <c r="C6296" t="s">
        <v>581</v>
      </c>
      <c r="D6296" t="s">
        <v>86</v>
      </c>
      <c r="E6296" t="s">
        <v>369</v>
      </c>
      <c r="F6296" t="s">
        <v>698</v>
      </c>
      <c r="G6296">
        <v>0</v>
      </c>
      <c r="H6296">
        <v>0</v>
      </c>
    </row>
    <row r="6297" spans="2:8" x14ac:dyDescent="0.25">
      <c r="B6297" t="str">
        <f t="shared" si="98"/>
        <v>MCOPopulation ages 20-24, female</v>
      </c>
      <c r="C6297" t="s">
        <v>581</v>
      </c>
      <c r="D6297" t="s">
        <v>86</v>
      </c>
      <c r="E6297" t="s">
        <v>370</v>
      </c>
      <c r="F6297" t="s">
        <v>699</v>
      </c>
      <c r="G6297">
        <v>0</v>
      </c>
      <c r="H6297">
        <v>0</v>
      </c>
    </row>
    <row r="6298" spans="2:8" x14ac:dyDescent="0.25">
      <c r="B6298" t="str">
        <f t="shared" si="98"/>
        <v>MCOPopulation ages 20-24, male</v>
      </c>
      <c r="C6298" t="s">
        <v>581</v>
      </c>
      <c r="D6298" t="s">
        <v>86</v>
      </c>
      <c r="E6298" t="s">
        <v>371</v>
      </c>
      <c r="F6298" t="s">
        <v>700</v>
      </c>
      <c r="G6298">
        <v>0</v>
      </c>
      <c r="H6298">
        <v>0</v>
      </c>
    </row>
    <row r="6299" spans="2:8" x14ac:dyDescent="0.25">
      <c r="B6299" t="str">
        <f t="shared" si="98"/>
        <v>MCOPopulation ages 25-29, female</v>
      </c>
      <c r="C6299" t="s">
        <v>581</v>
      </c>
      <c r="D6299" t="s">
        <v>86</v>
      </c>
      <c r="E6299" t="s">
        <v>372</v>
      </c>
      <c r="F6299" t="s">
        <v>701</v>
      </c>
      <c r="G6299">
        <v>0</v>
      </c>
      <c r="H6299">
        <v>0</v>
      </c>
    </row>
    <row r="6300" spans="2:8" x14ac:dyDescent="0.25">
      <c r="B6300" t="str">
        <f t="shared" si="98"/>
        <v>MCOPopulation ages 25-29, male</v>
      </c>
      <c r="C6300" t="s">
        <v>581</v>
      </c>
      <c r="D6300" t="s">
        <v>86</v>
      </c>
      <c r="E6300" t="s">
        <v>373</v>
      </c>
      <c r="F6300" t="s">
        <v>702</v>
      </c>
      <c r="G6300">
        <v>0</v>
      </c>
      <c r="H6300">
        <v>0</v>
      </c>
    </row>
    <row r="6301" spans="2:8" x14ac:dyDescent="0.25">
      <c r="B6301" t="str">
        <f t="shared" si="98"/>
        <v>MCOPopulation ages 30-34, female</v>
      </c>
      <c r="C6301" t="s">
        <v>581</v>
      </c>
      <c r="D6301" t="s">
        <v>86</v>
      </c>
      <c r="E6301" t="s">
        <v>374</v>
      </c>
      <c r="F6301" t="s">
        <v>703</v>
      </c>
      <c r="G6301">
        <v>0</v>
      </c>
      <c r="H6301">
        <v>0</v>
      </c>
    </row>
    <row r="6302" spans="2:8" x14ac:dyDescent="0.25">
      <c r="B6302" t="str">
        <f t="shared" si="98"/>
        <v>MCOPopulation ages 30-34, male</v>
      </c>
      <c r="C6302" t="s">
        <v>581</v>
      </c>
      <c r="D6302" t="s">
        <v>86</v>
      </c>
      <c r="E6302" t="s">
        <v>375</v>
      </c>
      <c r="F6302" t="s">
        <v>704</v>
      </c>
      <c r="G6302">
        <v>0</v>
      </c>
      <c r="H6302">
        <v>0</v>
      </c>
    </row>
    <row r="6303" spans="2:8" x14ac:dyDescent="0.25">
      <c r="B6303" t="str">
        <f t="shared" si="98"/>
        <v>MCOPopulation ages 35-39, female</v>
      </c>
      <c r="C6303" t="s">
        <v>581</v>
      </c>
      <c r="D6303" t="s">
        <v>86</v>
      </c>
      <c r="E6303" t="s">
        <v>376</v>
      </c>
      <c r="F6303" t="s">
        <v>705</v>
      </c>
      <c r="G6303">
        <v>0</v>
      </c>
      <c r="H6303">
        <v>0</v>
      </c>
    </row>
    <row r="6304" spans="2:8" x14ac:dyDescent="0.25">
      <c r="B6304" t="str">
        <f t="shared" si="98"/>
        <v>MCOPopulation ages 35-39, male</v>
      </c>
      <c r="C6304" t="s">
        <v>581</v>
      </c>
      <c r="D6304" t="s">
        <v>86</v>
      </c>
      <c r="E6304" t="s">
        <v>377</v>
      </c>
      <c r="F6304" t="s">
        <v>706</v>
      </c>
      <c r="G6304">
        <v>0</v>
      </c>
      <c r="H6304">
        <v>0</v>
      </c>
    </row>
    <row r="6305" spans="2:8" x14ac:dyDescent="0.25">
      <c r="B6305" t="str">
        <f t="shared" si="98"/>
        <v>MCOPopulation ages 40-44, female</v>
      </c>
      <c r="C6305" t="s">
        <v>581</v>
      </c>
      <c r="D6305" t="s">
        <v>86</v>
      </c>
      <c r="E6305" t="s">
        <v>378</v>
      </c>
      <c r="F6305" t="s">
        <v>707</v>
      </c>
      <c r="G6305">
        <v>0</v>
      </c>
      <c r="H6305">
        <v>0</v>
      </c>
    </row>
    <row r="6306" spans="2:8" x14ac:dyDescent="0.25">
      <c r="B6306" t="str">
        <f t="shared" si="98"/>
        <v>MCOPopulation ages 40-44, male</v>
      </c>
      <c r="C6306" t="s">
        <v>581</v>
      </c>
      <c r="D6306" t="s">
        <v>86</v>
      </c>
      <c r="E6306" t="s">
        <v>379</v>
      </c>
      <c r="F6306" t="s">
        <v>708</v>
      </c>
      <c r="G6306">
        <v>0</v>
      </c>
      <c r="H6306">
        <v>0</v>
      </c>
    </row>
    <row r="6307" spans="2:8" x14ac:dyDescent="0.25">
      <c r="B6307" t="str">
        <f t="shared" si="98"/>
        <v>MCOPopulation ages 45-49, female</v>
      </c>
      <c r="C6307" t="s">
        <v>581</v>
      </c>
      <c r="D6307" t="s">
        <v>86</v>
      </c>
      <c r="E6307" t="s">
        <v>380</v>
      </c>
      <c r="F6307" t="s">
        <v>709</v>
      </c>
      <c r="G6307">
        <v>0</v>
      </c>
      <c r="H6307">
        <v>0</v>
      </c>
    </row>
    <row r="6308" spans="2:8" x14ac:dyDescent="0.25">
      <c r="B6308" t="str">
        <f t="shared" si="98"/>
        <v>MCOPopulation ages 45-49, male</v>
      </c>
      <c r="C6308" t="s">
        <v>581</v>
      </c>
      <c r="D6308" t="s">
        <v>86</v>
      </c>
      <c r="E6308" t="s">
        <v>381</v>
      </c>
      <c r="F6308" t="s">
        <v>710</v>
      </c>
      <c r="G6308">
        <v>0</v>
      </c>
      <c r="H6308">
        <v>0</v>
      </c>
    </row>
    <row r="6309" spans="2:8" x14ac:dyDescent="0.25">
      <c r="B6309" t="str">
        <f t="shared" si="98"/>
        <v>MCOPopulation ages 50-54, female</v>
      </c>
      <c r="C6309" t="s">
        <v>581</v>
      </c>
      <c r="D6309" t="s">
        <v>86</v>
      </c>
      <c r="E6309" t="s">
        <v>382</v>
      </c>
      <c r="F6309" t="s">
        <v>711</v>
      </c>
      <c r="G6309">
        <v>0</v>
      </c>
      <c r="H6309">
        <v>0</v>
      </c>
    </row>
    <row r="6310" spans="2:8" x14ac:dyDescent="0.25">
      <c r="B6310" t="str">
        <f t="shared" si="98"/>
        <v>MCOPopulation ages 50-54, male</v>
      </c>
      <c r="C6310" t="s">
        <v>581</v>
      </c>
      <c r="D6310" t="s">
        <v>86</v>
      </c>
      <c r="E6310" t="s">
        <v>383</v>
      </c>
      <c r="F6310" t="s">
        <v>712</v>
      </c>
      <c r="G6310">
        <v>0</v>
      </c>
      <c r="H6310">
        <v>0</v>
      </c>
    </row>
    <row r="6311" spans="2:8" x14ac:dyDescent="0.25">
      <c r="B6311" t="str">
        <f t="shared" si="98"/>
        <v>MCOPopulation ages 55-59, male</v>
      </c>
      <c r="C6311" t="s">
        <v>581</v>
      </c>
      <c r="D6311" t="s">
        <v>86</v>
      </c>
      <c r="E6311" t="s">
        <v>385</v>
      </c>
      <c r="F6311" t="s">
        <v>713</v>
      </c>
      <c r="G6311">
        <v>0</v>
      </c>
      <c r="H6311">
        <v>0</v>
      </c>
    </row>
    <row r="6312" spans="2:8" x14ac:dyDescent="0.25">
      <c r="B6312" t="str">
        <f t="shared" si="98"/>
        <v>MCOPopulation ages 55-59, female</v>
      </c>
      <c r="C6312" t="s">
        <v>581</v>
      </c>
      <c r="D6312" t="s">
        <v>86</v>
      </c>
      <c r="E6312" t="s">
        <v>384</v>
      </c>
      <c r="F6312" t="s">
        <v>714</v>
      </c>
      <c r="G6312">
        <v>0</v>
      </c>
      <c r="H6312">
        <v>0</v>
      </c>
    </row>
    <row r="6313" spans="2:8" x14ac:dyDescent="0.25">
      <c r="B6313" t="str">
        <f t="shared" si="98"/>
        <v>MCOPopulation ages 65-69, male</v>
      </c>
      <c r="C6313" t="s">
        <v>581</v>
      </c>
      <c r="D6313" t="s">
        <v>86</v>
      </c>
      <c r="E6313" t="s">
        <v>389</v>
      </c>
      <c r="F6313" t="s">
        <v>715</v>
      </c>
      <c r="G6313">
        <v>0</v>
      </c>
      <c r="H6313">
        <v>0</v>
      </c>
    </row>
    <row r="6314" spans="2:8" x14ac:dyDescent="0.25">
      <c r="B6314" t="str">
        <f t="shared" si="98"/>
        <v>MCOPopulation ages 65-69, female</v>
      </c>
      <c r="C6314" t="s">
        <v>581</v>
      </c>
      <c r="D6314" t="s">
        <v>86</v>
      </c>
      <c r="E6314" t="s">
        <v>388</v>
      </c>
      <c r="F6314" t="s">
        <v>716</v>
      </c>
      <c r="G6314">
        <v>0</v>
      </c>
      <c r="H6314">
        <v>0</v>
      </c>
    </row>
    <row r="6315" spans="2:8" x14ac:dyDescent="0.25">
      <c r="B6315" t="str">
        <f t="shared" si="98"/>
        <v>MCOPopulation ages 60-64, female</v>
      </c>
      <c r="C6315" t="s">
        <v>581</v>
      </c>
      <c r="D6315" t="s">
        <v>86</v>
      </c>
      <c r="E6315" t="s">
        <v>386</v>
      </c>
      <c r="F6315" t="s">
        <v>717</v>
      </c>
      <c r="G6315">
        <v>0</v>
      </c>
      <c r="H6315">
        <v>0</v>
      </c>
    </row>
    <row r="6316" spans="2:8" x14ac:dyDescent="0.25">
      <c r="B6316" t="str">
        <f t="shared" si="98"/>
        <v>MCOPopulation ages 60-64, male</v>
      </c>
      <c r="C6316" t="s">
        <v>581</v>
      </c>
      <c r="D6316" t="s">
        <v>86</v>
      </c>
      <c r="E6316" t="s">
        <v>387</v>
      </c>
      <c r="F6316" t="s">
        <v>718</v>
      </c>
      <c r="G6316">
        <v>0</v>
      </c>
      <c r="H6316">
        <v>0</v>
      </c>
    </row>
    <row r="6317" spans="2:8" x14ac:dyDescent="0.25">
      <c r="B6317" t="str">
        <f t="shared" si="98"/>
        <v>MCOPopulation ages 70-74, female</v>
      </c>
      <c r="C6317" t="s">
        <v>581</v>
      </c>
      <c r="D6317" t="s">
        <v>86</v>
      </c>
      <c r="E6317" t="s">
        <v>390</v>
      </c>
      <c r="F6317" t="s">
        <v>719</v>
      </c>
      <c r="G6317">
        <v>0</v>
      </c>
      <c r="H6317">
        <v>0</v>
      </c>
    </row>
    <row r="6318" spans="2:8" x14ac:dyDescent="0.25">
      <c r="B6318" t="str">
        <f t="shared" si="98"/>
        <v>MCOPopulation ages 70-74, male</v>
      </c>
      <c r="C6318" t="s">
        <v>581</v>
      </c>
      <c r="D6318" t="s">
        <v>86</v>
      </c>
      <c r="E6318" t="s">
        <v>391</v>
      </c>
      <c r="F6318" t="s">
        <v>720</v>
      </c>
      <c r="G6318">
        <v>0</v>
      </c>
      <c r="H6318">
        <v>0</v>
      </c>
    </row>
    <row r="6319" spans="2:8" x14ac:dyDescent="0.25">
      <c r="B6319" t="str">
        <f t="shared" si="98"/>
        <v>MCOPopulation ages 75-79, female</v>
      </c>
      <c r="C6319" t="s">
        <v>581</v>
      </c>
      <c r="D6319" t="s">
        <v>86</v>
      </c>
      <c r="E6319" t="s">
        <v>392</v>
      </c>
      <c r="F6319" t="s">
        <v>721</v>
      </c>
      <c r="G6319">
        <v>0</v>
      </c>
      <c r="H6319">
        <v>0</v>
      </c>
    </row>
    <row r="6320" spans="2:8" x14ac:dyDescent="0.25">
      <c r="B6320" t="str">
        <f t="shared" si="98"/>
        <v>MCOPopulation ages 75-79, male</v>
      </c>
      <c r="C6320" t="s">
        <v>581</v>
      </c>
      <c r="D6320" t="s">
        <v>86</v>
      </c>
      <c r="E6320" t="s">
        <v>393</v>
      </c>
      <c r="F6320" t="s">
        <v>722</v>
      </c>
      <c r="G6320">
        <v>0</v>
      </c>
      <c r="H6320">
        <v>0</v>
      </c>
    </row>
    <row r="6321" spans="2:8" x14ac:dyDescent="0.25">
      <c r="B6321" t="str">
        <f t="shared" si="98"/>
        <v>MCOPopulation ages 80 and above, female</v>
      </c>
      <c r="C6321" t="s">
        <v>581</v>
      </c>
      <c r="D6321" t="s">
        <v>86</v>
      </c>
      <c r="E6321" t="s">
        <v>394</v>
      </c>
      <c r="F6321" t="s">
        <v>723</v>
      </c>
      <c r="G6321">
        <v>0</v>
      </c>
      <c r="H6321">
        <v>0</v>
      </c>
    </row>
    <row r="6322" spans="2:8" x14ac:dyDescent="0.25">
      <c r="B6322" t="str">
        <f t="shared" si="98"/>
        <v>MCOPopulation ages 80 and above, male</v>
      </c>
      <c r="C6322" t="s">
        <v>581</v>
      </c>
      <c r="D6322" t="s">
        <v>86</v>
      </c>
      <c r="E6322" t="s">
        <v>395</v>
      </c>
      <c r="F6322" t="s">
        <v>724</v>
      </c>
      <c r="G6322">
        <v>0</v>
      </c>
      <c r="H6322">
        <v>0</v>
      </c>
    </row>
    <row r="6323" spans="2:8" x14ac:dyDescent="0.25">
      <c r="B6323" t="str">
        <f t="shared" si="98"/>
        <v>MCOPopulation, male</v>
      </c>
      <c r="C6323" t="s">
        <v>581</v>
      </c>
      <c r="D6323" t="s">
        <v>86</v>
      </c>
      <c r="E6323" t="s">
        <v>397</v>
      </c>
      <c r="F6323" t="s">
        <v>725</v>
      </c>
      <c r="G6323">
        <v>0</v>
      </c>
      <c r="H6323">
        <v>0</v>
      </c>
    </row>
    <row r="6324" spans="2:8" x14ac:dyDescent="0.25">
      <c r="B6324" t="str">
        <f t="shared" si="98"/>
        <v>MCOPopulation, total</v>
      </c>
      <c r="C6324" t="s">
        <v>581</v>
      </c>
      <c r="D6324" t="s">
        <v>86</v>
      </c>
      <c r="E6324" t="s">
        <v>398</v>
      </c>
      <c r="F6324" t="s">
        <v>726</v>
      </c>
      <c r="G6324">
        <v>39000</v>
      </c>
      <c r="H6324">
        <v>39000</v>
      </c>
    </row>
    <row r="6325" spans="2:8" x14ac:dyDescent="0.25">
      <c r="B6325" t="str">
        <f t="shared" si="98"/>
        <v>MCOPopulation, female</v>
      </c>
      <c r="C6325" t="s">
        <v>581</v>
      </c>
      <c r="D6325" t="s">
        <v>86</v>
      </c>
      <c r="E6325" t="s">
        <v>396</v>
      </c>
      <c r="F6325" t="s">
        <v>727</v>
      </c>
      <c r="G6325">
        <v>0</v>
      </c>
      <c r="H6325">
        <v>0</v>
      </c>
    </row>
    <row r="6326" spans="2:8" x14ac:dyDescent="0.25">
      <c r="B6326" t="str">
        <f t="shared" si="98"/>
        <v>MCOPopulation growth (annual %)</v>
      </c>
      <c r="C6326" t="s">
        <v>581</v>
      </c>
      <c r="D6326" t="s">
        <v>86</v>
      </c>
      <c r="E6326" t="s">
        <v>399</v>
      </c>
      <c r="F6326" t="s">
        <v>728</v>
      </c>
      <c r="G6326">
        <v>0</v>
      </c>
      <c r="H6326">
        <v>0</v>
      </c>
    </row>
    <row r="6327" spans="2:8" x14ac:dyDescent="0.25">
      <c r="B6327" t="str">
        <f t="shared" si="98"/>
        <v>MNGPopulation ages 0-14, female</v>
      </c>
      <c r="C6327" t="s">
        <v>250</v>
      </c>
      <c r="D6327" t="s">
        <v>96</v>
      </c>
      <c r="E6327" t="s">
        <v>687</v>
      </c>
      <c r="F6327" t="s">
        <v>688</v>
      </c>
      <c r="G6327">
        <v>491000</v>
      </c>
      <c r="H6327">
        <v>503000</v>
      </c>
    </row>
    <row r="6328" spans="2:8" x14ac:dyDescent="0.25">
      <c r="B6328" t="str">
        <f t="shared" si="98"/>
        <v>MNGPopulation ages 0-14, male</v>
      </c>
      <c r="C6328" t="s">
        <v>250</v>
      </c>
      <c r="D6328" t="s">
        <v>96</v>
      </c>
      <c r="E6328" t="s">
        <v>689</v>
      </c>
      <c r="F6328" t="s">
        <v>690</v>
      </c>
      <c r="G6328">
        <v>503000</v>
      </c>
      <c r="H6328">
        <v>516000</v>
      </c>
    </row>
    <row r="6329" spans="2:8" x14ac:dyDescent="0.25">
      <c r="B6329" t="str">
        <f t="shared" si="98"/>
        <v>MNGPopulation ages 00-04, female</v>
      </c>
      <c r="C6329" t="s">
        <v>250</v>
      </c>
      <c r="D6329" t="s">
        <v>96</v>
      </c>
      <c r="E6329" t="s">
        <v>362</v>
      </c>
      <c r="F6329" t="s">
        <v>691</v>
      </c>
      <c r="G6329">
        <v>187000</v>
      </c>
      <c r="H6329">
        <v>185000</v>
      </c>
    </row>
    <row r="6330" spans="2:8" x14ac:dyDescent="0.25">
      <c r="B6330" t="str">
        <f t="shared" si="98"/>
        <v>MNGPopulation ages 00-04, male</v>
      </c>
      <c r="C6330" t="s">
        <v>250</v>
      </c>
      <c r="D6330" t="s">
        <v>96</v>
      </c>
      <c r="E6330" t="s">
        <v>363</v>
      </c>
      <c r="F6330" t="s">
        <v>692</v>
      </c>
      <c r="G6330">
        <v>192000</v>
      </c>
      <c r="H6330">
        <v>190000</v>
      </c>
    </row>
    <row r="6331" spans="2:8" x14ac:dyDescent="0.25">
      <c r="B6331" t="str">
        <f t="shared" si="98"/>
        <v>MNGPopulation ages 05-09, female</v>
      </c>
      <c r="C6331" t="s">
        <v>250</v>
      </c>
      <c r="D6331" t="s">
        <v>96</v>
      </c>
      <c r="E6331" t="s">
        <v>364</v>
      </c>
      <c r="F6331" t="s">
        <v>693</v>
      </c>
      <c r="G6331">
        <v>172000</v>
      </c>
      <c r="H6331">
        <v>179000</v>
      </c>
    </row>
    <row r="6332" spans="2:8" x14ac:dyDescent="0.25">
      <c r="B6332" t="str">
        <f t="shared" si="98"/>
        <v>MNGPopulation ages 05-09, male</v>
      </c>
      <c r="C6332" t="s">
        <v>250</v>
      </c>
      <c r="D6332" t="s">
        <v>96</v>
      </c>
      <c r="E6332" t="s">
        <v>365</v>
      </c>
      <c r="F6332" t="s">
        <v>694</v>
      </c>
      <c r="G6332">
        <v>176000</v>
      </c>
      <c r="H6332">
        <v>183000</v>
      </c>
    </row>
    <row r="6333" spans="2:8" x14ac:dyDescent="0.25">
      <c r="B6333" t="str">
        <f t="shared" si="98"/>
        <v>MNGPopulation ages 10-14, female</v>
      </c>
      <c r="C6333" t="s">
        <v>250</v>
      </c>
      <c r="D6333" t="s">
        <v>96</v>
      </c>
      <c r="E6333" t="s">
        <v>366</v>
      </c>
      <c r="F6333" t="s">
        <v>695</v>
      </c>
      <c r="G6333">
        <v>132000</v>
      </c>
      <c r="H6333">
        <v>139000</v>
      </c>
    </row>
    <row r="6334" spans="2:8" x14ac:dyDescent="0.25">
      <c r="B6334" t="str">
        <f t="shared" si="98"/>
        <v>MNGPopulation ages 10-14, male</v>
      </c>
      <c r="C6334" t="s">
        <v>250</v>
      </c>
      <c r="D6334" t="s">
        <v>96</v>
      </c>
      <c r="E6334" t="s">
        <v>367</v>
      </c>
      <c r="F6334" t="s">
        <v>696</v>
      </c>
      <c r="G6334">
        <v>134000</v>
      </c>
      <c r="H6334">
        <v>142000</v>
      </c>
    </row>
    <row r="6335" spans="2:8" x14ac:dyDescent="0.25">
      <c r="B6335" t="str">
        <f t="shared" si="98"/>
        <v>MNGPopulation ages 15-19, female</v>
      </c>
      <c r="C6335" t="s">
        <v>250</v>
      </c>
      <c r="D6335" t="s">
        <v>96</v>
      </c>
      <c r="E6335" t="s">
        <v>368</v>
      </c>
      <c r="F6335" t="s">
        <v>697</v>
      </c>
      <c r="G6335">
        <v>107000</v>
      </c>
      <c r="H6335">
        <v>108000</v>
      </c>
    </row>
    <row r="6336" spans="2:8" x14ac:dyDescent="0.25">
      <c r="B6336" t="str">
        <f t="shared" si="98"/>
        <v>MNGPopulation ages 15-19, male</v>
      </c>
      <c r="C6336" t="s">
        <v>250</v>
      </c>
      <c r="D6336" t="s">
        <v>96</v>
      </c>
      <c r="E6336" t="s">
        <v>369</v>
      </c>
      <c r="F6336" t="s">
        <v>698</v>
      </c>
      <c r="G6336">
        <v>108000</v>
      </c>
      <c r="H6336">
        <v>110000</v>
      </c>
    </row>
    <row r="6337" spans="2:8" x14ac:dyDescent="0.25">
      <c r="B6337" t="str">
        <f t="shared" si="98"/>
        <v>MNGPopulation ages 20-24, female</v>
      </c>
      <c r="C6337" t="s">
        <v>250</v>
      </c>
      <c r="D6337" t="s">
        <v>96</v>
      </c>
      <c r="E6337" t="s">
        <v>370</v>
      </c>
      <c r="F6337" t="s">
        <v>699</v>
      </c>
      <c r="G6337">
        <v>117000</v>
      </c>
      <c r="H6337">
        <v>114000</v>
      </c>
    </row>
    <row r="6338" spans="2:8" x14ac:dyDescent="0.25">
      <c r="B6338" t="str">
        <f t="shared" si="98"/>
        <v>MNGPopulation ages 20-24, male</v>
      </c>
      <c r="C6338" t="s">
        <v>250</v>
      </c>
      <c r="D6338" t="s">
        <v>96</v>
      </c>
      <c r="E6338" t="s">
        <v>371</v>
      </c>
      <c r="F6338" t="s">
        <v>700</v>
      </c>
      <c r="G6338">
        <v>119000</v>
      </c>
      <c r="H6338">
        <v>115000</v>
      </c>
    </row>
    <row r="6339" spans="2:8" x14ac:dyDescent="0.25">
      <c r="B6339" t="str">
        <f t="shared" si="98"/>
        <v>MNGPopulation ages 25-29, female</v>
      </c>
      <c r="C6339" t="s">
        <v>250</v>
      </c>
      <c r="D6339" t="s">
        <v>96</v>
      </c>
      <c r="E6339" t="s">
        <v>372</v>
      </c>
      <c r="F6339" t="s">
        <v>701</v>
      </c>
      <c r="G6339">
        <v>141000</v>
      </c>
      <c r="H6339">
        <v>135000</v>
      </c>
    </row>
    <row r="6340" spans="2:8" x14ac:dyDescent="0.25">
      <c r="B6340" t="str">
        <f t="shared" si="98"/>
        <v>MNGPopulation ages 25-29, male</v>
      </c>
      <c r="C6340" t="s">
        <v>250</v>
      </c>
      <c r="D6340" t="s">
        <v>96</v>
      </c>
      <c r="E6340" t="s">
        <v>373</v>
      </c>
      <c r="F6340" t="s">
        <v>702</v>
      </c>
      <c r="G6340">
        <v>142000</v>
      </c>
      <c r="H6340">
        <v>136000</v>
      </c>
    </row>
    <row r="6341" spans="2:8" x14ac:dyDescent="0.25">
      <c r="B6341" t="str">
        <f t="shared" si="98"/>
        <v>MNGPopulation ages 30-34, female</v>
      </c>
      <c r="C6341" t="s">
        <v>250</v>
      </c>
      <c r="D6341" t="s">
        <v>96</v>
      </c>
      <c r="E6341" t="s">
        <v>374</v>
      </c>
      <c r="F6341" t="s">
        <v>703</v>
      </c>
      <c r="G6341">
        <v>153000</v>
      </c>
      <c r="H6341">
        <v>155000</v>
      </c>
    </row>
    <row r="6342" spans="2:8" x14ac:dyDescent="0.25">
      <c r="B6342" t="str">
        <f t="shared" si="98"/>
        <v>MNGPopulation ages 30-34, male</v>
      </c>
      <c r="C6342" t="s">
        <v>250</v>
      </c>
      <c r="D6342" t="s">
        <v>96</v>
      </c>
      <c r="E6342" t="s">
        <v>375</v>
      </c>
      <c r="F6342" t="s">
        <v>704</v>
      </c>
      <c r="G6342">
        <v>153000</v>
      </c>
      <c r="H6342">
        <v>154000</v>
      </c>
    </row>
    <row r="6343" spans="2:8" x14ac:dyDescent="0.25">
      <c r="B6343" t="str">
        <f t="shared" ref="B6343:B6406" si="99">CONCATENATE(D6343,E6343)</f>
        <v>MNGPopulation ages 35-39, female</v>
      </c>
      <c r="C6343" t="s">
        <v>250</v>
      </c>
      <c r="D6343" t="s">
        <v>96</v>
      </c>
      <c r="E6343" t="s">
        <v>376</v>
      </c>
      <c r="F6343" t="s">
        <v>705</v>
      </c>
      <c r="G6343">
        <v>122000</v>
      </c>
      <c r="H6343">
        <v>126000</v>
      </c>
    </row>
    <row r="6344" spans="2:8" x14ac:dyDescent="0.25">
      <c r="B6344" t="str">
        <f t="shared" si="99"/>
        <v>MNGPopulation ages 35-39, male</v>
      </c>
      <c r="C6344" t="s">
        <v>250</v>
      </c>
      <c r="D6344" t="s">
        <v>96</v>
      </c>
      <c r="E6344" t="s">
        <v>377</v>
      </c>
      <c r="F6344" t="s">
        <v>706</v>
      </c>
      <c r="G6344">
        <v>124000</v>
      </c>
      <c r="H6344">
        <v>129000</v>
      </c>
    </row>
    <row r="6345" spans="2:8" x14ac:dyDescent="0.25">
      <c r="B6345" t="str">
        <f t="shared" si="99"/>
        <v>MNGPopulation ages 40-44, female</v>
      </c>
      <c r="C6345" t="s">
        <v>250</v>
      </c>
      <c r="D6345" t="s">
        <v>96</v>
      </c>
      <c r="E6345" t="s">
        <v>378</v>
      </c>
      <c r="F6345" t="s">
        <v>707</v>
      </c>
      <c r="G6345">
        <v>111000</v>
      </c>
      <c r="H6345">
        <v>113000</v>
      </c>
    </row>
    <row r="6346" spans="2:8" x14ac:dyDescent="0.25">
      <c r="B6346" t="str">
        <f t="shared" si="99"/>
        <v>MNGPopulation ages 40-44, male</v>
      </c>
      <c r="C6346" t="s">
        <v>250</v>
      </c>
      <c r="D6346" t="s">
        <v>96</v>
      </c>
      <c r="E6346" t="s">
        <v>379</v>
      </c>
      <c r="F6346" t="s">
        <v>708</v>
      </c>
      <c r="G6346">
        <v>108000</v>
      </c>
      <c r="H6346">
        <v>110000</v>
      </c>
    </row>
    <row r="6347" spans="2:8" x14ac:dyDescent="0.25">
      <c r="B6347" t="str">
        <f t="shared" si="99"/>
        <v>MNGPopulation ages 45-49, female</v>
      </c>
      <c r="C6347" t="s">
        <v>250</v>
      </c>
      <c r="D6347" t="s">
        <v>96</v>
      </c>
      <c r="E6347" t="s">
        <v>380</v>
      </c>
      <c r="F6347" t="s">
        <v>709</v>
      </c>
      <c r="G6347">
        <v>100000</v>
      </c>
      <c r="H6347">
        <v>102000</v>
      </c>
    </row>
    <row r="6348" spans="2:8" x14ac:dyDescent="0.25">
      <c r="B6348" t="str">
        <f t="shared" si="99"/>
        <v>MNGPopulation ages 45-49, male</v>
      </c>
      <c r="C6348" t="s">
        <v>250</v>
      </c>
      <c r="D6348" t="s">
        <v>96</v>
      </c>
      <c r="E6348" t="s">
        <v>381</v>
      </c>
      <c r="F6348" t="s">
        <v>710</v>
      </c>
      <c r="G6348">
        <v>96000</v>
      </c>
      <c r="H6348">
        <v>98000</v>
      </c>
    </row>
    <row r="6349" spans="2:8" x14ac:dyDescent="0.25">
      <c r="B6349" t="str">
        <f t="shared" si="99"/>
        <v>MNGPopulation ages 50-54, female</v>
      </c>
      <c r="C6349" t="s">
        <v>250</v>
      </c>
      <c r="D6349" t="s">
        <v>96</v>
      </c>
      <c r="E6349" t="s">
        <v>382</v>
      </c>
      <c r="F6349" t="s">
        <v>711</v>
      </c>
      <c r="G6349">
        <v>87000</v>
      </c>
      <c r="H6349">
        <v>88000</v>
      </c>
    </row>
    <row r="6350" spans="2:8" x14ac:dyDescent="0.25">
      <c r="B6350" t="str">
        <f t="shared" si="99"/>
        <v>MNGPopulation ages 50-54, male</v>
      </c>
      <c r="C6350" t="s">
        <v>250</v>
      </c>
      <c r="D6350" t="s">
        <v>96</v>
      </c>
      <c r="E6350" t="s">
        <v>383</v>
      </c>
      <c r="F6350" t="s">
        <v>712</v>
      </c>
      <c r="G6350">
        <v>78000</v>
      </c>
      <c r="H6350">
        <v>80000</v>
      </c>
    </row>
    <row r="6351" spans="2:8" x14ac:dyDescent="0.25">
      <c r="B6351" t="str">
        <f t="shared" si="99"/>
        <v>MNGPopulation ages 55-59, male</v>
      </c>
      <c r="C6351" t="s">
        <v>250</v>
      </c>
      <c r="D6351" t="s">
        <v>96</v>
      </c>
      <c r="E6351" t="s">
        <v>385</v>
      </c>
      <c r="F6351" t="s">
        <v>713</v>
      </c>
      <c r="G6351">
        <v>64000</v>
      </c>
      <c r="H6351">
        <v>66000</v>
      </c>
    </row>
    <row r="6352" spans="2:8" x14ac:dyDescent="0.25">
      <c r="B6352" t="str">
        <f t="shared" si="99"/>
        <v>MNGPopulation ages 55-59, female</v>
      </c>
      <c r="C6352" t="s">
        <v>250</v>
      </c>
      <c r="D6352" t="s">
        <v>96</v>
      </c>
      <c r="E6352" t="s">
        <v>384</v>
      </c>
      <c r="F6352" t="s">
        <v>714</v>
      </c>
      <c r="G6352">
        <v>76000</v>
      </c>
      <c r="H6352">
        <v>79000</v>
      </c>
    </row>
    <row r="6353" spans="2:8" x14ac:dyDescent="0.25">
      <c r="B6353" t="str">
        <f t="shared" si="99"/>
        <v>MNGPopulation ages 65-69, male</v>
      </c>
      <c r="C6353" t="s">
        <v>250</v>
      </c>
      <c r="D6353" t="s">
        <v>96</v>
      </c>
      <c r="E6353" t="s">
        <v>389</v>
      </c>
      <c r="F6353" t="s">
        <v>715</v>
      </c>
      <c r="G6353">
        <v>25000</v>
      </c>
      <c r="H6353">
        <v>26000</v>
      </c>
    </row>
    <row r="6354" spans="2:8" x14ac:dyDescent="0.25">
      <c r="B6354" t="str">
        <f t="shared" si="99"/>
        <v>MNGPopulation ages 65-69, female</v>
      </c>
      <c r="C6354" t="s">
        <v>250</v>
      </c>
      <c r="D6354" t="s">
        <v>96</v>
      </c>
      <c r="E6354" t="s">
        <v>388</v>
      </c>
      <c r="F6354" t="s">
        <v>716</v>
      </c>
      <c r="G6354">
        <v>32000</v>
      </c>
      <c r="H6354">
        <v>34000</v>
      </c>
    </row>
    <row r="6355" spans="2:8" x14ac:dyDescent="0.25">
      <c r="B6355" t="str">
        <f t="shared" si="99"/>
        <v>MNGPopulation ages 60-64, female</v>
      </c>
      <c r="C6355" t="s">
        <v>250</v>
      </c>
      <c r="D6355" t="s">
        <v>96</v>
      </c>
      <c r="E6355" t="s">
        <v>386</v>
      </c>
      <c r="F6355" t="s">
        <v>717</v>
      </c>
      <c r="G6355">
        <v>51000</v>
      </c>
      <c r="H6355">
        <v>55000</v>
      </c>
    </row>
    <row r="6356" spans="2:8" x14ac:dyDescent="0.25">
      <c r="B6356" t="str">
        <f t="shared" si="99"/>
        <v>MNGPopulation ages 60-64, male</v>
      </c>
      <c r="C6356" t="s">
        <v>250</v>
      </c>
      <c r="D6356" t="s">
        <v>96</v>
      </c>
      <c r="E6356" t="s">
        <v>387</v>
      </c>
      <c r="F6356" t="s">
        <v>718</v>
      </c>
      <c r="G6356">
        <v>40000</v>
      </c>
      <c r="H6356">
        <v>43000</v>
      </c>
    </row>
    <row r="6357" spans="2:8" x14ac:dyDescent="0.25">
      <c r="B6357" t="str">
        <f t="shared" si="99"/>
        <v>MNGPopulation ages 70-74, female</v>
      </c>
      <c r="C6357" t="s">
        <v>250</v>
      </c>
      <c r="D6357" t="s">
        <v>96</v>
      </c>
      <c r="E6357" t="s">
        <v>390</v>
      </c>
      <c r="F6357" t="s">
        <v>719</v>
      </c>
      <c r="G6357">
        <v>20000</v>
      </c>
      <c r="H6357">
        <v>21000</v>
      </c>
    </row>
    <row r="6358" spans="2:8" x14ac:dyDescent="0.25">
      <c r="B6358" t="str">
        <f t="shared" si="99"/>
        <v>MNGPopulation ages 70-74, male</v>
      </c>
      <c r="C6358" t="s">
        <v>250</v>
      </c>
      <c r="D6358" t="s">
        <v>96</v>
      </c>
      <c r="E6358" t="s">
        <v>391</v>
      </c>
      <c r="F6358" t="s">
        <v>720</v>
      </c>
      <c r="G6358">
        <v>14000</v>
      </c>
      <c r="H6358">
        <v>15000</v>
      </c>
    </row>
    <row r="6359" spans="2:8" x14ac:dyDescent="0.25">
      <c r="B6359" t="str">
        <f t="shared" si="99"/>
        <v>MNGPopulation ages 75-79, female</v>
      </c>
      <c r="C6359" t="s">
        <v>250</v>
      </c>
      <c r="D6359" t="s">
        <v>96</v>
      </c>
      <c r="E6359" t="s">
        <v>392</v>
      </c>
      <c r="F6359" t="s">
        <v>721</v>
      </c>
      <c r="G6359">
        <v>14000</v>
      </c>
      <c r="H6359">
        <v>15000</v>
      </c>
    </row>
    <row r="6360" spans="2:8" x14ac:dyDescent="0.25">
      <c r="B6360" t="str">
        <f t="shared" si="99"/>
        <v>MNGPopulation ages 75-79, male</v>
      </c>
      <c r="C6360" t="s">
        <v>250</v>
      </c>
      <c r="D6360" t="s">
        <v>96</v>
      </c>
      <c r="E6360" t="s">
        <v>393</v>
      </c>
      <c r="F6360" t="s">
        <v>722</v>
      </c>
      <c r="G6360">
        <v>9700</v>
      </c>
      <c r="H6360">
        <v>9700</v>
      </c>
    </row>
    <row r="6361" spans="2:8" x14ac:dyDescent="0.25">
      <c r="B6361" t="str">
        <f t="shared" si="99"/>
        <v>MNGPopulation ages 80 and above, female</v>
      </c>
      <c r="C6361" t="s">
        <v>250</v>
      </c>
      <c r="D6361" t="s">
        <v>96</v>
      </c>
      <c r="E6361" t="s">
        <v>394</v>
      </c>
      <c r="F6361" t="s">
        <v>723</v>
      </c>
      <c r="G6361">
        <v>13000</v>
      </c>
      <c r="H6361">
        <v>14000</v>
      </c>
    </row>
    <row r="6362" spans="2:8" x14ac:dyDescent="0.25">
      <c r="B6362" t="str">
        <f t="shared" si="99"/>
        <v>MNGPopulation ages 80 and above, male</v>
      </c>
      <c r="C6362" t="s">
        <v>250</v>
      </c>
      <c r="D6362" t="s">
        <v>96</v>
      </c>
      <c r="E6362" t="s">
        <v>395</v>
      </c>
      <c r="F6362" t="s">
        <v>724</v>
      </c>
      <c r="G6362">
        <v>7100</v>
      </c>
      <c r="H6362">
        <v>7100</v>
      </c>
    </row>
    <row r="6363" spans="2:8" x14ac:dyDescent="0.25">
      <c r="B6363" t="str">
        <f t="shared" si="99"/>
        <v>MNGPopulation, male</v>
      </c>
      <c r="C6363" t="s">
        <v>250</v>
      </c>
      <c r="D6363" t="s">
        <v>96</v>
      </c>
      <c r="E6363" t="s">
        <v>397</v>
      </c>
      <c r="F6363" t="s">
        <v>725</v>
      </c>
      <c r="G6363">
        <v>1590000</v>
      </c>
      <c r="H6363">
        <v>1615000</v>
      </c>
    </row>
    <row r="6364" spans="2:8" x14ac:dyDescent="0.25">
      <c r="B6364" t="str">
        <f t="shared" si="99"/>
        <v>MNGPopulation, total</v>
      </c>
      <c r="C6364" t="s">
        <v>250</v>
      </c>
      <c r="D6364" t="s">
        <v>96</v>
      </c>
      <c r="E6364" t="s">
        <v>398</v>
      </c>
      <c r="F6364" t="s">
        <v>726</v>
      </c>
      <c r="G6364">
        <v>3225000</v>
      </c>
      <c r="H6364">
        <v>3278000</v>
      </c>
    </row>
    <row r="6365" spans="2:8" x14ac:dyDescent="0.25">
      <c r="B6365" t="str">
        <f t="shared" si="99"/>
        <v>MNGPopulation, female</v>
      </c>
      <c r="C6365" t="s">
        <v>250</v>
      </c>
      <c r="D6365" t="s">
        <v>96</v>
      </c>
      <c r="E6365" t="s">
        <v>396</v>
      </c>
      <c r="F6365" t="s">
        <v>727</v>
      </c>
      <c r="G6365">
        <v>1635000</v>
      </c>
      <c r="H6365">
        <v>1663000</v>
      </c>
    </row>
    <row r="6366" spans="2:8" x14ac:dyDescent="0.25">
      <c r="B6366" t="str">
        <f t="shared" si="99"/>
        <v>MNGPopulation growth (annual %)</v>
      </c>
      <c r="C6366" t="s">
        <v>250</v>
      </c>
      <c r="D6366" t="s">
        <v>96</v>
      </c>
      <c r="E6366" t="s">
        <v>399</v>
      </c>
      <c r="F6366" t="s">
        <v>728</v>
      </c>
      <c r="G6366">
        <v>0</v>
      </c>
      <c r="H6366">
        <v>0</v>
      </c>
    </row>
    <row r="6367" spans="2:8" x14ac:dyDescent="0.25">
      <c r="B6367" t="str">
        <f t="shared" si="99"/>
        <v>MNEPopulation ages 0-14, female</v>
      </c>
      <c r="C6367" t="s">
        <v>582</v>
      </c>
      <c r="D6367" t="s">
        <v>95</v>
      </c>
      <c r="E6367" t="s">
        <v>687</v>
      </c>
      <c r="F6367" t="s">
        <v>688</v>
      </c>
      <c r="G6367">
        <v>54000</v>
      </c>
      <c r="H6367">
        <v>54000</v>
      </c>
    </row>
    <row r="6368" spans="2:8" x14ac:dyDescent="0.25">
      <c r="B6368" t="str">
        <f t="shared" si="99"/>
        <v>MNEPopulation ages 0-14, male</v>
      </c>
      <c r="C6368" t="s">
        <v>582</v>
      </c>
      <c r="D6368" t="s">
        <v>95</v>
      </c>
      <c r="E6368" t="s">
        <v>689</v>
      </c>
      <c r="F6368" t="s">
        <v>690</v>
      </c>
      <c r="G6368">
        <v>59000</v>
      </c>
      <c r="H6368">
        <v>58000</v>
      </c>
    </row>
    <row r="6369" spans="2:8" x14ac:dyDescent="0.25">
      <c r="B6369" t="str">
        <f t="shared" si="99"/>
        <v>MNEPopulation ages 00-04, female</v>
      </c>
      <c r="C6369" t="s">
        <v>582</v>
      </c>
      <c r="D6369" t="s">
        <v>95</v>
      </c>
      <c r="E6369" t="s">
        <v>362</v>
      </c>
      <c r="F6369" t="s">
        <v>691</v>
      </c>
      <c r="G6369">
        <v>18000</v>
      </c>
      <c r="H6369">
        <v>18000</v>
      </c>
    </row>
    <row r="6370" spans="2:8" x14ac:dyDescent="0.25">
      <c r="B6370" t="str">
        <f t="shared" si="99"/>
        <v>MNEPopulation ages 00-04, male</v>
      </c>
      <c r="C6370" t="s">
        <v>582</v>
      </c>
      <c r="D6370" t="s">
        <v>95</v>
      </c>
      <c r="E6370" t="s">
        <v>363</v>
      </c>
      <c r="F6370" t="s">
        <v>692</v>
      </c>
      <c r="G6370">
        <v>19000</v>
      </c>
      <c r="H6370">
        <v>19000</v>
      </c>
    </row>
    <row r="6371" spans="2:8" x14ac:dyDescent="0.25">
      <c r="B6371" t="str">
        <f t="shared" si="99"/>
        <v>MNEPopulation ages 05-09, female</v>
      </c>
      <c r="C6371" t="s">
        <v>582</v>
      </c>
      <c r="D6371" t="s">
        <v>95</v>
      </c>
      <c r="E6371" t="s">
        <v>364</v>
      </c>
      <c r="F6371" t="s">
        <v>693</v>
      </c>
      <c r="G6371">
        <v>18000</v>
      </c>
      <c r="H6371">
        <v>18000</v>
      </c>
    </row>
    <row r="6372" spans="2:8" x14ac:dyDescent="0.25">
      <c r="B6372" t="str">
        <f t="shared" si="99"/>
        <v>MNEPopulation ages 05-09, male</v>
      </c>
      <c r="C6372" t="s">
        <v>582</v>
      </c>
      <c r="D6372" t="s">
        <v>95</v>
      </c>
      <c r="E6372" t="s">
        <v>365</v>
      </c>
      <c r="F6372" t="s">
        <v>694</v>
      </c>
      <c r="G6372">
        <v>19000</v>
      </c>
      <c r="H6372">
        <v>19000</v>
      </c>
    </row>
    <row r="6373" spans="2:8" x14ac:dyDescent="0.25">
      <c r="B6373" t="str">
        <f t="shared" si="99"/>
        <v>MNEPopulation ages 10-14, female</v>
      </c>
      <c r="C6373" t="s">
        <v>582</v>
      </c>
      <c r="D6373" t="s">
        <v>95</v>
      </c>
      <c r="E6373" t="s">
        <v>366</v>
      </c>
      <c r="F6373" t="s">
        <v>695</v>
      </c>
      <c r="G6373">
        <v>19000</v>
      </c>
      <c r="H6373">
        <v>19000</v>
      </c>
    </row>
    <row r="6374" spans="2:8" x14ac:dyDescent="0.25">
      <c r="B6374" t="str">
        <f t="shared" si="99"/>
        <v>MNEPopulation ages 10-14, male</v>
      </c>
      <c r="C6374" t="s">
        <v>582</v>
      </c>
      <c r="D6374" t="s">
        <v>95</v>
      </c>
      <c r="E6374" t="s">
        <v>367</v>
      </c>
      <c r="F6374" t="s">
        <v>696</v>
      </c>
      <c r="G6374">
        <v>21000</v>
      </c>
      <c r="H6374">
        <v>20000</v>
      </c>
    </row>
    <row r="6375" spans="2:8" x14ac:dyDescent="0.25">
      <c r="B6375" t="str">
        <f t="shared" si="99"/>
        <v>MNEPopulation ages 15-19, female</v>
      </c>
      <c r="C6375" t="s">
        <v>582</v>
      </c>
      <c r="D6375" t="s">
        <v>95</v>
      </c>
      <c r="E6375" t="s">
        <v>368</v>
      </c>
      <c r="F6375" t="s">
        <v>697</v>
      </c>
      <c r="G6375">
        <v>19000</v>
      </c>
      <c r="H6375">
        <v>18000</v>
      </c>
    </row>
    <row r="6376" spans="2:8" x14ac:dyDescent="0.25">
      <c r="B6376" t="str">
        <f t="shared" si="99"/>
        <v>MNEPopulation ages 15-19, male</v>
      </c>
      <c r="C6376" t="s">
        <v>582</v>
      </c>
      <c r="D6376" t="s">
        <v>95</v>
      </c>
      <c r="E6376" t="s">
        <v>369</v>
      </c>
      <c r="F6376" t="s">
        <v>698</v>
      </c>
      <c r="G6376">
        <v>20000</v>
      </c>
      <c r="H6376">
        <v>20000</v>
      </c>
    </row>
    <row r="6377" spans="2:8" x14ac:dyDescent="0.25">
      <c r="B6377" t="str">
        <f t="shared" si="99"/>
        <v>MNEPopulation ages 20-24, female</v>
      </c>
      <c r="C6377" t="s">
        <v>582</v>
      </c>
      <c r="D6377" t="s">
        <v>95</v>
      </c>
      <c r="E6377" t="s">
        <v>370</v>
      </c>
      <c r="F6377" t="s">
        <v>699</v>
      </c>
      <c r="G6377">
        <v>20000</v>
      </c>
      <c r="H6377">
        <v>20000</v>
      </c>
    </row>
    <row r="6378" spans="2:8" x14ac:dyDescent="0.25">
      <c r="B6378" t="str">
        <f t="shared" si="99"/>
        <v>MNEPopulation ages 20-24, male</v>
      </c>
      <c r="C6378" t="s">
        <v>582</v>
      </c>
      <c r="D6378" t="s">
        <v>95</v>
      </c>
      <c r="E6378" t="s">
        <v>371</v>
      </c>
      <c r="F6378" t="s">
        <v>700</v>
      </c>
      <c r="G6378">
        <v>22000</v>
      </c>
      <c r="H6378">
        <v>21000</v>
      </c>
    </row>
    <row r="6379" spans="2:8" x14ac:dyDescent="0.25">
      <c r="B6379" t="str">
        <f t="shared" si="99"/>
        <v>MNEPopulation ages 25-29, female</v>
      </c>
      <c r="C6379" t="s">
        <v>582</v>
      </c>
      <c r="D6379" t="s">
        <v>95</v>
      </c>
      <c r="E6379" t="s">
        <v>372</v>
      </c>
      <c r="F6379" t="s">
        <v>701</v>
      </c>
      <c r="G6379">
        <v>20000</v>
      </c>
      <c r="H6379">
        <v>20000</v>
      </c>
    </row>
    <row r="6380" spans="2:8" x14ac:dyDescent="0.25">
      <c r="B6380" t="str">
        <f t="shared" si="99"/>
        <v>MNEPopulation ages 25-29, male</v>
      </c>
      <c r="C6380" t="s">
        <v>582</v>
      </c>
      <c r="D6380" t="s">
        <v>95</v>
      </c>
      <c r="E6380" t="s">
        <v>373</v>
      </c>
      <c r="F6380" t="s">
        <v>702</v>
      </c>
      <c r="G6380">
        <v>22000</v>
      </c>
      <c r="H6380">
        <v>22000</v>
      </c>
    </row>
    <row r="6381" spans="2:8" x14ac:dyDescent="0.25">
      <c r="B6381" t="str">
        <f t="shared" si="99"/>
        <v>MNEPopulation ages 30-34, female</v>
      </c>
      <c r="C6381" t="s">
        <v>582</v>
      </c>
      <c r="D6381" t="s">
        <v>95</v>
      </c>
      <c r="E6381" t="s">
        <v>374</v>
      </c>
      <c r="F6381" t="s">
        <v>703</v>
      </c>
      <c r="G6381">
        <v>21000</v>
      </c>
      <c r="H6381">
        <v>21000</v>
      </c>
    </row>
    <row r="6382" spans="2:8" x14ac:dyDescent="0.25">
      <c r="B6382" t="str">
        <f t="shared" si="99"/>
        <v>MNEPopulation ages 30-34, male</v>
      </c>
      <c r="C6382" t="s">
        <v>582</v>
      </c>
      <c r="D6382" t="s">
        <v>95</v>
      </c>
      <c r="E6382" t="s">
        <v>375</v>
      </c>
      <c r="F6382" t="s">
        <v>704</v>
      </c>
      <c r="G6382">
        <v>22000</v>
      </c>
      <c r="H6382">
        <v>22000</v>
      </c>
    </row>
    <row r="6383" spans="2:8" x14ac:dyDescent="0.25">
      <c r="B6383" t="str">
        <f t="shared" si="99"/>
        <v>MNEPopulation ages 35-39, female</v>
      </c>
      <c r="C6383" t="s">
        <v>582</v>
      </c>
      <c r="D6383" t="s">
        <v>95</v>
      </c>
      <c r="E6383" t="s">
        <v>376</v>
      </c>
      <c r="F6383" t="s">
        <v>705</v>
      </c>
      <c r="G6383">
        <v>23000</v>
      </c>
      <c r="H6383">
        <v>22000</v>
      </c>
    </row>
    <row r="6384" spans="2:8" x14ac:dyDescent="0.25">
      <c r="B6384" t="str">
        <f t="shared" si="99"/>
        <v>MNEPopulation ages 35-39, male</v>
      </c>
      <c r="C6384" t="s">
        <v>582</v>
      </c>
      <c r="D6384" t="s">
        <v>95</v>
      </c>
      <c r="E6384" t="s">
        <v>377</v>
      </c>
      <c r="F6384" t="s">
        <v>706</v>
      </c>
      <c r="G6384">
        <v>23000</v>
      </c>
      <c r="H6384">
        <v>23000</v>
      </c>
    </row>
    <row r="6385" spans="2:8" x14ac:dyDescent="0.25">
      <c r="B6385" t="str">
        <f t="shared" si="99"/>
        <v>MNEPopulation ages 40-44, female</v>
      </c>
      <c r="C6385" t="s">
        <v>582</v>
      </c>
      <c r="D6385" t="s">
        <v>95</v>
      </c>
      <c r="E6385" t="s">
        <v>378</v>
      </c>
      <c r="F6385" t="s">
        <v>707</v>
      </c>
      <c r="G6385">
        <v>21000</v>
      </c>
      <c r="H6385">
        <v>21000</v>
      </c>
    </row>
    <row r="6386" spans="2:8" x14ac:dyDescent="0.25">
      <c r="B6386" t="str">
        <f t="shared" si="99"/>
        <v>MNEPopulation ages 40-44, male</v>
      </c>
      <c r="C6386" t="s">
        <v>582</v>
      </c>
      <c r="D6386" t="s">
        <v>95</v>
      </c>
      <c r="E6386" t="s">
        <v>379</v>
      </c>
      <c r="F6386" t="s">
        <v>708</v>
      </c>
      <c r="G6386">
        <v>21000</v>
      </c>
      <c r="H6386">
        <v>21000</v>
      </c>
    </row>
    <row r="6387" spans="2:8" x14ac:dyDescent="0.25">
      <c r="B6387" t="str">
        <f t="shared" si="99"/>
        <v>MNEPopulation ages 45-49, female</v>
      </c>
      <c r="C6387" t="s">
        <v>582</v>
      </c>
      <c r="D6387" t="s">
        <v>95</v>
      </c>
      <c r="E6387" t="s">
        <v>380</v>
      </c>
      <c r="F6387" t="s">
        <v>709</v>
      </c>
      <c r="G6387">
        <v>21000</v>
      </c>
      <c r="H6387">
        <v>21000</v>
      </c>
    </row>
    <row r="6388" spans="2:8" x14ac:dyDescent="0.25">
      <c r="B6388" t="str">
        <f t="shared" si="99"/>
        <v>MNEPopulation ages 45-49, male</v>
      </c>
      <c r="C6388" t="s">
        <v>582</v>
      </c>
      <c r="D6388" t="s">
        <v>95</v>
      </c>
      <c r="E6388" t="s">
        <v>381</v>
      </c>
      <c r="F6388" t="s">
        <v>710</v>
      </c>
      <c r="G6388">
        <v>19000</v>
      </c>
      <c r="H6388">
        <v>20000</v>
      </c>
    </row>
    <row r="6389" spans="2:8" x14ac:dyDescent="0.25">
      <c r="B6389" t="str">
        <f t="shared" si="99"/>
        <v>MNEPopulation ages 50-54, female</v>
      </c>
      <c r="C6389" t="s">
        <v>582</v>
      </c>
      <c r="D6389" t="s">
        <v>95</v>
      </c>
      <c r="E6389" t="s">
        <v>382</v>
      </c>
      <c r="F6389" t="s">
        <v>711</v>
      </c>
      <c r="G6389">
        <v>19000</v>
      </c>
      <c r="H6389">
        <v>19000</v>
      </c>
    </row>
    <row r="6390" spans="2:8" x14ac:dyDescent="0.25">
      <c r="B6390" t="str">
        <f t="shared" si="99"/>
        <v>MNEPopulation ages 50-54, male</v>
      </c>
      <c r="C6390" t="s">
        <v>582</v>
      </c>
      <c r="D6390" t="s">
        <v>95</v>
      </c>
      <c r="E6390" t="s">
        <v>383</v>
      </c>
      <c r="F6390" t="s">
        <v>712</v>
      </c>
      <c r="G6390">
        <v>19000</v>
      </c>
      <c r="H6390">
        <v>19000</v>
      </c>
    </row>
    <row r="6391" spans="2:8" x14ac:dyDescent="0.25">
      <c r="B6391" t="str">
        <f t="shared" si="99"/>
        <v>MNEPopulation ages 55-59, male</v>
      </c>
      <c r="C6391" t="s">
        <v>582</v>
      </c>
      <c r="D6391" t="s">
        <v>95</v>
      </c>
      <c r="E6391" t="s">
        <v>385</v>
      </c>
      <c r="F6391" t="s">
        <v>713</v>
      </c>
      <c r="G6391">
        <v>21000</v>
      </c>
      <c r="H6391">
        <v>21000</v>
      </c>
    </row>
    <row r="6392" spans="2:8" x14ac:dyDescent="0.25">
      <c r="B6392" t="str">
        <f t="shared" si="99"/>
        <v>MNEPopulation ages 55-59, female</v>
      </c>
      <c r="C6392" t="s">
        <v>582</v>
      </c>
      <c r="D6392" t="s">
        <v>95</v>
      </c>
      <c r="E6392" t="s">
        <v>384</v>
      </c>
      <c r="F6392" t="s">
        <v>714</v>
      </c>
      <c r="G6392">
        <v>21000</v>
      </c>
      <c r="H6392">
        <v>21000</v>
      </c>
    </row>
    <row r="6393" spans="2:8" x14ac:dyDescent="0.25">
      <c r="B6393" t="str">
        <f t="shared" si="99"/>
        <v>MNEPopulation ages 65-69, male</v>
      </c>
      <c r="C6393" t="s">
        <v>582</v>
      </c>
      <c r="D6393" t="s">
        <v>95</v>
      </c>
      <c r="E6393" t="s">
        <v>389</v>
      </c>
      <c r="F6393" t="s">
        <v>715</v>
      </c>
      <c r="G6393">
        <v>17000</v>
      </c>
      <c r="H6393">
        <v>17000</v>
      </c>
    </row>
    <row r="6394" spans="2:8" x14ac:dyDescent="0.25">
      <c r="B6394" t="str">
        <f t="shared" si="99"/>
        <v>MNEPopulation ages 65-69, female</v>
      </c>
      <c r="C6394" t="s">
        <v>582</v>
      </c>
      <c r="D6394" t="s">
        <v>95</v>
      </c>
      <c r="E6394" t="s">
        <v>388</v>
      </c>
      <c r="F6394" t="s">
        <v>716</v>
      </c>
      <c r="G6394">
        <v>19000</v>
      </c>
      <c r="H6394">
        <v>19000</v>
      </c>
    </row>
    <row r="6395" spans="2:8" x14ac:dyDescent="0.25">
      <c r="B6395" t="str">
        <f t="shared" si="99"/>
        <v>MNEPopulation ages 60-64, female</v>
      </c>
      <c r="C6395" t="s">
        <v>582</v>
      </c>
      <c r="D6395" t="s">
        <v>95</v>
      </c>
      <c r="E6395" t="s">
        <v>386</v>
      </c>
      <c r="F6395" t="s">
        <v>717</v>
      </c>
      <c r="G6395">
        <v>20000</v>
      </c>
      <c r="H6395">
        <v>20000</v>
      </c>
    </row>
    <row r="6396" spans="2:8" x14ac:dyDescent="0.25">
      <c r="B6396" t="str">
        <f t="shared" si="99"/>
        <v>MNEPopulation ages 60-64, male</v>
      </c>
      <c r="C6396" t="s">
        <v>582</v>
      </c>
      <c r="D6396" t="s">
        <v>95</v>
      </c>
      <c r="E6396" t="s">
        <v>387</v>
      </c>
      <c r="F6396" t="s">
        <v>718</v>
      </c>
      <c r="G6396">
        <v>19000</v>
      </c>
      <c r="H6396">
        <v>19000</v>
      </c>
    </row>
    <row r="6397" spans="2:8" x14ac:dyDescent="0.25">
      <c r="B6397" t="str">
        <f t="shared" si="99"/>
        <v>MNEPopulation ages 70-74, female</v>
      </c>
      <c r="C6397" t="s">
        <v>582</v>
      </c>
      <c r="D6397" t="s">
        <v>95</v>
      </c>
      <c r="E6397" t="s">
        <v>390</v>
      </c>
      <c r="F6397" t="s">
        <v>719</v>
      </c>
      <c r="G6397">
        <v>13000</v>
      </c>
      <c r="H6397">
        <v>14000</v>
      </c>
    </row>
    <row r="6398" spans="2:8" x14ac:dyDescent="0.25">
      <c r="B6398" t="str">
        <f t="shared" si="99"/>
        <v>MNEPopulation ages 70-74, male</v>
      </c>
      <c r="C6398" t="s">
        <v>582</v>
      </c>
      <c r="D6398" t="s">
        <v>95</v>
      </c>
      <c r="E6398" t="s">
        <v>391</v>
      </c>
      <c r="F6398" t="s">
        <v>720</v>
      </c>
      <c r="G6398">
        <v>9700</v>
      </c>
      <c r="H6398">
        <v>11000</v>
      </c>
    </row>
    <row r="6399" spans="2:8" x14ac:dyDescent="0.25">
      <c r="B6399" t="str">
        <f t="shared" si="99"/>
        <v>MNEPopulation ages 75-79, female</v>
      </c>
      <c r="C6399" t="s">
        <v>582</v>
      </c>
      <c r="D6399" t="s">
        <v>95</v>
      </c>
      <c r="E6399" t="s">
        <v>392</v>
      </c>
      <c r="F6399" t="s">
        <v>721</v>
      </c>
      <c r="G6399">
        <v>9700</v>
      </c>
      <c r="H6399">
        <v>9700</v>
      </c>
    </row>
    <row r="6400" spans="2:8" x14ac:dyDescent="0.25">
      <c r="B6400" t="str">
        <f t="shared" si="99"/>
        <v>MNEPopulation ages 75-79, male</v>
      </c>
      <c r="C6400" t="s">
        <v>582</v>
      </c>
      <c r="D6400" t="s">
        <v>95</v>
      </c>
      <c r="E6400" t="s">
        <v>393</v>
      </c>
      <c r="F6400" t="s">
        <v>722</v>
      </c>
      <c r="G6400">
        <v>6100</v>
      </c>
      <c r="H6400">
        <v>6100</v>
      </c>
    </row>
    <row r="6401" spans="2:8" x14ac:dyDescent="0.25">
      <c r="B6401" t="str">
        <f t="shared" si="99"/>
        <v>MNEPopulation ages 80 and above, female</v>
      </c>
      <c r="C6401" t="s">
        <v>582</v>
      </c>
      <c r="D6401" t="s">
        <v>95</v>
      </c>
      <c r="E6401" t="s">
        <v>394</v>
      </c>
      <c r="F6401" t="s">
        <v>723</v>
      </c>
      <c r="G6401">
        <v>13000</v>
      </c>
      <c r="H6401">
        <v>13000</v>
      </c>
    </row>
    <row r="6402" spans="2:8" x14ac:dyDescent="0.25">
      <c r="B6402" t="str">
        <f t="shared" si="99"/>
        <v>MNEPopulation ages 80 and above, male</v>
      </c>
      <c r="C6402" t="s">
        <v>582</v>
      </c>
      <c r="D6402" t="s">
        <v>95</v>
      </c>
      <c r="E6402" t="s">
        <v>395</v>
      </c>
      <c r="F6402" t="s">
        <v>724</v>
      </c>
      <c r="G6402">
        <v>8200</v>
      </c>
      <c r="H6402">
        <v>7900</v>
      </c>
    </row>
    <row r="6403" spans="2:8" x14ac:dyDescent="0.25">
      <c r="B6403" t="str">
        <f t="shared" si="99"/>
        <v>MNEPopulation, male</v>
      </c>
      <c r="C6403" t="s">
        <v>582</v>
      </c>
      <c r="D6403" t="s">
        <v>95</v>
      </c>
      <c r="E6403" t="s">
        <v>397</v>
      </c>
      <c r="F6403" t="s">
        <v>725</v>
      </c>
      <c r="G6403">
        <v>308000</v>
      </c>
      <c r="H6403">
        <v>308000</v>
      </c>
    </row>
    <row r="6404" spans="2:8" x14ac:dyDescent="0.25">
      <c r="B6404" t="str">
        <f t="shared" si="99"/>
        <v>MNEPopulation, total</v>
      </c>
      <c r="C6404" t="s">
        <v>582</v>
      </c>
      <c r="D6404" t="s">
        <v>95</v>
      </c>
      <c r="E6404" t="s">
        <v>398</v>
      </c>
      <c r="F6404" t="s">
        <v>726</v>
      </c>
      <c r="G6404">
        <v>622000</v>
      </c>
      <c r="H6404">
        <v>622000</v>
      </c>
    </row>
    <row r="6405" spans="2:8" x14ac:dyDescent="0.25">
      <c r="B6405" t="str">
        <f t="shared" si="99"/>
        <v>MNEPopulation, female</v>
      </c>
      <c r="C6405" t="s">
        <v>582</v>
      </c>
      <c r="D6405" t="s">
        <v>95</v>
      </c>
      <c r="E6405" t="s">
        <v>396</v>
      </c>
      <c r="F6405" t="s">
        <v>727</v>
      </c>
      <c r="G6405">
        <v>315000</v>
      </c>
      <c r="H6405">
        <v>314000</v>
      </c>
    </row>
    <row r="6406" spans="2:8" x14ac:dyDescent="0.25">
      <c r="B6406" t="str">
        <f t="shared" si="99"/>
        <v>MNEPopulation growth (annual %)</v>
      </c>
      <c r="C6406" t="s">
        <v>582</v>
      </c>
      <c r="D6406" t="s">
        <v>95</v>
      </c>
      <c r="E6406" t="s">
        <v>399</v>
      </c>
      <c r="F6406" t="s">
        <v>728</v>
      </c>
      <c r="G6406">
        <v>0</v>
      </c>
      <c r="H6406">
        <v>0</v>
      </c>
    </row>
    <row r="6407" spans="2:8" x14ac:dyDescent="0.25">
      <c r="B6407" t="str">
        <f t="shared" ref="B6407:B6470" si="100">CONCATENATE(D6407,E6407)</f>
        <v>MARPopulation ages 0-14, female</v>
      </c>
      <c r="C6407" t="s">
        <v>583</v>
      </c>
      <c r="D6407" t="s">
        <v>85</v>
      </c>
      <c r="E6407" t="s">
        <v>687</v>
      </c>
      <c r="F6407" t="s">
        <v>688</v>
      </c>
      <c r="G6407">
        <v>4788000</v>
      </c>
      <c r="H6407">
        <v>4810000</v>
      </c>
    </row>
    <row r="6408" spans="2:8" x14ac:dyDescent="0.25">
      <c r="B6408" t="str">
        <f t="shared" si="100"/>
        <v>MARPopulation ages 0-14, male</v>
      </c>
      <c r="C6408" t="s">
        <v>583</v>
      </c>
      <c r="D6408" t="s">
        <v>85</v>
      </c>
      <c r="E6408" t="s">
        <v>689</v>
      </c>
      <c r="F6408" t="s">
        <v>690</v>
      </c>
      <c r="G6408">
        <v>5048000</v>
      </c>
      <c r="H6408">
        <v>5070000</v>
      </c>
    </row>
    <row r="6409" spans="2:8" x14ac:dyDescent="0.25">
      <c r="B6409" t="str">
        <f t="shared" si="100"/>
        <v>MARPopulation ages 00-04, female</v>
      </c>
      <c r="C6409" t="s">
        <v>583</v>
      </c>
      <c r="D6409" t="s">
        <v>85</v>
      </c>
      <c r="E6409" t="s">
        <v>362</v>
      </c>
      <c r="F6409" t="s">
        <v>691</v>
      </c>
      <c r="G6409">
        <v>1641000</v>
      </c>
      <c r="H6409">
        <v>1619000</v>
      </c>
    </row>
    <row r="6410" spans="2:8" x14ac:dyDescent="0.25">
      <c r="B6410" t="str">
        <f t="shared" si="100"/>
        <v>MARPopulation ages 00-04, male</v>
      </c>
      <c r="C6410" t="s">
        <v>583</v>
      </c>
      <c r="D6410" t="s">
        <v>85</v>
      </c>
      <c r="E6410" t="s">
        <v>363</v>
      </c>
      <c r="F6410" t="s">
        <v>692</v>
      </c>
      <c r="G6410">
        <v>1729000</v>
      </c>
      <c r="H6410">
        <v>1706000</v>
      </c>
    </row>
    <row r="6411" spans="2:8" x14ac:dyDescent="0.25">
      <c r="B6411" t="str">
        <f t="shared" si="100"/>
        <v>MARPopulation ages 05-09, female</v>
      </c>
      <c r="C6411" t="s">
        <v>583</v>
      </c>
      <c r="D6411" t="s">
        <v>85</v>
      </c>
      <c r="E6411" t="s">
        <v>364</v>
      </c>
      <c r="F6411" t="s">
        <v>693</v>
      </c>
      <c r="G6411">
        <v>1646000</v>
      </c>
      <c r="H6411">
        <v>1670000</v>
      </c>
    </row>
    <row r="6412" spans="2:8" x14ac:dyDescent="0.25">
      <c r="B6412" t="str">
        <f t="shared" si="100"/>
        <v>MARPopulation ages 05-09, male</v>
      </c>
      <c r="C6412" t="s">
        <v>583</v>
      </c>
      <c r="D6412" t="s">
        <v>85</v>
      </c>
      <c r="E6412" t="s">
        <v>365</v>
      </c>
      <c r="F6412" t="s">
        <v>694</v>
      </c>
      <c r="G6412">
        <v>1734000</v>
      </c>
      <c r="H6412">
        <v>1758000</v>
      </c>
    </row>
    <row r="6413" spans="2:8" x14ac:dyDescent="0.25">
      <c r="B6413" t="str">
        <f t="shared" si="100"/>
        <v>MARPopulation ages 10-14, female</v>
      </c>
      <c r="C6413" t="s">
        <v>583</v>
      </c>
      <c r="D6413" t="s">
        <v>85</v>
      </c>
      <c r="E6413" t="s">
        <v>366</v>
      </c>
      <c r="F6413" t="s">
        <v>695</v>
      </c>
      <c r="G6413">
        <v>1502000</v>
      </c>
      <c r="H6413">
        <v>1522000</v>
      </c>
    </row>
    <row r="6414" spans="2:8" x14ac:dyDescent="0.25">
      <c r="B6414" t="str">
        <f t="shared" si="100"/>
        <v>MARPopulation ages 10-14, male</v>
      </c>
      <c r="C6414" t="s">
        <v>583</v>
      </c>
      <c r="D6414" t="s">
        <v>85</v>
      </c>
      <c r="E6414" t="s">
        <v>367</v>
      </c>
      <c r="F6414" t="s">
        <v>696</v>
      </c>
      <c r="G6414">
        <v>1584000</v>
      </c>
      <c r="H6414">
        <v>1606000</v>
      </c>
    </row>
    <row r="6415" spans="2:8" x14ac:dyDescent="0.25">
      <c r="B6415" t="str">
        <f t="shared" si="100"/>
        <v>MARPopulation ages 15-19, female</v>
      </c>
      <c r="C6415" t="s">
        <v>583</v>
      </c>
      <c r="D6415" t="s">
        <v>85</v>
      </c>
      <c r="E6415" t="s">
        <v>368</v>
      </c>
      <c r="F6415" t="s">
        <v>697</v>
      </c>
      <c r="G6415">
        <v>1443000</v>
      </c>
      <c r="H6415">
        <v>1451000</v>
      </c>
    </row>
    <row r="6416" spans="2:8" x14ac:dyDescent="0.25">
      <c r="B6416" t="str">
        <f t="shared" si="100"/>
        <v>MARPopulation ages 15-19, male</v>
      </c>
      <c r="C6416" t="s">
        <v>583</v>
      </c>
      <c r="D6416" t="s">
        <v>85</v>
      </c>
      <c r="E6416" t="s">
        <v>369</v>
      </c>
      <c r="F6416" t="s">
        <v>698</v>
      </c>
      <c r="G6416">
        <v>1510000</v>
      </c>
      <c r="H6416">
        <v>1519000</v>
      </c>
    </row>
    <row r="6417" spans="2:8" x14ac:dyDescent="0.25">
      <c r="B6417" t="str">
        <f t="shared" si="100"/>
        <v>MARPopulation ages 20-24, female</v>
      </c>
      <c r="C6417" t="s">
        <v>583</v>
      </c>
      <c r="D6417" t="s">
        <v>85</v>
      </c>
      <c r="E6417" t="s">
        <v>370</v>
      </c>
      <c r="F6417" t="s">
        <v>699</v>
      </c>
      <c r="G6417">
        <v>1426000</v>
      </c>
      <c r="H6417">
        <v>1409000</v>
      </c>
    </row>
    <row r="6418" spans="2:8" x14ac:dyDescent="0.25">
      <c r="B6418" t="str">
        <f t="shared" si="100"/>
        <v>MARPopulation ages 20-24, male</v>
      </c>
      <c r="C6418" t="s">
        <v>583</v>
      </c>
      <c r="D6418" t="s">
        <v>85</v>
      </c>
      <c r="E6418" t="s">
        <v>371</v>
      </c>
      <c r="F6418" t="s">
        <v>700</v>
      </c>
      <c r="G6418">
        <v>1483000</v>
      </c>
      <c r="H6418">
        <v>1466000</v>
      </c>
    </row>
    <row r="6419" spans="2:8" x14ac:dyDescent="0.25">
      <c r="B6419" t="str">
        <f t="shared" si="100"/>
        <v>MARPopulation ages 25-29, female</v>
      </c>
      <c r="C6419" t="s">
        <v>583</v>
      </c>
      <c r="D6419" t="s">
        <v>85</v>
      </c>
      <c r="E6419" t="s">
        <v>372</v>
      </c>
      <c r="F6419" t="s">
        <v>701</v>
      </c>
      <c r="G6419">
        <v>1494000</v>
      </c>
      <c r="H6419">
        <v>1487000</v>
      </c>
    </row>
    <row r="6420" spans="2:8" x14ac:dyDescent="0.25">
      <c r="B6420" t="str">
        <f t="shared" si="100"/>
        <v>MARPopulation ages 25-29, male</v>
      </c>
      <c r="C6420" t="s">
        <v>583</v>
      </c>
      <c r="D6420" t="s">
        <v>85</v>
      </c>
      <c r="E6420" t="s">
        <v>373</v>
      </c>
      <c r="F6420" t="s">
        <v>702</v>
      </c>
      <c r="G6420">
        <v>1521000</v>
      </c>
      <c r="H6420">
        <v>1522000</v>
      </c>
    </row>
    <row r="6421" spans="2:8" x14ac:dyDescent="0.25">
      <c r="B6421" t="str">
        <f t="shared" si="100"/>
        <v>MARPopulation ages 30-34, female</v>
      </c>
      <c r="C6421" t="s">
        <v>583</v>
      </c>
      <c r="D6421" t="s">
        <v>85</v>
      </c>
      <c r="E6421" t="s">
        <v>374</v>
      </c>
      <c r="F6421" t="s">
        <v>703</v>
      </c>
      <c r="G6421">
        <v>1443000</v>
      </c>
      <c r="H6421">
        <v>1444000</v>
      </c>
    </row>
    <row r="6422" spans="2:8" x14ac:dyDescent="0.25">
      <c r="B6422" t="str">
        <f t="shared" si="100"/>
        <v>MARPopulation ages 30-34, male</v>
      </c>
      <c r="C6422" t="s">
        <v>583</v>
      </c>
      <c r="D6422" t="s">
        <v>85</v>
      </c>
      <c r="E6422" t="s">
        <v>375</v>
      </c>
      <c r="F6422" t="s">
        <v>704</v>
      </c>
      <c r="G6422">
        <v>1403000</v>
      </c>
      <c r="H6422">
        <v>1418000</v>
      </c>
    </row>
    <row r="6423" spans="2:8" x14ac:dyDescent="0.25">
      <c r="B6423" t="str">
        <f t="shared" si="100"/>
        <v>MARPopulation ages 35-39, female</v>
      </c>
      <c r="C6423" t="s">
        <v>583</v>
      </c>
      <c r="D6423" t="s">
        <v>85</v>
      </c>
      <c r="E6423" t="s">
        <v>376</v>
      </c>
      <c r="F6423" t="s">
        <v>705</v>
      </c>
      <c r="G6423">
        <v>1401000</v>
      </c>
      <c r="H6423">
        <v>1423000</v>
      </c>
    </row>
    <row r="6424" spans="2:8" x14ac:dyDescent="0.25">
      <c r="B6424" t="str">
        <f t="shared" si="100"/>
        <v>MARPopulation ages 35-39, male</v>
      </c>
      <c r="C6424" t="s">
        <v>583</v>
      </c>
      <c r="D6424" t="s">
        <v>85</v>
      </c>
      <c r="E6424" t="s">
        <v>377</v>
      </c>
      <c r="F6424" t="s">
        <v>706</v>
      </c>
      <c r="G6424">
        <v>1289000</v>
      </c>
      <c r="H6424">
        <v>1321000</v>
      </c>
    </row>
    <row r="6425" spans="2:8" x14ac:dyDescent="0.25">
      <c r="B6425" t="str">
        <f t="shared" si="100"/>
        <v>MARPopulation ages 40-44, female</v>
      </c>
      <c r="C6425" t="s">
        <v>583</v>
      </c>
      <c r="D6425" t="s">
        <v>85</v>
      </c>
      <c r="E6425" t="s">
        <v>378</v>
      </c>
      <c r="F6425" t="s">
        <v>707</v>
      </c>
      <c r="G6425">
        <v>1219000</v>
      </c>
      <c r="H6425">
        <v>1249000</v>
      </c>
    </row>
    <row r="6426" spans="2:8" x14ac:dyDescent="0.25">
      <c r="B6426" t="str">
        <f t="shared" si="100"/>
        <v>MARPopulation ages 40-44, male</v>
      </c>
      <c r="C6426" t="s">
        <v>583</v>
      </c>
      <c r="D6426" t="s">
        <v>85</v>
      </c>
      <c r="E6426" t="s">
        <v>379</v>
      </c>
      <c r="F6426" t="s">
        <v>708</v>
      </c>
      <c r="G6426">
        <v>1078000</v>
      </c>
      <c r="H6426">
        <v>1112000</v>
      </c>
    </row>
    <row r="6427" spans="2:8" x14ac:dyDescent="0.25">
      <c r="B6427" t="str">
        <f t="shared" si="100"/>
        <v>MARPopulation ages 45-49, female</v>
      </c>
      <c r="C6427" t="s">
        <v>583</v>
      </c>
      <c r="D6427" t="s">
        <v>85</v>
      </c>
      <c r="E6427" t="s">
        <v>380</v>
      </c>
      <c r="F6427" t="s">
        <v>709</v>
      </c>
      <c r="G6427">
        <v>1096000</v>
      </c>
      <c r="H6427">
        <v>1117000</v>
      </c>
    </row>
    <row r="6428" spans="2:8" x14ac:dyDescent="0.25">
      <c r="B6428" t="str">
        <f t="shared" si="100"/>
        <v>MARPopulation ages 45-49, male</v>
      </c>
      <c r="C6428" t="s">
        <v>583</v>
      </c>
      <c r="D6428" t="s">
        <v>85</v>
      </c>
      <c r="E6428" t="s">
        <v>381</v>
      </c>
      <c r="F6428" t="s">
        <v>710</v>
      </c>
      <c r="G6428">
        <v>959000</v>
      </c>
      <c r="H6428">
        <v>975000</v>
      </c>
    </row>
    <row r="6429" spans="2:8" x14ac:dyDescent="0.25">
      <c r="B6429" t="str">
        <f t="shared" si="100"/>
        <v>MARPopulation ages 50-54, female</v>
      </c>
      <c r="C6429" t="s">
        <v>583</v>
      </c>
      <c r="D6429" t="s">
        <v>85</v>
      </c>
      <c r="E6429" t="s">
        <v>382</v>
      </c>
      <c r="F6429" t="s">
        <v>711</v>
      </c>
      <c r="G6429">
        <v>992000</v>
      </c>
      <c r="H6429">
        <v>1009000</v>
      </c>
    </row>
    <row r="6430" spans="2:8" x14ac:dyDescent="0.25">
      <c r="B6430" t="str">
        <f t="shared" si="100"/>
        <v>MARPopulation ages 50-54, male</v>
      </c>
      <c r="C6430" t="s">
        <v>583</v>
      </c>
      <c r="D6430" t="s">
        <v>85</v>
      </c>
      <c r="E6430" t="s">
        <v>383</v>
      </c>
      <c r="F6430" t="s">
        <v>712</v>
      </c>
      <c r="G6430">
        <v>916000</v>
      </c>
      <c r="H6430">
        <v>916000</v>
      </c>
    </row>
    <row r="6431" spans="2:8" x14ac:dyDescent="0.25">
      <c r="B6431" t="str">
        <f t="shared" si="100"/>
        <v>MARPopulation ages 55-59, male</v>
      </c>
      <c r="C6431" t="s">
        <v>583</v>
      </c>
      <c r="D6431" t="s">
        <v>85</v>
      </c>
      <c r="E6431" t="s">
        <v>385</v>
      </c>
      <c r="F6431" t="s">
        <v>713</v>
      </c>
      <c r="G6431">
        <v>892000</v>
      </c>
      <c r="H6431">
        <v>903000</v>
      </c>
    </row>
    <row r="6432" spans="2:8" x14ac:dyDescent="0.25">
      <c r="B6432" t="str">
        <f t="shared" si="100"/>
        <v>MARPopulation ages 55-59, female</v>
      </c>
      <c r="C6432" t="s">
        <v>583</v>
      </c>
      <c r="D6432" t="s">
        <v>85</v>
      </c>
      <c r="E6432" t="s">
        <v>384</v>
      </c>
      <c r="F6432" t="s">
        <v>714</v>
      </c>
      <c r="G6432">
        <v>899000</v>
      </c>
      <c r="H6432">
        <v>916000</v>
      </c>
    </row>
    <row r="6433" spans="2:8" x14ac:dyDescent="0.25">
      <c r="B6433" t="str">
        <f t="shared" si="100"/>
        <v>MARPopulation ages 65-69, male</v>
      </c>
      <c r="C6433" t="s">
        <v>583</v>
      </c>
      <c r="D6433" t="s">
        <v>85</v>
      </c>
      <c r="E6433" t="s">
        <v>389</v>
      </c>
      <c r="F6433" t="s">
        <v>715</v>
      </c>
      <c r="G6433">
        <v>540000</v>
      </c>
      <c r="H6433">
        <v>581000</v>
      </c>
    </row>
    <row r="6434" spans="2:8" x14ac:dyDescent="0.25">
      <c r="B6434" t="str">
        <f t="shared" si="100"/>
        <v>MARPopulation ages 65-69, female</v>
      </c>
      <c r="C6434" t="s">
        <v>583</v>
      </c>
      <c r="D6434" t="s">
        <v>85</v>
      </c>
      <c r="E6434" t="s">
        <v>388</v>
      </c>
      <c r="F6434" t="s">
        <v>716</v>
      </c>
      <c r="G6434">
        <v>541000</v>
      </c>
      <c r="H6434">
        <v>587000</v>
      </c>
    </row>
    <row r="6435" spans="2:8" x14ac:dyDescent="0.25">
      <c r="B6435" t="str">
        <f t="shared" si="100"/>
        <v>MARPopulation ages 60-64, female</v>
      </c>
      <c r="C6435" t="s">
        <v>583</v>
      </c>
      <c r="D6435" t="s">
        <v>85</v>
      </c>
      <c r="E6435" t="s">
        <v>386</v>
      </c>
      <c r="F6435" t="s">
        <v>717</v>
      </c>
      <c r="G6435">
        <v>761000</v>
      </c>
      <c r="H6435">
        <v>791000</v>
      </c>
    </row>
    <row r="6436" spans="2:8" x14ac:dyDescent="0.25">
      <c r="B6436" t="str">
        <f t="shared" si="100"/>
        <v>MARPopulation ages 60-64, male</v>
      </c>
      <c r="C6436" t="s">
        <v>583</v>
      </c>
      <c r="D6436" t="s">
        <v>85</v>
      </c>
      <c r="E6436" t="s">
        <v>387</v>
      </c>
      <c r="F6436" t="s">
        <v>718</v>
      </c>
      <c r="G6436">
        <v>747000</v>
      </c>
      <c r="H6436">
        <v>776000</v>
      </c>
    </row>
    <row r="6437" spans="2:8" x14ac:dyDescent="0.25">
      <c r="B6437" t="str">
        <f t="shared" si="100"/>
        <v>MARPopulation ages 70-74, female</v>
      </c>
      <c r="C6437" t="s">
        <v>583</v>
      </c>
      <c r="D6437" t="s">
        <v>85</v>
      </c>
      <c r="E6437" t="s">
        <v>390</v>
      </c>
      <c r="F6437" t="s">
        <v>719</v>
      </c>
      <c r="G6437">
        <v>324000</v>
      </c>
      <c r="H6437">
        <v>342000</v>
      </c>
    </row>
    <row r="6438" spans="2:8" x14ac:dyDescent="0.25">
      <c r="B6438" t="str">
        <f t="shared" si="100"/>
        <v>MARPopulation ages 70-74, male</v>
      </c>
      <c r="C6438" t="s">
        <v>583</v>
      </c>
      <c r="D6438" t="s">
        <v>85</v>
      </c>
      <c r="E6438" t="s">
        <v>391</v>
      </c>
      <c r="F6438" t="s">
        <v>720</v>
      </c>
      <c r="G6438">
        <v>318000</v>
      </c>
      <c r="H6438">
        <v>340000</v>
      </c>
    </row>
    <row r="6439" spans="2:8" x14ac:dyDescent="0.25">
      <c r="B6439" t="str">
        <f t="shared" si="100"/>
        <v>MARPopulation ages 75-79, female</v>
      </c>
      <c r="C6439" t="s">
        <v>583</v>
      </c>
      <c r="D6439" t="s">
        <v>85</v>
      </c>
      <c r="E6439" t="s">
        <v>392</v>
      </c>
      <c r="F6439" t="s">
        <v>721</v>
      </c>
      <c r="G6439">
        <v>282000</v>
      </c>
      <c r="H6439">
        <v>284000</v>
      </c>
    </row>
    <row r="6440" spans="2:8" x14ac:dyDescent="0.25">
      <c r="B6440" t="str">
        <f t="shared" si="100"/>
        <v>MARPopulation ages 75-79, male</v>
      </c>
      <c r="C6440" t="s">
        <v>583</v>
      </c>
      <c r="D6440" t="s">
        <v>85</v>
      </c>
      <c r="E6440" t="s">
        <v>393</v>
      </c>
      <c r="F6440" t="s">
        <v>722</v>
      </c>
      <c r="G6440">
        <v>224000</v>
      </c>
      <c r="H6440">
        <v>231000</v>
      </c>
    </row>
    <row r="6441" spans="2:8" x14ac:dyDescent="0.25">
      <c r="B6441" t="str">
        <f t="shared" si="100"/>
        <v>MARPopulation ages 80 and above, female</v>
      </c>
      <c r="C6441" t="s">
        <v>583</v>
      </c>
      <c r="D6441" t="s">
        <v>85</v>
      </c>
      <c r="E6441" t="s">
        <v>394</v>
      </c>
      <c r="F6441" t="s">
        <v>723</v>
      </c>
      <c r="G6441">
        <v>270000</v>
      </c>
      <c r="H6441">
        <v>275000</v>
      </c>
    </row>
    <row r="6442" spans="2:8" x14ac:dyDescent="0.25">
      <c r="B6442" t="str">
        <f t="shared" si="100"/>
        <v>MARPopulation ages 80 and above, male</v>
      </c>
      <c r="C6442" t="s">
        <v>583</v>
      </c>
      <c r="D6442" t="s">
        <v>85</v>
      </c>
      <c r="E6442" t="s">
        <v>395</v>
      </c>
      <c r="F6442" t="s">
        <v>724</v>
      </c>
      <c r="G6442">
        <v>165000</v>
      </c>
      <c r="H6442">
        <v>168000</v>
      </c>
    </row>
    <row r="6443" spans="2:8" x14ac:dyDescent="0.25">
      <c r="B6443" t="str">
        <f t="shared" si="100"/>
        <v>MARPopulation, male</v>
      </c>
      <c r="C6443" t="s">
        <v>583</v>
      </c>
      <c r="D6443" t="s">
        <v>85</v>
      </c>
      <c r="E6443" t="s">
        <v>397</v>
      </c>
      <c r="F6443" t="s">
        <v>725</v>
      </c>
      <c r="G6443">
        <v>18093000</v>
      </c>
      <c r="H6443">
        <v>18317000</v>
      </c>
    </row>
    <row r="6444" spans="2:8" x14ac:dyDescent="0.25">
      <c r="B6444" t="str">
        <f t="shared" si="100"/>
        <v>MARPopulation, total</v>
      </c>
      <c r="C6444" t="s">
        <v>583</v>
      </c>
      <c r="D6444" t="s">
        <v>85</v>
      </c>
      <c r="E6444" t="s">
        <v>398</v>
      </c>
      <c r="F6444" t="s">
        <v>726</v>
      </c>
      <c r="G6444">
        <v>36472000</v>
      </c>
      <c r="H6444">
        <v>36911000</v>
      </c>
    </row>
    <row r="6445" spans="2:8" x14ac:dyDescent="0.25">
      <c r="B6445" t="str">
        <f t="shared" si="100"/>
        <v>MARPopulation, female</v>
      </c>
      <c r="C6445" t="s">
        <v>583</v>
      </c>
      <c r="D6445" t="s">
        <v>85</v>
      </c>
      <c r="E6445" t="s">
        <v>396</v>
      </c>
      <c r="F6445" t="s">
        <v>727</v>
      </c>
      <c r="G6445">
        <v>18379000</v>
      </c>
      <c r="H6445">
        <v>18594000</v>
      </c>
    </row>
    <row r="6446" spans="2:8" x14ac:dyDescent="0.25">
      <c r="B6446" t="str">
        <f t="shared" si="100"/>
        <v>MARPopulation growth (annual %)</v>
      </c>
      <c r="C6446" t="s">
        <v>583</v>
      </c>
      <c r="D6446" t="s">
        <v>85</v>
      </c>
      <c r="E6446" t="s">
        <v>399</v>
      </c>
      <c r="F6446" t="s">
        <v>728</v>
      </c>
      <c r="G6446">
        <v>0</v>
      </c>
      <c r="H6446">
        <v>0</v>
      </c>
    </row>
    <row r="6447" spans="2:8" x14ac:dyDescent="0.25">
      <c r="B6447" t="str">
        <f t="shared" si="100"/>
        <v>MOZPopulation ages 0-14, female</v>
      </c>
      <c r="C6447" t="s">
        <v>207</v>
      </c>
      <c r="D6447" t="s">
        <v>97</v>
      </c>
      <c r="E6447" t="s">
        <v>687</v>
      </c>
      <c r="F6447" t="s">
        <v>688</v>
      </c>
      <c r="G6447">
        <v>6720000</v>
      </c>
      <c r="H6447">
        <v>6867000</v>
      </c>
    </row>
    <row r="6448" spans="2:8" x14ac:dyDescent="0.25">
      <c r="B6448" t="str">
        <f t="shared" si="100"/>
        <v>MOZPopulation ages 0-14, male</v>
      </c>
      <c r="C6448" t="s">
        <v>207</v>
      </c>
      <c r="D6448" t="s">
        <v>97</v>
      </c>
      <c r="E6448" t="s">
        <v>689</v>
      </c>
      <c r="F6448" t="s">
        <v>690</v>
      </c>
      <c r="G6448">
        <v>6753000</v>
      </c>
      <c r="H6448">
        <v>6905000</v>
      </c>
    </row>
    <row r="6449" spans="2:8" x14ac:dyDescent="0.25">
      <c r="B6449" t="str">
        <f t="shared" si="100"/>
        <v>MOZPopulation ages 00-04, female</v>
      </c>
      <c r="C6449" t="s">
        <v>207</v>
      </c>
      <c r="D6449" t="s">
        <v>97</v>
      </c>
      <c r="E6449" t="s">
        <v>362</v>
      </c>
      <c r="F6449" t="s">
        <v>691</v>
      </c>
      <c r="G6449">
        <v>2511000</v>
      </c>
      <c r="H6449">
        <v>2566000</v>
      </c>
    </row>
    <row r="6450" spans="2:8" x14ac:dyDescent="0.25">
      <c r="B6450" t="str">
        <f t="shared" si="100"/>
        <v>MOZPopulation ages 00-04, male</v>
      </c>
      <c r="C6450" t="s">
        <v>207</v>
      </c>
      <c r="D6450" t="s">
        <v>97</v>
      </c>
      <c r="E6450" t="s">
        <v>363</v>
      </c>
      <c r="F6450" t="s">
        <v>692</v>
      </c>
      <c r="G6450">
        <v>2536000</v>
      </c>
      <c r="H6450">
        <v>2591000</v>
      </c>
    </row>
    <row r="6451" spans="2:8" x14ac:dyDescent="0.25">
      <c r="B6451" t="str">
        <f t="shared" si="100"/>
        <v>MOZPopulation ages 05-09, female</v>
      </c>
      <c r="C6451" t="s">
        <v>207</v>
      </c>
      <c r="D6451" t="s">
        <v>97</v>
      </c>
      <c r="E6451" t="s">
        <v>364</v>
      </c>
      <c r="F6451" t="s">
        <v>693</v>
      </c>
      <c r="G6451">
        <v>2227000</v>
      </c>
      <c r="H6451">
        <v>2273000</v>
      </c>
    </row>
    <row r="6452" spans="2:8" x14ac:dyDescent="0.25">
      <c r="B6452" t="str">
        <f t="shared" si="100"/>
        <v>MOZPopulation ages 05-09, male</v>
      </c>
      <c r="C6452" t="s">
        <v>207</v>
      </c>
      <c r="D6452" t="s">
        <v>97</v>
      </c>
      <c r="E6452" t="s">
        <v>365</v>
      </c>
      <c r="F6452" t="s">
        <v>694</v>
      </c>
      <c r="G6452">
        <v>2239000</v>
      </c>
      <c r="H6452">
        <v>2288000</v>
      </c>
    </row>
    <row r="6453" spans="2:8" x14ac:dyDescent="0.25">
      <c r="B6453" t="str">
        <f t="shared" si="100"/>
        <v>MOZPopulation ages 10-14, female</v>
      </c>
      <c r="C6453" t="s">
        <v>207</v>
      </c>
      <c r="D6453" t="s">
        <v>97</v>
      </c>
      <c r="E6453" t="s">
        <v>366</v>
      </c>
      <c r="F6453" t="s">
        <v>695</v>
      </c>
      <c r="G6453">
        <v>1982000</v>
      </c>
      <c r="H6453">
        <v>2028000</v>
      </c>
    </row>
    <row r="6454" spans="2:8" x14ac:dyDescent="0.25">
      <c r="B6454" t="str">
        <f t="shared" si="100"/>
        <v>MOZPopulation ages 10-14, male</v>
      </c>
      <c r="C6454" t="s">
        <v>207</v>
      </c>
      <c r="D6454" t="s">
        <v>97</v>
      </c>
      <c r="E6454" t="s">
        <v>367</v>
      </c>
      <c r="F6454" t="s">
        <v>696</v>
      </c>
      <c r="G6454">
        <v>1977000</v>
      </c>
      <c r="H6454">
        <v>2026000</v>
      </c>
    </row>
    <row r="6455" spans="2:8" x14ac:dyDescent="0.25">
      <c r="B6455" t="str">
        <f t="shared" si="100"/>
        <v>MOZPopulation ages 15-19, female</v>
      </c>
      <c r="C6455" t="s">
        <v>207</v>
      </c>
      <c r="D6455" t="s">
        <v>97</v>
      </c>
      <c r="E6455" t="s">
        <v>368</v>
      </c>
      <c r="F6455" t="s">
        <v>697</v>
      </c>
      <c r="G6455">
        <v>1725000</v>
      </c>
      <c r="H6455">
        <v>1781000</v>
      </c>
    </row>
    <row r="6456" spans="2:8" x14ac:dyDescent="0.25">
      <c r="B6456" t="str">
        <f t="shared" si="100"/>
        <v>MOZPopulation ages 15-19, male</v>
      </c>
      <c r="C6456" t="s">
        <v>207</v>
      </c>
      <c r="D6456" t="s">
        <v>97</v>
      </c>
      <c r="E6456" t="s">
        <v>369</v>
      </c>
      <c r="F6456" t="s">
        <v>698</v>
      </c>
      <c r="G6456">
        <v>1702000</v>
      </c>
      <c r="H6456">
        <v>1760000</v>
      </c>
    </row>
    <row r="6457" spans="2:8" x14ac:dyDescent="0.25">
      <c r="B6457" t="str">
        <f t="shared" si="100"/>
        <v>MOZPopulation ages 20-24, female</v>
      </c>
      <c r="C6457" t="s">
        <v>207</v>
      </c>
      <c r="D6457" t="s">
        <v>97</v>
      </c>
      <c r="E6457" t="s">
        <v>370</v>
      </c>
      <c r="F6457" t="s">
        <v>699</v>
      </c>
      <c r="G6457">
        <v>1418000</v>
      </c>
      <c r="H6457">
        <v>1473000</v>
      </c>
    </row>
    <row r="6458" spans="2:8" x14ac:dyDescent="0.25">
      <c r="B6458" t="str">
        <f t="shared" si="100"/>
        <v>MOZPopulation ages 20-24, male</v>
      </c>
      <c r="C6458" t="s">
        <v>207</v>
      </c>
      <c r="D6458" t="s">
        <v>97</v>
      </c>
      <c r="E6458" t="s">
        <v>371</v>
      </c>
      <c r="F6458" t="s">
        <v>700</v>
      </c>
      <c r="G6458">
        <v>1384000</v>
      </c>
      <c r="H6458">
        <v>1439000</v>
      </c>
    </row>
    <row r="6459" spans="2:8" x14ac:dyDescent="0.25">
      <c r="B6459" t="str">
        <f t="shared" si="100"/>
        <v>MOZPopulation ages 25-29, female</v>
      </c>
      <c r="C6459" t="s">
        <v>207</v>
      </c>
      <c r="D6459" t="s">
        <v>97</v>
      </c>
      <c r="E6459" t="s">
        <v>372</v>
      </c>
      <c r="F6459" t="s">
        <v>701</v>
      </c>
      <c r="G6459">
        <v>1169000</v>
      </c>
      <c r="H6459">
        <v>1211000</v>
      </c>
    </row>
    <row r="6460" spans="2:8" x14ac:dyDescent="0.25">
      <c r="B6460" t="str">
        <f t="shared" si="100"/>
        <v>MOZPopulation ages 25-29, male</v>
      </c>
      <c r="C6460" t="s">
        <v>207</v>
      </c>
      <c r="D6460" t="s">
        <v>97</v>
      </c>
      <c r="E6460" t="s">
        <v>373</v>
      </c>
      <c r="F6460" t="s">
        <v>702</v>
      </c>
      <c r="G6460">
        <v>1130000</v>
      </c>
      <c r="H6460">
        <v>1171000</v>
      </c>
    </row>
    <row r="6461" spans="2:8" x14ac:dyDescent="0.25">
      <c r="B6461" t="str">
        <f t="shared" si="100"/>
        <v>MOZPopulation ages 30-34, female</v>
      </c>
      <c r="C6461" t="s">
        <v>207</v>
      </c>
      <c r="D6461" t="s">
        <v>97</v>
      </c>
      <c r="E6461" t="s">
        <v>374</v>
      </c>
      <c r="F6461" t="s">
        <v>703</v>
      </c>
      <c r="G6461">
        <v>973000</v>
      </c>
      <c r="H6461">
        <v>1002000</v>
      </c>
    </row>
    <row r="6462" spans="2:8" x14ac:dyDescent="0.25">
      <c r="B6462" t="str">
        <f t="shared" si="100"/>
        <v>MOZPopulation ages 30-34, male</v>
      </c>
      <c r="C6462" t="s">
        <v>207</v>
      </c>
      <c r="D6462" t="s">
        <v>97</v>
      </c>
      <c r="E6462" t="s">
        <v>375</v>
      </c>
      <c r="F6462" t="s">
        <v>704</v>
      </c>
      <c r="G6462">
        <v>928000</v>
      </c>
      <c r="H6462">
        <v>960000</v>
      </c>
    </row>
    <row r="6463" spans="2:8" x14ac:dyDescent="0.25">
      <c r="B6463" t="str">
        <f t="shared" si="100"/>
        <v>MOZPopulation ages 35-39, female</v>
      </c>
      <c r="C6463" t="s">
        <v>207</v>
      </c>
      <c r="D6463" t="s">
        <v>97</v>
      </c>
      <c r="E6463" t="s">
        <v>376</v>
      </c>
      <c r="F6463" t="s">
        <v>705</v>
      </c>
      <c r="G6463">
        <v>822000</v>
      </c>
      <c r="H6463">
        <v>848000</v>
      </c>
    </row>
    <row r="6464" spans="2:8" x14ac:dyDescent="0.25">
      <c r="B6464" t="str">
        <f t="shared" si="100"/>
        <v>MOZPopulation ages 35-39, male</v>
      </c>
      <c r="C6464" t="s">
        <v>207</v>
      </c>
      <c r="D6464" t="s">
        <v>97</v>
      </c>
      <c r="E6464" t="s">
        <v>377</v>
      </c>
      <c r="F6464" t="s">
        <v>706</v>
      </c>
      <c r="G6464">
        <v>750000</v>
      </c>
      <c r="H6464">
        <v>779000</v>
      </c>
    </row>
    <row r="6465" spans="2:8" x14ac:dyDescent="0.25">
      <c r="B6465" t="str">
        <f t="shared" si="100"/>
        <v>MOZPopulation ages 40-44, female</v>
      </c>
      <c r="C6465" t="s">
        <v>207</v>
      </c>
      <c r="D6465" t="s">
        <v>97</v>
      </c>
      <c r="E6465" t="s">
        <v>378</v>
      </c>
      <c r="F6465" t="s">
        <v>707</v>
      </c>
      <c r="G6465">
        <v>662000</v>
      </c>
      <c r="H6465">
        <v>686000</v>
      </c>
    </row>
    <row r="6466" spans="2:8" x14ac:dyDescent="0.25">
      <c r="B6466" t="str">
        <f t="shared" si="100"/>
        <v>MOZPopulation ages 40-44, male</v>
      </c>
      <c r="C6466" t="s">
        <v>207</v>
      </c>
      <c r="D6466" t="s">
        <v>97</v>
      </c>
      <c r="E6466" t="s">
        <v>379</v>
      </c>
      <c r="F6466" t="s">
        <v>708</v>
      </c>
      <c r="G6466">
        <v>575000</v>
      </c>
      <c r="H6466">
        <v>602000</v>
      </c>
    </row>
    <row r="6467" spans="2:8" x14ac:dyDescent="0.25">
      <c r="B6467" t="str">
        <f t="shared" si="100"/>
        <v>MOZPopulation ages 45-49, female</v>
      </c>
      <c r="C6467" t="s">
        <v>207</v>
      </c>
      <c r="D6467" t="s">
        <v>97</v>
      </c>
      <c r="E6467" t="s">
        <v>380</v>
      </c>
      <c r="F6467" t="s">
        <v>709</v>
      </c>
      <c r="G6467">
        <v>540000</v>
      </c>
      <c r="H6467">
        <v>558000</v>
      </c>
    </row>
    <row r="6468" spans="2:8" x14ac:dyDescent="0.25">
      <c r="B6468" t="str">
        <f t="shared" si="100"/>
        <v>MOZPopulation ages 45-49, male</v>
      </c>
      <c r="C6468" t="s">
        <v>207</v>
      </c>
      <c r="D6468" t="s">
        <v>97</v>
      </c>
      <c r="E6468" t="s">
        <v>381</v>
      </c>
      <c r="F6468" t="s">
        <v>710</v>
      </c>
      <c r="G6468">
        <v>424000</v>
      </c>
      <c r="H6468">
        <v>444000</v>
      </c>
    </row>
    <row r="6469" spans="2:8" x14ac:dyDescent="0.25">
      <c r="B6469" t="str">
        <f t="shared" si="100"/>
        <v>MOZPopulation ages 50-54, female</v>
      </c>
      <c r="C6469" t="s">
        <v>207</v>
      </c>
      <c r="D6469" t="s">
        <v>97</v>
      </c>
      <c r="E6469" t="s">
        <v>382</v>
      </c>
      <c r="F6469" t="s">
        <v>711</v>
      </c>
      <c r="G6469">
        <v>438000</v>
      </c>
      <c r="H6469">
        <v>453000</v>
      </c>
    </row>
    <row r="6470" spans="2:8" x14ac:dyDescent="0.25">
      <c r="B6470" t="str">
        <f t="shared" si="100"/>
        <v>MOZPopulation ages 50-54, male</v>
      </c>
      <c r="C6470" t="s">
        <v>207</v>
      </c>
      <c r="D6470" t="s">
        <v>97</v>
      </c>
      <c r="E6470" t="s">
        <v>383</v>
      </c>
      <c r="F6470" t="s">
        <v>712</v>
      </c>
      <c r="G6470">
        <v>319000</v>
      </c>
      <c r="H6470">
        <v>329000</v>
      </c>
    </row>
    <row r="6471" spans="2:8" x14ac:dyDescent="0.25">
      <c r="B6471" t="str">
        <f t="shared" ref="B6471:B6534" si="101">CONCATENATE(D6471,E6471)</f>
        <v>MOZPopulation ages 55-59, male</v>
      </c>
      <c r="C6471" t="s">
        <v>207</v>
      </c>
      <c r="D6471" t="s">
        <v>97</v>
      </c>
      <c r="E6471" t="s">
        <v>385</v>
      </c>
      <c r="F6471" t="s">
        <v>713</v>
      </c>
      <c r="G6471">
        <v>256000</v>
      </c>
      <c r="H6471">
        <v>263000</v>
      </c>
    </row>
    <row r="6472" spans="2:8" x14ac:dyDescent="0.25">
      <c r="B6472" t="str">
        <f t="shared" si="101"/>
        <v>MOZPopulation ages 55-59, female</v>
      </c>
      <c r="C6472" t="s">
        <v>207</v>
      </c>
      <c r="D6472" t="s">
        <v>97</v>
      </c>
      <c r="E6472" t="s">
        <v>384</v>
      </c>
      <c r="F6472" t="s">
        <v>714</v>
      </c>
      <c r="G6472">
        <v>342000</v>
      </c>
      <c r="H6472">
        <v>355000</v>
      </c>
    </row>
    <row r="6473" spans="2:8" x14ac:dyDescent="0.25">
      <c r="B6473" t="str">
        <f t="shared" si="101"/>
        <v>MOZPopulation ages 65-69, male</v>
      </c>
      <c r="C6473" t="s">
        <v>207</v>
      </c>
      <c r="D6473" t="s">
        <v>97</v>
      </c>
      <c r="E6473" t="s">
        <v>389</v>
      </c>
      <c r="F6473" t="s">
        <v>715</v>
      </c>
      <c r="G6473">
        <v>146000</v>
      </c>
      <c r="H6473">
        <v>150000</v>
      </c>
    </row>
    <row r="6474" spans="2:8" x14ac:dyDescent="0.25">
      <c r="B6474" t="str">
        <f t="shared" si="101"/>
        <v>MOZPopulation ages 65-69, female</v>
      </c>
      <c r="C6474" t="s">
        <v>207</v>
      </c>
      <c r="D6474" t="s">
        <v>97</v>
      </c>
      <c r="E6474" t="s">
        <v>388</v>
      </c>
      <c r="F6474" t="s">
        <v>716</v>
      </c>
      <c r="G6474">
        <v>214000</v>
      </c>
      <c r="H6474">
        <v>219000</v>
      </c>
    </row>
    <row r="6475" spans="2:8" x14ac:dyDescent="0.25">
      <c r="B6475" t="str">
        <f t="shared" si="101"/>
        <v>MOZPopulation ages 60-64, female</v>
      </c>
      <c r="C6475" t="s">
        <v>207</v>
      </c>
      <c r="D6475" t="s">
        <v>97</v>
      </c>
      <c r="E6475" t="s">
        <v>386</v>
      </c>
      <c r="F6475" t="s">
        <v>717</v>
      </c>
      <c r="G6475">
        <v>267000</v>
      </c>
      <c r="H6475">
        <v>275000</v>
      </c>
    </row>
    <row r="6476" spans="2:8" x14ac:dyDescent="0.25">
      <c r="B6476" t="str">
        <f t="shared" si="101"/>
        <v>MOZPopulation ages 60-64, male</v>
      </c>
      <c r="C6476" t="s">
        <v>207</v>
      </c>
      <c r="D6476" t="s">
        <v>97</v>
      </c>
      <c r="E6476" t="s">
        <v>387</v>
      </c>
      <c r="F6476" t="s">
        <v>718</v>
      </c>
      <c r="G6476">
        <v>195000</v>
      </c>
      <c r="H6476">
        <v>200000</v>
      </c>
    </row>
    <row r="6477" spans="2:8" x14ac:dyDescent="0.25">
      <c r="B6477" t="str">
        <f t="shared" si="101"/>
        <v>MOZPopulation ages 70-74, female</v>
      </c>
      <c r="C6477" t="s">
        <v>207</v>
      </c>
      <c r="D6477" t="s">
        <v>97</v>
      </c>
      <c r="E6477" t="s">
        <v>390</v>
      </c>
      <c r="F6477" t="s">
        <v>719</v>
      </c>
      <c r="G6477">
        <v>158000</v>
      </c>
      <c r="H6477">
        <v>163000</v>
      </c>
    </row>
    <row r="6478" spans="2:8" x14ac:dyDescent="0.25">
      <c r="B6478" t="str">
        <f t="shared" si="101"/>
        <v>MOZPopulation ages 70-74, male</v>
      </c>
      <c r="C6478" t="s">
        <v>207</v>
      </c>
      <c r="D6478" t="s">
        <v>97</v>
      </c>
      <c r="E6478" t="s">
        <v>391</v>
      </c>
      <c r="F6478" t="s">
        <v>720</v>
      </c>
      <c r="G6478">
        <v>97000</v>
      </c>
      <c r="H6478">
        <v>99000</v>
      </c>
    </row>
    <row r="6479" spans="2:8" x14ac:dyDescent="0.25">
      <c r="B6479" t="str">
        <f t="shared" si="101"/>
        <v>MOZPopulation ages 75-79, female</v>
      </c>
      <c r="C6479" t="s">
        <v>207</v>
      </c>
      <c r="D6479" t="s">
        <v>97</v>
      </c>
      <c r="E6479" t="s">
        <v>392</v>
      </c>
      <c r="F6479" t="s">
        <v>721</v>
      </c>
      <c r="G6479">
        <v>100000</v>
      </c>
      <c r="H6479">
        <v>103000</v>
      </c>
    </row>
    <row r="6480" spans="2:8" x14ac:dyDescent="0.25">
      <c r="B6480" t="str">
        <f t="shared" si="101"/>
        <v>MOZPopulation ages 75-79, male</v>
      </c>
      <c r="C6480" t="s">
        <v>207</v>
      </c>
      <c r="D6480" t="s">
        <v>97</v>
      </c>
      <c r="E6480" t="s">
        <v>393</v>
      </c>
      <c r="F6480" t="s">
        <v>722</v>
      </c>
      <c r="G6480">
        <v>54000</v>
      </c>
      <c r="H6480">
        <v>55000</v>
      </c>
    </row>
    <row r="6481" spans="2:8" x14ac:dyDescent="0.25">
      <c r="B6481" t="str">
        <f t="shared" si="101"/>
        <v>MOZPopulation ages 80 and above, female</v>
      </c>
      <c r="C6481" t="s">
        <v>207</v>
      </c>
      <c r="D6481" t="s">
        <v>97</v>
      </c>
      <c r="E6481" t="s">
        <v>394</v>
      </c>
      <c r="F6481" t="s">
        <v>723</v>
      </c>
      <c r="G6481">
        <v>73000</v>
      </c>
      <c r="H6481">
        <v>73000</v>
      </c>
    </row>
    <row r="6482" spans="2:8" x14ac:dyDescent="0.25">
      <c r="B6482" t="str">
        <f t="shared" si="101"/>
        <v>MOZPopulation ages 80 and above, male</v>
      </c>
      <c r="C6482" t="s">
        <v>207</v>
      </c>
      <c r="D6482" t="s">
        <v>97</v>
      </c>
      <c r="E6482" t="s">
        <v>395</v>
      </c>
      <c r="F6482" t="s">
        <v>724</v>
      </c>
      <c r="G6482">
        <v>32000</v>
      </c>
      <c r="H6482">
        <v>32000</v>
      </c>
    </row>
    <row r="6483" spans="2:8" x14ac:dyDescent="0.25">
      <c r="B6483" t="str">
        <f t="shared" si="101"/>
        <v>MOZPopulation, male</v>
      </c>
      <c r="C6483" t="s">
        <v>207</v>
      </c>
      <c r="D6483" t="s">
        <v>97</v>
      </c>
      <c r="E6483" t="s">
        <v>397</v>
      </c>
      <c r="F6483" t="s">
        <v>725</v>
      </c>
      <c r="G6483">
        <v>14746000</v>
      </c>
      <c r="H6483">
        <v>15188000</v>
      </c>
    </row>
    <row r="6484" spans="2:8" x14ac:dyDescent="0.25">
      <c r="B6484" t="str">
        <f t="shared" si="101"/>
        <v>MOZPopulation, total</v>
      </c>
      <c r="C6484" t="s">
        <v>207</v>
      </c>
      <c r="D6484" t="s">
        <v>97</v>
      </c>
      <c r="E6484" t="s">
        <v>398</v>
      </c>
      <c r="F6484" t="s">
        <v>726</v>
      </c>
      <c r="G6484">
        <v>30366000</v>
      </c>
      <c r="H6484">
        <v>31255000</v>
      </c>
    </row>
    <row r="6485" spans="2:8" x14ac:dyDescent="0.25">
      <c r="B6485" t="str">
        <f t="shared" si="101"/>
        <v>MOZPopulation, female</v>
      </c>
      <c r="C6485" t="s">
        <v>207</v>
      </c>
      <c r="D6485" t="s">
        <v>97</v>
      </c>
      <c r="E6485" t="s">
        <v>396</v>
      </c>
      <c r="F6485" t="s">
        <v>727</v>
      </c>
      <c r="G6485">
        <v>15620000</v>
      </c>
      <c r="H6485">
        <v>16067000</v>
      </c>
    </row>
    <row r="6486" spans="2:8" x14ac:dyDescent="0.25">
      <c r="B6486" t="str">
        <f t="shared" si="101"/>
        <v>MOZPopulation growth (annual %)</v>
      </c>
      <c r="C6486" t="s">
        <v>207</v>
      </c>
      <c r="D6486" t="s">
        <v>97</v>
      </c>
      <c r="E6486" t="s">
        <v>399</v>
      </c>
      <c r="F6486" t="s">
        <v>728</v>
      </c>
      <c r="G6486">
        <v>0</v>
      </c>
      <c r="H6486">
        <v>0</v>
      </c>
    </row>
    <row r="6487" spans="2:8" x14ac:dyDescent="0.25">
      <c r="B6487" t="str">
        <f t="shared" si="101"/>
        <v>MMRPopulation ages 0-14, female</v>
      </c>
      <c r="C6487" t="s">
        <v>244</v>
      </c>
      <c r="D6487" t="s">
        <v>94</v>
      </c>
      <c r="E6487" t="s">
        <v>687</v>
      </c>
      <c r="F6487" t="s">
        <v>688</v>
      </c>
      <c r="G6487">
        <v>6957000</v>
      </c>
      <c r="H6487">
        <v>6886000</v>
      </c>
    </row>
    <row r="6488" spans="2:8" x14ac:dyDescent="0.25">
      <c r="B6488" t="str">
        <f t="shared" si="101"/>
        <v>MMRPopulation ages 0-14, male</v>
      </c>
      <c r="C6488" t="s">
        <v>244</v>
      </c>
      <c r="D6488" t="s">
        <v>94</v>
      </c>
      <c r="E6488" t="s">
        <v>689</v>
      </c>
      <c r="F6488" t="s">
        <v>690</v>
      </c>
      <c r="G6488">
        <v>7049000</v>
      </c>
      <c r="H6488">
        <v>6981000</v>
      </c>
    </row>
    <row r="6489" spans="2:8" x14ac:dyDescent="0.25">
      <c r="B6489" t="str">
        <f t="shared" si="101"/>
        <v>MMRPopulation ages 00-04, female</v>
      </c>
      <c r="C6489" t="s">
        <v>244</v>
      </c>
      <c r="D6489" t="s">
        <v>94</v>
      </c>
      <c r="E6489" t="s">
        <v>362</v>
      </c>
      <c r="F6489" t="s">
        <v>691</v>
      </c>
      <c r="G6489">
        <v>2234000</v>
      </c>
      <c r="H6489">
        <v>2232000</v>
      </c>
    </row>
    <row r="6490" spans="2:8" x14ac:dyDescent="0.25">
      <c r="B6490" t="str">
        <f t="shared" si="101"/>
        <v>MMRPopulation ages 00-04, male</v>
      </c>
      <c r="C6490" t="s">
        <v>244</v>
      </c>
      <c r="D6490" t="s">
        <v>94</v>
      </c>
      <c r="E6490" t="s">
        <v>363</v>
      </c>
      <c r="F6490" t="s">
        <v>692</v>
      </c>
      <c r="G6490">
        <v>2277000</v>
      </c>
      <c r="H6490">
        <v>2277000</v>
      </c>
    </row>
    <row r="6491" spans="2:8" x14ac:dyDescent="0.25">
      <c r="B6491" t="str">
        <f t="shared" si="101"/>
        <v>MMRPopulation ages 05-09, female</v>
      </c>
      <c r="C6491" t="s">
        <v>244</v>
      </c>
      <c r="D6491" t="s">
        <v>94</v>
      </c>
      <c r="E6491" t="s">
        <v>364</v>
      </c>
      <c r="F6491" t="s">
        <v>693</v>
      </c>
      <c r="G6491">
        <v>2272000</v>
      </c>
      <c r="H6491">
        <v>2241000</v>
      </c>
    </row>
    <row r="6492" spans="2:8" x14ac:dyDescent="0.25">
      <c r="B6492" t="str">
        <f t="shared" si="101"/>
        <v>MMRPopulation ages 05-09, male</v>
      </c>
      <c r="C6492" t="s">
        <v>244</v>
      </c>
      <c r="D6492" t="s">
        <v>94</v>
      </c>
      <c r="E6492" t="s">
        <v>365</v>
      </c>
      <c r="F6492" t="s">
        <v>694</v>
      </c>
      <c r="G6492">
        <v>2301000</v>
      </c>
      <c r="H6492">
        <v>2272000</v>
      </c>
    </row>
    <row r="6493" spans="2:8" x14ac:dyDescent="0.25">
      <c r="B6493" t="str">
        <f t="shared" si="101"/>
        <v>MMRPopulation ages 10-14, female</v>
      </c>
      <c r="C6493" t="s">
        <v>244</v>
      </c>
      <c r="D6493" t="s">
        <v>94</v>
      </c>
      <c r="E6493" t="s">
        <v>366</v>
      </c>
      <c r="F6493" t="s">
        <v>695</v>
      </c>
      <c r="G6493">
        <v>2451000</v>
      </c>
      <c r="H6493">
        <v>2413000</v>
      </c>
    </row>
    <row r="6494" spans="2:8" x14ac:dyDescent="0.25">
      <c r="B6494" t="str">
        <f t="shared" si="101"/>
        <v>MMRPopulation ages 10-14, male</v>
      </c>
      <c r="C6494" t="s">
        <v>244</v>
      </c>
      <c r="D6494" t="s">
        <v>94</v>
      </c>
      <c r="E6494" t="s">
        <v>367</v>
      </c>
      <c r="F6494" t="s">
        <v>696</v>
      </c>
      <c r="G6494">
        <v>2471000</v>
      </c>
      <c r="H6494">
        <v>2433000</v>
      </c>
    </row>
    <row r="6495" spans="2:8" x14ac:dyDescent="0.25">
      <c r="B6495" t="str">
        <f t="shared" si="101"/>
        <v>MMRPopulation ages 15-19, female</v>
      </c>
      <c r="C6495" t="s">
        <v>244</v>
      </c>
      <c r="D6495" t="s">
        <v>94</v>
      </c>
      <c r="E6495" t="s">
        <v>368</v>
      </c>
      <c r="F6495" t="s">
        <v>697</v>
      </c>
      <c r="G6495">
        <v>2533000</v>
      </c>
      <c r="H6495">
        <v>2531000</v>
      </c>
    </row>
    <row r="6496" spans="2:8" x14ac:dyDescent="0.25">
      <c r="B6496" t="str">
        <f t="shared" si="101"/>
        <v>MMRPopulation ages 15-19, male</v>
      </c>
      <c r="C6496" t="s">
        <v>244</v>
      </c>
      <c r="D6496" t="s">
        <v>94</v>
      </c>
      <c r="E6496" t="s">
        <v>369</v>
      </c>
      <c r="F6496" t="s">
        <v>698</v>
      </c>
      <c r="G6496">
        <v>2539000</v>
      </c>
      <c r="H6496">
        <v>2541000</v>
      </c>
    </row>
    <row r="6497" spans="2:8" x14ac:dyDescent="0.25">
      <c r="B6497" t="str">
        <f t="shared" si="101"/>
        <v>MMRPopulation ages 20-24, female</v>
      </c>
      <c r="C6497" t="s">
        <v>244</v>
      </c>
      <c r="D6497" t="s">
        <v>94</v>
      </c>
      <c r="E6497" t="s">
        <v>370</v>
      </c>
      <c r="F6497" t="s">
        <v>699</v>
      </c>
      <c r="G6497">
        <v>2377000</v>
      </c>
      <c r="H6497">
        <v>2392000</v>
      </c>
    </row>
    <row r="6498" spans="2:8" x14ac:dyDescent="0.25">
      <c r="B6498" t="str">
        <f t="shared" si="101"/>
        <v>MMRPopulation ages 20-24, male</v>
      </c>
      <c r="C6498" t="s">
        <v>244</v>
      </c>
      <c r="D6498" t="s">
        <v>94</v>
      </c>
      <c r="E6498" t="s">
        <v>371</v>
      </c>
      <c r="F6498" t="s">
        <v>700</v>
      </c>
      <c r="G6498">
        <v>2346000</v>
      </c>
      <c r="H6498">
        <v>2367000</v>
      </c>
    </row>
    <row r="6499" spans="2:8" x14ac:dyDescent="0.25">
      <c r="B6499" t="str">
        <f t="shared" si="101"/>
        <v>MMRPopulation ages 25-29, female</v>
      </c>
      <c r="C6499" t="s">
        <v>244</v>
      </c>
      <c r="D6499" t="s">
        <v>94</v>
      </c>
      <c r="E6499" t="s">
        <v>372</v>
      </c>
      <c r="F6499" t="s">
        <v>701</v>
      </c>
      <c r="G6499">
        <v>2223000</v>
      </c>
      <c r="H6499">
        <v>2234000</v>
      </c>
    </row>
    <row r="6500" spans="2:8" x14ac:dyDescent="0.25">
      <c r="B6500" t="str">
        <f t="shared" si="101"/>
        <v>MMRPopulation ages 25-29, male</v>
      </c>
      <c r="C6500" t="s">
        <v>244</v>
      </c>
      <c r="D6500" t="s">
        <v>94</v>
      </c>
      <c r="E6500" t="s">
        <v>373</v>
      </c>
      <c r="F6500" t="s">
        <v>702</v>
      </c>
      <c r="G6500">
        <v>2154000</v>
      </c>
      <c r="H6500">
        <v>2170000</v>
      </c>
    </row>
    <row r="6501" spans="2:8" x14ac:dyDescent="0.25">
      <c r="B6501" t="str">
        <f t="shared" si="101"/>
        <v>MMRPopulation ages 30-34, female</v>
      </c>
      <c r="C6501" t="s">
        <v>244</v>
      </c>
      <c r="D6501" t="s">
        <v>94</v>
      </c>
      <c r="E6501" t="s">
        <v>374</v>
      </c>
      <c r="F6501" t="s">
        <v>703</v>
      </c>
      <c r="G6501">
        <v>2108000</v>
      </c>
      <c r="H6501">
        <v>2116000</v>
      </c>
    </row>
    <row r="6502" spans="2:8" x14ac:dyDescent="0.25">
      <c r="B6502" t="str">
        <f t="shared" si="101"/>
        <v>MMRPopulation ages 30-34, male</v>
      </c>
      <c r="C6502" t="s">
        <v>244</v>
      </c>
      <c r="D6502" t="s">
        <v>94</v>
      </c>
      <c r="E6502" t="s">
        <v>375</v>
      </c>
      <c r="F6502" t="s">
        <v>704</v>
      </c>
      <c r="G6502">
        <v>2006000</v>
      </c>
      <c r="H6502">
        <v>2012000</v>
      </c>
    </row>
    <row r="6503" spans="2:8" x14ac:dyDescent="0.25">
      <c r="B6503" t="str">
        <f t="shared" si="101"/>
        <v>MMRPopulation ages 35-39, female</v>
      </c>
      <c r="C6503" t="s">
        <v>244</v>
      </c>
      <c r="D6503" t="s">
        <v>94</v>
      </c>
      <c r="E6503" t="s">
        <v>376</v>
      </c>
      <c r="F6503" t="s">
        <v>705</v>
      </c>
      <c r="G6503">
        <v>2016000</v>
      </c>
      <c r="H6503">
        <v>2020000</v>
      </c>
    </row>
    <row r="6504" spans="2:8" x14ac:dyDescent="0.25">
      <c r="B6504" t="str">
        <f t="shared" si="101"/>
        <v>MMRPopulation ages 35-39, male</v>
      </c>
      <c r="C6504" t="s">
        <v>244</v>
      </c>
      <c r="D6504" t="s">
        <v>94</v>
      </c>
      <c r="E6504" t="s">
        <v>377</v>
      </c>
      <c r="F6504" t="s">
        <v>706</v>
      </c>
      <c r="G6504">
        <v>1919000</v>
      </c>
      <c r="H6504">
        <v>1925000</v>
      </c>
    </row>
    <row r="6505" spans="2:8" x14ac:dyDescent="0.25">
      <c r="B6505" t="str">
        <f t="shared" si="101"/>
        <v>MMRPopulation ages 40-44, female</v>
      </c>
      <c r="C6505" t="s">
        <v>244</v>
      </c>
      <c r="D6505" t="s">
        <v>94</v>
      </c>
      <c r="E6505" t="s">
        <v>378</v>
      </c>
      <c r="F6505" t="s">
        <v>707</v>
      </c>
      <c r="G6505">
        <v>1948000</v>
      </c>
      <c r="H6505">
        <v>1958000</v>
      </c>
    </row>
    <row r="6506" spans="2:8" x14ac:dyDescent="0.25">
      <c r="B6506" t="str">
        <f t="shared" si="101"/>
        <v>MMRPopulation ages 40-44, male</v>
      </c>
      <c r="C6506" t="s">
        <v>244</v>
      </c>
      <c r="D6506" t="s">
        <v>94</v>
      </c>
      <c r="E6506" t="s">
        <v>379</v>
      </c>
      <c r="F6506" t="s">
        <v>708</v>
      </c>
      <c r="G6506">
        <v>1784000</v>
      </c>
      <c r="H6506">
        <v>1802000</v>
      </c>
    </row>
    <row r="6507" spans="2:8" x14ac:dyDescent="0.25">
      <c r="B6507" t="str">
        <f t="shared" si="101"/>
        <v>MMRPopulation ages 45-49, female</v>
      </c>
      <c r="C6507" t="s">
        <v>244</v>
      </c>
      <c r="D6507" t="s">
        <v>94</v>
      </c>
      <c r="E6507" t="s">
        <v>380</v>
      </c>
      <c r="F6507" t="s">
        <v>709</v>
      </c>
      <c r="G6507">
        <v>1808000</v>
      </c>
      <c r="H6507">
        <v>1832000</v>
      </c>
    </row>
    <row r="6508" spans="2:8" x14ac:dyDescent="0.25">
      <c r="B6508" t="str">
        <f t="shared" si="101"/>
        <v>MMRPopulation ages 45-49, male</v>
      </c>
      <c r="C6508" t="s">
        <v>244</v>
      </c>
      <c r="D6508" t="s">
        <v>94</v>
      </c>
      <c r="E6508" t="s">
        <v>381</v>
      </c>
      <c r="F6508" t="s">
        <v>710</v>
      </c>
      <c r="G6508">
        <v>1602000</v>
      </c>
      <c r="H6508">
        <v>1628000</v>
      </c>
    </row>
    <row r="6509" spans="2:8" x14ac:dyDescent="0.25">
      <c r="B6509" t="str">
        <f t="shared" si="101"/>
        <v>MMRPopulation ages 50-54, female</v>
      </c>
      <c r="C6509" t="s">
        <v>244</v>
      </c>
      <c r="D6509" t="s">
        <v>94</v>
      </c>
      <c r="E6509" t="s">
        <v>382</v>
      </c>
      <c r="F6509" t="s">
        <v>711</v>
      </c>
      <c r="G6509">
        <v>1607000</v>
      </c>
      <c r="H6509">
        <v>1644000</v>
      </c>
    </row>
    <row r="6510" spans="2:8" x14ac:dyDescent="0.25">
      <c r="B6510" t="str">
        <f t="shared" si="101"/>
        <v>MMRPopulation ages 50-54, male</v>
      </c>
      <c r="C6510" t="s">
        <v>244</v>
      </c>
      <c r="D6510" t="s">
        <v>94</v>
      </c>
      <c r="E6510" t="s">
        <v>383</v>
      </c>
      <c r="F6510" t="s">
        <v>712</v>
      </c>
      <c r="G6510">
        <v>1371000</v>
      </c>
      <c r="H6510">
        <v>1407000</v>
      </c>
    </row>
    <row r="6511" spans="2:8" x14ac:dyDescent="0.25">
      <c r="B6511" t="str">
        <f t="shared" si="101"/>
        <v>MMRPopulation ages 55-59, male</v>
      </c>
      <c r="C6511" t="s">
        <v>244</v>
      </c>
      <c r="D6511" t="s">
        <v>94</v>
      </c>
      <c r="E6511" t="s">
        <v>385</v>
      </c>
      <c r="F6511" t="s">
        <v>713</v>
      </c>
      <c r="G6511">
        <v>1100000</v>
      </c>
      <c r="H6511">
        <v>1132000</v>
      </c>
    </row>
    <row r="6512" spans="2:8" x14ac:dyDescent="0.25">
      <c r="B6512" t="str">
        <f t="shared" si="101"/>
        <v>MMRPopulation ages 55-59, female</v>
      </c>
      <c r="C6512" t="s">
        <v>244</v>
      </c>
      <c r="D6512" t="s">
        <v>94</v>
      </c>
      <c r="E6512" t="s">
        <v>384</v>
      </c>
      <c r="F6512" t="s">
        <v>714</v>
      </c>
      <c r="G6512">
        <v>1354000</v>
      </c>
      <c r="H6512">
        <v>1389000</v>
      </c>
    </row>
    <row r="6513" spans="2:8" x14ac:dyDescent="0.25">
      <c r="B6513" t="str">
        <f t="shared" si="101"/>
        <v>MMRPopulation ages 65-69, male</v>
      </c>
      <c r="C6513" t="s">
        <v>244</v>
      </c>
      <c r="D6513" t="s">
        <v>94</v>
      </c>
      <c r="E6513" t="s">
        <v>389</v>
      </c>
      <c r="F6513" t="s">
        <v>715</v>
      </c>
      <c r="G6513">
        <v>611000</v>
      </c>
      <c r="H6513">
        <v>643000</v>
      </c>
    </row>
    <row r="6514" spans="2:8" x14ac:dyDescent="0.25">
      <c r="B6514" t="str">
        <f t="shared" si="101"/>
        <v>MMRPopulation ages 65-69, female</v>
      </c>
      <c r="C6514" t="s">
        <v>244</v>
      </c>
      <c r="D6514" t="s">
        <v>94</v>
      </c>
      <c r="E6514" t="s">
        <v>388</v>
      </c>
      <c r="F6514" t="s">
        <v>716</v>
      </c>
      <c r="G6514">
        <v>860000</v>
      </c>
      <c r="H6514">
        <v>911000</v>
      </c>
    </row>
    <row r="6515" spans="2:8" x14ac:dyDescent="0.25">
      <c r="B6515" t="str">
        <f t="shared" si="101"/>
        <v>MMRPopulation ages 60-64, female</v>
      </c>
      <c r="C6515" t="s">
        <v>244</v>
      </c>
      <c r="D6515" t="s">
        <v>94</v>
      </c>
      <c r="E6515" t="s">
        <v>386</v>
      </c>
      <c r="F6515" t="s">
        <v>717</v>
      </c>
      <c r="G6515">
        <v>1131000</v>
      </c>
      <c r="H6515">
        <v>1159000</v>
      </c>
    </row>
    <row r="6516" spans="2:8" x14ac:dyDescent="0.25">
      <c r="B6516" t="str">
        <f t="shared" si="101"/>
        <v>MMRPopulation ages 60-64, male</v>
      </c>
      <c r="C6516" t="s">
        <v>244</v>
      </c>
      <c r="D6516" t="s">
        <v>94</v>
      </c>
      <c r="E6516" t="s">
        <v>387</v>
      </c>
      <c r="F6516" t="s">
        <v>718</v>
      </c>
      <c r="G6516">
        <v>865000</v>
      </c>
      <c r="H6516">
        <v>891000</v>
      </c>
    </row>
    <row r="6517" spans="2:8" x14ac:dyDescent="0.25">
      <c r="B6517" t="str">
        <f t="shared" si="101"/>
        <v>MMRPopulation ages 70-74, female</v>
      </c>
      <c r="C6517" t="s">
        <v>244</v>
      </c>
      <c r="D6517" t="s">
        <v>94</v>
      </c>
      <c r="E6517" t="s">
        <v>390</v>
      </c>
      <c r="F6517" t="s">
        <v>719</v>
      </c>
      <c r="G6517">
        <v>487000</v>
      </c>
      <c r="H6517">
        <v>523000</v>
      </c>
    </row>
    <row r="6518" spans="2:8" x14ac:dyDescent="0.25">
      <c r="B6518" t="str">
        <f t="shared" si="101"/>
        <v>MMRPopulation ages 70-74, male</v>
      </c>
      <c r="C6518" t="s">
        <v>244</v>
      </c>
      <c r="D6518" t="s">
        <v>94</v>
      </c>
      <c r="E6518" t="s">
        <v>391</v>
      </c>
      <c r="F6518" t="s">
        <v>720</v>
      </c>
      <c r="G6518">
        <v>348000</v>
      </c>
      <c r="H6518">
        <v>368000</v>
      </c>
    </row>
    <row r="6519" spans="2:8" x14ac:dyDescent="0.25">
      <c r="B6519" t="str">
        <f t="shared" si="101"/>
        <v>MMRPopulation ages 75-79, female</v>
      </c>
      <c r="C6519" t="s">
        <v>244</v>
      </c>
      <c r="D6519" t="s">
        <v>94</v>
      </c>
      <c r="E6519" t="s">
        <v>392</v>
      </c>
      <c r="F6519" t="s">
        <v>721</v>
      </c>
      <c r="G6519">
        <v>315000</v>
      </c>
      <c r="H6519">
        <v>323000</v>
      </c>
    </row>
    <row r="6520" spans="2:8" x14ac:dyDescent="0.25">
      <c r="B6520" t="str">
        <f t="shared" si="101"/>
        <v>MMRPopulation ages 75-79, male</v>
      </c>
      <c r="C6520" t="s">
        <v>244</v>
      </c>
      <c r="D6520" t="s">
        <v>94</v>
      </c>
      <c r="E6520" t="s">
        <v>393</v>
      </c>
      <c r="F6520" t="s">
        <v>722</v>
      </c>
      <c r="G6520">
        <v>204000</v>
      </c>
      <c r="H6520">
        <v>209000</v>
      </c>
    </row>
    <row r="6521" spans="2:8" x14ac:dyDescent="0.25">
      <c r="B6521" t="str">
        <f t="shared" si="101"/>
        <v>MMRPopulation ages 80 and above, female</v>
      </c>
      <c r="C6521" t="s">
        <v>244</v>
      </c>
      <c r="D6521" t="s">
        <v>94</v>
      </c>
      <c r="E6521" t="s">
        <v>394</v>
      </c>
      <c r="F6521" t="s">
        <v>723</v>
      </c>
      <c r="G6521">
        <v>275000</v>
      </c>
      <c r="H6521">
        <v>272000</v>
      </c>
    </row>
    <row r="6522" spans="2:8" x14ac:dyDescent="0.25">
      <c r="B6522" t="str">
        <f t="shared" si="101"/>
        <v>MMRPopulation ages 80 and above, male</v>
      </c>
      <c r="C6522" t="s">
        <v>244</v>
      </c>
      <c r="D6522" t="s">
        <v>94</v>
      </c>
      <c r="E6522" t="s">
        <v>395</v>
      </c>
      <c r="F6522" t="s">
        <v>724</v>
      </c>
      <c r="G6522">
        <v>148000</v>
      </c>
      <c r="H6522">
        <v>144000</v>
      </c>
    </row>
    <row r="6523" spans="2:8" x14ac:dyDescent="0.25">
      <c r="B6523" t="str">
        <f t="shared" si="101"/>
        <v>MMRPopulation, male</v>
      </c>
      <c r="C6523" t="s">
        <v>244</v>
      </c>
      <c r="D6523" t="s">
        <v>94</v>
      </c>
      <c r="E6523" t="s">
        <v>397</v>
      </c>
      <c r="F6523" t="s">
        <v>725</v>
      </c>
      <c r="G6523">
        <v>26045000</v>
      </c>
      <c r="H6523">
        <v>26220000</v>
      </c>
    </row>
    <row r="6524" spans="2:8" x14ac:dyDescent="0.25">
      <c r="B6524" t="str">
        <f t="shared" si="101"/>
        <v>MMRPopulation, total</v>
      </c>
      <c r="C6524" t="s">
        <v>244</v>
      </c>
      <c r="D6524" t="s">
        <v>94</v>
      </c>
      <c r="E6524" t="s">
        <v>398</v>
      </c>
      <c r="F6524" t="s">
        <v>726</v>
      </c>
      <c r="G6524">
        <v>54045000</v>
      </c>
      <c r="H6524">
        <v>54410000</v>
      </c>
    </row>
    <row r="6525" spans="2:8" x14ac:dyDescent="0.25">
      <c r="B6525" t="str">
        <f t="shared" si="101"/>
        <v>MMRPopulation, female</v>
      </c>
      <c r="C6525" t="s">
        <v>244</v>
      </c>
      <c r="D6525" t="s">
        <v>94</v>
      </c>
      <c r="E6525" t="s">
        <v>396</v>
      </c>
      <c r="F6525" t="s">
        <v>727</v>
      </c>
      <c r="G6525">
        <v>28001000</v>
      </c>
      <c r="H6525">
        <v>28190000</v>
      </c>
    </row>
    <row r="6526" spans="2:8" x14ac:dyDescent="0.25">
      <c r="B6526" t="str">
        <f t="shared" si="101"/>
        <v>MMRPopulation growth (annual %)</v>
      </c>
      <c r="C6526" t="s">
        <v>244</v>
      </c>
      <c r="D6526" t="s">
        <v>94</v>
      </c>
      <c r="E6526" t="s">
        <v>399</v>
      </c>
      <c r="F6526" t="s">
        <v>728</v>
      </c>
      <c r="G6526">
        <v>0</v>
      </c>
      <c r="H6526">
        <v>0</v>
      </c>
    </row>
    <row r="6527" spans="2:8" x14ac:dyDescent="0.25">
      <c r="B6527" t="str">
        <f t="shared" si="101"/>
        <v>NAMPopulation ages 0-14, female</v>
      </c>
      <c r="C6527" t="s">
        <v>208</v>
      </c>
      <c r="D6527" t="s">
        <v>102</v>
      </c>
      <c r="E6527" t="s">
        <v>687</v>
      </c>
      <c r="F6527" t="s">
        <v>688</v>
      </c>
      <c r="G6527">
        <v>460000</v>
      </c>
      <c r="H6527">
        <v>468000</v>
      </c>
    </row>
    <row r="6528" spans="2:8" x14ac:dyDescent="0.25">
      <c r="B6528" t="str">
        <f t="shared" si="101"/>
        <v>NAMPopulation ages 0-14, male</v>
      </c>
      <c r="C6528" t="s">
        <v>208</v>
      </c>
      <c r="D6528" t="s">
        <v>102</v>
      </c>
      <c r="E6528" t="s">
        <v>689</v>
      </c>
      <c r="F6528" t="s">
        <v>690</v>
      </c>
      <c r="G6528">
        <v>460000</v>
      </c>
      <c r="H6528">
        <v>468000</v>
      </c>
    </row>
    <row r="6529" spans="2:8" x14ac:dyDescent="0.25">
      <c r="B6529" t="str">
        <f t="shared" si="101"/>
        <v>NAMPopulation ages 00-04, female</v>
      </c>
      <c r="C6529" t="s">
        <v>208</v>
      </c>
      <c r="D6529" t="s">
        <v>102</v>
      </c>
      <c r="E6529" t="s">
        <v>362</v>
      </c>
      <c r="F6529" t="s">
        <v>691</v>
      </c>
      <c r="G6529">
        <v>167000</v>
      </c>
      <c r="H6529">
        <v>168000</v>
      </c>
    </row>
    <row r="6530" spans="2:8" x14ac:dyDescent="0.25">
      <c r="B6530" t="str">
        <f t="shared" si="101"/>
        <v>NAMPopulation ages 00-04, male</v>
      </c>
      <c r="C6530" t="s">
        <v>208</v>
      </c>
      <c r="D6530" t="s">
        <v>102</v>
      </c>
      <c r="E6530" t="s">
        <v>363</v>
      </c>
      <c r="F6530" t="s">
        <v>692</v>
      </c>
      <c r="G6530">
        <v>167000</v>
      </c>
      <c r="H6530">
        <v>168000</v>
      </c>
    </row>
    <row r="6531" spans="2:8" x14ac:dyDescent="0.25">
      <c r="B6531" t="str">
        <f t="shared" si="101"/>
        <v>NAMPopulation ages 05-09, female</v>
      </c>
      <c r="C6531" t="s">
        <v>208</v>
      </c>
      <c r="D6531" t="s">
        <v>102</v>
      </c>
      <c r="E6531" t="s">
        <v>364</v>
      </c>
      <c r="F6531" t="s">
        <v>693</v>
      </c>
      <c r="G6531">
        <v>156000</v>
      </c>
      <c r="H6531">
        <v>159000</v>
      </c>
    </row>
    <row r="6532" spans="2:8" x14ac:dyDescent="0.25">
      <c r="B6532" t="str">
        <f t="shared" si="101"/>
        <v>NAMPopulation ages 05-09, male</v>
      </c>
      <c r="C6532" t="s">
        <v>208</v>
      </c>
      <c r="D6532" t="s">
        <v>102</v>
      </c>
      <c r="E6532" t="s">
        <v>365</v>
      </c>
      <c r="F6532" t="s">
        <v>694</v>
      </c>
      <c r="G6532">
        <v>156000</v>
      </c>
      <c r="H6532">
        <v>159000</v>
      </c>
    </row>
    <row r="6533" spans="2:8" x14ac:dyDescent="0.25">
      <c r="B6533" t="str">
        <f t="shared" si="101"/>
        <v>NAMPopulation ages 10-14, female</v>
      </c>
      <c r="C6533" t="s">
        <v>208</v>
      </c>
      <c r="D6533" t="s">
        <v>102</v>
      </c>
      <c r="E6533" t="s">
        <v>366</v>
      </c>
      <c r="F6533" t="s">
        <v>695</v>
      </c>
      <c r="G6533">
        <v>137000</v>
      </c>
      <c r="H6533">
        <v>141000</v>
      </c>
    </row>
    <row r="6534" spans="2:8" x14ac:dyDescent="0.25">
      <c r="B6534" t="str">
        <f t="shared" si="101"/>
        <v>NAMPopulation ages 10-14, male</v>
      </c>
      <c r="C6534" t="s">
        <v>208</v>
      </c>
      <c r="D6534" t="s">
        <v>102</v>
      </c>
      <c r="E6534" t="s">
        <v>367</v>
      </c>
      <c r="F6534" t="s">
        <v>696</v>
      </c>
      <c r="G6534">
        <v>136000</v>
      </c>
      <c r="H6534">
        <v>141000</v>
      </c>
    </row>
    <row r="6535" spans="2:8" x14ac:dyDescent="0.25">
      <c r="B6535" t="str">
        <f t="shared" ref="B6535:B6598" si="102">CONCATENATE(D6535,E6535)</f>
        <v>NAMPopulation ages 15-19, female</v>
      </c>
      <c r="C6535" t="s">
        <v>208</v>
      </c>
      <c r="D6535" t="s">
        <v>102</v>
      </c>
      <c r="E6535" t="s">
        <v>368</v>
      </c>
      <c r="F6535" t="s">
        <v>697</v>
      </c>
      <c r="G6535">
        <v>122000</v>
      </c>
      <c r="H6535">
        <v>123000</v>
      </c>
    </row>
    <row r="6536" spans="2:8" x14ac:dyDescent="0.25">
      <c r="B6536" t="str">
        <f t="shared" si="102"/>
        <v>NAMPopulation ages 15-19, male</v>
      </c>
      <c r="C6536" t="s">
        <v>208</v>
      </c>
      <c r="D6536" t="s">
        <v>102</v>
      </c>
      <c r="E6536" t="s">
        <v>369</v>
      </c>
      <c r="F6536" t="s">
        <v>698</v>
      </c>
      <c r="G6536">
        <v>121000</v>
      </c>
      <c r="H6536">
        <v>122000</v>
      </c>
    </row>
    <row r="6537" spans="2:8" x14ac:dyDescent="0.25">
      <c r="B6537" t="str">
        <f t="shared" si="102"/>
        <v>NAMPopulation ages 20-24, female</v>
      </c>
      <c r="C6537" t="s">
        <v>208</v>
      </c>
      <c r="D6537" t="s">
        <v>102</v>
      </c>
      <c r="E6537" t="s">
        <v>370</v>
      </c>
      <c r="F6537" t="s">
        <v>699</v>
      </c>
      <c r="G6537">
        <v>124000</v>
      </c>
      <c r="H6537">
        <v>124000</v>
      </c>
    </row>
    <row r="6538" spans="2:8" x14ac:dyDescent="0.25">
      <c r="B6538" t="str">
        <f t="shared" si="102"/>
        <v>NAMPopulation ages 20-24, male</v>
      </c>
      <c r="C6538" t="s">
        <v>208</v>
      </c>
      <c r="D6538" t="s">
        <v>102</v>
      </c>
      <c r="E6538" t="s">
        <v>371</v>
      </c>
      <c r="F6538" t="s">
        <v>700</v>
      </c>
      <c r="G6538">
        <v>121000</v>
      </c>
      <c r="H6538">
        <v>121000</v>
      </c>
    </row>
    <row r="6539" spans="2:8" x14ac:dyDescent="0.25">
      <c r="B6539" t="str">
        <f t="shared" si="102"/>
        <v>NAMPopulation ages 25-29, female</v>
      </c>
      <c r="C6539" t="s">
        <v>208</v>
      </c>
      <c r="D6539" t="s">
        <v>102</v>
      </c>
      <c r="E6539" t="s">
        <v>372</v>
      </c>
      <c r="F6539" t="s">
        <v>701</v>
      </c>
      <c r="G6539">
        <v>115000</v>
      </c>
      <c r="H6539">
        <v>117000</v>
      </c>
    </row>
    <row r="6540" spans="2:8" x14ac:dyDescent="0.25">
      <c r="B6540" t="str">
        <f t="shared" si="102"/>
        <v>NAMPopulation ages 25-29, male</v>
      </c>
      <c r="C6540" t="s">
        <v>208</v>
      </c>
      <c r="D6540" t="s">
        <v>102</v>
      </c>
      <c r="E6540" t="s">
        <v>373</v>
      </c>
      <c r="F6540" t="s">
        <v>702</v>
      </c>
      <c r="G6540">
        <v>110000</v>
      </c>
      <c r="H6540">
        <v>112000</v>
      </c>
    </row>
    <row r="6541" spans="2:8" x14ac:dyDescent="0.25">
      <c r="B6541" t="str">
        <f t="shared" si="102"/>
        <v>NAMPopulation ages 30-34, female</v>
      </c>
      <c r="C6541" t="s">
        <v>208</v>
      </c>
      <c r="D6541" t="s">
        <v>102</v>
      </c>
      <c r="E6541" t="s">
        <v>374</v>
      </c>
      <c r="F6541" t="s">
        <v>703</v>
      </c>
      <c r="G6541">
        <v>98000</v>
      </c>
      <c r="H6541">
        <v>101000</v>
      </c>
    </row>
    <row r="6542" spans="2:8" x14ac:dyDescent="0.25">
      <c r="B6542" t="str">
        <f t="shared" si="102"/>
        <v>NAMPopulation ages 30-34, male</v>
      </c>
      <c r="C6542" t="s">
        <v>208</v>
      </c>
      <c r="D6542" t="s">
        <v>102</v>
      </c>
      <c r="E6542" t="s">
        <v>375</v>
      </c>
      <c r="F6542" t="s">
        <v>704</v>
      </c>
      <c r="G6542">
        <v>94000</v>
      </c>
      <c r="H6542">
        <v>96000</v>
      </c>
    </row>
    <row r="6543" spans="2:8" x14ac:dyDescent="0.25">
      <c r="B6543" t="str">
        <f t="shared" si="102"/>
        <v>NAMPopulation ages 35-39, female</v>
      </c>
      <c r="C6543" t="s">
        <v>208</v>
      </c>
      <c r="D6543" t="s">
        <v>102</v>
      </c>
      <c r="E6543" t="s">
        <v>376</v>
      </c>
      <c r="F6543" t="s">
        <v>705</v>
      </c>
      <c r="G6543">
        <v>79000</v>
      </c>
      <c r="H6543">
        <v>82000</v>
      </c>
    </row>
    <row r="6544" spans="2:8" x14ac:dyDescent="0.25">
      <c r="B6544" t="str">
        <f t="shared" si="102"/>
        <v>NAMPopulation ages 35-39, male</v>
      </c>
      <c r="C6544" t="s">
        <v>208</v>
      </c>
      <c r="D6544" t="s">
        <v>102</v>
      </c>
      <c r="E6544" t="s">
        <v>377</v>
      </c>
      <c r="F6544" t="s">
        <v>706</v>
      </c>
      <c r="G6544">
        <v>75000</v>
      </c>
      <c r="H6544">
        <v>78000</v>
      </c>
    </row>
    <row r="6545" spans="2:8" x14ac:dyDescent="0.25">
      <c r="B6545" t="str">
        <f t="shared" si="102"/>
        <v>NAMPopulation ages 40-44, female</v>
      </c>
      <c r="C6545" t="s">
        <v>208</v>
      </c>
      <c r="D6545" t="s">
        <v>102</v>
      </c>
      <c r="E6545" t="s">
        <v>378</v>
      </c>
      <c r="F6545" t="s">
        <v>707</v>
      </c>
      <c r="G6545">
        <v>66000</v>
      </c>
      <c r="H6545">
        <v>67000</v>
      </c>
    </row>
    <row r="6546" spans="2:8" x14ac:dyDescent="0.25">
      <c r="B6546" t="str">
        <f t="shared" si="102"/>
        <v>NAMPopulation ages 40-44, male</v>
      </c>
      <c r="C6546" t="s">
        <v>208</v>
      </c>
      <c r="D6546" t="s">
        <v>102</v>
      </c>
      <c r="E6546" t="s">
        <v>379</v>
      </c>
      <c r="F6546" t="s">
        <v>708</v>
      </c>
      <c r="G6546">
        <v>62000</v>
      </c>
      <c r="H6546">
        <v>63000</v>
      </c>
    </row>
    <row r="6547" spans="2:8" x14ac:dyDescent="0.25">
      <c r="B6547" t="str">
        <f t="shared" si="102"/>
        <v>NAMPopulation ages 45-49, female</v>
      </c>
      <c r="C6547" t="s">
        <v>208</v>
      </c>
      <c r="D6547" t="s">
        <v>102</v>
      </c>
      <c r="E6547" t="s">
        <v>380</v>
      </c>
      <c r="F6547" t="s">
        <v>709</v>
      </c>
      <c r="G6547">
        <v>54000</v>
      </c>
      <c r="H6547">
        <v>56000</v>
      </c>
    </row>
    <row r="6548" spans="2:8" x14ac:dyDescent="0.25">
      <c r="B6548" t="str">
        <f t="shared" si="102"/>
        <v>NAMPopulation ages 45-49, male</v>
      </c>
      <c r="C6548" t="s">
        <v>208</v>
      </c>
      <c r="D6548" t="s">
        <v>102</v>
      </c>
      <c r="E6548" t="s">
        <v>381</v>
      </c>
      <c r="F6548" t="s">
        <v>710</v>
      </c>
      <c r="G6548">
        <v>49000</v>
      </c>
      <c r="H6548">
        <v>51000</v>
      </c>
    </row>
    <row r="6549" spans="2:8" x14ac:dyDescent="0.25">
      <c r="B6549" t="str">
        <f t="shared" si="102"/>
        <v>NAMPopulation ages 50-54, female</v>
      </c>
      <c r="C6549" t="s">
        <v>208</v>
      </c>
      <c r="D6549" t="s">
        <v>102</v>
      </c>
      <c r="E6549" t="s">
        <v>382</v>
      </c>
      <c r="F6549" t="s">
        <v>711</v>
      </c>
      <c r="G6549">
        <v>44000</v>
      </c>
      <c r="H6549">
        <v>45000</v>
      </c>
    </row>
    <row r="6550" spans="2:8" x14ac:dyDescent="0.25">
      <c r="B6550" t="str">
        <f t="shared" si="102"/>
        <v>NAMPopulation ages 50-54, male</v>
      </c>
      <c r="C6550" t="s">
        <v>208</v>
      </c>
      <c r="D6550" t="s">
        <v>102</v>
      </c>
      <c r="E6550" t="s">
        <v>383</v>
      </c>
      <c r="F6550" t="s">
        <v>712</v>
      </c>
      <c r="G6550">
        <v>36000</v>
      </c>
      <c r="H6550">
        <v>38000</v>
      </c>
    </row>
    <row r="6551" spans="2:8" x14ac:dyDescent="0.25">
      <c r="B6551" t="str">
        <f t="shared" si="102"/>
        <v>NAMPopulation ages 55-59, male</v>
      </c>
      <c r="C6551" t="s">
        <v>208</v>
      </c>
      <c r="D6551" t="s">
        <v>102</v>
      </c>
      <c r="E6551" t="s">
        <v>385</v>
      </c>
      <c r="F6551" t="s">
        <v>713</v>
      </c>
      <c r="G6551">
        <v>29000</v>
      </c>
      <c r="H6551">
        <v>30000</v>
      </c>
    </row>
    <row r="6552" spans="2:8" x14ac:dyDescent="0.25">
      <c r="B6552" t="str">
        <f t="shared" si="102"/>
        <v>NAMPopulation ages 55-59, female</v>
      </c>
      <c r="C6552" t="s">
        <v>208</v>
      </c>
      <c r="D6552" t="s">
        <v>102</v>
      </c>
      <c r="E6552" t="s">
        <v>384</v>
      </c>
      <c r="F6552" t="s">
        <v>714</v>
      </c>
      <c r="G6552">
        <v>37000</v>
      </c>
      <c r="H6552">
        <v>38000</v>
      </c>
    </row>
    <row r="6553" spans="2:8" x14ac:dyDescent="0.25">
      <c r="B6553" t="str">
        <f t="shared" si="102"/>
        <v>NAMPopulation ages 65-69, male</v>
      </c>
      <c r="C6553" t="s">
        <v>208</v>
      </c>
      <c r="D6553" t="s">
        <v>102</v>
      </c>
      <c r="E6553" t="s">
        <v>389</v>
      </c>
      <c r="F6553" t="s">
        <v>715</v>
      </c>
      <c r="G6553">
        <v>13000</v>
      </c>
      <c r="H6553">
        <v>14000</v>
      </c>
    </row>
    <row r="6554" spans="2:8" x14ac:dyDescent="0.25">
      <c r="B6554" t="str">
        <f t="shared" si="102"/>
        <v>NAMPopulation ages 65-69, female</v>
      </c>
      <c r="C6554" t="s">
        <v>208</v>
      </c>
      <c r="D6554" t="s">
        <v>102</v>
      </c>
      <c r="E6554" t="s">
        <v>388</v>
      </c>
      <c r="F6554" t="s">
        <v>716</v>
      </c>
      <c r="G6554">
        <v>21000</v>
      </c>
      <c r="H6554">
        <v>22000</v>
      </c>
    </row>
    <row r="6555" spans="2:8" x14ac:dyDescent="0.25">
      <c r="B6555" t="str">
        <f t="shared" si="102"/>
        <v>NAMPopulation ages 60-64, female</v>
      </c>
      <c r="C6555" t="s">
        <v>208</v>
      </c>
      <c r="D6555" t="s">
        <v>102</v>
      </c>
      <c r="E6555" t="s">
        <v>386</v>
      </c>
      <c r="F6555" t="s">
        <v>717</v>
      </c>
      <c r="G6555">
        <v>29000</v>
      </c>
      <c r="H6555">
        <v>30000</v>
      </c>
    </row>
    <row r="6556" spans="2:8" x14ac:dyDescent="0.25">
      <c r="B6556" t="str">
        <f t="shared" si="102"/>
        <v>NAMPopulation ages 60-64, male</v>
      </c>
      <c r="C6556" t="s">
        <v>208</v>
      </c>
      <c r="D6556" t="s">
        <v>102</v>
      </c>
      <c r="E6556" t="s">
        <v>387</v>
      </c>
      <c r="F6556" t="s">
        <v>718</v>
      </c>
      <c r="G6556">
        <v>20000</v>
      </c>
      <c r="H6556">
        <v>21000</v>
      </c>
    </row>
    <row r="6557" spans="2:8" x14ac:dyDescent="0.25">
      <c r="B6557" t="str">
        <f t="shared" si="102"/>
        <v>NAMPopulation ages 70-74, female</v>
      </c>
      <c r="C6557" t="s">
        <v>208</v>
      </c>
      <c r="D6557" t="s">
        <v>102</v>
      </c>
      <c r="E6557" t="s">
        <v>390</v>
      </c>
      <c r="F6557" t="s">
        <v>719</v>
      </c>
      <c r="G6557">
        <v>15000</v>
      </c>
      <c r="H6557">
        <v>15000</v>
      </c>
    </row>
    <row r="6558" spans="2:8" x14ac:dyDescent="0.25">
      <c r="B6558" t="str">
        <f t="shared" si="102"/>
        <v>NAMPopulation ages 70-74, male</v>
      </c>
      <c r="C6558" t="s">
        <v>208</v>
      </c>
      <c r="D6558" t="s">
        <v>102</v>
      </c>
      <c r="E6558" t="s">
        <v>391</v>
      </c>
      <c r="F6558" t="s">
        <v>720</v>
      </c>
      <c r="G6558">
        <v>9300</v>
      </c>
      <c r="H6558">
        <v>9300</v>
      </c>
    </row>
    <row r="6559" spans="2:8" x14ac:dyDescent="0.25">
      <c r="B6559" t="str">
        <f t="shared" si="102"/>
        <v>NAMPopulation ages 75-79, female</v>
      </c>
      <c r="C6559" t="s">
        <v>208</v>
      </c>
      <c r="D6559" t="s">
        <v>102</v>
      </c>
      <c r="E6559" t="s">
        <v>392</v>
      </c>
      <c r="F6559" t="s">
        <v>721</v>
      </c>
      <c r="G6559">
        <v>11000</v>
      </c>
      <c r="H6559">
        <v>11000</v>
      </c>
    </row>
    <row r="6560" spans="2:8" x14ac:dyDescent="0.25">
      <c r="B6560" t="str">
        <f t="shared" si="102"/>
        <v>NAMPopulation ages 75-79, male</v>
      </c>
      <c r="C6560" t="s">
        <v>208</v>
      </c>
      <c r="D6560" t="s">
        <v>102</v>
      </c>
      <c r="E6560" t="s">
        <v>393</v>
      </c>
      <c r="F6560" t="s">
        <v>722</v>
      </c>
      <c r="G6560">
        <v>6200</v>
      </c>
      <c r="H6560">
        <v>6100</v>
      </c>
    </row>
    <row r="6561" spans="2:8" x14ac:dyDescent="0.25">
      <c r="B6561" t="str">
        <f t="shared" si="102"/>
        <v>NAMPopulation ages 80 and above, female</v>
      </c>
      <c r="C6561" t="s">
        <v>208</v>
      </c>
      <c r="D6561" t="s">
        <v>102</v>
      </c>
      <c r="E6561" t="s">
        <v>394</v>
      </c>
      <c r="F6561" t="s">
        <v>723</v>
      </c>
      <c r="G6561">
        <v>10000</v>
      </c>
      <c r="H6561">
        <v>9700</v>
      </c>
    </row>
    <row r="6562" spans="2:8" x14ac:dyDescent="0.25">
      <c r="B6562" t="str">
        <f t="shared" si="102"/>
        <v>NAMPopulation ages 80 and above, male</v>
      </c>
      <c r="C6562" t="s">
        <v>208</v>
      </c>
      <c r="D6562" t="s">
        <v>102</v>
      </c>
      <c r="E6562" t="s">
        <v>395</v>
      </c>
      <c r="F6562" t="s">
        <v>724</v>
      </c>
      <c r="G6562">
        <v>4600</v>
      </c>
      <c r="H6562">
        <v>4200</v>
      </c>
    </row>
    <row r="6563" spans="2:8" x14ac:dyDescent="0.25">
      <c r="B6563" t="str">
        <f t="shared" si="102"/>
        <v>NAMPopulation, male</v>
      </c>
      <c r="C6563" t="s">
        <v>208</v>
      </c>
      <c r="D6563" t="s">
        <v>102</v>
      </c>
      <c r="E6563" t="s">
        <v>397</v>
      </c>
      <c r="F6563" t="s">
        <v>725</v>
      </c>
      <c r="G6563">
        <v>1209000</v>
      </c>
      <c r="H6563">
        <v>1232000</v>
      </c>
    </row>
    <row r="6564" spans="2:8" x14ac:dyDescent="0.25">
      <c r="B6564" t="str">
        <f t="shared" si="102"/>
        <v>NAMPopulation, total</v>
      </c>
      <c r="C6564" t="s">
        <v>208</v>
      </c>
      <c r="D6564" t="s">
        <v>102</v>
      </c>
      <c r="E6564" t="s">
        <v>398</v>
      </c>
      <c r="F6564" t="s">
        <v>726</v>
      </c>
      <c r="G6564">
        <v>2495000</v>
      </c>
      <c r="H6564">
        <v>2541000</v>
      </c>
    </row>
    <row r="6565" spans="2:8" x14ac:dyDescent="0.25">
      <c r="B6565" t="str">
        <f t="shared" si="102"/>
        <v>NAMPopulation, female</v>
      </c>
      <c r="C6565" t="s">
        <v>208</v>
      </c>
      <c r="D6565" t="s">
        <v>102</v>
      </c>
      <c r="E6565" t="s">
        <v>396</v>
      </c>
      <c r="F6565" t="s">
        <v>727</v>
      </c>
      <c r="G6565">
        <v>1286000</v>
      </c>
      <c r="H6565">
        <v>1309000</v>
      </c>
    </row>
    <row r="6566" spans="2:8" x14ac:dyDescent="0.25">
      <c r="B6566" t="str">
        <f t="shared" si="102"/>
        <v>NAMPopulation growth (annual %)</v>
      </c>
      <c r="C6566" t="s">
        <v>208</v>
      </c>
      <c r="D6566" t="s">
        <v>102</v>
      </c>
      <c r="E6566" t="s">
        <v>399</v>
      </c>
      <c r="F6566" t="s">
        <v>728</v>
      </c>
      <c r="G6566">
        <v>0</v>
      </c>
      <c r="H6566">
        <v>0</v>
      </c>
    </row>
    <row r="6567" spans="2:8" x14ac:dyDescent="0.25">
      <c r="B6567" t="str">
        <f t="shared" si="102"/>
        <v>NRUPopulation ages 0-14, female</v>
      </c>
      <c r="C6567" t="s">
        <v>251</v>
      </c>
      <c r="D6567" t="s">
        <v>109</v>
      </c>
      <c r="E6567" t="s">
        <v>687</v>
      </c>
      <c r="F6567" t="s">
        <v>688</v>
      </c>
      <c r="G6567">
        <v>0</v>
      </c>
      <c r="H6567">
        <v>0</v>
      </c>
    </row>
    <row r="6568" spans="2:8" x14ac:dyDescent="0.25">
      <c r="B6568" t="str">
        <f t="shared" si="102"/>
        <v>NRUPopulation ages 0-14, male</v>
      </c>
      <c r="C6568" t="s">
        <v>251</v>
      </c>
      <c r="D6568" t="s">
        <v>109</v>
      </c>
      <c r="E6568" t="s">
        <v>689</v>
      </c>
      <c r="F6568" t="s">
        <v>690</v>
      </c>
      <c r="G6568">
        <v>0</v>
      </c>
      <c r="H6568">
        <v>0</v>
      </c>
    </row>
    <row r="6569" spans="2:8" x14ac:dyDescent="0.25">
      <c r="B6569" t="str">
        <f t="shared" si="102"/>
        <v>NRUPopulation ages 00-04, female</v>
      </c>
      <c r="C6569" t="s">
        <v>251</v>
      </c>
      <c r="D6569" t="s">
        <v>109</v>
      </c>
      <c r="E6569" t="s">
        <v>362</v>
      </c>
      <c r="F6569" t="s">
        <v>691</v>
      </c>
      <c r="G6569">
        <v>0</v>
      </c>
      <c r="H6569">
        <v>0</v>
      </c>
    </row>
    <row r="6570" spans="2:8" x14ac:dyDescent="0.25">
      <c r="B6570" t="str">
        <f t="shared" si="102"/>
        <v>NRUPopulation ages 00-04, male</v>
      </c>
      <c r="C6570" t="s">
        <v>251</v>
      </c>
      <c r="D6570" t="s">
        <v>109</v>
      </c>
      <c r="E6570" t="s">
        <v>363</v>
      </c>
      <c r="F6570" t="s">
        <v>692</v>
      </c>
      <c r="G6570">
        <v>0</v>
      </c>
      <c r="H6570">
        <v>0</v>
      </c>
    </row>
    <row r="6571" spans="2:8" x14ac:dyDescent="0.25">
      <c r="B6571" t="str">
        <f t="shared" si="102"/>
        <v>NRUPopulation ages 05-09, female</v>
      </c>
      <c r="C6571" t="s">
        <v>251</v>
      </c>
      <c r="D6571" t="s">
        <v>109</v>
      </c>
      <c r="E6571" t="s">
        <v>364</v>
      </c>
      <c r="F6571" t="s">
        <v>693</v>
      </c>
      <c r="G6571">
        <v>0</v>
      </c>
      <c r="H6571">
        <v>0</v>
      </c>
    </row>
    <row r="6572" spans="2:8" x14ac:dyDescent="0.25">
      <c r="B6572" t="str">
        <f t="shared" si="102"/>
        <v>NRUPopulation ages 05-09, male</v>
      </c>
      <c r="C6572" t="s">
        <v>251</v>
      </c>
      <c r="D6572" t="s">
        <v>109</v>
      </c>
      <c r="E6572" t="s">
        <v>365</v>
      </c>
      <c r="F6572" t="s">
        <v>694</v>
      </c>
      <c r="G6572">
        <v>0</v>
      </c>
      <c r="H6572">
        <v>0</v>
      </c>
    </row>
    <row r="6573" spans="2:8" x14ac:dyDescent="0.25">
      <c r="B6573" t="str">
        <f t="shared" si="102"/>
        <v>NRUPopulation ages 10-14, female</v>
      </c>
      <c r="C6573" t="s">
        <v>251</v>
      </c>
      <c r="D6573" t="s">
        <v>109</v>
      </c>
      <c r="E6573" t="s">
        <v>366</v>
      </c>
      <c r="F6573" t="s">
        <v>695</v>
      </c>
      <c r="G6573">
        <v>0</v>
      </c>
      <c r="H6573">
        <v>0</v>
      </c>
    </row>
    <row r="6574" spans="2:8" x14ac:dyDescent="0.25">
      <c r="B6574" t="str">
        <f t="shared" si="102"/>
        <v>NRUPopulation ages 10-14, male</v>
      </c>
      <c r="C6574" t="s">
        <v>251</v>
      </c>
      <c r="D6574" t="s">
        <v>109</v>
      </c>
      <c r="E6574" t="s">
        <v>367</v>
      </c>
      <c r="F6574" t="s">
        <v>696</v>
      </c>
      <c r="G6574">
        <v>0</v>
      </c>
      <c r="H6574">
        <v>0</v>
      </c>
    </row>
    <row r="6575" spans="2:8" x14ac:dyDescent="0.25">
      <c r="B6575" t="str">
        <f t="shared" si="102"/>
        <v>NRUPopulation ages 15-19, female</v>
      </c>
      <c r="C6575" t="s">
        <v>251</v>
      </c>
      <c r="D6575" t="s">
        <v>109</v>
      </c>
      <c r="E6575" t="s">
        <v>368</v>
      </c>
      <c r="F6575" t="s">
        <v>697</v>
      </c>
      <c r="G6575">
        <v>0</v>
      </c>
      <c r="H6575">
        <v>0</v>
      </c>
    </row>
    <row r="6576" spans="2:8" x14ac:dyDescent="0.25">
      <c r="B6576" t="str">
        <f t="shared" si="102"/>
        <v>NRUPopulation ages 15-19, male</v>
      </c>
      <c r="C6576" t="s">
        <v>251</v>
      </c>
      <c r="D6576" t="s">
        <v>109</v>
      </c>
      <c r="E6576" t="s">
        <v>369</v>
      </c>
      <c r="F6576" t="s">
        <v>698</v>
      </c>
      <c r="G6576">
        <v>0</v>
      </c>
      <c r="H6576">
        <v>0</v>
      </c>
    </row>
    <row r="6577" spans="2:8" x14ac:dyDescent="0.25">
      <c r="B6577" t="str">
        <f t="shared" si="102"/>
        <v>NRUPopulation ages 20-24, female</v>
      </c>
      <c r="C6577" t="s">
        <v>251</v>
      </c>
      <c r="D6577" t="s">
        <v>109</v>
      </c>
      <c r="E6577" t="s">
        <v>370</v>
      </c>
      <c r="F6577" t="s">
        <v>699</v>
      </c>
      <c r="G6577">
        <v>0</v>
      </c>
      <c r="H6577">
        <v>0</v>
      </c>
    </row>
    <row r="6578" spans="2:8" x14ac:dyDescent="0.25">
      <c r="B6578" t="str">
        <f t="shared" si="102"/>
        <v>NRUPopulation ages 20-24, male</v>
      </c>
      <c r="C6578" t="s">
        <v>251</v>
      </c>
      <c r="D6578" t="s">
        <v>109</v>
      </c>
      <c r="E6578" t="s">
        <v>371</v>
      </c>
      <c r="F6578" t="s">
        <v>700</v>
      </c>
      <c r="G6578">
        <v>0</v>
      </c>
      <c r="H6578">
        <v>0</v>
      </c>
    </row>
    <row r="6579" spans="2:8" x14ac:dyDescent="0.25">
      <c r="B6579" t="str">
        <f t="shared" si="102"/>
        <v>NRUPopulation ages 25-29, female</v>
      </c>
      <c r="C6579" t="s">
        <v>251</v>
      </c>
      <c r="D6579" t="s">
        <v>109</v>
      </c>
      <c r="E6579" t="s">
        <v>372</v>
      </c>
      <c r="F6579" t="s">
        <v>701</v>
      </c>
      <c r="G6579">
        <v>0</v>
      </c>
      <c r="H6579">
        <v>0</v>
      </c>
    </row>
    <row r="6580" spans="2:8" x14ac:dyDescent="0.25">
      <c r="B6580" t="str">
        <f t="shared" si="102"/>
        <v>NRUPopulation ages 25-29, male</v>
      </c>
      <c r="C6580" t="s">
        <v>251</v>
      </c>
      <c r="D6580" t="s">
        <v>109</v>
      </c>
      <c r="E6580" t="s">
        <v>373</v>
      </c>
      <c r="F6580" t="s">
        <v>702</v>
      </c>
      <c r="G6580">
        <v>0</v>
      </c>
      <c r="H6580">
        <v>0</v>
      </c>
    </row>
    <row r="6581" spans="2:8" x14ac:dyDescent="0.25">
      <c r="B6581" t="str">
        <f t="shared" si="102"/>
        <v>NRUPopulation ages 30-34, female</v>
      </c>
      <c r="C6581" t="s">
        <v>251</v>
      </c>
      <c r="D6581" t="s">
        <v>109</v>
      </c>
      <c r="E6581" t="s">
        <v>374</v>
      </c>
      <c r="F6581" t="s">
        <v>703</v>
      </c>
      <c r="G6581">
        <v>0</v>
      </c>
      <c r="H6581">
        <v>0</v>
      </c>
    </row>
    <row r="6582" spans="2:8" x14ac:dyDescent="0.25">
      <c r="B6582" t="str">
        <f t="shared" si="102"/>
        <v>NRUPopulation ages 30-34, male</v>
      </c>
      <c r="C6582" t="s">
        <v>251</v>
      </c>
      <c r="D6582" t="s">
        <v>109</v>
      </c>
      <c r="E6582" t="s">
        <v>375</v>
      </c>
      <c r="F6582" t="s">
        <v>704</v>
      </c>
      <c r="G6582">
        <v>0</v>
      </c>
      <c r="H6582">
        <v>0</v>
      </c>
    </row>
    <row r="6583" spans="2:8" x14ac:dyDescent="0.25">
      <c r="B6583" t="str">
        <f t="shared" si="102"/>
        <v>NRUPopulation ages 35-39, female</v>
      </c>
      <c r="C6583" t="s">
        <v>251</v>
      </c>
      <c r="D6583" t="s">
        <v>109</v>
      </c>
      <c r="E6583" t="s">
        <v>376</v>
      </c>
      <c r="F6583" t="s">
        <v>705</v>
      </c>
      <c r="G6583">
        <v>0</v>
      </c>
      <c r="H6583">
        <v>0</v>
      </c>
    </row>
    <row r="6584" spans="2:8" x14ac:dyDescent="0.25">
      <c r="B6584" t="str">
        <f t="shared" si="102"/>
        <v>NRUPopulation ages 35-39, male</v>
      </c>
      <c r="C6584" t="s">
        <v>251</v>
      </c>
      <c r="D6584" t="s">
        <v>109</v>
      </c>
      <c r="E6584" t="s">
        <v>377</v>
      </c>
      <c r="F6584" t="s">
        <v>706</v>
      </c>
      <c r="G6584">
        <v>0</v>
      </c>
      <c r="H6584">
        <v>0</v>
      </c>
    </row>
    <row r="6585" spans="2:8" x14ac:dyDescent="0.25">
      <c r="B6585" t="str">
        <f t="shared" si="102"/>
        <v>NRUPopulation ages 40-44, female</v>
      </c>
      <c r="C6585" t="s">
        <v>251</v>
      </c>
      <c r="D6585" t="s">
        <v>109</v>
      </c>
      <c r="E6585" t="s">
        <v>378</v>
      </c>
      <c r="F6585" t="s">
        <v>707</v>
      </c>
      <c r="G6585">
        <v>0</v>
      </c>
      <c r="H6585">
        <v>0</v>
      </c>
    </row>
    <row r="6586" spans="2:8" x14ac:dyDescent="0.25">
      <c r="B6586" t="str">
        <f t="shared" si="102"/>
        <v>NRUPopulation ages 40-44, male</v>
      </c>
      <c r="C6586" t="s">
        <v>251</v>
      </c>
      <c r="D6586" t="s">
        <v>109</v>
      </c>
      <c r="E6586" t="s">
        <v>379</v>
      </c>
      <c r="F6586" t="s">
        <v>708</v>
      </c>
      <c r="G6586">
        <v>0</v>
      </c>
      <c r="H6586">
        <v>0</v>
      </c>
    </row>
    <row r="6587" spans="2:8" x14ac:dyDescent="0.25">
      <c r="B6587" t="str">
        <f t="shared" si="102"/>
        <v>NRUPopulation ages 45-49, female</v>
      </c>
      <c r="C6587" t="s">
        <v>251</v>
      </c>
      <c r="D6587" t="s">
        <v>109</v>
      </c>
      <c r="E6587" t="s">
        <v>380</v>
      </c>
      <c r="F6587" t="s">
        <v>709</v>
      </c>
      <c r="G6587">
        <v>0</v>
      </c>
      <c r="H6587">
        <v>0</v>
      </c>
    </row>
    <row r="6588" spans="2:8" x14ac:dyDescent="0.25">
      <c r="B6588" t="str">
        <f t="shared" si="102"/>
        <v>NRUPopulation ages 45-49, male</v>
      </c>
      <c r="C6588" t="s">
        <v>251</v>
      </c>
      <c r="D6588" t="s">
        <v>109</v>
      </c>
      <c r="E6588" t="s">
        <v>381</v>
      </c>
      <c r="F6588" t="s">
        <v>710</v>
      </c>
      <c r="G6588">
        <v>0</v>
      </c>
      <c r="H6588">
        <v>0</v>
      </c>
    </row>
    <row r="6589" spans="2:8" x14ac:dyDescent="0.25">
      <c r="B6589" t="str">
        <f t="shared" si="102"/>
        <v>NRUPopulation ages 50-54, female</v>
      </c>
      <c r="C6589" t="s">
        <v>251</v>
      </c>
      <c r="D6589" t="s">
        <v>109</v>
      </c>
      <c r="E6589" t="s">
        <v>382</v>
      </c>
      <c r="F6589" t="s">
        <v>711</v>
      </c>
      <c r="G6589">
        <v>0</v>
      </c>
      <c r="H6589">
        <v>0</v>
      </c>
    </row>
    <row r="6590" spans="2:8" x14ac:dyDescent="0.25">
      <c r="B6590" t="str">
        <f t="shared" si="102"/>
        <v>NRUPopulation ages 50-54, male</v>
      </c>
      <c r="C6590" t="s">
        <v>251</v>
      </c>
      <c r="D6590" t="s">
        <v>109</v>
      </c>
      <c r="E6590" t="s">
        <v>383</v>
      </c>
      <c r="F6590" t="s">
        <v>712</v>
      </c>
      <c r="G6590">
        <v>0</v>
      </c>
      <c r="H6590">
        <v>0</v>
      </c>
    </row>
    <row r="6591" spans="2:8" x14ac:dyDescent="0.25">
      <c r="B6591" t="str">
        <f t="shared" si="102"/>
        <v>NRUPopulation ages 55-59, male</v>
      </c>
      <c r="C6591" t="s">
        <v>251</v>
      </c>
      <c r="D6591" t="s">
        <v>109</v>
      </c>
      <c r="E6591" t="s">
        <v>385</v>
      </c>
      <c r="F6591" t="s">
        <v>713</v>
      </c>
      <c r="G6591">
        <v>0</v>
      </c>
      <c r="H6591">
        <v>0</v>
      </c>
    </row>
    <row r="6592" spans="2:8" x14ac:dyDescent="0.25">
      <c r="B6592" t="str">
        <f t="shared" si="102"/>
        <v>NRUPopulation ages 55-59, female</v>
      </c>
      <c r="C6592" t="s">
        <v>251</v>
      </c>
      <c r="D6592" t="s">
        <v>109</v>
      </c>
      <c r="E6592" t="s">
        <v>384</v>
      </c>
      <c r="F6592" t="s">
        <v>714</v>
      </c>
      <c r="G6592">
        <v>0</v>
      </c>
      <c r="H6592">
        <v>0</v>
      </c>
    </row>
    <row r="6593" spans="2:8" x14ac:dyDescent="0.25">
      <c r="B6593" t="str">
        <f t="shared" si="102"/>
        <v>NRUPopulation ages 65-69, male</v>
      </c>
      <c r="C6593" t="s">
        <v>251</v>
      </c>
      <c r="D6593" t="s">
        <v>109</v>
      </c>
      <c r="E6593" t="s">
        <v>389</v>
      </c>
      <c r="F6593" t="s">
        <v>715</v>
      </c>
      <c r="G6593">
        <v>0</v>
      </c>
      <c r="H6593">
        <v>0</v>
      </c>
    </row>
    <row r="6594" spans="2:8" x14ac:dyDescent="0.25">
      <c r="B6594" t="str">
        <f t="shared" si="102"/>
        <v>NRUPopulation ages 65-69, female</v>
      </c>
      <c r="C6594" t="s">
        <v>251</v>
      </c>
      <c r="D6594" t="s">
        <v>109</v>
      </c>
      <c r="E6594" t="s">
        <v>388</v>
      </c>
      <c r="F6594" t="s">
        <v>716</v>
      </c>
      <c r="G6594">
        <v>0</v>
      </c>
      <c r="H6594">
        <v>0</v>
      </c>
    </row>
    <row r="6595" spans="2:8" x14ac:dyDescent="0.25">
      <c r="B6595" t="str">
        <f t="shared" si="102"/>
        <v>NRUPopulation ages 60-64, female</v>
      </c>
      <c r="C6595" t="s">
        <v>251</v>
      </c>
      <c r="D6595" t="s">
        <v>109</v>
      </c>
      <c r="E6595" t="s">
        <v>386</v>
      </c>
      <c r="F6595" t="s">
        <v>717</v>
      </c>
      <c r="G6595">
        <v>0</v>
      </c>
      <c r="H6595">
        <v>0</v>
      </c>
    </row>
    <row r="6596" spans="2:8" x14ac:dyDescent="0.25">
      <c r="B6596" t="str">
        <f t="shared" si="102"/>
        <v>NRUPopulation ages 60-64, male</v>
      </c>
      <c r="C6596" t="s">
        <v>251</v>
      </c>
      <c r="D6596" t="s">
        <v>109</v>
      </c>
      <c r="E6596" t="s">
        <v>387</v>
      </c>
      <c r="F6596" t="s">
        <v>718</v>
      </c>
      <c r="G6596">
        <v>0</v>
      </c>
      <c r="H6596">
        <v>0</v>
      </c>
    </row>
    <row r="6597" spans="2:8" x14ac:dyDescent="0.25">
      <c r="B6597" t="str">
        <f t="shared" si="102"/>
        <v>NRUPopulation ages 70-74, female</v>
      </c>
      <c r="C6597" t="s">
        <v>251</v>
      </c>
      <c r="D6597" t="s">
        <v>109</v>
      </c>
      <c r="E6597" t="s">
        <v>390</v>
      </c>
      <c r="F6597" t="s">
        <v>719</v>
      </c>
      <c r="G6597">
        <v>0</v>
      </c>
      <c r="H6597">
        <v>0</v>
      </c>
    </row>
    <row r="6598" spans="2:8" x14ac:dyDescent="0.25">
      <c r="B6598" t="str">
        <f t="shared" si="102"/>
        <v>NRUPopulation ages 70-74, male</v>
      </c>
      <c r="C6598" t="s">
        <v>251</v>
      </c>
      <c r="D6598" t="s">
        <v>109</v>
      </c>
      <c r="E6598" t="s">
        <v>391</v>
      </c>
      <c r="F6598" t="s">
        <v>720</v>
      </c>
      <c r="G6598">
        <v>0</v>
      </c>
      <c r="H6598">
        <v>0</v>
      </c>
    </row>
    <row r="6599" spans="2:8" x14ac:dyDescent="0.25">
      <c r="B6599" t="str">
        <f t="shared" ref="B6599:B6662" si="103">CONCATENATE(D6599,E6599)</f>
        <v>NRUPopulation ages 75-79, female</v>
      </c>
      <c r="C6599" t="s">
        <v>251</v>
      </c>
      <c r="D6599" t="s">
        <v>109</v>
      </c>
      <c r="E6599" t="s">
        <v>392</v>
      </c>
      <c r="F6599" t="s">
        <v>721</v>
      </c>
      <c r="G6599">
        <v>0</v>
      </c>
      <c r="H6599">
        <v>0</v>
      </c>
    </row>
    <row r="6600" spans="2:8" x14ac:dyDescent="0.25">
      <c r="B6600" t="str">
        <f t="shared" si="103"/>
        <v>NRUPopulation ages 75-79, male</v>
      </c>
      <c r="C6600" t="s">
        <v>251</v>
      </c>
      <c r="D6600" t="s">
        <v>109</v>
      </c>
      <c r="E6600" t="s">
        <v>393</v>
      </c>
      <c r="F6600" t="s">
        <v>722</v>
      </c>
      <c r="G6600">
        <v>0</v>
      </c>
      <c r="H6600">
        <v>0</v>
      </c>
    </row>
    <row r="6601" spans="2:8" x14ac:dyDescent="0.25">
      <c r="B6601" t="str">
        <f t="shared" si="103"/>
        <v>NRUPopulation ages 80 and above, female</v>
      </c>
      <c r="C6601" t="s">
        <v>251</v>
      </c>
      <c r="D6601" t="s">
        <v>109</v>
      </c>
      <c r="E6601" t="s">
        <v>394</v>
      </c>
      <c r="F6601" t="s">
        <v>723</v>
      </c>
      <c r="G6601">
        <v>0</v>
      </c>
      <c r="H6601">
        <v>0</v>
      </c>
    </row>
    <row r="6602" spans="2:8" x14ac:dyDescent="0.25">
      <c r="B6602" t="str">
        <f t="shared" si="103"/>
        <v>NRUPopulation ages 80 and above, male</v>
      </c>
      <c r="C6602" t="s">
        <v>251</v>
      </c>
      <c r="D6602" t="s">
        <v>109</v>
      </c>
      <c r="E6602" t="s">
        <v>395</v>
      </c>
      <c r="F6602" t="s">
        <v>724</v>
      </c>
      <c r="G6602">
        <v>0</v>
      </c>
      <c r="H6602">
        <v>0</v>
      </c>
    </row>
    <row r="6603" spans="2:8" x14ac:dyDescent="0.25">
      <c r="B6603" t="str">
        <f t="shared" si="103"/>
        <v>NRUPopulation, male</v>
      </c>
      <c r="C6603" t="s">
        <v>251</v>
      </c>
      <c r="D6603" t="s">
        <v>109</v>
      </c>
      <c r="E6603" t="s">
        <v>397</v>
      </c>
      <c r="F6603" t="s">
        <v>725</v>
      </c>
      <c r="G6603">
        <v>0</v>
      </c>
      <c r="H6603">
        <v>0</v>
      </c>
    </row>
    <row r="6604" spans="2:8" x14ac:dyDescent="0.25">
      <c r="B6604" t="str">
        <f t="shared" si="103"/>
        <v>NRUPopulation, total</v>
      </c>
      <c r="C6604" t="s">
        <v>251</v>
      </c>
      <c r="D6604" t="s">
        <v>109</v>
      </c>
      <c r="E6604" t="s">
        <v>398</v>
      </c>
      <c r="F6604" t="s">
        <v>726</v>
      </c>
      <c r="G6604">
        <v>13000</v>
      </c>
      <c r="H6604">
        <v>13000</v>
      </c>
    </row>
    <row r="6605" spans="2:8" x14ac:dyDescent="0.25">
      <c r="B6605" t="str">
        <f t="shared" si="103"/>
        <v>NRUPopulation, female</v>
      </c>
      <c r="C6605" t="s">
        <v>251</v>
      </c>
      <c r="D6605" t="s">
        <v>109</v>
      </c>
      <c r="E6605" t="s">
        <v>396</v>
      </c>
      <c r="F6605" t="s">
        <v>727</v>
      </c>
      <c r="G6605">
        <v>0</v>
      </c>
      <c r="H6605">
        <v>0</v>
      </c>
    </row>
    <row r="6606" spans="2:8" x14ac:dyDescent="0.25">
      <c r="B6606" t="str">
        <f t="shared" si="103"/>
        <v>NRUPopulation growth (annual %)</v>
      </c>
      <c r="C6606" t="s">
        <v>251</v>
      </c>
      <c r="D6606" t="s">
        <v>109</v>
      </c>
      <c r="E6606" t="s">
        <v>399</v>
      </c>
      <c r="F6606" t="s">
        <v>728</v>
      </c>
      <c r="G6606">
        <v>0</v>
      </c>
      <c r="H6606">
        <v>0</v>
      </c>
    </row>
    <row r="6607" spans="2:8" x14ac:dyDescent="0.25">
      <c r="B6607" t="str">
        <f t="shared" si="103"/>
        <v>NPLPopulation ages 0-14, female</v>
      </c>
      <c r="C6607" t="s">
        <v>179</v>
      </c>
      <c r="D6607" t="s">
        <v>108</v>
      </c>
      <c r="E6607" t="s">
        <v>687</v>
      </c>
      <c r="F6607" t="s">
        <v>688</v>
      </c>
      <c r="G6607">
        <v>4196000</v>
      </c>
      <c r="H6607">
        <v>4149000</v>
      </c>
    </row>
    <row r="6608" spans="2:8" x14ac:dyDescent="0.25">
      <c r="B6608" t="str">
        <f t="shared" si="103"/>
        <v>NPLPopulation ages 0-14, male</v>
      </c>
      <c r="C6608" t="s">
        <v>179</v>
      </c>
      <c r="D6608" t="s">
        <v>108</v>
      </c>
      <c r="E6608" t="s">
        <v>689</v>
      </c>
      <c r="F6608" t="s">
        <v>690</v>
      </c>
      <c r="G6608">
        <v>4260000</v>
      </c>
      <c r="H6608">
        <v>4246000</v>
      </c>
    </row>
    <row r="6609" spans="2:8" x14ac:dyDescent="0.25">
      <c r="B6609" t="str">
        <f t="shared" si="103"/>
        <v>NPLPopulation ages 00-04, female</v>
      </c>
      <c r="C6609" t="s">
        <v>179</v>
      </c>
      <c r="D6609" t="s">
        <v>108</v>
      </c>
      <c r="E6609" t="s">
        <v>362</v>
      </c>
      <c r="F6609" t="s">
        <v>691</v>
      </c>
      <c r="G6609">
        <v>1328000</v>
      </c>
      <c r="H6609">
        <v>1321000</v>
      </c>
    </row>
    <row r="6610" spans="2:8" x14ac:dyDescent="0.25">
      <c r="B6610" t="str">
        <f t="shared" si="103"/>
        <v>NPLPopulation ages 00-04, male</v>
      </c>
      <c r="C6610" t="s">
        <v>179</v>
      </c>
      <c r="D6610" t="s">
        <v>108</v>
      </c>
      <c r="E6610" t="s">
        <v>363</v>
      </c>
      <c r="F6610" t="s">
        <v>692</v>
      </c>
      <c r="G6610">
        <v>1378000</v>
      </c>
      <c r="H6610">
        <v>1386000</v>
      </c>
    </row>
    <row r="6611" spans="2:8" x14ac:dyDescent="0.25">
      <c r="B6611" t="str">
        <f t="shared" si="103"/>
        <v>NPLPopulation ages 05-09, female</v>
      </c>
      <c r="C6611" t="s">
        <v>179</v>
      </c>
      <c r="D6611" t="s">
        <v>108</v>
      </c>
      <c r="E6611" t="s">
        <v>364</v>
      </c>
      <c r="F6611" t="s">
        <v>693</v>
      </c>
      <c r="G6611">
        <v>1386000</v>
      </c>
      <c r="H6611">
        <v>1370000</v>
      </c>
    </row>
    <row r="6612" spans="2:8" x14ac:dyDescent="0.25">
      <c r="B6612" t="str">
        <f t="shared" si="103"/>
        <v>NPLPopulation ages 05-09, male</v>
      </c>
      <c r="C6612" t="s">
        <v>179</v>
      </c>
      <c r="D6612" t="s">
        <v>108</v>
      </c>
      <c r="E6612" t="s">
        <v>365</v>
      </c>
      <c r="F6612" t="s">
        <v>694</v>
      </c>
      <c r="G6612">
        <v>1388000</v>
      </c>
      <c r="H6612">
        <v>1386000</v>
      </c>
    </row>
    <row r="6613" spans="2:8" x14ac:dyDescent="0.25">
      <c r="B6613" t="str">
        <f t="shared" si="103"/>
        <v>NPLPopulation ages 10-14, female</v>
      </c>
      <c r="C6613" t="s">
        <v>179</v>
      </c>
      <c r="D6613" t="s">
        <v>108</v>
      </c>
      <c r="E6613" t="s">
        <v>366</v>
      </c>
      <c r="F6613" t="s">
        <v>695</v>
      </c>
      <c r="G6613">
        <v>1482000</v>
      </c>
      <c r="H6613">
        <v>1457000</v>
      </c>
    </row>
    <row r="6614" spans="2:8" x14ac:dyDescent="0.25">
      <c r="B6614" t="str">
        <f t="shared" si="103"/>
        <v>NPLPopulation ages 10-14, male</v>
      </c>
      <c r="C6614" t="s">
        <v>179</v>
      </c>
      <c r="D6614" t="s">
        <v>108</v>
      </c>
      <c r="E6614" t="s">
        <v>367</v>
      </c>
      <c r="F6614" t="s">
        <v>696</v>
      </c>
      <c r="G6614">
        <v>1494000</v>
      </c>
      <c r="H6614">
        <v>1474000</v>
      </c>
    </row>
    <row r="6615" spans="2:8" x14ac:dyDescent="0.25">
      <c r="B6615" t="str">
        <f t="shared" si="103"/>
        <v>NPLPopulation ages 15-19, female</v>
      </c>
      <c r="C6615" t="s">
        <v>179</v>
      </c>
      <c r="D6615" t="s">
        <v>108</v>
      </c>
      <c r="E6615" t="s">
        <v>368</v>
      </c>
      <c r="F6615" t="s">
        <v>697</v>
      </c>
      <c r="G6615">
        <v>1615000</v>
      </c>
      <c r="H6615">
        <v>1584000</v>
      </c>
    </row>
    <row r="6616" spans="2:8" x14ac:dyDescent="0.25">
      <c r="B6616" t="str">
        <f t="shared" si="103"/>
        <v>NPLPopulation ages 15-19, male</v>
      </c>
      <c r="C6616" t="s">
        <v>179</v>
      </c>
      <c r="D6616" t="s">
        <v>108</v>
      </c>
      <c r="E6616" t="s">
        <v>369</v>
      </c>
      <c r="F6616" t="s">
        <v>698</v>
      </c>
      <c r="G6616">
        <v>1614000</v>
      </c>
      <c r="H6616">
        <v>1605000</v>
      </c>
    </row>
    <row r="6617" spans="2:8" x14ac:dyDescent="0.25">
      <c r="B6617" t="str">
        <f t="shared" si="103"/>
        <v>NPLPopulation ages 20-24, female</v>
      </c>
      <c r="C6617" t="s">
        <v>179</v>
      </c>
      <c r="D6617" t="s">
        <v>108</v>
      </c>
      <c r="E6617" t="s">
        <v>370</v>
      </c>
      <c r="F6617" t="s">
        <v>699</v>
      </c>
      <c r="G6617">
        <v>1676000</v>
      </c>
      <c r="H6617">
        <v>1685000</v>
      </c>
    </row>
    <row r="6618" spans="2:8" x14ac:dyDescent="0.25">
      <c r="B6618" t="str">
        <f t="shared" si="103"/>
        <v>NPLPopulation ages 20-24, male</v>
      </c>
      <c r="C6618" t="s">
        <v>179</v>
      </c>
      <c r="D6618" t="s">
        <v>108</v>
      </c>
      <c r="E6618" t="s">
        <v>371</v>
      </c>
      <c r="F6618" t="s">
        <v>700</v>
      </c>
      <c r="G6618">
        <v>1481000</v>
      </c>
      <c r="H6618">
        <v>1536000</v>
      </c>
    </row>
    <row r="6619" spans="2:8" x14ac:dyDescent="0.25">
      <c r="B6619" t="str">
        <f t="shared" si="103"/>
        <v>NPLPopulation ages 25-29, female</v>
      </c>
      <c r="C6619" t="s">
        <v>179</v>
      </c>
      <c r="D6619" t="s">
        <v>108</v>
      </c>
      <c r="E6619" t="s">
        <v>372</v>
      </c>
      <c r="F6619" t="s">
        <v>701</v>
      </c>
      <c r="G6619">
        <v>1470000</v>
      </c>
      <c r="H6619">
        <v>1530000</v>
      </c>
    </row>
    <row r="6620" spans="2:8" x14ac:dyDescent="0.25">
      <c r="B6620" t="str">
        <f t="shared" si="103"/>
        <v>NPLPopulation ages 25-29, male</v>
      </c>
      <c r="C6620" t="s">
        <v>179</v>
      </c>
      <c r="D6620" t="s">
        <v>108</v>
      </c>
      <c r="E6620" t="s">
        <v>373</v>
      </c>
      <c r="F6620" t="s">
        <v>702</v>
      </c>
      <c r="G6620">
        <v>1038000</v>
      </c>
      <c r="H6620">
        <v>1135000</v>
      </c>
    </row>
    <row r="6621" spans="2:8" x14ac:dyDescent="0.25">
      <c r="B6621" t="str">
        <f t="shared" si="103"/>
        <v>NPLPopulation ages 30-34, female</v>
      </c>
      <c r="C6621" t="s">
        <v>179</v>
      </c>
      <c r="D6621" t="s">
        <v>108</v>
      </c>
      <c r="E6621" t="s">
        <v>374</v>
      </c>
      <c r="F6621" t="s">
        <v>703</v>
      </c>
      <c r="G6621">
        <v>1240000</v>
      </c>
      <c r="H6621">
        <v>1293000</v>
      </c>
    </row>
    <row r="6622" spans="2:8" x14ac:dyDescent="0.25">
      <c r="B6622" t="str">
        <f t="shared" si="103"/>
        <v>NPLPopulation ages 30-34, male</v>
      </c>
      <c r="C6622" t="s">
        <v>179</v>
      </c>
      <c r="D6622" t="s">
        <v>108</v>
      </c>
      <c r="E6622" t="s">
        <v>375</v>
      </c>
      <c r="F6622" t="s">
        <v>704</v>
      </c>
      <c r="G6622">
        <v>706000</v>
      </c>
      <c r="H6622">
        <v>776000</v>
      </c>
    </row>
    <row r="6623" spans="2:8" x14ac:dyDescent="0.25">
      <c r="B6623" t="str">
        <f t="shared" si="103"/>
        <v>NPLPopulation ages 35-39, female</v>
      </c>
      <c r="C6623" t="s">
        <v>179</v>
      </c>
      <c r="D6623" t="s">
        <v>108</v>
      </c>
      <c r="E6623" t="s">
        <v>376</v>
      </c>
      <c r="F6623" t="s">
        <v>705</v>
      </c>
      <c r="G6623">
        <v>1094000</v>
      </c>
      <c r="H6623">
        <v>1120000</v>
      </c>
    </row>
    <row r="6624" spans="2:8" x14ac:dyDescent="0.25">
      <c r="B6624" t="str">
        <f t="shared" si="103"/>
        <v>NPLPopulation ages 35-39, male</v>
      </c>
      <c r="C6624" t="s">
        <v>179</v>
      </c>
      <c r="D6624" t="s">
        <v>108</v>
      </c>
      <c r="E6624" t="s">
        <v>377</v>
      </c>
      <c r="F6624" t="s">
        <v>706</v>
      </c>
      <c r="G6624">
        <v>588000</v>
      </c>
      <c r="H6624">
        <v>604000</v>
      </c>
    </row>
    <row r="6625" spans="2:8" x14ac:dyDescent="0.25">
      <c r="B6625" t="str">
        <f t="shared" si="103"/>
        <v>NPLPopulation ages 40-44, female</v>
      </c>
      <c r="C6625" t="s">
        <v>179</v>
      </c>
      <c r="D6625" t="s">
        <v>108</v>
      </c>
      <c r="E6625" t="s">
        <v>378</v>
      </c>
      <c r="F6625" t="s">
        <v>707</v>
      </c>
      <c r="G6625">
        <v>954000</v>
      </c>
      <c r="H6625">
        <v>991000</v>
      </c>
    </row>
    <row r="6626" spans="2:8" x14ac:dyDescent="0.25">
      <c r="B6626" t="str">
        <f t="shared" si="103"/>
        <v>NPLPopulation ages 40-44, male</v>
      </c>
      <c r="C6626" t="s">
        <v>179</v>
      </c>
      <c r="D6626" t="s">
        <v>108</v>
      </c>
      <c r="E6626" t="s">
        <v>379</v>
      </c>
      <c r="F6626" t="s">
        <v>708</v>
      </c>
      <c r="G6626">
        <v>605000</v>
      </c>
      <c r="H6626">
        <v>606000</v>
      </c>
    </row>
    <row r="6627" spans="2:8" x14ac:dyDescent="0.25">
      <c r="B6627" t="str">
        <f t="shared" si="103"/>
        <v>NPLPopulation ages 45-49, female</v>
      </c>
      <c r="C6627" t="s">
        <v>179</v>
      </c>
      <c r="D6627" t="s">
        <v>108</v>
      </c>
      <c r="E6627" t="s">
        <v>380</v>
      </c>
      <c r="F6627" t="s">
        <v>709</v>
      </c>
      <c r="G6627">
        <v>791000</v>
      </c>
      <c r="H6627">
        <v>826000</v>
      </c>
    </row>
    <row r="6628" spans="2:8" x14ac:dyDescent="0.25">
      <c r="B6628" t="str">
        <f t="shared" si="103"/>
        <v>NPLPopulation ages 45-49, male</v>
      </c>
      <c r="C6628" t="s">
        <v>179</v>
      </c>
      <c r="D6628" t="s">
        <v>108</v>
      </c>
      <c r="E6628" t="s">
        <v>381</v>
      </c>
      <c r="F6628" t="s">
        <v>710</v>
      </c>
      <c r="G6628">
        <v>608000</v>
      </c>
      <c r="H6628">
        <v>623000</v>
      </c>
    </row>
    <row r="6629" spans="2:8" x14ac:dyDescent="0.25">
      <c r="B6629" t="str">
        <f t="shared" si="103"/>
        <v>NPLPopulation ages 50-54, female</v>
      </c>
      <c r="C6629" t="s">
        <v>179</v>
      </c>
      <c r="D6629" t="s">
        <v>108</v>
      </c>
      <c r="E6629" t="s">
        <v>382</v>
      </c>
      <c r="F6629" t="s">
        <v>711</v>
      </c>
      <c r="G6629">
        <v>662000</v>
      </c>
      <c r="H6629">
        <v>684000</v>
      </c>
    </row>
    <row r="6630" spans="2:8" x14ac:dyDescent="0.25">
      <c r="B6630" t="str">
        <f t="shared" si="103"/>
        <v>NPLPopulation ages 50-54, male</v>
      </c>
      <c r="C6630" t="s">
        <v>179</v>
      </c>
      <c r="D6630" t="s">
        <v>108</v>
      </c>
      <c r="E6630" t="s">
        <v>383</v>
      </c>
      <c r="F6630" t="s">
        <v>712</v>
      </c>
      <c r="G6630">
        <v>557000</v>
      </c>
      <c r="H6630">
        <v>579000</v>
      </c>
    </row>
    <row r="6631" spans="2:8" x14ac:dyDescent="0.25">
      <c r="B6631" t="str">
        <f t="shared" si="103"/>
        <v>NPLPopulation ages 55-59, male</v>
      </c>
      <c r="C6631" t="s">
        <v>179</v>
      </c>
      <c r="D6631" t="s">
        <v>108</v>
      </c>
      <c r="E6631" t="s">
        <v>385</v>
      </c>
      <c r="F6631" t="s">
        <v>713</v>
      </c>
      <c r="G6631">
        <v>463000</v>
      </c>
      <c r="H6631">
        <v>485000</v>
      </c>
    </row>
    <row r="6632" spans="2:8" x14ac:dyDescent="0.25">
      <c r="B6632" t="str">
        <f t="shared" si="103"/>
        <v>NPLPopulation ages 55-59, female</v>
      </c>
      <c r="C6632" t="s">
        <v>179</v>
      </c>
      <c r="D6632" t="s">
        <v>108</v>
      </c>
      <c r="E6632" t="s">
        <v>384</v>
      </c>
      <c r="F6632" t="s">
        <v>714</v>
      </c>
      <c r="G6632">
        <v>537000</v>
      </c>
      <c r="H6632">
        <v>559000</v>
      </c>
    </row>
    <row r="6633" spans="2:8" x14ac:dyDescent="0.25">
      <c r="B6633" t="str">
        <f t="shared" si="103"/>
        <v>NPLPopulation ages 65-69, male</v>
      </c>
      <c r="C6633" t="s">
        <v>179</v>
      </c>
      <c r="D6633" t="s">
        <v>108</v>
      </c>
      <c r="E6633" t="s">
        <v>389</v>
      </c>
      <c r="F6633" t="s">
        <v>715</v>
      </c>
      <c r="G6633">
        <v>303000</v>
      </c>
      <c r="H6633">
        <v>313000</v>
      </c>
    </row>
    <row r="6634" spans="2:8" x14ac:dyDescent="0.25">
      <c r="B6634" t="str">
        <f t="shared" si="103"/>
        <v>NPLPopulation ages 65-69, female</v>
      </c>
      <c r="C6634" t="s">
        <v>179</v>
      </c>
      <c r="D6634" t="s">
        <v>108</v>
      </c>
      <c r="E6634" t="s">
        <v>388</v>
      </c>
      <c r="F6634" t="s">
        <v>716</v>
      </c>
      <c r="G6634">
        <v>343000</v>
      </c>
      <c r="H6634">
        <v>352000</v>
      </c>
    </row>
    <row r="6635" spans="2:8" x14ac:dyDescent="0.25">
      <c r="B6635" t="str">
        <f t="shared" si="103"/>
        <v>NPLPopulation ages 60-64, female</v>
      </c>
      <c r="C6635" t="s">
        <v>179</v>
      </c>
      <c r="D6635" t="s">
        <v>108</v>
      </c>
      <c r="E6635" t="s">
        <v>386</v>
      </c>
      <c r="F6635" t="s">
        <v>717</v>
      </c>
      <c r="G6635">
        <v>425000</v>
      </c>
      <c r="H6635">
        <v>441000</v>
      </c>
    </row>
    <row r="6636" spans="2:8" x14ac:dyDescent="0.25">
      <c r="B6636" t="str">
        <f t="shared" si="103"/>
        <v>NPLPopulation ages 60-64, male</v>
      </c>
      <c r="C6636" t="s">
        <v>179</v>
      </c>
      <c r="D6636" t="s">
        <v>108</v>
      </c>
      <c r="E6636" t="s">
        <v>387</v>
      </c>
      <c r="F6636" t="s">
        <v>718</v>
      </c>
      <c r="G6636">
        <v>372000</v>
      </c>
      <c r="H6636">
        <v>382000</v>
      </c>
    </row>
    <row r="6637" spans="2:8" x14ac:dyDescent="0.25">
      <c r="B6637" t="str">
        <f t="shared" si="103"/>
        <v>NPLPopulation ages 70-74, female</v>
      </c>
      <c r="C6637" t="s">
        <v>179</v>
      </c>
      <c r="D6637" t="s">
        <v>108</v>
      </c>
      <c r="E6637" t="s">
        <v>390</v>
      </c>
      <c r="F6637" t="s">
        <v>719</v>
      </c>
      <c r="G6637">
        <v>259000</v>
      </c>
      <c r="H6637">
        <v>264000</v>
      </c>
    </row>
    <row r="6638" spans="2:8" x14ac:dyDescent="0.25">
      <c r="B6638" t="str">
        <f t="shared" si="103"/>
        <v>NPLPopulation ages 70-74, male</v>
      </c>
      <c r="C6638" t="s">
        <v>179</v>
      </c>
      <c r="D6638" t="s">
        <v>108</v>
      </c>
      <c r="E6638" t="s">
        <v>391</v>
      </c>
      <c r="F6638" t="s">
        <v>720</v>
      </c>
      <c r="G6638">
        <v>205000</v>
      </c>
      <c r="H6638">
        <v>210000</v>
      </c>
    </row>
    <row r="6639" spans="2:8" x14ac:dyDescent="0.25">
      <c r="B6639" t="str">
        <f t="shared" si="103"/>
        <v>NPLPopulation ages 75-79, female</v>
      </c>
      <c r="C6639" t="s">
        <v>179</v>
      </c>
      <c r="D6639" t="s">
        <v>108</v>
      </c>
      <c r="E6639" t="s">
        <v>392</v>
      </c>
      <c r="F6639" t="s">
        <v>721</v>
      </c>
      <c r="G6639">
        <v>180000</v>
      </c>
      <c r="H6639">
        <v>187000</v>
      </c>
    </row>
    <row r="6640" spans="2:8" x14ac:dyDescent="0.25">
      <c r="B6640" t="str">
        <f t="shared" si="103"/>
        <v>NPLPopulation ages 75-79, male</v>
      </c>
      <c r="C6640" t="s">
        <v>179</v>
      </c>
      <c r="D6640" t="s">
        <v>108</v>
      </c>
      <c r="E6640" t="s">
        <v>393</v>
      </c>
      <c r="F6640" t="s">
        <v>722</v>
      </c>
      <c r="G6640">
        <v>148000</v>
      </c>
      <c r="H6640">
        <v>151000</v>
      </c>
    </row>
    <row r="6641" spans="2:8" x14ac:dyDescent="0.25">
      <c r="B6641" t="str">
        <f t="shared" si="103"/>
        <v>NPLPopulation ages 80 and above, female</v>
      </c>
      <c r="C6641" t="s">
        <v>179</v>
      </c>
      <c r="D6641" t="s">
        <v>108</v>
      </c>
      <c r="E6641" t="s">
        <v>394</v>
      </c>
      <c r="F6641" t="s">
        <v>723</v>
      </c>
      <c r="G6641">
        <v>120000</v>
      </c>
      <c r="H6641">
        <v>123000</v>
      </c>
    </row>
    <row r="6642" spans="2:8" x14ac:dyDescent="0.25">
      <c r="B6642" t="str">
        <f t="shared" si="103"/>
        <v>NPLPopulation ages 80 and above, male</v>
      </c>
      <c r="C6642" t="s">
        <v>179</v>
      </c>
      <c r="D6642" t="s">
        <v>108</v>
      </c>
      <c r="E6642" t="s">
        <v>395</v>
      </c>
      <c r="F6642" t="s">
        <v>724</v>
      </c>
      <c r="G6642">
        <v>97000</v>
      </c>
      <c r="H6642">
        <v>98000</v>
      </c>
    </row>
    <row r="6643" spans="2:8" x14ac:dyDescent="0.25">
      <c r="B6643" t="str">
        <f t="shared" si="103"/>
        <v>NPLPopulation, male</v>
      </c>
      <c r="C6643" t="s">
        <v>179</v>
      </c>
      <c r="D6643" t="s">
        <v>108</v>
      </c>
      <c r="E6643" t="s">
        <v>397</v>
      </c>
      <c r="F6643" t="s">
        <v>725</v>
      </c>
      <c r="G6643">
        <v>13047000</v>
      </c>
      <c r="H6643">
        <v>13348000</v>
      </c>
    </row>
    <row r="6644" spans="2:8" x14ac:dyDescent="0.25">
      <c r="B6644" t="str">
        <f t="shared" si="103"/>
        <v>NPLPopulation, total</v>
      </c>
      <c r="C6644" t="s">
        <v>179</v>
      </c>
      <c r="D6644" t="s">
        <v>108</v>
      </c>
      <c r="E6644" t="s">
        <v>398</v>
      </c>
      <c r="F6644" t="s">
        <v>726</v>
      </c>
      <c r="G6644">
        <v>28609000</v>
      </c>
      <c r="H6644">
        <v>29137000</v>
      </c>
    </row>
    <row r="6645" spans="2:8" x14ac:dyDescent="0.25">
      <c r="B6645" t="str">
        <f t="shared" si="103"/>
        <v>NPLPopulation, female</v>
      </c>
      <c r="C6645" t="s">
        <v>179</v>
      </c>
      <c r="D6645" t="s">
        <v>108</v>
      </c>
      <c r="E6645" t="s">
        <v>396</v>
      </c>
      <c r="F6645" t="s">
        <v>727</v>
      </c>
      <c r="G6645">
        <v>15562000</v>
      </c>
      <c r="H6645">
        <v>15788000</v>
      </c>
    </row>
    <row r="6646" spans="2:8" x14ac:dyDescent="0.25">
      <c r="B6646" t="str">
        <f t="shared" si="103"/>
        <v>NPLPopulation growth (annual %)</v>
      </c>
      <c r="C6646" t="s">
        <v>179</v>
      </c>
      <c r="D6646" t="s">
        <v>108</v>
      </c>
      <c r="E6646" t="s">
        <v>399</v>
      </c>
      <c r="F6646" t="s">
        <v>728</v>
      </c>
      <c r="G6646">
        <v>0</v>
      </c>
      <c r="H6646">
        <v>0</v>
      </c>
    </row>
    <row r="6647" spans="2:8" x14ac:dyDescent="0.25">
      <c r="B6647" t="str">
        <f t="shared" si="103"/>
        <v>NLDPopulation ages 0-14, female</v>
      </c>
      <c r="C6647" t="s">
        <v>584</v>
      </c>
      <c r="D6647" t="s">
        <v>106</v>
      </c>
      <c r="E6647" t="s">
        <v>687</v>
      </c>
      <c r="F6647" t="s">
        <v>688</v>
      </c>
      <c r="G6647">
        <v>1336000</v>
      </c>
      <c r="H6647">
        <v>1324000</v>
      </c>
    </row>
    <row r="6648" spans="2:8" x14ac:dyDescent="0.25">
      <c r="B6648" t="str">
        <f t="shared" si="103"/>
        <v>NLDPopulation ages 0-14, male</v>
      </c>
      <c r="C6648" t="s">
        <v>584</v>
      </c>
      <c r="D6648" t="s">
        <v>106</v>
      </c>
      <c r="E6648" t="s">
        <v>689</v>
      </c>
      <c r="F6648" t="s">
        <v>690</v>
      </c>
      <c r="G6648">
        <v>1409000</v>
      </c>
      <c r="H6648">
        <v>1397000</v>
      </c>
    </row>
    <row r="6649" spans="2:8" x14ac:dyDescent="0.25">
      <c r="B6649" t="str">
        <f t="shared" si="103"/>
        <v>NLDPopulation ages 00-04, female</v>
      </c>
      <c r="C6649" t="s">
        <v>584</v>
      </c>
      <c r="D6649" t="s">
        <v>106</v>
      </c>
      <c r="E6649" t="s">
        <v>362</v>
      </c>
      <c r="F6649" t="s">
        <v>691</v>
      </c>
      <c r="G6649">
        <v>425000</v>
      </c>
      <c r="H6649">
        <v>423000</v>
      </c>
    </row>
    <row r="6650" spans="2:8" x14ac:dyDescent="0.25">
      <c r="B6650" t="str">
        <f t="shared" si="103"/>
        <v>NLDPopulation ages 00-04, male</v>
      </c>
      <c r="C6650" t="s">
        <v>584</v>
      </c>
      <c r="D6650" t="s">
        <v>106</v>
      </c>
      <c r="E6650" t="s">
        <v>363</v>
      </c>
      <c r="F6650" t="s">
        <v>692</v>
      </c>
      <c r="G6650">
        <v>447000</v>
      </c>
      <c r="H6650">
        <v>445000</v>
      </c>
    </row>
    <row r="6651" spans="2:8" x14ac:dyDescent="0.25">
      <c r="B6651" t="str">
        <f t="shared" si="103"/>
        <v>NLDPopulation ages 05-09, female</v>
      </c>
      <c r="C6651" t="s">
        <v>584</v>
      </c>
      <c r="D6651" t="s">
        <v>106</v>
      </c>
      <c r="E6651" t="s">
        <v>364</v>
      </c>
      <c r="F6651" t="s">
        <v>693</v>
      </c>
      <c r="G6651">
        <v>442000</v>
      </c>
      <c r="H6651">
        <v>440000</v>
      </c>
    </row>
    <row r="6652" spans="2:8" x14ac:dyDescent="0.25">
      <c r="B6652" t="str">
        <f t="shared" si="103"/>
        <v>NLDPopulation ages 05-09, male</v>
      </c>
      <c r="C6652" t="s">
        <v>584</v>
      </c>
      <c r="D6652" t="s">
        <v>106</v>
      </c>
      <c r="E6652" t="s">
        <v>365</v>
      </c>
      <c r="F6652" t="s">
        <v>694</v>
      </c>
      <c r="G6652">
        <v>467000</v>
      </c>
      <c r="H6652">
        <v>464000</v>
      </c>
    </row>
    <row r="6653" spans="2:8" x14ac:dyDescent="0.25">
      <c r="B6653" t="str">
        <f t="shared" si="103"/>
        <v>NLDPopulation ages 10-14, female</v>
      </c>
      <c r="C6653" t="s">
        <v>584</v>
      </c>
      <c r="D6653" t="s">
        <v>106</v>
      </c>
      <c r="E6653" t="s">
        <v>366</v>
      </c>
      <c r="F6653" t="s">
        <v>695</v>
      </c>
      <c r="G6653">
        <v>468000</v>
      </c>
      <c r="H6653">
        <v>461000</v>
      </c>
    </row>
    <row r="6654" spans="2:8" x14ac:dyDescent="0.25">
      <c r="B6654" t="str">
        <f t="shared" si="103"/>
        <v>NLDPopulation ages 10-14, male</v>
      </c>
      <c r="C6654" t="s">
        <v>584</v>
      </c>
      <c r="D6654" t="s">
        <v>106</v>
      </c>
      <c r="E6654" t="s">
        <v>367</v>
      </c>
      <c r="F6654" t="s">
        <v>696</v>
      </c>
      <c r="G6654">
        <v>495000</v>
      </c>
      <c r="H6654">
        <v>487000</v>
      </c>
    </row>
    <row r="6655" spans="2:8" x14ac:dyDescent="0.25">
      <c r="B6655" t="str">
        <f t="shared" si="103"/>
        <v>NLDPopulation ages 15-19, female</v>
      </c>
      <c r="C6655" t="s">
        <v>584</v>
      </c>
      <c r="D6655" t="s">
        <v>106</v>
      </c>
      <c r="E6655" t="s">
        <v>368</v>
      </c>
      <c r="F6655" t="s">
        <v>697</v>
      </c>
      <c r="G6655">
        <v>502000</v>
      </c>
      <c r="H6655">
        <v>500000</v>
      </c>
    </row>
    <row r="6656" spans="2:8" x14ac:dyDescent="0.25">
      <c r="B6656" t="str">
        <f t="shared" si="103"/>
        <v>NLDPopulation ages 15-19, male</v>
      </c>
      <c r="C6656" t="s">
        <v>584</v>
      </c>
      <c r="D6656" t="s">
        <v>106</v>
      </c>
      <c r="E6656" t="s">
        <v>369</v>
      </c>
      <c r="F6656" t="s">
        <v>698</v>
      </c>
      <c r="G6656">
        <v>529000</v>
      </c>
      <c r="H6656">
        <v>528000</v>
      </c>
    </row>
    <row r="6657" spans="2:8" x14ac:dyDescent="0.25">
      <c r="B6657" t="str">
        <f t="shared" si="103"/>
        <v>NLDPopulation ages 20-24, female</v>
      </c>
      <c r="C6657" t="s">
        <v>584</v>
      </c>
      <c r="D6657" t="s">
        <v>106</v>
      </c>
      <c r="E6657" t="s">
        <v>370</v>
      </c>
      <c r="F6657" t="s">
        <v>699</v>
      </c>
      <c r="G6657">
        <v>507000</v>
      </c>
      <c r="H6657">
        <v>504000</v>
      </c>
    </row>
    <row r="6658" spans="2:8" x14ac:dyDescent="0.25">
      <c r="B6658" t="str">
        <f t="shared" si="103"/>
        <v>NLDPopulation ages 20-24, male</v>
      </c>
      <c r="C6658" t="s">
        <v>584</v>
      </c>
      <c r="D6658" t="s">
        <v>106</v>
      </c>
      <c r="E6658" t="s">
        <v>371</v>
      </c>
      <c r="F6658" t="s">
        <v>700</v>
      </c>
      <c r="G6658">
        <v>530000</v>
      </c>
      <c r="H6658">
        <v>528000</v>
      </c>
    </row>
    <row r="6659" spans="2:8" x14ac:dyDescent="0.25">
      <c r="B6659" t="str">
        <f t="shared" si="103"/>
        <v>NLDPopulation ages 25-29, female</v>
      </c>
      <c r="C6659" t="s">
        <v>584</v>
      </c>
      <c r="D6659" t="s">
        <v>106</v>
      </c>
      <c r="E6659" t="s">
        <v>372</v>
      </c>
      <c r="F6659" t="s">
        <v>701</v>
      </c>
      <c r="G6659">
        <v>536000</v>
      </c>
      <c r="H6659">
        <v>534000</v>
      </c>
    </row>
    <row r="6660" spans="2:8" x14ac:dyDescent="0.25">
      <c r="B6660" t="str">
        <f t="shared" si="103"/>
        <v>NLDPopulation ages 25-29, male</v>
      </c>
      <c r="C6660" t="s">
        <v>584</v>
      </c>
      <c r="D6660" t="s">
        <v>106</v>
      </c>
      <c r="E6660" t="s">
        <v>373</v>
      </c>
      <c r="F6660" t="s">
        <v>702</v>
      </c>
      <c r="G6660">
        <v>556000</v>
      </c>
      <c r="H6660">
        <v>555000</v>
      </c>
    </row>
    <row r="6661" spans="2:8" x14ac:dyDescent="0.25">
      <c r="B6661" t="str">
        <f t="shared" si="103"/>
        <v>NLDPopulation ages 30-34, female</v>
      </c>
      <c r="C6661" t="s">
        <v>584</v>
      </c>
      <c r="D6661" t="s">
        <v>106</v>
      </c>
      <c r="E6661" t="s">
        <v>374</v>
      </c>
      <c r="F6661" t="s">
        <v>703</v>
      </c>
      <c r="G6661">
        <v>532000</v>
      </c>
      <c r="H6661">
        <v>538000</v>
      </c>
    </row>
    <row r="6662" spans="2:8" x14ac:dyDescent="0.25">
      <c r="B6662" t="str">
        <f t="shared" si="103"/>
        <v>NLDPopulation ages 30-34, male</v>
      </c>
      <c r="C6662" t="s">
        <v>584</v>
      </c>
      <c r="D6662" t="s">
        <v>106</v>
      </c>
      <c r="E6662" t="s">
        <v>375</v>
      </c>
      <c r="F6662" t="s">
        <v>704</v>
      </c>
      <c r="G6662">
        <v>546000</v>
      </c>
      <c r="H6662">
        <v>552000</v>
      </c>
    </row>
    <row r="6663" spans="2:8" x14ac:dyDescent="0.25">
      <c r="B6663" t="str">
        <f t="shared" ref="B6663:B6726" si="104">CONCATENATE(D6663,E6663)</f>
        <v>NLDPopulation ages 35-39, female</v>
      </c>
      <c r="C6663" t="s">
        <v>584</v>
      </c>
      <c r="D6663" t="s">
        <v>106</v>
      </c>
      <c r="E6663" t="s">
        <v>376</v>
      </c>
      <c r="F6663" t="s">
        <v>705</v>
      </c>
      <c r="G6663">
        <v>506000</v>
      </c>
      <c r="H6663">
        <v>511000</v>
      </c>
    </row>
    <row r="6664" spans="2:8" x14ac:dyDescent="0.25">
      <c r="B6664" t="str">
        <f t="shared" si="104"/>
        <v>NLDPopulation ages 35-39, male</v>
      </c>
      <c r="C6664" t="s">
        <v>584</v>
      </c>
      <c r="D6664" t="s">
        <v>106</v>
      </c>
      <c r="E6664" t="s">
        <v>377</v>
      </c>
      <c r="F6664" t="s">
        <v>706</v>
      </c>
      <c r="G6664">
        <v>514000</v>
      </c>
      <c r="H6664">
        <v>521000</v>
      </c>
    </row>
    <row r="6665" spans="2:8" x14ac:dyDescent="0.25">
      <c r="B6665" t="str">
        <f t="shared" si="104"/>
        <v>NLDPopulation ages 40-44, female</v>
      </c>
      <c r="C6665" t="s">
        <v>584</v>
      </c>
      <c r="D6665" t="s">
        <v>106</v>
      </c>
      <c r="E6665" t="s">
        <v>378</v>
      </c>
      <c r="F6665" t="s">
        <v>707</v>
      </c>
      <c r="G6665">
        <v>516000</v>
      </c>
      <c r="H6665">
        <v>507000</v>
      </c>
    </row>
    <row r="6666" spans="2:8" x14ac:dyDescent="0.25">
      <c r="B6666" t="str">
        <f t="shared" si="104"/>
        <v>NLDPopulation ages 40-44, male</v>
      </c>
      <c r="C6666" t="s">
        <v>584</v>
      </c>
      <c r="D6666" t="s">
        <v>106</v>
      </c>
      <c r="E6666" t="s">
        <v>379</v>
      </c>
      <c r="F6666" t="s">
        <v>708</v>
      </c>
      <c r="G6666">
        <v>517000</v>
      </c>
      <c r="H6666">
        <v>510000</v>
      </c>
    </row>
    <row r="6667" spans="2:8" x14ac:dyDescent="0.25">
      <c r="B6667" t="str">
        <f t="shared" si="104"/>
        <v>NLDPopulation ages 45-49, female</v>
      </c>
      <c r="C6667" t="s">
        <v>584</v>
      </c>
      <c r="D6667" t="s">
        <v>106</v>
      </c>
      <c r="E6667" t="s">
        <v>380</v>
      </c>
      <c r="F6667" t="s">
        <v>709</v>
      </c>
      <c r="G6667">
        <v>596000</v>
      </c>
      <c r="H6667">
        <v>581000</v>
      </c>
    </row>
    <row r="6668" spans="2:8" x14ac:dyDescent="0.25">
      <c r="B6668" t="str">
        <f t="shared" si="104"/>
        <v>NLDPopulation ages 45-49, male</v>
      </c>
      <c r="C6668" t="s">
        <v>584</v>
      </c>
      <c r="D6668" t="s">
        <v>106</v>
      </c>
      <c r="E6668" t="s">
        <v>381</v>
      </c>
      <c r="F6668" t="s">
        <v>710</v>
      </c>
      <c r="G6668">
        <v>596000</v>
      </c>
      <c r="H6668">
        <v>579000</v>
      </c>
    </row>
    <row r="6669" spans="2:8" x14ac:dyDescent="0.25">
      <c r="B6669" t="str">
        <f t="shared" si="104"/>
        <v>NLDPopulation ages 50-54, female</v>
      </c>
      <c r="C6669" t="s">
        <v>584</v>
      </c>
      <c r="D6669" t="s">
        <v>106</v>
      </c>
      <c r="E6669" t="s">
        <v>382</v>
      </c>
      <c r="F6669" t="s">
        <v>711</v>
      </c>
      <c r="G6669">
        <v>645000</v>
      </c>
      <c r="H6669">
        <v>641000</v>
      </c>
    </row>
    <row r="6670" spans="2:8" x14ac:dyDescent="0.25">
      <c r="B6670" t="str">
        <f t="shared" si="104"/>
        <v>NLDPopulation ages 50-54, male</v>
      </c>
      <c r="C6670" t="s">
        <v>584</v>
      </c>
      <c r="D6670" t="s">
        <v>106</v>
      </c>
      <c r="E6670" t="s">
        <v>383</v>
      </c>
      <c r="F6670" t="s">
        <v>712</v>
      </c>
      <c r="G6670">
        <v>653000</v>
      </c>
      <c r="H6670">
        <v>647000</v>
      </c>
    </row>
    <row r="6671" spans="2:8" x14ac:dyDescent="0.25">
      <c r="B6671" t="str">
        <f t="shared" si="104"/>
        <v>NLDPopulation ages 55-59, male</v>
      </c>
      <c r="C6671" t="s">
        <v>584</v>
      </c>
      <c r="D6671" t="s">
        <v>106</v>
      </c>
      <c r="E6671" t="s">
        <v>385</v>
      </c>
      <c r="F6671" t="s">
        <v>713</v>
      </c>
      <c r="G6671">
        <v>630000</v>
      </c>
      <c r="H6671">
        <v>638000</v>
      </c>
    </row>
    <row r="6672" spans="2:8" x14ac:dyDescent="0.25">
      <c r="B6672" t="str">
        <f t="shared" si="104"/>
        <v>NLDPopulation ages 55-59, female</v>
      </c>
      <c r="C6672" t="s">
        <v>584</v>
      </c>
      <c r="D6672" t="s">
        <v>106</v>
      </c>
      <c r="E6672" t="s">
        <v>384</v>
      </c>
      <c r="F6672" t="s">
        <v>714</v>
      </c>
      <c r="G6672">
        <v>619000</v>
      </c>
      <c r="H6672">
        <v>627000</v>
      </c>
    </row>
    <row r="6673" spans="2:8" x14ac:dyDescent="0.25">
      <c r="B6673" t="str">
        <f t="shared" si="104"/>
        <v>NLDPopulation ages 65-69, male</v>
      </c>
      <c r="C6673" t="s">
        <v>584</v>
      </c>
      <c r="D6673" t="s">
        <v>106</v>
      </c>
      <c r="E6673" t="s">
        <v>389</v>
      </c>
      <c r="F6673" t="s">
        <v>715</v>
      </c>
      <c r="G6673">
        <v>501000</v>
      </c>
      <c r="H6673">
        <v>500000</v>
      </c>
    </row>
    <row r="6674" spans="2:8" x14ac:dyDescent="0.25">
      <c r="B6674" t="str">
        <f t="shared" si="104"/>
        <v>NLDPopulation ages 65-69, female</v>
      </c>
      <c r="C6674" t="s">
        <v>584</v>
      </c>
      <c r="D6674" t="s">
        <v>106</v>
      </c>
      <c r="E6674" t="s">
        <v>388</v>
      </c>
      <c r="F6674" t="s">
        <v>716</v>
      </c>
      <c r="G6674">
        <v>516000</v>
      </c>
      <c r="H6674">
        <v>516000</v>
      </c>
    </row>
    <row r="6675" spans="2:8" x14ac:dyDescent="0.25">
      <c r="B6675" t="str">
        <f t="shared" si="104"/>
        <v>NLDPopulation ages 60-64, female</v>
      </c>
      <c r="C6675" t="s">
        <v>584</v>
      </c>
      <c r="D6675" t="s">
        <v>106</v>
      </c>
      <c r="E6675" t="s">
        <v>386</v>
      </c>
      <c r="F6675" t="s">
        <v>717</v>
      </c>
      <c r="G6675">
        <v>559000</v>
      </c>
      <c r="H6675">
        <v>569000</v>
      </c>
    </row>
    <row r="6676" spans="2:8" x14ac:dyDescent="0.25">
      <c r="B6676" t="str">
        <f t="shared" si="104"/>
        <v>NLDPopulation ages 60-64, male</v>
      </c>
      <c r="C6676" t="s">
        <v>584</v>
      </c>
      <c r="D6676" t="s">
        <v>106</v>
      </c>
      <c r="E6676" t="s">
        <v>387</v>
      </c>
      <c r="F6676" t="s">
        <v>718</v>
      </c>
      <c r="G6676">
        <v>557000</v>
      </c>
      <c r="H6676">
        <v>569000</v>
      </c>
    </row>
    <row r="6677" spans="2:8" x14ac:dyDescent="0.25">
      <c r="B6677" t="str">
        <f t="shared" si="104"/>
        <v>NLDPopulation ages 70-74, female</v>
      </c>
      <c r="C6677" t="s">
        <v>584</v>
      </c>
      <c r="D6677" t="s">
        <v>106</v>
      </c>
      <c r="E6677" t="s">
        <v>390</v>
      </c>
      <c r="F6677" t="s">
        <v>719</v>
      </c>
      <c r="G6677">
        <v>477000</v>
      </c>
      <c r="H6677">
        <v>494000</v>
      </c>
    </row>
    <row r="6678" spans="2:8" x14ac:dyDescent="0.25">
      <c r="B6678" t="str">
        <f t="shared" si="104"/>
        <v>NLDPopulation ages 70-74, male</v>
      </c>
      <c r="C6678" t="s">
        <v>584</v>
      </c>
      <c r="D6678" t="s">
        <v>106</v>
      </c>
      <c r="E6678" t="s">
        <v>391</v>
      </c>
      <c r="F6678" t="s">
        <v>720</v>
      </c>
      <c r="G6678">
        <v>455000</v>
      </c>
      <c r="H6678">
        <v>469000</v>
      </c>
    </row>
    <row r="6679" spans="2:8" x14ac:dyDescent="0.25">
      <c r="B6679" t="str">
        <f t="shared" si="104"/>
        <v>NLDPopulation ages 75-79, female</v>
      </c>
      <c r="C6679" t="s">
        <v>584</v>
      </c>
      <c r="D6679" t="s">
        <v>106</v>
      </c>
      <c r="E6679" t="s">
        <v>392</v>
      </c>
      <c r="F6679" t="s">
        <v>721</v>
      </c>
      <c r="G6679">
        <v>324000</v>
      </c>
      <c r="H6679">
        <v>341000</v>
      </c>
    </row>
    <row r="6680" spans="2:8" x14ac:dyDescent="0.25">
      <c r="B6680" t="str">
        <f t="shared" si="104"/>
        <v>NLDPopulation ages 75-79, male</v>
      </c>
      <c r="C6680" t="s">
        <v>584</v>
      </c>
      <c r="D6680" t="s">
        <v>106</v>
      </c>
      <c r="E6680" t="s">
        <v>393</v>
      </c>
      <c r="F6680" t="s">
        <v>722</v>
      </c>
      <c r="G6680">
        <v>288000</v>
      </c>
      <c r="H6680">
        <v>305000</v>
      </c>
    </row>
    <row r="6681" spans="2:8" x14ac:dyDescent="0.25">
      <c r="B6681" t="str">
        <f t="shared" si="104"/>
        <v>NLDPopulation ages 80 and above, female</v>
      </c>
      <c r="C6681" t="s">
        <v>584</v>
      </c>
      <c r="D6681" t="s">
        <v>106</v>
      </c>
      <c r="E6681" t="s">
        <v>394</v>
      </c>
      <c r="F6681" t="s">
        <v>723</v>
      </c>
      <c r="G6681">
        <v>503000</v>
      </c>
      <c r="H6681">
        <v>509000</v>
      </c>
    </row>
    <row r="6682" spans="2:8" x14ac:dyDescent="0.25">
      <c r="B6682" t="str">
        <f t="shared" si="104"/>
        <v>NLDPopulation ages 80 and above, male</v>
      </c>
      <c r="C6682" t="s">
        <v>584</v>
      </c>
      <c r="D6682" t="s">
        <v>106</v>
      </c>
      <c r="E6682" t="s">
        <v>395</v>
      </c>
      <c r="F6682" t="s">
        <v>724</v>
      </c>
      <c r="G6682">
        <v>325000</v>
      </c>
      <c r="H6682">
        <v>337000</v>
      </c>
    </row>
    <row r="6683" spans="2:8" x14ac:dyDescent="0.25">
      <c r="B6683" t="str">
        <f t="shared" si="104"/>
        <v>NLDPopulation, male</v>
      </c>
      <c r="C6683" t="s">
        <v>584</v>
      </c>
      <c r="D6683" t="s">
        <v>106</v>
      </c>
      <c r="E6683" t="s">
        <v>397</v>
      </c>
      <c r="F6683" t="s">
        <v>725</v>
      </c>
      <c r="G6683">
        <v>8606000</v>
      </c>
      <c r="H6683">
        <v>8634000</v>
      </c>
    </row>
    <row r="6684" spans="2:8" x14ac:dyDescent="0.25">
      <c r="B6684" t="str">
        <f t="shared" si="104"/>
        <v>NLDPopulation, total</v>
      </c>
      <c r="C6684" t="s">
        <v>584</v>
      </c>
      <c r="D6684" t="s">
        <v>106</v>
      </c>
      <c r="E6684" t="s">
        <v>398</v>
      </c>
      <c r="F6684" t="s">
        <v>726</v>
      </c>
      <c r="G6684">
        <v>17280000</v>
      </c>
      <c r="H6684">
        <v>17330000</v>
      </c>
    </row>
    <row r="6685" spans="2:8" x14ac:dyDescent="0.25">
      <c r="B6685" t="str">
        <f t="shared" si="104"/>
        <v>NLDPopulation, female</v>
      </c>
      <c r="C6685" t="s">
        <v>584</v>
      </c>
      <c r="D6685" t="s">
        <v>106</v>
      </c>
      <c r="E6685" t="s">
        <v>396</v>
      </c>
      <c r="F6685" t="s">
        <v>727</v>
      </c>
      <c r="G6685">
        <v>8674000</v>
      </c>
      <c r="H6685">
        <v>8696000</v>
      </c>
    </row>
    <row r="6686" spans="2:8" x14ac:dyDescent="0.25">
      <c r="B6686" t="str">
        <f t="shared" si="104"/>
        <v>NLDPopulation growth (annual %)</v>
      </c>
      <c r="C6686" t="s">
        <v>584</v>
      </c>
      <c r="D6686" t="s">
        <v>106</v>
      </c>
      <c r="E6686" t="s">
        <v>399</v>
      </c>
      <c r="F6686" t="s">
        <v>728</v>
      </c>
      <c r="G6686">
        <v>0</v>
      </c>
      <c r="H6686">
        <v>0</v>
      </c>
    </row>
    <row r="6687" spans="2:8" x14ac:dyDescent="0.25">
      <c r="B6687" t="str">
        <f t="shared" si="104"/>
        <v>NCLPopulation ages 0-14, female</v>
      </c>
      <c r="C6687" t="s">
        <v>585</v>
      </c>
      <c r="D6687" t="s">
        <v>586</v>
      </c>
      <c r="E6687" t="s">
        <v>687</v>
      </c>
      <c r="F6687" t="s">
        <v>688</v>
      </c>
      <c r="G6687">
        <v>32000</v>
      </c>
      <c r="H6687">
        <v>31000</v>
      </c>
    </row>
    <row r="6688" spans="2:8" x14ac:dyDescent="0.25">
      <c r="B6688" t="str">
        <f t="shared" si="104"/>
        <v>NCLPopulation ages 0-14, male</v>
      </c>
      <c r="C6688" t="s">
        <v>585</v>
      </c>
      <c r="D6688" t="s">
        <v>586</v>
      </c>
      <c r="E6688" t="s">
        <v>689</v>
      </c>
      <c r="F6688" t="s">
        <v>690</v>
      </c>
      <c r="G6688">
        <v>33000</v>
      </c>
      <c r="H6688">
        <v>33000</v>
      </c>
    </row>
    <row r="6689" spans="2:8" x14ac:dyDescent="0.25">
      <c r="B6689" t="str">
        <f t="shared" si="104"/>
        <v>NCLPopulation ages 00-04, female</v>
      </c>
      <c r="C6689" t="s">
        <v>585</v>
      </c>
      <c r="D6689" t="s">
        <v>586</v>
      </c>
      <c r="E6689" t="s">
        <v>362</v>
      </c>
      <c r="F6689" t="s">
        <v>691</v>
      </c>
      <c r="G6689">
        <v>10000</v>
      </c>
      <c r="H6689">
        <v>9900</v>
      </c>
    </row>
    <row r="6690" spans="2:8" x14ac:dyDescent="0.25">
      <c r="B6690" t="str">
        <f t="shared" si="104"/>
        <v>NCLPopulation ages 00-04, male</v>
      </c>
      <c r="C6690" t="s">
        <v>585</v>
      </c>
      <c r="D6690" t="s">
        <v>586</v>
      </c>
      <c r="E6690" t="s">
        <v>363</v>
      </c>
      <c r="F6690" t="s">
        <v>692</v>
      </c>
      <c r="G6690">
        <v>10000</v>
      </c>
      <c r="H6690">
        <v>10000</v>
      </c>
    </row>
    <row r="6691" spans="2:8" x14ac:dyDescent="0.25">
      <c r="B6691" t="str">
        <f t="shared" si="104"/>
        <v>NCLPopulation ages 05-09, female</v>
      </c>
      <c r="C6691" t="s">
        <v>585</v>
      </c>
      <c r="D6691" t="s">
        <v>586</v>
      </c>
      <c r="E6691" t="s">
        <v>364</v>
      </c>
      <c r="F6691" t="s">
        <v>693</v>
      </c>
      <c r="G6691">
        <v>11000</v>
      </c>
      <c r="H6691">
        <v>11000</v>
      </c>
    </row>
    <row r="6692" spans="2:8" x14ac:dyDescent="0.25">
      <c r="B6692" t="str">
        <f t="shared" si="104"/>
        <v>NCLPopulation ages 05-09, male</v>
      </c>
      <c r="C6692" t="s">
        <v>585</v>
      </c>
      <c r="D6692" t="s">
        <v>586</v>
      </c>
      <c r="E6692" t="s">
        <v>365</v>
      </c>
      <c r="F6692" t="s">
        <v>694</v>
      </c>
      <c r="G6692">
        <v>11000</v>
      </c>
      <c r="H6692">
        <v>11000</v>
      </c>
    </row>
    <row r="6693" spans="2:8" x14ac:dyDescent="0.25">
      <c r="B6693" t="str">
        <f t="shared" si="104"/>
        <v>NCLPopulation ages 10-14, female</v>
      </c>
      <c r="C6693" t="s">
        <v>585</v>
      </c>
      <c r="D6693" t="s">
        <v>586</v>
      </c>
      <c r="E6693" t="s">
        <v>366</v>
      </c>
      <c r="F6693" t="s">
        <v>695</v>
      </c>
      <c r="G6693">
        <v>11000</v>
      </c>
      <c r="H6693">
        <v>11000</v>
      </c>
    </row>
    <row r="6694" spans="2:8" x14ac:dyDescent="0.25">
      <c r="B6694" t="str">
        <f t="shared" si="104"/>
        <v>NCLPopulation ages 10-14, male</v>
      </c>
      <c r="C6694" t="s">
        <v>585</v>
      </c>
      <c r="D6694" t="s">
        <v>586</v>
      </c>
      <c r="E6694" t="s">
        <v>367</v>
      </c>
      <c r="F6694" t="s">
        <v>696</v>
      </c>
      <c r="G6694">
        <v>11000</v>
      </c>
      <c r="H6694">
        <v>11000</v>
      </c>
    </row>
    <row r="6695" spans="2:8" x14ac:dyDescent="0.25">
      <c r="B6695" t="str">
        <f t="shared" si="104"/>
        <v>NCLPopulation ages 15-19, female</v>
      </c>
      <c r="C6695" t="s">
        <v>585</v>
      </c>
      <c r="D6695" t="s">
        <v>586</v>
      </c>
      <c r="E6695" t="s">
        <v>368</v>
      </c>
      <c r="F6695" t="s">
        <v>697</v>
      </c>
      <c r="G6695">
        <v>11000</v>
      </c>
      <c r="H6695">
        <v>11000</v>
      </c>
    </row>
    <row r="6696" spans="2:8" x14ac:dyDescent="0.25">
      <c r="B6696" t="str">
        <f t="shared" si="104"/>
        <v>NCLPopulation ages 15-19, male</v>
      </c>
      <c r="C6696" t="s">
        <v>585</v>
      </c>
      <c r="D6696" t="s">
        <v>586</v>
      </c>
      <c r="E6696" t="s">
        <v>369</v>
      </c>
      <c r="F6696" t="s">
        <v>698</v>
      </c>
      <c r="G6696">
        <v>11000</v>
      </c>
      <c r="H6696">
        <v>11000</v>
      </c>
    </row>
    <row r="6697" spans="2:8" x14ac:dyDescent="0.25">
      <c r="B6697" t="str">
        <f t="shared" si="104"/>
        <v>NCLPopulation ages 20-24, female</v>
      </c>
      <c r="C6697" t="s">
        <v>585</v>
      </c>
      <c r="D6697" t="s">
        <v>586</v>
      </c>
      <c r="E6697" t="s">
        <v>370</v>
      </c>
      <c r="F6697" t="s">
        <v>699</v>
      </c>
      <c r="G6697">
        <v>11000</v>
      </c>
      <c r="H6697">
        <v>12000</v>
      </c>
    </row>
    <row r="6698" spans="2:8" x14ac:dyDescent="0.25">
      <c r="B6698" t="str">
        <f t="shared" si="104"/>
        <v>NCLPopulation ages 20-24, male</v>
      </c>
      <c r="C6698" t="s">
        <v>585</v>
      </c>
      <c r="D6698" t="s">
        <v>586</v>
      </c>
      <c r="E6698" t="s">
        <v>371</v>
      </c>
      <c r="F6698" t="s">
        <v>700</v>
      </c>
      <c r="G6698">
        <v>12000</v>
      </c>
      <c r="H6698">
        <v>12000</v>
      </c>
    </row>
    <row r="6699" spans="2:8" x14ac:dyDescent="0.25">
      <c r="B6699" t="str">
        <f t="shared" si="104"/>
        <v>NCLPopulation ages 25-29, female</v>
      </c>
      <c r="C6699" t="s">
        <v>585</v>
      </c>
      <c r="D6699" t="s">
        <v>586</v>
      </c>
      <c r="E6699" t="s">
        <v>372</v>
      </c>
      <c r="F6699" t="s">
        <v>701</v>
      </c>
      <c r="G6699">
        <v>9500</v>
      </c>
      <c r="H6699">
        <v>9600</v>
      </c>
    </row>
    <row r="6700" spans="2:8" x14ac:dyDescent="0.25">
      <c r="B6700" t="str">
        <f t="shared" si="104"/>
        <v>NCLPopulation ages 25-29, male</v>
      </c>
      <c r="C6700" t="s">
        <v>585</v>
      </c>
      <c r="D6700" t="s">
        <v>586</v>
      </c>
      <c r="E6700" t="s">
        <v>373</v>
      </c>
      <c r="F6700" t="s">
        <v>702</v>
      </c>
      <c r="G6700">
        <v>10000</v>
      </c>
      <c r="H6700">
        <v>11000</v>
      </c>
    </row>
    <row r="6701" spans="2:8" x14ac:dyDescent="0.25">
      <c r="B6701" t="str">
        <f t="shared" si="104"/>
        <v>NCLPopulation ages 30-34, female</v>
      </c>
      <c r="C6701" t="s">
        <v>585</v>
      </c>
      <c r="D6701" t="s">
        <v>586</v>
      </c>
      <c r="E6701" t="s">
        <v>374</v>
      </c>
      <c r="F6701" t="s">
        <v>703</v>
      </c>
      <c r="G6701">
        <v>10000</v>
      </c>
      <c r="H6701">
        <v>10000</v>
      </c>
    </row>
    <row r="6702" spans="2:8" x14ac:dyDescent="0.25">
      <c r="B6702" t="str">
        <f t="shared" si="104"/>
        <v>NCLPopulation ages 30-34, male</v>
      </c>
      <c r="C6702" t="s">
        <v>585</v>
      </c>
      <c r="D6702" t="s">
        <v>586</v>
      </c>
      <c r="E6702" t="s">
        <v>375</v>
      </c>
      <c r="F6702" t="s">
        <v>704</v>
      </c>
      <c r="G6702">
        <v>11000</v>
      </c>
      <c r="H6702">
        <v>11000</v>
      </c>
    </row>
    <row r="6703" spans="2:8" x14ac:dyDescent="0.25">
      <c r="B6703" t="str">
        <f t="shared" si="104"/>
        <v>NCLPopulation ages 35-39, female</v>
      </c>
      <c r="C6703" t="s">
        <v>585</v>
      </c>
      <c r="D6703" t="s">
        <v>586</v>
      </c>
      <c r="E6703" t="s">
        <v>376</v>
      </c>
      <c r="F6703" t="s">
        <v>705</v>
      </c>
      <c r="G6703">
        <v>10000</v>
      </c>
      <c r="H6703">
        <v>10000</v>
      </c>
    </row>
    <row r="6704" spans="2:8" x14ac:dyDescent="0.25">
      <c r="B6704" t="str">
        <f t="shared" si="104"/>
        <v>NCLPopulation ages 35-39, male</v>
      </c>
      <c r="C6704" t="s">
        <v>585</v>
      </c>
      <c r="D6704" t="s">
        <v>586</v>
      </c>
      <c r="E6704" t="s">
        <v>377</v>
      </c>
      <c r="F6704" t="s">
        <v>706</v>
      </c>
      <c r="G6704">
        <v>11000</v>
      </c>
      <c r="H6704">
        <v>11000</v>
      </c>
    </row>
    <row r="6705" spans="2:8" x14ac:dyDescent="0.25">
      <c r="B6705" t="str">
        <f t="shared" si="104"/>
        <v>NCLPopulation ages 40-44, female</v>
      </c>
      <c r="C6705" t="s">
        <v>585</v>
      </c>
      <c r="D6705" t="s">
        <v>586</v>
      </c>
      <c r="E6705" t="s">
        <v>378</v>
      </c>
      <c r="F6705" t="s">
        <v>707</v>
      </c>
      <c r="G6705">
        <v>10000</v>
      </c>
      <c r="H6705">
        <v>10000</v>
      </c>
    </row>
    <row r="6706" spans="2:8" x14ac:dyDescent="0.25">
      <c r="B6706" t="str">
        <f t="shared" si="104"/>
        <v>NCLPopulation ages 40-44, male</v>
      </c>
      <c r="C6706" t="s">
        <v>585</v>
      </c>
      <c r="D6706" t="s">
        <v>586</v>
      </c>
      <c r="E6706" t="s">
        <v>379</v>
      </c>
      <c r="F6706" t="s">
        <v>708</v>
      </c>
      <c r="G6706">
        <v>10000</v>
      </c>
      <c r="H6706">
        <v>10000</v>
      </c>
    </row>
    <row r="6707" spans="2:8" x14ac:dyDescent="0.25">
      <c r="B6707" t="str">
        <f t="shared" si="104"/>
        <v>NCLPopulation ages 45-49, female</v>
      </c>
      <c r="C6707" t="s">
        <v>585</v>
      </c>
      <c r="D6707" t="s">
        <v>586</v>
      </c>
      <c r="E6707" t="s">
        <v>380</v>
      </c>
      <c r="F6707" t="s">
        <v>709</v>
      </c>
      <c r="G6707">
        <v>11000</v>
      </c>
      <c r="H6707">
        <v>11000</v>
      </c>
    </row>
    <row r="6708" spans="2:8" x14ac:dyDescent="0.25">
      <c r="B6708" t="str">
        <f t="shared" si="104"/>
        <v>NCLPopulation ages 45-49, male</v>
      </c>
      <c r="C6708" t="s">
        <v>585</v>
      </c>
      <c r="D6708" t="s">
        <v>586</v>
      </c>
      <c r="E6708" t="s">
        <v>381</v>
      </c>
      <c r="F6708" t="s">
        <v>710</v>
      </c>
      <c r="G6708">
        <v>11000</v>
      </c>
      <c r="H6708">
        <v>11000</v>
      </c>
    </row>
    <row r="6709" spans="2:8" x14ac:dyDescent="0.25">
      <c r="B6709" t="str">
        <f t="shared" si="104"/>
        <v>NCLPopulation ages 50-54, female</v>
      </c>
      <c r="C6709" t="s">
        <v>585</v>
      </c>
      <c r="D6709" t="s">
        <v>586</v>
      </c>
      <c r="E6709" t="s">
        <v>382</v>
      </c>
      <c r="F6709" t="s">
        <v>711</v>
      </c>
      <c r="G6709">
        <v>9200</v>
      </c>
      <c r="H6709">
        <v>9400</v>
      </c>
    </row>
    <row r="6710" spans="2:8" x14ac:dyDescent="0.25">
      <c r="B6710" t="str">
        <f t="shared" si="104"/>
        <v>NCLPopulation ages 50-54, male</v>
      </c>
      <c r="C6710" t="s">
        <v>585</v>
      </c>
      <c r="D6710" t="s">
        <v>586</v>
      </c>
      <c r="E6710" t="s">
        <v>383</v>
      </c>
      <c r="F6710" t="s">
        <v>712</v>
      </c>
      <c r="G6710">
        <v>9000</v>
      </c>
      <c r="H6710">
        <v>9200</v>
      </c>
    </row>
    <row r="6711" spans="2:8" x14ac:dyDescent="0.25">
      <c r="B6711" t="str">
        <f t="shared" si="104"/>
        <v>NCLPopulation ages 55-59, male</v>
      </c>
      <c r="C6711" t="s">
        <v>585</v>
      </c>
      <c r="D6711" t="s">
        <v>586</v>
      </c>
      <c r="E6711" t="s">
        <v>385</v>
      </c>
      <c r="F6711" t="s">
        <v>713</v>
      </c>
      <c r="G6711">
        <v>8100</v>
      </c>
      <c r="H6711">
        <v>8400</v>
      </c>
    </row>
    <row r="6712" spans="2:8" x14ac:dyDescent="0.25">
      <c r="B6712" t="str">
        <f t="shared" si="104"/>
        <v>NCLPopulation ages 55-59, female</v>
      </c>
      <c r="C6712" t="s">
        <v>585</v>
      </c>
      <c r="D6712" t="s">
        <v>586</v>
      </c>
      <c r="E6712" t="s">
        <v>384</v>
      </c>
      <c r="F6712" t="s">
        <v>714</v>
      </c>
      <c r="G6712">
        <v>8300</v>
      </c>
      <c r="H6712">
        <v>8600</v>
      </c>
    </row>
    <row r="6713" spans="2:8" x14ac:dyDescent="0.25">
      <c r="B6713" t="str">
        <f t="shared" si="104"/>
        <v>NCLPopulation ages 65-69, male</v>
      </c>
      <c r="C6713" t="s">
        <v>585</v>
      </c>
      <c r="D6713" t="s">
        <v>586</v>
      </c>
      <c r="E6713" t="s">
        <v>389</v>
      </c>
      <c r="F6713" t="s">
        <v>715</v>
      </c>
      <c r="G6713">
        <v>5000</v>
      </c>
      <c r="H6713">
        <v>5000</v>
      </c>
    </row>
    <row r="6714" spans="2:8" x14ac:dyDescent="0.25">
      <c r="B6714" t="str">
        <f t="shared" si="104"/>
        <v>NCLPopulation ages 65-69, female</v>
      </c>
      <c r="C6714" t="s">
        <v>585</v>
      </c>
      <c r="D6714" t="s">
        <v>586</v>
      </c>
      <c r="E6714" t="s">
        <v>388</v>
      </c>
      <c r="F6714" t="s">
        <v>716</v>
      </c>
      <c r="G6714">
        <v>4900</v>
      </c>
      <c r="H6714">
        <v>5100</v>
      </c>
    </row>
    <row r="6715" spans="2:8" x14ac:dyDescent="0.25">
      <c r="B6715" t="str">
        <f t="shared" si="104"/>
        <v>NCLPopulation ages 60-64, female</v>
      </c>
      <c r="C6715" t="s">
        <v>585</v>
      </c>
      <c r="D6715" t="s">
        <v>586</v>
      </c>
      <c r="E6715" t="s">
        <v>386</v>
      </c>
      <c r="F6715" t="s">
        <v>717</v>
      </c>
      <c r="G6715">
        <v>6500</v>
      </c>
      <c r="H6715">
        <v>6800</v>
      </c>
    </row>
    <row r="6716" spans="2:8" x14ac:dyDescent="0.25">
      <c r="B6716" t="str">
        <f t="shared" si="104"/>
        <v>NCLPopulation ages 60-64, male</v>
      </c>
      <c r="C6716" t="s">
        <v>585</v>
      </c>
      <c r="D6716" t="s">
        <v>586</v>
      </c>
      <c r="E6716" t="s">
        <v>387</v>
      </c>
      <c r="F6716" t="s">
        <v>718</v>
      </c>
      <c r="G6716">
        <v>6000</v>
      </c>
      <c r="H6716">
        <v>6300</v>
      </c>
    </row>
    <row r="6717" spans="2:8" x14ac:dyDescent="0.25">
      <c r="B6717" t="str">
        <f t="shared" si="104"/>
        <v>NCLPopulation ages 70-74, female</v>
      </c>
      <c r="C6717" t="s">
        <v>585</v>
      </c>
      <c r="D6717" t="s">
        <v>586</v>
      </c>
      <c r="E6717" t="s">
        <v>390</v>
      </c>
      <c r="F6717" t="s">
        <v>719</v>
      </c>
      <c r="G6717">
        <v>4000</v>
      </c>
      <c r="H6717">
        <v>4200</v>
      </c>
    </row>
    <row r="6718" spans="2:8" x14ac:dyDescent="0.25">
      <c r="B6718" t="str">
        <f t="shared" si="104"/>
        <v>NCLPopulation ages 70-74, male</v>
      </c>
      <c r="C6718" t="s">
        <v>585</v>
      </c>
      <c r="D6718" t="s">
        <v>586</v>
      </c>
      <c r="E6718" t="s">
        <v>391</v>
      </c>
      <c r="F6718" t="s">
        <v>720</v>
      </c>
      <c r="G6718">
        <v>4000</v>
      </c>
      <c r="H6718">
        <v>4100</v>
      </c>
    </row>
    <row r="6719" spans="2:8" x14ac:dyDescent="0.25">
      <c r="B6719" t="str">
        <f t="shared" si="104"/>
        <v>NCLPopulation ages 75-79, female</v>
      </c>
      <c r="C6719" t="s">
        <v>585</v>
      </c>
      <c r="D6719" t="s">
        <v>586</v>
      </c>
      <c r="E6719" t="s">
        <v>392</v>
      </c>
      <c r="F6719" t="s">
        <v>721</v>
      </c>
      <c r="G6719">
        <v>2600</v>
      </c>
      <c r="H6719">
        <v>2700</v>
      </c>
    </row>
    <row r="6720" spans="2:8" x14ac:dyDescent="0.25">
      <c r="B6720" t="str">
        <f t="shared" si="104"/>
        <v>NCLPopulation ages 75-79, male</v>
      </c>
      <c r="C6720" t="s">
        <v>585</v>
      </c>
      <c r="D6720" t="s">
        <v>586</v>
      </c>
      <c r="E6720" t="s">
        <v>393</v>
      </c>
      <c r="F6720" t="s">
        <v>722</v>
      </c>
      <c r="G6720">
        <v>2400</v>
      </c>
      <c r="H6720">
        <v>2600</v>
      </c>
    </row>
    <row r="6721" spans="2:8" x14ac:dyDescent="0.25">
      <c r="B6721" t="str">
        <f t="shared" si="104"/>
        <v>NCLPopulation ages 80 and above, female</v>
      </c>
      <c r="C6721" t="s">
        <v>585</v>
      </c>
      <c r="D6721" t="s">
        <v>586</v>
      </c>
      <c r="E6721" t="s">
        <v>394</v>
      </c>
      <c r="F6721" t="s">
        <v>723</v>
      </c>
      <c r="G6721">
        <v>2700</v>
      </c>
      <c r="H6721">
        <v>2900</v>
      </c>
    </row>
    <row r="6722" spans="2:8" x14ac:dyDescent="0.25">
      <c r="B6722" t="str">
        <f t="shared" si="104"/>
        <v>NCLPopulation ages 80 and above, male</v>
      </c>
      <c r="C6722" t="s">
        <v>585</v>
      </c>
      <c r="D6722" t="s">
        <v>586</v>
      </c>
      <c r="E6722" t="s">
        <v>395</v>
      </c>
      <c r="F6722" t="s">
        <v>724</v>
      </c>
      <c r="G6722">
        <v>1600</v>
      </c>
      <c r="H6722">
        <v>1600</v>
      </c>
    </row>
    <row r="6723" spans="2:8" x14ac:dyDescent="0.25">
      <c r="B6723" t="str">
        <f t="shared" si="104"/>
        <v>NCLPopulation, male</v>
      </c>
      <c r="C6723" t="s">
        <v>585</v>
      </c>
      <c r="D6723" t="s">
        <v>586</v>
      </c>
      <c r="E6723" t="s">
        <v>397</v>
      </c>
      <c r="F6723" t="s">
        <v>725</v>
      </c>
      <c r="G6723">
        <v>145000</v>
      </c>
      <c r="H6723">
        <v>146000</v>
      </c>
    </row>
    <row r="6724" spans="2:8" x14ac:dyDescent="0.25">
      <c r="B6724" t="str">
        <f t="shared" si="104"/>
        <v>NCLPopulation, total</v>
      </c>
      <c r="C6724" t="s">
        <v>585</v>
      </c>
      <c r="D6724" t="s">
        <v>586</v>
      </c>
      <c r="E6724" t="s">
        <v>398</v>
      </c>
      <c r="F6724" t="s">
        <v>726</v>
      </c>
      <c r="G6724">
        <v>288000</v>
      </c>
      <c r="H6724">
        <v>291000</v>
      </c>
    </row>
    <row r="6725" spans="2:8" x14ac:dyDescent="0.25">
      <c r="B6725" t="str">
        <f t="shared" si="104"/>
        <v>NCLPopulation, female</v>
      </c>
      <c r="C6725" t="s">
        <v>585</v>
      </c>
      <c r="D6725" t="s">
        <v>586</v>
      </c>
      <c r="E6725" t="s">
        <v>396</v>
      </c>
      <c r="F6725" t="s">
        <v>727</v>
      </c>
      <c r="G6725">
        <v>143000</v>
      </c>
      <c r="H6725">
        <v>145000</v>
      </c>
    </row>
    <row r="6726" spans="2:8" x14ac:dyDescent="0.25">
      <c r="B6726" t="str">
        <f t="shared" si="104"/>
        <v>NCLPopulation growth (annual %)</v>
      </c>
      <c r="C6726" t="s">
        <v>585</v>
      </c>
      <c r="D6726" t="s">
        <v>586</v>
      </c>
      <c r="E6726" t="s">
        <v>399</v>
      </c>
      <c r="F6726" t="s">
        <v>728</v>
      </c>
      <c r="G6726">
        <v>0</v>
      </c>
      <c r="H6726">
        <v>0</v>
      </c>
    </row>
    <row r="6727" spans="2:8" x14ac:dyDescent="0.25">
      <c r="B6727" t="str">
        <f t="shared" ref="B6727:B6790" si="105">CONCATENATE(D6727,E6727)</f>
        <v>NZLPopulation ages 0-14, female</v>
      </c>
      <c r="C6727" t="s">
        <v>587</v>
      </c>
      <c r="D6727" t="s">
        <v>110</v>
      </c>
      <c r="E6727" t="s">
        <v>687</v>
      </c>
      <c r="F6727" t="s">
        <v>688</v>
      </c>
      <c r="G6727">
        <v>469000</v>
      </c>
      <c r="H6727">
        <v>470000</v>
      </c>
    </row>
    <row r="6728" spans="2:8" x14ac:dyDescent="0.25">
      <c r="B6728" t="str">
        <f t="shared" si="105"/>
        <v>NZLPopulation ages 0-14, male</v>
      </c>
      <c r="C6728" t="s">
        <v>587</v>
      </c>
      <c r="D6728" t="s">
        <v>110</v>
      </c>
      <c r="E6728" t="s">
        <v>689</v>
      </c>
      <c r="F6728" t="s">
        <v>690</v>
      </c>
      <c r="G6728">
        <v>495000</v>
      </c>
      <c r="H6728">
        <v>496000</v>
      </c>
    </row>
    <row r="6729" spans="2:8" x14ac:dyDescent="0.25">
      <c r="B6729" t="str">
        <f t="shared" si="105"/>
        <v>NZLPopulation ages 00-04, female</v>
      </c>
      <c r="C6729" t="s">
        <v>587</v>
      </c>
      <c r="D6729" t="s">
        <v>110</v>
      </c>
      <c r="E6729" t="s">
        <v>362</v>
      </c>
      <c r="F6729" t="s">
        <v>691</v>
      </c>
      <c r="G6729">
        <v>151000</v>
      </c>
      <c r="H6729">
        <v>151000</v>
      </c>
    </row>
    <row r="6730" spans="2:8" x14ac:dyDescent="0.25">
      <c r="B6730" t="str">
        <f t="shared" si="105"/>
        <v>NZLPopulation ages 00-04, male</v>
      </c>
      <c r="C6730" t="s">
        <v>587</v>
      </c>
      <c r="D6730" t="s">
        <v>110</v>
      </c>
      <c r="E6730" t="s">
        <v>363</v>
      </c>
      <c r="F6730" t="s">
        <v>692</v>
      </c>
      <c r="G6730">
        <v>159000</v>
      </c>
      <c r="H6730">
        <v>159000</v>
      </c>
    </row>
    <row r="6731" spans="2:8" x14ac:dyDescent="0.25">
      <c r="B6731" t="str">
        <f t="shared" si="105"/>
        <v>NZLPopulation ages 05-09, female</v>
      </c>
      <c r="C6731" t="s">
        <v>587</v>
      </c>
      <c r="D6731" t="s">
        <v>110</v>
      </c>
      <c r="E6731" t="s">
        <v>364</v>
      </c>
      <c r="F6731" t="s">
        <v>693</v>
      </c>
      <c r="G6731">
        <v>159000</v>
      </c>
      <c r="H6731">
        <v>158000</v>
      </c>
    </row>
    <row r="6732" spans="2:8" x14ac:dyDescent="0.25">
      <c r="B6732" t="str">
        <f t="shared" si="105"/>
        <v>NZLPopulation ages 05-09, male</v>
      </c>
      <c r="C6732" t="s">
        <v>587</v>
      </c>
      <c r="D6732" t="s">
        <v>110</v>
      </c>
      <c r="E6732" t="s">
        <v>365</v>
      </c>
      <c r="F6732" t="s">
        <v>694</v>
      </c>
      <c r="G6732">
        <v>168000</v>
      </c>
      <c r="H6732">
        <v>166000</v>
      </c>
    </row>
    <row r="6733" spans="2:8" x14ac:dyDescent="0.25">
      <c r="B6733" t="str">
        <f t="shared" si="105"/>
        <v>NZLPopulation ages 10-14, female</v>
      </c>
      <c r="C6733" t="s">
        <v>587</v>
      </c>
      <c r="D6733" t="s">
        <v>110</v>
      </c>
      <c r="E6733" t="s">
        <v>366</v>
      </c>
      <c r="F6733" t="s">
        <v>695</v>
      </c>
      <c r="G6733">
        <v>159000</v>
      </c>
      <c r="H6733">
        <v>161000</v>
      </c>
    </row>
    <row r="6734" spans="2:8" x14ac:dyDescent="0.25">
      <c r="B6734" t="str">
        <f t="shared" si="105"/>
        <v>NZLPopulation ages 10-14, male</v>
      </c>
      <c r="C6734" t="s">
        <v>587</v>
      </c>
      <c r="D6734" t="s">
        <v>110</v>
      </c>
      <c r="E6734" t="s">
        <v>367</v>
      </c>
      <c r="F6734" t="s">
        <v>696</v>
      </c>
      <c r="G6734">
        <v>168000</v>
      </c>
      <c r="H6734">
        <v>170000</v>
      </c>
    </row>
    <row r="6735" spans="2:8" x14ac:dyDescent="0.25">
      <c r="B6735" t="str">
        <f t="shared" si="105"/>
        <v>NZLPopulation ages 15-19, female</v>
      </c>
      <c r="C6735" t="s">
        <v>587</v>
      </c>
      <c r="D6735" t="s">
        <v>110</v>
      </c>
      <c r="E6735" t="s">
        <v>368</v>
      </c>
      <c r="F6735" t="s">
        <v>697</v>
      </c>
      <c r="G6735">
        <v>153000</v>
      </c>
      <c r="H6735">
        <v>153000</v>
      </c>
    </row>
    <row r="6736" spans="2:8" x14ac:dyDescent="0.25">
      <c r="B6736" t="str">
        <f t="shared" si="105"/>
        <v>NZLPopulation ages 15-19, male</v>
      </c>
      <c r="C6736" t="s">
        <v>587</v>
      </c>
      <c r="D6736" t="s">
        <v>110</v>
      </c>
      <c r="E6736" t="s">
        <v>369</v>
      </c>
      <c r="F6736" t="s">
        <v>698</v>
      </c>
      <c r="G6736">
        <v>159000</v>
      </c>
      <c r="H6736">
        <v>159000</v>
      </c>
    </row>
    <row r="6737" spans="2:8" x14ac:dyDescent="0.25">
      <c r="B6737" t="str">
        <f t="shared" si="105"/>
        <v>NZLPopulation ages 20-24, female</v>
      </c>
      <c r="C6737" t="s">
        <v>587</v>
      </c>
      <c r="D6737" t="s">
        <v>110</v>
      </c>
      <c r="E6737" t="s">
        <v>370</v>
      </c>
      <c r="F6737" t="s">
        <v>699</v>
      </c>
      <c r="G6737">
        <v>165000</v>
      </c>
      <c r="H6737">
        <v>163000</v>
      </c>
    </row>
    <row r="6738" spans="2:8" x14ac:dyDescent="0.25">
      <c r="B6738" t="str">
        <f t="shared" si="105"/>
        <v>NZLPopulation ages 20-24, male</v>
      </c>
      <c r="C6738" t="s">
        <v>587</v>
      </c>
      <c r="D6738" t="s">
        <v>110</v>
      </c>
      <c r="E6738" t="s">
        <v>371</v>
      </c>
      <c r="F6738" t="s">
        <v>700</v>
      </c>
      <c r="G6738">
        <v>175000</v>
      </c>
      <c r="H6738">
        <v>171000</v>
      </c>
    </row>
    <row r="6739" spans="2:8" x14ac:dyDescent="0.25">
      <c r="B6739" t="str">
        <f t="shared" si="105"/>
        <v>NZLPopulation ages 25-29, female</v>
      </c>
      <c r="C6739" t="s">
        <v>587</v>
      </c>
      <c r="D6739" t="s">
        <v>110</v>
      </c>
      <c r="E6739" t="s">
        <v>372</v>
      </c>
      <c r="F6739" t="s">
        <v>701</v>
      </c>
      <c r="G6739">
        <v>173000</v>
      </c>
      <c r="H6739">
        <v>174000</v>
      </c>
    </row>
    <row r="6740" spans="2:8" x14ac:dyDescent="0.25">
      <c r="B6740" t="str">
        <f t="shared" si="105"/>
        <v>NZLPopulation ages 25-29, male</v>
      </c>
      <c r="C6740" t="s">
        <v>587</v>
      </c>
      <c r="D6740" t="s">
        <v>110</v>
      </c>
      <c r="E6740" t="s">
        <v>373</v>
      </c>
      <c r="F6740" t="s">
        <v>702</v>
      </c>
      <c r="G6740">
        <v>182000</v>
      </c>
      <c r="H6740">
        <v>184000</v>
      </c>
    </row>
    <row r="6741" spans="2:8" x14ac:dyDescent="0.25">
      <c r="B6741" t="str">
        <f t="shared" si="105"/>
        <v>NZLPopulation ages 30-34, female</v>
      </c>
      <c r="C6741" t="s">
        <v>587</v>
      </c>
      <c r="D6741" t="s">
        <v>110</v>
      </c>
      <c r="E6741" t="s">
        <v>374</v>
      </c>
      <c r="F6741" t="s">
        <v>703</v>
      </c>
      <c r="G6741">
        <v>165000</v>
      </c>
      <c r="H6741">
        <v>168000</v>
      </c>
    </row>
    <row r="6742" spans="2:8" x14ac:dyDescent="0.25">
      <c r="B6742" t="str">
        <f t="shared" si="105"/>
        <v>NZLPopulation ages 30-34, male</v>
      </c>
      <c r="C6742" t="s">
        <v>587</v>
      </c>
      <c r="D6742" t="s">
        <v>110</v>
      </c>
      <c r="E6742" t="s">
        <v>375</v>
      </c>
      <c r="F6742" t="s">
        <v>704</v>
      </c>
      <c r="G6742">
        <v>161000</v>
      </c>
      <c r="H6742">
        <v>166000</v>
      </c>
    </row>
    <row r="6743" spans="2:8" x14ac:dyDescent="0.25">
      <c r="B6743" t="str">
        <f t="shared" si="105"/>
        <v>NZLPopulation ages 35-39, female</v>
      </c>
      <c r="C6743" t="s">
        <v>587</v>
      </c>
      <c r="D6743" t="s">
        <v>110</v>
      </c>
      <c r="E6743" t="s">
        <v>376</v>
      </c>
      <c r="F6743" t="s">
        <v>705</v>
      </c>
      <c r="G6743">
        <v>155000</v>
      </c>
      <c r="H6743">
        <v>158000</v>
      </c>
    </row>
    <row r="6744" spans="2:8" x14ac:dyDescent="0.25">
      <c r="B6744" t="str">
        <f t="shared" si="105"/>
        <v>NZLPopulation ages 35-39, male</v>
      </c>
      <c r="C6744" t="s">
        <v>587</v>
      </c>
      <c r="D6744" t="s">
        <v>110</v>
      </c>
      <c r="E6744" t="s">
        <v>377</v>
      </c>
      <c r="F6744" t="s">
        <v>706</v>
      </c>
      <c r="G6744">
        <v>142000</v>
      </c>
      <c r="H6744">
        <v>146000</v>
      </c>
    </row>
    <row r="6745" spans="2:8" x14ac:dyDescent="0.25">
      <c r="B6745" t="str">
        <f t="shared" si="105"/>
        <v>NZLPopulation ages 40-44, female</v>
      </c>
      <c r="C6745" t="s">
        <v>587</v>
      </c>
      <c r="D6745" t="s">
        <v>110</v>
      </c>
      <c r="E6745" t="s">
        <v>378</v>
      </c>
      <c r="F6745" t="s">
        <v>707</v>
      </c>
      <c r="G6745">
        <v>152000</v>
      </c>
      <c r="H6745">
        <v>150000</v>
      </c>
    </row>
    <row r="6746" spans="2:8" x14ac:dyDescent="0.25">
      <c r="B6746" t="str">
        <f t="shared" si="105"/>
        <v>NZLPopulation ages 40-44, male</v>
      </c>
      <c r="C6746" t="s">
        <v>587</v>
      </c>
      <c r="D6746" t="s">
        <v>110</v>
      </c>
      <c r="E6746" t="s">
        <v>379</v>
      </c>
      <c r="F6746" t="s">
        <v>708</v>
      </c>
      <c r="G6746">
        <v>139000</v>
      </c>
      <c r="H6746">
        <v>137000</v>
      </c>
    </row>
    <row r="6747" spans="2:8" x14ac:dyDescent="0.25">
      <c r="B6747" t="str">
        <f t="shared" si="105"/>
        <v>NZLPopulation ages 45-49, female</v>
      </c>
      <c r="C6747" t="s">
        <v>587</v>
      </c>
      <c r="D6747" t="s">
        <v>110</v>
      </c>
      <c r="E6747" t="s">
        <v>380</v>
      </c>
      <c r="F6747" t="s">
        <v>709</v>
      </c>
      <c r="G6747">
        <v>171000</v>
      </c>
      <c r="H6747">
        <v>170000</v>
      </c>
    </row>
    <row r="6748" spans="2:8" x14ac:dyDescent="0.25">
      <c r="B6748" t="str">
        <f t="shared" si="105"/>
        <v>NZLPopulation ages 45-49, male</v>
      </c>
      <c r="C6748" t="s">
        <v>587</v>
      </c>
      <c r="D6748" t="s">
        <v>110</v>
      </c>
      <c r="E6748" t="s">
        <v>381</v>
      </c>
      <c r="F6748" t="s">
        <v>710</v>
      </c>
      <c r="G6748">
        <v>155000</v>
      </c>
      <c r="H6748">
        <v>153000</v>
      </c>
    </row>
    <row r="6749" spans="2:8" x14ac:dyDescent="0.25">
      <c r="B6749" t="str">
        <f t="shared" si="105"/>
        <v>NZLPopulation ages 50-54, female</v>
      </c>
      <c r="C6749" t="s">
        <v>587</v>
      </c>
      <c r="D6749" t="s">
        <v>110</v>
      </c>
      <c r="E6749" t="s">
        <v>382</v>
      </c>
      <c r="F6749" t="s">
        <v>711</v>
      </c>
      <c r="G6749">
        <v>169000</v>
      </c>
      <c r="H6749">
        <v>168000</v>
      </c>
    </row>
    <row r="6750" spans="2:8" x14ac:dyDescent="0.25">
      <c r="B6750" t="str">
        <f t="shared" si="105"/>
        <v>NZLPopulation ages 50-54, male</v>
      </c>
      <c r="C6750" t="s">
        <v>587</v>
      </c>
      <c r="D6750" t="s">
        <v>110</v>
      </c>
      <c r="E6750" t="s">
        <v>383</v>
      </c>
      <c r="F6750" t="s">
        <v>712</v>
      </c>
      <c r="G6750">
        <v>155000</v>
      </c>
      <c r="H6750">
        <v>153000</v>
      </c>
    </row>
    <row r="6751" spans="2:8" x14ac:dyDescent="0.25">
      <c r="B6751" t="str">
        <f t="shared" si="105"/>
        <v>NZLPopulation ages 55-59, male</v>
      </c>
      <c r="C6751" t="s">
        <v>587</v>
      </c>
      <c r="D6751" t="s">
        <v>110</v>
      </c>
      <c r="E6751" t="s">
        <v>385</v>
      </c>
      <c r="F6751" t="s">
        <v>713</v>
      </c>
      <c r="G6751">
        <v>156000</v>
      </c>
      <c r="H6751">
        <v>158000</v>
      </c>
    </row>
    <row r="6752" spans="2:8" x14ac:dyDescent="0.25">
      <c r="B6752" t="str">
        <f t="shared" si="105"/>
        <v>NZLPopulation ages 55-59, female</v>
      </c>
      <c r="C6752" t="s">
        <v>587</v>
      </c>
      <c r="D6752" t="s">
        <v>110</v>
      </c>
      <c r="E6752" t="s">
        <v>384</v>
      </c>
      <c r="F6752" t="s">
        <v>714</v>
      </c>
      <c r="G6752">
        <v>167000</v>
      </c>
      <c r="H6752">
        <v>169000</v>
      </c>
    </row>
    <row r="6753" spans="2:8" x14ac:dyDescent="0.25">
      <c r="B6753" t="str">
        <f t="shared" si="105"/>
        <v>NZLPopulation ages 65-69, male</v>
      </c>
      <c r="C6753" t="s">
        <v>587</v>
      </c>
      <c r="D6753" t="s">
        <v>110</v>
      </c>
      <c r="E6753" t="s">
        <v>389</v>
      </c>
      <c r="F6753" t="s">
        <v>715</v>
      </c>
      <c r="G6753">
        <v>118000</v>
      </c>
      <c r="H6753">
        <v>120000</v>
      </c>
    </row>
    <row r="6754" spans="2:8" x14ac:dyDescent="0.25">
      <c r="B6754" t="str">
        <f t="shared" si="105"/>
        <v>NZLPopulation ages 65-69, female</v>
      </c>
      <c r="C6754" t="s">
        <v>587</v>
      </c>
      <c r="D6754" t="s">
        <v>110</v>
      </c>
      <c r="E6754" t="s">
        <v>388</v>
      </c>
      <c r="F6754" t="s">
        <v>716</v>
      </c>
      <c r="G6754">
        <v>126000</v>
      </c>
      <c r="H6754">
        <v>128000</v>
      </c>
    </row>
    <row r="6755" spans="2:8" x14ac:dyDescent="0.25">
      <c r="B6755" t="str">
        <f t="shared" si="105"/>
        <v>NZLPopulation ages 60-64, female</v>
      </c>
      <c r="C6755" t="s">
        <v>587</v>
      </c>
      <c r="D6755" t="s">
        <v>110</v>
      </c>
      <c r="E6755" t="s">
        <v>386</v>
      </c>
      <c r="F6755" t="s">
        <v>717</v>
      </c>
      <c r="G6755">
        <v>146000</v>
      </c>
      <c r="H6755">
        <v>151000</v>
      </c>
    </row>
    <row r="6756" spans="2:8" x14ac:dyDescent="0.25">
      <c r="B6756" t="str">
        <f t="shared" si="105"/>
        <v>NZLPopulation ages 60-64, male</v>
      </c>
      <c r="C6756" t="s">
        <v>587</v>
      </c>
      <c r="D6756" t="s">
        <v>110</v>
      </c>
      <c r="E6756" t="s">
        <v>387</v>
      </c>
      <c r="F6756" t="s">
        <v>718</v>
      </c>
      <c r="G6756">
        <v>136000</v>
      </c>
      <c r="H6756">
        <v>140000</v>
      </c>
    </row>
    <row r="6757" spans="2:8" x14ac:dyDescent="0.25">
      <c r="B6757" t="str">
        <f t="shared" si="105"/>
        <v>NZLPopulation ages 70-74, female</v>
      </c>
      <c r="C6757" t="s">
        <v>587</v>
      </c>
      <c r="D6757" t="s">
        <v>110</v>
      </c>
      <c r="E6757" t="s">
        <v>390</v>
      </c>
      <c r="F6757" t="s">
        <v>719</v>
      </c>
      <c r="G6757">
        <v>110000</v>
      </c>
      <c r="H6757">
        <v>114000</v>
      </c>
    </row>
    <row r="6758" spans="2:8" x14ac:dyDescent="0.25">
      <c r="B6758" t="str">
        <f t="shared" si="105"/>
        <v>NZLPopulation ages 70-74, male</v>
      </c>
      <c r="C6758" t="s">
        <v>587</v>
      </c>
      <c r="D6758" t="s">
        <v>110</v>
      </c>
      <c r="E6758" t="s">
        <v>391</v>
      </c>
      <c r="F6758" t="s">
        <v>720</v>
      </c>
      <c r="G6758">
        <v>103000</v>
      </c>
      <c r="H6758">
        <v>106000</v>
      </c>
    </row>
    <row r="6759" spans="2:8" x14ac:dyDescent="0.25">
      <c r="B6759" t="str">
        <f t="shared" si="105"/>
        <v>NZLPopulation ages 75-79, female</v>
      </c>
      <c r="C6759" t="s">
        <v>587</v>
      </c>
      <c r="D6759" t="s">
        <v>110</v>
      </c>
      <c r="E6759" t="s">
        <v>392</v>
      </c>
      <c r="F6759" t="s">
        <v>721</v>
      </c>
      <c r="G6759">
        <v>76000</v>
      </c>
      <c r="H6759">
        <v>81000</v>
      </c>
    </row>
    <row r="6760" spans="2:8" x14ac:dyDescent="0.25">
      <c r="B6760" t="str">
        <f t="shared" si="105"/>
        <v>NZLPopulation ages 75-79, male</v>
      </c>
      <c r="C6760" t="s">
        <v>587</v>
      </c>
      <c r="D6760" t="s">
        <v>110</v>
      </c>
      <c r="E6760" t="s">
        <v>393</v>
      </c>
      <c r="F6760" t="s">
        <v>722</v>
      </c>
      <c r="G6760">
        <v>68000</v>
      </c>
      <c r="H6760">
        <v>72000</v>
      </c>
    </row>
    <row r="6761" spans="2:8" x14ac:dyDescent="0.25">
      <c r="B6761" t="str">
        <f t="shared" si="105"/>
        <v>NZLPopulation ages 80 and above, female</v>
      </c>
      <c r="C6761" t="s">
        <v>587</v>
      </c>
      <c r="D6761" t="s">
        <v>110</v>
      </c>
      <c r="E6761" t="s">
        <v>394</v>
      </c>
      <c r="F6761" t="s">
        <v>723</v>
      </c>
      <c r="G6761">
        <v>109000</v>
      </c>
      <c r="H6761">
        <v>112000</v>
      </c>
    </row>
    <row r="6762" spans="2:8" x14ac:dyDescent="0.25">
      <c r="B6762" t="str">
        <f t="shared" si="105"/>
        <v>NZLPopulation ages 80 and above, male</v>
      </c>
      <c r="C6762" t="s">
        <v>587</v>
      </c>
      <c r="D6762" t="s">
        <v>110</v>
      </c>
      <c r="E6762" t="s">
        <v>395</v>
      </c>
      <c r="F6762" t="s">
        <v>724</v>
      </c>
      <c r="G6762">
        <v>79000</v>
      </c>
      <c r="H6762">
        <v>81000</v>
      </c>
    </row>
    <row r="6763" spans="2:8" x14ac:dyDescent="0.25">
      <c r="B6763" t="str">
        <f t="shared" si="105"/>
        <v>NZLPopulation, male</v>
      </c>
      <c r="C6763" t="s">
        <v>587</v>
      </c>
      <c r="D6763" t="s">
        <v>110</v>
      </c>
      <c r="E6763" t="s">
        <v>397</v>
      </c>
      <c r="F6763" t="s">
        <v>725</v>
      </c>
      <c r="G6763">
        <v>2423000</v>
      </c>
      <c r="H6763">
        <v>2443000</v>
      </c>
    </row>
    <row r="6764" spans="2:8" x14ac:dyDescent="0.25">
      <c r="B6764" t="str">
        <f t="shared" si="105"/>
        <v>NZLPopulation, total</v>
      </c>
      <c r="C6764" t="s">
        <v>587</v>
      </c>
      <c r="D6764" t="s">
        <v>110</v>
      </c>
      <c r="E6764" t="s">
        <v>398</v>
      </c>
      <c r="F6764" t="s">
        <v>726</v>
      </c>
      <c r="G6764">
        <v>4929000</v>
      </c>
      <c r="H6764">
        <v>4971000</v>
      </c>
    </row>
    <row r="6765" spans="2:8" x14ac:dyDescent="0.25">
      <c r="B6765" t="str">
        <f t="shared" si="105"/>
        <v>NZLPopulation, female</v>
      </c>
      <c r="C6765" t="s">
        <v>587</v>
      </c>
      <c r="D6765" t="s">
        <v>110</v>
      </c>
      <c r="E6765" t="s">
        <v>396</v>
      </c>
      <c r="F6765" t="s">
        <v>727</v>
      </c>
      <c r="G6765">
        <v>2506000</v>
      </c>
      <c r="H6765">
        <v>2528000</v>
      </c>
    </row>
    <row r="6766" spans="2:8" x14ac:dyDescent="0.25">
      <c r="B6766" t="str">
        <f t="shared" si="105"/>
        <v>NZLPopulation growth (annual %)</v>
      </c>
      <c r="C6766" t="s">
        <v>587</v>
      </c>
      <c r="D6766" t="s">
        <v>110</v>
      </c>
      <c r="E6766" t="s">
        <v>399</v>
      </c>
      <c r="F6766" t="s">
        <v>728</v>
      </c>
      <c r="G6766">
        <v>0</v>
      </c>
      <c r="H6766">
        <v>0</v>
      </c>
    </row>
    <row r="6767" spans="2:8" x14ac:dyDescent="0.25">
      <c r="B6767" t="str">
        <f t="shared" si="105"/>
        <v>NICPopulation ages 0-14, female</v>
      </c>
      <c r="C6767" t="s">
        <v>227</v>
      </c>
      <c r="D6767" t="s">
        <v>105</v>
      </c>
      <c r="E6767" t="s">
        <v>687</v>
      </c>
      <c r="F6767" t="s">
        <v>688</v>
      </c>
      <c r="G6767">
        <v>951000</v>
      </c>
      <c r="H6767">
        <v>951000</v>
      </c>
    </row>
    <row r="6768" spans="2:8" x14ac:dyDescent="0.25">
      <c r="B6768" t="str">
        <f t="shared" si="105"/>
        <v>NICPopulation ages 0-14, male</v>
      </c>
      <c r="C6768" t="s">
        <v>227</v>
      </c>
      <c r="D6768" t="s">
        <v>105</v>
      </c>
      <c r="E6768" t="s">
        <v>689</v>
      </c>
      <c r="F6768" t="s">
        <v>690</v>
      </c>
      <c r="G6768">
        <v>1003000</v>
      </c>
      <c r="H6768">
        <v>1003000</v>
      </c>
    </row>
    <row r="6769" spans="2:8" x14ac:dyDescent="0.25">
      <c r="B6769" t="str">
        <f t="shared" si="105"/>
        <v>NICPopulation ages 00-04, female</v>
      </c>
      <c r="C6769" t="s">
        <v>227</v>
      </c>
      <c r="D6769" t="s">
        <v>105</v>
      </c>
      <c r="E6769" t="s">
        <v>362</v>
      </c>
      <c r="F6769" t="s">
        <v>691</v>
      </c>
      <c r="G6769">
        <v>323000</v>
      </c>
      <c r="H6769">
        <v>321000</v>
      </c>
    </row>
    <row r="6770" spans="2:8" x14ac:dyDescent="0.25">
      <c r="B6770" t="str">
        <f t="shared" si="105"/>
        <v>NICPopulation ages 00-04, male</v>
      </c>
      <c r="C6770" t="s">
        <v>227</v>
      </c>
      <c r="D6770" t="s">
        <v>105</v>
      </c>
      <c r="E6770" t="s">
        <v>363</v>
      </c>
      <c r="F6770" t="s">
        <v>692</v>
      </c>
      <c r="G6770">
        <v>338000</v>
      </c>
      <c r="H6770">
        <v>336000</v>
      </c>
    </row>
    <row r="6771" spans="2:8" x14ac:dyDescent="0.25">
      <c r="B6771" t="str">
        <f t="shared" si="105"/>
        <v>NICPopulation ages 05-09, female</v>
      </c>
      <c r="C6771" t="s">
        <v>227</v>
      </c>
      <c r="D6771" t="s">
        <v>105</v>
      </c>
      <c r="E6771" t="s">
        <v>364</v>
      </c>
      <c r="F6771" t="s">
        <v>693</v>
      </c>
      <c r="G6771">
        <v>321000</v>
      </c>
      <c r="H6771">
        <v>321000</v>
      </c>
    </row>
    <row r="6772" spans="2:8" x14ac:dyDescent="0.25">
      <c r="B6772" t="str">
        <f t="shared" si="105"/>
        <v>NICPopulation ages 05-09, male</v>
      </c>
      <c r="C6772" t="s">
        <v>227</v>
      </c>
      <c r="D6772" t="s">
        <v>105</v>
      </c>
      <c r="E6772" t="s">
        <v>365</v>
      </c>
      <c r="F6772" t="s">
        <v>694</v>
      </c>
      <c r="G6772">
        <v>338000</v>
      </c>
      <c r="H6772">
        <v>339000</v>
      </c>
    </row>
    <row r="6773" spans="2:8" x14ac:dyDescent="0.25">
      <c r="B6773" t="str">
        <f t="shared" si="105"/>
        <v>NICPopulation ages 10-14, female</v>
      </c>
      <c r="C6773" t="s">
        <v>227</v>
      </c>
      <c r="D6773" t="s">
        <v>105</v>
      </c>
      <c r="E6773" t="s">
        <v>366</v>
      </c>
      <c r="F6773" t="s">
        <v>695</v>
      </c>
      <c r="G6773">
        <v>307000</v>
      </c>
      <c r="H6773">
        <v>309000</v>
      </c>
    </row>
    <row r="6774" spans="2:8" x14ac:dyDescent="0.25">
      <c r="B6774" t="str">
        <f t="shared" si="105"/>
        <v>NICPopulation ages 10-14, male</v>
      </c>
      <c r="C6774" t="s">
        <v>227</v>
      </c>
      <c r="D6774" t="s">
        <v>105</v>
      </c>
      <c r="E6774" t="s">
        <v>367</v>
      </c>
      <c r="F6774" t="s">
        <v>696</v>
      </c>
      <c r="G6774">
        <v>327000</v>
      </c>
      <c r="H6774">
        <v>329000</v>
      </c>
    </row>
    <row r="6775" spans="2:8" x14ac:dyDescent="0.25">
      <c r="B6775" t="str">
        <f t="shared" si="105"/>
        <v>NICPopulation ages 15-19, female</v>
      </c>
      <c r="C6775" t="s">
        <v>227</v>
      </c>
      <c r="D6775" t="s">
        <v>105</v>
      </c>
      <c r="E6775" t="s">
        <v>368</v>
      </c>
      <c r="F6775" t="s">
        <v>697</v>
      </c>
      <c r="G6775">
        <v>291000</v>
      </c>
      <c r="H6775">
        <v>291000</v>
      </c>
    </row>
    <row r="6776" spans="2:8" x14ac:dyDescent="0.25">
      <c r="B6776" t="str">
        <f t="shared" si="105"/>
        <v>NICPopulation ages 15-19, male</v>
      </c>
      <c r="C6776" t="s">
        <v>227</v>
      </c>
      <c r="D6776" t="s">
        <v>105</v>
      </c>
      <c r="E6776" t="s">
        <v>369</v>
      </c>
      <c r="F6776" t="s">
        <v>698</v>
      </c>
      <c r="G6776">
        <v>311000</v>
      </c>
      <c r="H6776">
        <v>312000</v>
      </c>
    </row>
    <row r="6777" spans="2:8" x14ac:dyDescent="0.25">
      <c r="B6777" t="str">
        <f t="shared" si="105"/>
        <v>NICPopulation ages 20-24, female</v>
      </c>
      <c r="C6777" t="s">
        <v>227</v>
      </c>
      <c r="D6777" t="s">
        <v>105</v>
      </c>
      <c r="E6777" t="s">
        <v>370</v>
      </c>
      <c r="F6777" t="s">
        <v>699</v>
      </c>
      <c r="G6777">
        <v>286000</v>
      </c>
      <c r="H6777">
        <v>284000</v>
      </c>
    </row>
    <row r="6778" spans="2:8" x14ac:dyDescent="0.25">
      <c r="B6778" t="str">
        <f t="shared" si="105"/>
        <v>NICPopulation ages 20-24, male</v>
      </c>
      <c r="C6778" t="s">
        <v>227</v>
      </c>
      <c r="D6778" t="s">
        <v>105</v>
      </c>
      <c r="E6778" t="s">
        <v>371</v>
      </c>
      <c r="F6778" t="s">
        <v>700</v>
      </c>
      <c r="G6778">
        <v>302000</v>
      </c>
      <c r="H6778">
        <v>301000</v>
      </c>
    </row>
    <row r="6779" spans="2:8" x14ac:dyDescent="0.25">
      <c r="B6779" t="str">
        <f t="shared" si="105"/>
        <v>NICPopulation ages 25-29, female</v>
      </c>
      <c r="C6779" t="s">
        <v>227</v>
      </c>
      <c r="D6779" t="s">
        <v>105</v>
      </c>
      <c r="E6779" t="s">
        <v>372</v>
      </c>
      <c r="F6779" t="s">
        <v>701</v>
      </c>
      <c r="G6779">
        <v>287000</v>
      </c>
      <c r="H6779">
        <v>287000</v>
      </c>
    </row>
    <row r="6780" spans="2:8" x14ac:dyDescent="0.25">
      <c r="B6780" t="str">
        <f t="shared" si="105"/>
        <v>NICPopulation ages 25-29, male</v>
      </c>
      <c r="C6780" t="s">
        <v>227</v>
      </c>
      <c r="D6780" t="s">
        <v>105</v>
      </c>
      <c r="E6780" t="s">
        <v>373</v>
      </c>
      <c r="F6780" t="s">
        <v>702</v>
      </c>
      <c r="G6780">
        <v>294000</v>
      </c>
      <c r="H6780">
        <v>294000</v>
      </c>
    </row>
    <row r="6781" spans="2:8" x14ac:dyDescent="0.25">
      <c r="B6781" t="str">
        <f t="shared" si="105"/>
        <v>NICPopulation ages 30-34, female</v>
      </c>
      <c r="C6781" t="s">
        <v>227</v>
      </c>
      <c r="D6781" t="s">
        <v>105</v>
      </c>
      <c r="E6781" t="s">
        <v>374</v>
      </c>
      <c r="F6781" t="s">
        <v>703</v>
      </c>
      <c r="G6781">
        <v>274000</v>
      </c>
      <c r="H6781">
        <v>276000</v>
      </c>
    </row>
    <row r="6782" spans="2:8" x14ac:dyDescent="0.25">
      <c r="B6782" t="str">
        <f t="shared" si="105"/>
        <v>NICPopulation ages 30-34, male</v>
      </c>
      <c r="C6782" t="s">
        <v>227</v>
      </c>
      <c r="D6782" t="s">
        <v>105</v>
      </c>
      <c r="E6782" t="s">
        <v>375</v>
      </c>
      <c r="F6782" t="s">
        <v>704</v>
      </c>
      <c r="G6782">
        <v>271000</v>
      </c>
      <c r="H6782">
        <v>273000</v>
      </c>
    </row>
    <row r="6783" spans="2:8" x14ac:dyDescent="0.25">
      <c r="B6783" t="str">
        <f t="shared" si="105"/>
        <v>NICPopulation ages 35-39, female</v>
      </c>
      <c r="C6783" t="s">
        <v>227</v>
      </c>
      <c r="D6783" t="s">
        <v>105</v>
      </c>
      <c r="E6783" t="s">
        <v>376</v>
      </c>
      <c r="F6783" t="s">
        <v>705</v>
      </c>
      <c r="G6783">
        <v>255000</v>
      </c>
      <c r="H6783">
        <v>260000</v>
      </c>
    </row>
    <row r="6784" spans="2:8" x14ac:dyDescent="0.25">
      <c r="B6784" t="str">
        <f t="shared" si="105"/>
        <v>NICPopulation ages 35-39, male</v>
      </c>
      <c r="C6784" t="s">
        <v>227</v>
      </c>
      <c r="D6784" t="s">
        <v>105</v>
      </c>
      <c r="E6784" t="s">
        <v>377</v>
      </c>
      <c r="F6784" t="s">
        <v>706</v>
      </c>
      <c r="G6784">
        <v>240000</v>
      </c>
      <c r="H6784">
        <v>246000</v>
      </c>
    </row>
    <row r="6785" spans="2:8" x14ac:dyDescent="0.25">
      <c r="B6785" t="str">
        <f t="shared" si="105"/>
        <v>NICPopulation ages 40-44, female</v>
      </c>
      <c r="C6785" t="s">
        <v>227</v>
      </c>
      <c r="D6785" t="s">
        <v>105</v>
      </c>
      <c r="E6785" t="s">
        <v>378</v>
      </c>
      <c r="F6785" t="s">
        <v>707</v>
      </c>
      <c r="G6785">
        <v>215000</v>
      </c>
      <c r="H6785">
        <v>222000</v>
      </c>
    </row>
    <row r="6786" spans="2:8" x14ac:dyDescent="0.25">
      <c r="B6786" t="str">
        <f t="shared" si="105"/>
        <v>NICPopulation ages 40-44, male</v>
      </c>
      <c r="C6786" t="s">
        <v>227</v>
      </c>
      <c r="D6786" t="s">
        <v>105</v>
      </c>
      <c r="E6786" t="s">
        <v>379</v>
      </c>
      <c r="F6786" t="s">
        <v>708</v>
      </c>
      <c r="G6786">
        <v>191000</v>
      </c>
      <c r="H6786">
        <v>199000</v>
      </c>
    </row>
    <row r="6787" spans="2:8" x14ac:dyDescent="0.25">
      <c r="B6787" t="str">
        <f t="shared" si="105"/>
        <v>NICPopulation ages 45-49, female</v>
      </c>
      <c r="C6787" t="s">
        <v>227</v>
      </c>
      <c r="D6787" t="s">
        <v>105</v>
      </c>
      <c r="E6787" t="s">
        <v>380</v>
      </c>
      <c r="F6787" t="s">
        <v>709</v>
      </c>
      <c r="G6787">
        <v>178000</v>
      </c>
      <c r="H6787">
        <v>185000</v>
      </c>
    </row>
    <row r="6788" spans="2:8" x14ac:dyDescent="0.25">
      <c r="B6788" t="str">
        <f t="shared" si="105"/>
        <v>NICPopulation ages 45-49, male</v>
      </c>
      <c r="C6788" t="s">
        <v>227</v>
      </c>
      <c r="D6788" t="s">
        <v>105</v>
      </c>
      <c r="E6788" t="s">
        <v>381</v>
      </c>
      <c r="F6788" t="s">
        <v>710</v>
      </c>
      <c r="G6788">
        <v>151000</v>
      </c>
      <c r="H6788">
        <v>157000</v>
      </c>
    </row>
    <row r="6789" spans="2:8" x14ac:dyDescent="0.25">
      <c r="B6789" t="str">
        <f t="shared" si="105"/>
        <v>NICPopulation ages 50-54, female</v>
      </c>
      <c r="C6789" t="s">
        <v>227</v>
      </c>
      <c r="D6789" t="s">
        <v>105</v>
      </c>
      <c r="E6789" t="s">
        <v>382</v>
      </c>
      <c r="F6789" t="s">
        <v>711</v>
      </c>
      <c r="G6789">
        <v>145000</v>
      </c>
      <c r="H6789">
        <v>150000</v>
      </c>
    </row>
    <row r="6790" spans="2:8" x14ac:dyDescent="0.25">
      <c r="B6790" t="str">
        <f t="shared" si="105"/>
        <v>NICPopulation ages 50-54, male</v>
      </c>
      <c r="C6790" t="s">
        <v>227</v>
      </c>
      <c r="D6790" t="s">
        <v>105</v>
      </c>
      <c r="E6790" t="s">
        <v>383</v>
      </c>
      <c r="F6790" t="s">
        <v>712</v>
      </c>
      <c r="G6790">
        <v>120000</v>
      </c>
      <c r="H6790">
        <v>124000</v>
      </c>
    </row>
    <row r="6791" spans="2:8" x14ac:dyDescent="0.25">
      <c r="B6791" t="str">
        <f t="shared" ref="B6791:B6854" si="106">CONCATENATE(D6791,E6791)</f>
        <v>NICPopulation ages 55-59, male</v>
      </c>
      <c r="C6791" t="s">
        <v>227</v>
      </c>
      <c r="D6791" t="s">
        <v>105</v>
      </c>
      <c r="E6791" t="s">
        <v>385</v>
      </c>
      <c r="F6791" t="s">
        <v>713</v>
      </c>
      <c r="G6791">
        <v>103000</v>
      </c>
      <c r="H6791">
        <v>105000</v>
      </c>
    </row>
    <row r="6792" spans="2:8" x14ac:dyDescent="0.25">
      <c r="B6792" t="str">
        <f t="shared" si="106"/>
        <v>NICPopulation ages 55-59, female</v>
      </c>
      <c r="C6792" t="s">
        <v>227</v>
      </c>
      <c r="D6792" t="s">
        <v>105</v>
      </c>
      <c r="E6792" t="s">
        <v>384</v>
      </c>
      <c r="F6792" t="s">
        <v>714</v>
      </c>
      <c r="G6792">
        <v>125000</v>
      </c>
      <c r="H6792">
        <v>128000</v>
      </c>
    </row>
    <row r="6793" spans="2:8" x14ac:dyDescent="0.25">
      <c r="B6793" t="str">
        <f t="shared" si="106"/>
        <v>NICPopulation ages 65-69, male</v>
      </c>
      <c r="C6793" t="s">
        <v>227</v>
      </c>
      <c r="D6793" t="s">
        <v>105</v>
      </c>
      <c r="E6793" t="s">
        <v>389</v>
      </c>
      <c r="F6793" t="s">
        <v>715</v>
      </c>
      <c r="G6793">
        <v>61000</v>
      </c>
      <c r="H6793">
        <v>65000</v>
      </c>
    </row>
    <row r="6794" spans="2:8" x14ac:dyDescent="0.25">
      <c r="B6794" t="str">
        <f t="shared" si="106"/>
        <v>NICPopulation ages 65-69, female</v>
      </c>
      <c r="C6794" t="s">
        <v>227</v>
      </c>
      <c r="D6794" t="s">
        <v>105</v>
      </c>
      <c r="E6794" t="s">
        <v>388</v>
      </c>
      <c r="F6794" t="s">
        <v>716</v>
      </c>
      <c r="G6794">
        <v>78000</v>
      </c>
      <c r="H6794">
        <v>84000</v>
      </c>
    </row>
    <row r="6795" spans="2:8" x14ac:dyDescent="0.25">
      <c r="B6795" t="str">
        <f t="shared" si="106"/>
        <v>NICPopulation ages 60-64, female</v>
      </c>
      <c r="C6795" t="s">
        <v>227</v>
      </c>
      <c r="D6795" t="s">
        <v>105</v>
      </c>
      <c r="E6795" t="s">
        <v>386</v>
      </c>
      <c r="F6795" t="s">
        <v>717</v>
      </c>
      <c r="G6795">
        <v>106000</v>
      </c>
      <c r="H6795">
        <v>110000</v>
      </c>
    </row>
    <row r="6796" spans="2:8" x14ac:dyDescent="0.25">
      <c r="B6796" t="str">
        <f t="shared" si="106"/>
        <v>NICPopulation ages 60-64, male</v>
      </c>
      <c r="C6796" t="s">
        <v>227</v>
      </c>
      <c r="D6796" t="s">
        <v>105</v>
      </c>
      <c r="E6796" t="s">
        <v>387</v>
      </c>
      <c r="F6796" t="s">
        <v>718</v>
      </c>
      <c r="G6796">
        <v>87000</v>
      </c>
      <c r="H6796">
        <v>90000</v>
      </c>
    </row>
    <row r="6797" spans="2:8" x14ac:dyDescent="0.25">
      <c r="B6797" t="str">
        <f t="shared" si="106"/>
        <v>NICPopulation ages 70-74, female</v>
      </c>
      <c r="C6797" t="s">
        <v>227</v>
      </c>
      <c r="D6797" t="s">
        <v>105</v>
      </c>
      <c r="E6797" t="s">
        <v>390</v>
      </c>
      <c r="F6797" t="s">
        <v>719</v>
      </c>
      <c r="G6797">
        <v>44000</v>
      </c>
      <c r="H6797">
        <v>47000</v>
      </c>
    </row>
    <row r="6798" spans="2:8" x14ac:dyDescent="0.25">
      <c r="B6798" t="str">
        <f t="shared" si="106"/>
        <v>NICPopulation ages 70-74, male</v>
      </c>
      <c r="C6798" t="s">
        <v>227</v>
      </c>
      <c r="D6798" t="s">
        <v>105</v>
      </c>
      <c r="E6798" t="s">
        <v>391</v>
      </c>
      <c r="F6798" t="s">
        <v>720</v>
      </c>
      <c r="G6798">
        <v>34000</v>
      </c>
      <c r="H6798">
        <v>36000</v>
      </c>
    </row>
    <row r="6799" spans="2:8" x14ac:dyDescent="0.25">
      <c r="B6799" t="str">
        <f t="shared" si="106"/>
        <v>NICPopulation ages 75-79, female</v>
      </c>
      <c r="C6799" t="s">
        <v>227</v>
      </c>
      <c r="D6799" t="s">
        <v>105</v>
      </c>
      <c r="E6799" t="s">
        <v>392</v>
      </c>
      <c r="F6799" t="s">
        <v>721</v>
      </c>
      <c r="G6799">
        <v>38000</v>
      </c>
      <c r="H6799">
        <v>38000</v>
      </c>
    </row>
    <row r="6800" spans="2:8" x14ac:dyDescent="0.25">
      <c r="B6800" t="str">
        <f t="shared" si="106"/>
        <v>NICPopulation ages 75-79, male</v>
      </c>
      <c r="C6800" t="s">
        <v>227</v>
      </c>
      <c r="D6800" t="s">
        <v>105</v>
      </c>
      <c r="E6800" t="s">
        <v>393</v>
      </c>
      <c r="F6800" t="s">
        <v>722</v>
      </c>
      <c r="G6800">
        <v>29000</v>
      </c>
      <c r="H6800">
        <v>29000</v>
      </c>
    </row>
    <row r="6801" spans="2:8" x14ac:dyDescent="0.25">
      <c r="B6801" t="str">
        <f t="shared" si="106"/>
        <v>NICPopulation ages 80 and above, female</v>
      </c>
      <c r="C6801" t="s">
        <v>227</v>
      </c>
      <c r="D6801" t="s">
        <v>105</v>
      </c>
      <c r="E6801" t="s">
        <v>394</v>
      </c>
      <c r="F6801" t="s">
        <v>723</v>
      </c>
      <c r="G6801">
        <v>45000</v>
      </c>
      <c r="H6801">
        <v>47000</v>
      </c>
    </row>
    <row r="6802" spans="2:8" x14ac:dyDescent="0.25">
      <c r="B6802" t="str">
        <f t="shared" si="106"/>
        <v>NICPopulation ages 80 and above, male</v>
      </c>
      <c r="C6802" t="s">
        <v>227</v>
      </c>
      <c r="D6802" t="s">
        <v>105</v>
      </c>
      <c r="E6802" t="s">
        <v>395</v>
      </c>
      <c r="F6802" t="s">
        <v>724</v>
      </c>
      <c r="G6802">
        <v>29000</v>
      </c>
      <c r="H6802">
        <v>29000</v>
      </c>
    </row>
    <row r="6803" spans="2:8" x14ac:dyDescent="0.25">
      <c r="B6803" t="str">
        <f t="shared" si="106"/>
        <v>NICPopulation, male</v>
      </c>
      <c r="C6803" t="s">
        <v>227</v>
      </c>
      <c r="D6803" t="s">
        <v>105</v>
      </c>
      <c r="E6803" t="s">
        <v>397</v>
      </c>
      <c r="F6803" t="s">
        <v>725</v>
      </c>
      <c r="G6803">
        <v>3226000</v>
      </c>
      <c r="H6803">
        <v>3265000</v>
      </c>
    </row>
    <row r="6804" spans="2:8" x14ac:dyDescent="0.25">
      <c r="B6804" t="str">
        <f t="shared" si="106"/>
        <v>NICPopulation, total</v>
      </c>
      <c r="C6804" t="s">
        <v>227</v>
      </c>
      <c r="D6804" t="s">
        <v>105</v>
      </c>
      <c r="E6804" t="s">
        <v>398</v>
      </c>
      <c r="F6804" t="s">
        <v>726</v>
      </c>
      <c r="G6804">
        <v>6546000</v>
      </c>
      <c r="H6804">
        <v>6625000</v>
      </c>
    </row>
    <row r="6805" spans="2:8" x14ac:dyDescent="0.25">
      <c r="B6805" t="str">
        <f t="shared" si="106"/>
        <v>NICPopulation, female</v>
      </c>
      <c r="C6805" t="s">
        <v>227</v>
      </c>
      <c r="D6805" t="s">
        <v>105</v>
      </c>
      <c r="E6805" t="s">
        <v>396</v>
      </c>
      <c r="F6805" t="s">
        <v>727</v>
      </c>
      <c r="G6805">
        <v>3320000</v>
      </c>
      <c r="H6805">
        <v>3360000</v>
      </c>
    </row>
    <row r="6806" spans="2:8" x14ac:dyDescent="0.25">
      <c r="B6806" t="str">
        <f t="shared" si="106"/>
        <v>NICPopulation growth (annual %)</v>
      </c>
      <c r="C6806" t="s">
        <v>227</v>
      </c>
      <c r="D6806" t="s">
        <v>105</v>
      </c>
      <c r="E6806" t="s">
        <v>399</v>
      </c>
      <c r="F6806" t="s">
        <v>728</v>
      </c>
      <c r="G6806">
        <v>0</v>
      </c>
      <c r="H6806">
        <v>0</v>
      </c>
    </row>
    <row r="6807" spans="2:8" x14ac:dyDescent="0.25">
      <c r="B6807" t="str">
        <f t="shared" si="106"/>
        <v>NERPopulation ages 0-14, female</v>
      </c>
      <c r="C6807" t="s">
        <v>209</v>
      </c>
      <c r="D6807" t="s">
        <v>103</v>
      </c>
      <c r="E6807" t="s">
        <v>687</v>
      </c>
      <c r="F6807" t="s">
        <v>688</v>
      </c>
      <c r="G6807">
        <v>5706000</v>
      </c>
      <c r="H6807">
        <v>5905000</v>
      </c>
    </row>
    <row r="6808" spans="2:8" x14ac:dyDescent="0.25">
      <c r="B6808" t="str">
        <f t="shared" si="106"/>
        <v>NERPopulation ages 0-14, male</v>
      </c>
      <c r="C6808" t="s">
        <v>209</v>
      </c>
      <c r="D6808" t="s">
        <v>103</v>
      </c>
      <c r="E6808" t="s">
        <v>689</v>
      </c>
      <c r="F6808" t="s">
        <v>690</v>
      </c>
      <c r="G6808">
        <v>5912000</v>
      </c>
      <c r="H6808">
        <v>6118000</v>
      </c>
    </row>
    <row r="6809" spans="2:8" x14ac:dyDescent="0.25">
      <c r="B6809" t="str">
        <f t="shared" si="106"/>
        <v>NERPopulation ages 00-04, female</v>
      </c>
      <c r="C6809" t="s">
        <v>209</v>
      </c>
      <c r="D6809" t="s">
        <v>103</v>
      </c>
      <c r="E6809" t="s">
        <v>362</v>
      </c>
      <c r="F6809" t="s">
        <v>691</v>
      </c>
      <c r="G6809">
        <v>2276000</v>
      </c>
      <c r="H6809">
        <v>2347000</v>
      </c>
    </row>
    <row r="6810" spans="2:8" x14ac:dyDescent="0.25">
      <c r="B6810" t="str">
        <f t="shared" si="106"/>
        <v>NERPopulation ages 00-04, male</v>
      </c>
      <c r="C6810" t="s">
        <v>209</v>
      </c>
      <c r="D6810" t="s">
        <v>103</v>
      </c>
      <c r="E6810" t="s">
        <v>363</v>
      </c>
      <c r="F6810" t="s">
        <v>692</v>
      </c>
      <c r="G6810">
        <v>2366000</v>
      </c>
      <c r="H6810">
        <v>2440000</v>
      </c>
    </row>
    <row r="6811" spans="2:8" x14ac:dyDescent="0.25">
      <c r="B6811" t="str">
        <f t="shared" si="106"/>
        <v>NERPopulation ages 05-09, female</v>
      </c>
      <c r="C6811" t="s">
        <v>209</v>
      </c>
      <c r="D6811" t="s">
        <v>103</v>
      </c>
      <c r="E6811" t="s">
        <v>364</v>
      </c>
      <c r="F6811" t="s">
        <v>693</v>
      </c>
      <c r="G6811">
        <v>1887000</v>
      </c>
      <c r="H6811">
        <v>1952000</v>
      </c>
    </row>
    <row r="6812" spans="2:8" x14ac:dyDescent="0.25">
      <c r="B6812" t="str">
        <f t="shared" si="106"/>
        <v>NERPopulation ages 05-09, male</v>
      </c>
      <c r="C6812" t="s">
        <v>209</v>
      </c>
      <c r="D6812" t="s">
        <v>103</v>
      </c>
      <c r="E6812" t="s">
        <v>365</v>
      </c>
      <c r="F6812" t="s">
        <v>694</v>
      </c>
      <c r="G6812">
        <v>1952000</v>
      </c>
      <c r="H6812">
        <v>2019000</v>
      </c>
    </row>
    <row r="6813" spans="2:8" x14ac:dyDescent="0.25">
      <c r="B6813" t="str">
        <f t="shared" si="106"/>
        <v>NERPopulation ages 10-14, female</v>
      </c>
      <c r="C6813" t="s">
        <v>209</v>
      </c>
      <c r="D6813" t="s">
        <v>103</v>
      </c>
      <c r="E6813" t="s">
        <v>366</v>
      </c>
      <c r="F6813" t="s">
        <v>695</v>
      </c>
      <c r="G6813">
        <v>1543000</v>
      </c>
      <c r="H6813">
        <v>1606000</v>
      </c>
    </row>
    <row r="6814" spans="2:8" x14ac:dyDescent="0.25">
      <c r="B6814" t="str">
        <f t="shared" si="106"/>
        <v>NERPopulation ages 10-14, male</v>
      </c>
      <c r="C6814" t="s">
        <v>209</v>
      </c>
      <c r="D6814" t="s">
        <v>103</v>
      </c>
      <c r="E6814" t="s">
        <v>367</v>
      </c>
      <c r="F6814" t="s">
        <v>696</v>
      </c>
      <c r="G6814">
        <v>1595000</v>
      </c>
      <c r="H6814">
        <v>1659000</v>
      </c>
    </row>
    <row r="6815" spans="2:8" x14ac:dyDescent="0.25">
      <c r="B6815" t="str">
        <f t="shared" si="106"/>
        <v>NERPopulation ages 15-19, female</v>
      </c>
      <c r="C6815" t="s">
        <v>209</v>
      </c>
      <c r="D6815" t="s">
        <v>103</v>
      </c>
      <c r="E6815" t="s">
        <v>368</v>
      </c>
      <c r="F6815" t="s">
        <v>697</v>
      </c>
      <c r="G6815">
        <v>1240000</v>
      </c>
      <c r="H6815">
        <v>1295000</v>
      </c>
    </row>
    <row r="6816" spans="2:8" x14ac:dyDescent="0.25">
      <c r="B6816" t="str">
        <f t="shared" si="106"/>
        <v>NERPopulation ages 15-19, male</v>
      </c>
      <c r="C6816" t="s">
        <v>209</v>
      </c>
      <c r="D6816" t="s">
        <v>103</v>
      </c>
      <c r="E6816" t="s">
        <v>369</v>
      </c>
      <c r="F6816" t="s">
        <v>698</v>
      </c>
      <c r="G6816">
        <v>1283000</v>
      </c>
      <c r="H6816">
        <v>1340000</v>
      </c>
    </row>
    <row r="6817" spans="2:8" x14ac:dyDescent="0.25">
      <c r="B6817" t="str">
        <f t="shared" si="106"/>
        <v>NERPopulation ages 20-24, female</v>
      </c>
      <c r="C6817" t="s">
        <v>209</v>
      </c>
      <c r="D6817" t="s">
        <v>103</v>
      </c>
      <c r="E6817" t="s">
        <v>370</v>
      </c>
      <c r="F6817" t="s">
        <v>699</v>
      </c>
      <c r="G6817">
        <v>977000</v>
      </c>
      <c r="H6817">
        <v>1024000</v>
      </c>
    </row>
    <row r="6818" spans="2:8" x14ac:dyDescent="0.25">
      <c r="B6818" t="str">
        <f t="shared" si="106"/>
        <v>NERPopulation ages 20-24, male</v>
      </c>
      <c r="C6818" t="s">
        <v>209</v>
      </c>
      <c r="D6818" t="s">
        <v>103</v>
      </c>
      <c r="E6818" t="s">
        <v>371</v>
      </c>
      <c r="F6818" t="s">
        <v>700</v>
      </c>
      <c r="G6818">
        <v>1016000</v>
      </c>
      <c r="H6818">
        <v>1063000</v>
      </c>
    </row>
    <row r="6819" spans="2:8" x14ac:dyDescent="0.25">
      <c r="B6819" t="str">
        <f t="shared" si="106"/>
        <v>NERPopulation ages 25-29, female</v>
      </c>
      <c r="C6819" t="s">
        <v>209</v>
      </c>
      <c r="D6819" t="s">
        <v>103</v>
      </c>
      <c r="E6819" t="s">
        <v>372</v>
      </c>
      <c r="F6819" t="s">
        <v>701</v>
      </c>
      <c r="G6819">
        <v>765000</v>
      </c>
      <c r="H6819">
        <v>800000</v>
      </c>
    </row>
    <row r="6820" spans="2:8" x14ac:dyDescent="0.25">
      <c r="B6820" t="str">
        <f t="shared" si="106"/>
        <v>NERPopulation ages 25-29, male</v>
      </c>
      <c r="C6820" t="s">
        <v>209</v>
      </c>
      <c r="D6820" t="s">
        <v>103</v>
      </c>
      <c r="E6820" t="s">
        <v>373</v>
      </c>
      <c r="F6820" t="s">
        <v>702</v>
      </c>
      <c r="G6820">
        <v>790000</v>
      </c>
      <c r="H6820">
        <v>831000</v>
      </c>
    </row>
    <row r="6821" spans="2:8" x14ac:dyDescent="0.25">
      <c r="B6821" t="str">
        <f t="shared" si="106"/>
        <v>NERPopulation ages 30-34, female</v>
      </c>
      <c r="C6821" t="s">
        <v>209</v>
      </c>
      <c r="D6821" t="s">
        <v>103</v>
      </c>
      <c r="E6821" t="s">
        <v>374</v>
      </c>
      <c r="F6821" t="s">
        <v>703</v>
      </c>
      <c r="G6821">
        <v>619000</v>
      </c>
      <c r="H6821">
        <v>641000</v>
      </c>
    </row>
    <row r="6822" spans="2:8" x14ac:dyDescent="0.25">
      <c r="B6822" t="str">
        <f t="shared" si="106"/>
        <v>NERPopulation ages 30-34, male</v>
      </c>
      <c r="C6822" t="s">
        <v>209</v>
      </c>
      <c r="D6822" t="s">
        <v>103</v>
      </c>
      <c r="E6822" t="s">
        <v>375</v>
      </c>
      <c r="F6822" t="s">
        <v>704</v>
      </c>
      <c r="G6822">
        <v>588000</v>
      </c>
      <c r="H6822">
        <v>625000</v>
      </c>
    </row>
    <row r="6823" spans="2:8" x14ac:dyDescent="0.25">
      <c r="B6823" t="str">
        <f t="shared" si="106"/>
        <v>NERPopulation ages 35-39, female</v>
      </c>
      <c r="C6823" t="s">
        <v>209</v>
      </c>
      <c r="D6823" t="s">
        <v>103</v>
      </c>
      <c r="E6823" t="s">
        <v>376</v>
      </c>
      <c r="F6823" t="s">
        <v>705</v>
      </c>
      <c r="G6823">
        <v>522000</v>
      </c>
      <c r="H6823">
        <v>540000</v>
      </c>
    </row>
    <row r="6824" spans="2:8" x14ac:dyDescent="0.25">
      <c r="B6824" t="str">
        <f t="shared" si="106"/>
        <v>NERPopulation ages 35-39, male</v>
      </c>
      <c r="C6824" t="s">
        <v>209</v>
      </c>
      <c r="D6824" t="s">
        <v>103</v>
      </c>
      <c r="E6824" t="s">
        <v>377</v>
      </c>
      <c r="F6824" t="s">
        <v>706</v>
      </c>
      <c r="G6824">
        <v>436000</v>
      </c>
      <c r="H6824">
        <v>453000</v>
      </c>
    </row>
    <row r="6825" spans="2:8" x14ac:dyDescent="0.25">
      <c r="B6825" t="str">
        <f t="shared" si="106"/>
        <v>NERPopulation ages 40-44, female</v>
      </c>
      <c r="C6825" t="s">
        <v>209</v>
      </c>
      <c r="D6825" t="s">
        <v>103</v>
      </c>
      <c r="E6825" t="s">
        <v>378</v>
      </c>
      <c r="F6825" t="s">
        <v>707</v>
      </c>
      <c r="G6825">
        <v>424000</v>
      </c>
      <c r="H6825">
        <v>441000</v>
      </c>
    </row>
    <row r="6826" spans="2:8" x14ac:dyDescent="0.25">
      <c r="B6826" t="str">
        <f t="shared" si="106"/>
        <v>NERPopulation ages 40-44, male</v>
      </c>
      <c r="C6826" t="s">
        <v>209</v>
      </c>
      <c r="D6826" t="s">
        <v>103</v>
      </c>
      <c r="E6826" t="s">
        <v>379</v>
      </c>
      <c r="F6826" t="s">
        <v>708</v>
      </c>
      <c r="G6826">
        <v>389000</v>
      </c>
      <c r="H6826">
        <v>398000</v>
      </c>
    </row>
    <row r="6827" spans="2:8" x14ac:dyDescent="0.25">
      <c r="B6827" t="str">
        <f t="shared" si="106"/>
        <v>NERPopulation ages 45-49, female</v>
      </c>
      <c r="C6827" t="s">
        <v>209</v>
      </c>
      <c r="D6827" t="s">
        <v>103</v>
      </c>
      <c r="E6827" t="s">
        <v>380</v>
      </c>
      <c r="F6827" t="s">
        <v>709</v>
      </c>
      <c r="G6827">
        <v>346000</v>
      </c>
      <c r="H6827">
        <v>357000</v>
      </c>
    </row>
    <row r="6828" spans="2:8" x14ac:dyDescent="0.25">
      <c r="B6828" t="str">
        <f t="shared" si="106"/>
        <v>NERPopulation ages 45-49, male</v>
      </c>
      <c r="C6828" t="s">
        <v>209</v>
      </c>
      <c r="D6828" t="s">
        <v>103</v>
      </c>
      <c r="E6828" t="s">
        <v>381</v>
      </c>
      <c r="F6828" t="s">
        <v>710</v>
      </c>
      <c r="G6828">
        <v>321000</v>
      </c>
      <c r="H6828">
        <v>333000</v>
      </c>
    </row>
    <row r="6829" spans="2:8" x14ac:dyDescent="0.25">
      <c r="B6829" t="str">
        <f t="shared" si="106"/>
        <v>NERPopulation ages 50-54, female</v>
      </c>
      <c r="C6829" t="s">
        <v>209</v>
      </c>
      <c r="D6829" t="s">
        <v>103</v>
      </c>
      <c r="E6829" t="s">
        <v>382</v>
      </c>
      <c r="F6829" t="s">
        <v>711</v>
      </c>
      <c r="G6829">
        <v>286000</v>
      </c>
      <c r="H6829">
        <v>296000</v>
      </c>
    </row>
    <row r="6830" spans="2:8" x14ac:dyDescent="0.25">
      <c r="B6830" t="str">
        <f t="shared" si="106"/>
        <v>NERPopulation ages 50-54, male</v>
      </c>
      <c r="C6830" t="s">
        <v>209</v>
      </c>
      <c r="D6830" t="s">
        <v>103</v>
      </c>
      <c r="E6830" t="s">
        <v>383</v>
      </c>
      <c r="F6830" t="s">
        <v>712</v>
      </c>
      <c r="G6830">
        <v>262000</v>
      </c>
      <c r="H6830">
        <v>266000</v>
      </c>
    </row>
    <row r="6831" spans="2:8" x14ac:dyDescent="0.25">
      <c r="B6831" t="str">
        <f t="shared" si="106"/>
        <v>NERPopulation ages 55-59, male</v>
      </c>
      <c r="C6831" t="s">
        <v>209</v>
      </c>
      <c r="D6831" t="s">
        <v>103</v>
      </c>
      <c r="E6831" t="s">
        <v>385</v>
      </c>
      <c r="F6831" t="s">
        <v>713</v>
      </c>
      <c r="G6831">
        <v>244000</v>
      </c>
      <c r="H6831">
        <v>249000</v>
      </c>
    </row>
    <row r="6832" spans="2:8" x14ac:dyDescent="0.25">
      <c r="B6832" t="str">
        <f t="shared" si="106"/>
        <v>NERPopulation ages 55-59, female</v>
      </c>
      <c r="C6832" t="s">
        <v>209</v>
      </c>
      <c r="D6832" t="s">
        <v>103</v>
      </c>
      <c r="E6832" t="s">
        <v>384</v>
      </c>
      <c r="F6832" t="s">
        <v>714</v>
      </c>
      <c r="G6832">
        <v>228000</v>
      </c>
      <c r="H6832">
        <v>236000</v>
      </c>
    </row>
    <row r="6833" spans="2:8" x14ac:dyDescent="0.25">
      <c r="B6833" t="str">
        <f t="shared" si="106"/>
        <v>NERPopulation ages 65-69, male</v>
      </c>
      <c r="C6833" t="s">
        <v>209</v>
      </c>
      <c r="D6833" t="s">
        <v>103</v>
      </c>
      <c r="E6833" t="s">
        <v>389</v>
      </c>
      <c r="F6833" t="s">
        <v>715</v>
      </c>
      <c r="G6833">
        <v>140000</v>
      </c>
      <c r="H6833">
        <v>146000</v>
      </c>
    </row>
    <row r="6834" spans="2:8" x14ac:dyDescent="0.25">
      <c r="B6834" t="str">
        <f t="shared" si="106"/>
        <v>NERPopulation ages 65-69, female</v>
      </c>
      <c r="C6834" t="s">
        <v>209</v>
      </c>
      <c r="D6834" t="s">
        <v>103</v>
      </c>
      <c r="E6834" t="s">
        <v>388</v>
      </c>
      <c r="F6834" t="s">
        <v>716</v>
      </c>
      <c r="G6834">
        <v>128000</v>
      </c>
      <c r="H6834">
        <v>132000</v>
      </c>
    </row>
    <row r="6835" spans="2:8" x14ac:dyDescent="0.25">
      <c r="B6835" t="str">
        <f t="shared" si="106"/>
        <v>NERPopulation ages 60-64, female</v>
      </c>
      <c r="C6835" t="s">
        <v>209</v>
      </c>
      <c r="D6835" t="s">
        <v>103</v>
      </c>
      <c r="E6835" t="s">
        <v>386</v>
      </c>
      <c r="F6835" t="s">
        <v>717</v>
      </c>
      <c r="G6835">
        <v>173000</v>
      </c>
      <c r="H6835">
        <v>181000</v>
      </c>
    </row>
    <row r="6836" spans="2:8" x14ac:dyDescent="0.25">
      <c r="B6836" t="str">
        <f t="shared" si="106"/>
        <v>NERPopulation ages 60-64, male</v>
      </c>
      <c r="C6836" t="s">
        <v>209</v>
      </c>
      <c r="D6836" t="s">
        <v>103</v>
      </c>
      <c r="E6836" t="s">
        <v>387</v>
      </c>
      <c r="F6836" t="s">
        <v>718</v>
      </c>
      <c r="G6836">
        <v>180000</v>
      </c>
      <c r="H6836">
        <v>186000</v>
      </c>
    </row>
    <row r="6837" spans="2:8" x14ac:dyDescent="0.25">
      <c r="B6837" t="str">
        <f t="shared" si="106"/>
        <v>NERPopulation ages 70-74, female</v>
      </c>
      <c r="C6837" t="s">
        <v>209</v>
      </c>
      <c r="D6837" t="s">
        <v>103</v>
      </c>
      <c r="E6837" t="s">
        <v>390</v>
      </c>
      <c r="F6837" t="s">
        <v>719</v>
      </c>
      <c r="G6837">
        <v>96000</v>
      </c>
      <c r="H6837">
        <v>99000</v>
      </c>
    </row>
    <row r="6838" spans="2:8" x14ac:dyDescent="0.25">
      <c r="B6838" t="str">
        <f t="shared" si="106"/>
        <v>NERPopulation ages 70-74, male</v>
      </c>
      <c r="C6838" t="s">
        <v>209</v>
      </c>
      <c r="D6838" t="s">
        <v>103</v>
      </c>
      <c r="E6838" t="s">
        <v>391</v>
      </c>
      <c r="F6838" t="s">
        <v>720</v>
      </c>
      <c r="G6838">
        <v>86000</v>
      </c>
      <c r="H6838">
        <v>91000</v>
      </c>
    </row>
    <row r="6839" spans="2:8" x14ac:dyDescent="0.25">
      <c r="B6839" t="str">
        <f t="shared" si="106"/>
        <v>NERPopulation ages 75-79, female</v>
      </c>
      <c r="C6839" t="s">
        <v>209</v>
      </c>
      <c r="D6839" t="s">
        <v>103</v>
      </c>
      <c r="E6839" t="s">
        <v>392</v>
      </c>
      <c r="F6839" t="s">
        <v>721</v>
      </c>
      <c r="G6839">
        <v>56000</v>
      </c>
      <c r="H6839">
        <v>59000</v>
      </c>
    </row>
    <row r="6840" spans="2:8" x14ac:dyDescent="0.25">
      <c r="B6840" t="str">
        <f t="shared" si="106"/>
        <v>NERPopulation ages 75-79, male</v>
      </c>
      <c r="C6840" t="s">
        <v>209</v>
      </c>
      <c r="D6840" t="s">
        <v>103</v>
      </c>
      <c r="E6840" t="s">
        <v>393</v>
      </c>
      <c r="F6840" t="s">
        <v>722</v>
      </c>
      <c r="G6840">
        <v>45000</v>
      </c>
      <c r="H6840">
        <v>48000</v>
      </c>
    </row>
    <row r="6841" spans="2:8" x14ac:dyDescent="0.25">
      <c r="B6841" t="str">
        <f t="shared" si="106"/>
        <v>NERPopulation ages 80 and above, female</v>
      </c>
      <c r="C6841" t="s">
        <v>209</v>
      </c>
      <c r="D6841" t="s">
        <v>103</v>
      </c>
      <c r="E6841" t="s">
        <v>394</v>
      </c>
      <c r="F6841" t="s">
        <v>723</v>
      </c>
      <c r="G6841">
        <v>31000</v>
      </c>
      <c r="H6841">
        <v>32000</v>
      </c>
    </row>
    <row r="6842" spans="2:8" x14ac:dyDescent="0.25">
      <c r="B6842" t="str">
        <f t="shared" si="106"/>
        <v>NERPopulation ages 80 and above, male</v>
      </c>
      <c r="C6842" t="s">
        <v>209</v>
      </c>
      <c r="D6842" t="s">
        <v>103</v>
      </c>
      <c r="E6842" t="s">
        <v>395</v>
      </c>
      <c r="F6842" t="s">
        <v>724</v>
      </c>
      <c r="G6842">
        <v>23000</v>
      </c>
      <c r="H6842">
        <v>23000</v>
      </c>
    </row>
    <row r="6843" spans="2:8" x14ac:dyDescent="0.25">
      <c r="B6843" t="str">
        <f t="shared" si="106"/>
        <v>NERPopulation, male</v>
      </c>
      <c r="C6843" t="s">
        <v>209</v>
      </c>
      <c r="D6843" t="s">
        <v>103</v>
      </c>
      <c r="E6843" t="s">
        <v>397</v>
      </c>
      <c r="F6843" t="s">
        <v>725</v>
      </c>
      <c r="G6843">
        <v>11714000</v>
      </c>
      <c r="H6843">
        <v>12170000</v>
      </c>
    </row>
    <row r="6844" spans="2:8" x14ac:dyDescent="0.25">
      <c r="B6844" t="str">
        <f t="shared" si="106"/>
        <v>NERPopulation, total</v>
      </c>
      <c r="C6844" t="s">
        <v>209</v>
      </c>
      <c r="D6844" t="s">
        <v>103</v>
      </c>
      <c r="E6844" t="s">
        <v>398</v>
      </c>
      <c r="F6844" t="s">
        <v>726</v>
      </c>
      <c r="G6844">
        <v>23311000</v>
      </c>
      <c r="H6844">
        <v>24207000</v>
      </c>
    </row>
    <row r="6845" spans="2:8" x14ac:dyDescent="0.25">
      <c r="B6845" t="str">
        <f t="shared" si="106"/>
        <v>NERPopulation, female</v>
      </c>
      <c r="C6845" t="s">
        <v>209</v>
      </c>
      <c r="D6845" t="s">
        <v>103</v>
      </c>
      <c r="E6845" t="s">
        <v>396</v>
      </c>
      <c r="F6845" t="s">
        <v>727</v>
      </c>
      <c r="G6845">
        <v>11596000</v>
      </c>
      <c r="H6845">
        <v>12036000</v>
      </c>
    </row>
    <row r="6846" spans="2:8" x14ac:dyDescent="0.25">
      <c r="B6846" t="str">
        <f t="shared" si="106"/>
        <v>NERPopulation growth (annual %)</v>
      </c>
      <c r="C6846" t="s">
        <v>209</v>
      </c>
      <c r="D6846" t="s">
        <v>103</v>
      </c>
      <c r="E6846" t="s">
        <v>399</v>
      </c>
      <c r="F6846" t="s">
        <v>728</v>
      </c>
      <c r="G6846">
        <v>0</v>
      </c>
      <c r="H6846">
        <v>0</v>
      </c>
    </row>
    <row r="6847" spans="2:8" x14ac:dyDescent="0.25">
      <c r="B6847" t="str">
        <f t="shared" si="106"/>
        <v>NGAPopulation ages 0-14, female</v>
      </c>
      <c r="C6847" t="s">
        <v>177</v>
      </c>
      <c r="D6847" t="s">
        <v>104</v>
      </c>
      <c r="E6847" t="s">
        <v>687</v>
      </c>
      <c r="F6847" t="s">
        <v>688</v>
      </c>
      <c r="G6847">
        <v>42923000</v>
      </c>
      <c r="H6847">
        <v>43821000</v>
      </c>
    </row>
    <row r="6848" spans="2:8" x14ac:dyDescent="0.25">
      <c r="B6848" t="str">
        <f t="shared" si="106"/>
        <v>NGAPopulation ages 0-14, male</v>
      </c>
      <c r="C6848" t="s">
        <v>177</v>
      </c>
      <c r="D6848" t="s">
        <v>104</v>
      </c>
      <c r="E6848" t="s">
        <v>689</v>
      </c>
      <c r="F6848" t="s">
        <v>690</v>
      </c>
      <c r="G6848">
        <v>44873000</v>
      </c>
      <c r="H6848">
        <v>45824000</v>
      </c>
    </row>
    <row r="6849" spans="2:8" x14ac:dyDescent="0.25">
      <c r="B6849" t="str">
        <f t="shared" si="106"/>
        <v>NGAPopulation ages 00-04, female</v>
      </c>
      <c r="C6849" t="s">
        <v>177</v>
      </c>
      <c r="D6849" t="s">
        <v>104</v>
      </c>
      <c r="E6849" t="s">
        <v>362</v>
      </c>
      <c r="F6849" t="s">
        <v>691</v>
      </c>
      <c r="G6849">
        <v>16305000</v>
      </c>
      <c r="H6849">
        <v>16561000</v>
      </c>
    </row>
    <row r="6850" spans="2:8" x14ac:dyDescent="0.25">
      <c r="B6850" t="str">
        <f t="shared" si="106"/>
        <v>NGAPopulation ages 00-04, male</v>
      </c>
      <c r="C6850" t="s">
        <v>177</v>
      </c>
      <c r="D6850" t="s">
        <v>104</v>
      </c>
      <c r="E6850" t="s">
        <v>363</v>
      </c>
      <c r="F6850" t="s">
        <v>692</v>
      </c>
      <c r="G6850">
        <v>17105000</v>
      </c>
      <c r="H6850">
        <v>17377000</v>
      </c>
    </row>
    <row r="6851" spans="2:8" x14ac:dyDescent="0.25">
      <c r="B6851" t="str">
        <f t="shared" si="106"/>
        <v>NGAPopulation ages 05-09, female</v>
      </c>
      <c r="C6851" t="s">
        <v>177</v>
      </c>
      <c r="D6851" t="s">
        <v>104</v>
      </c>
      <c r="E6851" t="s">
        <v>364</v>
      </c>
      <c r="F6851" t="s">
        <v>693</v>
      </c>
      <c r="G6851">
        <v>14319000</v>
      </c>
      <c r="H6851">
        <v>14626000</v>
      </c>
    </row>
    <row r="6852" spans="2:8" x14ac:dyDescent="0.25">
      <c r="B6852" t="str">
        <f t="shared" si="106"/>
        <v>NGAPopulation ages 05-09, male</v>
      </c>
      <c r="C6852" t="s">
        <v>177</v>
      </c>
      <c r="D6852" t="s">
        <v>104</v>
      </c>
      <c r="E6852" t="s">
        <v>365</v>
      </c>
      <c r="F6852" t="s">
        <v>694</v>
      </c>
      <c r="G6852">
        <v>14963000</v>
      </c>
      <c r="H6852">
        <v>15288000</v>
      </c>
    </row>
    <row r="6853" spans="2:8" x14ac:dyDescent="0.25">
      <c r="B6853" t="str">
        <f t="shared" si="106"/>
        <v>NGAPopulation ages 10-14, female</v>
      </c>
      <c r="C6853" t="s">
        <v>177</v>
      </c>
      <c r="D6853" t="s">
        <v>104</v>
      </c>
      <c r="E6853" t="s">
        <v>366</v>
      </c>
      <c r="F6853" t="s">
        <v>695</v>
      </c>
      <c r="G6853">
        <v>12300000</v>
      </c>
      <c r="H6853">
        <v>12633000</v>
      </c>
    </row>
    <row r="6854" spans="2:8" x14ac:dyDescent="0.25">
      <c r="B6854" t="str">
        <f t="shared" si="106"/>
        <v>NGAPopulation ages 10-14, male</v>
      </c>
      <c r="C6854" t="s">
        <v>177</v>
      </c>
      <c r="D6854" t="s">
        <v>104</v>
      </c>
      <c r="E6854" t="s">
        <v>367</v>
      </c>
      <c r="F6854" t="s">
        <v>696</v>
      </c>
      <c r="G6854">
        <v>12805000</v>
      </c>
      <c r="H6854">
        <v>13159000</v>
      </c>
    </row>
    <row r="6855" spans="2:8" x14ac:dyDescent="0.25">
      <c r="B6855" t="str">
        <f t="shared" ref="B6855:B6918" si="107">CONCATENATE(D6855,E6855)</f>
        <v>NGAPopulation ages 15-19, female</v>
      </c>
      <c r="C6855" t="s">
        <v>177</v>
      </c>
      <c r="D6855" t="s">
        <v>104</v>
      </c>
      <c r="E6855" t="s">
        <v>368</v>
      </c>
      <c r="F6855" t="s">
        <v>697</v>
      </c>
      <c r="G6855">
        <v>10421000</v>
      </c>
      <c r="H6855">
        <v>10759000</v>
      </c>
    </row>
    <row r="6856" spans="2:8" x14ac:dyDescent="0.25">
      <c r="B6856" t="str">
        <f t="shared" si="107"/>
        <v>NGAPopulation ages 15-19, male</v>
      </c>
      <c r="C6856" t="s">
        <v>177</v>
      </c>
      <c r="D6856" t="s">
        <v>104</v>
      </c>
      <c r="E6856" t="s">
        <v>369</v>
      </c>
      <c r="F6856" t="s">
        <v>698</v>
      </c>
      <c r="G6856">
        <v>10794000</v>
      </c>
      <c r="H6856">
        <v>11151000</v>
      </c>
    </row>
    <row r="6857" spans="2:8" x14ac:dyDescent="0.25">
      <c r="B6857" t="str">
        <f t="shared" si="107"/>
        <v>NGAPopulation ages 20-24, female</v>
      </c>
      <c r="C6857" t="s">
        <v>177</v>
      </c>
      <c r="D6857" t="s">
        <v>104</v>
      </c>
      <c r="E6857" t="s">
        <v>370</v>
      </c>
      <c r="F6857" t="s">
        <v>699</v>
      </c>
      <c r="G6857">
        <v>8622000</v>
      </c>
      <c r="H6857">
        <v>8898000</v>
      </c>
    </row>
    <row r="6858" spans="2:8" x14ac:dyDescent="0.25">
      <c r="B6858" t="str">
        <f t="shared" si="107"/>
        <v>NGAPopulation ages 20-24, male</v>
      </c>
      <c r="C6858" t="s">
        <v>177</v>
      </c>
      <c r="D6858" t="s">
        <v>104</v>
      </c>
      <c r="E6858" t="s">
        <v>371</v>
      </c>
      <c r="F6858" t="s">
        <v>700</v>
      </c>
      <c r="G6858">
        <v>8882000</v>
      </c>
      <c r="H6858">
        <v>9170000</v>
      </c>
    </row>
    <row r="6859" spans="2:8" x14ac:dyDescent="0.25">
      <c r="B6859" t="str">
        <f t="shared" si="107"/>
        <v>NGAPopulation ages 25-29, female</v>
      </c>
      <c r="C6859" t="s">
        <v>177</v>
      </c>
      <c r="D6859" t="s">
        <v>104</v>
      </c>
      <c r="E6859" t="s">
        <v>372</v>
      </c>
      <c r="F6859" t="s">
        <v>701</v>
      </c>
      <c r="G6859">
        <v>7267000</v>
      </c>
      <c r="H6859">
        <v>7448000</v>
      </c>
    </row>
    <row r="6860" spans="2:8" x14ac:dyDescent="0.25">
      <c r="B6860" t="str">
        <f t="shared" si="107"/>
        <v>NGAPopulation ages 25-29, male</v>
      </c>
      <c r="C6860" t="s">
        <v>177</v>
      </c>
      <c r="D6860" t="s">
        <v>104</v>
      </c>
      <c r="E6860" t="s">
        <v>373</v>
      </c>
      <c r="F6860" t="s">
        <v>702</v>
      </c>
      <c r="G6860">
        <v>7473000</v>
      </c>
      <c r="H6860">
        <v>7661000</v>
      </c>
    </row>
    <row r="6861" spans="2:8" x14ac:dyDescent="0.25">
      <c r="B6861" t="str">
        <f t="shared" si="107"/>
        <v>NGAPopulation ages 30-34, female</v>
      </c>
      <c r="C6861" t="s">
        <v>177</v>
      </c>
      <c r="D6861" t="s">
        <v>104</v>
      </c>
      <c r="E6861" t="s">
        <v>374</v>
      </c>
      <c r="F6861" t="s">
        <v>703</v>
      </c>
      <c r="G6861">
        <v>6302000</v>
      </c>
      <c r="H6861">
        <v>6431000</v>
      </c>
    </row>
    <row r="6862" spans="2:8" x14ac:dyDescent="0.25">
      <c r="B6862" t="str">
        <f t="shared" si="107"/>
        <v>NGAPopulation ages 30-34, male</v>
      </c>
      <c r="C6862" t="s">
        <v>177</v>
      </c>
      <c r="D6862" t="s">
        <v>104</v>
      </c>
      <c r="E6862" t="s">
        <v>375</v>
      </c>
      <c r="F6862" t="s">
        <v>704</v>
      </c>
      <c r="G6862">
        <v>6485000</v>
      </c>
      <c r="H6862">
        <v>6614000</v>
      </c>
    </row>
    <row r="6863" spans="2:8" x14ac:dyDescent="0.25">
      <c r="B6863" t="str">
        <f t="shared" si="107"/>
        <v>NGAPopulation ages 35-39, female</v>
      </c>
      <c r="C6863" t="s">
        <v>177</v>
      </c>
      <c r="D6863" t="s">
        <v>104</v>
      </c>
      <c r="E6863" t="s">
        <v>376</v>
      </c>
      <c r="F6863" t="s">
        <v>705</v>
      </c>
      <c r="G6863">
        <v>5445000</v>
      </c>
      <c r="H6863">
        <v>5578000</v>
      </c>
    </row>
    <row r="6864" spans="2:8" x14ac:dyDescent="0.25">
      <c r="B6864" t="str">
        <f t="shared" si="107"/>
        <v>NGAPopulation ages 35-39, male</v>
      </c>
      <c r="C6864" t="s">
        <v>177</v>
      </c>
      <c r="D6864" t="s">
        <v>104</v>
      </c>
      <c r="E6864" t="s">
        <v>377</v>
      </c>
      <c r="F6864" t="s">
        <v>706</v>
      </c>
      <c r="G6864">
        <v>5608000</v>
      </c>
      <c r="H6864">
        <v>5745000</v>
      </c>
    </row>
    <row r="6865" spans="2:8" x14ac:dyDescent="0.25">
      <c r="B6865" t="str">
        <f t="shared" si="107"/>
        <v>NGAPopulation ages 40-44, female</v>
      </c>
      <c r="C6865" t="s">
        <v>177</v>
      </c>
      <c r="D6865" t="s">
        <v>104</v>
      </c>
      <c r="E6865" t="s">
        <v>378</v>
      </c>
      <c r="F6865" t="s">
        <v>707</v>
      </c>
      <c r="G6865">
        <v>4526000</v>
      </c>
      <c r="H6865">
        <v>4673000</v>
      </c>
    </row>
    <row r="6866" spans="2:8" x14ac:dyDescent="0.25">
      <c r="B6866" t="str">
        <f t="shared" si="107"/>
        <v>NGAPopulation ages 40-44, male</v>
      </c>
      <c r="C6866" t="s">
        <v>177</v>
      </c>
      <c r="D6866" t="s">
        <v>104</v>
      </c>
      <c r="E6866" t="s">
        <v>379</v>
      </c>
      <c r="F6866" t="s">
        <v>708</v>
      </c>
      <c r="G6866">
        <v>4631000</v>
      </c>
      <c r="H6866">
        <v>4786000</v>
      </c>
    </row>
    <row r="6867" spans="2:8" x14ac:dyDescent="0.25">
      <c r="B6867" t="str">
        <f t="shared" si="107"/>
        <v>NGAPopulation ages 45-49, female</v>
      </c>
      <c r="C6867" t="s">
        <v>177</v>
      </c>
      <c r="D6867" t="s">
        <v>104</v>
      </c>
      <c r="E6867" t="s">
        <v>380</v>
      </c>
      <c r="F6867" t="s">
        <v>709</v>
      </c>
      <c r="G6867">
        <v>3635000</v>
      </c>
      <c r="H6867">
        <v>3771000</v>
      </c>
    </row>
    <row r="6868" spans="2:8" x14ac:dyDescent="0.25">
      <c r="B6868" t="str">
        <f t="shared" si="107"/>
        <v>NGAPopulation ages 45-49, male</v>
      </c>
      <c r="C6868" t="s">
        <v>177</v>
      </c>
      <c r="D6868" t="s">
        <v>104</v>
      </c>
      <c r="E6868" t="s">
        <v>381</v>
      </c>
      <c r="F6868" t="s">
        <v>710</v>
      </c>
      <c r="G6868">
        <v>3663000</v>
      </c>
      <c r="H6868">
        <v>3807000</v>
      </c>
    </row>
    <row r="6869" spans="2:8" x14ac:dyDescent="0.25">
      <c r="B6869" t="str">
        <f t="shared" si="107"/>
        <v>NGAPopulation ages 50-54, female</v>
      </c>
      <c r="C6869" t="s">
        <v>177</v>
      </c>
      <c r="D6869" t="s">
        <v>104</v>
      </c>
      <c r="E6869" t="s">
        <v>382</v>
      </c>
      <c r="F6869" t="s">
        <v>711</v>
      </c>
      <c r="G6869">
        <v>2900000</v>
      </c>
      <c r="H6869">
        <v>2996000</v>
      </c>
    </row>
    <row r="6870" spans="2:8" x14ac:dyDescent="0.25">
      <c r="B6870" t="str">
        <f t="shared" si="107"/>
        <v>NGAPopulation ages 50-54, male</v>
      </c>
      <c r="C6870" t="s">
        <v>177</v>
      </c>
      <c r="D6870" t="s">
        <v>104</v>
      </c>
      <c r="E6870" t="s">
        <v>383</v>
      </c>
      <c r="F6870" t="s">
        <v>712</v>
      </c>
      <c r="G6870">
        <v>2849000</v>
      </c>
      <c r="H6870">
        <v>2948000</v>
      </c>
    </row>
    <row r="6871" spans="2:8" x14ac:dyDescent="0.25">
      <c r="B6871" t="str">
        <f t="shared" si="107"/>
        <v>NGAPopulation ages 55-59, male</v>
      </c>
      <c r="C6871" t="s">
        <v>177</v>
      </c>
      <c r="D6871" t="s">
        <v>104</v>
      </c>
      <c r="E6871" t="s">
        <v>385</v>
      </c>
      <c r="F6871" t="s">
        <v>713</v>
      </c>
      <c r="G6871">
        <v>2261000</v>
      </c>
      <c r="H6871">
        <v>2330000</v>
      </c>
    </row>
    <row r="6872" spans="2:8" x14ac:dyDescent="0.25">
      <c r="B6872" t="str">
        <f t="shared" si="107"/>
        <v>NGAPopulation ages 55-59, female</v>
      </c>
      <c r="C6872" t="s">
        <v>177</v>
      </c>
      <c r="D6872" t="s">
        <v>104</v>
      </c>
      <c r="E6872" t="s">
        <v>384</v>
      </c>
      <c r="F6872" t="s">
        <v>714</v>
      </c>
      <c r="G6872">
        <v>2356000</v>
      </c>
      <c r="H6872">
        <v>2426000</v>
      </c>
    </row>
    <row r="6873" spans="2:8" x14ac:dyDescent="0.25">
      <c r="B6873" t="str">
        <f t="shared" si="107"/>
        <v>NGAPopulation ages 65-69, male</v>
      </c>
      <c r="C6873" t="s">
        <v>177</v>
      </c>
      <c r="D6873" t="s">
        <v>104</v>
      </c>
      <c r="E6873" t="s">
        <v>389</v>
      </c>
      <c r="F6873" t="s">
        <v>715</v>
      </c>
      <c r="G6873">
        <v>1197000</v>
      </c>
      <c r="H6873">
        <v>1232000</v>
      </c>
    </row>
    <row r="6874" spans="2:8" x14ac:dyDescent="0.25">
      <c r="B6874" t="str">
        <f t="shared" si="107"/>
        <v>NGAPopulation ages 65-69, female</v>
      </c>
      <c r="C6874" t="s">
        <v>177</v>
      </c>
      <c r="D6874" t="s">
        <v>104</v>
      </c>
      <c r="E6874" t="s">
        <v>388</v>
      </c>
      <c r="F6874" t="s">
        <v>716</v>
      </c>
      <c r="G6874">
        <v>1327000</v>
      </c>
      <c r="H6874">
        <v>1369000</v>
      </c>
    </row>
    <row r="6875" spans="2:8" x14ac:dyDescent="0.25">
      <c r="B6875" t="str">
        <f t="shared" si="107"/>
        <v>NGAPopulation ages 60-64, female</v>
      </c>
      <c r="C6875" t="s">
        <v>177</v>
      </c>
      <c r="D6875" t="s">
        <v>104</v>
      </c>
      <c r="E6875" t="s">
        <v>386</v>
      </c>
      <c r="F6875" t="s">
        <v>717</v>
      </c>
      <c r="G6875">
        <v>1832000</v>
      </c>
      <c r="H6875">
        <v>1892000</v>
      </c>
    </row>
    <row r="6876" spans="2:8" x14ac:dyDescent="0.25">
      <c r="B6876" t="str">
        <f t="shared" si="107"/>
        <v>NGAPopulation ages 60-64, male</v>
      </c>
      <c r="C6876" t="s">
        <v>177</v>
      </c>
      <c r="D6876" t="s">
        <v>104</v>
      </c>
      <c r="E6876" t="s">
        <v>387</v>
      </c>
      <c r="F6876" t="s">
        <v>718</v>
      </c>
      <c r="G6876">
        <v>1704000</v>
      </c>
      <c r="H6876">
        <v>1765000</v>
      </c>
    </row>
    <row r="6877" spans="2:8" x14ac:dyDescent="0.25">
      <c r="B6877" t="str">
        <f t="shared" si="107"/>
        <v>NGAPopulation ages 70-74, female</v>
      </c>
      <c r="C6877" t="s">
        <v>177</v>
      </c>
      <c r="D6877" t="s">
        <v>104</v>
      </c>
      <c r="E6877" t="s">
        <v>390</v>
      </c>
      <c r="F6877" t="s">
        <v>719</v>
      </c>
      <c r="G6877">
        <v>874000</v>
      </c>
      <c r="H6877">
        <v>901000</v>
      </c>
    </row>
    <row r="6878" spans="2:8" x14ac:dyDescent="0.25">
      <c r="B6878" t="str">
        <f t="shared" si="107"/>
        <v>NGAPopulation ages 70-74, male</v>
      </c>
      <c r="C6878" t="s">
        <v>177</v>
      </c>
      <c r="D6878" t="s">
        <v>104</v>
      </c>
      <c r="E6878" t="s">
        <v>391</v>
      </c>
      <c r="F6878" t="s">
        <v>720</v>
      </c>
      <c r="G6878">
        <v>797000</v>
      </c>
      <c r="H6878">
        <v>816000</v>
      </c>
    </row>
    <row r="6879" spans="2:8" x14ac:dyDescent="0.25">
      <c r="B6879" t="str">
        <f t="shared" si="107"/>
        <v>NGAPopulation ages 75-79, female</v>
      </c>
      <c r="C6879" t="s">
        <v>177</v>
      </c>
      <c r="D6879" t="s">
        <v>104</v>
      </c>
      <c r="E6879" t="s">
        <v>392</v>
      </c>
      <c r="F6879" t="s">
        <v>721</v>
      </c>
      <c r="G6879">
        <v>468000</v>
      </c>
      <c r="H6879">
        <v>480000</v>
      </c>
    </row>
    <row r="6880" spans="2:8" x14ac:dyDescent="0.25">
      <c r="B6880" t="str">
        <f t="shared" si="107"/>
        <v>NGAPopulation ages 75-79, male</v>
      </c>
      <c r="C6880" t="s">
        <v>177</v>
      </c>
      <c r="D6880" t="s">
        <v>104</v>
      </c>
      <c r="E6880" t="s">
        <v>393</v>
      </c>
      <c r="F6880" t="s">
        <v>722</v>
      </c>
      <c r="G6880">
        <v>416000</v>
      </c>
      <c r="H6880">
        <v>426000</v>
      </c>
    </row>
    <row r="6881" spans="2:8" x14ac:dyDescent="0.25">
      <c r="B6881" t="str">
        <f t="shared" si="107"/>
        <v>NGAPopulation ages 80 and above, female</v>
      </c>
      <c r="C6881" t="s">
        <v>177</v>
      </c>
      <c r="D6881" t="s">
        <v>104</v>
      </c>
      <c r="E6881" t="s">
        <v>394</v>
      </c>
      <c r="F6881" t="s">
        <v>723</v>
      </c>
      <c r="G6881">
        <v>234000</v>
      </c>
      <c r="H6881">
        <v>226000</v>
      </c>
    </row>
    <row r="6882" spans="2:8" x14ac:dyDescent="0.25">
      <c r="B6882" t="str">
        <f t="shared" si="107"/>
        <v>NGAPopulation ages 80 and above, male</v>
      </c>
      <c r="C6882" t="s">
        <v>177</v>
      </c>
      <c r="D6882" t="s">
        <v>104</v>
      </c>
      <c r="E6882" t="s">
        <v>395</v>
      </c>
      <c r="F6882" t="s">
        <v>724</v>
      </c>
      <c r="G6882">
        <v>200000</v>
      </c>
      <c r="H6882">
        <v>192000</v>
      </c>
    </row>
    <row r="6883" spans="2:8" x14ac:dyDescent="0.25">
      <c r="B6883" t="str">
        <f t="shared" si="107"/>
        <v>NGAPopulation, male</v>
      </c>
      <c r="C6883" t="s">
        <v>177</v>
      </c>
      <c r="D6883" t="s">
        <v>104</v>
      </c>
      <c r="E6883" t="s">
        <v>397</v>
      </c>
      <c r="F6883" t="s">
        <v>725</v>
      </c>
      <c r="G6883">
        <v>101832000</v>
      </c>
      <c r="H6883">
        <v>104470000</v>
      </c>
    </row>
    <row r="6884" spans="2:8" x14ac:dyDescent="0.25">
      <c r="B6884" t="str">
        <f t="shared" si="107"/>
        <v>NGAPopulation, total</v>
      </c>
      <c r="C6884" t="s">
        <v>177</v>
      </c>
      <c r="D6884" t="s">
        <v>104</v>
      </c>
      <c r="E6884" t="s">
        <v>398</v>
      </c>
      <c r="F6884" t="s">
        <v>726</v>
      </c>
      <c r="G6884">
        <v>200964000</v>
      </c>
      <c r="H6884">
        <v>206140000</v>
      </c>
    </row>
    <row r="6885" spans="2:8" x14ac:dyDescent="0.25">
      <c r="B6885" t="str">
        <f t="shared" si="107"/>
        <v>NGAPopulation, female</v>
      </c>
      <c r="C6885" t="s">
        <v>177</v>
      </c>
      <c r="D6885" t="s">
        <v>104</v>
      </c>
      <c r="E6885" t="s">
        <v>396</v>
      </c>
      <c r="F6885" t="s">
        <v>727</v>
      </c>
      <c r="G6885">
        <v>99132000</v>
      </c>
      <c r="H6885">
        <v>101670000</v>
      </c>
    </row>
    <row r="6886" spans="2:8" x14ac:dyDescent="0.25">
      <c r="B6886" t="str">
        <f t="shared" si="107"/>
        <v>NGAPopulation growth (annual %)</v>
      </c>
      <c r="C6886" t="s">
        <v>177</v>
      </c>
      <c r="D6886" t="s">
        <v>104</v>
      </c>
      <c r="E6886" t="s">
        <v>399</v>
      </c>
      <c r="F6886" t="s">
        <v>728</v>
      </c>
      <c r="G6886">
        <v>0</v>
      </c>
      <c r="H6886">
        <v>0</v>
      </c>
    </row>
    <row r="6887" spans="2:8" x14ac:dyDescent="0.25">
      <c r="B6887" t="str">
        <f t="shared" si="107"/>
        <v>NACPopulation ages 0-14, female</v>
      </c>
      <c r="C6887" t="s">
        <v>588</v>
      </c>
      <c r="D6887" t="s">
        <v>589</v>
      </c>
      <c r="E6887" t="s">
        <v>687</v>
      </c>
      <c r="F6887" t="s">
        <v>688</v>
      </c>
      <c r="G6887">
        <v>32778000</v>
      </c>
      <c r="H6887">
        <v>32717000</v>
      </c>
    </row>
    <row r="6888" spans="2:8" x14ac:dyDescent="0.25">
      <c r="B6888" t="str">
        <f t="shared" si="107"/>
        <v>NACPopulation ages 0-14, male</v>
      </c>
      <c r="C6888" t="s">
        <v>588</v>
      </c>
      <c r="D6888" t="s">
        <v>589</v>
      </c>
      <c r="E6888" t="s">
        <v>689</v>
      </c>
      <c r="F6888" t="s">
        <v>690</v>
      </c>
      <c r="G6888">
        <v>34272000</v>
      </c>
      <c r="H6888">
        <v>34207000</v>
      </c>
    </row>
    <row r="6889" spans="2:8" x14ac:dyDescent="0.25">
      <c r="B6889" t="str">
        <f t="shared" si="107"/>
        <v>NACPopulation ages 00-04, female</v>
      </c>
      <c r="C6889" t="s">
        <v>588</v>
      </c>
      <c r="D6889" t="s">
        <v>589</v>
      </c>
      <c r="E6889" t="s">
        <v>362</v>
      </c>
      <c r="F6889" t="s">
        <v>691</v>
      </c>
      <c r="G6889">
        <v>10564000</v>
      </c>
      <c r="H6889">
        <v>10619000</v>
      </c>
    </row>
    <row r="6890" spans="2:8" x14ac:dyDescent="0.25">
      <c r="B6890" t="str">
        <f t="shared" si="107"/>
        <v>NACPopulation ages 00-04, male</v>
      </c>
      <c r="C6890" t="s">
        <v>588</v>
      </c>
      <c r="D6890" t="s">
        <v>589</v>
      </c>
      <c r="E6890" t="s">
        <v>363</v>
      </c>
      <c r="F6890" t="s">
        <v>692</v>
      </c>
      <c r="G6890">
        <v>11047000</v>
      </c>
      <c r="H6890">
        <v>11102000</v>
      </c>
    </row>
    <row r="6891" spans="2:8" x14ac:dyDescent="0.25">
      <c r="B6891" t="str">
        <f t="shared" si="107"/>
        <v>NACPopulation ages 05-09, female</v>
      </c>
      <c r="C6891" t="s">
        <v>588</v>
      </c>
      <c r="D6891" t="s">
        <v>589</v>
      </c>
      <c r="E6891" t="s">
        <v>364</v>
      </c>
      <c r="F6891" t="s">
        <v>693</v>
      </c>
      <c r="G6891">
        <v>10898000</v>
      </c>
      <c r="H6891">
        <v>10791000</v>
      </c>
    </row>
    <row r="6892" spans="2:8" x14ac:dyDescent="0.25">
      <c r="B6892" t="str">
        <f t="shared" si="107"/>
        <v>NACPopulation ages 05-09, male</v>
      </c>
      <c r="C6892" t="s">
        <v>588</v>
      </c>
      <c r="D6892" t="s">
        <v>589</v>
      </c>
      <c r="E6892" t="s">
        <v>365</v>
      </c>
      <c r="F6892" t="s">
        <v>694</v>
      </c>
      <c r="G6892">
        <v>11398000</v>
      </c>
      <c r="H6892">
        <v>11285000</v>
      </c>
    </row>
    <row r="6893" spans="2:8" x14ac:dyDescent="0.25">
      <c r="B6893" t="str">
        <f t="shared" si="107"/>
        <v>NACPopulation ages 10-14, female</v>
      </c>
      <c r="C6893" t="s">
        <v>588</v>
      </c>
      <c r="D6893" t="s">
        <v>589</v>
      </c>
      <c r="E6893" t="s">
        <v>366</v>
      </c>
      <c r="F6893" t="s">
        <v>695</v>
      </c>
      <c r="G6893">
        <v>11316000</v>
      </c>
      <c r="H6893">
        <v>11307000</v>
      </c>
    </row>
    <row r="6894" spans="2:8" x14ac:dyDescent="0.25">
      <c r="B6894" t="str">
        <f t="shared" si="107"/>
        <v>NACPopulation ages 10-14, male</v>
      </c>
      <c r="C6894" t="s">
        <v>588</v>
      </c>
      <c r="D6894" t="s">
        <v>589</v>
      </c>
      <c r="E6894" t="s">
        <v>367</v>
      </c>
      <c r="F6894" t="s">
        <v>696</v>
      </c>
      <c r="G6894">
        <v>11827000</v>
      </c>
      <c r="H6894">
        <v>11820000</v>
      </c>
    </row>
    <row r="6895" spans="2:8" x14ac:dyDescent="0.25">
      <c r="B6895" t="str">
        <f t="shared" si="107"/>
        <v>NACPopulation ages 15-19, female</v>
      </c>
      <c r="C6895" t="s">
        <v>588</v>
      </c>
      <c r="D6895" t="s">
        <v>589</v>
      </c>
      <c r="E6895" t="s">
        <v>368</v>
      </c>
      <c r="F6895" t="s">
        <v>697</v>
      </c>
      <c r="G6895">
        <v>11406000</v>
      </c>
      <c r="H6895">
        <v>11407000</v>
      </c>
    </row>
    <row r="6896" spans="2:8" x14ac:dyDescent="0.25">
      <c r="B6896" t="str">
        <f t="shared" si="107"/>
        <v>NACPopulation ages 15-19, male</v>
      </c>
      <c r="C6896" t="s">
        <v>588</v>
      </c>
      <c r="D6896" t="s">
        <v>589</v>
      </c>
      <c r="E6896" t="s">
        <v>369</v>
      </c>
      <c r="F6896" t="s">
        <v>698</v>
      </c>
      <c r="G6896">
        <v>11879000</v>
      </c>
      <c r="H6896">
        <v>11880000</v>
      </c>
    </row>
    <row r="6897" spans="2:8" x14ac:dyDescent="0.25">
      <c r="B6897" t="str">
        <f t="shared" si="107"/>
        <v>NACPopulation ages 20-24, female</v>
      </c>
      <c r="C6897" t="s">
        <v>588</v>
      </c>
      <c r="D6897" t="s">
        <v>589</v>
      </c>
      <c r="E6897" t="s">
        <v>370</v>
      </c>
      <c r="F6897" t="s">
        <v>699</v>
      </c>
      <c r="G6897">
        <v>12203000</v>
      </c>
      <c r="H6897">
        <v>12119000</v>
      </c>
    </row>
    <row r="6898" spans="2:8" x14ac:dyDescent="0.25">
      <c r="B6898" t="str">
        <f t="shared" si="107"/>
        <v>NACPopulation ages 20-24, male</v>
      </c>
      <c r="C6898" t="s">
        <v>588</v>
      </c>
      <c r="D6898" t="s">
        <v>589</v>
      </c>
      <c r="E6898" t="s">
        <v>371</v>
      </c>
      <c r="F6898" t="s">
        <v>700</v>
      </c>
      <c r="G6898">
        <v>12670000</v>
      </c>
      <c r="H6898">
        <v>12560000</v>
      </c>
    </row>
    <row r="6899" spans="2:8" x14ac:dyDescent="0.25">
      <c r="B6899" t="str">
        <f t="shared" si="107"/>
        <v>NACPopulation ages 25-29, female</v>
      </c>
      <c r="C6899" t="s">
        <v>588</v>
      </c>
      <c r="D6899" t="s">
        <v>589</v>
      </c>
      <c r="E6899" t="s">
        <v>372</v>
      </c>
      <c r="F6899" t="s">
        <v>701</v>
      </c>
      <c r="G6899">
        <v>12985000</v>
      </c>
      <c r="H6899">
        <v>13065000</v>
      </c>
    </row>
    <row r="6900" spans="2:8" x14ac:dyDescent="0.25">
      <c r="B6900" t="str">
        <f t="shared" si="107"/>
        <v>NACPopulation ages 25-29, male</v>
      </c>
      <c r="C6900" t="s">
        <v>588</v>
      </c>
      <c r="D6900" t="s">
        <v>589</v>
      </c>
      <c r="E6900" t="s">
        <v>373</v>
      </c>
      <c r="F6900" t="s">
        <v>702</v>
      </c>
      <c r="G6900">
        <v>13492000</v>
      </c>
      <c r="H6900">
        <v>13565000</v>
      </c>
    </row>
    <row r="6901" spans="2:8" x14ac:dyDescent="0.25">
      <c r="B6901" t="str">
        <f t="shared" si="107"/>
        <v>NACPopulation ages 30-34, female</v>
      </c>
      <c r="C6901" t="s">
        <v>588</v>
      </c>
      <c r="D6901" t="s">
        <v>589</v>
      </c>
      <c r="E6901" t="s">
        <v>374</v>
      </c>
      <c r="F6901" t="s">
        <v>703</v>
      </c>
      <c r="G6901">
        <v>12502000</v>
      </c>
      <c r="H6901">
        <v>12689000</v>
      </c>
    </row>
    <row r="6902" spans="2:8" x14ac:dyDescent="0.25">
      <c r="B6902" t="str">
        <f t="shared" si="107"/>
        <v>NACPopulation ages 30-34, male</v>
      </c>
      <c r="C6902" t="s">
        <v>588</v>
      </c>
      <c r="D6902" t="s">
        <v>589</v>
      </c>
      <c r="E6902" t="s">
        <v>375</v>
      </c>
      <c r="F6902" t="s">
        <v>704</v>
      </c>
      <c r="G6902">
        <v>12823000</v>
      </c>
      <c r="H6902">
        <v>13049000</v>
      </c>
    </row>
    <row r="6903" spans="2:8" x14ac:dyDescent="0.25">
      <c r="B6903" t="str">
        <f t="shared" si="107"/>
        <v>NACPopulation ages 35-39, female</v>
      </c>
      <c r="C6903" t="s">
        <v>588</v>
      </c>
      <c r="D6903" t="s">
        <v>589</v>
      </c>
      <c r="E6903" t="s">
        <v>376</v>
      </c>
      <c r="F6903" t="s">
        <v>705</v>
      </c>
      <c r="G6903">
        <v>11929000</v>
      </c>
      <c r="H6903">
        <v>12115000</v>
      </c>
    </row>
    <row r="6904" spans="2:8" x14ac:dyDescent="0.25">
      <c r="B6904" t="str">
        <f t="shared" si="107"/>
        <v>NACPopulation ages 35-39, male</v>
      </c>
      <c r="C6904" t="s">
        <v>588</v>
      </c>
      <c r="D6904" t="s">
        <v>589</v>
      </c>
      <c r="E6904" t="s">
        <v>377</v>
      </c>
      <c r="F6904" t="s">
        <v>706</v>
      </c>
      <c r="G6904">
        <v>11987000</v>
      </c>
      <c r="H6904">
        <v>12209000</v>
      </c>
    </row>
    <row r="6905" spans="2:8" x14ac:dyDescent="0.25">
      <c r="B6905" t="str">
        <f t="shared" si="107"/>
        <v>NACPopulation ages 40-44, female</v>
      </c>
      <c r="C6905" t="s">
        <v>588</v>
      </c>
      <c r="D6905" t="s">
        <v>589</v>
      </c>
      <c r="E6905" t="s">
        <v>378</v>
      </c>
      <c r="F6905" t="s">
        <v>707</v>
      </c>
      <c r="G6905">
        <v>11344000</v>
      </c>
      <c r="H6905">
        <v>11441000</v>
      </c>
    </row>
    <row r="6906" spans="2:8" x14ac:dyDescent="0.25">
      <c r="B6906" t="str">
        <f t="shared" si="107"/>
        <v>NACPopulation ages 40-44, male</v>
      </c>
      <c r="C6906" t="s">
        <v>588</v>
      </c>
      <c r="D6906" t="s">
        <v>589</v>
      </c>
      <c r="E6906" t="s">
        <v>379</v>
      </c>
      <c r="F6906" t="s">
        <v>708</v>
      </c>
      <c r="G6906">
        <v>11258000</v>
      </c>
      <c r="H6906">
        <v>11368000</v>
      </c>
    </row>
    <row r="6907" spans="2:8" x14ac:dyDescent="0.25">
      <c r="B6907" t="str">
        <f t="shared" si="107"/>
        <v>NACPopulation ages 45-49, female</v>
      </c>
      <c r="C6907" t="s">
        <v>588</v>
      </c>
      <c r="D6907" t="s">
        <v>589</v>
      </c>
      <c r="E6907" t="s">
        <v>380</v>
      </c>
      <c r="F6907" t="s">
        <v>709</v>
      </c>
      <c r="G6907">
        <v>11307000</v>
      </c>
      <c r="H6907">
        <v>11304000</v>
      </c>
    </row>
    <row r="6908" spans="2:8" x14ac:dyDescent="0.25">
      <c r="B6908" t="str">
        <f t="shared" si="107"/>
        <v>NACPopulation ages 45-49, male</v>
      </c>
      <c r="C6908" t="s">
        <v>588</v>
      </c>
      <c r="D6908" t="s">
        <v>589</v>
      </c>
      <c r="E6908" t="s">
        <v>381</v>
      </c>
      <c r="F6908" t="s">
        <v>710</v>
      </c>
      <c r="G6908">
        <v>11229000</v>
      </c>
      <c r="H6908">
        <v>11185000</v>
      </c>
    </row>
    <row r="6909" spans="2:8" x14ac:dyDescent="0.25">
      <c r="B6909" t="str">
        <f t="shared" si="107"/>
        <v>NACPopulation ages 50-54, female</v>
      </c>
      <c r="C6909" t="s">
        <v>588</v>
      </c>
      <c r="D6909" t="s">
        <v>589</v>
      </c>
      <c r="E6909" t="s">
        <v>382</v>
      </c>
      <c r="F6909" t="s">
        <v>711</v>
      </c>
      <c r="G6909">
        <v>11646000</v>
      </c>
      <c r="H6909">
        <v>11493000</v>
      </c>
    </row>
    <row r="6910" spans="2:8" x14ac:dyDescent="0.25">
      <c r="B6910" t="str">
        <f t="shared" si="107"/>
        <v>NACPopulation ages 50-54, male</v>
      </c>
      <c r="C6910" t="s">
        <v>588</v>
      </c>
      <c r="D6910" t="s">
        <v>589</v>
      </c>
      <c r="E6910" t="s">
        <v>383</v>
      </c>
      <c r="F6910" t="s">
        <v>712</v>
      </c>
      <c r="G6910">
        <v>11732000</v>
      </c>
      <c r="H6910">
        <v>11562000</v>
      </c>
    </row>
    <row r="6911" spans="2:8" x14ac:dyDescent="0.25">
      <c r="B6911" t="str">
        <f t="shared" si="107"/>
        <v>NACPopulation ages 55-59, male</v>
      </c>
      <c r="C6911" t="s">
        <v>588</v>
      </c>
      <c r="D6911" t="s">
        <v>589</v>
      </c>
      <c r="E6911" t="s">
        <v>385</v>
      </c>
      <c r="F6911" t="s">
        <v>713</v>
      </c>
      <c r="G6911">
        <v>12158000</v>
      </c>
      <c r="H6911">
        <v>12111000</v>
      </c>
    </row>
    <row r="6912" spans="2:8" x14ac:dyDescent="0.25">
      <c r="B6912" t="str">
        <f t="shared" si="107"/>
        <v>NACPopulation ages 55-59, female</v>
      </c>
      <c r="C6912" t="s">
        <v>588</v>
      </c>
      <c r="D6912" t="s">
        <v>589</v>
      </c>
      <c r="E6912" t="s">
        <v>384</v>
      </c>
      <c r="F6912" t="s">
        <v>714</v>
      </c>
      <c r="G6912">
        <v>12337000</v>
      </c>
      <c r="H6912">
        <v>12246000</v>
      </c>
    </row>
    <row r="6913" spans="2:8" x14ac:dyDescent="0.25">
      <c r="B6913" t="str">
        <f t="shared" si="107"/>
        <v>NACPopulation ages 65-69, male</v>
      </c>
      <c r="C6913" t="s">
        <v>588</v>
      </c>
      <c r="D6913" t="s">
        <v>589</v>
      </c>
      <c r="E6913" t="s">
        <v>389</v>
      </c>
      <c r="F6913" t="s">
        <v>715</v>
      </c>
      <c r="G6913">
        <v>9294000</v>
      </c>
      <c r="H6913">
        <v>9535000</v>
      </c>
    </row>
    <row r="6914" spans="2:8" x14ac:dyDescent="0.25">
      <c r="B6914" t="str">
        <f t="shared" si="107"/>
        <v>NACPopulation ages 65-69, female</v>
      </c>
      <c r="C6914" t="s">
        <v>588</v>
      </c>
      <c r="D6914" t="s">
        <v>589</v>
      </c>
      <c r="E6914" t="s">
        <v>388</v>
      </c>
      <c r="F6914" t="s">
        <v>716</v>
      </c>
      <c r="G6914">
        <v>10241000</v>
      </c>
      <c r="H6914">
        <v>10481000</v>
      </c>
    </row>
    <row r="6915" spans="2:8" x14ac:dyDescent="0.25">
      <c r="B6915" t="str">
        <f t="shared" si="107"/>
        <v>NACPopulation ages 60-64, female</v>
      </c>
      <c r="C6915" t="s">
        <v>588</v>
      </c>
      <c r="D6915" t="s">
        <v>589</v>
      </c>
      <c r="E6915" t="s">
        <v>386</v>
      </c>
      <c r="F6915" t="s">
        <v>717</v>
      </c>
      <c r="G6915">
        <v>11790000</v>
      </c>
      <c r="H6915">
        <v>11934000</v>
      </c>
    </row>
    <row r="6916" spans="2:8" x14ac:dyDescent="0.25">
      <c r="B6916" t="str">
        <f t="shared" si="107"/>
        <v>NACPopulation ages 60-64, male</v>
      </c>
      <c r="C6916" t="s">
        <v>588</v>
      </c>
      <c r="D6916" t="s">
        <v>589</v>
      </c>
      <c r="E6916" t="s">
        <v>387</v>
      </c>
      <c r="F6916" t="s">
        <v>718</v>
      </c>
      <c r="G6916">
        <v>11168000</v>
      </c>
      <c r="H6916">
        <v>11351000</v>
      </c>
    </row>
    <row r="6917" spans="2:8" x14ac:dyDescent="0.25">
      <c r="B6917" t="str">
        <f t="shared" si="107"/>
        <v>NACPopulation ages 70-74, female</v>
      </c>
      <c r="C6917" t="s">
        <v>588</v>
      </c>
      <c r="D6917" t="s">
        <v>589</v>
      </c>
      <c r="E6917" t="s">
        <v>390</v>
      </c>
      <c r="F6917" t="s">
        <v>719</v>
      </c>
      <c r="G6917">
        <v>8300000</v>
      </c>
      <c r="H6917">
        <v>8655000</v>
      </c>
    </row>
    <row r="6918" spans="2:8" x14ac:dyDescent="0.25">
      <c r="B6918" t="str">
        <f t="shared" si="107"/>
        <v>NACPopulation ages 70-74, male</v>
      </c>
      <c r="C6918" t="s">
        <v>588</v>
      </c>
      <c r="D6918" t="s">
        <v>589</v>
      </c>
      <c r="E6918" t="s">
        <v>391</v>
      </c>
      <c r="F6918" t="s">
        <v>720</v>
      </c>
      <c r="G6918">
        <v>7196000</v>
      </c>
      <c r="H6918">
        <v>7530000</v>
      </c>
    </row>
    <row r="6919" spans="2:8" x14ac:dyDescent="0.25">
      <c r="B6919" t="str">
        <f t="shared" ref="B6919:B6982" si="108">CONCATENATE(D6919,E6919)</f>
        <v>NACPopulation ages 75-79, female</v>
      </c>
      <c r="C6919" t="s">
        <v>588</v>
      </c>
      <c r="D6919" t="s">
        <v>589</v>
      </c>
      <c r="E6919" t="s">
        <v>392</v>
      </c>
      <c r="F6919" t="s">
        <v>721</v>
      </c>
      <c r="G6919">
        <v>5764000</v>
      </c>
      <c r="H6919">
        <v>6073000</v>
      </c>
    </row>
    <row r="6920" spans="2:8" x14ac:dyDescent="0.25">
      <c r="B6920" t="str">
        <f t="shared" si="108"/>
        <v>NACPopulation ages 75-79, male</v>
      </c>
      <c r="C6920" t="s">
        <v>588</v>
      </c>
      <c r="D6920" t="s">
        <v>589</v>
      </c>
      <c r="E6920" t="s">
        <v>393</v>
      </c>
      <c r="F6920" t="s">
        <v>722</v>
      </c>
      <c r="G6920">
        <v>4657000</v>
      </c>
      <c r="H6920">
        <v>4906000</v>
      </c>
    </row>
    <row r="6921" spans="2:8" x14ac:dyDescent="0.25">
      <c r="B6921" t="str">
        <f t="shared" si="108"/>
        <v>NACPopulation ages 80 and above, female</v>
      </c>
      <c r="C6921" t="s">
        <v>588</v>
      </c>
      <c r="D6921" t="s">
        <v>589</v>
      </c>
      <c r="E6921" t="s">
        <v>394</v>
      </c>
      <c r="F6921" t="s">
        <v>723</v>
      </c>
      <c r="G6921">
        <v>8770000</v>
      </c>
      <c r="H6921">
        <v>8921000</v>
      </c>
    </row>
    <row r="6922" spans="2:8" x14ac:dyDescent="0.25">
      <c r="B6922" t="str">
        <f t="shared" si="108"/>
        <v>NACPopulation ages 80 and above, male</v>
      </c>
      <c r="C6922" t="s">
        <v>588</v>
      </c>
      <c r="D6922" t="s">
        <v>589</v>
      </c>
      <c r="E6922" t="s">
        <v>395</v>
      </c>
      <c r="F6922" t="s">
        <v>724</v>
      </c>
      <c r="G6922">
        <v>5791000</v>
      </c>
      <c r="H6922">
        <v>5924000</v>
      </c>
    </row>
    <row r="6923" spans="2:8" x14ac:dyDescent="0.25">
      <c r="B6923" t="str">
        <f t="shared" si="108"/>
        <v>NACPopulation, male</v>
      </c>
      <c r="C6923" t="s">
        <v>588</v>
      </c>
      <c r="D6923" t="s">
        <v>589</v>
      </c>
      <c r="E6923" t="s">
        <v>397</v>
      </c>
      <c r="F6923" t="s">
        <v>725</v>
      </c>
      <c r="G6923">
        <v>181603000</v>
      </c>
      <c r="H6923">
        <v>182941000</v>
      </c>
    </row>
    <row r="6924" spans="2:8" x14ac:dyDescent="0.25">
      <c r="B6924" t="str">
        <f t="shared" si="108"/>
        <v>NACPopulation, total</v>
      </c>
      <c r="C6924" t="s">
        <v>588</v>
      </c>
      <c r="D6924" t="s">
        <v>589</v>
      </c>
      <c r="E6924" t="s">
        <v>398</v>
      </c>
      <c r="F6924" t="s">
        <v>726</v>
      </c>
      <c r="G6924">
        <v>366909000</v>
      </c>
      <c r="H6924">
        <v>369599000</v>
      </c>
    </row>
    <row r="6925" spans="2:8" x14ac:dyDescent="0.25">
      <c r="B6925" t="str">
        <f t="shared" si="108"/>
        <v>NACPopulation, female</v>
      </c>
      <c r="C6925" t="s">
        <v>588</v>
      </c>
      <c r="D6925" t="s">
        <v>589</v>
      </c>
      <c r="E6925" t="s">
        <v>396</v>
      </c>
      <c r="F6925" t="s">
        <v>727</v>
      </c>
      <c r="G6925">
        <v>185304000</v>
      </c>
      <c r="H6925">
        <v>186658000</v>
      </c>
    </row>
    <row r="6926" spans="2:8" x14ac:dyDescent="0.25">
      <c r="B6926" t="str">
        <f t="shared" si="108"/>
        <v>NACPopulation growth (annual %)</v>
      </c>
      <c r="C6926" t="s">
        <v>588</v>
      </c>
      <c r="D6926" t="s">
        <v>589</v>
      </c>
      <c r="E6926" t="s">
        <v>399</v>
      </c>
      <c r="F6926" t="s">
        <v>728</v>
      </c>
      <c r="G6926">
        <v>0.71886138662537746</v>
      </c>
      <c r="H6926">
        <v>0.73315181693554621</v>
      </c>
    </row>
    <row r="6927" spans="2:8" x14ac:dyDescent="0.25">
      <c r="B6927" t="str">
        <f t="shared" si="108"/>
        <v>MKDPopulation ages 0-14, female</v>
      </c>
      <c r="C6927" t="s">
        <v>590</v>
      </c>
      <c r="D6927" t="s">
        <v>591</v>
      </c>
      <c r="E6927" t="s">
        <v>687</v>
      </c>
      <c r="F6927" t="s">
        <v>688</v>
      </c>
      <c r="G6927">
        <v>165000</v>
      </c>
      <c r="H6927">
        <v>164000</v>
      </c>
    </row>
    <row r="6928" spans="2:8" x14ac:dyDescent="0.25">
      <c r="B6928" t="str">
        <f t="shared" si="108"/>
        <v>MKDPopulation ages 0-14, male</v>
      </c>
      <c r="C6928" t="s">
        <v>590</v>
      </c>
      <c r="D6928" t="s">
        <v>591</v>
      </c>
      <c r="E6928" t="s">
        <v>689</v>
      </c>
      <c r="F6928" t="s">
        <v>690</v>
      </c>
      <c r="G6928">
        <v>177000</v>
      </c>
      <c r="H6928">
        <v>176000</v>
      </c>
    </row>
    <row r="6929" spans="2:8" x14ac:dyDescent="0.25">
      <c r="B6929" t="str">
        <f t="shared" si="108"/>
        <v>MKDPopulation ages 00-04, female</v>
      </c>
      <c r="C6929" t="s">
        <v>590</v>
      </c>
      <c r="D6929" t="s">
        <v>591</v>
      </c>
      <c r="E6929" t="s">
        <v>362</v>
      </c>
      <c r="F6929" t="s">
        <v>691</v>
      </c>
      <c r="G6929">
        <v>55000</v>
      </c>
      <c r="H6929">
        <v>54000</v>
      </c>
    </row>
    <row r="6930" spans="2:8" x14ac:dyDescent="0.25">
      <c r="B6930" t="str">
        <f t="shared" si="108"/>
        <v>MKDPopulation ages 00-04, male</v>
      </c>
      <c r="C6930" t="s">
        <v>590</v>
      </c>
      <c r="D6930" t="s">
        <v>591</v>
      </c>
      <c r="E6930" t="s">
        <v>363</v>
      </c>
      <c r="F6930" t="s">
        <v>692</v>
      </c>
      <c r="G6930">
        <v>59000</v>
      </c>
      <c r="H6930">
        <v>58000</v>
      </c>
    </row>
    <row r="6931" spans="2:8" x14ac:dyDescent="0.25">
      <c r="B6931" t="str">
        <f t="shared" si="108"/>
        <v>MKDPopulation ages 05-09, female</v>
      </c>
      <c r="C6931" t="s">
        <v>590</v>
      </c>
      <c r="D6931" t="s">
        <v>591</v>
      </c>
      <c r="E6931" t="s">
        <v>364</v>
      </c>
      <c r="F6931" t="s">
        <v>693</v>
      </c>
      <c r="G6931">
        <v>55000</v>
      </c>
      <c r="H6931">
        <v>56000</v>
      </c>
    </row>
    <row r="6932" spans="2:8" x14ac:dyDescent="0.25">
      <c r="B6932" t="str">
        <f t="shared" si="108"/>
        <v>MKDPopulation ages 05-09, male</v>
      </c>
      <c r="C6932" t="s">
        <v>590</v>
      </c>
      <c r="D6932" t="s">
        <v>591</v>
      </c>
      <c r="E6932" t="s">
        <v>365</v>
      </c>
      <c r="F6932" t="s">
        <v>694</v>
      </c>
      <c r="G6932">
        <v>59000</v>
      </c>
      <c r="H6932">
        <v>60000</v>
      </c>
    </row>
    <row r="6933" spans="2:8" x14ac:dyDescent="0.25">
      <c r="B6933" t="str">
        <f t="shared" si="108"/>
        <v>MKDPopulation ages 10-14, female</v>
      </c>
      <c r="C6933" t="s">
        <v>590</v>
      </c>
      <c r="D6933" t="s">
        <v>591</v>
      </c>
      <c r="E6933" t="s">
        <v>366</v>
      </c>
      <c r="F6933" t="s">
        <v>695</v>
      </c>
      <c r="G6933">
        <v>55000</v>
      </c>
      <c r="H6933">
        <v>54000</v>
      </c>
    </row>
    <row r="6934" spans="2:8" x14ac:dyDescent="0.25">
      <c r="B6934" t="str">
        <f t="shared" si="108"/>
        <v>MKDPopulation ages 10-14, male</v>
      </c>
      <c r="C6934" t="s">
        <v>590</v>
      </c>
      <c r="D6934" t="s">
        <v>591</v>
      </c>
      <c r="E6934" t="s">
        <v>367</v>
      </c>
      <c r="F6934" t="s">
        <v>696</v>
      </c>
      <c r="G6934">
        <v>58000</v>
      </c>
      <c r="H6934">
        <v>58000</v>
      </c>
    </row>
    <row r="6935" spans="2:8" x14ac:dyDescent="0.25">
      <c r="B6935" t="str">
        <f t="shared" si="108"/>
        <v>MKDPopulation ages 15-19, female</v>
      </c>
      <c r="C6935" t="s">
        <v>590</v>
      </c>
      <c r="D6935" t="s">
        <v>591</v>
      </c>
      <c r="E6935" t="s">
        <v>368</v>
      </c>
      <c r="F6935" t="s">
        <v>697</v>
      </c>
      <c r="G6935">
        <v>60000</v>
      </c>
      <c r="H6935">
        <v>59000</v>
      </c>
    </row>
    <row r="6936" spans="2:8" x14ac:dyDescent="0.25">
      <c r="B6936" t="str">
        <f t="shared" si="108"/>
        <v>MKDPopulation ages 15-19, male</v>
      </c>
      <c r="C6936" t="s">
        <v>590</v>
      </c>
      <c r="D6936" t="s">
        <v>591</v>
      </c>
      <c r="E6936" t="s">
        <v>369</v>
      </c>
      <c r="F6936" t="s">
        <v>698</v>
      </c>
      <c r="G6936">
        <v>63000</v>
      </c>
      <c r="H6936">
        <v>62000</v>
      </c>
    </row>
    <row r="6937" spans="2:8" x14ac:dyDescent="0.25">
      <c r="B6937" t="str">
        <f t="shared" si="108"/>
        <v>MKDPopulation ages 20-24, female</v>
      </c>
      <c r="C6937" t="s">
        <v>590</v>
      </c>
      <c r="D6937" t="s">
        <v>591</v>
      </c>
      <c r="E6937" t="s">
        <v>370</v>
      </c>
      <c r="F6937" t="s">
        <v>699</v>
      </c>
      <c r="G6937">
        <v>65000</v>
      </c>
      <c r="H6937">
        <v>63000</v>
      </c>
    </row>
    <row r="6938" spans="2:8" x14ac:dyDescent="0.25">
      <c r="B6938" t="str">
        <f t="shared" si="108"/>
        <v>MKDPopulation ages 20-24, male</v>
      </c>
      <c r="C6938" t="s">
        <v>590</v>
      </c>
      <c r="D6938" t="s">
        <v>591</v>
      </c>
      <c r="E6938" t="s">
        <v>371</v>
      </c>
      <c r="F6938" t="s">
        <v>700</v>
      </c>
      <c r="G6938">
        <v>69000</v>
      </c>
      <c r="H6938">
        <v>67000</v>
      </c>
    </row>
    <row r="6939" spans="2:8" x14ac:dyDescent="0.25">
      <c r="B6939" t="str">
        <f t="shared" si="108"/>
        <v>MKDPopulation ages 25-29, female</v>
      </c>
      <c r="C6939" t="s">
        <v>590</v>
      </c>
      <c r="D6939" t="s">
        <v>591</v>
      </c>
      <c r="E6939" t="s">
        <v>372</v>
      </c>
      <c r="F6939" t="s">
        <v>701</v>
      </c>
      <c r="G6939">
        <v>76000</v>
      </c>
      <c r="H6939">
        <v>74000</v>
      </c>
    </row>
    <row r="6940" spans="2:8" x14ac:dyDescent="0.25">
      <c r="B6940" t="str">
        <f t="shared" si="108"/>
        <v>MKDPopulation ages 25-29, male</v>
      </c>
      <c r="C6940" t="s">
        <v>590</v>
      </c>
      <c r="D6940" t="s">
        <v>591</v>
      </c>
      <c r="E6940" t="s">
        <v>373</v>
      </c>
      <c r="F6940" t="s">
        <v>702</v>
      </c>
      <c r="G6940">
        <v>80000</v>
      </c>
      <c r="H6940">
        <v>78000</v>
      </c>
    </row>
    <row r="6941" spans="2:8" x14ac:dyDescent="0.25">
      <c r="B6941" t="str">
        <f t="shared" si="108"/>
        <v>MKDPopulation ages 30-34, female</v>
      </c>
      <c r="C6941" t="s">
        <v>590</v>
      </c>
      <c r="D6941" t="s">
        <v>591</v>
      </c>
      <c r="E6941" t="s">
        <v>374</v>
      </c>
      <c r="F6941" t="s">
        <v>703</v>
      </c>
      <c r="G6941">
        <v>80000</v>
      </c>
      <c r="H6941">
        <v>79000</v>
      </c>
    </row>
    <row r="6942" spans="2:8" x14ac:dyDescent="0.25">
      <c r="B6942" t="str">
        <f t="shared" si="108"/>
        <v>MKDPopulation ages 30-34, male</v>
      </c>
      <c r="C6942" t="s">
        <v>590</v>
      </c>
      <c r="D6942" t="s">
        <v>591</v>
      </c>
      <c r="E6942" t="s">
        <v>375</v>
      </c>
      <c r="F6942" t="s">
        <v>704</v>
      </c>
      <c r="G6942">
        <v>84000</v>
      </c>
      <c r="H6942">
        <v>83000</v>
      </c>
    </row>
    <row r="6943" spans="2:8" x14ac:dyDescent="0.25">
      <c r="B6943" t="str">
        <f t="shared" si="108"/>
        <v>MKDPopulation ages 35-39, female</v>
      </c>
      <c r="C6943" t="s">
        <v>590</v>
      </c>
      <c r="D6943" t="s">
        <v>591</v>
      </c>
      <c r="E6943" t="s">
        <v>376</v>
      </c>
      <c r="F6943" t="s">
        <v>705</v>
      </c>
      <c r="G6943">
        <v>79000</v>
      </c>
      <c r="H6943">
        <v>80000</v>
      </c>
    </row>
    <row r="6944" spans="2:8" x14ac:dyDescent="0.25">
      <c r="B6944" t="str">
        <f t="shared" si="108"/>
        <v>MKDPopulation ages 35-39, male</v>
      </c>
      <c r="C6944" t="s">
        <v>590</v>
      </c>
      <c r="D6944" t="s">
        <v>591</v>
      </c>
      <c r="E6944" t="s">
        <v>377</v>
      </c>
      <c r="F6944" t="s">
        <v>706</v>
      </c>
      <c r="G6944">
        <v>84000</v>
      </c>
      <c r="H6944">
        <v>84000</v>
      </c>
    </row>
    <row r="6945" spans="2:8" x14ac:dyDescent="0.25">
      <c r="B6945" t="str">
        <f t="shared" si="108"/>
        <v>MKDPopulation ages 40-44, female</v>
      </c>
      <c r="C6945" t="s">
        <v>590</v>
      </c>
      <c r="D6945" t="s">
        <v>591</v>
      </c>
      <c r="E6945" t="s">
        <v>378</v>
      </c>
      <c r="F6945" t="s">
        <v>707</v>
      </c>
      <c r="G6945">
        <v>75000</v>
      </c>
      <c r="H6945">
        <v>76000</v>
      </c>
    </row>
    <row r="6946" spans="2:8" x14ac:dyDescent="0.25">
      <c r="B6946" t="str">
        <f t="shared" si="108"/>
        <v>MKDPopulation ages 40-44, male</v>
      </c>
      <c r="C6946" t="s">
        <v>590</v>
      </c>
      <c r="D6946" t="s">
        <v>591</v>
      </c>
      <c r="E6946" t="s">
        <v>379</v>
      </c>
      <c r="F6946" t="s">
        <v>708</v>
      </c>
      <c r="G6946">
        <v>78000</v>
      </c>
      <c r="H6946">
        <v>79000</v>
      </c>
    </row>
    <row r="6947" spans="2:8" x14ac:dyDescent="0.25">
      <c r="B6947" t="str">
        <f t="shared" si="108"/>
        <v>MKDPopulation ages 45-49, female</v>
      </c>
      <c r="C6947" t="s">
        <v>590</v>
      </c>
      <c r="D6947" t="s">
        <v>591</v>
      </c>
      <c r="E6947" t="s">
        <v>380</v>
      </c>
      <c r="F6947" t="s">
        <v>709</v>
      </c>
      <c r="G6947">
        <v>72000</v>
      </c>
      <c r="H6947">
        <v>72000</v>
      </c>
    </row>
    <row r="6948" spans="2:8" x14ac:dyDescent="0.25">
      <c r="B6948" t="str">
        <f t="shared" si="108"/>
        <v>MKDPopulation ages 45-49, male</v>
      </c>
      <c r="C6948" t="s">
        <v>590</v>
      </c>
      <c r="D6948" t="s">
        <v>591</v>
      </c>
      <c r="E6948" t="s">
        <v>381</v>
      </c>
      <c r="F6948" t="s">
        <v>710</v>
      </c>
      <c r="G6948">
        <v>74000</v>
      </c>
      <c r="H6948">
        <v>74000</v>
      </c>
    </row>
    <row r="6949" spans="2:8" x14ac:dyDescent="0.25">
      <c r="B6949" t="str">
        <f t="shared" si="108"/>
        <v>MKDPopulation ages 50-54, female</v>
      </c>
      <c r="C6949" t="s">
        <v>590</v>
      </c>
      <c r="D6949" t="s">
        <v>591</v>
      </c>
      <c r="E6949" t="s">
        <v>382</v>
      </c>
      <c r="F6949" t="s">
        <v>711</v>
      </c>
      <c r="G6949">
        <v>72000</v>
      </c>
      <c r="H6949">
        <v>72000</v>
      </c>
    </row>
    <row r="6950" spans="2:8" x14ac:dyDescent="0.25">
      <c r="B6950" t="str">
        <f t="shared" si="108"/>
        <v>MKDPopulation ages 50-54, male</v>
      </c>
      <c r="C6950" t="s">
        <v>590</v>
      </c>
      <c r="D6950" t="s">
        <v>591</v>
      </c>
      <c r="E6950" t="s">
        <v>383</v>
      </c>
      <c r="F6950" t="s">
        <v>712</v>
      </c>
      <c r="G6950">
        <v>73000</v>
      </c>
      <c r="H6950">
        <v>73000</v>
      </c>
    </row>
    <row r="6951" spans="2:8" x14ac:dyDescent="0.25">
      <c r="B6951" t="str">
        <f t="shared" si="108"/>
        <v>MKDPopulation ages 55-59, male</v>
      </c>
      <c r="C6951" t="s">
        <v>590</v>
      </c>
      <c r="D6951" t="s">
        <v>591</v>
      </c>
      <c r="E6951" t="s">
        <v>385</v>
      </c>
      <c r="F6951" t="s">
        <v>713</v>
      </c>
      <c r="G6951">
        <v>68000</v>
      </c>
      <c r="H6951">
        <v>68000</v>
      </c>
    </row>
    <row r="6952" spans="2:8" x14ac:dyDescent="0.25">
      <c r="B6952" t="str">
        <f t="shared" si="108"/>
        <v>MKDPopulation ages 55-59, female</v>
      </c>
      <c r="C6952" t="s">
        <v>590</v>
      </c>
      <c r="D6952" t="s">
        <v>591</v>
      </c>
      <c r="E6952" t="s">
        <v>384</v>
      </c>
      <c r="F6952" t="s">
        <v>714</v>
      </c>
      <c r="G6952">
        <v>69000</v>
      </c>
      <c r="H6952">
        <v>70000</v>
      </c>
    </row>
    <row r="6953" spans="2:8" x14ac:dyDescent="0.25">
      <c r="B6953" t="str">
        <f t="shared" si="108"/>
        <v>MKDPopulation ages 65-69, male</v>
      </c>
      <c r="C6953" t="s">
        <v>590</v>
      </c>
      <c r="D6953" t="s">
        <v>591</v>
      </c>
      <c r="E6953" t="s">
        <v>389</v>
      </c>
      <c r="F6953" t="s">
        <v>715</v>
      </c>
      <c r="G6953">
        <v>53000</v>
      </c>
      <c r="H6953">
        <v>55000</v>
      </c>
    </row>
    <row r="6954" spans="2:8" x14ac:dyDescent="0.25">
      <c r="B6954" t="str">
        <f t="shared" si="108"/>
        <v>MKDPopulation ages 65-69, female</v>
      </c>
      <c r="C6954" t="s">
        <v>590</v>
      </c>
      <c r="D6954" t="s">
        <v>591</v>
      </c>
      <c r="E6954" t="s">
        <v>388</v>
      </c>
      <c r="F6954" t="s">
        <v>716</v>
      </c>
      <c r="G6954">
        <v>59000</v>
      </c>
      <c r="H6954">
        <v>61000</v>
      </c>
    </row>
    <row r="6955" spans="2:8" x14ac:dyDescent="0.25">
      <c r="B6955" t="str">
        <f t="shared" si="108"/>
        <v>MKDPopulation ages 60-64, female</v>
      </c>
      <c r="C6955" t="s">
        <v>590</v>
      </c>
      <c r="D6955" t="s">
        <v>591</v>
      </c>
      <c r="E6955" t="s">
        <v>386</v>
      </c>
      <c r="F6955" t="s">
        <v>717</v>
      </c>
      <c r="G6955">
        <v>66000</v>
      </c>
      <c r="H6955">
        <v>66000</v>
      </c>
    </row>
    <row r="6956" spans="2:8" x14ac:dyDescent="0.25">
      <c r="B6956" t="str">
        <f t="shared" si="108"/>
        <v>MKDPopulation ages 60-64, male</v>
      </c>
      <c r="C6956" t="s">
        <v>590</v>
      </c>
      <c r="D6956" t="s">
        <v>591</v>
      </c>
      <c r="E6956" t="s">
        <v>387</v>
      </c>
      <c r="F6956" t="s">
        <v>718</v>
      </c>
      <c r="G6956">
        <v>63000</v>
      </c>
      <c r="H6956">
        <v>63000</v>
      </c>
    </row>
    <row r="6957" spans="2:8" x14ac:dyDescent="0.25">
      <c r="B6957" t="str">
        <f t="shared" si="108"/>
        <v>MKDPopulation ages 70-74, female</v>
      </c>
      <c r="C6957" t="s">
        <v>590</v>
      </c>
      <c r="D6957" t="s">
        <v>591</v>
      </c>
      <c r="E6957" t="s">
        <v>390</v>
      </c>
      <c r="F6957" t="s">
        <v>719</v>
      </c>
      <c r="G6957">
        <v>42000</v>
      </c>
      <c r="H6957">
        <v>44000</v>
      </c>
    </row>
    <row r="6958" spans="2:8" x14ac:dyDescent="0.25">
      <c r="B6958" t="str">
        <f t="shared" si="108"/>
        <v>MKDPopulation ages 70-74, male</v>
      </c>
      <c r="C6958" t="s">
        <v>590</v>
      </c>
      <c r="D6958" t="s">
        <v>591</v>
      </c>
      <c r="E6958" t="s">
        <v>391</v>
      </c>
      <c r="F6958" t="s">
        <v>720</v>
      </c>
      <c r="G6958">
        <v>34000</v>
      </c>
      <c r="H6958">
        <v>36000</v>
      </c>
    </row>
    <row r="6959" spans="2:8" x14ac:dyDescent="0.25">
      <c r="B6959" t="str">
        <f t="shared" si="108"/>
        <v>MKDPopulation ages 75-79, female</v>
      </c>
      <c r="C6959" t="s">
        <v>590</v>
      </c>
      <c r="D6959" t="s">
        <v>591</v>
      </c>
      <c r="E6959" t="s">
        <v>392</v>
      </c>
      <c r="F6959" t="s">
        <v>721</v>
      </c>
      <c r="G6959">
        <v>31000</v>
      </c>
      <c r="H6959">
        <v>31000</v>
      </c>
    </row>
    <row r="6960" spans="2:8" x14ac:dyDescent="0.25">
      <c r="B6960" t="str">
        <f t="shared" si="108"/>
        <v>MKDPopulation ages 75-79, male</v>
      </c>
      <c r="C6960" t="s">
        <v>590</v>
      </c>
      <c r="D6960" t="s">
        <v>591</v>
      </c>
      <c r="E6960" t="s">
        <v>393</v>
      </c>
      <c r="F6960" t="s">
        <v>722</v>
      </c>
      <c r="G6960">
        <v>23000</v>
      </c>
      <c r="H6960">
        <v>23000</v>
      </c>
    </row>
    <row r="6961" spans="2:8" x14ac:dyDescent="0.25">
      <c r="B6961" t="str">
        <f t="shared" si="108"/>
        <v>MKDPopulation ages 80 and above, female</v>
      </c>
      <c r="C6961" t="s">
        <v>590</v>
      </c>
      <c r="D6961" t="s">
        <v>591</v>
      </c>
      <c r="E6961" t="s">
        <v>394</v>
      </c>
      <c r="F6961" t="s">
        <v>723</v>
      </c>
      <c r="G6961">
        <v>32000</v>
      </c>
      <c r="H6961">
        <v>32000</v>
      </c>
    </row>
    <row r="6962" spans="2:8" x14ac:dyDescent="0.25">
      <c r="B6962" t="str">
        <f t="shared" si="108"/>
        <v>MKDPopulation ages 80 and above, male</v>
      </c>
      <c r="C6962" t="s">
        <v>590</v>
      </c>
      <c r="D6962" t="s">
        <v>591</v>
      </c>
      <c r="E6962" t="s">
        <v>395</v>
      </c>
      <c r="F6962" t="s">
        <v>724</v>
      </c>
      <c r="G6962">
        <v>21000</v>
      </c>
      <c r="H6962">
        <v>21000</v>
      </c>
    </row>
    <row r="6963" spans="2:8" x14ac:dyDescent="0.25">
      <c r="B6963" t="str">
        <f t="shared" si="108"/>
        <v>MKDPopulation, male</v>
      </c>
      <c r="C6963" t="s">
        <v>590</v>
      </c>
      <c r="D6963" t="s">
        <v>591</v>
      </c>
      <c r="E6963" t="s">
        <v>397</v>
      </c>
      <c r="F6963" t="s">
        <v>725</v>
      </c>
      <c r="G6963">
        <v>1042000</v>
      </c>
      <c r="H6963">
        <v>1042000</v>
      </c>
    </row>
    <row r="6964" spans="2:8" x14ac:dyDescent="0.25">
      <c r="B6964" t="str">
        <f t="shared" si="108"/>
        <v>MKDPopulation, total</v>
      </c>
      <c r="C6964" t="s">
        <v>590</v>
      </c>
      <c r="D6964" t="s">
        <v>591</v>
      </c>
      <c r="E6964" t="s">
        <v>398</v>
      </c>
      <c r="F6964" t="s">
        <v>726</v>
      </c>
      <c r="G6964">
        <v>2083000</v>
      </c>
      <c r="H6964">
        <v>2083000</v>
      </c>
    </row>
    <row r="6965" spans="2:8" x14ac:dyDescent="0.25">
      <c r="B6965" t="str">
        <f t="shared" si="108"/>
        <v>MKDPopulation, female</v>
      </c>
      <c r="C6965" t="s">
        <v>590</v>
      </c>
      <c r="D6965" t="s">
        <v>591</v>
      </c>
      <c r="E6965" t="s">
        <v>396</v>
      </c>
      <c r="F6965" t="s">
        <v>727</v>
      </c>
      <c r="G6965">
        <v>1041000</v>
      </c>
      <c r="H6965">
        <v>1041000</v>
      </c>
    </row>
    <row r="6966" spans="2:8" x14ac:dyDescent="0.25">
      <c r="B6966" t="str">
        <f t="shared" si="108"/>
        <v>MKDPopulation growth (annual %)</v>
      </c>
      <c r="C6966" t="s">
        <v>590</v>
      </c>
      <c r="D6966" t="s">
        <v>591</v>
      </c>
      <c r="E6966" t="s">
        <v>399</v>
      </c>
      <c r="F6966" t="s">
        <v>728</v>
      </c>
      <c r="G6966">
        <v>0</v>
      </c>
      <c r="H6966">
        <v>0</v>
      </c>
    </row>
    <row r="6967" spans="2:8" x14ac:dyDescent="0.25">
      <c r="B6967" t="str">
        <f t="shared" si="108"/>
        <v>MNPPopulation ages 0-14, female</v>
      </c>
      <c r="C6967" t="s">
        <v>592</v>
      </c>
      <c r="D6967" t="s">
        <v>593</v>
      </c>
      <c r="E6967" t="s">
        <v>687</v>
      </c>
      <c r="F6967" t="s">
        <v>688</v>
      </c>
      <c r="G6967">
        <v>0</v>
      </c>
      <c r="H6967">
        <v>0</v>
      </c>
    </row>
    <row r="6968" spans="2:8" x14ac:dyDescent="0.25">
      <c r="B6968" t="str">
        <f t="shared" si="108"/>
        <v>MNPPopulation ages 0-14, male</v>
      </c>
      <c r="C6968" t="s">
        <v>592</v>
      </c>
      <c r="D6968" t="s">
        <v>593</v>
      </c>
      <c r="E6968" t="s">
        <v>689</v>
      </c>
      <c r="F6968" t="s">
        <v>690</v>
      </c>
      <c r="G6968">
        <v>0</v>
      </c>
      <c r="H6968">
        <v>0</v>
      </c>
    </row>
    <row r="6969" spans="2:8" x14ac:dyDescent="0.25">
      <c r="B6969" t="str">
        <f t="shared" si="108"/>
        <v>MNPPopulation ages 00-04, female</v>
      </c>
      <c r="C6969" t="s">
        <v>592</v>
      </c>
      <c r="D6969" t="s">
        <v>593</v>
      </c>
      <c r="E6969" t="s">
        <v>362</v>
      </c>
      <c r="F6969" t="s">
        <v>691</v>
      </c>
      <c r="G6969">
        <v>0</v>
      </c>
      <c r="H6969">
        <v>0</v>
      </c>
    </row>
    <row r="6970" spans="2:8" x14ac:dyDescent="0.25">
      <c r="B6970" t="str">
        <f t="shared" si="108"/>
        <v>MNPPopulation ages 00-04, male</v>
      </c>
      <c r="C6970" t="s">
        <v>592</v>
      </c>
      <c r="D6970" t="s">
        <v>593</v>
      </c>
      <c r="E6970" t="s">
        <v>363</v>
      </c>
      <c r="F6970" t="s">
        <v>692</v>
      </c>
      <c r="G6970">
        <v>0</v>
      </c>
      <c r="H6970">
        <v>0</v>
      </c>
    </row>
    <row r="6971" spans="2:8" x14ac:dyDescent="0.25">
      <c r="B6971" t="str">
        <f t="shared" si="108"/>
        <v>MNPPopulation ages 05-09, female</v>
      </c>
      <c r="C6971" t="s">
        <v>592</v>
      </c>
      <c r="D6971" t="s">
        <v>593</v>
      </c>
      <c r="E6971" t="s">
        <v>364</v>
      </c>
      <c r="F6971" t="s">
        <v>693</v>
      </c>
      <c r="G6971">
        <v>0</v>
      </c>
      <c r="H6971">
        <v>0</v>
      </c>
    </row>
    <row r="6972" spans="2:8" x14ac:dyDescent="0.25">
      <c r="B6972" t="str">
        <f t="shared" si="108"/>
        <v>MNPPopulation ages 05-09, male</v>
      </c>
      <c r="C6972" t="s">
        <v>592</v>
      </c>
      <c r="D6972" t="s">
        <v>593</v>
      </c>
      <c r="E6972" t="s">
        <v>365</v>
      </c>
      <c r="F6972" t="s">
        <v>694</v>
      </c>
      <c r="G6972">
        <v>0</v>
      </c>
      <c r="H6972">
        <v>0</v>
      </c>
    </row>
    <row r="6973" spans="2:8" x14ac:dyDescent="0.25">
      <c r="B6973" t="str">
        <f t="shared" si="108"/>
        <v>MNPPopulation ages 10-14, female</v>
      </c>
      <c r="C6973" t="s">
        <v>592</v>
      </c>
      <c r="D6973" t="s">
        <v>593</v>
      </c>
      <c r="E6973" t="s">
        <v>366</v>
      </c>
      <c r="F6973" t="s">
        <v>695</v>
      </c>
      <c r="G6973">
        <v>0</v>
      </c>
      <c r="H6973">
        <v>0</v>
      </c>
    </row>
    <row r="6974" spans="2:8" x14ac:dyDescent="0.25">
      <c r="B6974" t="str">
        <f t="shared" si="108"/>
        <v>MNPPopulation ages 10-14, male</v>
      </c>
      <c r="C6974" t="s">
        <v>592</v>
      </c>
      <c r="D6974" t="s">
        <v>593</v>
      </c>
      <c r="E6974" t="s">
        <v>367</v>
      </c>
      <c r="F6974" t="s">
        <v>696</v>
      </c>
      <c r="G6974">
        <v>0</v>
      </c>
      <c r="H6974">
        <v>0</v>
      </c>
    </row>
    <row r="6975" spans="2:8" x14ac:dyDescent="0.25">
      <c r="B6975" t="str">
        <f t="shared" si="108"/>
        <v>MNPPopulation ages 15-19, female</v>
      </c>
      <c r="C6975" t="s">
        <v>592</v>
      </c>
      <c r="D6975" t="s">
        <v>593</v>
      </c>
      <c r="E6975" t="s">
        <v>368</v>
      </c>
      <c r="F6975" t="s">
        <v>697</v>
      </c>
      <c r="G6975">
        <v>0</v>
      </c>
      <c r="H6975">
        <v>0</v>
      </c>
    </row>
    <row r="6976" spans="2:8" x14ac:dyDescent="0.25">
      <c r="B6976" t="str">
        <f t="shared" si="108"/>
        <v>MNPPopulation ages 15-19, male</v>
      </c>
      <c r="C6976" t="s">
        <v>592</v>
      </c>
      <c r="D6976" t="s">
        <v>593</v>
      </c>
      <c r="E6976" t="s">
        <v>369</v>
      </c>
      <c r="F6976" t="s">
        <v>698</v>
      </c>
      <c r="G6976">
        <v>0</v>
      </c>
      <c r="H6976">
        <v>0</v>
      </c>
    </row>
    <row r="6977" spans="2:8" x14ac:dyDescent="0.25">
      <c r="B6977" t="str">
        <f t="shared" si="108"/>
        <v>MNPPopulation ages 20-24, female</v>
      </c>
      <c r="C6977" t="s">
        <v>592</v>
      </c>
      <c r="D6977" t="s">
        <v>593</v>
      </c>
      <c r="E6977" t="s">
        <v>370</v>
      </c>
      <c r="F6977" t="s">
        <v>699</v>
      </c>
      <c r="G6977">
        <v>0</v>
      </c>
      <c r="H6977">
        <v>0</v>
      </c>
    </row>
    <row r="6978" spans="2:8" x14ac:dyDescent="0.25">
      <c r="B6978" t="str">
        <f t="shared" si="108"/>
        <v>MNPPopulation ages 20-24, male</v>
      </c>
      <c r="C6978" t="s">
        <v>592</v>
      </c>
      <c r="D6978" t="s">
        <v>593</v>
      </c>
      <c r="E6978" t="s">
        <v>371</v>
      </c>
      <c r="F6978" t="s">
        <v>700</v>
      </c>
      <c r="G6978">
        <v>0</v>
      </c>
      <c r="H6978">
        <v>0</v>
      </c>
    </row>
    <row r="6979" spans="2:8" x14ac:dyDescent="0.25">
      <c r="B6979" t="str">
        <f t="shared" si="108"/>
        <v>MNPPopulation ages 25-29, female</v>
      </c>
      <c r="C6979" t="s">
        <v>592</v>
      </c>
      <c r="D6979" t="s">
        <v>593</v>
      </c>
      <c r="E6979" t="s">
        <v>372</v>
      </c>
      <c r="F6979" t="s">
        <v>701</v>
      </c>
      <c r="G6979">
        <v>0</v>
      </c>
      <c r="H6979">
        <v>0</v>
      </c>
    </row>
    <row r="6980" spans="2:8" x14ac:dyDescent="0.25">
      <c r="B6980" t="str">
        <f t="shared" si="108"/>
        <v>MNPPopulation ages 25-29, male</v>
      </c>
      <c r="C6980" t="s">
        <v>592</v>
      </c>
      <c r="D6980" t="s">
        <v>593</v>
      </c>
      <c r="E6980" t="s">
        <v>373</v>
      </c>
      <c r="F6980" t="s">
        <v>702</v>
      </c>
      <c r="G6980">
        <v>0</v>
      </c>
      <c r="H6980">
        <v>0</v>
      </c>
    </row>
    <row r="6981" spans="2:8" x14ac:dyDescent="0.25">
      <c r="B6981" t="str">
        <f t="shared" si="108"/>
        <v>MNPPopulation ages 30-34, female</v>
      </c>
      <c r="C6981" t="s">
        <v>592</v>
      </c>
      <c r="D6981" t="s">
        <v>593</v>
      </c>
      <c r="E6981" t="s">
        <v>374</v>
      </c>
      <c r="F6981" t="s">
        <v>703</v>
      </c>
      <c r="G6981">
        <v>0</v>
      </c>
      <c r="H6981">
        <v>0</v>
      </c>
    </row>
    <row r="6982" spans="2:8" x14ac:dyDescent="0.25">
      <c r="B6982" t="str">
        <f t="shared" si="108"/>
        <v>MNPPopulation ages 30-34, male</v>
      </c>
      <c r="C6982" t="s">
        <v>592</v>
      </c>
      <c r="D6982" t="s">
        <v>593</v>
      </c>
      <c r="E6982" t="s">
        <v>375</v>
      </c>
      <c r="F6982" t="s">
        <v>704</v>
      </c>
      <c r="G6982">
        <v>0</v>
      </c>
      <c r="H6982">
        <v>0</v>
      </c>
    </row>
    <row r="6983" spans="2:8" x14ac:dyDescent="0.25">
      <c r="B6983" t="str">
        <f t="shared" ref="B6983:B7046" si="109">CONCATENATE(D6983,E6983)</f>
        <v>MNPPopulation ages 35-39, female</v>
      </c>
      <c r="C6983" t="s">
        <v>592</v>
      </c>
      <c r="D6983" t="s">
        <v>593</v>
      </c>
      <c r="E6983" t="s">
        <v>376</v>
      </c>
      <c r="F6983" t="s">
        <v>705</v>
      </c>
      <c r="G6983">
        <v>0</v>
      </c>
      <c r="H6983">
        <v>0</v>
      </c>
    </row>
    <row r="6984" spans="2:8" x14ac:dyDescent="0.25">
      <c r="B6984" t="str">
        <f t="shared" si="109"/>
        <v>MNPPopulation ages 35-39, male</v>
      </c>
      <c r="C6984" t="s">
        <v>592</v>
      </c>
      <c r="D6984" t="s">
        <v>593</v>
      </c>
      <c r="E6984" t="s">
        <v>377</v>
      </c>
      <c r="F6984" t="s">
        <v>706</v>
      </c>
      <c r="G6984">
        <v>0</v>
      </c>
      <c r="H6984">
        <v>0</v>
      </c>
    </row>
    <row r="6985" spans="2:8" x14ac:dyDescent="0.25">
      <c r="B6985" t="str">
        <f t="shared" si="109"/>
        <v>MNPPopulation ages 40-44, female</v>
      </c>
      <c r="C6985" t="s">
        <v>592</v>
      </c>
      <c r="D6985" t="s">
        <v>593</v>
      </c>
      <c r="E6985" t="s">
        <v>378</v>
      </c>
      <c r="F6985" t="s">
        <v>707</v>
      </c>
      <c r="G6985">
        <v>0</v>
      </c>
      <c r="H6985">
        <v>0</v>
      </c>
    </row>
    <row r="6986" spans="2:8" x14ac:dyDescent="0.25">
      <c r="B6986" t="str">
        <f t="shared" si="109"/>
        <v>MNPPopulation ages 40-44, male</v>
      </c>
      <c r="C6986" t="s">
        <v>592</v>
      </c>
      <c r="D6986" t="s">
        <v>593</v>
      </c>
      <c r="E6986" t="s">
        <v>379</v>
      </c>
      <c r="F6986" t="s">
        <v>708</v>
      </c>
      <c r="G6986">
        <v>0</v>
      </c>
      <c r="H6986">
        <v>0</v>
      </c>
    </row>
    <row r="6987" spans="2:8" x14ac:dyDescent="0.25">
      <c r="B6987" t="str">
        <f t="shared" si="109"/>
        <v>MNPPopulation ages 45-49, female</v>
      </c>
      <c r="C6987" t="s">
        <v>592</v>
      </c>
      <c r="D6987" t="s">
        <v>593</v>
      </c>
      <c r="E6987" t="s">
        <v>380</v>
      </c>
      <c r="F6987" t="s">
        <v>709</v>
      </c>
      <c r="G6987">
        <v>0</v>
      </c>
      <c r="H6987">
        <v>0</v>
      </c>
    </row>
    <row r="6988" spans="2:8" x14ac:dyDescent="0.25">
      <c r="B6988" t="str">
        <f t="shared" si="109"/>
        <v>MNPPopulation ages 45-49, male</v>
      </c>
      <c r="C6988" t="s">
        <v>592</v>
      </c>
      <c r="D6988" t="s">
        <v>593</v>
      </c>
      <c r="E6988" t="s">
        <v>381</v>
      </c>
      <c r="F6988" t="s">
        <v>710</v>
      </c>
      <c r="G6988">
        <v>0</v>
      </c>
      <c r="H6988">
        <v>0</v>
      </c>
    </row>
    <row r="6989" spans="2:8" x14ac:dyDescent="0.25">
      <c r="B6989" t="str">
        <f t="shared" si="109"/>
        <v>MNPPopulation ages 50-54, female</v>
      </c>
      <c r="C6989" t="s">
        <v>592</v>
      </c>
      <c r="D6989" t="s">
        <v>593</v>
      </c>
      <c r="E6989" t="s">
        <v>382</v>
      </c>
      <c r="F6989" t="s">
        <v>711</v>
      </c>
      <c r="G6989">
        <v>0</v>
      </c>
      <c r="H6989">
        <v>0</v>
      </c>
    </row>
    <row r="6990" spans="2:8" x14ac:dyDescent="0.25">
      <c r="B6990" t="str">
        <f t="shared" si="109"/>
        <v>MNPPopulation ages 50-54, male</v>
      </c>
      <c r="C6990" t="s">
        <v>592</v>
      </c>
      <c r="D6990" t="s">
        <v>593</v>
      </c>
      <c r="E6990" t="s">
        <v>383</v>
      </c>
      <c r="F6990" t="s">
        <v>712</v>
      </c>
      <c r="G6990">
        <v>0</v>
      </c>
      <c r="H6990">
        <v>0</v>
      </c>
    </row>
    <row r="6991" spans="2:8" x14ac:dyDescent="0.25">
      <c r="B6991" t="str">
        <f t="shared" si="109"/>
        <v>MNPPopulation ages 55-59, male</v>
      </c>
      <c r="C6991" t="s">
        <v>592</v>
      </c>
      <c r="D6991" t="s">
        <v>593</v>
      </c>
      <c r="E6991" t="s">
        <v>385</v>
      </c>
      <c r="F6991" t="s">
        <v>713</v>
      </c>
      <c r="G6991">
        <v>0</v>
      </c>
      <c r="H6991">
        <v>0</v>
      </c>
    </row>
    <row r="6992" spans="2:8" x14ac:dyDescent="0.25">
      <c r="B6992" t="str">
        <f t="shared" si="109"/>
        <v>MNPPopulation ages 55-59, female</v>
      </c>
      <c r="C6992" t="s">
        <v>592</v>
      </c>
      <c r="D6992" t="s">
        <v>593</v>
      </c>
      <c r="E6992" t="s">
        <v>384</v>
      </c>
      <c r="F6992" t="s">
        <v>714</v>
      </c>
      <c r="G6992">
        <v>0</v>
      </c>
      <c r="H6992">
        <v>0</v>
      </c>
    </row>
    <row r="6993" spans="2:8" x14ac:dyDescent="0.25">
      <c r="B6993" t="str">
        <f t="shared" si="109"/>
        <v>MNPPopulation ages 65-69, male</v>
      </c>
      <c r="C6993" t="s">
        <v>592</v>
      </c>
      <c r="D6993" t="s">
        <v>593</v>
      </c>
      <c r="E6993" t="s">
        <v>389</v>
      </c>
      <c r="F6993" t="s">
        <v>715</v>
      </c>
      <c r="G6993">
        <v>0</v>
      </c>
      <c r="H6993">
        <v>0</v>
      </c>
    </row>
    <row r="6994" spans="2:8" x14ac:dyDescent="0.25">
      <c r="B6994" t="str">
        <f t="shared" si="109"/>
        <v>MNPPopulation ages 65-69, female</v>
      </c>
      <c r="C6994" t="s">
        <v>592</v>
      </c>
      <c r="D6994" t="s">
        <v>593</v>
      </c>
      <c r="E6994" t="s">
        <v>388</v>
      </c>
      <c r="F6994" t="s">
        <v>716</v>
      </c>
      <c r="G6994">
        <v>0</v>
      </c>
      <c r="H6994">
        <v>0</v>
      </c>
    </row>
    <row r="6995" spans="2:8" x14ac:dyDescent="0.25">
      <c r="B6995" t="str">
        <f t="shared" si="109"/>
        <v>MNPPopulation ages 60-64, female</v>
      </c>
      <c r="C6995" t="s">
        <v>592</v>
      </c>
      <c r="D6995" t="s">
        <v>593</v>
      </c>
      <c r="E6995" t="s">
        <v>386</v>
      </c>
      <c r="F6995" t="s">
        <v>717</v>
      </c>
      <c r="G6995">
        <v>0</v>
      </c>
      <c r="H6995">
        <v>0</v>
      </c>
    </row>
    <row r="6996" spans="2:8" x14ac:dyDescent="0.25">
      <c r="B6996" t="str">
        <f t="shared" si="109"/>
        <v>MNPPopulation ages 60-64, male</v>
      </c>
      <c r="C6996" t="s">
        <v>592</v>
      </c>
      <c r="D6996" t="s">
        <v>593</v>
      </c>
      <c r="E6996" t="s">
        <v>387</v>
      </c>
      <c r="F6996" t="s">
        <v>718</v>
      </c>
      <c r="G6996">
        <v>0</v>
      </c>
      <c r="H6996">
        <v>0</v>
      </c>
    </row>
    <row r="6997" spans="2:8" x14ac:dyDescent="0.25">
      <c r="B6997" t="str">
        <f t="shared" si="109"/>
        <v>MNPPopulation ages 70-74, female</v>
      </c>
      <c r="C6997" t="s">
        <v>592</v>
      </c>
      <c r="D6997" t="s">
        <v>593</v>
      </c>
      <c r="E6997" t="s">
        <v>390</v>
      </c>
      <c r="F6997" t="s">
        <v>719</v>
      </c>
      <c r="G6997">
        <v>0</v>
      </c>
      <c r="H6997">
        <v>0</v>
      </c>
    </row>
    <row r="6998" spans="2:8" x14ac:dyDescent="0.25">
      <c r="B6998" t="str">
        <f t="shared" si="109"/>
        <v>MNPPopulation ages 70-74, male</v>
      </c>
      <c r="C6998" t="s">
        <v>592</v>
      </c>
      <c r="D6998" t="s">
        <v>593</v>
      </c>
      <c r="E6998" t="s">
        <v>391</v>
      </c>
      <c r="F6998" t="s">
        <v>720</v>
      </c>
      <c r="G6998">
        <v>0</v>
      </c>
      <c r="H6998">
        <v>0</v>
      </c>
    </row>
    <row r="6999" spans="2:8" x14ac:dyDescent="0.25">
      <c r="B6999" t="str">
        <f t="shared" si="109"/>
        <v>MNPPopulation ages 75-79, female</v>
      </c>
      <c r="C6999" t="s">
        <v>592</v>
      </c>
      <c r="D6999" t="s">
        <v>593</v>
      </c>
      <c r="E6999" t="s">
        <v>392</v>
      </c>
      <c r="F6999" t="s">
        <v>721</v>
      </c>
      <c r="G6999">
        <v>0</v>
      </c>
      <c r="H6999">
        <v>0</v>
      </c>
    </row>
    <row r="7000" spans="2:8" x14ac:dyDescent="0.25">
      <c r="B7000" t="str">
        <f t="shared" si="109"/>
        <v>MNPPopulation ages 75-79, male</v>
      </c>
      <c r="C7000" t="s">
        <v>592</v>
      </c>
      <c r="D7000" t="s">
        <v>593</v>
      </c>
      <c r="E7000" t="s">
        <v>393</v>
      </c>
      <c r="F7000" t="s">
        <v>722</v>
      </c>
      <c r="G7000">
        <v>0</v>
      </c>
      <c r="H7000">
        <v>0</v>
      </c>
    </row>
    <row r="7001" spans="2:8" x14ac:dyDescent="0.25">
      <c r="B7001" t="str">
        <f t="shared" si="109"/>
        <v>MNPPopulation ages 80 and above, female</v>
      </c>
      <c r="C7001" t="s">
        <v>592</v>
      </c>
      <c r="D7001" t="s">
        <v>593</v>
      </c>
      <c r="E7001" t="s">
        <v>394</v>
      </c>
      <c r="F7001" t="s">
        <v>723</v>
      </c>
      <c r="G7001">
        <v>0</v>
      </c>
      <c r="H7001">
        <v>0</v>
      </c>
    </row>
    <row r="7002" spans="2:8" x14ac:dyDescent="0.25">
      <c r="B7002" t="str">
        <f t="shared" si="109"/>
        <v>MNPPopulation ages 80 and above, male</v>
      </c>
      <c r="C7002" t="s">
        <v>592</v>
      </c>
      <c r="D7002" t="s">
        <v>593</v>
      </c>
      <c r="E7002" t="s">
        <v>395</v>
      </c>
      <c r="F7002" t="s">
        <v>724</v>
      </c>
      <c r="G7002">
        <v>0</v>
      </c>
      <c r="H7002">
        <v>0</v>
      </c>
    </row>
    <row r="7003" spans="2:8" x14ac:dyDescent="0.25">
      <c r="B7003" t="str">
        <f t="shared" si="109"/>
        <v>MNPPopulation, male</v>
      </c>
      <c r="C7003" t="s">
        <v>592</v>
      </c>
      <c r="D7003" t="s">
        <v>593</v>
      </c>
      <c r="E7003" t="s">
        <v>397</v>
      </c>
      <c r="F7003" t="s">
        <v>725</v>
      </c>
      <c r="G7003">
        <v>0</v>
      </c>
      <c r="H7003">
        <v>0</v>
      </c>
    </row>
    <row r="7004" spans="2:8" x14ac:dyDescent="0.25">
      <c r="B7004" t="str">
        <f t="shared" si="109"/>
        <v>MNPPopulation, total</v>
      </c>
      <c r="C7004" t="s">
        <v>592</v>
      </c>
      <c r="D7004" t="s">
        <v>593</v>
      </c>
      <c r="E7004" t="s">
        <v>398</v>
      </c>
      <c r="F7004" t="s">
        <v>726</v>
      </c>
      <c r="G7004">
        <v>57000</v>
      </c>
      <c r="H7004">
        <v>58000</v>
      </c>
    </row>
    <row r="7005" spans="2:8" x14ac:dyDescent="0.25">
      <c r="B7005" t="str">
        <f t="shared" si="109"/>
        <v>MNPPopulation, female</v>
      </c>
      <c r="C7005" t="s">
        <v>592</v>
      </c>
      <c r="D7005" t="s">
        <v>593</v>
      </c>
      <c r="E7005" t="s">
        <v>396</v>
      </c>
      <c r="F7005" t="s">
        <v>727</v>
      </c>
      <c r="G7005">
        <v>0</v>
      </c>
      <c r="H7005">
        <v>0</v>
      </c>
    </row>
    <row r="7006" spans="2:8" x14ac:dyDescent="0.25">
      <c r="B7006" t="str">
        <f t="shared" si="109"/>
        <v>MNPPopulation growth (annual %)</v>
      </c>
      <c r="C7006" t="s">
        <v>592</v>
      </c>
      <c r="D7006" t="s">
        <v>593</v>
      </c>
      <c r="E7006" t="s">
        <v>399</v>
      </c>
      <c r="F7006" t="s">
        <v>728</v>
      </c>
      <c r="G7006">
        <v>0</v>
      </c>
      <c r="H7006">
        <v>0</v>
      </c>
    </row>
    <row r="7007" spans="2:8" x14ac:dyDescent="0.25">
      <c r="B7007" t="str">
        <f t="shared" si="109"/>
        <v>NORPopulation ages 0-14, female</v>
      </c>
      <c r="C7007" t="s">
        <v>594</v>
      </c>
      <c r="D7007" t="s">
        <v>107</v>
      </c>
      <c r="E7007" t="s">
        <v>687</v>
      </c>
      <c r="F7007" t="s">
        <v>688</v>
      </c>
      <c r="G7007">
        <v>455000</v>
      </c>
      <c r="H7007">
        <v>455000</v>
      </c>
    </row>
    <row r="7008" spans="2:8" x14ac:dyDescent="0.25">
      <c r="B7008" t="str">
        <f t="shared" si="109"/>
        <v>NORPopulation ages 0-14, male</v>
      </c>
      <c r="C7008" t="s">
        <v>594</v>
      </c>
      <c r="D7008" t="s">
        <v>107</v>
      </c>
      <c r="E7008" t="s">
        <v>689</v>
      </c>
      <c r="F7008" t="s">
        <v>690</v>
      </c>
      <c r="G7008">
        <v>480000</v>
      </c>
      <c r="H7008">
        <v>481000</v>
      </c>
    </row>
    <row r="7009" spans="2:8" x14ac:dyDescent="0.25">
      <c r="B7009" t="str">
        <f t="shared" si="109"/>
        <v>NORPopulation ages 00-04, female</v>
      </c>
      <c r="C7009" t="s">
        <v>594</v>
      </c>
      <c r="D7009" t="s">
        <v>107</v>
      </c>
      <c r="E7009" t="s">
        <v>362</v>
      </c>
      <c r="F7009" t="s">
        <v>691</v>
      </c>
      <c r="G7009">
        <v>146000</v>
      </c>
      <c r="H7009">
        <v>146000</v>
      </c>
    </row>
    <row r="7010" spans="2:8" x14ac:dyDescent="0.25">
      <c r="B7010" t="str">
        <f t="shared" si="109"/>
        <v>NORPopulation ages 00-04, male</v>
      </c>
      <c r="C7010" t="s">
        <v>594</v>
      </c>
      <c r="D7010" t="s">
        <v>107</v>
      </c>
      <c r="E7010" t="s">
        <v>363</v>
      </c>
      <c r="F7010" t="s">
        <v>692</v>
      </c>
      <c r="G7010">
        <v>155000</v>
      </c>
      <c r="H7010">
        <v>155000</v>
      </c>
    </row>
    <row r="7011" spans="2:8" x14ac:dyDescent="0.25">
      <c r="B7011" t="str">
        <f t="shared" si="109"/>
        <v>NORPopulation ages 05-09, female</v>
      </c>
      <c r="C7011" t="s">
        <v>594</v>
      </c>
      <c r="D7011" t="s">
        <v>107</v>
      </c>
      <c r="E7011" t="s">
        <v>364</v>
      </c>
      <c r="F7011" t="s">
        <v>693</v>
      </c>
      <c r="G7011">
        <v>153000</v>
      </c>
      <c r="H7011">
        <v>152000</v>
      </c>
    </row>
    <row r="7012" spans="2:8" x14ac:dyDescent="0.25">
      <c r="B7012" t="str">
        <f t="shared" si="109"/>
        <v>NORPopulation ages 05-09, male</v>
      </c>
      <c r="C7012" t="s">
        <v>594</v>
      </c>
      <c r="D7012" t="s">
        <v>107</v>
      </c>
      <c r="E7012" t="s">
        <v>365</v>
      </c>
      <c r="F7012" t="s">
        <v>694</v>
      </c>
      <c r="G7012">
        <v>161000</v>
      </c>
      <c r="H7012">
        <v>160000</v>
      </c>
    </row>
    <row r="7013" spans="2:8" x14ac:dyDescent="0.25">
      <c r="B7013" t="str">
        <f t="shared" si="109"/>
        <v>NORPopulation ages 10-14, female</v>
      </c>
      <c r="C7013" t="s">
        <v>594</v>
      </c>
      <c r="D7013" t="s">
        <v>107</v>
      </c>
      <c r="E7013" t="s">
        <v>366</v>
      </c>
      <c r="F7013" t="s">
        <v>695</v>
      </c>
      <c r="G7013">
        <v>156000</v>
      </c>
      <c r="H7013">
        <v>156000</v>
      </c>
    </row>
    <row r="7014" spans="2:8" x14ac:dyDescent="0.25">
      <c r="B7014" t="str">
        <f t="shared" si="109"/>
        <v>NORPopulation ages 10-14, male</v>
      </c>
      <c r="C7014" t="s">
        <v>594</v>
      </c>
      <c r="D7014" t="s">
        <v>107</v>
      </c>
      <c r="E7014" t="s">
        <v>367</v>
      </c>
      <c r="F7014" t="s">
        <v>696</v>
      </c>
      <c r="G7014">
        <v>164000</v>
      </c>
      <c r="H7014">
        <v>165000</v>
      </c>
    </row>
    <row r="7015" spans="2:8" x14ac:dyDescent="0.25">
      <c r="B7015" t="str">
        <f t="shared" si="109"/>
        <v>NORPopulation ages 15-19, female</v>
      </c>
      <c r="C7015" t="s">
        <v>594</v>
      </c>
      <c r="D7015" t="s">
        <v>107</v>
      </c>
      <c r="E7015" t="s">
        <v>368</v>
      </c>
      <c r="F7015" t="s">
        <v>697</v>
      </c>
      <c r="G7015">
        <v>157000</v>
      </c>
      <c r="H7015">
        <v>157000</v>
      </c>
    </row>
    <row r="7016" spans="2:8" x14ac:dyDescent="0.25">
      <c r="B7016" t="str">
        <f t="shared" si="109"/>
        <v>NORPopulation ages 15-19, male</v>
      </c>
      <c r="C7016" t="s">
        <v>594</v>
      </c>
      <c r="D7016" t="s">
        <v>107</v>
      </c>
      <c r="E7016" t="s">
        <v>369</v>
      </c>
      <c r="F7016" t="s">
        <v>698</v>
      </c>
      <c r="G7016">
        <v>165000</v>
      </c>
      <c r="H7016">
        <v>164000</v>
      </c>
    </row>
    <row r="7017" spans="2:8" x14ac:dyDescent="0.25">
      <c r="B7017" t="str">
        <f t="shared" si="109"/>
        <v>NORPopulation ages 20-24, female</v>
      </c>
      <c r="C7017" t="s">
        <v>594</v>
      </c>
      <c r="D7017" t="s">
        <v>107</v>
      </c>
      <c r="E7017" t="s">
        <v>370</v>
      </c>
      <c r="F7017" t="s">
        <v>699</v>
      </c>
      <c r="G7017">
        <v>171000</v>
      </c>
      <c r="H7017">
        <v>171000</v>
      </c>
    </row>
    <row r="7018" spans="2:8" x14ac:dyDescent="0.25">
      <c r="B7018" t="str">
        <f t="shared" si="109"/>
        <v>NORPopulation ages 20-24, male</v>
      </c>
      <c r="C7018" t="s">
        <v>594</v>
      </c>
      <c r="D7018" t="s">
        <v>107</v>
      </c>
      <c r="E7018" t="s">
        <v>371</v>
      </c>
      <c r="F7018" t="s">
        <v>700</v>
      </c>
      <c r="G7018">
        <v>182000</v>
      </c>
      <c r="H7018">
        <v>182000</v>
      </c>
    </row>
    <row r="7019" spans="2:8" x14ac:dyDescent="0.25">
      <c r="B7019" t="str">
        <f t="shared" si="109"/>
        <v>NORPopulation ages 25-29, female</v>
      </c>
      <c r="C7019" t="s">
        <v>594</v>
      </c>
      <c r="D7019" t="s">
        <v>107</v>
      </c>
      <c r="E7019" t="s">
        <v>372</v>
      </c>
      <c r="F7019" t="s">
        <v>701</v>
      </c>
      <c r="G7019">
        <v>180000</v>
      </c>
      <c r="H7019">
        <v>181000</v>
      </c>
    </row>
    <row r="7020" spans="2:8" x14ac:dyDescent="0.25">
      <c r="B7020" t="str">
        <f t="shared" si="109"/>
        <v>NORPopulation ages 25-29, male</v>
      </c>
      <c r="C7020" t="s">
        <v>594</v>
      </c>
      <c r="D7020" t="s">
        <v>107</v>
      </c>
      <c r="E7020" t="s">
        <v>373</v>
      </c>
      <c r="F7020" t="s">
        <v>702</v>
      </c>
      <c r="G7020">
        <v>190000</v>
      </c>
      <c r="H7020">
        <v>192000</v>
      </c>
    </row>
    <row r="7021" spans="2:8" x14ac:dyDescent="0.25">
      <c r="B7021" t="str">
        <f t="shared" si="109"/>
        <v>NORPopulation ages 30-34, female</v>
      </c>
      <c r="C7021" t="s">
        <v>594</v>
      </c>
      <c r="D7021" t="s">
        <v>107</v>
      </c>
      <c r="E7021" t="s">
        <v>374</v>
      </c>
      <c r="F7021" t="s">
        <v>703</v>
      </c>
      <c r="G7021">
        <v>182000</v>
      </c>
      <c r="H7021">
        <v>184000</v>
      </c>
    </row>
    <row r="7022" spans="2:8" x14ac:dyDescent="0.25">
      <c r="B7022" t="str">
        <f t="shared" si="109"/>
        <v>NORPopulation ages 30-34, male</v>
      </c>
      <c r="C7022" t="s">
        <v>594</v>
      </c>
      <c r="D7022" t="s">
        <v>107</v>
      </c>
      <c r="E7022" t="s">
        <v>375</v>
      </c>
      <c r="F7022" t="s">
        <v>704</v>
      </c>
      <c r="G7022">
        <v>190000</v>
      </c>
      <c r="H7022">
        <v>192000</v>
      </c>
    </row>
    <row r="7023" spans="2:8" x14ac:dyDescent="0.25">
      <c r="B7023" t="str">
        <f t="shared" si="109"/>
        <v>NORPopulation ages 35-39, female</v>
      </c>
      <c r="C7023" t="s">
        <v>594</v>
      </c>
      <c r="D7023" t="s">
        <v>107</v>
      </c>
      <c r="E7023" t="s">
        <v>376</v>
      </c>
      <c r="F7023" t="s">
        <v>705</v>
      </c>
      <c r="G7023">
        <v>171000</v>
      </c>
      <c r="H7023">
        <v>175000</v>
      </c>
    </row>
    <row r="7024" spans="2:8" x14ac:dyDescent="0.25">
      <c r="B7024" t="str">
        <f t="shared" si="109"/>
        <v>NORPopulation ages 35-39, male</v>
      </c>
      <c r="C7024" t="s">
        <v>594</v>
      </c>
      <c r="D7024" t="s">
        <v>107</v>
      </c>
      <c r="E7024" t="s">
        <v>377</v>
      </c>
      <c r="F7024" t="s">
        <v>706</v>
      </c>
      <c r="G7024">
        <v>184000</v>
      </c>
      <c r="H7024">
        <v>187000</v>
      </c>
    </row>
    <row r="7025" spans="2:8" x14ac:dyDescent="0.25">
      <c r="B7025" t="str">
        <f t="shared" si="109"/>
        <v>NORPopulation ages 40-44, female</v>
      </c>
      <c r="C7025" t="s">
        <v>594</v>
      </c>
      <c r="D7025" t="s">
        <v>107</v>
      </c>
      <c r="E7025" t="s">
        <v>378</v>
      </c>
      <c r="F7025" t="s">
        <v>707</v>
      </c>
      <c r="G7025">
        <v>168000</v>
      </c>
      <c r="H7025">
        <v>167000</v>
      </c>
    </row>
    <row r="7026" spans="2:8" x14ac:dyDescent="0.25">
      <c r="B7026" t="str">
        <f t="shared" si="109"/>
        <v>NORPopulation ages 40-44, male</v>
      </c>
      <c r="C7026" t="s">
        <v>594</v>
      </c>
      <c r="D7026" t="s">
        <v>107</v>
      </c>
      <c r="E7026" t="s">
        <v>379</v>
      </c>
      <c r="F7026" t="s">
        <v>708</v>
      </c>
      <c r="G7026">
        <v>181000</v>
      </c>
      <c r="H7026">
        <v>180000</v>
      </c>
    </row>
    <row r="7027" spans="2:8" x14ac:dyDescent="0.25">
      <c r="B7027" t="str">
        <f t="shared" si="109"/>
        <v>NORPopulation ages 45-49, female</v>
      </c>
      <c r="C7027" t="s">
        <v>594</v>
      </c>
      <c r="D7027" t="s">
        <v>107</v>
      </c>
      <c r="E7027" t="s">
        <v>380</v>
      </c>
      <c r="F7027" t="s">
        <v>709</v>
      </c>
      <c r="G7027">
        <v>184000</v>
      </c>
      <c r="H7027">
        <v>183000</v>
      </c>
    </row>
    <row r="7028" spans="2:8" x14ac:dyDescent="0.25">
      <c r="B7028" t="str">
        <f t="shared" si="109"/>
        <v>NORPopulation ages 45-49, male</v>
      </c>
      <c r="C7028" t="s">
        <v>594</v>
      </c>
      <c r="D7028" t="s">
        <v>107</v>
      </c>
      <c r="E7028" t="s">
        <v>381</v>
      </c>
      <c r="F7028" t="s">
        <v>710</v>
      </c>
      <c r="G7028">
        <v>196000</v>
      </c>
      <c r="H7028">
        <v>195000</v>
      </c>
    </row>
    <row r="7029" spans="2:8" x14ac:dyDescent="0.25">
      <c r="B7029" t="str">
        <f t="shared" si="109"/>
        <v>NORPopulation ages 50-54, female</v>
      </c>
      <c r="C7029" t="s">
        <v>594</v>
      </c>
      <c r="D7029" t="s">
        <v>107</v>
      </c>
      <c r="E7029" t="s">
        <v>382</v>
      </c>
      <c r="F7029" t="s">
        <v>711</v>
      </c>
      <c r="G7029">
        <v>180000</v>
      </c>
      <c r="H7029">
        <v>183000</v>
      </c>
    </row>
    <row r="7030" spans="2:8" x14ac:dyDescent="0.25">
      <c r="B7030" t="str">
        <f t="shared" si="109"/>
        <v>NORPopulation ages 50-54, male</v>
      </c>
      <c r="C7030" t="s">
        <v>594</v>
      </c>
      <c r="D7030" t="s">
        <v>107</v>
      </c>
      <c r="E7030" t="s">
        <v>383</v>
      </c>
      <c r="F7030" t="s">
        <v>712</v>
      </c>
      <c r="G7030">
        <v>191000</v>
      </c>
      <c r="H7030">
        <v>195000</v>
      </c>
    </row>
    <row r="7031" spans="2:8" x14ac:dyDescent="0.25">
      <c r="B7031" t="str">
        <f t="shared" si="109"/>
        <v>NORPopulation ages 55-59, male</v>
      </c>
      <c r="C7031" t="s">
        <v>594</v>
      </c>
      <c r="D7031" t="s">
        <v>107</v>
      </c>
      <c r="E7031" t="s">
        <v>385</v>
      </c>
      <c r="F7031" t="s">
        <v>713</v>
      </c>
      <c r="G7031">
        <v>169000</v>
      </c>
      <c r="H7031">
        <v>172000</v>
      </c>
    </row>
    <row r="7032" spans="2:8" x14ac:dyDescent="0.25">
      <c r="B7032" t="str">
        <f t="shared" si="109"/>
        <v>NORPopulation ages 55-59, female</v>
      </c>
      <c r="C7032" t="s">
        <v>594</v>
      </c>
      <c r="D7032" t="s">
        <v>107</v>
      </c>
      <c r="E7032" t="s">
        <v>384</v>
      </c>
      <c r="F7032" t="s">
        <v>714</v>
      </c>
      <c r="G7032">
        <v>161000</v>
      </c>
      <c r="H7032">
        <v>163000</v>
      </c>
    </row>
    <row r="7033" spans="2:8" x14ac:dyDescent="0.25">
      <c r="B7033" t="str">
        <f t="shared" si="109"/>
        <v>NORPopulation ages 65-69, male</v>
      </c>
      <c r="C7033" t="s">
        <v>594</v>
      </c>
      <c r="D7033" t="s">
        <v>107</v>
      </c>
      <c r="E7033" t="s">
        <v>389</v>
      </c>
      <c r="F7033" t="s">
        <v>715</v>
      </c>
      <c r="G7033">
        <v>137000</v>
      </c>
      <c r="H7033">
        <v>137000</v>
      </c>
    </row>
    <row r="7034" spans="2:8" x14ac:dyDescent="0.25">
      <c r="B7034" t="str">
        <f t="shared" si="109"/>
        <v>NORPopulation ages 65-69, female</v>
      </c>
      <c r="C7034" t="s">
        <v>594</v>
      </c>
      <c r="D7034" t="s">
        <v>107</v>
      </c>
      <c r="E7034" t="s">
        <v>388</v>
      </c>
      <c r="F7034" t="s">
        <v>716</v>
      </c>
      <c r="G7034">
        <v>138000</v>
      </c>
      <c r="H7034">
        <v>138000</v>
      </c>
    </row>
    <row r="7035" spans="2:8" x14ac:dyDescent="0.25">
      <c r="B7035" t="str">
        <f t="shared" si="109"/>
        <v>NORPopulation ages 60-64, female</v>
      </c>
      <c r="C7035" t="s">
        <v>594</v>
      </c>
      <c r="D7035" t="s">
        <v>107</v>
      </c>
      <c r="E7035" t="s">
        <v>386</v>
      </c>
      <c r="F7035" t="s">
        <v>717</v>
      </c>
      <c r="G7035">
        <v>151000</v>
      </c>
      <c r="H7035">
        <v>154000</v>
      </c>
    </row>
    <row r="7036" spans="2:8" x14ac:dyDescent="0.25">
      <c r="B7036" t="str">
        <f t="shared" si="109"/>
        <v>NORPopulation ages 60-64, male</v>
      </c>
      <c r="C7036" t="s">
        <v>594</v>
      </c>
      <c r="D7036" t="s">
        <v>107</v>
      </c>
      <c r="E7036" t="s">
        <v>387</v>
      </c>
      <c r="F7036" t="s">
        <v>718</v>
      </c>
      <c r="G7036">
        <v>154000</v>
      </c>
      <c r="H7036">
        <v>157000</v>
      </c>
    </row>
    <row r="7037" spans="2:8" x14ac:dyDescent="0.25">
      <c r="B7037" t="str">
        <f t="shared" si="109"/>
        <v>NORPopulation ages 70-74, female</v>
      </c>
      <c r="C7037" t="s">
        <v>594</v>
      </c>
      <c r="D7037" t="s">
        <v>107</v>
      </c>
      <c r="E7037" t="s">
        <v>390</v>
      </c>
      <c r="F7037" t="s">
        <v>719</v>
      </c>
      <c r="G7037">
        <v>132000</v>
      </c>
      <c r="H7037">
        <v>136000</v>
      </c>
    </row>
    <row r="7038" spans="2:8" x14ac:dyDescent="0.25">
      <c r="B7038" t="str">
        <f t="shared" si="109"/>
        <v>NORPopulation ages 70-74, male</v>
      </c>
      <c r="C7038" t="s">
        <v>594</v>
      </c>
      <c r="D7038" t="s">
        <v>107</v>
      </c>
      <c r="E7038" t="s">
        <v>391</v>
      </c>
      <c r="F7038" t="s">
        <v>720</v>
      </c>
      <c r="G7038">
        <v>127000</v>
      </c>
      <c r="H7038">
        <v>131000</v>
      </c>
    </row>
    <row r="7039" spans="2:8" x14ac:dyDescent="0.25">
      <c r="B7039" t="str">
        <f t="shared" si="109"/>
        <v>NORPopulation ages 75-79, female</v>
      </c>
      <c r="C7039" t="s">
        <v>594</v>
      </c>
      <c r="D7039" t="s">
        <v>107</v>
      </c>
      <c r="E7039" t="s">
        <v>392</v>
      </c>
      <c r="F7039" t="s">
        <v>721</v>
      </c>
      <c r="G7039">
        <v>89000</v>
      </c>
      <c r="H7039">
        <v>95000</v>
      </c>
    </row>
    <row r="7040" spans="2:8" x14ac:dyDescent="0.25">
      <c r="B7040" t="str">
        <f t="shared" si="109"/>
        <v>NORPopulation ages 75-79, male</v>
      </c>
      <c r="C7040" t="s">
        <v>594</v>
      </c>
      <c r="D7040" t="s">
        <v>107</v>
      </c>
      <c r="E7040" t="s">
        <v>393</v>
      </c>
      <c r="F7040" t="s">
        <v>722</v>
      </c>
      <c r="G7040">
        <v>79000</v>
      </c>
      <c r="H7040">
        <v>85000</v>
      </c>
    </row>
    <row r="7041" spans="2:8" x14ac:dyDescent="0.25">
      <c r="B7041" t="str">
        <f t="shared" si="109"/>
        <v>NORPopulation ages 80 and above, female</v>
      </c>
      <c r="C7041" t="s">
        <v>594</v>
      </c>
      <c r="D7041" t="s">
        <v>107</v>
      </c>
      <c r="E7041" t="s">
        <v>394</v>
      </c>
      <c r="F7041" t="s">
        <v>723</v>
      </c>
      <c r="G7041">
        <v>138000</v>
      </c>
      <c r="H7041">
        <v>140000</v>
      </c>
    </row>
    <row r="7042" spans="2:8" x14ac:dyDescent="0.25">
      <c r="B7042" t="str">
        <f t="shared" si="109"/>
        <v>NORPopulation ages 80 and above, male</v>
      </c>
      <c r="C7042" t="s">
        <v>594</v>
      </c>
      <c r="D7042" t="s">
        <v>107</v>
      </c>
      <c r="E7042" t="s">
        <v>395</v>
      </c>
      <c r="F7042" t="s">
        <v>724</v>
      </c>
      <c r="G7042">
        <v>87000</v>
      </c>
      <c r="H7042">
        <v>89000</v>
      </c>
    </row>
    <row r="7043" spans="2:8" x14ac:dyDescent="0.25">
      <c r="B7043" t="str">
        <f t="shared" si="109"/>
        <v>NORPopulation, male</v>
      </c>
      <c r="C7043" t="s">
        <v>594</v>
      </c>
      <c r="D7043" t="s">
        <v>107</v>
      </c>
      <c r="E7043" t="s">
        <v>397</v>
      </c>
      <c r="F7043" t="s">
        <v>725</v>
      </c>
      <c r="G7043">
        <v>2712000</v>
      </c>
      <c r="H7043">
        <v>2740000</v>
      </c>
    </row>
    <row r="7044" spans="2:8" x14ac:dyDescent="0.25">
      <c r="B7044" t="str">
        <f t="shared" si="109"/>
        <v>NORPopulation, total</v>
      </c>
      <c r="C7044" t="s">
        <v>594</v>
      </c>
      <c r="D7044" t="s">
        <v>107</v>
      </c>
      <c r="E7044" t="s">
        <v>398</v>
      </c>
      <c r="F7044" t="s">
        <v>726</v>
      </c>
      <c r="G7044">
        <v>5369000</v>
      </c>
      <c r="H7044">
        <v>5422000</v>
      </c>
    </row>
    <row r="7045" spans="2:8" x14ac:dyDescent="0.25">
      <c r="B7045" t="str">
        <f t="shared" si="109"/>
        <v>NORPopulation, female</v>
      </c>
      <c r="C7045" t="s">
        <v>594</v>
      </c>
      <c r="D7045" t="s">
        <v>107</v>
      </c>
      <c r="E7045" t="s">
        <v>396</v>
      </c>
      <c r="F7045" t="s">
        <v>727</v>
      </c>
      <c r="G7045">
        <v>2657000</v>
      </c>
      <c r="H7045">
        <v>2682000</v>
      </c>
    </row>
    <row r="7046" spans="2:8" x14ac:dyDescent="0.25">
      <c r="B7046" t="str">
        <f t="shared" si="109"/>
        <v>NORPopulation growth (annual %)</v>
      </c>
      <c r="C7046" t="s">
        <v>594</v>
      </c>
      <c r="D7046" t="s">
        <v>107</v>
      </c>
      <c r="E7046" t="s">
        <v>399</v>
      </c>
      <c r="F7046" t="s">
        <v>728</v>
      </c>
      <c r="G7046">
        <v>0</v>
      </c>
      <c r="H7046">
        <v>0</v>
      </c>
    </row>
    <row r="7047" spans="2:8" x14ac:dyDescent="0.25">
      <c r="B7047" t="str">
        <f t="shared" ref="B7047:B7110" si="110">CONCATENATE(D7047,E7047)</f>
        <v>INXPopulation ages 0-14, female</v>
      </c>
      <c r="C7047" t="s">
        <v>595</v>
      </c>
      <c r="D7047" t="s">
        <v>596</v>
      </c>
      <c r="E7047" t="s">
        <v>687</v>
      </c>
      <c r="F7047" t="s">
        <v>688</v>
      </c>
      <c r="G7047">
        <v>0</v>
      </c>
      <c r="H7047">
        <v>0</v>
      </c>
    </row>
    <row r="7048" spans="2:8" x14ac:dyDescent="0.25">
      <c r="B7048" t="str">
        <f t="shared" si="110"/>
        <v>INXPopulation ages 0-14, male</v>
      </c>
      <c r="C7048" t="s">
        <v>595</v>
      </c>
      <c r="D7048" t="s">
        <v>596</v>
      </c>
      <c r="E7048" t="s">
        <v>689</v>
      </c>
      <c r="F7048" t="s">
        <v>690</v>
      </c>
      <c r="G7048">
        <v>0</v>
      </c>
      <c r="H7048">
        <v>0</v>
      </c>
    </row>
    <row r="7049" spans="2:8" x14ac:dyDescent="0.25">
      <c r="B7049" t="str">
        <f t="shared" si="110"/>
        <v>INXPopulation ages 00-04, female</v>
      </c>
      <c r="C7049" t="s">
        <v>595</v>
      </c>
      <c r="D7049" t="s">
        <v>596</v>
      </c>
      <c r="E7049" t="s">
        <v>362</v>
      </c>
      <c r="F7049" t="s">
        <v>691</v>
      </c>
      <c r="G7049">
        <v>0</v>
      </c>
      <c r="H7049">
        <v>0</v>
      </c>
    </row>
    <row r="7050" spans="2:8" x14ac:dyDescent="0.25">
      <c r="B7050" t="str">
        <f t="shared" si="110"/>
        <v>INXPopulation ages 00-04, male</v>
      </c>
      <c r="C7050" t="s">
        <v>595</v>
      </c>
      <c r="D7050" t="s">
        <v>596</v>
      </c>
      <c r="E7050" t="s">
        <v>363</v>
      </c>
      <c r="F7050" t="s">
        <v>692</v>
      </c>
      <c r="G7050">
        <v>0</v>
      </c>
      <c r="H7050">
        <v>0</v>
      </c>
    </row>
    <row r="7051" spans="2:8" x14ac:dyDescent="0.25">
      <c r="B7051" t="str">
        <f t="shared" si="110"/>
        <v>INXPopulation ages 05-09, female</v>
      </c>
      <c r="C7051" t="s">
        <v>595</v>
      </c>
      <c r="D7051" t="s">
        <v>596</v>
      </c>
      <c r="E7051" t="s">
        <v>364</v>
      </c>
      <c r="F7051" t="s">
        <v>693</v>
      </c>
      <c r="G7051">
        <v>0</v>
      </c>
      <c r="H7051">
        <v>0</v>
      </c>
    </row>
    <row r="7052" spans="2:8" x14ac:dyDescent="0.25">
      <c r="B7052" t="str">
        <f t="shared" si="110"/>
        <v>INXPopulation ages 05-09, male</v>
      </c>
      <c r="C7052" t="s">
        <v>595</v>
      </c>
      <c r="D7052" t="s">
        <v>596</v>
      </c>
      <c r="E7052" t="s">
        <v>365</v>
      </c>
      <c r="F7052" t="s">
        <v>694</v>
      </c>
      <c r="G7052">
        <v>0</v>
      </c>
      <c r="H7052">
        <v>0</v>
      </c>
    </row>
    <row r="7053" spans="2:8" x14ac:dyDescent="0.25">
      <c r="B7053" t="str">
        <f t="shared" si="110"/>
        <v>INXPopulation ages 10-14, female</v>
      </c>
      <c r="C7053" t="s">
        <v>595</v>
      </c>
      <c r="D7053" t="s">
        <v>596</v>
      </c>
      <c r="E7053" t="s">
        <v>366</v>
      </c>
      <c r="F7053" t="s">
        <v>695</v>
      </c>
      <c r="G7053">
        <v>0</v>
      </c>
      <c r="H7053">
        <v>0</v>
      </c>
    </row>
    <row r="7054" spans="2:8" x14ac:dyDescent="0.25">
      <c r="B7054" t="str">
        <f t="shared" si="110"/>
        <v>INXPopulation ages 10-14, male</v>
      </c>
      <c r="C7054" t="s">
        <v>595</v>
      </c>
      <c r="D7054" t="s">
        <v>596</v>
      </c>
      <c r="E7054" t="s">
        <v>367</v>
      </c>
      <c r="F7054" t="s">
        <v>696</v>
      </c>
      <c r="G7054">
        <v>0</v>
      </c>
      <c r="H7054">
        <v>0</v>
      </c>
    </row>
    <row r="7055" spans="2:8" x14ac:dyDescent="0.25">
      <c r="B7055" t="str">
        <f t="shared" si="110"/>
        <v>INXPopulation ages 15-19, female</v>
      </c>
      <c r="C7055" t="s">
        <v>595</v>
      </c>
      <c r="D7055" t="s">
        <v>596</v>
      </c>
      <c r="E7055" t="s">
        <v>368</v>
      </c>
      <c r="F7055" t="s">
        <v>697</v>
      </c>
      <c r="G7055">
        <v>0</v>
      </c>
      <c r="H7055">
        <v>0</v>
      </c>
    </row>
    <row r="7056" spans="2:8" x14ac:dyDescent="0.25">
      <c r="B7056" t="str">
        <f t="shared" si="110"/>
        <v>INXPopulation ages 15-19, male</v>
      </c>
      <c r="C7056" t="s">
        <v>595</v>
      </c>
      <c r="D7056" t="s">
        <v>596</v>
      </c>
      <c r="E7056" t="s">
        <v>369</v>
      </c>
      <c r="F7056" t="s">
        <v>698</v>
      </c>
      <c r="G7056">
        <v>0</v>
      </c>
      <c r="H7056">
        <v>0</v>
      </c>
    </row>
    <row r="7057" spans="2:8" x14ac:dyDescent="0.25">
      <c r="B7057" t="str">
        <f t="shared" si="110"/>
        <v>INXPopulation ages 20-24, female</v>
      </c>
      <c r="C7057" t="s">
        <v>595</v>
      </c>
      <c r="D7057" t="s">
        <v>596</v>
      </c>
      <c r="E7057" t="s">
        <v>370</v>
      </c>
      <c r="F7057" t="s">
        <v>699</v>
      </c>
      <c r="G7057">
        <v>0</v>
      </c>
      <c r="H7057">
        <v>0</v>
      </c>
    </row>
    <row r="7058" spans="2:8" x14ac:dyDescent="0.25">
      <c r="B7058" t="str">
        <f t="shared" si="110"/>
        <v>INXPopulation ages 20-24, male</v>
      </c>
      <c r="C7058" t="s">
        <v>595</v>
      </c>
      <c r="D7058" t="s">
        <v>596</v>
      </c>
      <c r="E7058" t="s">
        <v>371</v>
      </c>
      <c r="F7058" t="s">
        <v>700</v>
      </c>
      <c r="G7058">
        <v>0</v>
      </c>
      <c r="H7058">
        <v>0</v>
      </c>
    </row>
    <row r="7059" spans="2:8" x14ac:dyDescent="0.25">
      <c r="B7059" t="str">
        <f t="shared" si="110"/>
        <v>INXPopulation ages 25-29, female</v>
      </c>
      <c r="C7059" t="s">
        <v>595</v>
      </c>
      <c r="D7059" t="s">
        <v>596</v>
      </c>
      <c r="E7059" t="s">
        <v>372</v>
      </c>
      <c r="F7059" t="s">
        <v>701</v>
      </c>
      <c r="G7059">
        <v>0</v>
      </c>
      <c r="H7059">
        <v>0</v>
      </c>
    </row>
    <row r="7060" spans="2:8" x14ac:dyDescent="0.25">
      <c r="B7060" t="str">
        <f t="shared" si="110"/>
        <v>INXPopulation ages 25-29, male</v>
      </c>
      <c r="C7060" t="s">
        <v>595</v>
      </c>
      <c r="D7060" t="s">
        <v>596</v>
      </c>
      <c r="E7060" t="s">
        <v>373</v>
      </c>
      <c r="F7060" t="s">
        <v>702</v>
      </c>
      <c r="G7060">
        <v>0</v>
      </c>
      <c r="H7060">
        <v>0</v>
      </c>
    </row>
    <row r="7061" spans="2:8" x14ac:dyDescent="0.25">
      <c r="B7061" t="str">
        <f t="shared" si="110"/>
        <v>INXPopulation ages 30-34, female</v>
      </c>
      <c r="C7061" t="s">
        <v>595</v>
      </c>
      <c r="D7061" t="s">
        <v>596</v>
      </c>
      <c r="E7061" t="s">
        <v>374</v>
      </c>
      <c r="F7061" t="s">
        <v>703</v>
      </c>
      <c r="G7061">
        <v>0</v>
      </c>
      <c r="H7061">
        <v>0</v>
      </c>
    </row>
    <row r="7062" spans="2:8" x14ac:dyDescent="0.25">
      <c r="B7062" t="str">
        <f t="shared" si="110"/>
        <v>INXPopulation ages 30-34, male</v>
      </c>
      <c r="C7062" t="s">
        <v>595</v>
      </c>
      <c r="D7062" t="s">
        <v>596</v>
      </c>
      <c r="E7062" t="s">
        <v>375</v>
      </c>
      <c r="F7062" t="s">
        <v>704</v>
      </c>
      <c r="G7062">
        <v>0</v>
      </c>
      <c r="H7062">
        <v>0</v>
      </c>
    </row>
    <row r="7063" spans="2:8" x14ac:dyDescent="0.25">
      <c r="B7063" t="str">
        <f t="shared" si="110"/>
        <v>INXPopulation ages 35-39, female</v>
      </c>
      <c r="C7063" t="s">
        <v>595</v>
      </c>
      <c r="D7063" t="s">
        <v>596</v>
      </c>
      <c r="E7063" t="s">
        <v>376</v>
      </c>
      <c r="F7063" t="s">
        <v>705</v>
      </c>
      <c r="G7063">
        <v>0</v>
      </c>
      <c r="H7063">
        <v>0</v>
      </c>
    </row>
    <row r="7064" spans="2:8" x14ac:dyDescent="0.25">
      <c r="B7064" t="str">
        <f t="shared" si="110"/>
        <v>INXPopulation ages 35-39, male</v>
      </c>
      <c r="C7064" t="s">
        <v>595</v>
      </c>
      <c r="D7064" t="s">
        <v>596</v>
      </c>
      <c r="E7064" t="s">
        <v>377</v>
      </c>
      <c r="F7064" t="s">
        <v>706</v>
      </c>
      <c r="G7064">
        <v>0</v>
      </c>
      <c r="H7064">
        <v>0</v>
      </c>
    </row>
    <row r="7065" spans="2:8" x14ac:dyDescent="0.25">
      <c r="B7065" t="str">
        <f t="shared" si="110"/>
        <v>INXPopulation ages 40-44, female</v>
      </c>
      <c r="C7065" t="s">
        <v>595</v>
      </c>
      <c r="D7065" t="s">
        <v>596</v>
      </c>
      <c r="E7065" t="s">
        <v>378</v>
      </c>
      <c r="F7065" t="s">
        <v>707</v>
      </c>
      <c r="G7065">
        <v>0</v>
      </c>
      <c r="H7065">
        <v>0</v>
      </c>
    </row>
    <row r="7066" spans="2:8" x14ac:dyDescent="0.25">
      <c r="B7066" t="str">
        <f t="shared" si="110"/>
        <v>INXPopulation ages 40-44, male</v>
      </c>
      <c r="C7066" t="s">
        <v>595</v>
      </c>
      <c r="D7066" t="s">
        <v>596</v>
      </c>
      <c r="E7066" t="s">
        <v>379</v>
      </c>
      <c r="F7066" t="s">
        <v>708</v>
      </c>
      <c r="G7066">
        <v>0</v>
      </c>
      <c r="H7066">
        <v>0</v>
      </c>
    </row>
    <row r="7067" spans="2:8" x14ac:dyDescent="0.25">
      <c r="B7067" t="str">
        <f t="shared" si="110"/>
        <v>INXPopulation ages 45-49, female</v>
      </c>
      <c r="C7067" t="s">
        <v>595</v>
      </c>
      <c r="D7067" t="s">
        <v>596</v>
      </c>
      <c r="E7067" t="s">
        <v>380</v>
      </c>
      <c r="F7067" t="s">
        <v>709</v>
      </c>
      <c r="G7067">
        <v>0</v>
      </c>
      <c r="H7067">
        <v>0</v>
      </c>
    </row>
    <row r="7068" spans="2:8" x14ac:dyDescent="0.25">
      <c r="B7068" t="str">
        <f t="shared" si="110"/>
        <v>INXPopulation ages 45-49, male</v>
      </c>
      <c r="C7068" t="s">
        <v>595</v>
      </c>
      <c r="D7068" t="s">
        <v>596</v>
      </c>
      <c r="E7068" t="s">
        <v>381</v>
      </c>
      <c r="F7068" t="s">
        <v>710</v>
      </c>
      <c r="G7068">
        <v>0</v>
      </c>
      <c r="H7068">
        <v>0</v>
      </c>
    </row>
    <row r="7069" spans="2:8" x14ac:dyDescent="0.25">
      <c r="B7069" t="str">
        <f t="shared" si="110"/>
        <v>INXPopulation ages 50-54, female</v>
      </c>
      <c r="C7069" t="s">
        <v>595</v>
      </c>
      <c r="D7069" t="s">
        <v>596</v>
      </c>
      <c r="E7069" t="s">
        <v>382</v>
      </c>
      <c r="F7069" t="s">
        <v>711</v>
      </c>
      <c r="G7069">
        <v>0</v>
      </c>
      <c r="H7069">
        <v>0</v>
      </c>
    </row>
    <row r="7070" spans="2:8" x14ac:dyDescent="0.25">
      <c r="B7070" t="str">
        <f t="shared" si="110"/>
        <v>INXPopulation ages 50-54, male</v>
      </c>
      <c r="C7070" t="s">
        <v>595</v>
      </c>
      <c r="D7070" t="s">
        <v>596</v>
      </c>
      <c r="E7070" t="s">
        <v>383</v>
      </c>
      <c r="F7070" t="s">
        <v>712</v>
      </c>
      <c r="G7070">
        <v>0</v>
      </c>
      <c r="H7070">
        <v>0</v>
      </c>
    </row>
    <row r="7071" spans="2:8" x14ac:dyDescent="0.25">
      <c r="B7071" t="str">
        <f t="shared" si="110"/>
        <v>INXPopulation ages 55-59, male</v>
      </c>
      <c r="C7071" t="s">
        <v>595</v>
      </c>
      <c r="D7071" t="s">
        <v>596</v>
      </c>
      <c r="E7071" t="s">
        <v>385</v>
      </c>
      <c r="F7071" t="s">
        <v>713</v>
      </c>
      <c r="G7071">
        <v>0</v>
      </c>
      <c r="H7071">
        <v>0</v>
      </c>
    </row>
    <row r="7072" spans="2:8" x14ac:dyDescent="0.25">
      <c r="B7072" t="str">
        <f t="shared" si="110"/>
        <v>INXPopulation ages 55-59, female</v>
      </c>
      <c r="C7072" t="s">
        <v>595</v>
      </c>
      <c r="D7072" t="s">
        <v>596</v>
      </c>
      <c r="E7072" t="s">
        <v>384</v>
      </c>
      <c r="F7072" t="s">
        <v>714</v>
      </c>
      <c r="G7072">
        <v>0</v>
      </c>
      <c r="H7072">
        <v>0</v>
      </c>
    </row>
    <row r="7073" spans="2:8" x14ac:dyDescent="0.25">
      <c r="B7073" t="str">
        <f t="shared" si="110"/>
        <v>INXPopulation ages 65-69, male</v>
      </c>
      <c r="C7073" t="s">
        <v>595</v>
      </c>
      <c r="D7073" t="s">
        <v>596</v>
      </c>
      <c r="E7073" t="s">
        <v>389</v>
      </c>
      <c r="F7073" t="s">
        <v>715</v>
      </c>
      <c r="G7073">
        <v>0</v>
      </c>
      <c r="H7073">
        <v>0</v>
      </c>
    </row>
    <row r="7074" spans="2:8" x14ac:dyDescent="0.25">
      <c r="B7074" t="str">
        <f t="shared" si="110"/>
        <v>INXPopulation ages 65-69, female</v>
      </c>
      <c r="C7074" t="s">
        <v>595</v>
      </c>
      <c r="D7074" t="s">
        <v>596</v>
      </c>
      <c r="E7074" t="s">
        <v>388</v>
      </c>
      <c r="F7074" t="s">
        <v>716</v>
      </c>
      <c r="G7074">
        <v>0</v>
      </c>
      <c r="H7074">
        <v>0</v>
      </c>
    </row>
    <row r="7075" spans="2:8" x14ac:dyDescent="0.25">
      <c r="B7075" t="str">
        <f t="shared" si="110"/>
        <v>INXPopulation ages 60-64, female</v>
      </c>
      <c r="C7075" t="s">
        <v>595</v>
      </c>
      <c r="D7075" t="s">
        <v>596</v>
      </c>
      <c r="E7075" t="s">
        <v>386</v>
      </c>
      <c r="F7075" t="s">
        <v>717</v>
      </c>
      <c r="G7075">
        <v>0</v>
      </c>
      <c r="H7075">
        <v>0</v>
      </c>
    </row>
    <row r="7076" spans="2:8" x14ac:dyDescent="0.25">
      <c r="B7076" t="str">
        <f t="shared" si="110"/>
        <v>INXPopulation ages 60-64, male</v>
      </c>
      <c r="C7076" t="s">
        <v>595</v>
      </c>
      <c r="D7076" t="s">
        <v>596</v>
      </c>
      <c r="E7076" t="s">
        <v>387</v>
      </c>
      <c r="F7076" t="s">
        <v>718</v>
      </c>
      <c r="G7076">
        <v>0</v>
      </c>
      <c r="H7076">
        <v>0</v>
      </c>
    </row>
    <row r="7077" spans="2:8" x14ac:dyDescent="0.25">
      <c r="B7077" t="str">
        <f t="shared" si="110"/>
        <v>INXPopulation ages 70-74, female</v>
      </c>
      <c r="C7077" t="s">
        <v>595</v>
      </c>
      <c r="D7077" t="s">
        <v>596</v>
      </c>
      <c r="E7077" t="s">
        <v>390</v>
      </c>
      <c r="F7077" t="s">
        <v>719</v>
      </c>
      <c r="G7077">
        <v>0</v>
      </c>
      <c r="H7077">
        <v>0</v>
      </c>
    </row>
    <row r="7078" spans="2:8" x14ac:dyDescent="0.25">
      <c r="B7078" t="str">
        <f t="shared" si="110"/>
        <v>INXPopulation ages 70-74, male</v>
      </c>
      <c r="C7078" t="s">
        <v>595</v>
      </c>
      <c r="D7078" t="s">
        <v>596</v>
      </c>
      <c r="E7078" t="s">
        <v>391</v>
      </c>
      <c r="F7078" t="s">
        <v>720</v>
      </c>
      <c r="G7078">
        <v>0</v>
      </c>
      <c r="H7078">
        <v>0</v>
      </c>
    </row>
    <row r="7079" spans="2:8" x14ac:dyDescent="0.25">
      <c r="B7079" t="str">
        <f t="shared" si="110"/>
        <v>INXPopulation ages 75-79, female</v>
      </c>
      <c r="C7079" t="s">
        <v>595</v>
      </c>
      <c r="D7079" t="s">
        <v>596</v>
      </c>
      <c r="E7079" t="s">
        <v>392</v>
      </c>
      <c r="F7079" t="s">
        <v>721</v>
      </c>
      <c r="G7079">
        <v>0</v>
      </c>
      <c r="H7079">
        <v>0</v>
      </c>
    </row>
    <row r="7080" spans="2:8" x14ac:dyDescent="0.25">
      <c r="B7080" t="str">
        <f t="shared" si="110"/>
        <v>INXPopulation ages 75-79, male</v>
      </c>
      <c r="C7080" t="s">
        <v>595</v>
      </c>
      <c r="D7080" t="s">
        <v>596</v>
      </c>
      <c r="E7080" t="s">
        <v>393</v>
      </c>
      <c r="F7080" t="s">
        <v>722</v>
      </c>
      <c r="G7080">
        <v>0</v>
      </c>
      <c r="H7080">
        <v>0</v>
      </c>
    </row>
    <row r="7081" spans="2:8" x14ac:dyDescent="0.25">
      <c r="B7081" t="str">
        <f t="shared" si="110"/>
        <v>INXPopulation ages 80 and above, female</v>
      </c>
      <c r="C7081" t="s">
        <v>595</v>
      </c>
      <c r="D7081" t="s">
        <v>596</v>
      </c>
      <c r="E7081" t="s">
        <v>394</v>
      </c>
      <c r="F7081" t="s">
        <v>723</v>
      </c>
      <c r="G7081">
        <v>0</v>
      </c>
      <c r="H7081">
        <v>0</v>
      </c>
    </row>
    <row r="7082" spans="2:8" x14ac:dyDescent="0.25">
      <c r="B7082" t="str">
        <f t="shared" si="110"/>
        <v>INXPopulation ages 80 and above, male</v>
      </c>
      <c r="C7082" t="s">
        <v>595</v>
      </c>
      <c r="D7082" t="s">
        <v>596</v>
      </c>
      <c r="E7082" t="s">
        <v>395</v>
      </c>
      <c r="F7082" t="s">
        <v>724</v>
      </c>
      <c r="G7082">
        <v>0</v>
      </c>
      <c r="H7082">
        <v>0</v>
      </c>
    </row>
    <row r="7083" spans="2:8" x14ac:dyDescent="0.25">
      <c r="B7083" t="str">
        <f t="shared" si="110"/>
        <v>INXPopulation, male</v>
      </c>
      <c r="C7083" t="s">
        <v>595</v>
      </c>
      <c r="D7083" t="s">
        <v>596</v>
      </c>
      <c r="E7083" t="s">
        <v>397</v>
      </c>
      <c r="F7083" t="s">
        <v>725</v>
      </c>
      <c r="G7083">
        <v>0</v>
      </c>
      <c r="H7083">
        <v>0</v>
      </c>
    </row>
    <row r="7084" spans="2:8" x14ac:dyDescent="0.25">
      <c r="B7084" t="str">
        <f t="shared" si="110"/>
        <v>INXPopulation, total</v>
      </c>
      <c r="C7084" t="s">
        <v>595</v>
      </c>
      <c r="D7084" t="s">
        <v>596</v>
      </c>
      <c r="E7084" t="s">
        <v>398</v>
      </c>
      <c r="F7084" t="s">
        <v>726</v>
      </c>
      <c r="G7084">
        <v>0</v>
      </c>
      <c r="H7084">
        <v>0</v>
      </c>
    </row>
    <row r="7085" spans="2:8" x14ac:dyDescent="0.25">
      <c r="B7085" t="str">
        <f t="shared" si="110"/>
        <v>INXPopulation, female</v>
      </c>
      <c r="C7085" t="s">
        <v>595</v>
      </c>
      <c r="D7085" t="s">
        <v>596</v>
      </c>
      <c r="E7085" t="s">
        <v>396</v>
      </c>
      <c r="F7085" t="s">
        <v>727</v>
      </c>
      <c r="G7085">
        <v>0</v>
      </c>
      <c r="H7085">
        <v>0</v>
      </c>
    </row>
    <row r="7086" spans="2:8" x14ac:dyDescent="0.25">
      <c r="B7086" t="str">
        <f t="shared" si="110"/>
        <v>INXPopulation growth (annual %)</v>
      </c>
      <c r="C7086" t="s">
        <v>595</v>
      </c>
      <c r="D7086" t="s">
        <v>596</v>
      </c>
      <c r="E7086" t="s">
        <v>399</v>
      </c>
      <c r="F7086" t="s">
        <v>728</v>
      </c>
      <c r="G7086">
        <v>0</v>
      </c>
      <c r="H7086">
        <v>0</v>
      </c>
    </row>
    <row r="7087" spans="2:8" x14ac:dyDescent="0.25">
      <c r="B7087" t="str">
        <f t="shared" si="110"/>
        <v>OEDPopulation ages 0-14, female</v>
      </c>
      <c r="C7087" t="s">
        <v>597</v>
      </c>
      <c r="D7087" t="s">
        <v>598</v>
      </c>
      <c r="E7087" t="s">
        <v>687</v>
      </c>
      <c r="F7087" t="s">
        <v>688</v>
      </c>
      <c r="G7087">
        <v>113180000</v>
      </c>
      <c r="H7087">
        <v>112846000</v>
      </c>
    </row>
    <row r="7088" spans="2:8" x14ac:dyDescent="0.25">
      <c r="B7088" t="str">
        <f t="shared" si="110"/>
        <v>OEDPopulation ages 0-14, male</v>
      </c>
      <c r="C7088" t="s">
        <v>597</v>
      </c>
      <c r="D7088" t="s">
        <v>598</v>
      </c>
      <c r="E7088" t="s">
        <v>689</v>
      </c>
      <c r="F7088" t="s">
        <v>690</v>
      </c>
      <c r="G7088">
        <v>118852000</v>
      </c>
      <c r="H7088">
        <v>118513000</v>
      </c>
    </row>
    <row r="7089" spans="2:8" x14ac:dyDescent="0.25">
      <c r="B7089" t="str">
        <f t="shared" si="110"/>
        <v>OEDPopulation ages 00-04, female</v>
      </c>
      <c r="C7089" t="s">
        <v>597</v>
      </c>
      <c r="D7089" t="s">
        <v>598</v>
      </c>
      <c r="E7089" t="s">
        <v>362</v>
      </c>
      <c r="F7089" t="s">
        <v>691</v>
      </c>
      <c r="G7089">
        <v>36572000</v>
      </c>
      <c r="H7089">
        <v>36385000</v>
      </c>
    </row>
    <row r="7090" spans="2:8" x14ac:dyDescent="0.25">
      <c r="B7090" t="str">
        <f t="shared" si="110"/>
        <v>OEDPopulation ages 00-04, male</v>
      </c>
      <c r="C7090" t="s">
        <v>597</v>
      </c>
      <c r="D7090" t="s">
        <v>598</v>
      </c>
      <c r="E7090" t="s">
        <v>363</v>
      </c>
      <c r="F7090" t="s">
        <v>692</v>
      </c>
      <c r="G7090">
        <v>38394000</v>
      </c>
      <c r="H7090">
        <v>38198000</v>
      </c>
    </row>
    <row r="7091" spans="2:8" x14ac:dyDescent="0.25">
      <c r="B7091" t="str">
        <f t="shared" si="110"/>
        <v>OEDPopulation ages 05-09, female</v>
      </c>
      <c r="C7091" t="s">
        <v>597</v>
      </c>
      <c r="D7091" t="s">
        <v>598</v>
      </c>
      <c r="E7091" t="s">
        <v>364</v>
      </c>
      <c r="F7091" t="s">
        <v>693</v>
      </c>
      <c r="G7091">
        <v>38054000</v>
      </c>
      <c r="H7091">
        <v>37845000</v>
      </c>
    </row>
    <row r="7092" spans="2:8" x14ac:dyDescent="0.25">
      <c r="B7092" t="str">
        <f t="shared" si="110"/>
        <v>OEDPopulation ages 05-09, male</v>
      </c>
      <c r="C7092" t="s">
        <v>597</v>
      </c>
      <c r="D7092" t="s">
        <v>598</v>
      </c>
      <c r="E7092" t="s">
        <v>365</v>
      </c>
      <c r="F7092" t="s">
        <v>694</v>
      </c>
      <c r="G7092">
        <v>39961000</v>
      </c>
      <c r="H7092">
        <v>39742000</v>
      </c>
    </row>
    <row r="7093" spans="2:8" x14ac:dyDescent="0.25">
      <c r="B7093" t="str">
        <f t="shared" si="110"/>
        <v>OEDPopulation ages 10-14, female</v>
      </c>
      <c r="C7093" t="s">
        <v>597</v>
      </c>
      <c r="D7093" t="s">
        <v>598</v>
      </c>
      <c r="E7093" t="s">
        <v>366</v>
      </c>
      <c r="F7093" t="s">
        <v>695</v>
      </c>
      <c r="G7093">
        <v>38552000</v>
      </c>
      <c r="H7093">
        <v>38611000</v>
      </c>
    </row>
    <row r="7094" spans="2:8" x14ac:dyDescent="0.25">
      <c r="B7094" t="str">
        <f t="shared" si="110"/>
        <v>OEDPopulation ages 10-14, male</v>
      </c>
      <c r="C7094" t="s">
        <v>597</v>
      </c>
      <c r="D7094" t="s">
        <v>598</v>
      </c>
      <c r="E7094" t="s">
        <v>367</v>
      </c>
      <c r="F7094" t="s">
        <v>696</v>
      </c>
      <c r="G7094">
        <v>40493000</v>
      </c>
      <c r="H7094">
        <v>40576000</v>
      </c>
    </row>
    <row r="7095" spans="2:8" x14ac:dyDescent="0.25">
      <c r="B7095" t="str">
        <f t="shared" si="110"/>
        <v>OEDPopulation ages 15-19, female</v>
      </c>
      <c r="C7095" t="s">
        <v>597</v>
      </c>
      <c r="D7095" t="s">
        <v>598</v>
      </c>
      <c r="E7095" t="s">
        <v>368</v>
      </c>
      <c r="F7095" t="s">
        <v>697</v>
      </c>
      <c r="G7095">
        <v>38615000</v>
      </c>
      <c r="H7095">
        <v>38543000</v>
      </c>
    </row>
    <row r="7096" spans="2:8" x14ac:dyDescent="0.25">
      <c r="B7096" t="str">
        <f t="shared" si="110"/>
        <v>OEDPopulation ages 15-19, male</v>
      </c>
      <c r="C7096" t="s">
        <v>597</v>
      </c>
      <c r="D7096" t="s">
        <v>598</v>
      </c>
      <c r="E7096" t="s">
        <v>369</v>
      </c>
      <c r="F7096" t="s">
        <v>698</v>
      </c>
      <c r="G7096">
        <v>40433000</v>
      </c>
      <c r="H7096">
        <v>40385000</v>
      </c>
    </row>
    <row r="7097" spans="2:8" x14ac:dyDescent="0.25">
      <c r="B7097" t="str">
        <f t="shared" si="110"/>
        <v>OEDPopulation ages 20-24, female</v>
      </c>
      <c r="C7097" t="s">
        <v>597</v>
      </c>
      <c r="D7097" t="s">
        <v>598</v>
      </c>
      <c r="E7097" t="s">
        <v>370</v>
      </c>
      <c r="F7097" t="s">
        <v>699</v>
      </c>
      <c r="G7097">
        <v>40678000</v>
      </c>
      <c r="H7097">
        <v>40371000</v>
      </c>
    </row>
    <row r="7098" spans="2:8" x14ac:dyDescent="0.25">
      <c r="B7098" t="str">
        <f t="shared" si="110"/>
        <v>OEDPopulation ages 20-24, male</v>
      </c>
      <c r="C7098" t="s">
        <v>597</v>
      </c>
      <c r="D7098" t="s">
        <v>598</v>
      </c>
      <c r="E7098" t="s">
        <v>371</v>
      </c>
      <c r="F7098" t="s">
        <v>700</v>
      </c>
      <c r="G7098">
        <v>42409000</v>
      </c>
      <c r="H7098">
        <v>42073000</v>
      </c>
    </row>
    <row r="7099" spans="2:8" x14ac:dyDescent="0.25">
      <c r="B7099" t="str">
        <f t="shared" si="110"/>
        <v>OEDPopulation ages 25-29, female</v>
      </c>
      <c r="C7099" t="s">
        <v>597</v>
      </c>
      <c r="D7099" t="s">
        <v>598</v>
      </c>
      <c r="E7099" t="s">
        <v>372</v>
      </c>
      <c r="F7099" t="s">
        <v>701</v>
      </c>
      <c r="G7099">
        <v>42848000</v>
      </c>
      <c r="H7099">
        <v>42767000</v>
      </c>
    </row>
    <row r="7100" spans="2:8" x14ac:dyDescent="0.25">
      <c r="B7100" t="str">
        <f t="shared" si="110"/>
        <v>OEDPopulation ages 25-29, male</v>
      </c>
      <c r="C7100" t="s">
        <v>597</v>
      </c>
      <c r="D7100" t="s">
        <v>598</v>
      </c>
      <c r="E7100" t="s">
        <v>373</v>
      </c>
      <c r="F7100" t="s">
        <v>702</v>
      </c>
      <c r="G7100">
        <v>44456000</v>
      </c>
      <c r="H7100">
        <v>44446000</v>
      </c>
    </row>
    <row r="7101" spans="2:8" x14ac:dyDescent="0.25">
      <c r="B7101" t="str">
        <f t="shared" si="110"/>
        <v>OEDPopulation ages 30-34, female</v>
      </c>
      <c r="C7101" t="s">
        <v>597</v>
      </c>
      <c r="D7101" t="s">
        <v>598</v>
      </c>
      <c r="E7101" t="s">
        <v>374</v>
      </c>
      <c r="F7101" t="s">
        <v>703</v>
      </c>
      <c r="G7101">
        <v>43499000</v>
      </c>
      <c r="H7101">
        <v>43498000</v>
      </c>
    </row>
    <row r="7102" spans="2:8" x14ac:dyDescent="0.25">
      <c r="B7102" t="str">
        <f t="shared" si="110"/>
        <v>OEDPopulation ages 30-34, male</v>
      </c>
      <c r="C7102" t="s">
        <v>597</v>
      </c>
      <c r="D7102" t="s">
        <v>598</v>
      </c>
      <c r="E7102" t="s">
        <v>375</v>
      </c>
      <c r="F7102" t="s">
        <v>704</v>
      </c>
      <c r="G7102">
        <v>44300000</v>
      </c>
      <c r="H7102">
        <v>44438000</v>
      </c>
    </row>
    <row r="7103" spans="2:8" x14ac:dyDescent="0.25">
      <c r="B7103" t="str">
        <f t="shared" si="110"/>
        <v>OEDPopulation ages 35-39, female</v>
      </c>
      <c r="C7103" t="s">
        <v>597</v>
      </c>
      <c r="D7103" t="s">
        <v>598</v>
      </c>
      <c r="E7103" t="s">
        <v>376</v>
      </c>
      <c r="F7103" t="s">
        <v>705</v>
      </c>
      <c r="G7103">
        <v>44032000</v>
      </c>
      <c r="H7103">
        <v>44133000</v>
      </c>
    </row>
    <row r="7104" spans="2:8" x14ac:dyDescent="0.25">
      <c r="B7104" t="str">
        <f t="shared" si="110"/>
        <v>OEDPopulation ages 35-39, male</v>
      </c>
      <c r="C7104" t="s">
        <v>597</v>
      </c>
      <c r="D7104" t="s">
        <v>598</v>
      </c>
      <c r="E7104" t="s">
        <v>377</v>
      </c>
      <c r="F7104" t="s">
        <v>706</v>
      </c>
      <c r="G7104">
        <v>44174000</v>
      </c>
      <c r="H7104">
        <v>44378000</v>
      </c>
    </row>
    <row r="7105" spans="2:8" x14ac:dyDescent="0.25">
      <c r="B7105" t="str">
        <f t="shared" si="110"/>
        <v>OEDPopulation ages 40-44, female</v>
      </c>
      <c r="C7105" t="s">
        <v>597</v>
      </c>
      <c r="D7105" t="s">
        <v>598</v>
      </c>
      <c r="E7105" t="s">
        <v>378</v>
      </c>
      <c r="F7105" t="s">
        <v>707</v>
      </c>
      <c r="G7105">
        <v>43867000</v>
      </c>
      <c r="H7105">
        <v>43780000</v>
      </c>
    </row>
    <row r="7106" spans="2:8" x14ac:dyDescent="0.25">
      <c r="B7106" t="str">
        <f t="shared" si="110"/>
        <v>OEDPopulation ages 40-44, male</v>
      </c>
      <c r="C7106" t="s">
        <v>597</v>
      </c>
      <c r="D7106" t="s">
        <v>598</v>
      </c>
      <c r="E7106" t="s">
        <v>379</v>
      </c>
      <c r="F7106" t="s">
        <v>708</v>
      </c>
      <c r="G7106">
        <v>43622000</v>
      </c>
      <c r="H7106">
        <v>43565000</v>
      </c>
    </row>
    <row r="7107" spans="2:8" x14ac:dyDescent="0.25">
      <c r="B7107" t="str">
        <f t="shared" si="110"/>
        <v>OEDPopulation ages 45-49, female</v>
      </c>
      <c r="C7107" t="s">
        <v>597</v>
      </c>
      <c r="D7107" t="s">
        <v>598</v>
      </c>
      <c r="E7107" t="s">
        <v>380</v>
      </c>
      <c r="F7107" t="s">
        <v>709</v>
      </c>
      <c r="G7107">
        <v>44622000</v>
      </c>
      <c r="H7107">
        <v>44604000</v>
      </c>
    </row>
    <row r="7108" spans="2:8" x14ac:dyDescent="0.25">
      <c r="B7108" t="str">
        <f t="shared" si="110"/>
        <v>OEDPopulation ages 45-49, male</v>
      </c>
      <c r="C7108" t="s">
        <v>597</v>
      </c>
      <c r="D7108" t="s">
        <v>598</v>
      </c>
      <c r="E7108" t="s">
        <v>381</v>
      </c>
      <c r="F7108" t="s">
        <v>710</v>
      </c>
      <c r="G7108">
        <v>44201000</v>
      </c>
      <c r="H7108">
        <v>44174000</v>
      </c>
    </row>
    <row r="7109" spans="2:8" x14ac:dyDescent="0.25">
      <c r="B7109" t="str">
        <f t="shared" si="110"/>
        <v>OEDPopulation ages 50-54, female</v>
      </c>
      <c r="C7109" t="s">
        <v>597</v>
      </c>
      <c r="D7109" t="s">
        <v>598</v>
      </c>
      <c r="E7109" t="s">
        <v>382</v>
      </c>
      <c r="F7109" t="s">
        <v>711</v>
      </c>
      <c r="G7109">
        <v>43886000</v>
      </c>
      <c r="H7109">
        <v>43913000</v>
      </c>
    </row>
    <row r="7110" spans="2:8" x14ac:dyDescent="0.25">
      <c r="B7110" t="str">
        <f t="shared" si="110"/>
        <v>OEDPopulation ages 50-54, male</v>
      </c>
      <c r="C7110" t="s">
        <v>597</v>
      </c>
      <c r="D7110" t="s">
        <v>598</v>
      </c>
      <c r="E7110" t="s">
        <v>383</v>
      </c>
      <c r="F7110" t="s">
        <v>712</v>
      </c>
      <c r="G7110">
        <v>43225000</v>
      </c>
      <c r="H7110">
        <v>43249000</v>
      </c>
    </row>
    <row r="7111" spans="2:8" x14ac:dyDescent="0.25">
      <c r="B7111" t="str">
        <f t="shared" ref="B7111:B7174" si="111">CONCATENATE(D7111,E7111)</f>
        <v>OEDPopulation ages 55-59, male</v>
      </c>
      <c r="C7111" t="s">
        <v>597</v>
      </c>
      <c r="D7111" t="s">
        <v>598</v>
      </c>
      <c r="E7111" t="s">
        <v>385</v>
      </c>
      <c r="F7111" t="s">
        <v>713</v>
      </c>
      <c r="G7111">
        <v>41500000</v>
      </c>
      <c r="H7111">
        <v>41859000</v>
      </c>
    </row>
    <row r="7112" spans="2:8" x14ac:dyDescent="0.25">
      <c r="B7112" t="str">
        <f t="shared" si="111"/>
        <v>OEDPopulation ages 55-59, female</v>
      </c>
      <c r="C7112" t="s">
        <v>597</v>
      </c>
      <c r="D7112" t="s">
        <v>598</v>
      </c>
      <c r="E7112" t="s">
        <v>384</v>
      </c>
      <c r="F7112" t="s">
        <v>714</v>
      </c>
      <c r="G7112">
        <v>42795000</v>
      </c>
      <c r="H7112">
        <v>43077000</v>
      </c>
    </row>
    <row r="7113" spans="2:8" x14ac:dyDescent="0.25">
      <c r="B7113" t="str">
        <f t="shared" si="111"/>
        <v>OEDPopulation ages 65-69, male</v>
      </c>
      <c r="C7113" t="s">
        <v>597</v>
      </c>
      <c r="D7113" t="s">
        <v>598</v>
      </c>
      <c r="E7113" t="s">
        <v>389</v>
      </c>
      <c r="F7113" t="s">
        <v>715</v>
      </c>
      <c r="G7113">
        <v>31900800</v>
      </c>
      <c r="H7113">
        <v>32328000</v>
      </c>
    </row>
    <row r="7114" spans="2:8" x14ac:dyDescent="0.25">
      <c r="B7114" t="str">
        <f t="shared" si="111"/>
        <v>OEDPopulation ages 65-69, female</v>
      </c>
      <c r="C7114" t="s">
        <v>597</v>
      </c>
      <c r="D7114" t="s">
        <v>598</v>
      </c>
      <c r="E7114" t="s">
        <v>388</v>
      </c>
      <c r="F7114" t="s">
        <v>716</v>
      </c>
      <c r="G7114">
        <v>35370700</v>
      </c>
      <c r="H7114">
        <v>35826000</v>
      </c>
    </row>
    <row r="7115" spans="2:8" x14ac:dyDescent="0.25">
      <c r="B7115" t="str">
        <f t="shared" si="111"/>
        <v>OEDPopulation ages 60-64, female</v>
      </c>
      <c r="C7115" t="s">
        <v>597</v>
      </c>
      <c r="D7115" t="s">
        <v>598</v>
      </c>
      <c r="E7115" t="s">
        <v>386</v>
      </c>
      <c r="F7115" t="s">
        <v>717</v>
      </c>
      <c r="G7115">
        <v>39400000</v>
      </c>
      <c r="H7115">
        <v>39948000</v>
      </c>
    </row>
    <row r="7116" spans="2:8" x14ac:dyDescent="0.25">
      <c r="B7116" t="str">
        <f t="shared" si="111"/>
        <v>OEDPopulation ages 60-64, male</v>
      </c>
      <c r="C7116" t="s">
        <v>597</v>
      </c>
      <c r="D7116" t="s">
        <v>598</v>
      </c>
      <c r="E7116" t="s">
        <v>387</v>
      </c>
      <c r="F7116" t="s">
        <v>718</v>
      </c>
      <c r="G7116">
        <v>36918000</v>
      </c>
      <c r="H7116">
        <v>37543000</v>
      </c>
    </row>
    <row r="7117" spans="2:8" x14ac:dyDescent="0.25">
      <c r="B7117" t="str">
        <f t="shared" si="111"/>
        <v>OEDPopulation ages 70-74, female</v>
      </c>
      <c r="C7117" t="s">
        <v>597</v>
      </c>
      <c r="D7117" t="s">
        <v>598</v>
      </c>
      <c r="E7117" t="s">
        <v>390</v>
      </c>
      <c r="F7117" t="s">
        <v>719</v>
      </c>
      <c r="G7117">
        <v>30717000</v>
      </c>
      <c r="H7117">
        <v>31631300</v>
      </c>
    </row>
    <row r="7118" spans="2:8" x14ac:dyDescent="0.25">
      <c r="B7118" t="str">
        <f t="shared" si="111"/>
        <v>OEDPopulation ages 70-74, male</v>
      </c>
      <c r="C7118" t="s">
        <v>597</v>
      </c>
      <c r="D7118" t="s">
        <v>598</v>
      </c>
      <c r="E7118" t="s">
        <v>391</v>
      </c>
      <c r="F7118" t="s">
        <v>720</v>
      </c>
      <c r="G7118">
        <v>26581000</v>
      </c>
      <c r="H7118">
        <v>27408400</v>
      </c>
    </row>
    <row r="7119" spans="2:8" x14ac:dyDescent="0.25">
      <c r="B7119" t="str">
        <f t="shared" si="111"/>
        <v>OEDPopulation ages 75-79, female</v>
      </c>
      <c r="C7119" t="s">
        <v>597</v>
      </c>
      <c r="D7119" t="s">
        <v>598</v>
      </c>
      <c r="E7119" t="s">
        <v>392</v>
      </c>
      <c r="F7119" t="s">
        <v>721</v>
      </c>
      <c r="G7119">
        <v>23191500</v>
      </c>
      <c r="H7119">
        <v>23942700</v>
      </c>
    </row>
    <row r="7120" spans="2:8" x14ac:dyDescent="0.25">
      <c r="B7120" t="str">
        <f t="shared" si="111"/>
        <v>OEDPopulation ages 75-79, male</v>
      </c>
      <c r="C7120" t="s">
        <v>597</v>
      </c>
      <c r="D7120" t="s">
        <v>598</v>
      </c>
      <c r="E7120" t="s">
        <v>393</v>
      </c>
      <c r="F7120" t="s">
        <v>722</v>
      </c>
      <c r="G7120">
        <v>18455200</v>
      </c>
      <c r="H7120">
        <v>19144700</v>
      </c>
    </row>
    <row r="7121" spans="2:8" x14ac:dyDescent="0.25">
      <c r="B7121" t="str">
        <f t="shared" si="111"/>
        <v>OEDPopulation ages 80 and above, female</v>
      </c>
      <c r="C7121" t="s">
        <v>597</v>
      </c>
      <c r="D7121" t="s">
        <v>598</v>
      </c>
      <c r="E7121" t="s">
        <v>394</v>
      </c>
      <c r="F7121" t="s">
        <v>723</v>
      </c>
      <c r="G7121">
        <v>38601700</v>
      </c>
      <c r="H7121">
        <v>39265800</v>
      </c>
    </row>
    <row r="7122" spans="2:8" x14ac:dyDescent="0.25">
      <c r="B7122" t="str">
        <f t="shared" si="111"/>
        <v>OEDPopulation ages 80 and above, male</v>
      </c>
      <c r="C7122" t="s">
        <v>597</v>
      </c>
      <c r="D7122" t="s">
        <v>598</v>
      </c>
      <c r="E7122" t="s">
        <v>395</v>
      </c>
      <c r="F7122" t="s">
        <v>724</v>
      </c>
      <c r="G7122">
        <v>23354000</v>
      </c>
      <c r="H7122">
        <v>23880200</v>
      </c>
    </row>
    <row r="7123" spans="2:8" x14ac:dyDescent="0.25">
      <c r="B7123" t="str">
        <f t="shared" si="111"/>
        <v>OEDPopulation, male</v>
      </c>
      <c r="C7123" t="s">
        <v>597</v>
      </c>
      <c r="D7123" t="s">
        <v>598</v>
      </c>
      <c r="E7123" t="s">
        <v>397</v>
      </c>
      <c r="F7123" t="s">
        <v>725</v>
      </c>
      <c r="G7123">
        <v>644378000</v>
      </c>
      <c r="H7123">
        <v>647384000</v>
      </c>
    </row>
    <row r="7124" spans="2:8" x14ac:dyDescent="0.25">
      <c r="B7124" t="str">
        <f t="shared" si="111"/>
        <v>OEDPopulation, total</v>
      </c>
      <c r="C7124" t="s">
        <v>597</v>
      </c>
      <c r="D7124" t="s">
        <v>598</v>
      </c>
      <c r="E7124" t="s">
        <v>398</v>
      </c>
      <c r="F7124" t="s">
        <v>726</v>
      </c>
      <c r="G7124">
        <v>1309686000</v>
      </c>
      <c r="H7124">
        <v>1315534000</v>
      </c>
    </row>
    <row r="7125" spans="2:8" x14ac:dyDescent="0.25">
      <c r="B7125" t="str">
        <f t="shared" si="111"/>
        <v>OEDPopulation, female</v>
      </c>
      <c r="C7125" t="s">
        <v>597</v>
      </c>
      <c r="D7125" t="s">
        <v>598</v>
      </c>
      <c r="E7125" t="s">
        <v>396</v>
      </c>
      <c r="F7125" t="s">
        <v>727</v>
      </c>
      <c r="G7125">
        <v>665306000</v>
      </c>
      <c r="H7125">
        <v>668148000</v>
      </c>
    </row>
    <row r="7126" spans="2:8" x14ac:dyDescent="0.25">
      <c r="B7126" t="str">
        <f t="shared" si="111"/>
        <v>OEDPopulation growth (annual %)</v>
      </c>
      <c r="C7126" t="s">
        <v>597</v>
      </c>
      <c r="D7126" t="s">
        <v>598</v>
      </c>
      <c r="E7126" t="s">
        <v>399</v>
      </c>
      <c r="F7126" t="s">
        <v>728</v>
      </c>
      <c r="G7126">
        <v>0.47229803451406838</v>
      </c>
      <c r="H7126">
        <v>0.44651924201679094</v>
      </c>
    </row>
    <row r="7127" spans="2:8" x14ac:dyDescent="0.25">
      <c r="B7127" t="str">
        <f t="shared" si="111"/>
        <v>OMNPopulation ages 0-14, female</v>
      </c>
      <c r="C7127" t="s">
        <v>599</v>
      </c>
      <c r="D7127" t="s">
        <v>111</v>
      </c>
      <c r="E7127" t="s">
        <v>687</v>
      </c>
      <c r="F7127" t="s">
        <v>688</v>
      </c>
      <c r="G7127">
        <v>542000</v>
      </c>
      <c r="H7127">
        <v>559000</v>
      </c>
    </row>
    <row r="7128" spans="2:8" x14ac:dyDescent="0.25">
      <c r="B7128" t="str">
        <f t="shared" si="111"/>
        <v>OMNPopulation ages 0-14, male</v>
      </c>
      <c r="C7128" t="s">
        <v>599</v>
      </c>
      <c r="D7128" t="s">
        <v>111</v>
      </c>
      <c r="E7128" t="s">
        <v>689</v>
      </c>
      <c r="F7128" t="s">
        <v>690</v>
      </c>
      <c r="G7128">
        <v>572000</v>
      </c>
      <c r="H7128">
        <v>589000</v>
      </c>
    </row>
    <row r="7129" spans="2:8" x14ac:dyDescent="0.25">
      <c r="B7129" t="str">
        <f t="shared" si="111"/>
        <v>OMNPopulation ages 00-04, female</v>
      </c>
      <c r="C7129" t="s">
        <v>599</v>
      </c>
      <c r="D7129" t="s">
        <v>111</v>
      </c>
      <c r="E7129" t="s">
        <v>362</v>
      </c>
      <c r="F7129" t="s">
        <v>691</v>
      </c>
      <c r="G7129">
        <v>219000</v>
      </c>
      <c r="H7129">
        <v>222000</v>
      </c>
    </row>
    <row r="7130" spans="2:8" x14ac:dyDescent="0.25">
      <c r="B7130" t="str">
        <f t="shared" si="111"/>
        <v>OMNPopulation ages 00-04, male</v>
      </c>
      <c r="C7130" t="s">
        <v>599</v>
      </c>
      <c r="D7130" t="s">
        <v>111</v>
      </c>
      <c r="E7130" t="s">
        <v>363</v>
      </c>
      <c r="F7130" t="s">
        <v>692</v>
      </c>
      <c r="G7130">
        <v>231000</v>
      </c>
      <c r="H7130">
        <v>232000</v>
      </c>
    </row>
    <row r="7131" spans="2:8" x14ac:dyDescent="0.25">
      <c r="B7131" t="str">
        <f t="shared" si="111"/>
        <v>OMNPopulation ages 05-09, female</v>
      </c>
      <c r="C7131" t="s">
        <v>599</v>
      </c>
      <c r="D7131" t="s">
        <v>111</v>
      </c>
      <c r="E7131" t="s">
        <v>364</v>
      </c>
      <c r="F7131" t="s">
        <v>693</v>
      </c>
      <c r="G7131">
        <v>180000</v>
      </c>
      <c r="H7131">
        <v>187000</v>
      </c>
    </row>
    <row r="7132" spans="2:8" x14ac:dyDescent="0.25">
      <c r="B7132" t="str">
        <f t="shared" si="111"/>
        <v>OMNPopulation ages 05-09, male</v>
      </c>
      <c r="C7132" t="s">
        <v>599</v>
      </c>
      <c r="D7132" t="s">
        <v>111</v>
      </c>
      <c r="E7132" t="s">
        <v>365</v>
      </c>
      <c r="F7132" t="s">
        <v>694</v>
      </c>
      <c r="G7132">
        <v>189000</v>
      </c>
      <c r="H7132">
        <v>192000</v>
      </c>
    </row>
    <row r="7133" spans="2:8" x14ac:dyDescent="0.25">
      <c r="B7133" t="str">
        <f t="shared" si="111"/>
        <v>OMNPopulation ages 10-14, female</v>
      </c>
      <c r="C7133" t="s">
        <v>599</v>
      </c>
      <c r="D7133" t="s">
        <v>111</v>
      </c>
      <c r="E7133" t="s">
        <v>366</v>
      </c>
      <c r="F7133" t="s">
        <v>695</v>
      </c>
      <c r="G7133">
        <v>143000</v>
      </c>
      <c r="H7133">
        <v>150000</v>
      </c>
    </row>
    <row r="7134" spans="2:8" x14ac:dyDescent="0.25">
      <c r="B7134" t="str">
        <f t="shared" si="111"/>
        <v>OMNPopulation ages 10-14, male</v>
      </c>
      <c r="C7134" t="s">
        <v>599</v>
      </c>
      <c r="D7134" t="s">
        <v>111</v>
      </c>
      <c r="E7134" t="s">
        <v>367</v>
      </c>
      <c r="F7134" t="s">
        <v>696</v>
      </c>
      <c r="G7134">
        <v>152000</v>
      </c>
      <c r="H7134">
        <v>166000</v>
      </c>
    </row>
    <row r="7135" spans="2:8" x14ac:dyDescent="0.25">
      <c r="B7135" t="str">
        <f t="shared" si="111"/>
        <v>OMNPopulation ages 15-19, female</v>
      </c>
      <c r="C7135" t="s">
        <v>599</v>
      </c>
      <c r="D7135" t="s">
        <v>111</v>
      </c>
      <c r="E7135" t="s">
        <v>368</v>
      </c>
      <c r="F7135" t="s">
        <v>697</v>
      </c>
      <c r="G7135">
        <v>119000</v>
      </c>
      <c r="H7135">
        <v>121000</v>
      </c>
    </row>
    <row r="7136" spans="2:8" x14ac:dyDescent="0.25">
      <c r="B7136" t="str">
        <f t="shared" si="111"/>
        <v>OMNPopulation ages 15-19, male</v>
      </c>
      <c r="C7136" t="s">
        <v>599</v>
      </c>
      <c r="D7136" t="s">
        <v>111</v>
      </c>
      <c r="E7136" t="s">
        <v>369</v>
      </c>
      <c r="F7136" t="s">
        <v>698</v>
      </c>
      <c r="G7136">
        <v>101000</v>
      </c>
      <c r="H7136">
        <v>94000</v>
      </c>
    </row>
    <row r="7137" spans="2:8" x14ac:dyDescent="0.25">
      <c r="B7137" t="str">
        <f t="shared" si="111"/>
        <v>OMNPopulation ages 20-24, female</v>
      </c>
      <c r="C7137" t="s">
        <v>599</v>
      </c>
      <c r="D7137" t="s">
        <v>111</v>
      </c>
      <c r="E7137" t="s">
        <v>370</v>
      </c>
      <c r="F7137" t="s">
        <v>699</v>
      </c>
      <c r="G7137">
        <v>133000</v>
      </c>
      <c r="H7137">
        <v>129000</v>
      </c>
    </row>
    <row r="7138" spans="2:8" x14ac:dyDescent="0.25">
      <c r="B7138" t="str">
        <f t="shared" si="111"/>
        <v>OMNPopulation ages 20-24, male</v>
      </c>
      <c r="C7138" t="s">
        <v>599</v>
      </c>
      <c r="D7138" t="s">
        <v>111</v>
      </c>
      <c r="E7138" t="s">
        <v>371</v>
      </c>
      <c r="F7138" t="s">
        <v>700</v>
      </c>
      <c r="G7138">
        <v>240000</v>
      </c>
      <c r="H7138">
        <v>200000</v>
      </c>
    </row>
    <row r="7139" spans="2:8" x14ac:dyDescent="0.25">
      <c r="B7139" t="str">
        <f t="shared" si="111"/>
        <v>OMNPopulation ages 25-29, female</v>
      </c>
      <c r="C7139" t="s">
        <v>599</v>
      </c>
      <c r="D7139" t="s">
        <v>111</v>
      </c>
      <c r="E7139" t="s">
        <v>372</v>
      </c>
      <c r="F7139" t="s">
        <v>701</v>
      </c>
      <c r="G7139">
        <v>180000</v>
      </c>
      <c r="H7139">
        <v>177000</v>
      </c>
    </row>
    <row r="7140" spans="2:8" x14ac:dyDescent="0.25">
      <c r="B7140" t="str">
        <f t="shared" si="111"/>
        <v>OMNPopulation ages 25-29, male</v>
      </c>
      <c r="C7140" t="s">
        <v>599</v>
      </c>
      <c r="D7140" t="s">
        <v>111</v>
      </c>
      <c r="E7140" t="s">
        <v>373</v>
      </c>
      <c r="F7140" t="s">
        <v>702</v>
      </c>
      <c r="G7140">
        <v>569000</v>
      </c>
      <c r="H7140">
        <v>580000</v>
      </c>
    </row>
    <row r="7141" spans="2:8" x14ac:dyDescent="0.25">
      <c r="B7141" t="str">
        <f t="shared" si="111"/>
        <v>OMNPopulation ages 30-34, female</v>
      </c>
      <c r="C7141" t="s">
        <v>599</v>
      </c>
      <c r="D7141" t="s">
        <v>111</v>
      </c>
      <c r="E7141" t="s">
        <v>374</v>
      </c>
      <c r="F7141" t="s">
        <v>703</v>
      </c>
      <c r="G7141">
        <v>195000</v>
      </c>
      <c r="H7141">
        <v>199000</v>
      </c>
    </row>
    <row r="7142" spans="2:8" x14ac:dyDescent="0.25">
      <c r="B7142" t="str">
        <f t="shared" si="111"/>
        <v>OMNPopulation ages 30-34, male</v>
      </c>
      <c r="C7142" t="s">
        <v>599</v>
      </c>
      <c r="D7142" t="s">
        <v>111</v>
      </c>
      <c r="E7142" t="s">
        <v>375</v>
      </c>
      <c r="F7142" t="s">
        <v>704</v>
      </c>
      <c r="G7142">
        <v>625000</v>
      </c>
      <c r="H7142">
        <v>669000</v>
      </c>
    </row>
    <row r="7143" spans="2:8" x14ac:dyDescent="0.25">
      <c r="B7143" t="str">
        <f t="shared" si="111"/>
        <v>OMNPopulation ages 35-39, female</v>
      </c>
      <c r="C7143" t="s">
        <v>599</v>
      </c>
      <c r="D7143" t="s">
        <v>111</v>
      </c>
      <c r="E7143" t="s">
        <v>376</v>
      </c>
      <c r="F7143" t="s">
        <v>705</v>
      </c>
      <c r="G7143">
        <v>153000</v>
      </c>
      <c r="H7143">
        <v>160000</v>
      </c>
    </row>
    <row r="7144" spans="2:8" x14ac:dyDescent="0.25">
      <c r="B7144" t="str">
        <f t="shared" si="111"/>
        <v>OMNPopulation ages 35-39, male</v>
      </c>
      <c r="C7144" t="s">
        <v>599</v>
      </c>
      <c r="D7144" t="s">
        <v>111</v>
      </c>
      <c r="E7144" t="s">
        <v>377</v>
      </c>
      <c r="F7144" t="s">
        <v>706</v>
      </c>
      <c r="G7144">
        <v>391000</v>
      </c>
      <c r="H7144">
        <v>411000</v>
      </c>
    </row>
    <row r="7145" spans="2:8" x14ac:dyDescent="0.25">
      <c r="B7145" t="str">
        <f t="shared" si="111"/>
        <v>OMNPopulation ages 40-44, female</v>
      </c>
      <c r="C7145" t="s">
        <v>599</v>
      </c>
      <c r="D7145" t="s">
        <v>111</v>
      </c>
      <c r="E7145" t="s">
        <v>378</v>
      </c>
      <c r="F7145" t="s">
        <v>707</v>
      </c>
      <c r="G7145">
        <v>108000</v>
      </c>
      <c r="H7145">
        <v>116000</v>
      </c>
    </row>
    <row r="7146" spans="2:8" x14ac:dyDescent="0.25">
      <c r="B7146" t="str">
        <f t="shared" si="111"/>
        <v>OMNPopulation ages 40-44, male</v>
      </c>
      <c r="C7146" t="s">
        <v>599</v>
      </c>
      <c r="D7146" t="s">
        <v>111</v>
      </c>
      <c r="E7146" t="s">
        <v>379</v>
      </c>
      <c r="F7146" t="s">
        <v>708</v>
      </c>
      <c r="G7146">
        <v>271000</v>
      </c>
      <c r="H7146">
        <v>284000</v>
      </c>
    </row>
    <row r="7147" spans="2:8" x14ac:dyDescent="0.25">
      <c r="B7147" t="str">
        <f t="shared" si="111"/>
        <v>OMNPopulation ages 45-49, female</v>
      </c>
      <c r="C7147" t="s">
        <v>599</v>
      </c>
      <c r="D7147" t="s">
        <v>111</v>
      </c>
      <c r="E7147" t="s">
        <v>380</v>
      </c>
      <c r="F7147" t="s">
        <v>709</v>
      </c>
      <c r="G7147">
        <v>73000</v>
      </c>
      <c r="H7147">
        <v>78000</v>
      </c>
    </row>
    <row r="7148" spans="2:8" x14ac:dyDescent="0.25">
      <c r="B7148" t="str">
        <f t="shared" si="111"/>
        <v>OMNPopulation ages 45-49, male</v>
      </c>
      <c r="C7148" t="s">
        <v>599</v>
      </c>
      <c r="D7148" t="s">
        <v>111</v>
      </c>
      <c r="E7148" t="s">
        <v>381</v>
      </c>
      <c r="F7148" t="s">
        <v>710</v>
      </c>
      <c r="G7148">
        <v>196000</v>
      </c>
      <c r="H7148">
        <v>206000</v>
      </c>
    </row>
    <row r="7149" spans="2:8" x14ac:dyDescent="0.25">
      <c r="B7149" t="str">
        <f t="shared" si="111"/>
        <v>OMNPopulation ages 50-54, female</v>
      </c>
      <c r="C7149" t="s">
        <v>599</v>
      </c>
      <c r="D7149" t="s">
        <v>111</v>
      </c>
      <c r="E7149" t="s">
        <v>382</v>
      </c>
      <c r="F7149" t="s">
        <v>711</v>
      </c>
      <c r="G7149">
        <v>54000</v>
      </c>
      <c r="H7149">
        <v>58000</v>
      </c>
    </row>
    <row r="7150" spans="2:8" x14ac:dyDescent="0.25">
      <c r="B7150" t="str">
        <f t="shared" si="111"/>
        <v>OMNPopulation ages 50-54, male</v>
      </c>
      <c r="C7150" t="s">
        <v>599</v>
      </c>
      <c r="D7150" t="s">
        <v>111</v>
      </c>
      <c r="E7150" t="s">
        <v>383</v>
      </c>
      <c r="F7150" t="s">
        <v>712</v>
      </c>
      <c r="G7150">
        <v>118000</v>
      </c>
      <c r="H7150">
        <v>124000</v>
      </c>
    </row>
    <row r="7151" spans="2:8" x14ac:dyDescent="0.25">
      <c r="B7151" t="str">
        <f t="shared" si="111"/>
        <v>OMNPopulation ages 55-59, male</v>
      </c>
      <c r="C7151" t="s">
        <v>599</v>
      </c>
      <c r="D7151" t="s">
        <v>111</v>
      </c>
      <c r="E7151" t="s">
        <v>385</v>
      </c>
      <c r="F7151" t="s">
        <v>713</v>
      </c>
      <c r="G7151">
        <v>91000</v>
      </c>
      <c r="H7151">
        <v>94000</v>
      </c>
    </row>
    <row r="7152" spans="2:8" x14ac:dyDescent="0.25">
      <c r="B7152" t="str">
        <f t="shared" si="111"/>
        <v>OMNPopulation ages 55-59, female</v>
      </c>
      <c r="C7152" t="s">
        <v>599</v>
      </c>
      <c r="D7152" t="s">
        <v>111</v>
      </c>
      <c r="E7152" t="s">
        <v>384</v>
      </c>
      <c r="F7152" t="s">
        <v>714</v>
      </c>
      <c r="G7152">
        <v>38000</v>
      </c>
      <c r="H7152">
        <v>40000</v>
      </c>
    </row>
    <row r="7153" spans="2:8" x14ac:dyDescent="0.25">
      <c r="B7153" t="str">
        <f t="shared" si="111"/>
        <v>OMNPopulation ages 65-69, male</v>
      </c>
      <c r="C7153" t="s">
        <v>599</v>
      </c>
      <c r="D7153" t="s">
        <v>111</v>
      </c>
      <c r="E7153" t="s">
        <v>389</v>
      </c>
      <c r="F7153" t="s">
        <v>715</v>
      </c>
      <c r="G7153">
        <v>25000</v>
      </c>
      <c r="H7153">
        <v>28000</v>
      </c>
    </row>
    <row r="7154" spans="2:8" x14ac:dyDescent="0.25">
      <c r="B7154" t="str">
        <f t="shared" si="111"/>
        <v>OMNPopulation ages 65-69, female</v>
      </c>
      <c r="C7154" t="s">
        <v>599</v>
      </c>
      <c r="D7154" t="s">
        <v>111</v>
      </c>
      <c r="E7154" t="s">
        <v>388</v>
      </c>
      <c r="F7154" t="s">
        <v>716</v>
      </c>
      <c r="G7154">
        <v>24000</v>
      </c>
      <c r="H7154">
        <v>26000</v>
      </c>
    </row>
    <row r="7155" spans="2:8" x14ac:dyDescent="0.25">
      <c r="B7155" t="str">
        <f t="shared" si="111"/>
        <v>OMNPopulation ages 60-64, female</v>
      </c>
      <c r="C7155" t="s">
        <v>599</v>
      </c>
      <c r="D7155" t="s">
        <v>111</v>
      </c>
      <c r="E7155" t="s">
        <v>386</v>
      </c>
      <c r="F7155" t="s">
        <v>717</v>
      </c>
      <c r="G7155">
        <v>32000</v>
      </c>
      <c r="H7155">
        <v>33000</v>
      </c>
    </row>
    <row r="7156" spans="2:8" x14ac:dyDescent="0.25">
      <c r="B7156" t="str">
        <f t="shared" si="111"/>
        <v>OMNPopulation ages 60-64, male</v>
      </c>
      <c r="C7156" t="s">
        <v>599</v>
      </c>
      <c r="D7156" t="s">
        <v>111</v>
      </c>
      <c r="E7156" t="s">
        <v>387</v>
      </c>
      <c r="F7156" t="s">
        <v>718</v>
      </c>
      <c r="G7156">
        <v>53000</v>
      </c>
      <c r="H7156">
        <v>57000</v>
      </c>
    </row>
    <row r="7157" spans="2:8" x14ac:dyDescent="0.25">
      <c r="B7157" t="str">
        <f t="shared" si="111"/>
        <v>OMNPopulation ages 70-74, female</v>
      </c>
      <c r="C7157" t="s">
        <v>599</v>
      </c>
      <c r="D7157" t="s">
        <v>111</v>
      </c>
      <c r="E7157" t="s">
        <v>390</v>
      </c>
      <c r="F7157" t="s">
        <v>719</v>
      </c>
      <c r="G7157">
        <v>16000</v>
      </c>
      <c r="H7157">
        <v>17000</v>
      </c>
    </row>
    <row r="7158" spans="2:8" x14ac:dyDescent="0.25">
      <c r="B7158" t="str">
        <f t="shared" si="111"/>
        <v>OMNPopulation ages 70-74, male</v>
      </c>
      <c r="C7158" t="s">
        <v>599</v>
      </c>
      <c r="D7158" t="s">
        <v>111</v>
      </c>
      <c r="E7158" t="s">
        <v>391</v>
      </c>
      <c r="F7158" t="s">
        <v>720</v>
      </c>
      <c r="G7158">
        <v>11000</v>
      </c>
      <c r="H7158">
        <v>12000</v>
      </c>
    </row>
    <row r="7159" spans="2:8" x14ac:dyDescent="0.25">
      <c r="B7159" t="str">
        <f t="shared" si="111"/>
        <v>OMNPopulation ages 75-79, female</v>
      </c>
      <c r="C7159" t="s">
        <v>599</v>
      </c>
      <c r="D7159" t="s">
        <v>111</v>
      </c>
      <c r="E7159" t="s">
        <v>392</v>
      </c>
      <c r="F7159" t="s">
        <v>721</v>
      </c>
      <c r="G7159">
        <v>12000</v>
      </c>
      <c r="H7159">
        <v>13000</v>
      </c>
    </row>
    <row r="7160" spans="2:8" x14ac:dyDescent="0.25">
      <c r="B7160" t="str">
        <f t="shared" si="111"/>
        <v>OMNPopulation ages 75-79, male</v>
      </c>
      <c r="C7160" t="s">
        <v>599</v>
      </c>
      <c r="D7160" t="s">
        <v>111</v>
      </c>
      <c r="E7160" t="s">
        <v>393</v>
      </c>
      <c r="F7160" t="s">
        <v>722</v>
      </c>
      <c r="G7160">
        <v>12000</v>
      </c>
      <c r="H7160">
        <v>12000</v>
      </c>
    </row>
    <row r="7161" spans="2:8" x14ac:dyDescent="0.25">
      <c r="B7161" t="str">
        <f t="shared" si="111"/>
        <v>OMNPopulation ages 80 and above, female</v>
      </c>
      <c r="C7161" t="s">
        <v>599</v>
      </c>
      <c r="D7161" t="s">
        <v>111</v>
      </c>
      <c r="E7161" t="s">
        <v>394</v>
      </c>
      <c r="F7161" t="s">
        <v>723</v>
      </c>
      <c r="G7161">
        <v>11000</v>
      </c>
      <c r="H7161">
        <v>11000</v>
      </c>
    </row>
    <row r="7162" spans="2:8" x14ac:dyDescent="0.25">
      <c r="B7162" t="str">
        <f t="shared" si="111"/>
        <v>OMNPopulation ages 80 and above, male</v>
      </c>
      <c r="C7162" t="s">
        <v>599</v>
      </c>
      <c r="D7162" t="s">
        <v>111</v>
      </c>
      <c r="E7162" t="s">
        <v>395</v>
      </c>
      <c r="F7162" t="s">
        <v>724</v>
      </c>
      <c r="G7162">
        <v>9900</v>
      </c>
      <c r="H7162">
        <v>11000</v>
      </c>
    </row>
    <row r="7163" spans="2:8" x14ac:dyDescent="0.25">
      <c r="B7163" t="str">
        <f t="shared" si="111"/>
        <v>OMNPopulation, male</v>
      </c>
      <c r="C7163" t="s">
        <v>599</v>
      </c>
      <c r="D7163" t="s">
        <v>111</v>
      </c>
      <c r="E7163" t="s">
        <v>397</v>
      </c>
      <c r="F7163" t="s">
        <v>725</v>
      </c>
      <c r="G7163">
        <v>3284000</v>
      </c>
      <c r="H7163">
        <v>3370000</v>
      </c>
    </row>
    <row r="7164" spans="2:8" x14ac:dyDescent="0.25">
      <c r="B7164" t="str">
        <f t="shared" si="111"/>
        <v>OMNPopulation, total</v>
      </c>
      <c r="C7164" t="s">
        <v>599</v>
      </c>
      <c r="D7164" t="s">
        <v>111</v>
      </c>
      <c r="E7164" t="s">
        <v>398</v>
      </c>
      <c r="F7164" t="s">
        <v>726</v>
      </c>
      <c r="G7164">
        <v>4975000</v>
      </c>
      <c r="H7164">
        <v>5107000</v>
      </c>
    </row>
    <row r="7165" spans="2:8" x14ac:dyDescent="0.25">
      <c r="B7165" t="str">
        <f t="shared" si="111"/>
        <v>OMNPopulation, female</v>
      </c>
      <c r="C7165" t="s">
        <v>599</v>
      </c>
      <c r="D7165" t="s">
        <v>111</v>
      </c>
      <c r="E7165" t="s">
        <v>396</v>
      </c>
      <c r="F7165" t="s">
        <v>727</v>
      </c>
      <c r="G7165">
        <v>1691000</v>
      </c>
      <c r="H7165">
        <v>1736000</v>
      </c>
    </row>
    <row r="7166" spans="2:8" x14ac:dyDescent="0.25">
      <c r="B7166" t="str">
        <f t="shared" si="111"/>
        <v>OMNPopulation growth (annual %)</v>
      </c>
      <c r="C7166" t="s">
        <v>599</v>
      </c>
      <c r="D7166" t="s">
        <v>111</v>
      </c>
      <c r="E7166" t="s">
        <v>399</v>
      </c>
      <c r="F7166" t="s">
        <v>728</v>
      </c>
      <c r="G7166">
        <v>0</v>
      </c>
      <c r="H7166">
        <v>0</v>
      </c>
    </row>
    <row r="7167" spans="2:8" x14ac:dyDescent="0.25">
      <c r="B7167" t="str">
        <f t="shared" si="111"/>
        <v>OSSPopulation ages 0-14, female</v>
      </c>
      <c r="C7167" t="s">
        <v>600</v>
      </c>
      <c r="D7167" t="s">
        <v>601</v>
      </c>
      <c r="E7167" t="s">
        <v>687</v>
      </c>
      <c r="F7167" t="s">
        <v>688</v>
      </c>
      <c r="G7167">
        <v>4601000</v>
      </c>
      <c r="H7167">
        <v>4660000</v>
      </c>
    </row>
    <row r="7168" spans="2:8" x14ac:dyDescent="0.25">
      <c r="B7168" t="str">
        <f t="shared" si="111"/>
        <v>OSSPopulation ages 0-14, male</v>
      </c>
      <c r="C7168" t="s">
        <v>600</v>
      </c>
      <c r="D7168" t="s">
        <v>601</v>
      </c>
      <c r="E7168" t="s">
        <v>689</v>
      </c>
      <c r="F7168" t="s">
        <v>690</v>
      </c>
      <c r="G7168">
        <v>4726000</v>
      </c>
      <c r="H7168">
        <v>4784000</v>
      </c>
    </row>
    <row r="7169" spans="2:8" x14ac:dyDescent="0.25">
      <c r="B7169" t="str">
        <f t="shared" si="111"/>
        <v>OSSPopulation ages 00-04, female</v>
      </c>
      <c r="C7169" t="s">
        <v>600</v>
      </c>
      <c r="D7169" t="s">
        <v>601</v>
      </c>
      <c r="E7169" t="s">
        <v>362</v>
      </c>
      <c r="F7169" t="s">
        <v>691</v>
      </c>
      <c r="G7169">
        <v>1659900</v>
      </c>
      <c r="H7169">
        <v>1669800</v>
      </c>
    </row>
    <row r="7170" spans="2:8" x14ac:dyDescent="0.25">
      <c r="B7170" t="str">
        <f t="shared" si="111"/>
        <v>OSSPopulation ages 00-04, male</v>
      </c>
      <c r="C7170" t="s">
        <v>600</v>
      </c>
      <c r="D7170" t="s">
        <v>601</v>
      </c>
      <c r="E7170" t="s">
        <v>363</v>
      </c>
      <c r="F7170" t="s">
        <v>692</v>
      </c>
      <c r="G7170">
        <v>1702100</v>
      </c>
      <c r="H7170">
        <v>1714100</v>
      </c>
    </row>
    <row r="7171" spans="2:8" x14ac:dyDescent="0.25">
      <c r="B7171" t="str">
        <f t="shared" si="111"/>
        <v>OSSPopulation ages 05-09, female</v>
      </c>
      <c r="C7171" t="s">
        <v>600</v>
      </c>
      <c r="D7171" t="s">
        <v>601</v>
      </c>
      <c r="E7171" t="s">
        <v>364</v>
      </c>
      <c r="F7171" t="s">
        <v>693</v>
      </c>
      <c r="G7171">
        <v>1539800</v>
      </c>
      <c r="H7171">
        <v>1562800</v>
      </c>
    </row>
    <row r="7172" spans="2:8" x14ac:dyDescent="0.25">
      <c r="B7172" t="str">
        <f t="shared" si="111"/>
        <v>OSSPopulation ages 05-09, male</v>
      </c>
      <c r="C7172" t="s">
        <v>600</v>
      </c>
      <c r="D7172" t="s">
        <v>601</v>
      </c>
      <c r="E7172" t="s">
        <v>365</v>
      </c>
      <c r="F7172" t="s">
        <v>694</v>
      </c>
      <c r="G7172">
        <v>1583100</v>
      </c>
      <c r="H7172">
        <v>1605100</v>
      </c>
    </row>
    <row r="7173" spans="2:8" x14ac:dyDescent="0.25">
      <c r="B7173" t="str">
        <f t="shared" si="111"/>
        <v>OSSPopulation ages 10-14, female</v>
      </c>
      <c r="C7173" t="s">
        <v>600</v>
      </c>
      <c r="D7173" t="s">
        <v>601</v>
      </c>
      <c r="E7173" t="s">
        <v>366</v>
      </c>
      <c r="F7173" t="s">
        <v>695</v>
      </c>
      <c r="G7173">
        <v>1401500</v>
      </c>
      <c r="H7173">
        <v>1426600</v>
      </c>
    </row>
    <row r="7174" spans="2:8" x14ac:dyDescent="0.25">
      <c r="B7174" t="str">
        <f t="shared" si="111"/>
        <v>OSSPopulation ages 10-14, male</v>
      </c>
      <c r="C7174" t="s">
        <v>600</v>
      </c>
      <c r="D7174" t="s">
        <v>601</v>
      </c>
      <c r="E7174" t="s">
        <v>367</v>
      </c>
      <c r="F7174" t="s">
        <v>696</v>
      </c>
      <c r="G7174">
        <v>1436700</v>
      </c>
      <c r="H7174">
        <v>1465800</v>
      </c>
    </row>
    <row r="7175" spans="2:8" x14ac:dyDescent="0.25">
      <c r="B7175" t="str">
        <f t="shared" ref="B7175:B7238" si="112">CONCATENATE(D7175,E7175)</f>
        <v>OSSPopulation ages 15-19, female</v>
      </c>
      <c r="C7175" t="s">
        <v>600</v>
      </c>
      <c r="D7175" t="s">
        <v>601</v>
      </c>
      <c r="E7175" t="s">
        <v>368</v>
      </c>
      <c r="F7175" t="s">
        <v>697</v>
      </c>
      <c r="G7175">
        <v>1279100</v>
      </c>
      <c r="H7175">
        <v>1295100</v>
      </c>
    </row>
    <row r="7176" spans="2:8" x14ac:dyDescent="0.25">
      <c r="B7176" t="str">
        <f t="shared" si="112"/>
        <v>OSSPopulation ages 15-19, male</v>
      </c>
      <c r="C7176" t="s">
        <v>600</v>
      </c>
      <c r="D7176" t="s">
        <v>601</v>
      </c>
      <c r="E7176" t="s">
        <v>369</v>
      </c>
      <c r="F7176" t="s">
        <v>698</v>
      </c>
      <c r="G7176">
        <v>1346200</v>
      </c>
      <c r="H7176">
        <v>1350300</v>
      </c>
    </row>
    <row r="7177" spans="2:8" x14ac:dyDescent="0.25">
      <c r="B7177" t="str">
        <f t="shared" si="112"/>
        <v>OSSPopulation ages 20-24, female</v>
      </c>
      <c r="C7177" t="s">
        <v>600</v>
      </c>
      <c r="D7177" t="s">
        <v>601</v>
      </c>
      <c r="E7177" t="s">
        <v>370</v>
      </c>
      <c r="F7177" t="s">
        <v>699</v>
      </c>
      <c r="G7177">
        <v>1229000</v>
      </c>
      <c r="H7177">
        <v>1229300</v>
      </c>
    </row>
    <row r="7178" spans="2:8" x14ac:dyDescent="0.25">
      <c r="B7178" t="str">
        <f t="shared" si="112"/>
        <v>OSSPopulation ages 20-24, male</v>
      </c>
      <c r="C7178" t="s">
        <v>600</v>
      </c>
      <c r="D7178" t="s">
        <v>601</v>
      </c>
      <c r="E7178" t="s">
        <v>371</v>
      </c>
      <c r="F7178" t="s">
        <v>700</v>
      </c>
      <c r="G7178">
        <v>1482400</v>
      </c>
      <c r="H7178">
        <v>1459700</v>
      </c>
    </row>
    <row r="7179" spans="2:8" x14ac:dyDescent="0.25">
      <c r="B7179" t="str">
        <f t="shared" si="112"/>
        <v>OSSPopulation ages 25-29, female</v>
      </c>
      <c r="C7179" t="s">
        <v>600</v>
      </c>
      <c r="D7179" t="s">
        <v>601</v>
      </c>
      <c r="E7179" t="s">
        <v>372</v>
      </c>
      <c r="F7179" t="s">
        <v>701</v>
      </c>
      <c r="G7179">
        <v>1256800</v>
      </c>
      <c r="H7179">
        <v>1260700</v>
      </c>
    </row>
    <row r="7180" spans="2:8" x14ac:dyDescent="0.25">
      <c r="B7180" t="str">
        <f t="shared" si="112"/>
        <v>OSSPopulation ages 25-29, male</v>
      </c>
      <c r="C7180" t="s">
        <v>600</v>
      </c>
      <c r="D7180" t="s">
        <v>601</v>
      </c>
      <c r="E7180" t="s">
        <v>373</v>
      </c>
      <c r="F7180" t="s">
        <v>702</v>
      </c>
      <c r="G7180">
        <v>1761300</v>
      </c>
      <c r="H7180">
        <v>1791300</v>
      </c>
    </row>
    <row r="7181" spans="2:8" x14ac:dyDescent="0.25">
      <c r="B7181" t="str">
        <f t="shared" si="112"/>
        <v>OSSPopulation ages 30-34, female</v>
      </c>
      <c r="C7181" t="s">
        <v>600</v>
      </c>
      <c r="D7181" t="s">
        <v>601</v>
      </c>
      <c r="E7181" t="s">
        <v>374</v>
      </c>
      <c r="F7181" t="s">
        <v>703</v>
      </c>
      <c r="G7181">
        <v>1185200</v>
      </c>
      <c r="H7181">
        <v>1208200</v>
      </c>
    </row>
    <row r="7182" spans="2:8" x14ac:dyDescent="0.25">
      <c r="B7182" t="str">
        <f t="shared" si="112"/>
        <v>OSSPopulation ages 30-34, male</v>
      </c>
      <c r="C7182" t="s">
        <v>600</v>
      </c>
      <c r="D7182" t="s">
        <v>601</v>
      </c>
      <c r="E7182" t="s">
        <v>375</v>
      </c>
      <c r="F7182" t="s">
        <v>704</v>
      </c>
      <c r="G7182">
        <v>1682000</v>
      </c>
      <c r="H7182">
        <v>1749900</v>
      </c>
    </row>
    <row r="7183" spans="2:8" x14ac:dyDescent="0.25">
      <c r="B7183" t="str">
        <f t="shared" si="112"/>
        <v>OSSPopulation ages 35-39, female</v>
      </c>
      <c r="C7183" t="s">
        <v>600</v>
      </c>
      <c r="D7183" t="s">
        <v>601</v>
      </c>
      <c r="E7183" t="s">
        <v>376</v>
      </c>
      <c r="F7183" t="s">
        <v>705</v>
      </c>
      <c r="G7183">
        <v>1026500</v>
      </c>
      <c r="H7183">
        <v>1054500</v>
      </c>
    </row>
    <row r="7184" spans="2:8" x14ac:dyDescent="0.25">
      <c r="B7184" t="str">
        <f t="shared" si="112"/>
        <v>OSSPopulation ages 35-39, male</v>
      </c>
      <c r="C7184" t="s">
        <v>600</v>
      </c>
      <c r="D7184" t="s">
        <v>601</v>
      </c>
      <c r="E7184" t="s">
        <v>377</v>
      </c>
      <c r="F7184" t="s">
        <v>706</v>
      </c>
      <c r="G7184">
        <v>1332400</v>
      </c>
      <c r="H7184">
        <v>1382300</v>
      </c>
    </row>
    <row r="7185" spans="2:8" x14ac:dyDescent="0.25">
      <c r="B7185" t="str">
        <f t="shared" si="112"/>
        <v>OSSPopulation ages 40-44, female</v>
      </c>
      <c r="C7185" t="s">
        <v>600</v>
      </c>
      <c r="D7185" t="s">
        <v>601</v>
      </c>
      <c r="E7185" t="s">
        <v>378</v>
      </c>
      <c r="F7185" t="s">
        <v>707</v>
      </c>
      <c r="G7185">
        <v>836800</v>
      </c>
      <c r="H7185">
        <v>861900</v>
      </c>
    </row>
    <row r="7186" spans="2:8" x14ac:dyDescent="0.25">
      <c r="B7186" t="str">
        <f t="shared" si="112"/>
        <v>OSSPopulation ages 40-44, male</v>
      </c>
      <c r="C7186" t="s">
        <v>600</v>
      </c>
      <c r="D7186" t="s">
        <v>601</v>
      </c>
      <c r="E7186" t="s">
        <v>379</v>
      </c>
      <c r="F7186" t="s">
        <v>708</v>
      </c>
      <c r="G7186">
        <v>1061300</v>
      </c>
      <c r="H7186">
        <v>1085500</v>
      </c>
    </row>
    <row r="7187" spans="2:8" x14ac:dyDescent="0.25">
      <c r="B7187" t="str">
        <f t="shared" si="112"/>
        <v>OSSPopulation ages 45-49, female</v>
      </c>
      <c r="C7187" t="s">
        <v>600</v>
      </c>
      <c r="D7187" t="s">
        <v>601</v>
      </c>
      <c r="E7187" t="s">
        <v>380</v>
      </c>
      <c r="F7187" t="s">
        <v>709</v>
      </c>
      <c r="G7187">
        <v>694300</v>
      </c>
      <c r="H7187">
        <v>713400</v>
      </c>
    </row>
    <row r="7188" spans="2:8" x14ac:dyDescent="0.25">
      <c r="B7188" t="str">
        <f t="shared" si="112"/>
        <v>OSSPopulation ages 45-49, male</v>
      </c>
      <c r="C7188" t="s">
        <v>600</v>
      </c>
      <c r="D7188" t="s">
        <v>601</v>
      </c>
      <c r="E7188" t="s">
        <v>381</v>
      </c>
      <c r="F7188" t="s">
        <v>710</v>
      </c>
      <c r="G7188">
        <v>866500</v>
      </c>
      <c r="H7188">
        <v>891700</v>
      </c>
    </row>
    <row r="7189" spans="2:8" x14ac:dyDescent="0.25">
      <c r="B7189" t="str">
        <f t="shared" si="112"/>
        <v>OSSPopulation ages 50-54, female</v>
      </c>
      <c r="C7189" t="s">
        <v>600</v>
      </c>
      <c r="D7189" t="s">
        <v>601</v>
      </c>
      <c r="E7189" t="s">
        <v>382</v>
      </c>
      <c r="F7189" t="s">
        <v>711</v>
      </c>
      <c r="G7189">
        <v>589100</v>
      </c>
      <c r="H7189">
        <v>599300</v>
      </c>
    </row>
    <row r="7190" spans="2:8" x14ac:dyDescent="0.25">
      <c r="B7190" t="str">
        <f t="shared" si="112"/>
        <v>OSSPopulation ages 50-54, male</v>
      </c>
      <c r="C7190" t="s">
        <v>600</v>
      </c>
      <c r="D7190" t="s">
        <v>601</v>
      </c>
      <c r="E7190" t="s">
        <v>383</v>
      </c>
      <c r="F7190" t="s">
        <v>712</v>
      </c>
      <c r="G7190">
        <v>683900</v>
      </c>
      <c r="H7190">
        <v>703000</v>
      </c>
    </row>
    <row r="7191" spans="2:8" x14ac:dyDescent="0.25">
      <c r="B7191" t="str">
        <f t="shared" si="112"/>
        <v>OSSPopulation ages 55-59, male</v>
      </c>
      <c r="C7191" t="s">
        <v>600</v>
      </c>
      <c r="D7191" t="s">
        <v>601</v>
      </c>
      <c r="E7191" t="s">
        <v>385</v>
      </c>
      <c r="F7191" t="s">
        <v>713</v>
      </c>
      <c r="G7191">
        <v>550300</v>
      </c>
      <c r="H7191">
        <v>565000</v>
      </c>
    </row>
    <row r="7192" spans="2:8" x14ac:dyDescent="0.25">
      <c r="B7192" t="str">
        <f t="shared" si="112"/>
        <v>OSSPopulation ages 55-59, female</v>
      </c>
      <c r="C7192" t="s">
        <v>600</v>
      </c>
      <c r="D7192" t="s">
        <v>601</v>
      </c>
      <c r="E7192" t="s">
        <v>384</v>
      </c>
      <c r="F7192" t="s">
        <v>714</v>
      </c>
      <c r="G7192">
        <v>517400</v>
      </c>
      <c r="H7192">
        <v>527800</v>
      </c>
    </row>
    <row r="7193" spans="2:8" x14ac:dyDescent="0.25">
      <c r="B7193" t="str">
        <f t="shared" si="112"/>
        <v>OSSPopulation ages 65-69, male</v>
      </c>
      <c r="C7193" t="s">
        <v>600</v>
      </c>
      <c r="D7193" t="s">
        <v>601</v>
      </c>
      <c r="E7193" t="s">
        <v>389</v>
      </c>
      <c r="F7193" t="s">
        <v>715</v>
      </c>
      <c r="G7193">
        <v>303200</v>
      </c>
      <c r="H7193">
        <v>316800</v>
      </c>
    </row>
    <row r="7194" spans="2:8" x14ac:dyDescent="0.25">
      <c r="B7194" t="str">
        <f t="shared" si="112"/>
        <v>OSSPopulation ages 65-69, female</v>
      </c>
      <c r="C7194" t="s">
        <v>600</v>
      </c>
      <c r="D7194" t="s">
        <v>601</v>
      </c>
      <c r="E7194" t="s">
        <v>388</v>
      </c>
      <c r="F7194" t="s">
        <v>716</v>
      </c>
      <c r="G7194">
        <v>344800</v>
      </c>
      <c r="H7194">
        <v>355300</v>
      </c>
    </row>
    <row r="7195" spans="2:8" x14ac:dyDescent="0.25">
      <c r="B7195" t="str">
        <f t="shared" si="112"/>
        <v>OSSPopulation ages 60-64, female</v>
      </c>
      <c r="C7195" t="s">
        <v>600</v>
      </c>
      <c r="D7195" t="s">
        <v>601</v>
      </c>
      <c r="E7195" t="s">
        <v>386</v>
      </c>
      <c r="F7195" t="s">
        <v>717</v>
      </c>
      <c r="G7195">
        <v>433700</v>
      </c>
      <c r="H7195">
        <v>444300</v>
      </c>
    </row>
    <row r="7196" spans="2:8" x14ac:dyDescent="0.25">
      <c r="B7196" t="str">
        <f t="shared" si="112"/>
        <v>OSSPopulation ages 60-64, male</v>
      </c>
      <c r="C7196" t="s">
        <v>600</v>
      </c>
      <c r="D7196" t="s">
        <v>601</v>
      </c>
      <c r="E7196" t="s">
        <v>387</v>
      </c>
      <c r="F7196" t="s">
        <v>718</v>
      </c>
      <c r="G7196">
        <v>421700</v>
      </c>
      <c r="H7196">
        <v>433000</v>
      </c>
    </row>
    <row r="7197" spans="2:8" x14ac:dyDescent="0.25">
      <c r="B7197" t="str">
        <f t="shared" si="112"/>
        <v>OSSPopulation ages 70-74, female</v>
      </c>
      <c r="C7197" t="s">
        <v>600</v>
      </c>
      <c r="D7197" t="s">
        <v>601</v>
      </c>
      <c r="E7197" t="s">
        <v>390</v>
      </c>
      <c r="F7197" t="s">
        <v>719</v>
      </c>
      <c r="G7197">
        <v>249900</v>
      </c>
      <c r="H7197">
        <v>257800</v>
      </c>
    </row>
    <row r="7198" spans="2:8" x14ac:dyDescent="0.25">
      <c r="B7198" t="str">
        <f t="shared" si="112"/>
        <v>OSSPopulation ages 70-74, male</v>
      </c>
      <c r="C7198" t="s">
        <v>600</v>
      </c>
      <c r="D7198" t="s">
        <v>601</v>
      </c>
      <c r="E7198" t="s">
        <v>391</v>
      </c>
      <c r="F7198" t="s">
        <v>720</v>
      </c>
      <c r="G7198">
        <v>203600</v>
      </c>
      <c r="H7198">
        <v>212000</v>
      </c>
    </row>
    <row r="7199" spans="2:8" x14ac:dyDescent="0.25">
      <c r="B7199" t="str">
        <f t="shared" si="112"/>
        <v>OSSPopulation ages 75-79, female</v>
      </c>
      <c r="C7199" t="s">
        <v>600</v>
      </c>
      <c r="D7199" t="s">
        <v>601</v>
      </c>
      <c r="E7199" t="s">
        <v>392</v>
      </c>
      <c r="F7199" t="s">
        <v>721</v>
      </c>
      <c r="G7199">
        <v>183900</v>
      </c>
      <c r="H7199">
        <v>187600</v>
      </c>
    </row>
    <row r="7200" spans="2:8" x14ac:dyDescent="0.25">
      <c r="B7200" t="str">
        <f t="shared" si="112"/>
        <v>OSSPopulation ages 75-79, male</v>
      </c>
      <c r="C7200" t="s">
        <v>600</v>
      </c>
      <c r="D7200" t="s">
        <v>601</v>
      </c>
      <c r="E7200" t="s">
        <v>393</v>
      </c>
      <c r="F7200" t="s">
        <v>722</v>
      </c>
      <c r="G7200">
        <v>126100</v>
      </c>
      <c r="H7200">
        <v>130400</v>
      </c>
    </row>
    <row r="7201" spans="2:8" x14ac:dyDescent="0.25">
      <c r="B7201" t="str">
        <f t="shared" si="112"/>
        <v>OSSPopulation ages 80 and above, female</v>
      </c>
      <c r="C7201" t="s">
        <v>600</v>
      </c>
      <c r="D7201" t="s">
        <v>601</v>
      </c>
      <c r="E7201" t="s">
        <v>394</v>
      </c>
      <c r="F7201" t="s">
        <v>723</v>
      </c>
      <c r="G7201">
        <v>213300</v>
      </c>
      <c r="H7201">
        <v>217100</v>
      </c>
    </row>
    <row r="7202" spans="2:8" x14ac:dyDescent="0.25">
      <c r="B7202" t="str">
        <f t="shared" si="112"/>
        <v>OSSPopulation ages 80 and above, male</v>
      </c>
      <c r="C7202" t="s">
        <v>600</v>
      </c>
      <c r="D7202" t="s">
        <v>601</v>
      </c>
      <c r="E7202" t="s">
        <v>395</v>
      </c>
      <c r="F7202" t="s">
        <v>724</v>
      </c>
      <c r="G7202">
        <v>114700</v>
      </c>
      <c r="H7202">
        <v>115100</v>
      </c>
    </row>
    <row r="7203" spans="2:8" x14ac:dyDescent="0.25">
      <c r="B7203" t="str">
        <f t="shared" si="112"/>
        <v>OSSPopulation, male</v>
      </c>
      <c r="C7203" t="s">
        <v>600</v>
      </c>
      <c r="D7203" t="s">
        <v>601</v>
      </c>
      <c r="E7203" t="s">
        <v>397</v>
      </c>
      <c r="F7203" t="s">
        <v>725</v>
      </c>
      <c r="G7203">
        <v>16659000</v>
      </c>
      <c r="H7203">
        <v>16966000</v>
      </c>
    </row>
    <row r="7204" spans="2:8" x14ac:dyDescent="0.25">
      <c r="B7204" t="str">
        <f t="shared" si="112"/>
        <v>OSSPopulation, total</v>
      </c>
      <c r="C7204" t="s">
        <v>600</v>
      </c>
      <c r="D7204" t="s">
        <v>601</v>
      </c>
      <c r="E7204" t="s">
        <v>398</v>
      </c>
      <c r="F7204" t="s">
        <v>726</v>
      </c>
      <c r="G7204">
        <v>31331000</v>
      </c>
      <c r="H7204">
        <v>31882000</v>
      </c>
    </row>
    <row r="7205" spans="2:8" x14ac:dyDescent="0.25">
      <c r="B7205" t="str">
        <f t="shared" si="112"/>
        <v>OSSPopulation, female</v>
      </c>
      <c r="C7205" t="s">
        <v>600</v>
      </c>
      <c r="D7205" t="s">
        <v>601</v>
      </c>
      <c r="E7205" t="s">
        <v>396</v>
      </c>
      <c r="F7205" t="s">
        <v>727</v>
      </c>
      <c r="G7205">
        <v>14639000</v>
      </c>
      <c r="H7205">
        <v>14883000</v>
      </c>
    </row>
    <row r="7206" spans="2:8" x14ac:dyDescent="0.25">
      <c r="B7206" t="str">
        <f t="shared" si="112"/>
        <v>OSSPopulation growth (annual %)</v>
      </c>
      <c r="C7206" t="s">
        <v>600</v>
      </c>
      <c r="D7206" t="s">
        <v>601</v>
      </c>
      <c r="E7206" t="s">
        <v>399</v>
      </c>
      <c r="F7206" t="s">
        <v>728</v>
      </c>
      <c r="G7206">
        <v>1.8596547500309555</v>
      </c>
      <c r="H7206">
        <v>1.7586416009702788</v>
      </c>
    </row>
    <row r="7207" spans="2:8" x14ac:dyDescent="0.25">
      <c r="B7207" t="str">
        <f t="shared" si="112"/>
        <v>PSSPopulation ages 0-14, female</v>
      </c>
      <c r="C7207" t="s">
        <v>602</v>
      </c>
      <c r="D7207" t="s">
        <v>603</v>
      </c>
      <c r="E7207" t="s">
        <v>687</v>
      </c>
      <c r="F7207" t="s">
        <v>688</v>
      </c>
      <c r="G7207">
        <v>404000</v>
      </c>
      <c r="H7207">
        <v>408000</v>
      </c>
    </row>
    <row r="7208" spans="2:8" x14ac:dyDescent="0.25">
      <c r="B7208" t="str">
        <f t="shared" si="112"/>
        <v>PSSPopulation ages 0-14, male</v>
      </c>
      <c r="C7208" t="s">
        <v>602</v>
      </c>
      <c r="D7208" t="s">
        <v>603</v>
      </c>
      <c r="E7208" t="s">
        <v>689</v>
      </c>
      <c r="F7208" t="s">
        <v>690</v>
      </c>
      <c r="G7208">
        <v>431000</v>
      </c>
      <c r="H7208">
        <v>433000</v>
      </c>
    </row>
    <row r="7209" spans="2:8" x14ac:dyDescent="0.25">
      <c r="B7209" t="str">
        <f t="shared" si="112"/>
        <v>PSSPopulation ages 00-04, female</v>
      </c>
      <c r="C7209" t="s">
        <v>602</v>
      </c>
      <c r="D7209" t="s">
        <v>603</v>
      </c>
      <c r="E7209" t="s">
        <v>362</v>
      </c>
      <c r="F7209" t="s">
        <v>691</v>
      </c>
      <c r="G7209">
        <v>145100</v>
      </c>
      <c r="H7209">
        <v>145300</v>
      </c>
    </row>
    <row r="7210" spans="2:8" x14ac:dyDescent="0.25">
      <c r="B7210" t="str">
        <f t="shared" si="112"/>
        <v>PSSPopulation ages 00-04, male</v>
      </c>
      <c r="C7210" t="s">
        <v>602</v>
      </c>
      <c r="D7210" t="s">
        <v>603</v>
      </c>
      <c r="E7210" t="s">
        <v>363</v>
      </c>
      <c r="F7210" t="s">
        <v>692</v>
      </c>
      <c r="G7210">
        <v>154300</v>
      </c>
      <c r="H7210">
        <v>155400</v>
      </c>
    </row>
    <row r="7211" spans="2:8" x14ac:dyDescent="0.25">
      <c r="B7211" t="str">
        <f t="shared" si="112"/>
        <v>PSSPopulation ages 05-09, female</v>
      </c>
      <c r="C7211" t="s">
        <v>602</v>
      </c>
      <c r="D7211" t="s">
        <v>603</v>
      </c>
      <c r="E7211" t="s">
        <v>364</v>
      </c>
      <c r="F7211" t="s">
        <v>693</v>
      </c>
      <c r="G7211">
        <v>136700</v>
      </c>
      <c r="H7211">
        <v>137500</v>
      </c>
    </row>
    <row r="7212" spans="2:8" x14ac:dyDescent="0.25">
      <c r="B7212" t="str">
        <f t="shared" si="112"/>
        <v>PSSPopulation ages 05-09, male</v>
      </c>
      <c r="C7212" t="s">
        <v>602</v>
      </c>
      <c r="D7212" t="s">
        <v>603</v>
      </c>
      <c r="E7212" t="s">
        <v>365</v>
      </c>
      <c r="F7212" t="s">
        <v>694</v>
      </c>
      <c r="G7212">
        <v>144900</v>
      </c>
      <c r="H7212">
        <v>146000</v>
      </c>
    </row>
    <row r="7213" spans="2:8" x14ac:dyDescent="0.25">
      <c r="B7213" t="str">
        <f t="shared" si="112"/>
        <v>PSSPopulation ages 10-14, female</v>
      </c>
      <c r="C7213" t="s">
        <v>602</v>
      </c>
      <c r="D7213" t="s">
        <v>603</v>
      </c>
      <c r="E7213" t="s">
        <v>366</v>
      </c>
      <c r="F7213" t="s">
        <v>695</v>
      </c>
      <c r="G7213">
        <v>122800</v>
      </c>
      <c r="H7213">
        <v>126100</v>
      </c>
    </row>
    <row r="7214" spans="2:8" x14ac:dyDescent="0.25">
      <c r="B7214" t="str">
        <f t="shared" si="112"/>
        <v>PSSPopulation ages 10-14, male</v>
      </c>
      <c r="C7214" t="s">
        <v>602</v>
      </c>
      <c r="D7214" t="s">
        <v>603</v>
      </c>
      <c r="E7214" t="s">
        <v>367</v>
      </c>
      <c r="F7214" t="s">
        <v>696</v>
      </c>
      <c r="G7214">
        <v>131800</v>
      </c>
      <c r="H7214">
        <v>133200</v>
      </c>
    </row>
    <row r="7215" spans="2:8" x14ac:dyDescent="0.25">
      <c r="B7215" t="str">
        <f t="shared" si="112"/>
        <v>PSSPopulation ages 15-19, female</v>
      </c>
      <c r="C7215" t="s">
        <v>602</v>
      </c>
      <c r="D7215" t="s">
        <v>603</v>
      </c>
      <c r="E7215" t="s">
        <v>368</v>
      </c>
      <c r="F7215" t="s">
        <v>697</v>
      </c>
      <c r="G7215">
        <v>108000</v>
      </c>
      <c r="H7215">
        <v>110400</v>
      </c>
    </row>
    <row r="7216" spans="2:8" x14ac:dyDescent="0.25">
      <c r="B7216" t="str">
        <f t="shared" si="112"/>
        <v>PSSPopulation ages 15-19, male</v>
      </c>
      <c r="C7216" t="s">
        <v>602</v>
      </c>
      <c r="D7216" t="s">
        <v>603</v>
      </c>
      <c r="E7216" t="s">
        <v>369</v>
      </c>
      <c r="F7216" t="s">
        <v>698</v>
      </c>
      <c r="G7216">
        <v>115800</v>
      </c>
      <c r="H7216">
        <v>118000</v>
      </c>
    </row>
    <row r="7217" spans="2:8" x14ac:dyDescent="0.25">
      <c r="B7217" t="str">
        <f t="shared" si="112"/>
        <v>PSSPopulation ages 20-24, female</v>
      </c>
      <c r="C7217" t="s">
        <v>602</v>
      </c>
      <c r="D7217" t="s">
        <v>603</v>
      </c>
      <c r="E7217" t="s">
        <v>370</v>
      </c>
      <c r="F7217" t="s">
        <v>699</v>
      </c>
      <c r="G7217">
        <v>99400</v>
      </c>
      <c r="H7217">
        <v>100500</v>
      </c>
    </row>
    <row r="7218" spans="2:8" x14ac:dyDescent="0.25">
      <c r="B7218" t="str">
        <f t="shared" si="112"/>
        <v>PSSPopulation ages 20-24, male</v>
      </c>
      <c r="C7218" t="s">
        <v>602</v>
      </c>
      <c r="D7218" t="s">
        <v>603</v>
      </c>
      <c r="E7218" t="s">
        <v>371</v>
      </c>
      <c r="F7218" t="s">
        <v>700</v>
      </c>
      <c r="G7218">
        <v>106200</v>
      </c>
      <c r="H7218">
        <v>107300</v>
      </c>
    </row>
    <row r="7219" spans="2:8" x14ac:dyDescent="0.25">
      <c r="B7219" t="str">
        <f t="shared" si="112"/>
        <v>PSSPopulation ages 25-29, female</v>
      </c>
      <c r="C7219" t="s">
        <v>602</v>
      </c>
      <c r="D7219" t="s">
        <v>603</v>
      </c>
      <c r="E7219" t="s">
        <v>372</v>
      </c>
      <c r="F7219" t="s">
        <v>701</v>
      </c>
      <c r="G7219">
        <v>92100</v>
      </c>
      <c r="H7219">
        <v>92500</v>
      </c>
    </row>
    <row r="7220" spans="2:8" x14ac:dyDescent="0.25">
      <c r="B7220" t="str">
        <f t="shared" si="112"/>
        <v>PSSPopulation ages 25-29, male</v>
      </c>
      <c r="C7220" t="s">
        <v>602</v>
      </c>
      <c r="D7220" t="s">
        <v>603</v>
      </c>
      <c r="E7220" t="s">
        <v>373</v>
      </c>
      <c r="F7220" t="s">
        <v>702</v>
      </c>
      <c r="G7220">
        <v>94500</v>
      </c>
      <c r="H7220">
        <v>96000</v>
      </c>
    </row>
    <row r="7221" spans="2:8" x14ac:dyDescent="0.25">
      <c r="B7221" t="str">
        <f t="shared" si="112"/>
        <v>PSSPopulation ages 30-34, female</v>
      </c>
      <c r="C7221" t="s">
        <v>602</v>
      </c>
      <c r="D7221" t="s">
        <v>603</v>
      </c>
      <c r="E7221" t="s">
        <v>374</v>
      </c>
      <c r="F7221" t="s">
        <v>703</v>
      </c>
      <c r="G7221">
        <v>83100</v>
      </c>
      <c r="H7221">
        <v>83300</v>
      </c>
    </row>
    <row r="7222" spans="2:8" x14ac:dyDescent="0.25">
      <c r="B7222" t="str">
        <f t="shared" si="112"/>
        <v>PSSPopulation ages 30-34, male</v>
      </c>
      <c r="C7222" t="s">
        <v>602</v>
      </c>
      <c r="D7222" t="s">
        <v>603</v>
      </c>
      <c r="E7222" t="s">
        <v>375</v>
      </c>
      <c r="F7222" t="s">
        <v>704</v>
      </c>
      <c r="G7222">
        <v>83400</v>
      </c>
      <c r="H7222">
        <v>83900</v>
      </c>
    </row>
    <row r="7223" spans="2:8" x14ac:dyDescent="0.25">
      <c r="B7223" t="str">
        <f t="shared" si="112"/>
        <v>PSSPopulation ages 35-39, female</v>
      </c>
      <c r="C7223" t="s">
        <v>602</v>
      </c>
      <c r="D7223" t="s">
        <v>603</v>
      </c>
      <c r="E7223" t="s">
        <v>376</v>
      </c>
      <c r="F7223" t="s">
        <v>705</v>
      </c>
      <c r="G7223">
        <v>77300</v>
      </c>
      <c r="H7223">
        <v>77800</v>
      </c>
    </row>
    <row r="7224" spans="2:8" x14ac:dyDescent="0.25">
      <c r="B7224" t="str">
        <f t="shared" si="112"/>
        <v>PSSPopulation ages 35-39, male</v>
      </c>
      <c r="C7224" t="s">
        <v>602</v>
      </c>
      <c r="D7224" t="s">
        <v>603</v>
      </c>
      <c r="E7224" t="s">
        <v>377</v>
      </c>
      <c r="F7224" t="s">
        <v>706</v>
      </c>
      <c r="G7224">
        <v>76700</v>
      </c>
      <c r="H7224">
        <v>78100</v>
      </c>
    </row>
    <row r="7225" spans="2:8" x14ac:dyDescent="0.25">
      <c r="B7225" t="str">
        <f t="shared" si="112"/>
        <v>PSSPopulation ages 40-44, female</v>
      </c>
      <c r="C7225" t="s">
        <v>602</v>
      </c>
      <c r="D7225" t="s">
        <v>603</v>
      </c>
      <c r="E7225" t="s">
        <v>378</v>
      </c>
      <c r="F7225" t="s">
        <v>707</v>
      </c>
      <c r="G7225">
        <v>67400</v>
      </c>
      <c r="H7225">
        <v>68800</v>
      </c>
    </row>
    <row r="7226" spans="2:8" x14ac:dyDescent="0.25">
      <c r="B7226" t="str">
        <f t="shared" si="112"/>
        <v>PSSPopulation ages 40-44, male</v>
      </c>
      <c r="C7226" t="s">
        <v>602</v>
      </c>
      <c r="D7226" t="s">
        <v>603</v>
      </c>
      <c r="E7226" t="s">
        <v>379</v>
      </c>
      <c r="F7226" t="s">
        <v>708</v>
      </c>
      <c r="G7226">
        <v>68400</v>
      </c>
      <c r="H7226">
        <v>68800</v>
      </c>
    </row>
    <row r="7227" spans="2:8" x14ac:dyDescent="0.25">
      <c r="B7227" t="str">
        <f t="shared" si="112"/>
        <v>PSSPopulation ages 45-49, female</v>
      </c>
      <c r="C7227" t="s">
        <v>602</v>
      </c>
      <c r="D7227" t="s">
        <v>603</v>
      </c>
      <c r="E7227" t="s">
        <v>380</v>
      </c>
      <c r="F7227" t="s">
        <v>709</v>
      </c>
      <c r="G7227">
        <v>57700</v>
      </c>
      <c r="H7227">
        <v>59100</v>
      </c>
    </row>
    <row r="7228" spans="2:8" x14ac:dyDescent="0.25">
      <c r="B7228" t="str">
        <f t="shared" si="112"/>
        <v>PSSPopulation ages 45-49, male</v>
      </c>
      <c r="C7228" t="s">
        <v>602</v>
      </c>
      <c r="D7228" t="s">
        <v>603</v>
      </c>
      <c r="E7228" t="s">
        <v>381</v>
      </c>
      <c r="F7228" t="s">
        <v>710</v>
      </c>
      <c r="G7228">
        <v>59000</v>
      </c>
      <c r="H7228">
        <v>60100</v>
      </c>
    </row>
    <row r="7229" spans="2:8" x14ac:dyDescent="0.25">
      <c r="B7229" t="str">
        <f t="shared" si="112"/>
        <v>PSSPopulation ages 50-54, female</v>
      </c>
      <c r="C7229" t="s">
        <v>602</v>
      </c>
      <c r="D7229" t="s">
        <v>603</v>
      </c>
      <c r="E7229" t="s">
        <v>382</v>
      </c>
      <c r="F7229" t="s">
        <v>711</v>
      </c>
      <c r="G7229">
        <v>51500</v>
      </c>
      <c r="H7229">
        <v>51700</v>
      </c>
    </row>
    <row r="7230" spans="2:8" x14ac:dyDescent="0.25">
      <c r="B7230" t="str">
        <f t="shared" si="112"/>
        <v>PSSPopulation ages 50-54, male</v>
      </c>
      <c r="C7230" t="s">
        <v>602</v>
      </c>
      <c r="D7230" t="s">
        <v>603</v>
      </c>
      <c r="E7230" t="s">
        <v>383</v>
      </c>
      <c r="F7230" t="s">
        <v>712</v>
      </c>
      <c r="G7230">
        <v>52800</v>
      </c>
      <c r="H7230">
        <v>53100</v>
      </c>
    </row>
    <row r="7231" spans="2:8" x14ac:dyDescent="0.25">
      <c r="B7231" t="str">
        <f t="shared" si="112"/>
        <v>PSSPopulation ages 55-59, male</v>
      </c>
      <c r="C7231" t="s">
        <v>602</v>
      </c>
      <c r="D7231" t="s">
        <v>603</v>
      </c>
      <c r="E7231" t="s">
        <v>385</v>
      </c>
      <c r="F7231" t="s">
        <v>713</v>
      </c>
      <c r="G7231">
        <v>44800</v>
      </c>
      <c r="H7231">
        <v>45800</v>
      </c>
    </row>
    <row r="7232" spans="2:8" x14ac:dyDescent="0.25">
      <c r="B7232" t="str">
        <f t="shared" si="112"/>
        <v>PSSPopulation ages 55-59, female</v>
      </c>
      <c r="C7232" t="s">
        <v>602</v>
      </c>
      <c r="D7232" t="s">
        <v>603</v>
      </c>
      <c r="E7232" t="s">
        <v>384</v>
      </c>
      <c r="F7232" t="s">
        <v>714</v>
      </c>
      <c r="G7232">
        <v>44800</v>
      </c>
      <c r="H7232">
        <v>45600</v>
      </c>
    </row>
    <row r="7233" spans="2:8" x14ac:dyDescent="0.25">
      <c r="B7233" t="str">
        <f t="shared" si="112"/>
        <v>PSSPopulation ages 65-69, male</v>
      </c>
      <c r="C7233" t="s">
        <v>602</v>
      </c>
      <c r="D7233" t="s">
        <v>603</v>
      </c>
      <c r="E7233" t="s">
        <v>389</v>
      </c>
      <c r="F7233" t="s">
        <v>715</v>
      </c>
      <c r="G7233">
        <v>22000</v>
      </c>
      <c r="H7233">
        <v>23500</v>
      </c>
    </row>
    <row r="7234" spans="2:8" x14ac:dyDescent="0.25">
      <c r="B7234" t="str">
        <f t="shared" si="112"/>
        <v>PSSPopulation ages 65-69, female</v>
      </c>
      <c r="C7234" t="s">
        <v>602</v>
      </c>
      <c r="D7234" t="s">
        <v>603</v>
      </c>
      <c r="E7234" t="s">
        <v>388</v>
      </c>
      <c r="F7234" t="s">
        <v>716</v>
      </c>
      <c r="G7234">
        <v>24500</v>
      </c>
      <c r="H7234">
        <v>25000</v>
      </c>
    </row>
    <row r="7235" spans="2:8" x14ac:dyDescent="0.25">
      <c r="B7235" t="str">
        <f t="shared" si="112"/>
        <v>PSSPopulation ages 60-64, female</v>
      </c>
      <c r="C7235" t="s">
        <v>602</v>
      </c>
      <c r="D7235" t="s">
        <v>603</v>
      </c>
      <c r="E7235" t="s">
        <v>386</v>
      </c>
      <c r="F7235" t="s">
        <v>717</v>
      </c>
      <c r="G7235">
        <v>34300</v>
      </c>
      <c r="H7235">
        <v>36200</v>
      </c>
    </row>
    <row r="7236" spans="2:8" x14ac:dyDescent="0.25">
      <c r="B7236" t="str">
        <f t="shared" si="112"/>
        <v>PSSPopulation ages 60-64, male</v>
      </c>
      <c r="C7236" t="s">
        <v>602</v>
      </c>
      <c r="D7236" t="s">
        <v>603</v>
      </c>
      <c r="E7236" t="s">
        <v>387</v>
      </c>
      <c r="F7236" t="s">
        <v>718</v>
      </c>
      <c r="G7236">
        <v>33300</v>
      </c>
      <c r="H7236">
        <v>35000</v>
      </c>
    </row>
    <row r="7237" spans="2:8" x14ac:dyDescent="0.25">
      <c r="B7237" t="str">
        <f t="shared" si="112"/>
        <v>PSSPopulation ages 70-74, female</v>
      </c>
      <c r="C7237" t="s">
        <v>602</v>
      </c>
      <c r="D7237" t="s">
        <v>603</v>
      </c>
      <c r="E7237" t="s">
        <v>390</v>
      </c>
      <c r="F7237" t="s">
        <v>719</v>
      </c>
      <c r="G7237">
        <v>17200</v>
      </c>
      <c r="H7237">
        <v>18000</v>
      </c>
    </row>
    <row r="7238" spans="2:8" x14ac:dyDescent="0.25">
      <c r="B7238" t="str">
        <f t="shared" si="112"/>
        <v>PSSPopulation ages 70-74, male</v>
      </c>
      <c r="C7238" t="s">
        <v>602</v>
      </c>
      <c r="D7238" t="s">
        <v>603</v>
      </c>
      <c r="E7238" t="s">
        <v>391</v>
      </c>
      <c r="F7238" t="s">
        <v>720</v>
      </c>
      <c r="G7238">
        <v>14500</v>
      </c>
      <c r="H7238">
        <v>15100</v>
      </c>
    </row>
    <row r="7239" spans="2:8" x14ac:dyDescent="0.25">
      <c r="B7239" t="str">
        <f t="shared" ref="B7239:B7302" si="113">CONCATENATE(D7239,E7239)</f>
        <v>PSSPopulation ages 75-79, female</v>
      </c>
      <c r="C7239" t="s">
        <v>602</v>
      </c>
      <c r="D7239" t="s">
        <v>603</v>
      </c>
      <c r="E7239" t="s">
        <v>392</v>
      </c>
      <c r="F7239" t="s">
        <v>721</v>
      </c>
      <c r="G7239">
        <v>10600</v>
      </c>
      <c r="H7239">
        <v>10900</v>
      </c>
    </row>
    <row r="7240" spans="2:8" x14ac:dyDescent="0.25">
      <c r="B7240" t="str">
        <f t="shared" si="113"/>
        <v>PSSPopulation ages 75-79, male</v>
      </c>
      <c r="C7240" t="s">
        <v>602</v>
      </c>
      <c r="D7240" t="s">
        <v>603</v>
      </c>
      <c r="E7240" t="s">
        <v>393</v>
      </c>
      <c r="F7240" t="s">
        <v>722</v>
      </c>
      <c r="G7240">
        <v>7900</v>
      </c>
      <c r="H7240">
        <v>8200</v>
      </c>
    </row>
    <row r="7241" spans="2:8" x14ac:dyDescent="0.25">
      <c r="B7241" t="str">
        <f t="shared" si="113"/>
        <v>PSSPopulation ages 80 and above, female</v>
      </c>
      <c r="C7241" t="s">
        <v>602</v>
      </c>
      <c r="D7241" t="s">
        <v>603</v>
      </c>
      <c r="E7241" t="s">
        <v>394</v>
      </c>
      <c r="F7241" t="s">
        <v>723</v>
      </c>
      <c r="G7241">
        <v>8100</v>
      </c>
      <c r="H7241">
        <v>8100</v>
      </c>
    </row>
    <row r="7242" spans="2:8" x14ac:dyDescent="0.25">
      <c r="B7242" t="str">
        <f t="shared" si="113"/>
        <v>PSSPopulation ages 80 and above, male</v>
      </c>
      <c r="C7242" t="s">
        <v>602</v>
      </c>
      <c r="D7242" t="s">
        <v>603</v>
      </c>
      <c r="E7242" t="s">
        <v>395</v>
      </c>
      <c r="F7242" t="s">
        <v>724</v>
      </c>
      <c r="G7242">
        <v>6100</v>
      </c>
      <c r="H7242">
        <v>6100</v>
      </c>
    </row>
    <row r="7243" spans="2:8" x14ac:dyDescent="0.25">
      <c r="B7243" t="str">
        <f t="shared" si="113"/>
        <v>PSSPopulation, male</v>
      </c>
      <c r="C7243" t="s">
        <v>602</v>
      </c>
      <c r="D7243" t="s">
        <v>603</v>
      </c>
      <c r="E7243" t="s">
        <v>397</v>
      </c>
      <c r="F7243" t="s">
        <v>725</v>
      </c>
      <c r="G7243">
        <v>1214000</v>
      </c>
      <c r="H7243">
        <v>1232000</v>
      </c>
    </row>
    <row r="7244" spans="2:8" x14ac:dyDescent="0.25">
      <c r="B7244" t="str">
        <f t="shared" si="113"/>
        <v>PSSPopulation, total</v>
      </c>
      <c r="C7244" t="s">
        <v>602</v>
      </c>
      <c r="D7244" t="s">
        <v>603</v>
      </c>
      <c r="E7244" t="s">
        <v>398</v>
      </c>
      <c r="F7244" t="s">
        <v>726</v>
      </c>
      <c r="G7244">
        <v>2495000</v>
      </c>
      <c r="H7244">
        <v>2530000</v>
      </c>
    </row>
    <row r="7245" spans="2:8" x14ac:dyDescent="0.25">
      <c r="B7245" t="str">
        <f t="shared" si="113"/>
        <v>PSSPopulation, female</v>
      </c>
      <c r="C7245" t="s">
        <v>602</v>
      </c>
      <c r="D7245" t="s">
        <v>603</v>
      </c>
      <c r="E7245" t="s">
        <v>396</v>
      </c>
      <c r="F7245" t="s">
        <v>727</v>
      </c>
      <c r="G7245">
        <v>1179000</v>
      </c>
      <c r="H7245">
        <v>1198000</v>
      </c>
    </row>
    <row r="7246" spans="2:8" x14ac:dyDescent="0.25">
      <c r="B7246" t="str">
        <f t="shared" si="113"/>
        <v>PSSPopulation growth (annual %)</v>
      </c>
      <c r="C7246" t="s">
        <v>602</v>
      </c>
      <c r="D7246" t="s">
        <v>603</v>
      </c>
      <c r="E7246" t="s">
        <v>399</v>
      </c>
      <c r="F7246" t="s">
        <v>728</v>
      </c>
      <c r="G7246">
        <v>1.5314358823895731</v>
      </c>
      <c r="H7246">
        <v>1.4028056112224334</v>
      </c>
    </row>
    <row r="7247" spans="2:8" x14ac:dyDescent="0.25">
      <c r="B7247" t="str">
        <f t="shared" si="113"/>
        <v>PAKPopulation ages 0-14, female</v>
      </c>
      <c r="C7247" t="s">
        <v>176</v>
      </c>
      <c r="D7247" t="s">
        <v>112</v>
      </c>
      <c r="E7247" t="s">
        <v>687</v>
      </c>
      <c r="F7247" t="s">
        <v>688</v>
      </c>
      <c r="G7247">
        <v>36537000</v>
      </c>
      <c r="H7247">
        <v>37024000</v>
      </c>
    </row>
    <row r="7248" spans="2:8" x14ac:dyDescent="0.25">
      <c r="B7248" t="str">
        <f t="shared" si="113"/>
        <v>PAKPopulation ages 0-14, male</v>
      </c>
      <c r="C7248" t="s">
        <v>176</v>
      </c>
      <c r="D7248" t="s">
        <v>112</v>
      </c>
      <c r="E7248" t="s">
        <v>689</v>
      </c>
      <c r="F7248" t="s">
        <v>690</v>
      </c>
      <c r="G7248">
        <v>39379000</v>
      </c>
      <c r="H7248">
        <v>39890000</v>
      </c>
    </row>
    <row r="7249" spans="2:8" x14ac:dyDescent="0.25">
      <c r="B7249" t="str">
        <f t="shared" si="113"/>
        <v>PAKPopulation ages 00-04, female</v>
      </c>
      <c r="C7249" t="s">
        <v>176</v>
      </c>
      <c r="D7249" t="s">
        <v>112</v>
      </c>
      <c r="E7249" t="s">
        <v>362</v>
      </c>
      <c r="F7249" t="s">
        <v>691</v>
      </c>
      <c r="G7249">
        <v>13309000</v>
      </c>
      <c r="H7249">
        <v>13454000</v>
      </c>
    </row>
    <row r="7250" spans="2:8" x14ac:dyDescent="0.25">
      <c r="B7250" t="str">
        <f t="shared" si="113"/>
        <v>PAKPopulation ages 00-04, male</v>
      </c>
      <c r="C7250" t="s">
        <v>176</v>
      </c>
      <c r="D7250" t="s">
        <v>112</v>
      </c>
      <c r="E7250" t="s">
        <v>363</v>
      </c>
      <c r="F7250" t="s">
        <v>692</v>
      </c>
      <c r="G7250">
        <v>14359000</v>
      </c>
      <c r="H7250">
        <v>14509000</v>
      </c>
    </row>
    <row r="7251" spans="2:8" x14ac:dyDescent="0.25">
      <c r="B7251" t="str">
        <f t="shared" si="113"/>
        <v>PAKPopulation ages 05-09, female</v>
      </c>
      <c r="C7251" t="s">
        <v>176</v>
      </c>
      <c r="D7251" t="s">
        <v>112</v>
      </c>
      <c r="E7251" t="s">
        <v>364</v>
      </c>
      <c r="F7251" t="s">
        <v>693</v>
      </c>
      <c r="G7251">
        <v>12091000</v>
      </c>
      <c r="H7251">
        <v>12273000</v>
      </c>
    </row>
    <row r="7252" spans="2:8" x14ac:dyDescent="0.25">
      <c r="B7252" t="str">
        <f t="shared" si="113"/>
        <v>PAKPopulation ages 05-09, male</v>
      </c>
      <c r="C7252" t="s">
        <v>176</v>
      </c>
      <c r="D7252" t="s">
        <v>112</v>
      </c>
      <c r="E7252" t="s">
        <v>365</v>
      </c>
      <c r="F7252" t="s">
        <v>694</v>
      </c>
      <c r="G7252">
        <v>13016000</v>
      </c>
      <c r="H7252">
        <v>13226000</v>
      </c>
    </row>
    <row r="7253" spans="2:8" x14ac:dyDescent="0.25">
      <c r="B7253" t="str">
        <f t="shared" si="113"/>
        <v>PAKPopulation ages 10-14, female</v>
      </c>
      <c r="C7253" t="s">
        <v>176</v>
      </c>
      <c r="D7253" t="s">
        <v>112</v>
      </c>
      <c r="E7253" t="s">
        <v>366</v>
      </c>
      <c r="F7253" t="s">
        <v>695</v>
      </c>
      <c r="G7253">
        <v>11137000</v>
      </c>
      <c r="H7253">
        <v>11297000</v>
      </c>
    </row>
    <row r="7254" spans="2:8" x14ac:dyDescent="0.25">
      <c r="B7254" t="str">
        <f t="shared" si="113"/>
        <v>PAKPopulation ages 10-14, male</v>
      </c>
      <c r="C7254" t="s">
        <v>176</v>
      </c>
      <c r="D7254" t="s">
        <v>112</v>
      </c>
      <c r="E7254" t="s">
        <v>367</v>
      </c>
      <c r="F7254" t="s">
        <v>696</v>
      </c>
      <c r="G7254">
        <v>12004000</v>
      </c>
      <c r="H7254">
        <v>12155000</v>
      </c>
    </row>
    <row r="7255" spans="2:8" x14ac:dyDescent="0.25">
      <c r="B7255" t="str">
        <f t="shared" si="113"/>
        <v>PAKPopulation ages 15-19, female</v>
      </c>
      <c r="C7255" t="s">
        <v>176</v>
      </c>
      <c r="D7255" t="s">
        <v>112</v>
      </c>
      <c r="E7255" t="s">
        <v>368</v>
      </c>
      <c r="F7255" t="s">
        <v>697</v>
      </c>
      <c r="G7255">
        <v>10440000</v>
      </c>
      <c r="H7255">
        <v>10533000</v>
      </c>
    </row>
    <row r="7256" spans="2:8" x14ac:dyDescent="0.25">
      <c r="B7256" t="str">
        <f t="shared" si="113"/>
        <v>PAKPopulation ages 15-19, male</v>
      </c>
      <c r="C7256" t="s">
        <v>176</v>
      </c>
      <c r="D7256" t="s">
        <v>112</v>
      </c>
      <c r="E7256" t="s">
        <v>369</v>
      </c>
      <c r="F7256" t="s">
        <v>698</v>
      </c>
      <c r="G7256">
        <v>11334000</v>
      </c>
      <c r="H7256">
        <v>11443000</v>
      </c>
    </row>
    <row r="7257" spans="2:8" x14ac:dyDescent="0.25">
      <c r="B7257" t="str">
        <f t="shared" si="113"/>
        <v>PAKPopulation ages 20-24, female</v>
      </c>
      <c r="C7257" t="s">
        <v>176</v>
      </c>
      <c r="D7257" t="s">
        <v>112</v>
      </c>
      <c r="E7257" t="s">
        <v>370</v>
      </c>
      <c r="F7257" t="s">
        <v>699</v>
      </c>
      <c r="G7257">
        <v>9949000</v>
      </c>
      <c r="H7257">
        <v>10030000</v>
      </c>
    </row>
    <row r="7258" spans="2:8" x14ac:dyDescent="0.25">
      <c r="B7258" t="str">
        <f t="shared" si="113"/>
        <v>PAKPopulation ages 20-24, male</v>
      </c>
      <c r="C7258" t="s">
        <v>176</v>
      </c>
      <c r="D7258" t="s">
        <v>112</v>
      </c>
      <c r="E7258" t="s">
        <v>371</v>
      </c>
      <c r="F7258" t="s">
        <v>700</v>
      </c>
      <c r="G7258">
        <v>10615000</v>
      </c>
      <c r="H7258">
        <v>10742000</v>
      </c>
    </row>
    <row r="7259" spans="2:8" x14ac:dyDescent="0.25">
      <c r="B7259" t="str">
        <f t="shared" si="113"/>
        <v>PAKPopulation ages 25-29, female</v>
      </c>
      <c r="C7259" t="s">
        <v>176</v>
      </c>
      <c r="D7259" t="s">
        <v>112</v>
      </c>
      <c r="E7259" t="s">
        <v>372</v>
      </c>
      <c r="F7259" t="s">
        <v>701</v>
      </c>
      <c r="G7259">
        <v>9176000</v>
      </c>
      <c r="H7259">
        <v>9337000</v>
      </c>
    </row>
    <row r="7260" spans="2:8" x14ac:dyDescent="0.25">
      <c r="B7260" t="str">
        <f t="shared" si="113"/>
        <v>PAKPopulation ages 25-29, male</v>
      </c>
      <c r="C7260" t="s">
        <v>176</v>
      </c>
      <c r="D7260" t="s">
        <v>112</v>
      </c>
      <c r="E7260" t="s">
        <v>373</v>
      </c>
      <c r="F7260" t="s">
        <v>702</v>
      </c>
      <c r="G7260">
        <v>9637000</v>
      </c>
      <c r="H7260">
        <v>9821000</v>
      </c>
    </row>
    <row r="7261" spans="2:8" x14ac:dyDescent="0.25">
      <c r="B7261" t="str">
        <f t="shared" si="113"/>
        <v>PAKPopulation ages 30-34, female</v>
      </c>
      <c r="C7261" t="s">
        <v>176</v>
      </c>
      <c r="D7261" t="s">
        <v>112</v>
      </c>
      <c r="E7261" t="s">
        <v>374</v>
      </c>
      <c r="F7261" t="s">
        <v>703</v>
      </c>
      <c r="G7261">
        <v>7978000</v>
      </c>
      <c r="H7261">
        <v>8221000</v>
      </c>
    </row>
    <row r="7262" spans="2:8" x14ac:dyDescent="0.25">
      <c r="B7262" t="str">
        <f t="shared" si="113"/>
        <v>PAKPopulation ages 30-34, male</v>
      </c>
      <c r="C7262" t="s">
        <v>176</v>
      </c>
      <c r="D7262" t="s">
        <v>112</v>
      </c>
      <c r="E7262" t="s">
        <v>375</v>
      </c>
      <c r="F7262" t="s">
        <v>704</v>
      </c>
      <c r="G7262">
        <v>8345000</v>
      </c>
      <c r="H7262">
        <v>8597000</v>
      </c>
    </row>
    <row r="7263" spans="2:8" x14ac:dyDescent="0.25">
      <c r="B7263" t="str">
        <f t="shared" si="113"/>
        <v>PAKPopulation ages 35-39, female</v>
      </c>
      <c r="C7263" t="s">
        <v>176</v>
      </c>
      <c r="D7263" t="s">
        <v>112</v>
      </c>
      <c r="E7263" t="s">
        <v>376</v>
      </c>
      <c r="F7263" t="s">
        <v>705</v>
      </c>
      <c r="G7263">
        <v>6619000</v>
      </c>
      <c r="H7263">
        <v>6853000</v>
      </c>
    </row>
    <row r="7264" spans="2:8" x14ac:dyDescent="0.25">
      <c r="B7264" t="str">
        <f t="shared" si="113"/>
        <v>PAKPopulation ages 35-39, male</v>
      </c>
      <c r="C7264" t="s">
        <v>176</v>
      </c>
      <c r="D7264" t="s">
        <v>112</v>
      </c>
      <c r="E7264" t="s">
        <v>377</v>
      </c>
      <c r="F7264" t="s">
        <v>706</v>
      </c>
      <c r="G7264">
        <v>6901000</v>
      </c>
      <c r="H7264">
        <v>7144000</v>
      </c>
    </row>
    <row r="7265" spans="2:8" x14ac:dyDescent="0.25">
      <c r="B7265" t="str">
        <f t="shared" si="113"/>
        <v>PAKPopulation ages 40-44, female</v>
      </c>
      <c r="C7265" t="s">
        <v>176</v>
      </c>
      <c r="D7265" t="s">
        <v>112</v>
      </c>
      <c r="E7265" t="s">
        <v>378</v>
      </c>
      <c r="F7265" t="s">
        <v>707</v>
      </c>
      <c r="G7265">
        <v>5501000</v>
      </c>
      <c r="H7265">
        <v>5693000</v>
      </c>
    </row>
    <row r="7266" spans="2:8" x14ac:dyDescent="0.25">
      <c r="B7266" t="str">
        <f t="shared" si="113"/>
        <v>PAKPopulation ages 40-44, male</v>
      </c>
      <c r="C7266" t="s">
        <v>176</v>
      </c>
      <c r="D7266" t="s">
        <v>112</v>
      </c>
      <c r="E7266" t="s">
        <v>379</v>
      </c>
      <c r="F7266" t="s">
        <v>708</v>
      </c>
      <c r="G7266">
        <v>5725000</v>
      </c>
      <c r="H7266">
        <v>5923000</v>
      </c>
    </row>
    <row r="7267" spans="2:8" x14ac:dyDescent="0.25">
      <c r="B7267" t="str">
        <f t="shared" si="113"/>
        <v>PAKPopulation ages 45-49, female</v>
      </c>
      <c r="C7267" t="s">
        <v>176</v>
      </c>
      <c r="D7267" t="s">
        <v>112</v>
      </c>
      <c r="E7267" t="s">
        <v>380</v>
      </c>
      <c r="F7267" t="s">
        <v>709</v>
      </c>
      <c r="G7267">
        <v>4594000</v>
      </c>
      <c r="H7267">
        <v>4728000</v>
      </c>
    </row>
    <row r="7268" spans="2:8" x14ac:dyDescent="0.25">
      <c r="B7268" t="str">
        <f t="shared" si="113"/>
        <v>PAKPopulation ages 45-49, male</v>
      </c>
      <c r="C7268" t="s">
        <v>176</v>
      </c>
      <c r="D7268" t="s">
        <v>112</v>
      </c>
      <c r="E7268" t="s">
        <v>381</v>
      </c>
      <c r="F7268" t="s">
        <v>710</v>
      </c>
      <c r="G7268">
        <v>4766000</v>
      </c>
      <c r="H7268">
        <v>4905000</v>
      </c>
    </row>
    <row r="7269" spans="2:8" x14ac:dyDescent="0.25">
      <c r="B7269" t="str">
        <f t="shared" si="113"/>
        <v>PAKPopulation ages 50-54, female</v>
      </c>
      <c r="C7269" t="s">
        <v>176</v>
      </c>
      <c r="D7269" t="s">
        <v>112</v>
      </c>
      <c r="E7269" t="s">
        <v>382</v>
      </c>
      <c r="F7269" t="s">
        <v>711</v>
      </c>
      <c r="G7269">
        <v>3954000</v>
      </c>
      <c r="H7269">
        <v>4054000</v>
      </c>
    </row>
    <row r="7270" spans="2:8" x14ac:dyDescent="0.25">
      <c r="B7270" t="str">
        <f t="shared" si="113"/>
        <v>PAKPopulation ages 50-54, male</v>
      </c>
      <c r="C7270" t="s">
        <v>176</v>
      </c>
      <c r="D7270" t="s">
        <v>112</v>
      </c>
      <c r="E7270" t="s">
        <v>383</v>
      </c>
      <c r="F7270" t="s">
        <v>712</v>
      </c>
      <c r="G7270">
        <v>4073000</v>
      </c>
      <c r="H7270">
        <v>4177000</v>
      </c>
    </row>
    <row r="7271" spans="2:8" x14ac:dyDescent="0.25">
      <c r="B7271" t="str">
        <f t="shared" si="113"/>
        <v>PAKPopulation ages 55-59, male</v>
      </c>
      <c r="C7271" t="s">
        <v>176</v>
      </c>
      <c r="D7271" t="s">
        <v>112</v>
      </c>
      <c r="E7271" t="s">
        <v>385</v>
      </c>
      <c r="F7271" t="s">
        <v>713</v>
      </c>
      <c r="G7271">
        <v>3371000</v>
      </c>
      <c r="H7271">
        <v>3486000</v>
      </c>
    </row>
    <row r="7272" spans="2:8" x14ac:dyDescent="0.25">
      <c r="B7272" t="str">
        <f t="shared" si="113"/>
        <v>PAKPopulation ages 55-59, female</v>
      </c>
      <c r="C7272" t="s">
        <v>176</v>
      </c>
      <c r="D7272" t="s">
        <v>112</v>
      </c>
      <c r="E7272" t="s">
        <v>384</v>
      </c>
      <c r="F7272" t="s">
        <v>714</v>
      </c>
      <c r="G7272">
        <v>3291000</v>
      </c>
      <c r="H7272">
        <v>3406000</v>
      </c>
    </row>
    <row r="7273" spans="2:8" x14ac:dyDescent="0.25">
      <c r="B7273" t="str">
        <f t="shared" si="113"/>
        <v>PAKPopulation ages 65-69, male</v>
      </c>
      <c r="C7273" t="s">
        <v>176</v>
      </c>
      <c r="D7273" t="s">
        <v>112</v>
      </c>
      <c r="E7273" t="s">
        <v>389</v>
      </c>
      <c r="F7273" t="s">
        <v>715</v>
      </c>
      <c r="G7273">
        <v>1754000</v>
      </c>
      <c r="H7273">
        <v>1821000</v>
      </c>
    </row>
    <row r="7274" spans="2:8" x14ac:dyDescent="0.25">
      <c r="B7274" t="str">
        <f t="shared" si="113"/>
        <v>PAKPopulation ages 65-69, female</v>
      </c>
      <c r="C7274" t="s">
        <v>176</v>
      </c>
      <c r="D7274" t="s">
        <v>112</v>
      </c>
      <c r="E7274" t="s">
        <v>388</v>
      </c>
      <c r="F7274" t="s">
        <v>716</v>
      </c>
      <c r="G7274">
        <v>1729000</v>
      </c>
      <c r="H7274">
        <v>1802000</v>
      </c>
    </row>
    <row r="7275" spans="2:8" x14ac:dyDescent="0.25">
      <c r="B7275" t="str">
        <f t="shared" si="113"/>
        <v>PAKPopulation ages 60-64, female</v>
      </c>
      <c r="C7275" t="s">
        <v>176</v>
      </c>
      <c r="D7275" t="s">
        <v>112</v>
      </c>
      <c r="E7275" t="s">
        <v>386</v>
      </c>
      <c r="F7275" t="s">
        <v>717</v>
      </c>
      <c r="G7275">
        <v>2483000</v>
      </c>
      <c r="H7275">
        <v>2613000</v>
      </c>
    </row>
    <row r="7276" spans="2:8" x14ac:dyDescent="0.25">
      <c r="B7276" t="str">
        <f t="shared" si="113"/>
        <v>PAKPopulation ages 60-64, male</v>
      </c>
      <c r="C7276" t="s">
        <v>176</v>
      </c>
      <c r="D7276" t="s">
        <v>112</v>
      </c>
      <c r="E7276" t="s">
        <v>387</v>
      </c>
      <c r="F7276" t="s">
        <v>718</v>
      </c>
      <c r="G7276">
        <v>2534000</v>
      </c>
      <c r="H7276">
        <v>2666000</v>
      </c>
    </row>
    <row r="7277" spans="2:8" x14ac:dyDescent="0.25">
      <c r="B7277" t="str">
        <f t="shared" si="113"/>
        <v>PAKPopulation ages 70-74, female</v>
      </c>
      <c r="C7277" t="s">
        <v>176</v>
      </c>
      <c r="D7277" t="s">
        <v>112</v>
      </c>
      <c r="E7277" t="s">
        <v>390</v>
      </c>
      <c r="F7277" t="s">
        <v>719</v>
      </c>
      <c r="G7277">
        <v>1307000</v>
      </c>
      <c r="H7277">
        <v>1334000</v>
      </c>
    </row>
    <row r="7278" spans="2:8" x14ac:dyDescent="0.25">
      <c r="B7278" t="str">
        <f t="shared" si="113"/>
        <v>PAKPopulation ages 70-74, male</v>
      </c>
      <c r="C7278" t="s">
        <v>176</v>
      </c>
      <c r="D7278" t="s">
        <v>112</v>
      </c>
      <c r="E7278" t="s">
        <v>391</v>
      </c>
      <c r="F7278" t="s">
        <v>720</v>
      </c>
      <c r="G7278">
        <v>1353000</v>
      </c>
      <c r="H7278">
        <v>1372000</v>
      </c>
    </row>
    <row r="7279" spans="2:8" x14ac:dyDescent="0.25">
      <c r="B7279" t="str">
        <f t="shared" si="113"/>
        <v>PAKPopulation ages 75-79, female</v>
      </c>
      <c r="C7279" t="s">
        <v>176</v>
      </c>
      <c r="D7279" t="s">
        <v>112</v>
      </c>
      <c r="E7279" t="s">
        <v>392</v>
      </c>
      <c r="F7279" t="s">
        <v>721</v>
      </c>
      <c r="G7279">
        <v>886000</v>
      </c>
      <c r="H7279">
        <v>914000</v>
      </c>
    </row>
    <row r="7280" spans="2:8" x14ac:dyDescent="0.25">
      <c r="B7280" t="str">
        <f t="shared" si="113"/>
        <v>PAKPopulation ages 75-79, male</v>
      </c>
      <c r="C7280" t="s">
        <v>176</v>
      </c>
      <c r="D7280" t="s">
        <v>112</v>
      </c>
      <c r="E7280" t="s">
        <v>393</v>
      </c>
      <c r="F7280" t="s">
        <v>722</v>
      </c>
      <c r="G7280">
        <v>918000</v>
      </c>
      <c r="H7280">
        <v>940000</v>
      </c>
    </row>
    <row r="7281" spans="2:8" x14ac:dyDescent="0.25">
      <c r="B7281" t="str">
        <f t="shared" si="113"/>
        <v>PAKPopulation ages 80 and above, female</v>
      </c>
      <c r="C7281" t="s">
        <v>176</v>
      </c>
      <c r="D7281" t="s">
        <v>112</v>
      </c>
      <c r="E7281" t="s">
        <v>394</v>
      </c>
      <c r="F7281" t="s">
        <v>723</v>
      </c>
      <c r="G7281">
        <v>672000</v>
      </c>
      <c r="H7281">
        <v>679000</v>
      </c>
    </row>
    <row r="7282" spans="2:8" x14ac:dyDescent="0.25">
      <c r="B7282" t="str">
        <f t="shared" si="113"/>
        <v>PAKPopulation ages 80 and above, male</v>
      </c>
      <c r="C7282" t="s">
        <v>176</v>
      </c>
      <c r="D7282" t="s">
        <v>112</v>
      </c>
      <c r="E7282" t="s">
        <v>395</v>
      </c>
      <c r="F7282" t="s">
        <v>724</v>
      </c>
      <c r="G7282">
        <v>741000</v>
      </c>
      <c r="H7282">
        <v>744000</v>
      </c>
    </row>
    <row r="7283" spans="2:8" x14ac:dyDescent="0.25">
      <c r="B7283" t="str">
        <f t="shared" si="113"/>
        <v>PAKPopulation, male</v>
      </c>
      <c r="C7283" t="s">
        <v>176</v>
      </c>
      <c r="D7283" t="s">
        <v>112</v>
      </c>
      <c r="E7283" t="s">
        <v>397</v>
      </c>
      <c r="F7283" t="s">
        <v>725</v>
      </c>
      <c r="G7283">
        <v>111448000</v>
      </c>
      <c r="H7283">
        <v>113672000</v>
      </c>
    </row>
    <row r="7284" spans="2:8" x14ac:dyDescent="0.25">
      <c r="B7284" t="str">
        <f t="shared" si="113"/>
        <v>PAKPopulation, total</v>
      </c>
      <c r="C7284" t="s">
        <v>176</v>
      </c>
      <c r="D7284" t="s">
        <v>112</v>
      </c>
      <c r="E7284" t="s">
        <v>398</v>
      </c>
      <c r="F7284" t="s">
        <v>726</v>
      </c>
      <c r="G7284">
        <v>216565000</v>
      </c>
      <c r="H7284">
        <v>220892000</v>
      </c>
    </row>
    <row r="7285" spans="2:8" x14ac:dyDescent="0.25">
      <c r="B7285" t="str">
        <f t="shared" si="113"/>
        <v>PAKPopulation, female</v>
      </c>
      <c r="C7285" t="s">
        <v>176</v>
      </c>
      <c r="D7285" t="s">
        <v>112</v>
      </c>
      <c r="E7285" t="s">
        <v>396</v>
      </c>
      <c r="F7285" t="s">
        <v>727</v>
      </c>
      <c r="G7285">
        <v>105118000</v>
      </c>
      <c r="H7285">
        <v>107220000</v>
      </c>
    </row>
    <row r="7286" spans="2:8" x14ac:dyDescent="0.25">
      <c r="B7286" t="str">
        <f t="shared" si="113"/>
        <v>PAKPopulation growth (annual %)</v>
      </c>
      <c r="C7286" t="s">
        <v>176</v>
      </c>
      <c r="D7286" t="s">
        <v>112</v>
      </c>
      <c r="E7286" t="s">
        <v>399</v>
      </c>
      <c r="F7286" t="s">
        <v>728</v>
      </c>
      <c r="G7286">
        <v>0</v>
      </c>
      <c r="H7286">
        <v>0</v>
      </c>
    </row>
    <row r="7287" spans="2:8" x14ac:dyDescent="0.25">
      <c r="B7287" t="str">
        <f t="shared" si="113"/>
        <v>PLWPopulation ages 0-14, female</v>
      </c>
      <c r="C7287" t="s">
        <v>604</v>
      </c>
      <c r="D7287" t="s">
        <v>605</v>
      </c>
      <c r="E7287" t="s">
        <v>687</v>
      </c>
      <c r="F7287" t="s">
        <v>688</v>
      </c>
      <c r="G7287">
        <v>0</v>
      </c>
      <c r="H7287">
        <v>0</v>
      </c>
    </row>
    <row r="7288" spans="2:8" x14ac:dyDescent="0.25">
      <c r="B7288" t="str">
        <f t="shared" si="113"/>
        <v>PLWPopulation ages 0-14, male</v>
      </c>
      <c r="C7288" t="s">
        <v>604</v>
      </c>
      <c r="D7288" t="s">
        <v>605</v>
      </c>
      <c r="E7288" t="s">
        <v>689</v>
      </c>
      <c r="F7288" t="s">
        <v>690</v>
      </c>
      <c r="G7288">
        <v>0</v>
      </c>
      <c r="H7288">
        <v>0</v>
      </c>
    </row>
    <row r="7289" spans="2:8" x14ac:dyDescent="0.25">
      <c r="B7289" t="str">
        <f t="shared" si="113"/>
        <v>PLWPopulation ages 00-04, female</v>
      </c>
      <c r="C7289" t="s">
        <v>604</v>
      </c>
      <c r="D7289" t="s">
        <v>605</v>
      </c>
      <c r="E7289" t="s">
        <v>362</v>
      </c>
      <c r="F7289" t="s">
        <v>691</v>
      </c>
      <c r="G7289">
        <v>0</v>
      </c>
      <c r="H7289">
        <v>0</v>
      </c>
    </row>
    <row r="7290" spans="2:8" x14ac:dyDescent="0.25">
      <c r="B7290" t="str">
        <f t="shared" si="113"/>
        <v>PLWPopulation ages 00-04, male</v>
      </c>
      <c r="C7290" t="s">
        <v>604</v>
      </c>
      <c r="D7290" t="s">
        <v>605</v>
      </c>
      <c r="E7290" t="s">
        <v>363</v>
      </c>
      <c r="F7290" t="s">
        <v>692</v>
      </c>
      <c r="G7290">
        <v>0</v>
      </c>
      <c r="H7290">
        <v>0</v>
      </c>
    </row>
    <row r="7291" spans="2:8" x14ac:dyDescent="0.25">
      <c r="B7291" t="str">
        <f t="shared" si="113"/>
        <v>PLWPopulation ages 05-09, female</v>
      </c>
      <c r="C7291" t="s">
        <v>604</v>
      </c>
      <c r="D7291" t="s">
        <v>605</v>
      </c>
      <c r="E7291" t="s">
        <v>364</v>
      </c>
      <c r="F7291" t="s">
        <v>693</v>
      </c>
      <c r="G7291">
        <v>0</v>
      </c>
      <c r="H7291">
        <v>0</v>
      </c>
    </row>
    <row r="7292" spans="2:8" x14ac:dyDescent="0.25">
      <c r="B7292" t="str">
        <f t="shared" si="113"/>
        <v>PLWPopulation ages 05-09, male</v>
      </c>
      <c r="C7292" t="s">
        <v>604</v>
      </c>
      <c r="D7292" t="s">
        <v>605</v>
      </c>
      <c r="E7292" t="s">
        <v>365</v>
      </c>
      <c r="F7292" t="s">
        <v>694</v>
      </c>
      <c r="G7292">
        <v>0</v>
      </c>
      <c r="H7292">
        <v>0</v>
      </c>
    </row>
    <row r="7293" spans="2:8" x14ac:dyDescent="0.25">
      <c r="B7293" t="str">
        <f t="shared" si="113"/>
        <v>PLWPopulation ages 10-14, female</v>
      </c>
      <c r="C7293" t="s">
        <v>604</v>
      </c>
      <c r="D7293" t="s">
        <v>605</v>
      </c>
      <c r="E7293" t="s">
        <v>366</v>
      </c>
      <c r="F7293" t="s">
        <v>695</v>
      </c>
      <c r="G7293">
        <v>0</v>
      </c>
      <c r="H7293">
        <v>0</v>
      </c>
    </row>
    <row r="7294" spans="2:8" x14ac:dyDescent="0.25">
      <c r="B7294" t="str">
        <f t="shared" si="113"/>
        <v>PLWPopulation ages 10-14, male</v>
      </c>
      <c r="C7294" t="s">
        <v>604</v>
      </c>
      <c r="D7294" t="s">
        <v>605</v>
      </c>
      <c r="E7294" t="s">
        <v>367</v>
      </c>
      <c r="F7294" t="s">
        <v>696</v>
      </c>
      <c r="G7294">
        <v>0</v>
      </c>
      <c r="H7294">
        <v>0</v>
      </c>
    </row>
    <row r="7295" spans="2:8" x14ac:dyDescent="0.25">
      <c r="B7295" t="str">
        <f t="shared" si="113"/>
        <v>PLWPopulation ages 15-19, female</v>
      </c>
      <c r="C7295" t="s">
        <v>604</v>
      </c>
      <c r="D7295" t="s">
        <v>605</v>
      </c>
      <c r="E7295" t="s">
        <v>368</v>
      </c>
      <c r="F7295" t="s">
        <v>697</v>
      </c>
      <c r="G7295">
        <v>0</v>
      </c>
      <c r="H7295">
        <v>0</v>
      </c>
    </row>
    <row r="7296" spans="2:8" x14ac:dyDescent="0.25">
      <c r="B7296" t="str">
        <f t="shared" si="113"/>
        <v>PLWPopulation ages 15-19, male</v>
      </c>
      <c r="C7296" t="s">
        <v>604</v>
      </c>
      <c r="D7296" t="s">
        <v>605</v>
      </c>
      <c r="E7296" t="s">
        <v>369</v>
      </c>
      <c r="F7296" t="s">
        <v>698</v>
      </c>
      <c r="G7296">
        <v>0</v>
      </c>
      <c r="H7296">
        <v>0</v>
      </c>
    </row>
    <row r="7297" spans="2:8" x14ac:dyDescent="0.25">
      <c r="B7297" t="str">
        <f t="shared" si="113"/>
        <v>PLWPopulation ages 20-24, female</v>
      </c>
      <c r="C7297" t="s">
        <v>604</v>
      </c>
      <c r="D7297" t="s">
        <v>605</v>
      </c>
      <c r="E7297" t="s">
        <v>370</v>
      </c>
      <c r="F7297" t="s">
        <v>699</v>
      </c>
      <c r="G7297">
        <v>0</v>
      </c>
      <c r="H7297">
        <v>0</v>
      </c>
    </row>
    <row r="7298" spans="2:8" x14ac:dyDescent="0.25">
      <c r="B7298" t="str">
        <f t="shared" si="113"/>
        <v>PLWPopulation ages 20-24, male</v>
      </c>
      <c r="C7298" t="s">
        <v>604</v>
      </c>
      <c r="D7298" t="s">
        <v>605</v>
      </c>
      <c r="E7298" t="s">
        <v>371</v>
      </c>
      <c r="F7298" t="s">
        <v>700</v>
      </c>
      <c r="G7298">
        <v>0</v>
      </c>
      <c r="H7298">
        <v>0</v>
      </c>
    </row>
    <row r="7299" spans="2:8" x14ac:dyDescent="0.25">
      <c r="B7299" t="str">
        <f t="shared" si="113"/>
        <v>PLWPopulation ages 25-29, female</v>
      </c>
      <c r="C7299" t="s">
        <v>604</v>
      </c>
      <c r="D7299" t="s">
        <v>605</v>
      </c>
      <c r="E7299" t="s">
        <v>372</v>
      </c>
      <c r="F7299" t="s">
        <v>701</v>
      </c>
      <c r="G7299">
        <v>0</v>
      </c>
      <c r="H7299">
        <v>0</v>
      </c>
    </row>
    <row r="7300" spans="2:8" x14ac:dyDescent="0.25">
      <c r="B7300" t="str">
        <f t="shared" si="113"/>
        <v>PLWPopulation ages 25-29, male</v>
      </c>
      <c r="C7300" t="s">
        <v>604</v>
      </c>
      <c r="D7300" t="s">
        <v>605</v>
      </c>
      <c r="E7300" t="s">
        <v>373</v>
      </c>
      <c r="F7300" t="s">
        <v>702</v>
      </c>
      <c r="G7300">
        <v>0</v>
      </c>
      <c r="H7300">
        <v>0</v>
      </c>
    </row>
    <row r="7301" spans="2:8" x14ac:dyDescent="0.25">
      <c r="B7301" t="str">
        <f t="shared" si="113"/>
        <v>PLWPopulation ages 30-34, female</v>
      </c>
      <c r="C7301" t="s">
        <v>604</v>
      </c>
      <c r="D7301" t="s">
        <v>605</v>
      </c>
      <c r="E7301" t="s">
        <v>374</v>
      </c>
      <c r="F7301" t="s">
        <v>703</v>
      </c>
      <c r="G7301">
        <v>0</v>
      </c>
      <c r="H7301">
        <v>0</v>
      </c>
    </row>
    <row r="7302" spans="2:8" x14ac:dyDescent="0.25">
      <c r="B7302" t="str">
        <f t="shared" si="113"/>
        <v>PLWPopulation ages 30-34, male</v>
      </c>
      <c r="C7302" t="s">
        <v>604</v>
      </c>
      <c r="D7302" t="s">
        <v>605</v>
      </c>
      <c r="E7302" t="s">
        <v>375</v>
      </c>
      <c r="F7302" t="s">
        <v>704</v>
      </c>
      <c r="G7302">
        <v>0</v>
      </c>
      <c r="H7302">
        <v>0</v>
      </c>
    </row>
    <row r="7303" spans="2:8" x14ac:dyDescent="0.25">
      <c r="B7303" t="str">
        <f t="shared" ref="B7303:B7366" si="114">CONCATENATE(D7303,E7303)</f>
        <v>PLWPopulation ages 35-39, female</v>
      </c>
      <c r="C7303" t="s">
        <v>604</v>
      </c>
      <c r="D7303" t="s">
        <v>605</v>
      </c>
      <c r="E7303" t="s">
        <v>376</v>
      </c>
      <c r="F7303" t="s">
        <v>705</v>
      </c>
      <c r="G7303">
        <v>0</v>
      </c>
      <c r="H7303">
        <v>0</v>
      </c>
    </row>
    <row r="7304" spans="2:8" x14ac:dyDescent="0.25">
      <c r="B7304" t="str">
        <f t="shared" si="114"/>
        <v>PLWPopulation ages 35-39, male</v>
      </c>
      <c r="C7304" t="s">
        <v>604</v>
      </c>
      <c r="D7304" t="s">
        <v>605</v>
      </c>
      <c r="E7304" t="s">
        <v>377</v>
      </c>
      <c r="F7304" t="s">
        <v>706</v>
      </c>
      <c r="G7304">
        <v>0</v>
      </c>
      <c r="H7304">
        <v>0</v>
      </c>
    </row>
    <row r="7305" spans="2:8" x14ac:dyDescent="0.25">
      <c r="B7305" t="str">
        <f t="shared" si="114"/>
        <v>PLWPopulation ages 40-44, female</v>
      </c>
      <c r="C7305" t="s">
        <v>604</v>
      </c>
      <c r="D7305" t="s">
        <v>605</v>
      </c>
      <c r="E7305" t="s">
        <v>378</v>
      </c>
      <c r="F7305" t="s">
        <v>707</v>
      </c>
      <c r="G7305">
        <v>0</v>
      </c>
      <c r="H7305">
        <v>0</v>
      </c>
    </row>
    <row r="7306" spans="2:8" x14ac:dyDescent="0.25">
      <c r="B7306" t="str">
        <f t="shared" si="114"/>
        <v>PLWPopulation ages 40-44, male</v>
      </c>
      <c r="C7306" t="s">
        <v>604</v>
      </c>
      <c r="D7306" t="s">
        <v>605</v>
      </c>
      <c r="E7306" t="s">
        <v>379</v>
      </c>
      <c r="F7306" t="s">
        <v>708</v>
      </c>
      <c r="G7306">
        <v>0</v>
      </c>
      <c r="H7306">
        <v>0</v>
      </c>
    </row>
    <row r="7307" spans="2:8" x14ac:dyDescent="0.25">
      <c r="B7307" t="str">
        <f t="shared" si="114"/>
        <v>PLWPopulation ages 45-49, female</v>
      </c>
      <c r="C7307" t="s">
        <v>604</v>
      </c>
      <c r="D7307" t="s">
        <v>605</v>
      </c>
      <c r="E7307" t="s">
        <v>380</v>
      </c>
      <c r="F7307" t="s">
        <v>709</v>
      </c>
      <c r="G7307">
        <v>0</v>
      </c>
      <c r="H7307">
        <v>0</v>
      </c>
    </row>
    <row r="7308" spans="2:8" x14ac:dyDescent="0.25">
      <c r="B7308" t="str">
        <f t="shared" si="114"/>
        <v>PLWPopulation ages 45-49, male</v>
      </c>
      <c r="C7308" t="s">
        <v>604</v>
      </c>
      <c r="D7308" t="s">
        <v>605</v>
      </c>
      <c r="E7308" t="s">
        <v>381</v>
      </c>
      <c r="F7308" t="s">
        <v>710</v>
      </c>
      <c r="G7308">
        <v>0</v>
      </c>
      <c r="H7308">
        <v>0</v>
      </c>
    </row>
    <row r="7309" spans="2:8" x14ac:dyDescent="0.25">
      <c r="B7309" t="str">
        <f t="shared" si="114"/>
        <v>PLWPopulation ages 50-54, female</v>
      </c>
      <c r="C7309" t="s">
        <v>604</v>
      </c>
      <c r="D7309" t="s">
        <v>605</v>
      </c>
      <c r="E7309" t="s">
        <v>382</v>
      </c>
      <c r="F7309" t="s">
        <v>711</v>
      </c>
      <c r="G7309">
        <v>0</v>
      </c>
      <c r="H7309">
        <v>0</v>
      </c>
    </row>
    <row r="7310" spans="2:8" x14ac:dyDescent="0.25">
      <c r="B7310" t="str">
        <f t="shared" si="114"/>
        <v>PLWPopulation ages 50-54, male</v>
      </c>
      <c r="C7310" t="s">
        <v>604</v>
      </c>
      <c r="D7310" t="s">
        <v>605</v>
      </c>
      <c r="E7310" t="s">
        <v>383</v>
      </c>
      <c r="F7310" t="s">
        <v>712</v>
      </c>
      <c r="G7310">
        <v>0</v>
      </c>
      <c r="H7310">
        <v>0</v>
      </c>
    </row>
    <row r="7311" spans="2:8" x14ac:dyDescent="0.25">
      <c r="B7311" t="str">
        <f t="shared" si="114"/>
        <v>PLWPopulation ages 55-59, male</v>
      </c>
      <c r="C7311" t="s">
        <v>604</v>
      </c>
      <c r="D7311" t="s">
        <v>605</v>
      </c>
      <c r="E7311" t="s">
        <v>385</v>
      </c>
      <c r="F7311" t="s">
        <v>713</v>
      </c>
      <c r="G7311">
        <v>0</v>
      </c>
      <c r="H7311">
        <v>0</v>
      </c>
    </row>
    <row r="7312" spans="2:8" x14ac:dyDescent="0.25">
      <c r="B7312" t="str">
        <f t="shared" si="114"/>
        <v>PLWPopulation ages 55-59, female</v>
      </c>
      <c r="C7312" t="s">
        <v>604</v>
      </c>
      <c r="D7312" t="s">
        <v>605</v>
      </c>
      <c r="E7312" t="s">
        <v>384</v>
      </c>
      <c r="F7312" t="s">
        <v>714</v>
      </c>
      <c r="G7312">
        <v>0</v>
      </c>
      <c r="H7312">
        <v>0</v>
      </c>
    </row>
    <row r="7313" spans="2:8" x14ac:dyDescent="0.25">
      <c r="B7313" t="str">
        <f t="shared" si="114"/>
        <v>PLWPopulation ages 65-69, male</v>
      </c>
      <c r="C7313" t="s">
        <v>604</v>
      </c>
      <c r="D7313" t="s">
        <v>605</v>
      </c>
      <c r="E7313" t="s">
        <v>389</v>
      </c>
      <c r="F7313" t="s">
        <v>715</v>
      </c>
      <c r="G7313">
        <v>0</v>
      </c>
      <c r="H7313">
        <v>0</v>
      </c>
    </row>
    <row r="7314" spans="2:8" x14ac:dyDescent="0.25">
      <c r="B7314" t="str">
        <f t="shared" si="114"/>
        <v>PLWPopulation ages 65-69, female</v>
      </c>
      <c r="C7314" t="s">
        <v>604</v>
      </c>
      <c r="D7314" t="s">
        <v>605</v>
      </c>
      <c r="E7314" t="s">
        <v>388</v>
      </c>
      <c r="F7314" t="s">
        <v>716</v>
      </c>
      <c r="G7314">
        <v>0</v>
      </c>
      <c r="H7314">
        <v>0</v>
      </c>
    </row>
    <row r="7315" spans="2:8" x14ac:dyDescent="0.25">
      <c r="B7315" t="str">
        <f t="shared" si="114"/>
        <v>PLWPopulation ages 60-64, female</v>
      </c>
      <c r="C7315" t="s">
        <v>604</v>
      </c>
      <c r="D7315" t="s">
        <v>605</v>
      </c>
      <c r="E7315" t="s">
        <v>386</v>
      </c>
      <c r="F7315" t="s">
        <v>717</v>
      </c>
      <c r="G7315">
        <v>0</v>
      </c>
      <c r="H7315">
        <v>0</v>
      </c>
    </row>
    <row r="7316" spans="2:8" x14ac:dyDescent="0.25">
      <c r="B7316" t="str">
        <f t="shared" si="114"/>
        <v>PLWPopulation ages 60-64, male</v>
      </c>
      <c r="C7316" t="s">
        <v>604</v>
      </c>
      <c r="D7316" t="s">
        <v>605</v>
      </c>
      <c r="E7316" t="s">
        <v>387</v>
      </c>
      <c r="F7316" t="s">
        <v>718</v>
      </c>
      <c r="G7316">
        <v>0</v>
      </c>
      <c r="H7316">
        <v>0</v>
      </c>
    </row>
    <row r="7317" spans="2:8" x14ac:dyDescent="0.25">
      <c r="B7317" t="str">
        <f t="shared" si="114"/>
        <v>PLWPopulation ages 70-74, female</v>
      </c>
      <c r="C7317" t="s">
        <v>604</v>
      </c>
      <c r="D7317" t="s">
        <v>605</v>
      </c>
      <c r="E7317" t="s">
        <v>390</v>
      </c>
      <c r="F7317" t="s">
        <v>719</v>
      </c>
      <c r="G7317">
        <v>0</v>
      </c>
      <c r="H7317">
        <v>0</v>
      </c>
    </row>
    <row r="7318" spans="2:8" x14ac:dyDescent="0.25">
      <c r="B7318" t="str">
        <f t="shared" si="114"/>
        <v>PLWPopulation ages 70-74, male</v>
      </c>
      <c r="C7318" t="s">
        <v>604</v>
      </c>
      <c r="D7318" t="s">
        <v>605</v>
      </c>
      <c r="E7318" t="s">
        <v>391</v>
      </c>
      <c r="F7318" t="s">
        <v>720</v>
      </c>
      <c r="G7318">
        <v>0</v>
      </c>
      <c r="H7318">
        <v>0</v>
      </c>
    </row>
    <row r="7319" spans="2:8" x14ac:dyDescent="0.25">
      <c r="B7319" t="str">
        <f t="shared" si="114"/>
        <v>PLWPopulation ages 75-79, female</v>
      </c>
      <c r="C7319" t="s">
        <v>604</v>
      </c>
      <c r="D7319" t="s">
        <v>605</v>
      </c>
      <c r="E7319" t="s">
        <v>392</v>
      </c>
      <c r="F7319" t="s">
        <v>721</v>
      </c>
      <c r="G7319">
        <v>0</v>
      </c>
      <c r="H7319">
        <v>0</v>
      </c>
    </row>
    <row r="7320" spans="2:8" x14ac:dyDescent="0.25">
      <c r="B7320" t="str">
        <f t="shared" si="114"/>
        <v>PLWPopulation ages 75-79, male</v>
      </c>
      <c r="C7320" t="s">
        <v>604</v>
      </c>
      <c r="D7320" t="s">
        <v>605</v>
      </c>
      <c r="E7320" t="s">
        <v>393</v>
      </c>
      <c r="F7320" t="s">
        <v>722</v>
      </c>
      <c r="G7320">
        <v>0</v>
      </c>
      <c r="H7320">
        <v>0</v>
      </c>
    </row>
    <row r="7321" spans="2:8" x14ac:dyDescent="0.25">
      <c r="B7321" t="str">
        <f t="shared" si="114"/>
        <v>PLWPopulation ages 80 and above, female</v>
      </c>
      <c r="C7321" t="s">
        <v>604</v>
      </c>
      <c r="D7321" t="s">
        <v>605</v>
      </c>
      <c r="E7321" t="s">
        <v>394</v>
      </c>
      <c r="F7321" t="s">
        <v>723</v>
      </c>
      <c r="G7321">
        <v>0</v>
      </c>
      <c r="H7321">
        <v>0</v>
      </c>
    </row>
    <row r="7322" spans="2:8" x14ac:dyDescent="0.25">
      <c r="B7322" t="str">
        <f t="shared" si="114"/>
        <v>PLWPopulation ages 80 and above, male</v>
      </c>
      <c r="C7322" t="s">
        <v>604</v>
      </c>
      <c r="D7322" t="s">
        <v>605</v>
      </c>
      <c r="E7322" t="s">
        <v>395</v>
      </c>
      <c r="F7322" t="s">
        <v>724</v>
      </c>
      <c r="G7322">
        <v>0</v>
      </c>
      <c r="H7322">
        <v>0</v>
      </c>
    </row>
    <row r="7323" spans="2:8" x14ac:dyDescent="0.25">
      <c r="B7323" t="str">
        <f t="shared" si="114"/>
        <v>PLWPopulation, male</v>
      </c>
      <c r="C7323" t="s">
        <v>604</v>
      </c>
      <c r="D7323" t="s">
        <v>605</v>
      </c>
      <c r="E7323" t="s">
        <v>397</v>
      </c>
      <c r="F7323" t="s">
        <v>725</v>
      </c>
      <c r="G7323">
        <v>0</v>
      </c>
      <c r="H7323">
        <v>0</v>
      </c>
    </row>
    <row r="7324" spans="2:8" x14ac:dyDescent="0.25">
      <c r="B7324" t="str">
        <f t="shared" si="114"/>
        <v>PLWPopulation, total</v>
      </c>
      <c r="C7324" t="s">
        <v>604</v>
      </c>
      <c r="D7324" t="s">
        <v>605</v>
      </c>
      <c r="E7324" t="s">
        <v>398</v>
      </c>
      <c r="F7324" t="s">
        <v>726</v>
      </c>
      <c r="G7324">
        <v>18000</v>
      </c>
      <c r="H7324">
        <v>18000</v>
      </c>
    </row>
    <row r="7325" spans="2:8" x14ac:dyDescent="0.25">
      <c r="B7325" t="str">
        <f t="shared" si="114"/>
        <v>PLWPopulation, female</v>
      </c>
      <c r="C7325" t="s">
        <v>604</v>
      </c>
      <c r="D7325" t="s">
        <v>605</v>
      </c>
      <c r="E7325" t="s">
        <v>396</v>
      </c>
      <c r="F7325" t="s">
        <v>727</v>
      </c>
      <c r="G7325">
        <v>0</v>
      </c>
      <c r="H7325">
        <v>0</v>
      </c>
    </row>
    <row r="7326" spans="2:8" x14ac:dyDescent="0.25">
      <c r="B7326" t="str">
        <f t="shared" si="114"/>
        <v>PLWPopulation growth (annual %)</v>
      </c>
      <c r="C7326" t="s">
        <v>604</v>
      </c>
      <c r="D7326" t="s">
        <v>605</v>
      </c>
      <c r="E7326" t="s">
        <v>399</v>
      </c>
      <c r="F7326" t="s">
        <v>728</v>
      </c>
      <c r="G7326">
        <v>0</v>
      </c>
      <c r="H7326">
        <v>0</v>
      </c>
    </row>
    <row r="7327" spans="2:8" x14ac:dyDescent="0.25">
      <c r="B7327" t="str">
        <f t="shared" si="114"/>
        <v>PANPopulation ages 0-14, female</v>
      </c>
      <c r="C7327" t="s">
        <v>606</v>
      </c>
      <c r="D7327" t="s">
        <v>113</v>
      </c>
      <c r="E7327" t="s">
        <v>687</v>
      </c>
      <c r="F7327" t="s">
        <v>688</v>
      </c>
      <c r="G7327">
        <v>556000</v>
      </c>
      <c r="H7327">
        <v>559000</v>
      </c>
    </row>
    <row r="7328" spans="2:8" x14ac:dyDescent="0.25">
      <c r="B7328" t="str">
        <f t="shared" si="114"/>
        <v>PANPopulation ages 0-14, male</v>
      </c>
      <c r="C7328" t="s">
        <v>606</v>
      </c>
      <c r="D7328" t="s">
        <v>113</v>
      </c>
      <c r="E7328" t="s">
        <v>689</v>
      </c>
      <c r="F7328" t="s">
        <v>690</v>
      </c>
      <c r="G7328">
        <v>581000</v>
      </c>
      <c r="H7328">
        <v>584000</v>
      </c>
    </row>
    <row r="7329" spans="2:8" x14ac:dyDescent="0.25">
      <c r="B7329" t="str">
        <f t="shared" si="114"/>
        <v>PANPopulation ages 00-04, female</v>
      </c>
      <c r="C7329" t="s">
        <v>606</v>
      </c>
      <c r="D7329" t="s">
        <v>113</v>
      </c>
      <c r="E7329" t="s">
        <v>362</v>
      </c>
      <c r="F7329" t="s">
        <v>691</v>
      </c>
      <c r="G7329">
        <v>190000</v>
      </c>
      <c r="H7329">
        <v>190000</v>
      </c>
    </row>
    <row r="7330" spans="2:8" x14ac:dyDescent="0.25">
      <c r="B7330" t="str">
        <f t="shared" si="114"/>
        <v>PANPopulation ages 00-04, male</v>
      </c>
      <c r="C7330" t="s">
        <v>606</v>
      </c>
      <c r="D7330" t="s">
        <v>113</v>
      </c>
      <c r="E7330" t="s">
        <v>363</v>
      </c>
      <c r="F7330" t="s">
        <v>692</v>
      </c>
      <c r="G7330">
        <v>199000</v>
      </c>
      <c r="H7330">
        <v>199000</v>
      </c>
    </row>
    <row r="7331" spans="2:8" x14ac:dyDescent="0.25">
      <c r="B7331" t="str">
        <f t="shared" si="114"/>
        <v>PANPopulation ages 05-09, female</v>
      </c>
      <c r="C7331" t="s">
        <v>606</v>
      </c>
      <c r="D7331" t="s">
        <v>113</v>
      </c>
      <c r="E7331" t="s">
        <v>364</v>
      </c>
      <c r="F7331" t="s">
        <v>693</v>
      </c>
      <c r="G7331">
        <v>187000</v>
      </c>
      <c r="H7331">
        <v>188000</v>
      </c>
    </row>
    <row r="7332" spans="2:8" x14ac:dyDescent="0.25">
      <c r="B7332" t="str">
        <f t="shared" si="114"/>
        <v>PANPopulation ages 05-09, male</v>
      </c>
      <c r="C7332" t="s">
        <v>606</v>
      </c>
      <c r="D7332" t="s">
        <v>113</v>
      </c>
      <c r="E7332" t="s">
        <v>365</v>
      </c>
      <c r="F7332" t="s">
        <v>694</v>
      </c>
      <c r="G7332">
        <v>195000</v>
      </c>
      <c r="H7332">
        <v>196000</v>
      </c>
    </row>
    <row r="7333" spans="2:8" x14ac:dyDescent="0.25">
      <c r="B7333" t="str">
        <f t="shared" si="114"/>
        <v>PANPopulation ages 10-14, female</v>
      </c>
      <c r="C7333" t="s">
        <v>606</v>
      </c>
      <c r="D7333" t="s">
        <v>113</v>
      </c>
      <c r="E7333" t="s">
        <v>366</v>
      </c>
      <c r="F7333" t="s">
        <v>695</v>
      </c>
      <c r="G7333">
        <v>179000</v>
      </c>
      <c r="H7333">
        <v>181000</v>
      </c>
    </row>
    <row r="7334" spans="2:8" x14ac:dyDescent="0.25">
      <c r="B7334" t="str">
        <f t="shared" si="114"/>
        <v>PANPopulation ages 10-14, male</v>
      </c>
      <c r="C7334" t="s">
        <v>606</v>
      </c>
      <c r="D7334" t="s">
        <v>113</v>
      </c>
      <c r="E7334" t="s">
        <v>367</v>
      </c>
      <c r="F7334" t="s">
        <v>696</v>
      </c>
      <c r="G7334">
        <v>187000</v>
      </c>
      <c r="H7334">
        <v>189000</v>
      </c>
    </row>
    <row r="7335" spans="2:8" x14ac:dyDescent="0.25">
      <c r="B7335" t="str">
        <f t="shared" si="114"/>
        <v>PANPopulation ages 15-19, female</v>
      </c>
      <c r="C7335" t="s">
        <v>606</v>
      </c>
      <c r="D7335" t="s">
        <v>113</v>
      </c>
      <c r="E7335" t="s">
        <v>368</v>
      </c>
      <c r="F7335" t="s">
        <v>697</v>
      </c>
      <c r="G7335">
        <v>174000</v>
      </c>
      <c r="H7335">
        <v>175000</v>
      </c>
    </row>
    <row r="7336" spans="2:8" x14ac:dyDescent="0.25">
      <c r="B7336" t="str">
        <f t="shared" si="114"/>
        <v>PANPopulation ages 15-19, male</v>
      </c>
      <c r="C7336" t="s">
        <v>606</v>
      </c>
      <c r="D7336" t="s">
        <v>113</v>
      </c>
      <c r="E7336" t="s">
        <v>369</v>
      </c>
      <c r="F7336" t="s">
        <v>698</v>
      </c>
      <c r="G7336">
        <v>180000</v>
      </c>
      <c r="H7336">
        <v>182000</v>
      </c>
    </row>
    <row r="7337" spans="2:8" x14ac:dyDescent="0.25">
      <c r="B7337" t="str">
        <f t="shared" si="114"/>
        <v>PANPopulation ages 20-24, female</v>
      </c>
      <c r="C7337" t="s">
        <v>606</v>
      </c>
      <c r="D7337" t="s">
        <v>113</v>
      </c>
      <c r="E7337" t="s">
        <v>370</v>
      </c>
      <c r="F7337" t="s">
        <v>699</v>
      </c>
      <c r="G7337">
        <v>170000</v>
      </c>
      <c r="H7337">
        <v>172000</v>
      </c>
    </row>
    <row r="7338" spans="2:8" x14ac:dyDescent="0.25">
      <c r="B7338" t="str">
        <f t="shared" si="114"/>
        <v>PANPopulation ages 20-24, male</v>
      </c>
      <c r="C7338" t="s">
        <v>606</v>
      </c>
      <c r="D7338" t="s">
        <v>113</v>
      </c>
      <c r="E7338" t="s">
        <v>371</v>
      </c>
      <c r="F7338" t="s">
        <v>700</v>
      </c>
      <c r="G7338">
        <v>174000</v>
      </c>
      <c r="H7338">
        <v>177000</v>
      </c>
    </row>
    <row r="7339" spans="2:8" x14ac:dyDescent="0.25">
      <c r="B7339" t="str">
        <f t="shared" si="114"/>
        <v>PANPopulation ages 25-29, female</v>
      </c>
      <c r="C7339" t="s">
        <v>606</v>
      </c>
      <c r="D7339" t="s">
        <v>113</v>
      </c>
      <c r="E7339" t="s">
        <v>372</v>
      </c>
      <c r="F7339" t="s">
        <v>701</v>
      </c>
      <c r="G7339">
        <v>161000</v>
      </c>
      <c r="H7339">
        <v>163000</v>
      </c>
    </row>
    <row r="7340" spans="2:8" x14ac:dyDescent="0.25">
      <c r="B7340" t="str">
        <f t="shared" si="114"/>
        <v>PANPopulation ages 25-29, male</v>
      </c>
      <c r="C7340" t="s">
        <v>606</v>
      </c>
      <c r="D7340" t="s">
        <v>113</v>
      </c>
      <c r="E7340" t="s">
        <v>373</v>
      </c>
      <c r="F7340" t="s">
        <v>702</v>
      </c>
      <c r="G7340">
        <v>164000</v>
      </c>
      <c r="H7340">
        <v>166000</v>
      </c>
    </row>
    <row r="7341" spans="2:8" x14ac:dyDescent="0.25">
      <c r="B7341" t="str">
        <f t="shared" si="114"/>
        <v>PANPopulation ages 30-34, female</v>
      </c>
      <c r="C7341" t="s">
        <v>606</v>
      </c>
      <c r="D7341" t="s">
        <v>113</v>
      </c>
      <c r="E7341" t="s">
        <v>374</v>
      </c>
      <c r="F7341" t="s">
        <v>703</v>
      </c>
      <c r="G7341">
        <v>156000</v>
      </c>
      <c r="H7341">
        <v>158000</v>
      </c>
    </row>
    <row r="7342" spans="2:8" x14ac:dyDescent="0.25">
      <c r="B7342" t="str">
        <f t="shared" si="114"/>
        <v>PANPopulation ages 30-34, male</v>
      </c>
      <c r="C7342" t="s">
        <v>606</v>
      </c>
      <c r="D7342" t="s">
        <v>113</v>
      </c>
      <c r="E7342" t="s">
        <v>375</v>
      </c>
      <c r="F7342" t="s">
        <v>704</v>
      </c>
      <c r="G7342">
        <v>158000</v>
      </c>
      <c r="H7342">
        <v>159000</v>
      </c>
    </row>
    <row r="7343" spans="2:8" x14ac:dyDescent="0.25">
      <c r="B7343" t="str">
        <f t="shared" si="114"/>
        <v>PANPopulation ages 35-39, female</v>
      </c>
      <c r="C7343" t="s">
        <v>606</v>
      </c>
      <c r="D7343" t="s">
        <v>113</v>
      </c>
      <c r="E7343" t="s">
        <v>376</v>
      </c>
      <c r="F7343" t="s">
        <v>705</v>
      </c>
      <c r="G7343">
        <v>148000</v>
      </c>
      <c r="H7343">
        <v>150000</v>
      </c>
    </row>
    <row r="7344" spans="2:8" x14ac:dyDescent="0.25">
      <c r="B7344" t="str">
        <f t="shared" si="114"/>
        <v>PANPopulation ages 35-39, male</v>
      </c>
      <c r="C7344" t="s">
        <v>606</v>
      </c>
      <c r="D7344" t="s">
        <v>113</v>
      </c>
      <c r="E7344" t="s">
        <v>377</v>
      </c>
      <c r="F7344" t="s">
        <v>706</v>
      </c>
      <c r="G7344">
        <v>150000</v>
      </c>
      <c r="H7344">
        <v>152000</v>
      </c>
    </row>
    <row r="7345" spans="2:8" x14ac:dyDescent="0.25">
      <c r="B7345" t="str">
        <f t="shared" si="114"/>
        <v>PANPopulation ages 40-44, female</v>
      </c>
      <c r="C7345" t="s">
        <v>606</v>
      </c>
      <c r="D7345" t="s">
        <v>113</v>
      </c>
      <c r="E7345" t="s">
        <v>378</v>
      </c>
      <c r="F7345" t="s">
        <v>707</v>
      </c>
      <c r="G7345">
        <v>142000</v>
      </c>
      <c r="H7345">
        <v>144000</v>
      </c>
    </row>
    <row r="7346" spans="2:8" x14ac:dyDescent="0.25">
      <c r="B7346" t="str">
        <f t="shared" si="114"/>
        <v>PANPopulation ages 40-44, male</v>
      </c>
      <c r="C7346" t="s">
        <v>606</v>
      </c>
      <c r="D7346" t="s">
        <v>113</v>
      </c>
      <c r="E7346" t="s">
        <v>379</v>
      </c>
      <c r="F7346" t="s">
        <v>708</v>
      </c>
      <c r="G7346">
        <v>142000</v>
      </c>
      <c r="H7346">
        <v>144000</v>
      </c>
    </row>
    <row r="7347" spans="2:8" x14ac:dyDescent="0.25">
      <c r="B7347" t="str">
        <f t="shared" si="114"/>
        <v>PANPopulation ages 45-49, female</v>
      </c>
      <c r="C7347" t="s">
        <v>606</v>
      </c>
      <c r="D7347" t="s">
        <v>113</v>
      </c>
      <c r="E7347" t="s">
        <v>380</v>
      </c>
      <c r="F7347" t="s">
        <v>709</v>
      </c>
      <c r="G7347">
        <v>132000</v>
      </c>
      <c r="H7347">
        <v>134000</v>
      </c>
    </row>
    <row r="7348" spans="2:8" x14ac:dyDescent="0.25">
      <c r="B7348" t="str">
        <f t="shared" si="114"/>
        <v>PANPopulation ages 45-49, male</v>
      </c>
      <c r="C7348" t="s">
        <v>606</v>
      </c>
      <c r="D7348" t="s">
        <v>113</v>
      </c>
      <c r="E7348" t="s">
        <v>381</v>
      </c>
      <c r="F7348" t="s">
        <v>710</v>
      </c>
      <c r="G7348">
        <v>131000</v>
      </c>
      <c r="H7348">
        <v>134000</v>
      </c>
    </row>
    <row r="7349" spans="2:8" x14ac:dyDescent="0.25">
      <c r="B7349" t="str">
        <f t="shared" si="114"/>
        <v>PANPopulation ages 50-54, female</v>
      </c>
      <c r="C7349" t="s">
        <v>606</v>
      </c>
      <c r="D7349" t="s">
        <v>113</v>
      </c>
      <c r="E7349" t="s">
        <v>382</v>
      </c>
      <c r="F7349" t="s">
        <v>711</v>
      </c>
      <c r="G7349">
        <v>115000</v>
      </c>
      <c r="H7349">
        <v>118000</v>
      </c>
    </row>
    <row r="7350" spans="2:8" x14ac:dyDescent="0.25">
      <c r="B7350" t="str">
        <f t="shared" si="114"/>
        <v>PANPopulation ages 50-54, male</v>
      </c>
      <c r="C7350" t="s">
        <v>606</v>
      </c>
      <c r="D7350" t="s">
        <v>113</v>
      </c>
      <c r="E7350" t="s">
        <v>383</v>
      </c>
      <c r="F7350" t="s">
        <v>712</v>
      </c>
      <c r="G7350">
        <v>113000</v>
      </c>
      <c r="H7350">
        <v>117000</v>
      </c>
    </row>
    <row r="7351" spans="2:8" x14ac:dyDescent="0.25">
      <c r="B7351" t="str">
        <f t="shared" si="114"/>
        <v>PANPopulation ages 55-59, male</v>
      </c>
      <c r="C7351" t="s">
        <v>606</v>
      </c>
      <c r="D7351" t="s">
        <v>113</v>
      </c>
      <c r="E7351" t="s">
        <v>385</v>
      </c>
      <c r="F7351" t="s">
        <v>713</v>
      </c>
      <c r="G7351">
        <v>94000</v>
      </c>
      <c r="H7351">
        <v>98000</v>
      </c>
    </row>
    <row r="7352" spans="2:8" x14ac:dyDescent="0.25">
      <c r="B7352" t="str">
        <f t="shared" si="114"/>
        <v>PANPopulation ages 55-59, female</v>
      </c>
      <c r="C7352" t="s">
        <v>606</v>
      </c>
      <c r="D7352" t="s">
        <v>113</v>
      </c>
      <c r="E7352" t="s">
        <v>384</v>
      </c>
      <c r="F7352" t="s">
        <v>714</v>
      </c>
      <c r="G7352">
        <v>97000</v>
      </c>
      <c r="H7352">
        <v>101000</v>
      </c>
    </row>
    <row r="7353" spans="2:8" x14ac:dyDescent="0.25">
      <c r="B7353" t="str">
        <f t="shared" si="114"/>
        <v>PANPopulation ages 65-69, male</v>
      </c>
      <c r="C7353" t="s">
        <v>606</v>
      </c>
      <c r="D7353" t="s">
        <v>113</v>
      </c>
      <c r="E7353" t="s">
        <v>389</v>
      </c>
      <c r="F7353" t="s">
        <v>715</v>
      </c>
      <c r="G7353">
        <v>56000</v>
      </c>
      <c r="H7353">
        <v>59000</v>
      </c>
    </row>
    <row r="7354" spans="2:8" x14ac:dyDescent="0.25">
      <c r="B7354" t="str">
        <f t="shared" si="114"/>
        <v>PANPopulation ages 65-69, female</v>
      </c>
      <c r="C7354" t="s">
        <v>606</v>
      </c>
      <c r="D7354" t="s">
        <v>113</v>
      </c>
      <c r="E7354" t="s">
        <v>388</v>
      </c>
      <c r="F7354" t="s">
        <v>716</v>
      </c>
      <c r="G7354">
        <v>61000</v>
      </c>
      <c r="H7354">
        <v>64000</v>
      </c>
    </row>
    <row r="7355" spans="2:8" x14ac:dyDescent="0.25">
      <c r="B7355" t="str">
        <f t="shared" si="114"/>
        <v>PANPopulation ages 60-64, female</v>
      </c>
      <c r="C7355" t="s">
        <v>606</v>
      </c>
      <c r="D7355" t="s">
        <v>113</v>
      </c>
      <c r="E7355" t="s">
        <v>386</v>
      </c>
      <c r="F7355" t="s">
        <v>717</v>
      </c>
      <c r="G7355">
        <v>79000</v>
      </c>
      <c r="H7355">
        <v>82000</v>
      </c>
    </row>
    <row r="7356" spans="2:8" x14ac:dyDescent="0.25">
      <c r="B7356" t="str">
        <f t="shared" si="114"/>
        <v>PANPopulation ages 60-64, male</v>
      </c>
      <c r="C7356" t="s">
        <v>606</v>
      </c>
      <c r="D7356" t="s">
        <v>113</v>
      </c>
      <c r="E7356" t="s">
        <v>387</v>
      </c>
      <c r="F7356" t="s">
        <v>718</v>
      </c>
      <c r="G7356">
        <v>75000</v>
      </c>
      <c r="H7356">
        <v>78000</v>
      </c>
    </row>
    <row r="7357" spans="2:8" x14ac:dyDescent="0.25">
      <c r="B7357" t="str">
        <f t="shared" si="114"/>
        <v>PANPopulation ages 70-74, female</v>
      </c>
      <c r="C7357" t="s">
        <v>606</v>
      </c>
      <c r="D7357" t="s">
        <v>113</v>
      </c>
      <c r="E7357" t="s">
        <v>390</v>
      </c>
      <c r="F7357" t="s">
        <v>719</v>
      </c>
      <c r="G7357">
        <v>46000</v>
      </c>
      <c r="H7357">
        <v>48000</v>
      </c>
    </row>
    <row r="7358" spans="2:8" x14ac:dyDescent="0.25">
      <c r="B7358" t="str">
        <f t="shared" si="114"/>
        <v>PANPopulation ages 70-74, male</v>
      </c>
      <c r="C7358" t="s">
        <v>606</v>
      </c>
      <c r="D7358" t="s">
        <v>113</v>
      </c>
      <c r="E7358" t="s">
        <v>391</v>
      </c>
      <c r="F7358" t="s">
        <v>720</v>
      </c>
      <c r="G7358">
        <v>41000</v>
      </c>
      <c r="H7358">
        <v>43000</v>
      </c>
    </row>
    <row r="7359" spans="2:8" x14ac:dyDescent="0.25">
      <c r="B7359" t="str">
        <f t="shared" si="114"/>
        <v>PANPopulation ages 75-79, female</v>
      </c>
      <c r="C7359" t="s">
        <v>606</v>
      </c>
      <c r="D7359" t="s">
        <v>113</v>
      </c>
      <c r="E7359" t="s">
        <v>392</v>
      </c>
      <c r="F7359" t="s">
        <v>721</v>
      </c>
      <c r="G7359">
        <v>34000</v>
      </c>
      <c r="H7359">
        <v>36000</v>
      </c>
    </row>
    <row r="7360" spans="2:8" x14ac:dyDescent="0.25">
      <c r="B7360" t="str">
        <f t="shared" si="114"/>
        <v>PANPopulation ages 75-79, male</v>
      </c>
      <c r="C7360" t="s">
        <v>606</v>
      </c>
      <c r="D7360" t="s">
        <v>113</v>
      </c>
      <c r="E7360" t="s">
        <v>393</v>
      </c>
      <c r="F7360" t="s">
        <v>722</v>
      </c>
      <c r="G7360">
        <v>29000</v>
      </c>
      <c r="H7360">
        <v>31000</v>
      </c>
    </row>
    <row r="7361" spans="2:8" x14ac:dyDescent="0.25">
      <c r="B7361" t="str">
        <f t="shared" si="114"/>
        <v>PANPopulation ages 80 and above, female</v>
      </c>
      <c r="C7361" t="s">
        <v>606</v>
      </c>
      <c r="D7361" t="s">
        <v>113</v>
      </c>
      <c r="E7361" t="s">
        <v>394</v>
      </c>
      <c r="F7361" t="s">
        <v>723</v>
      </c>
      <c r="G7361">
        <v>47000</v>
      </c>
      <c r="H7361">
        <v>49000</v>
      </c>
    </row>
    <row r="7362" spans="2:8" x14ac:dyDescent="0.25">
      <c r="B7362" t="str">
        <f t="shared" si="114"/>
        <v>PANPopulation ages 80 and above, male</v>
      </c>
      <c r="C7362" t="s">
        <v>606</v>
      </c>
      <c r="D7362" t="s">
        <v>113</v>
      </c>
      <c r="E7362" t="s">
        <v>395</v>
      </c>
      <c r="F7362" t="s">
        <v>724</v>
      </c>
      <c r="G7362">
        <v>37000</v>
      </c>
      <c r="H7362">
        <v>38000</v>
      </c>
    </row>
    <row r="7363" spans="2:8" x14ac:dyDescent="0.25">
      <c r="B7363" t="str">
        <f t="shared" si="114"/>
        <v>PANPopulation, male</v>
      </c>
      <c r="C7363" t="s">
        <v>606</v>
      </c>
      <c r="D7363" t="s">
        <v>113</v>
      </c>
      <c r="E7363" t="s">
        <v>397</v>
      </c>
      <c r="F7363" t="s">
        <v>725</v>
      </c>
      <c r="G7363">
        <v>2126000</v>
      </c>
      <c r="H7363">
        <v>2160000</v>
      </c>
    </row>
    <row r="7364" spans="2:8" x14ac:dyDescent="0.25">
      <c r="B7364" t="str">
        <f t="shared" si="114"/>
        <v>PANPopulation, total</v>
      </c>
      <c r="C7364" t="s">
        <v>606</v>
      </c>
      <c r="D7364" t="s">
        <v>113</v>
      </c>
      <c r="E7364" t="s">
        <v>398</v>
      </c>
      <c r="F7364" t="s">
        <v>726</v>
      </c>
      <c r="G7364">
        <v>4246000</v>
      </c>
      <c r="H7364">
        <v>4315000</v>
      </c>
    </row>
    <row r="7365" spans="2:8" x14ac:dyDescent="0.25">
      <c r="B7365" t="str">
        <f t="shared" si="114"/>
        <v>PANPopulation, female</v>
      </c>
      <c r="C7365" t="s">
        <v>606</v>
      </c>
      <c r="D7365" t="s">
        <v>113</v>
      </c>
      <c r="E7365" t="s">
        <v>396</v>
      </c>
      <c r="F7365" t="s">
        <v>727</v>
      </c>
      <c r="G7365">
        <v>2120000</v>
      </c>
      <c r="H7365">
        <v>2155000</v>
      </c>
    </row>
    <row r="7366" spans="2:8" x14ac:dyDescent="0.25">
      <c r="B7366" t="str">
        <f t="shared" si="114"/>
        <v>PANPopulation growth (annual %)</v>
      </c>
      <c r="C7366" t="s">
        <v>606</v>
      </c>
      <c r="D7366" t="s">
        <v>113</v>
      </c>
      <c r="E7366" t="s">
        <v>399</v>
      </c>
      <c r="F7366" t="s">
        <v>728</v>
      </c>
      <c r="G7366">
        <v>0</v>
      </c>
      <c r="H7366">
        <v>0</v>
      </c>
    </row>
    <row r="7367" spans="2:8" x14ac:dyDescent="0.25">
      <c r="B7367" t="str">
        <f t="shared" ref="B7367:B7430" si="115">CONCATENATE(D7367,E7367)</f>
        <v>PNGPopulation ages 0-14, female</v>
      </c>
      <c r="C7367" t="s">
        <v>252</v>
      </c>
      <c r="D7367" t="s">
        <v>116</v>
      </c>
      <c r="E7367" t="s">
        <v>687</v>
      </c>
      <c r="F7367" t="s">
        <v>688</v>
      </c>
      <c r="G7367">
        <v>1505000</v>
      </c>
      <c r="H7367">
        <v>1520000</v>
      </c>
    </row>
    <row r="7368" spans="2:8" x14ac:dyDescent="0.25">
      <c r="B7368" t="str">
        <f t="shared" si="115"/>
        <v>PNGPopulation ages 0-14, male</v>
      </c>
      <c r="C7368" t="s">
        <v>252</v>
      </c>
      <c r="D7368" t="s">
        <v>116</v>
      </c>
      <c r="E7368" t="s">
        <v>689</v>
      </c>
      <c r="F7368" t="s">
        <v>690</v>
      </c>
      <c r="G7368">
        <v>1609000</v>
      </c>
      <c r="H7368">
        <v>1625000</v>
      </c>
    </row>
    <row r="7369" spans="2:8" x14ac:dyDescent="0.25">
      <c r="B7369" t="str">
        <f t="shared" si="115"/>
        <v>PNGPopulation ages 00-04, female</v>
      </c>
      <c r="C7369" t="s">
        <v>252</v>
      </c>
      <c r="D7369" t="s">
        <v>116</v>
      </c>
      <c r="E7369" t="s">
        <v>362</v>
      </c>
      <c r="F7369" t="s">
        <v>691</v>
      </c>
      <c r="G7369">
        <v>529000</v>
      </c>
      <c r="H7369">
        <v>535000</v>
      </c>
    </row>
    <row r="7370" spans="2:8" x14ac:dyDescent="0.25">
      <c r="B7370" t="str">
        <f t="shared" si="115"/>
        <v>PNGPopulation ages 00-04, male</v>
      </c>
      <c r="C7370" t="s">
        <v>252</v>
      </c>
      <c r="D7370" t="s">
        <v>116</v>
      </c>
      <c r="E7370" t="s">
        <v>363</v>
      </c>
      <c r="F7370" t="s">
        <v>692</v>
      </c>
      <c r="G7370">
        <v>567000</v>
      </c>
      <c r="H7370">
        <v>573000</v>
      </c>
    </row>
    <row r="7371" spans="2:8" x14ac:dyDescent="0.25">
      <c r="B7371" t="str">
        <f t="shared" si="115"/>
        <v>PNGPopulation ages 05-09, female</v>
      </c>
      <c r="C7371" t="s">
        <v>252</v>
      </c>
      <c r="D7371" t="s">
        <v>116</v>
      </c>
      <c r="E7371" t="s">
        <v>364</v>
      </c>
      <c r="F7371" t="s">
        <v>693</v>
      </c>
      <c r="G7371">
        <v>501000</v>
      </c>
      <c r="H7371">
        <v>504000</v>
      </c>
    </row>
    <row r="7372" spans="2:8" x14ac:dyDescent="0.25">
      <c r="B7372" t="str">
        <f t="shared" si="115"/>
        <v>PNGPopulation ages 05-09, male</v>
      </c>
      <c r="C7372" t="s">
        <v>252</v>
      </c>
      <c r="D7372" t="s">
        <v>116</v>
      </c>
      <c r="E7372" t="s">
        <v>365</v>
      </c>
      <c r="F7372" t="s">
        <v>694</v>
      </c>
      <c r="G7372">
        <v>535000</v>
      </c>
      <c r="H7372">
        <v>539000</v>
      </c>
    </row>
    <row r="7373" spans="2:8" x14ac:dyDescent="0.25">
      <c r="B7373" t="str">
        <f t="shared" si="115"/>
        <v>PNGPopulation ages 10-14, female</v>
      </c>
      <c r="C7373" t="s">
        <v>252</v>
      </c>
      <c r="D7373" t="s">
        <v>116</v>
      </c>
      <c r="E7373" t="s">
        <v>366</v>
      </c>
      <c r="F7373" t="s">
        <v>695</v>
      </c>
      <c r="G7373">
        <v>476000</v>
      </c>
      <c r="H7373">
        <v>481000</v>
      </c>
    </row>
    <row r="7374" spans="2:8" x14ac:dyDescent="0.25">
      <c r="B7374" t="str">
        <f t="shared" si="115"/>
        <v>PNGPopulation ages 10-14, male</v>
      </c>
      <c r="C7374" t="s">
        <v>252</v>
      </c>
      <c r="D7374" t="s">
        <v>116</v>
      </c>
      <c r="E7374" t="s">
        <v>367</v>
      </c>
      <c r="F7374" t="s">
        <v>696</v>
      </c>
      <c r="G7374">
        <v>507000</v>
      </c>
      <c r="H7374">
        <v>513000</v>
      </c>
    </row>
    <row r="7375" spans="2:8" x14ac:dyDescent="0.25">
      <c r="B7375" t="str">
        <f t="shared" si="115"/>
        <v>PNGPopulation ages 15-19, female</v>
      </c>
      <c r="C7375" t="s">
        <v>252</v>
      </c>
      <c r="D7375" t="s">
        <v>116</v>
      </c>
      <c r="E7375" t="s">
        <v>368</v>
      </c>
      <c r="F7375" t="s">
        <v>697</v>
      </c>
      <c r="G7375">
        <v>441000</v>
      </c>
      <c r="H7375">
        <v>447000</v>
      </c>
    </row>
    <row r="7376" spans="2:8" x14ac:dyDescent="0.25">
      <c r="B7376" t="str">
        <f t="shared" si="115"/>
        <v>PNGPopulation ages 15-19, male</v>
      </c>
      <c r="C7376" t="s">
        <v>252</v>
      </c>
      <c r="D7376" t="s">
        <v>116</v>
      </c>
      <c r="E7376" t="s">
        <v>369</v>
      </c>
      <c r="F7376" t="s">
        <v>698</v>
      </c>
      <c r="G7376">
        <v>469000</v>
      </c>
      <c r="H7376">
        <v>476000</v>
      </c>
    </row>
    <row r="7377" spans="2:8" x14ac:dyDescent="0.25">
      <c r="B7377" t="str">
        <f t="shared" si="115"/>
        <v>PNGPopulation ages 20-24, female</v>
      </c>
      <c r="C7377" t="s">
        <v>252</v>
      </c>
      <c r="D7377" t="s">
        <v>116</v>
      </c>
      <c r="E7377" t="s">
        <v>370</v>
      </c>
      <c r="F7377" t="s">
        <v>699</v>
      </c>
      <c r="G7377">
        <v>397000</v>
      </c>
      <c r="H7377">
        <v>407000</v>
      </c>
    </row>
    <row r="7378" spans="2:8" x14ac:dyDescent="0.25">
      <c r="B7378" t="str">
        <f t="shared" si="115"/>
        <v>PNGPopulation ages 20-24, male</v>
      </c>
      <c r="C7378" t="s">
        <v>252</v>
      </c>
      <c r="D7378" t="s">
        <v>116</v>
      </c>
      <c r="E7378" t="s">
        <v>371</v>
      </c>
      <c r="F7378" t="s">
        <v>700</v>
      </c>
      <c r="G7378">
        <v>419000</v>
      </c>
      <c r="H7378">
        <v>430000</v>
      </c>
    </row>
    <row r="7379" spans="2:8" x14ac:dyDescent="0.25">
      <c r="B7379" t="str">
        <f t="shared" si="115"/>
        <v>PNGPopulation ages 25-29, female</v>
      </c>
      <c r="C7379" t="s">
        <v>252</v>
      </c>
      <c r="D7379" t="s">
        <v>116</v>
      </c>
      <c r="E7379" t="s">
        <v>372</v>
      </c>
      <c r="F7379" t="s">
        <v>701</v>
      </c>
      <c r="G7379">
        <v>341000</v>
      </c>
      <c r="H7379">
        <v>350000</v>
      </c>
    </row>
    <row r="7380" spans="2:8" x14ac:dyDescent="0.25">
      <c r="B7380" t="str">
        <f t="shared" si="115"/>
        <v>PNGPopulation ages 25-29, male</v>
      </c>
      <c r="C7380" t="s">
        <v>252</v>
      </c>
      <c r="D7380" t="s">
        <v>116</v>
      </c>
      <c r="E7380" t="s">
        <v>373</v>
      </c>
      <c r="F7380" t="s">
        <v>702</v>
      </c>
      <c r="G7380">
        <v>358000</v>
      </c>
      <c r="H7380">
        <v>368000</v>
      </c>
    </row>
    <row r="7381" spans="2:8" x14ac:dyDescent="0.25">
      <c r="B7381" t="str">
        <f t="shared" si="115"/>
        <v>PNGPopulation ages 30-34, female</v>
      </c>
      <c r="C7381" t="s">
        <v>252</v>
      </c>
      <c r="D7381" t="s">
        <v>116</v>
      </c>
      <c r="E7381" t="s">
        <v>374</v>
      </c>
      <c r="F7381" t="s">
        <v>703</v>
      </c>
      <c r="G7381">
        <v>306000</v>
      </c>
      <c r="H7381">
        <v>311000</v>
      </c>
    </row>
    <row r="7382" spans="2:8" x14ac:dyDescent="0.25">
      <c r="B7382" t="str">
        <f t="shared" si="115"/>
        <v>PNGPopulation ages 30-34, male</v>
      </c>
      <c r="C7382" t="s">
        <v>252</v>
      </c>
      <c r="D7382" t="s">
        <v>116</v>
      </c>
      <c r="E7382" t="s">
        <v>375</v>
      </c>
      <c r="F7382" t="s">
        <v>704</v>
      </c>
      <c r="G7382">
        <v>320000</v>
      </c>
      <c r="H7382">
        <v>325000</v>
      </c>
    </row>
    <row r="7383" spans="2:8" x14ac:dyDescent="0.25">
      <c r="B7383" t="str">
        <f t="shared" si="115"/>
        <v>PNGPopulation ages 35-39, female</v>
      </c>
      <c r="C7383" t="s">
        <v>252</v>
      </c>
      <c r="D7383" t="s">
        <v>116</v>
      </c>
      <c r="E7383" t="s">
        <v>376</v>
      </c>
      <c r="F7383" t="s">
        <v>705</v>
      </c>
      <c r="G7383">
        <v>281000</v>
      </c>
      <c r="H7383">
        <v>286000</v>
      </c>
    </row>
    <row r="7384" spans="2:8" x14ac:dyDescent="0.25">
      <c r="B7384" t="str">
        <f t="shared" si="115"/>
        <v>PNGPopulation ages 35-39, male</v>
      </c>
      <c r="C7384" t="s">
        <v>252</v>
      </c>
      <c r="D7384" t="s">
        <v>116</v>
      </c>
      <c r="E7384" t="s">
        <v>377</v>
      </c>
      <c r="F7384" t="s">
        <v>706</v>
      </c>
      <c r="G7384">
        <v>293000</v>
      </c>
      <c r="H7384">
        <v>298000</v>
      </c>
    </row>
    <row r="7385" spans="2:8" x14ac:dyDescent="0.25">
      <c r="B7385" t="str">
        <f t="shared" si="115"/>
        <v>PNGPopulation ages 40-44, female</v>
      </c>
      <c r="C7385" t="s">
        <v>252</v>
      </c>
      <c r="D7385" t="s">
        <v>116</v>
      </c>
      <c r="E7385" t="s">
        <v>378</v>
      </c>
      <c r="F7385" t="s">
        <v>707</v>
      </c>
      <c r="G7385">
        <v>244000</v>
      </c>
      <c r="H7385">
        <v>250000</v>
      </c>
    </row>
    <row r="7386" spans="2:8" x14ac:dyDescent="0.25">
      <c r="B7386" t="str">
        <f t="shared" si="115"/>
        <v>PNGPopulation ages 40-44, male</v>
      </c>
      <c r="C7386" t="s">
        <v>252</v>
      </c>
      <c r="D7386" t="s">
        <v>116</v>
      </c>
      <c r="E7386" t="s">
        <v>379</v>
      </c>
      <c r="F7386" t="s">
        <v>708</v>
      </c>
      <c r="G7386">
        <v>253000</v>
      </c>
      <c r="H7386">
        <v>260000</v>
      </c>
    </row>
    <row r="7387" spans="2:8" x14ac:dyDescent="0.25">
      <c r="B7387" t="str">
        <f t="shared" si="115"/>
        <v>PNGPopulation ages 45-49, female</v>
      </c>
      <c r="C7387" t="s">
        <v>252</v>
      </c>
      <c r="D7387" t="s">
        <v>116</v>
      </c>
      <c r="E7387" t="s">
        <v>380</v>
      </c>
      <c r="F7387" t="s">
        <v>709</v>
      </c>
      <c r="G7387">
        <v>204000</v>
      </c>
      <c r="H7387">
        <v>211000</v>
      </c>
    </row>
    <row r="7388" spans="2:8" x14ac:dyDescent="0.25">
      <c r="B7388" t="str">
        <f t="shared" si="115"/>
        <v>PNGPopulation ages 45-49, male</v>
      </c>
      <c r="C7388" t="s">
        <v>252</v>
      </c>
      <c r="D7388" t="s">
        <v>116</v>
      </c>
      <c r="E7388" t="s">
        <v>381</v>
      </c>
      <c r="F7388" t="s">
        <v>710</v>
      </c>
      <c r="G7388">
        <v>210000</v>
      </c>
      <c r="H7388">
        <v>217000</v>
      </c>
    </row>
    <row r="7389" spans="2:8" x14ac:dyDescent="0.25">
      <c r="B7389" t="str">
        <f t="shared" si="115"/>
        <v>PNGPopulation ages 50-54, female</v>
      </c>
      <c r="C7389" t="s">
        <v>252</v>
      </c>
      <c r="D7389" t="s">
        <v>116</v>
      </c>
      <c r="E7389" t="s">
        <v>382</v>
      </c>
      <c r="F7389" t="s">
        <v>711</v>
      </c>
      <c r="G7389">
        <v>168000</v>
      </c>
      <c r="H7389">
        <v>174000</v>
      </c>
    </row>
    <row r="7390" spans="2:8" x14ac:dyDescent="0.25">
      <c r="B7390" t="str">
        <f t="shared" si="115"/>
        <v>PNGPopulation ages 50-54, male</v>
      </c>
      <c r="C7390" t="s">
        <v>252</v>
      </c>
      <c r="D7390" t="s">
        <v>116</v>
      </c>
      <c r="E7390" t="s">
        <v>383</v>
      </c>
      <c r="F7390" t="s">
        <v>712</v>
      </c>
      <c r="G7390">
        <v>169000</v>
      </c>
      <c r="H7390">
        <v>175000</v>
      </c>
    </row>
    <row r="7391" spans="2:8" x14ac:dyDescent="0.25">
      <c r="B7391" t="str">
        <f t="shared" si="115"/>
        <v>PNGPopulation ages 55-59, male</v>
      </c>
      <c r="C7391" t="s">
        <v>252</v>
      </c>
      <c r="D7391" t="s">
        <v>116</v>
      </c>
      <c r="E7391" t="s">
        <v>385</v>
      </c>
      <c r="F7391" t="s">
        <v>713</v>
      </c>
      <c r="G7391">
        <v>134000</v>
      </c>
      <c r="H7391">
        <v>138000</v>
      </c>
    </row>
    <row r="7392" spans="2:8" x14ac:dyDescent="0.25">
      <c r="B7392" t="str">
        <f t="shared" si="115"/>
        <v>PNGPopulation ages 55-59, female</v>
      </c>
      <c r="C7392" t="s">
        <v>252</v>
      </c>
      <c r="D7392" t="s">
        <v>116</v>
      </c>
      <c r="E7392" t="s">
        <v>384</v>
      </c>
      <c r="F7392" t="s">
        <v>714</v>
      </c>
      <c r="G7392">
        <v>137000</v>
      </c>
      <c r="H7392">
        <v>142000</v>
      </c>
    </row>
    <row r="7393" spans="2:8" x14ac:dyDescent="0.25">
      <c r="B7393" t="str">
        <f t="shared" si="115"/>
        <v>PNGPopulation ages 65-69, male</v>
      </c>
      <c r="C7393" t="s">
        <v>252</v>
      </c>
      <c r="D7393" t="s">
        <v>116</v>
      </c>
      <c r="E7393" t="s">
        <v>389</v>
      </c>
      <c r="F7393" t="s">
        <v>715</v>
      </c>
      <c r="G7393">
        <v>70000</v>
      </c>
      <c r="H7393">
        <v>73000</v>
      </c>
    </row>
    <row r="7394" spans="2:8" x14ac:dyDescent="0.25">
      <c r="B7394" t="str">
        <f t="shared" si="115"/>
        <v>PNGPopulation ages 65-69, female</v>
      </c>
      <c r="C7394" t="s">
        <v>252</v>
      </c>
      <c r="D7394" t="s">
        <v>116</v>
      </c>
      <c r="E7394" t="s">
        <v>388</v>
      </c>
      <c r="F7394" t="s">
        <v>716</v>
      </c>
      <c r="G7394">
        <v>78000</v>
      </c>
      <c r="H7394">
        <v>82000</v>
      </c>
    </row>
    <row r="7395" spans="2:8" x14ac:dyDescent="0.25">
      <c r="B7395" t="str">
        <f t="shared" si="115"/>
        <v>PNGPopulation ages 60-64, female</v>
      </c>
      <c r="C7395" t="s">
        <v>252</v>
      </c>
      <c r="D7395" t="s">
        <v>116</v>
      </c>
      <c r="E7395" t="s">
        <v>386</v>
      </c>
      <c r="F7395" t="s">
        <v>717</v>
      </c>
      <c r="G7395">
        <v>109000</v>
      </c>
      <c r="H7395">
        <v>112000</v>
      </c>
    </row>
    <row r="7396" spans="2:8" x14ac:dyDescent="0.25">
      <c r="B7396" t="str">
        <f t="shared" si="115"/>
        <v>PNGPopulation ages 60-64, male</v>
      </c>
      <c r="C7396" t="s">
        <v>252</v>
      </c>
      <c r="D7396" t="s">
        <v>116</v>
      </c>
      <c r="E7396" t="s">
        <v>387</v>
      </c>
      <c r="F7396" t="s">
        <v>718</v>
      </c>
      <c r="G7396">
        <v>101000</v>
      </c>
      <c r="H7396">
        <v>105000</v>
      </c>
    </row>
    <row r="7397" spans="2:8" x14ac:dyDescent="0.25">
      <c r="B7397" t="str">
        <f t="shared" si="115"/>
        <v>PNGPopulation ages 70-74, female</v>
      </c>
      <c r="C7397" t="s">
        <v>252</v>
      </c>
      <c r="D7397" t="s">
        <v>116</v>
      </c>
      <c r="E7397" t="s">
        <v>390</v>
      </c>
      <c r="F7397" t="s">
        <v>719</v>
      </c>
      <c r="G7397">
        <v>45000</v>
      </c>
      <c r="H7397">
        <v>48000</v>
      </c>
    </row>
    <row r="7398" spans="2:8" x14ac:dyDescent="0.25">
      <c r="B7398" t="str">
        <f t="shared" si="115"/>
        <v>PNGPopulation ages 70-74, male</v>
      </c>
      <c r="C7398" t="s">
        <v>252</v>
      </c>
      <c r="D7398" t="s">
        <v>116</v>
      </c>
      <c r="E7398" t="s">
        <v>391</v>
      </c>
      <c r="F7398" t="s">
        <v>720</v>
      </c>
      <c r="G7398">
        <v>40000</v>
      </c>
      <c r="H7398">
        <v>42000</v>
      </c>
    </row>
    <row r="7399" spans="2:8" x14ac:dyDescent="0.25">
      <c r="B7399" t="str">
        <f t="shared" si="115"/>
        <v>PNGPopulation ages 75-79, female</v>
      </c>
      <c r="C7399" t="s">
        <v>252</v>
      </c>
      <c r="D7399" t="s">
        <v>116</v>
      </c>
      <c r="E7399" t="s">
        <v>392</v>
      </c>
      <c r="F7399" t="s">
        <v>721</v>
      </c>
      <c r="G7399">
        <v>24000</v>
      </c>
      <c r="H7399">
        <v>25000</v>
      </c>
    </row>
    <row r="7400" spans="2:8" x14ac:dyDescent="0.25">
      <c r="B7400" t="str">
        <f t="shared" si="115"/>
        <v>PNGPopulation ages 75-79, male</v>
      </c>
      <c r="C7400" t="s">
        <v>252</v>
      </c>
      <c r="D7400" t="s">
        <v>116</v>
      </c>
      <c r="E7400" t="s">
        <v>393</v>
      </c>
      <c r="F7400" t="s">
        <v>722</v>
      </c>
      <c r="G7400">
        <v>21000</v>
      </c>
      <c r="H7400">
        <v>22000</v>
      </c>
    </row>
    <row r="7401" spans="2:8" x14ac:dyDescent="0.25">
      <c r="B7401" t="str">
        <f t="shared" si="115"/>
        <v>PNGPopulation ages 80 and above, female</v>
      </c>
      <c r="C7401" t="s">
        <v>252</v>
      </c>
      <c r="D7401" t="s">
        <v>116</v>
      </c>
      <c r="E7401" t="s">
        <v>394</v>
      </c>
      <c r="F7401" t="s">
        <v>723</v>
      </c>
      <c r="G7401">
        <v>16000</v>
      </c>
      <c r="H7401">
        <v>15000</v>
      </c>
    </row>
    <row r="7402" spans="2:8" x14ac:dyDescent="0.25">
      <c r="B7402" t="str">
        <f t="shared" si="115"/>
        <v>PNGPopulation ages 80 and above, male</v>
      </c>
      <c r="C7402" t="s">
        <v>252</v>
      </c>
      <c r="D7402" t="s">
        <v>116</v>
      </c>
      <c r="E7402" t="s">
        <v>395</v>
      </c>
      <c r="F7402" t="s">
        <v>724</v>
      </c>
      <c r="G7402">
        <v>13000</v>
      </c>
      <c r="H7402">
        <v>13000</v>
      </c>
    </row>
    <row r="7403" spans="2:8" x14ac:dyDescent="0.25">
      <c r="B7403" t="str">
        <f t="shared" si="115"/>
        <v>PNGPopulation, male</v>
      </c>
      <c r="C7403" t="s">
        <v>252</v>
      </c>
      <c r="D7403" t="s">
        <v>116</v>
      </c>
      <c r="E7403" t="s">
        <v>397</v>
      </c>
      <c r="F7403" t="s">
        <v>725</v>
      </c>
      <c r="G7403">
        <v>4480000</v>
      </c>
      <c r="H7403">
        <v>4568000</v>
      </c>
    </row>
    <row r="7404" spans="2:8" x14ac:dyDescent="0.25">
      <c r="B7404" t="str">
        <f t="shared" si="115"/>
        <v>PNGPopulation, total</v>
      </c>
      <c r="C7404" t="s">
        <v>252</v>
      </c>
      <c r="D7404" t="s">
        <v>116</v>
      </c>
      <c r="E7404" t="s">
        <v>398</v>
      </c>
      <c r="F7404" t="s">
        <v>726</v>
      </c>
      <c r="G7404">
        <v>8776000</v>
      </c>
      <c r="H7404">
        <v>8947000</v>
      </c>
    </row>
    <row r="7405" spans="2:8" x14ac:dyDescent="0.25">
      <c r="B7405" t="str">
        <f t="shared" si="115"/>
        <v>PNGPopulation, female</v>
      </c>
      <c r="C7405" t="s">
        <v>252</v>
      </c>
      <c r="D7405" t="s">
        <v>116</v>
      </c>
      <c r="E7405" t="s">
        <v>396</v>
      </c>
      <c r="F7405" t="s">
        <v>727</v>
      </c>
      <c r="G7405">
        <v>4296000</v>
      </c>
      <c r="H7405">
        <v>4379000</v>
      </c>
    </row>
    <row r="7406" spans="2:8" x14ac:dyDescent="0.25">
      <c r="B7406" t="str">
        <f t="shared" si="115"/>
        <v>PNGPopulation growth (annual %)</v>
      </c>
      <c r="C7406" t="s">
        <v>252</v>
      </c>
      <c r="D7406" t="s">
        <v>116</v>
      </c>
      <c r="E7406" t="s">
        <v>399</v>
      </c>
      <c r="F7406" t="s">
        <v>728</v>
      </c>
      <c r="G7406">
        <v>0</v>
      </c>
      <c r="H7406">
        <v>0</v>
      </c>
    </row>
    <row r="7407" spans="2:8" x14ac:dyDescent="0.25">
      <c r="B7407" t="str">
        <f t="shared" si="115"/>
        <v>PRYPopulation ages 0-14, female</v>
      </c>
      <c r="C7407" t="s">
        <v>228</v>
      </c>
      <c r="D7407" t="s">
        <v>119</v>
      </c>
      <c r="E7407" t="s">
        <v>687</v>
      </c>
      <c r="F7407" t="s">
        <v>688</v>
      </c>
      <c r="G7407">
        <v>1005000</v>
      </c>
      <c r="H7407">
        <v>1007000</v>
      </c>
    </row>
    <row r="7408" spans="2:8" x14ac:dyDescent="0.25">
      <c r="B7408" t="str">
        <f t="shared" si="115"/>
        <v>PRYPopulation ages 0-14, male</v>
      </c>
      <c r="C7408" t="s">
        <v>228</v>
      </c>
      <c r="D7408" t="s">
        <v>119</v>
      </c>
      <c r="E7408" t="s">
        <v>689</v>
      </c>
      <c r="F7408" t="s">
        <v>690</v>
      </c>
      <c r="G7408">
        <v>1051000</v>
      </c>
      <c r="H7408">
        <v>1053000</v>
      </c>
    </row>
    <row r="7409" spans="2:8" x14ac:dyDescent="0.25">
      <c r="B7409" t="str">
        <f t="shared" si="115"/>
        <v>PRYPopulation ages 00-04, female</v>
      </c>
      <c r="C7409" t="s">
        <v>228</v>
      </c>
      <c r="D7409" t="s">
        <v>119</v>
      </c>
      <c r="E7409" t="s">
        <v>362</v>
      </c>
      <c r="F7409" t="s">
        <v>691</v>
      </c>
      <c r="G7409">
        <v>341000</v>
      </c>
      <c r="H7409">
        <v>342000</v>
      </c>
    </row>
    <row r="7410" spans="2:8" x14ac:dyDescent="0.25">
      <c r="B7410" t="str">
        <f t="shared" si="115"/>
        <v>PRYPopulation ages 00-04, male</v>
      </c>
      <c r="C7410" t="s">
        <v>228</v>
      </c>
      <c r="D7410" t="s">
        <v>119</v>
      </c>
      <c r="E7410" t="s">
        <v>363</v>
      </c>
      <c r="F7410" t="s">
        <v>692</v>
      </c>
      <c r="G7410">
        <v>357000</v>
      </c>
      <c r="H7410">
        <v>359000</v>
      </c>
    </row>
    <row r="7411" spans="2:8" x14ac:dyDescent="0.25">
      <c r="B7411" t="str">
        <f t="shared" si="115"/>
        <v>PRYPopulation ages 05-09, female</v>
      </c>
      <c r="C7411" t="s">
        <v>228</v>
      </c>
      <c r="D7411" t="s">
        <v>119</v>
      </c>
      <c r="E7411" t="s">
        <v>364</v>
      </c>
      <c r="F7411" t="s">
        <v>693</v>
      </c>
      <c r="G7411">
        <v>334000</v>
      </c>
      <c r="H7411">
        <v>334000</v>
      </c>
    </row>
    <row r="7412" spans="2:8" x14ac:dyDescent="0.25">
      <c r="B7412" t="str">
        <f t="shared" si="115"/>
        <v>PRYPopulation ages 05-09, male</v>
      </c>
      <c r="C7412" t="s">
        <v>228</v>
      </c>
      <c r="D7412" t="s">
        <v>119</v>
      </c>
      <c r="E7412" t="s">
        <v>365</v>
      </c>
      <c r="F7412" t="s">
        <v>694</v>
      </c>
      <c r="G7412">
        <v>349000</v>
      </c>
      <c r="H7412">
        <v>349000</v>
      </c>
    </row>
    <row r="7413" spans="2:8" x14ac:dyDescent="0.25">
      <c r="B7413" t="str">
        <f t="shared" si="115"/>
        <v>PRYPopulation ages 10-14, female</v>
      </c>
      <c r="C7413" t="s">
        <v>228</v>
      </c>
      <c r="D7413" t="s">
        <v>119</v>
      </c>
      <c r="E7413" t="s">
        <v>366</v>
      </c>
      <c r="F7413" t="s">
        <v>695</v>
      </c>
      <c r="G7413">
        <v>330000</v>
      </c>
      <c r="H7413">
        <v>331000</v>
      </c>
    </row>
    <row r="7414" spans="2:8" x14ac:dyDescent="0.25">
      <c r="B7414" t="str">
        <f t="shared" si="115"/>
        <v>PRYPopulation ages 10-14, male</v>
      </c>
      <c r="C7414" t="s">
        <v>228</v>
      </c>
      <c r="D7414" t="s">
        <v>119</v>
      </c>
      <c r="E7414" t="s">
        <v>367</v>
      </c>
      <c r="F7414" t="s">
        <v>696</v>
      </c>
      <c r="G7414">
        <v>345000</v>
      </c>
      <c r="H7414">
        <v>346000</v>
      </c>
    </row>
    <row r="7415" spans="2:8" x14ac:dyDescent="0.25">
      <c r="B7415" t="str">
        <f t="shared" si="115"/>
        <v>PRYPopulation ages 15-19, female</v>
      </c>
      <c r="C7415" t="s">
        <v>228</v>
      </c>
      <c r="D7415" t="s">
        <v>119</v>
      </c>
      <c r="E7415" t="s">
        <v>368</v>
      </c>
      <c r="F7415" t="s">
        <v>697</v>
      </c>
      <c r="G7415">
        <v>324000</v>
      </c>
      <c r="H7415">
        <v>322000</v>
      </c>
    </row>
    <row r="7416" spans="2:8" x14ac:dyDescent="0.25">
      <c r="B7416" t="str">
        <f t="shared" si="115"/>
        <v>PRYPopulation ages 15-19, male</v>
      </c>
      <c r="C7416" t="s">
        <v>228</v>
      </c>
      <c r="D7416" t="s">
        <v>119</v>
      </c>
      <c r="E7416" t="s">
        <v>369</v>
      </c>
      <c r="F7416" t="s">
        <v>698</v>
      </c>
      <c r="G7416">
        <v>339000</v>
      </c>
      <c r="H7416">
        <v>337000</v>
      </c>
    </row>
    <row r="7417" spans="2:8" x14ac:dyDescent="0.25">
      <c r="B7417" t="str">
        <f t="shared" si="115"/>
        <v>PRYPopulation ages 20-24, female</v>
      </c>
      <c r="C7417" t="s">
        <v>228</v>
      </c>
      <c r="D7417" t="s">
        <v>119</v>
      </c>
      <c r="E7417" t="s">
        <v>370</v>
      </c>
      <c r="F7417" t="s">
        <v>699</v>
      </c>
      <c r="G7417">
        <v>332000</v>
      </c>
      <c r="H7417">
        <v>331000</v>
      </c>
    </row>
    <row r="7418" spans="2:8" x14ac:dyDescent="0.25">
      <c r="B7418" t="str">
        <f t="shared" si="115"/>
        <v>PRYPopulation ages 20-24, male</v>
      </c>
      <c r="C7418" t="s">
        <v>228</v>
      </c>
      <c r="D7418" t="s">
        <v>119</v>
      </c>
      <c r="E7418" t="s">
        <v>371</v>
      </c>
      <c r="F7418" t="s">
        <v>700</v>
      </c>
      <c r="G7418">
        <v>347000</v>
      </c>
      <c r="H7418">
        <v>346000</v>
      </c>
    </row>
    <row r="7419" spans="2:8" x14ac:dyDescent="0.25">
      <c r="B7419" t="str">
        <f t="shared" si="115"/>
        <v>PRYPopulation ages 25-29, female</v>
      </c>
      <c r="C7419" t="s">
        <v>228</v>
      </c>
      <c r="D7419" t="s">
        <v>119</v>
      </c>
      <c r="E7419" t="s">
        <v>372</v>
      </c>
      <c r="F7419" t="s">
        <v>701</v>
      </c>
      <c r="G7419">
        <v>312000</v>
      </c>
      <c r="H7419">
        <v>315000</v>
      </c>
    </row>
    <row r="7420" spans="2:8" x14ac:dyDescent="0.25">
      <c r="B7420" t="str">
        <f t="shared" si="115"/>
        <v>PRYPopulation ages 25-29, male</v>
      </c>
      <c r="C7420" t="s">
        <v>228</v>
      </c>
      <c r="D7420" t="s">
        <v>119</v>
      </c>
      <c r="E7420" t="s">
        <v>373</v>
      </c>
      <c r="F7420" t="s">
        <v>702</v>
      </c>
      <c r="G7420">
        <v>326000</v>
      </c>
      <c r="H7420">
        <v>328000</v>
      </c>
    </row>
    <row r="7421" spans="2:8" x14ac:dyDescent="0.25">
      <c r="B7421" t="str">
        <f t="shared" si="115"/>
        <v>PRYPopulation ages 30-34, female</v>
      </c>
      <c r="C7421" t="s">
        <v>228</v>
      </c>
      <c r="D7421" t="s">
        <v>119</v>
      </c>
      <c r="E7421" t="s">
        <v>374</v>
      </c>
      <c r="F7421" t="s">
        <v>703</v>
      </c>
      <c r="G7421">
        <v>287000</v>
      </c>
      <c r="H7421">
        <v>291000</v>
      </c>
    </row>
    <row r="7422" spans="2:8" x14ac:dyDescent="0.25">
      <c r="B7422" t="str">
        <f t="shared" si="115"/>
        <v>PRYPopulation ages 30-34, male</v>
      </c>
      <c r="C7422" t="s">
        <v>228</v>
      </c>
      <c r="D7422" t="s">
        <v>119</v>
      </c>
      <c r="E7422" t="s">
        <v>375</v>
      </c>
      <c r="F7422" t="s">
        <v>704</v>
      </c>
      <c r="G7422">
        <v>299000</v>
      </c>
      <c r="H7422">
        <v>304000</v>
      </c>
    </row>
    <row r="7423" spans="2:8" x14ac:dyDescent="0.25">
      <c r="B7423" t="str">
        <f t="shared" si="115"/>
        <v>PRYPopulation ages 35-39, female</v>
      </c>
      <c r="C7423" t="s">
        <v>228</v>
      </c>
      <c r="D7423" t="s">
        <v>119</v>
      </c>
      <c r="E7423" t="s">
        <v>376</v>
      </c>
      <c r="F7423" t="s">
        <v>705</v>
      </c>
      <c r="G7423">
        <v>243000</v>
      </c>
      <c r="H7423">
        <v>251000</v>
      </c>
    </row>
    <row r="7424" spans="2:8" x14ac:dyDescent="0.25">
      <c r="B7424" t="str">
        <f t="shared" si="115"/>
        <v>PRYPopulation ages 35-39, male</v>
      </c>
      <c r="C7424" t="s">
        <v>228</v>
      </c>
      <c r="D7424" t="s">
        <v>119</v>
      </c>
      <c r="E7424" t="s">
        <v>377</v>
      </c>
      <c r="F7424" t="s">
        <v>706</v>
      </c>
      <c r="G7424">
        <v>255000</v>
      </c>
      <c r="H7424">
        <v>263000</v>
      </c>
    </row>
    <row r="7425" spans="2:8" x14ac:dyDescent="0.25">
      <c r="B7425" t="str">
        <f t="shared" si="115"/>
        <v>PRYPopulation ages 40-44, female</v>
      </c>
      <c r="C7425" t="s">
        <v>228</v>
      </c>
      <c r="D7425" t="s">
        <v>119</v>
      </c>
      <c r="E7425" t="s">
        <v>378</v>
      </c>
      <c r="F7425" t="s">
        <v>707</v>
      </c>
      <c r="G7425">
        <v>190000</v>
      </c>
      <c r="H7425">
        <v>198000</v>
      </c>
    </row>
    <row r="7426" spans="2:8" x14ac:dyDescent="0.25">
      <c r="B7426" t="str">
        <f t="shared" si="115"/>
        <v>PRYPopulation ages 40-44, male</v>
      </c>
      <c r="C7426" t="s">
        <v>228</v>
      </c>
      <c r="D7426" t="s">
        <v>119</v>
      </c>
      <c r="E7426" t="s">
        <v>379</v>
      </c>
      <c r="F7426" t="s">
        <v>708</v>
      </c>
      <c r="G7426">
        <v>200000</v>
      </c>
      <c r="H7426">
        <v>209000</v>
      </c>
    </row>
    <row r="7427" spans="2:8" x14ac:dyDescent="0.25">
      <c r="B7427" t="str">
        <f t="shared" si="115"/>
        <v>PRYPopulation ages 45-49, female</v>
      </c>
      <c r="C7427" t="s">
        <v>228</v>
      </c>
      <c r="D7427" t="s">
        <v>119</v>
      </c>
      <c r="E7427" t="s">
        <v>380</v>
      </c>
      <c r="F7427" t="s">
        <v>709</v>
      </c>
      <c r="G7427">
        <v>154000</v>
      </c>
      <c r="H7427">
        <v>157000</v>
      </c>
    </row>
    <row r="7428" spans="2:8" x14ac:dyDescent="0.25">
      <c r="B7428" t="str">
        <f t="shared" si="115"/>
        <v>PRYPopulation ages 45-49, male</v>
      </c>
      <c r="C7428" t="s">
        <v>228</v>
      </c>
      <c r="D7428" t="s">
        <v>119</v>
      </c>
      <c r="E7428" t="s">
        <v>381</v>
      </c>
      <c r="F7428" t="s">
        <v>710</v>
      </c>
      <c r="G7428">
        <v>160000</v>
      </c>
      <c r="H7428">
        <v>164000</v>
      </c>
    </row>
    <row r="7429" spans="2:8" x14ac:dyDescent="0.25">
      <c r="B7429" t="str">
        <f t="shared" si="115"/>
        <v>PRYPopulation ages 50-54, female</v>
      </c>
      <c r="C7429" t="s">
        <v>228</v>
      </c>
      <c r="D7429" t="s">
        <v>119</v>
      </c>
      <c r="E7429" t="s">
        <v>382</v>
      </c>
      <c r="F7429" t="s">
        <v>711</v>
      </c>
      <c r="G7429">
        <v>143000</v>
      </c>
      <c r="H7429">
        <v>144000</v>
      </c>
    </row>
    <row r="7430" spans="2:8" x14ac:dyDescent="0.25">
      <c r="B7430" t="str">
        <f t="shared" si="115"/>
        <v>PRYPopulation ages 50-54, male</v>
      </c>
      <c r="C7430" t="s">
        <v>228</v>
      </c>
      <c r="D7430" t="s">
        <v>119</v>
      </c>
      <c r="E7430" t="s">
        <v>383</v>
      </c>
      <c r="F7430" t="s">
        <v>712</v>
      </c>
      <c r="G7430">
        <v>146000</v>
      </c>
      <c r="H7430">
        <v>147000</v>
      </c>
    </row>
    <row r="7431" spans="2:8" x14ac:dyDescent="0.25">
      <c r="B7431" t="str">
        <f t="shared" ref="B7431:B7494" si="116">CONCATENATE(D7431,E7431)</f>
        <v>PRYPopulation ages 55-59, male</v>
      </c>
      <c r="C7431" t="s">
        <v>228</v>
      </c>
      <c r="D7431" t="s">
        <v>119</v>
      </c>
      <c r="E7431" t="s">
        <v>385</v>
      </c>
      <c r="F7431" t="s">
        <v>713</v>
      </c>
      <c r="G7431">
        <v>128000</v>
      </c>
      <c r="H7431">
        <v>130000</v>
      </c>
    </row>
    <row r="7432" spans="2:8" x14ac:dyDescent="0.25">
      <c r="B7432" t="str">
        <f t="shared" si="116"/>
        <v>PRYPopulation ages 55-59, female</v>
      </c>
      <c r="C7432" t="s">
        <v>228</v>
      </c>
      <c r="D7432" t="s">
        <v>119</v>
      </c>
      <c r="E7432" t="s">
        <v>384</v>
      </c>
      <c r="F7432" t="s">
        <v>714</v>
      </c>
      <c r="G7432">
        <v>125000</v>
      </c>
      <c r="H7432">
        <v>128000</v>
      </c>
    </row>
    <row r="7433" spans="2:8" x14ac:dyDescent="0.25">
      <c r="B7433" t="str">
        <f t="shared" si="116"/>
        <v>PRYPopulation ages 65-69, male</v>
      </c>
      <c r="C7433" t="s">
        <v>228</v>
      </c>
      <c r="D7433" t="s">
        <v>119</v>
      </c>
      <c r="E7433" t="s">
        <v>389</v>
      </c>
      <c r="F7433" t="s">
        <v>715</v>
      </c>
      <c r="G7433">
        <v>88000</v>
      </c>
      <c r="H7433">
        <v>91000</v>
      </c>
    </row>
    <row r="7434" spans="2:8" x14ac:dyDescent="0.25">
      <c r="B7434" t="str">
        <f t="shared" si="116"/>
        <v>PRYPopulation ages 65-69, female</v>
      </c>
      <c r="C7434" t="s">
        <v>228</v>
      </c>
      <c r="D7434" t="s">
        <v>119</v>
      </c>
      <c r="E7434" t="s">
        <v>388</v>
      </c>
      <c r="F7434" t="s">
        <v>716</v>
      </c>
      <c r="G7434">
        <v>87000</v>
      </c>
      <c r="H7434">
        <v>91000</v>
      </c>
    </row>
    <row r="7435" spans="2:8" x14ac:dyDescent="0.25">
      <c r="B7435" t="str">
        <f t="shared" si="116"/>
        <v>PRYPopulation ages 60-64, female</v>
      </c>
      <c r="C7435" t="s">
        <v>228</v>
      </c>
      <c r="D7435" t="s">
        <v>119</v>
      </c>
      <c r="E7435" t="s">
        <v>386</v>
      </c>
      <c r="F7435" t="s">
        <v>717</v>
      </c>
      <c r="G7435">
        <v>107000</v>
      </c>
      <c r="H7435">
        <v>109000</v>
      </c>
    </row>
    <row r="7436" spans="2:8" x14ac:dyDescent="0.25">
      <c r="B7436" t="str">
        <f t="shared" si="116"/>
        <v>PRYPopulation ages 60-64, male</v>
      </c>
      <c r="C7436" t="s">
        <v>228</v>
      </c>
      <c r="D7436" t="s">
        <v>119</v>
      </c>
      <c r="E7436" t="s">
        <v>387</v>
      </c>
      <c r="F7436" t="s">
        <v>718</v>
      </c>
      <c r="G7436">
        <v>109000</v>
      </c>
      <c r="H7436">
        <v>111000</v>
      </c>
    </row>
    <row r="7437" spans="2:8" x14ac:dyDescent="0.25">
      <c r="B7437" t="str">
        <f t="shared" si="116"/>
        <v>PRYPopulation ages 70-74, female</v>
      </c>
      <c r="C7437" t="s">
        <v>228</v>
      </c>
      <c r="D7437" t="s">
        <v>119</v>
      </c>
      <c r="E7437" t="s">
        <v>390</v>
      </c>
      <c r="F7437" t="s">
        <v>719</v>
      </c>
      <c r="G7437">
        <v>62000</v>
      </c>
      <c r="H7437">
        <v>65000</v>
      </c>
    </row>
    <row r="7438" spans="2:8" x14ac:dyDescent="0.25">
      <c r="B7438" t="str">
        <f t="shared" si="116"/>
        <v>PRYPopulation ages 70-74, male</v>
      </c>
      <c r="C7438" t="s">
        <v>228</v>
      </c>
      <c r="D7438" t="s">
        <v>119</v>
      </c>
      <c r="E7438" t="s">
        <v>391</v>
      </c>
      <c r="F7438" t="s">
        <v>720</v>
      </c>
      <c r="G7438">
        <v>59000</v>
      </c>
      <c r="H7438">
        <v>62000</v>
      </c>
    </row>
    <row r="7439" spans="2:8" x14ac:dyDescent="0.25">
      <c r="B7439" t="str">
        <f t="shared" si="116"/>
        <v>PRYPopulation ages 75-79, female</v>
      </c>
      <c r="C7439" t="s">
        <v>228</v>
      </c>
      <c r="D7439" t="s">
        <v>119</v>
      </c>
      <c r="E7439" t="s">
        <v>392</v>
      </c>
      <c r="F7439" t="s">
        <v>721</v>
      </c>
      <c r="G7439">
        <v>44000</v>
      </c>
      <c r="H7439">
        <v>46000</v>
      </c>
    </row>
    <row r="7440" spans="2:8" x14ac:dyDescent="0.25">
      <c r="B7440" t="str">
        <f t="shared" si="116"/>
        <v>PRYPopulation ages 75-79, male</v>
      </c>
      <c r="C7440" t="s">
        <v>228</v>
      </c>
      <c r="D7440" t="s">
        <v>119</v>
      </c>
      <c r="E7440" t="s">
        <v>393</v>
      </c>
      <c r="F7440" t="s">
        <v>722</v>
      </c>
      <c r="G7440">
        <v>39000</v>
      </c>
      <c r="H7440">
        <v>41000</v>
      </c>
    </row>
    <row r="7441" spans="2:8" x14ac:dyDescent="0.25">
      <c r="B7441" t="str">
        <f t="shared" si="116"/>
        <v>PRYPopulation ages 80 and above, female</v>
      </c>
      <c r="C7441" t="s">
        <v>228</v>
      </c>
      <c r="D7441" t="s">
        <v>119</v>
      </c>
      <c r="E7441" t="s">
        <v>394</v>
      </c>
      <c r="F7441" t="s">
        <v>723</v>
      </c>
      <c r="G7441">
        <v>50000</v>
      </c>
      <c r="H7441">
        <v>52000</v>
      </c>
    </row>
    <row r="7442" spans="2:8" x14ac:dyDescent="0.25">
      <c r="B7442" t="str">
        <f t="shared" si="116"/>
        <v>PRYPopulation ages 80 and above, male</v>
      </c>
      <c r="C7442" t="s">
        <v>228</v>
      </c>
      <c r="D7442" t="s">
        <v>119</v>
      </c>
      <c r="E7442" t="s">
        <v>395</v>
      </c>
      <c r="F7442" t="s">
        <v>724</v>
      </c>
      <c r="G7442">
        <v>37000</v>
      </c>
      <c r="H7442">
        <v>39000</v>
      </c>
    </row>
    <row r="7443" spans="2:8" x14ac:dyDescent="0.25">
      <c r="B7443" t="str">
        <f t="shared" si="116"/>
        <v>PRYPopulation, male</v>
      </c>
      <c r="C7443" t="s">
        <v>228</v>
      </c>
      <c r="D7443" t="s">
        <v>119</v>
      </c>
      <c r="E7443" t="s">
        <v>397</v>
      </c>
      <c r="F7443" t="s">
        <v>725</v>
      </c>
      <c r="G7443">
        <v>3581000</v>
      </c>
      <c r="H7443">
        <v>3624000</v>
      </c>
    </row>
    <row r="7444" spans="2:8" x14ac:dyDescent="0.25">
      <c r="B7444" t="str">
        <f t="shared" si="116"/>
        <v>PRYPopulation, total</v>
      </c>
      <c r="C7444" t="s">
        <v>228</v>
      </c>
      <c r="D7444" t="s">
        <v>119</v>
      </c>
      <c r="E7444" t="s">
        <v>398</v>
      </c>
      <c r="F7444" t="s">
        <v>726</v>
      </c>
      <c r="G7444">
        <v>7045000</v>
      </c>
      <c r="H7444">
        <v>7133000</v>
      </c>
    </row>
    <row r="7445" spans="2:8" x14ac:dyDescent="0.25">
      <c r="B7445" t="str">
        <f t="shared" si="116"/>
        <v>PRYPopulation, female</v>
      </c>
      <c r="C7445" t="s">
        <v>228</v>
      </c>
      <c r="D7445" t="s">
        <v>119</v>
      </c>
      <c r="E7445" t="s">
        <v>396</v>
      </c>
      <c r="F7445" t="s">
        <v>727</v>
      </c>
      <c r="G7445">
        <v>3464000</v>
      </c>
      <c r="H7445">
        <v>3508000</v>
      </c>
    </row>
    <row r="7446" spans="2:8" x14ac:dyDescent="0.25">
      <c r="B7446" t="str">
        <f t="shared" si="116"/>
        <v>PRYPopulation growth (annual %)</v>
      </c>
      <c r="C7446" t="s">
        <v>228</v>
      </c>
      <c r="D7446" t="s">
        <v>119</v>
      </c>
      <c r="E7446" t="s">
        <v>399</v>
      </c>
      <c r="F7446" t="s">
        <v>728</v>
      </c>
      <c r="G7446">
        <v>0</v>
      </c>
      <c r="H7446">
        <v>0</v>
      </c>
    </row>
    <row r="7447" spans="2:8" x14ac:dyDescent="0.25">
      <c r="B7447" t="str">
        <f t="shared" si="116"/>
        <v>PERPopulation ages 0-14, female</v>
      </c>
      <c r="C7447" t="s">
        <v>607</v>
      </c>
      <c r="D7447" t="s">
        <v>114</v>
      </c>
      <c r="E7447" t="s">
        <v>687</v>
      </c>
      <c r="F7447" t="s">
        <v>688</v>
      </c>
      <c r="G7447">
        <v>4084000</v>
      </c>
      <c r="H7447">
        <v>4057000</v>
      </c>
    </row>
    <row r="7448" spans="2:8" x14ac:dyDescent="0.25">
      <c r="B7448" t="str">
        <f t="shared" si="116"/>
        <v>PERPopulation ages 0-14, male</v>
      </c>
      <c r="C7448" t="s">
        <v>607</v>
      </c>
      <c r="D7448" t="s">
        <v>114</v>
      </c>
      <c r="E7448" t="s">
        <v>689</v>
      </c>
      <c r="F7448" t="s">
        <v>690</v>
      </c>
      <c r="G7448">
        <v>4127000</v>
      </c>
      <c r="H7448">
        <v>4085000</v>
      </c>
    </row>
    <row r="7449" spans="2:8" x14ac:dyDescent="0.25">
      <c r="B7449" t="str">
        <f t="shared" si="116"/>
        <v>PERPopulation ages 00-04, female</v>
      </c>
      <c r="C7449" t="s">
        <v>607</v>
      </c>
      <c r="D7449" t="s">
        <v>114</v>
      </c>
      <c r="E7449" t="s">
        <v>362</v>
      </c>
      <c r="F7449" t="s">
        <v>691</v>
      </c>
      <c r="G7449">
        <v>1372000</v>
      </c>
      <c r="H7449">
        <v>1383000</v>
      </c>
    </row>
    <row r="7450" spans="2:8" x14ac:dyDescent="0.25">
      <c r="B7450" t="str">
        <f t="shared" si="116"/>
        <v>PERPopulation ages 00-04, male</v>
      </c>
      <c r="C7450" t="s">
        <v>607</v>
      </c>
      <c r="D7450" t="s">
        <v>114</v>
      </c>
      <c r="E7450" t="s">
        <v>363</v>
      </c>
      <c r="F7450" t="s">
        <v>692</v>
      </c>
      <c r="G7450">
        <v>1438000</v>
      </c>
      <c r="H7450">
        <v>1450000</v>
      </c>
    </row>
    <row r="7451" spans="2:8" x14ac:dyDescent="0.25">
      <c r="B7451" t="str">
        <f t="shared" si="116"/>
        <v>PERPopulation ages 05-09, female</v>
      </c>
      <c r="C7451" t="s">
        <v>607</v>
      </c>
      <c r="D7451" t="s">
        <v>114</v>
      </c>
      <c r="E7451" t="s">
        <v>364</v>
      </c>
      <c r="F7451" t="s">
        <v>693</v>
      </c>
      <c r="G7451">
        <v>1336000</v>
      </c>
      <c r="H7451">
        <v>1303000</v>
      </c>
    </row>
    <row r="7452" spans="2:8" x14ac:dyDescent="0.25">
      <c r="B7452" t="str">
        <f t="shared" si="116"/>
        <v>PERPopulation ages 05-09, male</v>
      </c>
      <c r="C7452" t="s">
        <v>607</v>
      </c>
      <c r="D7452" t="s">
        <v>114</v>
      </c>
      <c r="E7452" t="s">
        <v>365</v>
      </c>
      <c r="F7452" t="s">
        <v>694</v>
      </c>
      <c r="G7452">
        <v>1343000</v>
      </c>
      <c r="H7452">
        <v>1309000</v>
      </c>
    </row>
    <row r="7453" spans="2:8" x14ac:dyDescent="0.25">
      <c r="B7453" t="str">
        <f t="shared" si="116"/>
        <v>PERPopulation ages 10-14, female</v>
      </c>
      <c r="C7453" t="s">
        <v>607</v>
      </c>
      <c r="D7453" t="s">
        <v>114</v>
      </c>
      <c r="E7453" t="s">
        <v>366</v>
      </c>
      <c r="F7453" t="s">
        <v>695</v>
      </c>
      <c r="G7453">
        <v>1375000</v>
      </c>
      <c r="H7453">
        <v>1370000</v>
      </c>
    </row>
    <row r="7454" spans="2:8" x14ac:dyDescent="0.25">
      <c r="B7454" t="str">
        <f t="shared" si="116"/>
        <v>PERPopulation ages 10-14, male</v>
      </c>
      <c r="C7454" t="s">
        <v>607</v>
      </c>
      <c r="D7454" t="s">
        <v>114</v>
      </c>
      <c r="E7454" t="s">
        <v>367</v>
      </c>
      <c r="F7454" t="s">
        <v>696</v>
      </c>
      <c r="G7454">
        <v>1346000</v>
      </c>
      <c r="H7454">
        <v>1326000</v>
      </c>
    </row>
    <row r="7455" spans="2:8" x14ac:dyDescent="0.25">
      <c r="B7455" t="str">
        <f t="shared" si="116"/>
        <v>PERPopulation ages 15-19, female</v>
      </c>
      <c r="C7455" t="s">
        <v>607</v>
      </c>
      <c r="D7455" t="s">
        <v>114</v>
      </c>
      <c r="E7455" t="s">
        <v>368</v>
      </c>
      <c r="F7455" t="s">
        <v>697</v>
      </c>
      <c r="G7455">
        <v>1285000</v>
      </c>
      <c r="H7455">
        <v>1257000</v>
      </c>
    </row>
    <row r="7456" spans="2:8" x14ac:dyDescent="0.25">
      <c r="B7456" t="str">
        <f t="shared" si="116"/>
        <v>PERPopulation ages 15-19, male</v>
      </c>
      <c r="C7456" t="s">
        <v>607</v>
      </c>
      <c r="D7456" t="s">
        <v>114</v>
      </c>
      <c r="E7456" t="s">
        <v>369</v>
      </c>
      <c r="F7456" t="s">
        <v>698</v>
      </c>
      <c r="G7456">
        <v>1220000</v>
      </c>
      <c r="H7456">
        <v>1182000</v>
      </c>
    </row>
    <row r="7457" spans="2:8" x14ac:dyDescent="0.25">
      <c r="B7457" t="str">
        <f t="shared" si="116"/>
        <v>PERPopulation ages 20-24, female</v>
      </c>
      <c r="C7457" t="s">
        <v>607</v>
      </c>
      <c r="D7457" t="s">
        <v>114</v>
      </c>
      <c r="E7457" t="s">
        <v>370</v>
      </c>
      <c r="F7457" t="s">
        <v>699</v>
      </c>
      <c r="G7457">
        <v>1401000</v>
      </c>
      <c r="H7457">
        <v>1399000</v>
      </c>
    </row>
    <row r="7458" spans="2:8" x14ac:dyDescent="0.25">
      <c r="B7458" t="str">
        <f t="shared" si="116"/>
        <v>PERPopulation ages 20-24, male</v>
      </c>
      <c r="C7458" t="s">
        <v>607</v>
      </c>
      <c r="D7458" t="s">
        <v>114</v>
      </c>
      <c r="E7458" t="s">
        <v>371</v>
      </c>
      <c r="F7458" t="s">
        <v>700</v>
      </c>
      <c r="G7458">
        <v>1268000</v>
      </c>
      <c r="H7458">
        <v>1209000</v>
      </c>
    </row>
    <row r="7459" spans="2:8" x14ac:dyDescent="0.25">
      <c r="B7459" t="str">
        <f t="shared" si="116"/>
        <v>PERPopulation ages 25-29, female</v>
      </c>
      <c r="C7459" t="s">
        <v>607</v>
      </c>
      <c r="D7459" t="s">
        <v>114</v>
      </c>
      <c r="E7459" t="s">
        <v>372</v>
      </c>
      <c r="F7459" t="s">
        <v>701</v>
      </c>
      <c r="G7459">
        <v>1377000</v>
      </c>
      <c r="H7459">
        <v>1406000</v>
      </c>
    </row>
    <row r="7460" spans="2:8" x14ac:dyDescent="0.25">
      <c r="B7460" t="str">
        <f t="shared" si="116"/>
        <v>PERPopulation ages 25-29, male</v>
      </c>
      <c r="C7460" t="s">
        <v>607</v>
      </c>
      <c r="D7460" t="s">
        <v>114</v>
      </c>
      <c r="E7460" t="s">
        <v>373</v>
      </c>
      <c r="F7460" t="s">
        <v>702</v>
      </c>
      <c r="G7460">
        <v>1379000</v>
      </c>
      <c r="H7460">
        <v>1361000</v>
      </c>
    </row>
    <row r="7461" spans="2:8" x14ac:dyDescent="0.25">
      <c r="B7461" t="str">
        <f t="shared" si="116"/>
        <v>PERPopulation ages 30-34, female</v>
      </c>
      <c r="C7461" t="s">
        <v>607</v>
      </c>
      <c r="D7461" t="s">
        <v>114</v>
      </c>
      <c r="E7461" t="s">
        <v>374</v>
      </c>
      <c r="F7461" t="s">
        <v>703</v>
      </c>
      <c r="G7461">
        <v>1283000</v>
      </c>
      <c r="H7461">
        <v>1320000</v>
      </c>
    </row>
    <row r="7462" spans="2:8" x14ac:dyDescent="0.25">
      <c r="B7462" t="str">
        <f t="shared" si="116"/>
        <v>PERPopulation ages 30-34, male</v>
      </c>
      <c r="C7462" t="s">
        <v>607</v>
      </c>
      <c r="D7462" t="s">
        <v>114</v>
      </c>
      <c r="E7462" t="s">
        <v>375</v>
      </c>
      <c r="F7462" t="s">
        <v>704</v>
      </c>
      <c r="G7462">
        <v>1337000</v>
      </c>
      <c r="H7462">
        <v>1373000</v>
      </c>
    </row>
    <row r="7463" spans="2:8" x14ac:dyDescent="0.25">
      <c r="B7463" t="str">
        <f t="shared" si="116"/>
        <v>PERPopulation ages 35-39, female</v>
      </c>
      <c r="C7463" t="s">
        <v>607</v>
      </c>
      <c r="D7463" t="s">
        <v>114</v>
      </c>
      <c r="E7463" t="s">
        <v>376</v>
      </c>
      <c r="F7463" t="s">
        <v>705</v>
      </c>
      <c r="G7463">
        <v>1193000</v>
      </c>
      <c r="H7463">
        <v>1229000</v>
      </c>
    </row>
    <row r="7464" spans="2:8" x14ac:dyDescent="0.25">
      <c r="B7464" t="str">
        <f t="shared" si="116"/>
        <v>PERPopulation ages 35-39, male</v>
      </c>
      <c r="C7464" t="s">
        <v>607</v>
      </c>
      <c r="D7464" t="s">
        <v>114</v>
      </c>
      <c r="E7464" t="s">
        <v>377</v>
      </c>
      <c r="F7464" t="s">
        <v>706</v>
      </c>
      <c r="G7464">
        <v>1255000</v>
      </c>
      <c r="H7464">
        <v>1309000</v>
      </c>
    </row>
    <row r="7465" spans="2:8" x14ac:dyDescent="0.25">
      <c r="B7465" t="str">
        <f t="shared" si="116"/>
        <v>PERPopulation ages 40-44, female</v>
      </c>
      <c r="C7465" t="s">
        <v>607</v>
      </c>
      <c r="D7465" t="s">
        <v>114</v>
      </c>
      <c r="E7465" t="s">
        <v>378</v>
      </c>
      <c r="F7465" t="s">
        <v>707</v>
      </c>
      <c r="G7465">
        <v>1091000</v>
      </c>
      <c r="H7465">
        <v>1120000</v>
      </c>
    </row>
    <row r="7466" spans="2:8" x14ac:dyDescent="0.25">
      <c r="B7466" t="str">
        <f t="shared" si="116"/>
        <v>PERPopulation ages 40-44, male</v>
      </c>
      <c r="C7466" t="s">
        <v>607</v>
      </c>
      <c r="D7466" t="s">
        <v>114</v>
      </c>
      <c r="E7466" t="s">
        <v>379</v>
      </c>
      <c r="F7466" t="s">
        <v>708</v>
      </c>
      <c r="G7466">
        <v>1125000</v>
      </c>
      <c r="H7466">
        <v>1181000</v>
      </c>
    </row>
    <row r="7467" spans="2:8" x14ac:dyDescent="0.25">
      <c r="B7467" t="str">
        <f t="shared" si="116"/>
        <v>PERPopulation ages 45-49, female</v>
      </c>
      <c r="C7467" t="s">
        <v>607</v>
      </c>
      <c r="D7467" t="s">
        <v>114</v>
      </c>
      <c r="E7467" t="s">
        <v>380</v>
      </c>
      <c r="F7467" t="s">
        <v>709</v>
      </c>
      <c r="G7467">
        <v>979000</v>
      </c>
      <c r="H7467">
        <v>998000</v>
      </c>
    </row>
    <row r="7468" spans="2:8" x14ac:dyDescent="0.25">
      <c r="B7468" t="str">
        <f t="shared" si="116"/>
        <v>PERPopulation ages 45-49, male</v>
      </c>
      <c r="C7468" t="s">
        <v>607</v>
      </c>
      <c r="D7468" t="s">
        <v>114</v>
      </c>
      <c r="E7468" t="s">
        <v>381</v>
      </c>
      <c r="F7468" t="s">
        <v>710</v>
      </c>
      <c r="G7468">
        <v>997000</v>
      </c>
      <c r="H7468">
        <v>1048000</v>
      </c>
    </row>
    <row r="7469" spans="2:8" x14ac:dyDescent="0.25">
      <c r="B7469" t="str">
        <f t="shared" si="116"/>
        <v>PERPopulation ages 50-54, female</v>
      </c>
      <c r="C7469" t="s">
        <v>607</v>
      </c>
      <c r="D7469" t="s">
        <v>114</v>
      </c>
      <c r="E7469" t="s">
        <v>382</v>
      </c>
      <c r="F7469" t="s">
        <v>711</v>
      </c>
      <c r="G7469">
        <v>870000</v>
      </c>
      <c r="H7469">
        <v>892000</v>
      </c>
    </row>
    <row r="7470" spans="2:8" x14ac:dyDescent="0.25">
      <c r="B7470" t="str">
        <f t="shared" si="116"/>
        <v>PERPopulation ages 50-54, male</v>
      </c>
      <c r="C7470" t="s">
        <v>607</v>
      </c>
      <c r="D7470" t="s">
        <v>114</v>
      </c>
      <c r="E7470" t="s">
        <v>383</v>
      </c>
      <c r="F7470" t="s">
        <v>712</v>
      </c>
      <c r="G7470">
        <v>855000</v>
      </c>
      <c r="H7470">
        <v>900000</v>
      </c>
    </row>
    <row r="7471" spans="2:8" x14ac:dyDescent="0.25">
      <c r="B7471" t="str">
        <f t="shared" si="116"/>
        <v>PERPopulation ages 55-59, male</v>
      </c>
      <c r="C7471" t="s">
        <v>607</v>
      </c>
      <c r="D7471" t="s">
        <v>114</v>
      </c>
      <c r="E7471" t="s">
        <v>385</v>
      </c>
      <c r="F7471" t="s">
        <v>713</v>
      </c>
      <c r="G7471">
        <v>720000</v>
      </c>
      <c r="H7471">
        <v>758000</v>
      </c>
    </row>
    <row r="7472" spans="2:8" x14ac:dyDescent="0.25">
      <c r="B7472" t="str">
        <f t="shared" si="116"/>
        <v>PERPopulation ages 55-59, female</v>
      </c>
      <c r="C7472" t="s">
        <v>607</v>
      </c>
      <c r="D7472" t="s">
        <v>114</v>
      </c>
      <c r="E7472" t="s">
        <v>384</v>
      </c>
      <c r="F7472" t="s">
        <v>714</v>
      </c>
      <c r="G7472">
        <v>740000</v>
      </c>
      <c r="H7472">
        <v>764000</v>
      </c>
    </row>
    <row r="7473" spans="2:8" x14ac:dyDescent="0.25">
      <c r="B7473" t="str">
        <f t="shared" si="116"/>
        <v>PERPopulation ages 65-69, male</v>
      </c>
      <c r="C7473" t="s">
        <v>607</v>
      </c>
      <c r="D7473" t="s">
        <v>114</v>
      </c>
      <c r="E7473" t="s">
        <v>389</v>
      </c>
      <c r="F7473" t="s">
        <v>715</v>
      </c>
      <c r="G7473">
        <v>472000</v>
      </c>
      <c r="H7473">
        <v>501000</v>
      </c>
    </row>
    <row r="7474" spans="2:8" x14ac:dyDescent="0.25">
      <c r="B7474" t="str">
        <f t="shared" si="116"/>
        <v>PERPopulation ages 65-69, female</v>
      </c>
      <c r="C7474" t="s">
        <v>607</v>
      </c>
      <c r="D7474" t="s">
        <v>114</v>
      </c>
      <c r="E7474" t="s">
        <v>388</v>
      </c>
      <c r="F7474" t="s">
        <v>716</v>
      </c>
      <c r="G7474">
        <v>502000</v>
      </c>
      <c r="H7474">
        <v>528000</v>
      </c>
    </row>
    <row r="7475" spans="2:8" x14ac:dyDescent="0.25">
      <c r="B7475" t="str">
        <f t="shared" si="116"/>
        <v>PERPopulation ages 60-64, female</v>
      </c>
      <c r="C7475" t="s">
        <v>607</v>
      </c>
      <c r="D7475" t="s">
        <v>114</v>
      </c>
      <c r="E7475" t="s">
        <v>386</v>
      </c>
      <c r="F7475" t="s">
        <v>717</v>
      </c>
      <c r="G7475">
        <v>611000</v>
      </c>
      <c r="H7475">
        <v>630000</v>
      </c>
    </row>
    <row r="7476" spans="2:8" x14ac:dyDescent="0.25">
      <c r="B7476" t="str">
        <f t="shared" si="116"/>
        <v>PERPopulation ages 60-64, male</v>
      </c>
      <c r="C7476" t="s">
        <v>607</v>
      </c>
      <c r="D7476" t="s">
        <v>114</v>
      </c>
      <c r="E7476" t="s">
        <v>387</v>
      </c>
      <c r="F7476" t="s">
        <v>718</v>
      </c>
      <c r="G7476">
        <v>588000</v>
      </c>
      <c r="H7476">
        <v>617000</v>
      </c>
    </row>
    <row r="7477" spans="2:8" x14ac:dyDescent="0.25">
      <c r="B7477" t="str">
        <f t="shared" si="116"/>
        <v>PERPopulation ages 70-74, female</v>
      </c>
      <c r="C7477" t="s">
        <v>607</v>
      </c>
      <c r="D7477" t="s">
        <v>114</v>
      </c>
      <c r="E7477" t="s">
        <v>390</v>
      </c>
      <c r="F7477" t="s">
        <v>719</v>
      </c>
      <c r="G7477">
        <v>359000</v>
      </c>
      <c r="H7477">
        <v>379000</v>
      </c>
    </row>
    <row r="7478" spans="2:8" x14ac:dyDescent="0.25">
      <c r="B7478" t="str">
        <f t="shared" si="116"/>
        <v>PERPopulation ages 70-74, male</v>
      </c>
      <c r="C7478" t="s">
        <v>607</v>
      </c>
      <c r="D7478" t="s">
        <v>114</v>
      </c>
      <c r="E7478" t="s">
        <v>391</v>
      </c>
      <c r="F7478" t="s">
        <v>720</v>
      </c>
      <c r="G7478">
        <v>329000</v>
      </c>
      <c r="H7478">
        <v>353000</v>
      </c>
    </row>
    <row r="7479" spans="2:8" x14ac:dyDescent="0.25">
      <c r="B7479" t="str">
        <f t="shared" si="116"/>
        <v>PERPopulation ages 75-79, female</v>
      </c>
      <c r="C7479" t="s">
        <v>607</v>
      </c>
      <c r="D7479" t="s">
        <v>114</v>
      </c>
      <c r="E7479" t="s">
        <v>392</v>
      </c>
      <c r="F7479" t="s">
        <v>721</v>
      </c>
      <c r="G7479">
        <v>268000</v>
      </c>
      <c r="H7479">
        <v>280000</v>
      </c>
    </row>
    <row r="7480" spans="2:8" x14ac:dyDescent="0.25">
      <c r="B7480" t="str">
        <f t="shared" si="116"/>
        <v>PERPopulation ages 75-79, male</v>
      </c>
      <c r="C7480" t="s">
        <v>607</v>
      </c>
      <c r="D7480" t="s">
        <v>114</v>
      </c>
      <c r="E7480" t="s">
        <v>393</v>
      </c>
      <c r="F7480" t="s">
        <v>722</v>
      </c>
      <c r="G7480">
        <v>233000</v>
      </c>
      <c r="H7480">
        <v>244000</v>
      </c>
    </row>
    <row r="7481" spans="2:8" x14ac:dyDescent="0.25">
      <c r="B7481" t="str">
        <f t="shared" si="116"/>
        <v>PERPopulation ages 80 and above, female</v>
      </c>
      <c r="C7481" t="s">
        <v>607</v>
      </c>
      <c r="D7481" t="s">
        <v>114</v>
      </c>
      <c r="E7481" t="s">
        <v>394</v>
      </c>
      <c r="F7481" t="s">
        <v>723</v>
      </c>
      <c r="G7481">
        <v>320000</v>
      </c>
      <c r="H7481">
        <v>334000</v>
      </c>
    </row>
    <row r="7482" spans="2:8" x14ac:dyDescent="0.25">
      <c r="B7482" t="str">
        <f t="shared" si="116"/>
        <v>PERPopulation ages 80 and above, male</v>
      </c>
      <c r="C7482" t="s">
        <v>607</v>
      </c>
      <c r="D7482" t="s">
        <v>114</v>
      </c>
      <c r="E7482" t="s">
        <v>395</v>
      </c>
      <c r="F7482" t="s">
        <v>724</v>
      </c>
      <c r="G7482">
        <v>245000</v>
      </c>
      <c r="H7482">
        <v>258000</v>
      </c>
    </row>
    <row r="7483" spans="2:8" x14ac:dyDescent="0.25">
      <c r="B7483" t="str">
        <f t="shared" si="116"/>
        <v>PERPopulation, male</v>
      </c>
      <c r="C7483" t="s">
        <v>607</v>
      </c>
      <c r="D7483" t="s">
        <v>114</v>
      </c>
      <c r="E7483" t="s">
        <v>397</v>
      </c>
      <c r="F7483" t="s">
        <v>725</v>
      </c>
      <c r="G7483">
        <v>16148000</v>
      </c>
      <c r="H7483">
        <v>16379000</v>
      </c>
    </row>
    <row r="7484" spans="2:8" x14ac:dyDescent="0.25">
      <c r="B7484" t="str">
        <f t="shared" si="116"/>
        <v>PERPopulation, total</v>
      </c>
      <c r="C7484" t="s">
        <v>607</v>
      </c>
      <c r="D7484" t="s">
        <v>114</v>
      </c>
      <c r="E7484" t="s">
        <v>398</v>
      </c>
      <c r="F7484" t="s">
        <v>726</v>
      </c>
      <c r="G7484">
        <v>32510000</v>
      </c>
      <c r="H7484">
        <v>32972000</v>
      </c>
    </row>
    <row r="7485" spans="2:8" x14ac:dyDescent="0.25">
      <c r="B7485" t="str">
        <f t="shared" si="116"/>
        <v>PERPopulation, female</v>
      </c>
      <c r="C7485" t="s">
        <v>607</v>
      </c>
      <c r="D7485" t="s">
        <v>114</v>
      </c>
      <c r="E7485" t="s">
        <v>396</v>
      </c>
      <c r="F7485" t="s">
        <v>727</v>
      </c>
      <c r="G7485">
        <v>16362000</v>
      </c>
      <c r="H7485">
        <v>16593000</v>
      </c>
    </row>
    <row r="7486" spans="2:8" x14ac:dyDescent="0.25">
      <c r="B7486" t="str">
        <f t="shared" si="116"/>
        <v>PERPopulation growth (annual %)</v>
      </c>
      <c r="C7486" t="s">
        <v>607</v>
      </c>
      <c r="D7486" t="s">
        <v>114</v>
      </c>
      <c r="E7486" t="s">
        <v>399</v>
      </c>
      <c r="F7486" t="s">
        <v>728</v>
      </c>
      <c r="G7486">
        <v>0</v>
      </c>
      <c r="H7486">
        <v>0</v>
      </c>
    </row>
    <row r="7487" spans="2:8" x14ac:dyDescent="0.25">
      <c r="B7487" t="str">
        <f t="shared" si="116"/>
        <v>PHLPopulation ages 0-14, female</v>
      </c>
      <c r="C7487" t="s">
        <v>253</v>
      </c>
      <c r="D7487" t="s">
        <v>115</v>
      </c>
      <c r="E7487" t="s">
        <v>687</v>
      </c>
      <c r="F7487" t="s">
        <v>688</v>
      </c>
      <c r="G7487">
        <v>16056000</v>
      </c>
      <c r="H7487">
        <v>16046000</v>
      </c>
    </row>
    <row r="7488" spans="2:8" x14ac:dyDescent="0.25">
      <c r="B7488" t="str">
        <f t="shared" si="116"/>
        <v>PHLPopulation ages 0-14, male</v>
      </c>
      <c r="C7488" t="s">
        <v>253</v>
      </c>
      <c r="D7488" t="s">
        <v>115</v>
      </c>
      <c r="E7488" t="s">
        <v>689</v>
      </c>
      <c r="F7488" t="s">
        <v>690</v>
      </c>
      <c r="G7488">
        <v>16894000</v>
      </c>
      <c r="H7488">
        <v>16875000</v>
      </c>
    </row>
    <row r="7489" spans="2:8" x14ac:dyDescent="0.25">
      <c r="B7489" t="str">
        <f t="shared" si="116"/>
        <v>PHLPopulation ages 00-04, female</v>
      </c>
      <c r="C7489" t="s">
        <v>253</v>
      </c>
      <c r="D7489" t="s">
        <v>115</v>
      </c>
      <c r="E7489" t="s">
        <v>362</v>
      </c>
      <c r="F7489" t="s">
        <v>691</v>
      </c>
      <c r="G7489">
        <v>5241000</v>
      </c>
      <c r="H7489">
        <v>5166000</v>
      </c>
    </row>
    <row r="7490" spans="2:8" x14ac:dyDescent="0.25">
      <c r="B7490" t="str">
        <f t="shared" si="116"/>
        <v>PHLPopulation ages 00-04, male</v>
      </c>
      <c r="C7490" t="s">
        <v>253</v>
      </c>
      <c r="D7490" t="s">
        <v>115</v>
      </c>
      <c r="E7490" t="s">
        <v>363</v>
      </c>
      <c r="F7490" t="s">
        <v>692</v>
      </c>
      <c r="G7490">
        <v>5535000</v>
      </c>
      <c r="H7490">
        <v>5451000</v>
      </c>
    </row>
    <row r="7491" spans="2:8" x14ac:dyDescent="0.25">
      <c r="B7491" t="str">
        <f t="shared" si="116"/>
        <v>PHLPopulation ages 05-09, female</v>
      </c>
      <c r="C7491" t="s">
        <v>253</v>
      </c>
      <c r="D7491" t="s">
        <v>115</v>
      </c>
      <c r="E7491" t="s">
        <v>364</v>
      </c>
      <c r="F7491" t="s">
        <v>693</v>
      </c>
      <c r="G7491">
        <v>5542000</v>
      </c>
      <c r="H7491">
        <v>5552000</v>
      </c>
    </row>
    <row r="7492" spans="2:8" x14ac:dyDescent="0.25">
      <c r="B7492" t="str">
        <f t="shared" si="116"/>
        <v>PHLPopulation ages 05-09, male</v>
      </c>
      <c r="C7492" t="s">
        <v>253</v>
      </c>
      <c r="D7492" t="s">
        <v>115</v>
      </c>
      <c r="E7492" t="s">
        <v>365</v>
      </c>
      <c r="F7492" t="s">
        <v>694</v>
      </c>
      <c r="G7492">
        <v>5821000</v>
      </c>
      <c r="H7492">
        <v>5846000</v>
      </c>
    </row>
    <row r="7493" spans="2:8" x14ac:dyDescent="0.25">
      <c r="B7493" t="str">
        <f t="shared" si="116"/>
        <v>PHLPopulation ages 10-14, female</v>
      </c>
      <c r="C7493" t="s">
        <v>253</v>
      </c>
      <c r="D7493" t="s">
        <v>115</v>
      </c>
      <c r="E7493" t="s">
        <v>366</v>
      </c>
      <c r="F7493" t="s">
        <v>695</v>
      </c>
      <c r="G7493">
        <v>5273000</v>
      </c>
      <c r="H7493">
        <v>5329000</v>
      </c>
    </row>
    <row r="7494" spans="2:8" x14ac:dyDescent="0.25">
      <c r="B7494" t="str">
        <f t="shared" si="116"/>
        <v>PHLPopulation ages 10-14, male</v>
      </c>
      <c r="C7494" t="s">
        <v>253</v>
      </c>
      <c r="D7494" t="s">
        <v>115</v>
      </c>
      <c r="E7494" t="s">
        <v>367</v>
      </c>
      <c r="F7494" t="s">
        <v>696</v>
      </c>
      <c r="G7494">
        <v>5538000</v>
      </c>
      <c r="H7494">
        <v>5578000</v>
      </c>
    </row>
    <row r="7495" spans="2:8" x14ac:dyDescent="0.25">
      <c r="B7495" t="str">
        <f t="shared" ref="B7495:B7558" si="117">CONCATENATE(D7495,E7495)</f>
        <v>PHLPopulation ages 15-19, female</v>
      </c>
      <c r="C7495" t="s">
        <v>253</v>
      </c>
      <c r="D7495" t="s">
        <v>115</v>
      </c>
      <c r="E7495" t="s">
        <v>368</v>
      </c>
      <c r="F7495" t="s">
        <v>697</v>
      </c>
      <c r="G7495">
        <v>5029000</v>
      </c>
      <c r="H7495">
        <v>5055000</v>
      </c>
    </row>
    <row r="7496" spans="2:8" x14ac:dyDescent="0.25">
      <c r="B7496" t="str">
        <f t="shared" si="117"/>
        <v>PHLPopulation ages 15-19, male</v>
      </c>
      <c r="C7496" t="s">
        <v>253</v>
      </c>
      <c r="D7496" t="s">
        <v>115</v>
      </c>
      <c r="E7496" t="s">
        <v>369</v>
      </c>
      <c r="F7496" t="s">
        <v>698</v>
      </c>
      <c r="G7496">
        <v>5384000</v>
      </c>
      <c r="H7496">
        <v>5408000</v>
      </c>
    </row>
    <row r="7497" spans="2:8" x14ac:dyDescent="0.25">
      <c r="B7497" t="str">
        <f t="shared" si="117"/>
        <v>PHLPopulation ages 20-24, female</v>
      </c>
      <c r="C7497" t="s">
        <v>253</v>
      </c>
      <c r="D7497" t="s">
        <v>115</v>
      </c>
      <c r="E7497" t="s">
        <v>370</v>
      </c>
      <c r="F7497" t="s">
        <v>699</v>
      </c>
      <c r="G7497">
        <v>4896000</v>
      </c>
      <c r="H7497">
        <v>4913000</v>
      </c>
    </row>
    <row r="7498" spans="2:8" x14ac:dyDescent="0.25">
      <c r="B7498" t="str">
        <f t="shared" si="117"/>
        <v>PHLPopulation ages 20-24, male</v>
      </c>
      <c r="C7498" t="s">
        <v>253</v>
      </c>
      <c r="D7498" t="s">
        <v>115</v>
      </c>
      <c r="E7498" t="s">
        <v>371</v>
      </c>
      <c r="F7498" t="s">
        <v>700</v>
      </c>
      <c r="G7498">
        <v>5150000</v>
      </c>
      <c r="H7498">
        <v>5192000</v>
      </c>
    </row>
    <row r="7499" spans="2:8" x14ac:dyDescent="0.25">
      <c r="B7499" t="str">
        <f t="shared" si="117"/>
        <v>PHLPopulation ages 25-29, female</v>
      </c>
      <c r="C7499" t="s">
        <v>253</v>
      </c>
      <c r="D7499" t="s">
        <v>115</v>
      </c>
      <c r="E7499" t="s">
        <v>372</v>
      </c>
      <c r="F7499" t="s">
        <v>701</v>
      </c>
      <c r="G7499">
        <v>4590000</v>
      </c>
      <c r="H7499">
        <v>4672000</v>
      </c>
    </row>
    <row r="7500" spans="2:8" x14ac:dyDescent="0.25">
      <c r="B7500" t="str">
        <f t="shared" si="117"/>
        <v>PHLPopulation ages 25-29, male</v>
      </c>
      <c r="C7500" t="s">
        <v>253</v>
      </c>
      <c r="D7500" t="s">
        <v>115</v>
      </c>
      <c r="E7500" t="s">
        <v>373</v>
      </c>
      <c r="F7500" t="s">
        <v>702</v>
      </c>
      <c r="G7500">
        <v>4711000</v>
      </c>
      <c r="H7500">
        <v>4808000</v>
      </c>
    </row>
    <row r="7501" spans="2:8" x14ac:dyDescent="0.25">
      <c r="B7501" t="str">
        <f t="shared" si="117"/>
        <v>PHLPopulation ages 30-34, female</v>
      </c>
      <c r="C7501" t="s">
        <v>253</v>
      </c>
      <c r="D7501" t="s">
        <v>115</v>
      </c>
      <c r="E7501" t="s">
        <v>374</v>
      </c>
      <c r="F7501" t="s">
        <v>703</v>
      </c>
      <c r="G7501">
        <v>3983000</v>
      </c>
      <c r="H7501">
        <v>4080000</v>
      </c>
    </row>
    <row r="7502" spans="2:8" x14ac:dyDescent="0.25">
      <c r="B7502" t="str">
        <f t="shared" si="117"/>
        <v>PHLPopulation ages 30-34, male</v>
      </c>
      <c r="C7502" t="s">
        <v>253</v>
      </c>
      <c r="D7502" t="s">
        <v>115</v>
      </c>
      <c r="E7502" t="s">
        <v>375</v>
      </c>
      <c r="F7502" t="s">
        <v>704</v>
      </c>
      <c r="G7502">
        <v>4062000</v>
      </c>
      <c r="H7502">
        <v>4167000</v>
      </c>
    </row>
    <row r="7503" spans="2:8" x14ac:dyDescent="0.25">
      <c r="B7503" t="str">
        <f t="shared" si="117"/>
        <v>PHLPopulation ages 35-39, female</v>
      </c>
      <c r="C7503" t="s">
        <v>253</v>
      </c>
      <c r="D7503" t="s">
        <v>115</v>
      </c>
      <c r="E7503" t="s">
        <v>376</v>
      </c>
      <c r="F7503" t="s">
        <v>705</v>
      </c>
      <c r="G7503">
        <v>3544000</v>
      </c>
      <c r="H7503">
        <v>3610000</v>
      </c>
    </row>
    <row r="7504" spans="2:8" x14ac:dyDescent="0.25">
      <c r="B7504" t="str">
        <f t="shared" si="117"/>
        <v>PHLPopulation ages 35-39, male</v>
      </c>
      <c r="C7504" t="s">
        <v>253</v>
      </c>
      <c r="D7504" t="s">
        <v>115</v>
      </c>
      <c r="E7504" t="s">
        <v>377</v>
      </c>
      <c r="F7504" t="s">
        <v>706</v>
      </c>
      <c r="G7504">
        <v>3581000</v>
      </c>
      <c r="H7504">
        <v>3645000</v>
      </c>
    </row>
    <row r="7505" spans="2:8" x14ac:dyDescent="0.25">
      <c r="B7505" t="str">
        <f t="shared" si="117"/>
        <v>PHLPopulation ages 40-44, female</v>
      </c>
      <c r="C7505" t="s">
        <v>253</v>
      </c>
      <c r="D7505" t="s">
        <v>115</v>
      </c>
      <c r="E7505" t="s">
        <v>378</v>
      </c>
      <c r="F7505" t="s">
        <v>707</v>
      </c>
      <c r="G7505">
        <v>3192000</v>
      </c>
      <c r="H7505">
        <v>3255000</v>
      </c>
    </row>
    <row r="7506" spans="2:8" x14ac:dyDescent="0.25">
      <c r="B7506" t="str">
        <f t="shared" si="117"/>
        <v>PHLPopulation ages 40-44, male</v>
      </c>
      <c r="C7506" t="s">
        <v>253</v>
      </c>
      <c r="D7506" t="s">
        <v>115</v>
      </c>
      <c r="E7506" t="s">
        <v>379</v>
      </c>
      <c r="F7506" t="s">
        <v>708</v>
      </c>
      <c r="G7506">
        <v>3237000</v>
      </c>
      <c r="H7506">
        <v>3297000</v>
      </c>
    </row>
    <row r="7507" spans="2:8" x14ac:dyDescent="0.25">
      <c r="B7507" t="str">
        <f t="shared" si="117"/>
        <v>PHLPopulation ages 45-49, female</v>
      </c>
      <c r="C7507" t="s">
        <v>253</v>
      </c>
      <c r="D7507" t="s">
        <v>115</v>
      </c>
      <c r="E7507" t="s">
        <v>380</v>
      </c>
      <c r="F7507" t="s">
        <v>709</v>
      </c>
      <c r="G7507">
        <v>2825000</v>
      </c>
      <c r="H7507">
        <v>2876000</v>
      </c>
    </row>
    <row r="7508" spans="2:8" x14ac:dyDescent="0.25">
      <c r="B7508" t="str">
        <f t="shared" si="117"/>
        <v>PHLPopulation ages 45-49, male</v>
      </c>
      <c r="C7508" t="s">
        <v>253</v>
      </c>
      <c r="D7508" t="s">
        <v>115</v>
      </c>
      <c r="E7508" t="s">
        <v>381</v>
      </c>
      <c r="F7508" t="s">
        <v>710</v>
      </c>
      <c r="G7508">
        <v>2833000</v>
      </c>
      <c r="H7508">
        <v>2884000</v>
      </c>
    </row>
    <row r="7509" spans="2:8" x14ac:dyDescent="0.25">
      <c r="B7509" t="str">
        <f t="shared" si="117"/>
        <v>PHLPopulation ages 50-54, female</v>
      </c>
      <c r="C7509" t="s">
        <v>253</v>
      </c>
      <c r="D7509" t="s">
        <v>115</v>
      </c>
      <c r="E7509" t="s">
        <v>382</v>
      </c>
      <c r="F7509" t="s">
        <v>711</v>
      </c>
      <c r="G7509">
        <v>2521000</v>
      </c>
      <c r="H7509">
        <v>2578000</v>
      </c>
    </row>
    <row r="7510" spans="2:8" x14ac:dyDescent="0.25">
      <c r="B7510" t="str">
        <f t="shared" si="117"/>
        <v>PHLPopulation ages 50-54, male</v>
      </c>
      <c r="C7510" t="s">
        <v>253</v>
      </c>
      <c r="D7510" t="s">
        <v>115</v>
      </c>
      <c r="E7510" t="s">
        <v>383</v>
      </c>
      <c r="F7510" t="s">
        <v>712</v>
      </c>
      <c r="G7510">
        <v>2483000</v>
      </c>
      <c r="H7510">
        <v>2539000</v>
      </c>
    </row>
    <row r="7511" spans="2:8" x14ac:dyDescent="0.25">
      <c r="B7511" t="str">
        <f t="shared" si="117"/>
        <v>PHLPopulation ages 55-59, male</v>
      </c>
      <c r="C7511" t="s">
        <v>253</v>
      </c>
      <c r="D7511" t="s">
        <v>115</v>
      </c>
      <c r="E7511" t="s">
        <v>385</v>
      </c>
      <c r="F7511" t="s">
        <v>713</v>
      </c>
      <c r="G7511">
        <v>2016000</v>
      </c>
      <c r="H7511">
        <v>2076000</v>
      </c>
    </row>
    <row r="7512" spans="2:8" x14ac:dyDescent="0.25">
      <c r="B7512" t="str">
        <f t="shared" si="117"/>
        <v>PHLPopulation ages 55-59, female</v>
      </c>
      <c r="C7512" t="s">
        <v>253</v>
      </c>
      <c r="D7512" t="s">
        <v>115</v>
      </c>
      <c r="E7512" t="s">
        <v>384</v>
      </c>
      <c r="F7512" t="s">
        <v>714</v>
      </c>
      <c r="G7512">
        <v>2112000</v>
      </c>
      <c r="H7512">
        <v>2174000</v>
      </c>
    </row>
    <row r="7513" spans="2:8" x14ac:dyDescent="0.25">
      <c r="B7513" t="str">
        <f t="shared" si="117"/>
        <v>PHLPopulation ages 65-69, male</v>
      </c>
      <c r="C7513" t="s">
        <v>253</v>
      </c>
      <c r="D7513" t="s">
        <v>115</v>
      </c>
      <c r="E7513" t="s">
        <v>389</v>
      </c>
      <c r="F7513" t="s">
        <v>715</v>
      </c>
      <c r="G7513">
        <v>1083000</v>
      </c>
      <c r="H7513">
        <v>1137000</v>
      </c>
    </row>
    <row r="7514" spans="2:8" x14ac:dyDescent="0.25">
      <c r="B7514" t="str">
        <f t="shared" si="117"/>
        <v>PHLPopulation ages 65-69, female</v>
      </c>
      <c r="C7514" t="s">
        <v>253</v>
      </c>
      <c r="D7514" t="s">
        <v>115</v>
      </c>
      <c r="E7514" t="s">
        <v>388</v>
      </c>
      <c r="F7514" t="s">
        <v>716</v>
      </c>
      <c r="G7514">
        <v>1286000</v>
      </c>
      <c r="H7514">
        <v>1349000</v>
      </c>
    </row>
    <row r="7515" spans="2:8" x14ac:dyDescent="0.25">
      <c r="B7515" t="str">
        <f t="shared" si="117"/>
        <v>PHLPopulation ages 60-64, female</v>
      </c>
      <c r="C7515" t="s">
        <v>253</v>
      </c>
      <c r="D7515" t="s">
        <v>115</v>
      </c>
      <c r="E7515" t="s">
        <v>386</v>
      </c>
      <c r="F7515" t="s">
        <v>717</v>
      </c>
      <c r="G7515">
        <v>1715000</v>
      </c>
      <c r="H7515">
        <v>1778000</v>
      </c>
    </row>
    <row r="7516" spans="2:8" x14ac:dyDescent="0.25">
      <c r="B7516" t="str">
        <f t="shared" si="117"/>
        <v>PHLPopulation ages 60-64, male</v>
      </c>
      <c r="C7516" t="s">
        <v>253</v>
      </c>
      <c r="D7516" t="s">
        <v>115</v>
      </c>
      <c r="E7516" t="s">
        <v>387</v>
      </c>
      <c r="F7516" t="s">
        <v>718</v>
      </c>
      <c r="G7516">
        <v>1557000</v>
      </c>
      <c r="H7516">
        <v>1615000</v>
      </c>
    </row>
    <row r="7517" spans="2:8" x14ac:dyDescent="0.25">
      <c r="B7517" t="str">
        <f t="shared" si="117"/>
        <v>PHLPopulation ages 70-74, female</v>
      </c>
      <c r="C7517" t="s">
        <v>253</v>
      </c>
      <c r="D7517" t="s">
        <v>115</v>
      </c>
      <c r="E7517" t="s">
        <v>390</v>
      </c>
      <c r="F7517" t="s">
        <v>719</v>
      </c>
      <c r="G7517">
        <v>896000</v>
      </c>
      <c r="H7517">
        <v>952000</v>
      </c>
    </row>
    <row r="7518" spans="2:8" x14ac:dyDescent="0.25">
      <c r="B7518" t="str">
        <f t="shared" si="117"/>
        <v>PHLPopulation ages 70-74, male</v>
      </c>
      <c r="C7518" t="s">
        <v>253</v>
      </c>
      <c r="D7518" t="s">
        <v>115</v>
      </c>
      <c r="E7518" t="s">
        <v>391</v>
      </c>
      <c r="F7518" t="s">
        <v>720</v>
      </c>
      <c r="G7518">
        <v>668000</v>
      </c>
      <c r="H7518">
        <v>710000</v>
      </c>
    </row>
    <row r="7519" spans="2:8" x14ac:dyDescent="0.25">
      <c r="B7519" t="str">
        <f t="shared" si="117"/>
        <v>PHLPopulation ages 75-79, female</v>
      </c>
      <c r="C7519" t="s">
        <v>253</v>
      </c>
      <c r="D7519" t="s">
        <v>115</v>
      </c>
      <c r="E7519" t="s">
        <v>392</v>
      </c>
      <c r="F7519" t="s">
        <v>721</v>
      </c>
      <c r="G7519">
        <v>567000</v>
      </c>
      <c r="H7519">
        <v>597000</v>
      </c>
    </row>
    <row r="7520" spans="2:8" x14ac:dyDescent="0.25">
      <c r="B7520" t="str">
        <f t="shared" si="117"/>
        <v>PHLPopulation ages 75-79, male</v>
      </c>
      <c r="C7520" t="s">
        <v>253</v>
      </c>
      <c r="D7520" t="s">
        <v>115</v>
      </c>
      <c r="E7520" t="s">
        <v>393</v>
      </c>
      <c r="F7520" t="s">
        <v>722</v>
      </c>
      <c r="G7520">
        <v>364000</v>
      </c>
      <c r="H7520">
        <v>381000</v>
      </c>
    </row>
    <row r="7521" spans="2:8" x14ac:dyDescent="0.25">
      <c r="B7521" t="str">
        <f t="shared" si="117"/>
        <v>PHLPopulation ages 80 and above, female</v>
      </c>
      <c r="C7521" t="s">
        <v>253</v>
      </c>
      <c r="D7521" t="s">
        <v>115</v>
      </c>
      <c r="E7521" t="s">
        <v>394</v>
      </c>
      <c r="F7521" t="s">
        <v>723</v>
      </c>
      <c r="G7521">
        <v>589000</v>
      </c>
      <c r="H7521">
        <v>617000</v>
      </c>
    </row>
    <row r="7522" spans="2:8" x14ac:dyDescent="0.25">
      <c r="B7522" t="str">
        <f t="shared" si="117"/>
        <v>PHLPopulation ages 80 and above, male</v>
      </c>
      <c r="C7522" t="s">
        <v>253</v>
      </c>
      <c r="D7522" t="s">
        <v>115</v>
      </c>
      <c r="E7522" t="s">
        <v>395</v>
      </c>
      <c r="F7522" t="s">
        <v>724</v>
      </c>
      <c r="G7522">
        <v>293000</v>
      </c>
      <c r="H7522">
        <v>297000</v>
      </c>
    </row>
    <row r="7523" spans="2:8" x14ac:dyDescent="0.25">
      <c r="B7523" t="str">
        <f t="shared" si="117"/>
        <v>PHLPopulation, male</v>
      </c>
      <c r="C7523" t="s">
        <v>253</v>
      </c>
      <c r="D7523" t="s">
        <v>115</v>
      </c>
      <c r="E7523" t="s">
        <v>397</v>
      </c>
      <c r="F7523" t="s">
        <v>725</v>
      </c>
      <c r="G7523">
        <v>54316000</v>
      </c>
      <c r="H7523">
        <v>55029000</v>
      </c>
    </row>
    <row r="7524" spans="2:8" x14ac:dyDescent="0.25">
      <c r="B7524" t="str">
        <f t="shared" si="117"/>
        <v>PHLPopulation, total</v>
      </c>
      <c r="C7524" t="s">
        <v>253</v>
      </c>
      <c r="D7524" t="s">
        <v>115</v>
      </c>
      <c r="E7524" t="s">
        <v>398</v>
      </c>
      <c r="F7524" t="s">
        <v>726</v>
      </c>
      <c r="G7524">
        <v>108117000</v>
      </c>
      <c r="H7524">
        <v>109581000</v>
      </c>
    </row>
    <row r="7525" spans="2:8" x14ac:dyDescent="0.25">
      <c r="B7525" t="str">
        <f t="shared" si="117"/>
        <v>PHLPopulation, female</v>
      </c>
      <c r="C7525" t="s">
        <v>253</v>
      </c>
      <c r="D7525" t="s">
        <v>115</v>
      </c>
      <c r="E7525" t="s">
        <v>396</v>
      </c>
      <c r="F7525" t="s">
        <v>727</v>
      </c>
      <c r="G7525">
        <v>53801000</v>
      </c>
      <c r="H7525">
        <v>54552000</v>
      </c>
    </row>
    <row r="7526" spans="2:8" x14ac:dyDescent="0.25">
      <c r="B7526" t="str">
        <f t="shared" si="117"/>
        <v>PHLPopulation growth (annual %)</v>
      </c>
      <c r="C7526" t="s">
        <v>253</v>
      </c>
      <c r="D7526" t="s">
        <v>115</v>
      </c>
      <c r="E7526" t="s">
        <v>399</v>
      </c>
      <c r="F7526" t="s">
        <v>728</v>
      </c>
      <c r="G7526">
        <v>0</v>
      </c>
      <c r="H7526">
        <v>0</v>
      </c>
    </row>
    <row r="7527" spans="2:8" x14ac:dyDescent="0.25">
      <c r="B7527" t="str">
        <f t="shared" si="117"/>
        <v>POLPopulation ages 0-14, female</v>
      </c>
      <c r="C7527" t="s">
        <v>608</v>
      </c>
      <c r="D7527" t="s">
        <v>117</v>
      </c>
      <c r="E7527" t="s">
        <v>687</v>
      </c>
      <c r="F7527" t="s">
        <v>688</v>
      </c>
      <c r="G7527">
        <v>2805000</v>
      </c>
      <c r="H7527">
        <v>2804000</v>
      </c>
    </row>
    <row r="7528" spans="2:8" x14ac:dyDescent="0.25">
      <c r="B7528" t="str">
        <f t="shared" si="117"/>
        <v>POLPopulation ages 0-14, male</v>
      </c>
      <c r="C7528" t="s">
        <v>608</v>
      </c>
      <c r="D7528" t="s">
        <v>117</v>
      </c>
      <c r="E7528" t="s">
        <v>689</v>
      </c>
      <c r="F7528" t="s">
        <v>690</v>
      </c>
      <c r="G7528">
        <v>2950000</v>
      </c>
      <c r="H7528">
        <v>2949000</v>
      </c>
    </row>
    <row r="7529" spans="2:8" x14ac:dyDescent="0.25">
      <c r="B7529" t="str">
        <f t="shared" si="117"/>
        <v>POLPopulation ages 00-04, female</v>
      </c>
      <c r="C7529" t="s">
        <v>608</v>
      </c>
      <c r="D7529" t="s">
        <v>117</v>
      </c>
      <c r="E7529" t="s">
        <v>362</v>
      </c>
      <c r="F7529" t="s">
        <v>691</v>
      </c>
      <c r="G7529">
        <v>915000</v>
      </c>
      <c r="H7529">
        <v>917000</v>
      </c>
    </row>
    <row r="7530" spans="2:8" x14ac:dyDescent="0.25">
      <c r="B7530" t="str">
        <f t="shared" si="117"/>
        <v>POLPopulation ages 00-04, male</v>
      </c>
      <c r="C7530" t="s">
        <v>608</v>
      </c>
      <c r="D7530" t="s">
        <v>117</v>
      </c>
      <c r="E7530" t="s">
        <v>363</v>
      </c>
      <c r="F7530" t="s">
        <v>692</v>
      </c>
      <c r="G7530">
        <v>964000</v>
      </c>
      <c r="H7530">
        <v>966000</v>
      </c>
    </row>
    <row r="7531" spans="2:8" x14ac:dyDescent="0.25">
      <c r="B7531" t="str">
        <f t="shared" si="117"/>
        <v>POLPopulation ages 05-09, female</v>
      </c>
      <c r="C7531" t="s">
        <v>608</v>
      </c>
      <c r="D7531" t="s">
        <v>117</v>
      </c>
      <c r="E7531" t="s">
        <v>364</v>
      </c>
      <c r="F7531" t="s">
        <v>693</v>
      </c>
      <c r="G7531">
        <v>943000</v>
      </c>
      <c r="H7531">
        <v>925000</v>
      </c>
    </row>
    <row r="7532" spans="2:8" x14ac:dyDescent="0.25">
      <c r="B7532" t="str">
        <f t="shared" si="117"/>
        <v>POLPopulation ages 05-09, male</v>
      </c>
      <c r="C7532" t="s">
        <v>608</v>
      </c>
      <c r="D7532" t="s">
        <v>117</v>
      </c>
      <c r="E7532" t="s">
        <v>365</v>
      </c>
      <c r="F7532" t="s">
        <v>694</v>
      </c>
      <c r="G7532">
        <v>992000</v>
      </c>
      <c r="H7532">
        <v>973000</v>
      </c>
    </row>
    <row r="7533" spans="2:8" x14ac:dyDescent="0.25">
      <c r="B7533" t="str">
        <f t="shared" si="117"/>
        <v>POLPopulation ages 10-14, female</v>
      </c>
      <c r="C7533" t="s">
        <v>608</v>
      </c>
      <c r="D7533" t="s">
        <v>117</v>
      </c>
      <c r="E7533" t="s">
        <v>366</v>
      </c>
      <c r="F7533" t="s">
        <v>695</v>
      </c>
      <c r="G7533">
        <v>947000</v>
      </c>
      <c r="H7533">
        <v>962000</v>
      </c>
    </row>
    <row r="7534" spans="2:8" x14ac:dyDescent="0.25">
      <c r="B7534" t="str">
        <f t="shared" si="117"/>
        <v>POLPopulation ages 10-14, male</v>
      </c>
      <c r="C7534" t="s">
        <v>608</v>
      </c>
      <c r="D7534" t="s">
        <v>117</v>
      </c>
      <c r="E7534" t="s">
        <v>367</v>
      </c>
      <c r="F7534" t="s">
        <v>696</v>
      </c>
      <c r="G7534">
        <v>994000</v>
      </c>
      <c r="H7534">
        <v>1010000</v>
      </c>
    </row>
    <row r="7535" spans="2:8" x14ac:dyDescent="0.25">
      <c r="B7535" t="str">
        <f t="shared" si="117"/>
        <v>POLPopulation ages 15-19, female</v>
      </c>
      <c r="C7535" t="s">
        <v>608</v>
      </c>
      <c r="D7535" t="s">
        <v>117</v>
      </c>
      <c r="E7535" t="s">
        <v>368</v>
      </c>
      <c r="F7535" t="s">
        <v>697</v>
      </c>
      <c r="G7535">
        <v>857000</v>
      </c>
      <c r="H7535">
        <v>852000</v>
      </c>
    </row>
    <row r="7536" spans="2:8" x14ac:dyDescent="0.25">
      <c r="B7536" t="str">
        <f t="shared" si="117"/>
        <v>POLPopulation ages 15-19, male</v>
      </c>
      <c r="C7536" t="s">
        <v>608</v>
      </c>
      <c r="D7536" t="s">
        <v>117</v>
      </c>
      <c r="E7536" t="s">
        <v>369</v>
      </c>
      <c r="F7536" t="s">
        <v>698</v>
      </c>
      <c r="G7536">
        <v>886000</v>
      </c>
      <c r="H7536">
        <v>881000</v>
      </c>
    </row>
    <row r="7537" spans="2:8" x14ac:dyDescent="0.25">
      <c r="B7537" t="str">
        <f t="shared" si="117"/>
        <v>POLPopulation ages 20-24, female</v>
      </c>
      <c r="C7537" t="s">
        <v>608</v>
      </c>
      <c r="D7537" t="s">
        <v>117</v>
      </c>
      <c r="E7537" t="s">
        <v>370</v>
      </c>
      <c r="F7537" t="s">
        <v>699</v>
      </c>
      <c r="G7537">
        <v>1015000</v>
      </c>
      <c r="H7537">
        <v>970000</v>
      </c>
    </row>
    <row r="7538" spans="2:8" x14ac:dyDescent="0.25">
      <c r="B7538" t="str">
        <f t="shared" si="117"/>
        <v>POLPopulation ages 20-24, male</v>
      </c>
      <c r="C7538" t="s">
        <v>608</v>
      </c>
      <c r="D7538" t="s">
        <v>117</v>
      </c>
      <c r="E7538" t="s">
        <v>371</v>
      </c>
      <c r="F7538" t="s">
        <v>700</v>
      </c>
      <c r="G7538">
        <v>1047000</v>
      </c>
      <c r="H7538">
        <v>994000</v>
      </c>
    </row>
    <row r="7539" spans="2:8" x14ac:dyDescent="0.25">
      <c r="B7539" t="str">
        <f t="shared" si="117"/>
        <v>POLPopulation ages 25-29, female</v>
      </c>
      <c r="C7539" t="s">
        <v>608</v>
      </c>
      <c r="D7539" t="s">
        <v>117</v>
      </c>
      <c r="E7539" t="s">
        <v>372</v>
      </c>
      <c r="F7539" t="s">
        <v>701</v>
      </c>
      <c r="G7539">
        <v>1241000</v>
      </c>
      <c r="H7539">
        <v>1201000</v>
      </c>
    </row>
    <row r="7540" spans="2:8" x14ac:dyDescent="0.25">
      <c r="B7540" t="str">
        <f t="shared" si="117"/>
        <v>POLPopulation ages 25-29, male</v>
      </c>
      <c r="C7540" t="s">
        <v>608</v>
      </c>
      <c r="D7540" t="s">
        <v>117</v>
      </c>
      <c r="E7540" t="s">
        <v>373</v>
      </c>
      <c r="F7540" t="s">
        <v>702</v>
      </c>
      <c r="G7540">
        <v>1313000</v>
      </c>
      <c r="H7540">
        <v>1262000</v>
      </c>
    </row>
    <row r="7541" spans="2:8" x14ac:dyDescent="0.25">
      <c r="B7541" t="str">
        <f t="shared" si="117"/>
        <v>POLPopulation ages 30-34, female</v>
      </c>
      <c r="C7541" t="s">
        <v>608</v>
      </c>
      <c r="D7541" t="s">
        <v>117</v>
      </c>
      <c r="E7541" t="s">
        <v>374</v>
      </c>
      <c r="F7541" t="s">
        <v>703</v>
      </c>
      <c r="G7541">
        <v>1397000</v>
      </c>
      <c r="H7541">
        <v>1354000</v>
      </c>
    </row>
    <row r="7542" spans="2:8" x14ac:dyDescent="0.25">
      <c r="B7542" t="str">
        <f t="shared" si="117"/>
        <v>POLPopulation ages 30-34, male</v>
      </c>
      <c r="C7542" t="s">
        <v>608</v>
      </c>
      <c r="D7542" t="s">
        <v>117</v>
      </c>
      <c r="E7542" t="s">
        <v>375</v>
      </c>
      <c r="F7542" t="s">
        <v>704</v>
      </c>
      <c r="G7542">
        <v>1515000</v>
      </c>
      <c r="H7542">
        <v>1469000</v>
      </c>
    </row>
    <row r="7543" spans="2:8" x14ac:dyDescent="0.25">
      <c r="B7543" t="str">
        <f t="shared" si="117"/>
        <v>POLPopulation ages 35-39, female</v>
      </c>
      <c r="C7543" t="s">
        <v>608</v>
      </c>
      <c r="D7543" t="s">
        <v>117</v>
      </c>
      <c r="E7543" t="s">
        <v>376</v>
      </c>
      <c r="F7543" t="s">
        <v>705</v>
      </c>
      <c r="G7543">
        <v>1542000</v>
      </c>
      <c r="H7543">
        <v>1531000</v>
      </c>
    </row>
    <row r="7544" spans="2:8" x14ac:dyDescent="0.25">
      <c r="B7544" t="str">
        <f t="shared" si="117"/>
        <v>POLPopulation ages 35-39, male</v>
      </c>
      <c r="C7544" t="s">
        <v>608</v>
      </c>
      <c r="D7544" t="s">
        <v>117</v>
      </c>
      <c r="E7544" t="s">
        <v>377</v>
      </c>
      <c r="F7544" t="s">
        <v>706</v>
      </c>
      <c r="G7544">
        <v>1646000</v>
      </c>
      <c r="H7544">
        <v>1645000</v>
      </c>
    </row>
    <row r="7545" spans="2:8" x14ac:dyDescent="0.25">
      <c r="B7545" t="str">
        <f t="shared" si="117"/>
        <v>POLPopulation ages 40-44, female</v>
      </c>
      <c r="C7545" t="s">
        <v>608</v>
      </c>
      <c r="D7545" t="s">
        <v>117</v>
      </c>
      <c r="E7545" t="s">
        <v>378</v>
      </c>
      <c r="F7545" t="s">
        <v>707</v>
      </c>
      <c r="G7545">
        <v>1429000</v>
      </c>
      <c r="H7545">
        <v>1454000</v>
      </c>
    </row>
    <row r="7546" spans="2:8" x14ac:dyDescent="0.25">
      <c r="B7546" t="str">
        <f t="shared" si="117"/>
        <v>POLPopulation ages 40-44, male</v>
      </c>
      <c r="C7546" t="s">
        <v>608</v>
      </c>
      <c r="D7546" t="s">
        <v>117</v>
      </c>
      <c r="E7546" t="s">
        <v>379</v>
      </c>
      <c r="F7546" t="s">
        <v>708</v>
      </c>
      <c r="G7546">
        <v>1466000</v>
      </c>
      <c r="H7546">
        <v>1501000</v>
      </c>
    </row>
    <row r="7547" spans="2:8" x14ac:dyDescent="0.25">
      <c r="B7547" t="str">
        <f t="shared" si="117"/>
        <v>POLPopulation ages 45-49, female</v>
      </c>
      <c r="C7547" t="s">
        <v>608</v>
      </c>
      <c r="D7547" t="s">
        <v>117</v>
      </c>
      <c r="E7547" t="s">
        <v>380</v>
      </c>
      <c r="F7547" t="s">
        <v>709</v>
      </c>
      <c r="G7547">
        <v>1250000</v>
      </c>
      <c r="H7547">
        <v>1284000</v>
      </c>
    </row>
    <row r="7548" spans="2:8" x14ac:dyDescent="0.25">
      <c r="B7548" t="str">
        <f t="shared" si="117"/>
        <v>POLPopulation ages 45-49, male</v>
      </c>
      <c r="C7548" t="s">
        <v>608</v>
      </c>
      <c r="D7548" t="s">
        <v>117</v>
      </c>
      <c r="E7548" t="s">
        <v>381</v>
      </c>
      <c r="F7548" t="s">
        <v>710</v>
      </c>
      <c r="G7548">
        <v>1254000</v>
      </c>
      <c r="H7548">
        <v>1290000</v>
      </c>
    </row>
    <row r="7549" spans="2:8" x14ac:dyDescent="0.25">
      <c r="B7549" t="str">
        <f t="shared" si="117"/>
        <v>POLPopulation ages 50-54, female</v>
      </c>
      <c r="C7549" t="s">
        <v>608</v>
      </c>
      <c r="D7549" t="s">
        <v>117</v>
      </c>
      <c r="E7549" t="s">
        <v>382</v>
      </c>
      <c r="F7549" t="s">
        <v>711</v>
      </c>
      <c r="G7549">
        <v>1125000</v>
      </c>
      <c r="H7549">
        <v>1127000</v>
      </c>
    </row>
    <row r="7550" spans="2:8" x14ac:dyDescent="0.25">
      <c r="B7550" t="str">
        <f t="shared" si="117"/>
        <v>POLPopulation ages 50-54, male</v>
      </c>
      <c r="C7550" t="s">
        <v>608</v>
      </c>
      <c r="D7550" t="s">
        <v>117</v>
      </c>
      <c r="E7550" t="s">
        <v>383</v>
      </c>
      <c r="F7550" t="s">
        <v>712</v>
      </c>
      <c r="G7550">
        <v>1105000</v>
      </c>
      <c r="H7550">
        <v>1109000</v>
      </c>
    </row>
    <row r="7551" spans="2:8" x14ac:dyDescent="0.25">
      <c r="B7551" t="str">
        <f t="shared" si="117"/>
        <v>POLPopulation ages 55-59, male</v>
      </c>
      <c r="C7551" t="s">
        <v>608</v>
      </c>
      <c r="D7551" t="s">
        <v>117</v>
      </c>
      <c r="E7551" t="s">
        <v>385</v>
      </c>
      <c r="F7551" t="s">
        <v>713</v>
      </c>
      <c r="G7551">
        <v>1173000</v>
      </c>
      <c r="H7551">
        <v>1127000</v>
      </c>
    </row>
    <row r="7552" spans="2:8" x14ac:dyDescent="0.25">
      <c r="B7552" t="str">
        <f t="shared" si="117"/>
        <v>POLPopulation ages 55-59, female</v>
      </c>
      <c r="C7552" t="s">
        <v>608</v>
      </c>
      <c r="D7552" t="s">
        <v>117</v>
      </c>
      <c r="E7552" t="s">
        <v>384</v>
      </c>
      <c r="F7552" t="s">
        <v>714</v>
      </c>
      <c r="G7552">
        <v>1250000</v>
      </c>
      <c r="H7552">
        <v>1195000</v>
      </c>
    </row>
    <row r="7553" spans="2:8" x14ac:dyDescent="0.25">
      <c r="B7553" t="str">
        <f t="shared" si="117"/>
        <v>POLPopulation ages 65-69, male</v>
      </c>
      <c r="C7553" t="s">
        <v>608</v>
      </c>
      <c r="D7553" t="s">
        <v>117</v>
      </c>
      <c r="E7553" t="s">
        <v>389</v>
      </c>
      <c r="F7553" t="s">
        <v>715</v>
      </c>
      <c r="G7553">
        <v>1066000</v>
      </c>
      <c r="H7553">
        <v>1093000</v>
      </c>
    </row>
    <row r="7554" spans="2:8" x14ac:dyDescent="0.25">
      <c r="B7554" t="str">
        <f t="shared" si="117"/>
        <v>POLPopulation ages 65-69, female</v>
      </c>
      <c r="C7554" t="s">
        <v>608</v>
      </c>
      <c r="D7554" t="s">
        <v>117</v>
      </c>
      <c r="E7554" t="s">
        <v>388</v>
      </c>
      <c r="F7554" t="s">
        <v>716</v>
      </c>
      <c r="G7554">
        <v>1326000</v>
      </c>
      <c r="H7554">
        <v>1353000</v>
      </c>
    </row>
    <row r="7555" spans="2:8" x14ac:dyDescent="0.25">
      <c r="B7555" t="str">
        <f t="shared" si="117"/>
        <v>POLPopulation ages 60-64, female</v>
      </c>
      <c r="C7555" t="s">
        <v>608</v>
      </c>
      <c r="D7555" t="s">
        <v>117</v>
      </c>
      <c r="E7555" t="s">
        <v>386</v>
      </c>
      <c r="F7555" t="s">
        <v>717</v>
      </c>
      <c r="G7555">
        <v>1469000</v>
      </c>
      <c r="H7555">
        <v>1443000</v>
      </c>
    </row>
    <row r="7556" spans="2:8" x14ac:dyDescent="0.25">
      <c r="B7556" t="str">
        <f t="shared" si="117"/>
        <v>POLPopulation ages 60-64, male</v>
      </c>
      <c r="C7556" t="s">
        <v>608</v>
      </c>
      <c r="D7556" t="s">
        <v>117</v>
      </c>
      <c r="E7556" t="s">
        <v>387</v>
      </c>
      <c r="F7556" t="s">
        <v>718</v>
      </c>
      <c r="G7556">
        <v>1295000</v>
      </c>
      <c r="H7556">
        <v>1279000</v>
      </c>
    </row>
    <row r="7557" spans="2:8" x14ac:dyDescent="0.25">
      <c r="B7557" t="str">
        <f t="shared" si="117"/>
        <v>POLPopulation ages 70-74, female</v>
      </c>
      <c r="C7557" t="s">
        <v>608</v>
      </c>
      <c r="D7557" t="s">
        <v>117</v>
      </c>
      <c r="E7557" t="s">
        <v>390</v>
      </c>
      <c r="F7557" t="s">
        <v>719</v>
      </c>
      <c r="G7557">
        <v>1006000</v>
      </c>
      <c r="H7557">
        <v>1075000</v>
      </c>
    </row>
    <row r="7558" spans="2:8" x14ac:dyDescent="0.25">
      <c r="B7558" t="str">
        <f t="shared" si="117"/>
        <v>POLPopulation ages 70-74, male</v>
      </c>
      <c r="C7558" t="s">
        <v>608</v>
      </c>
      <c r="D7558" t="s">
        <v>117</v>
      </c>
      <c r="E7558" t="s">
        <v>391</v>
      </c>
      <c r="F7558" t="s">
        <v>720</v>
      </c>
      <c r="G7558">
        <v>726000</v>
      </c>
      <c r="H7558">
        <v>779000</v>
      </c>
    </row>
    <row r="7559" spans="2:8" x14ac:dyDescent="0.25">
      <c r="B7559" t="str">
        <f t="shared" ref="B7559:B7622" si="118">CONCATENATE(D7559,E7559)</f>
        <v>POLPopulation ages 75-79, female</v>
      </c>
      <c r="C7559" t="s">
        <v>608</v>
      </c>
      <c r="D7559" t="s">
        <v>117</v>
      </c>
      <c r="E7559" t="s">
        <v>392</v>
      </c>
      <c r="F7559" t="s">
        <v>721</v>
      </c>
      <c r="G7559">
        <v>624000</v>
      </c>
      <c r="H7559">
        <v>644000</v>
      </c>
    </row>
    <row r="7560" spans="2:8" x14ac:dyDescent="0.25">
      <c r="B7560" t="str">
        <f t="shared" si="118"/>
        <v>POLPopulation ages 75-79, male</v>
      </c>
      <c r="C7560" t="s">
        <v>608</v>
      </c>
      <c r="D7560" t="s">
        <v>117</v>
      </c>
      <c r="E7560" t="s">
        <v>393</v>
      </c>
      <c r="F7560" t="s">
        <v>722</v>
      </c>
      <c r="G7560">
        <v>380000</v>
      </c>
      <c r="H7560">
        <v>399000</v>
      </c>
    </row>
    <row r="7561" spans="2:8" x14ac:dyDescent="0.25">
      <c r="B7561" t="str">
        <f t="shared" si="118"/>
        <v>POLPopulation ages 80 and above, female</v>
      </c>
      <c r="C7561" t="s">
        <v>608</v>
      </c>
      <c r="D7561" t="s">
        <v>117</v>
      </c>
      <c r="E7561" t="s">
        <v>394</v>
      </c>
      <c r="F7561" t="s">
        <v>723</v>
      </c>
      <c r="G7561">
        <v>1195000</v>
      </c>
      <c r="H7561">
        <v>1200000</v>
      </c>
    </row>
    <row r="7562" spans="2:8" x14ac:dyDescent="0.25">
      <c r="B7562" t="str">
        <f t="shared" si="118"/>
        <v>POLPopulation ages 80 and above, male</v>
      </c>
      <c r="C7562" t="s">
        <v>608</v>
      </c>
      <c r="D7562" t="s">
        <v>117</v>
      </c>
      <c r="E7562" t="s">
        <v>395</v>
      </c>
      <c r="F7562" t="s">
        <v>724</v>
      </c>
      <c r="G7562">
        <v>542000</v>
      </c>
      <c r="H7562">
        <v>541000</v>
      </c>
    </row>
    <row r="7563" spans="2:8" x14ac:dyDescent="0.25">
      <c r="B7563" t="str">
        <f t="shared" si="118"/>
        <v>POLPopulation, male</v>
      </c>
      <c r="C7563" t="s">
        <v>608</v>
      </c>
      <c r="D7563" t="s">
        <v>117</v>
      </c>
      <c r="E7563" t="s">
        <v>397</v>
      </c>
      <c r="F7563" t="s">
        <v>725</v>
      </c>
      <c r="G7563">
        <v>18364000</v>
      </c>
      <c r="H7563">
        <v>18318000</v>
      </c>
    </row>
    <row r="7564" spans="2:8" x14ac:dyDescent="0.25">
      <c r="B7564" t="str">
        <f t="shared" si="118"/>
        <v>POLPopulation, total</v>
      </c>
      <c r="C7564" t="s">
        <v>608</v>
      </c>
      <c r="D7564" t="s">
        <v>117</v>
      </c>
      <c r="E7564" t="s">
        <v>398</v>
      </c>
      <c r="F7564" t="s">
        <v>726</v>
      </c>
      <c r="G7564">
        <v>37895000</v>
      </c>
      <c r="H7564">
        <v>37806000</v>
      </c>
    </row>
    <row r="7565" spans="2:8" x14ac:dyDescent="0.25">
      <c r="B7565" t="str">
        <f t="shared" si="118"/>
        <v>POLPopulation, female</v>
      </c>
      <c r="C7565" t="s">
        <v>608</v>
      </c>
      <c r="D7565" t="s">
        <v>117</v>
      </c>
      <c r="E7565" t="s">
        <v>396</v>
      </c>
      <c r="F7565" t="s">
        <v>727</v>
      </c>
      <c r="G7565">
        <v>19531000</v>
      </c>
      <c r="H7565">
        <v>19488000</v>
      </c>
    </row>
    <row r="7566" spans="2:8" x14ac:dyDescent="0.25">
      <c r="B7566" t="str">
        <f t="shared" si="118"/>
        <v>POLPopulation growth (annual %)</v>
      </c>
      <c r="C7566" t="s">
        <v>608</v>
      </c>
      <c r="D7566" t="s">
        <v>117</v>
      </c>
      <c r="E7566" t="s">
        <v>399</v>
      </c>
      <c r="F7566" t="s">
        <v>728</v>
      </c>
      <c r="G7566">
        <v>0</v>
      </c>
      <c r="H7566">
        <v>0</v>
      </c>
    </row>
    <row r="7567" spans="2:8" x14ac:dyDescent="0.25">
      <c r="B7567" t="str">
        <f t="shared" si="118"/>
        <v>PRTPopulation ages 0-14, female</v>
      </c>
      <c r="C7567" t="s">
        <v>609</v>
      </c>
      <c r="D7567" t="s">
        <v>118</v>
      </c>
      <c r="E7567" t="s">
        <v>687</v>
      </c>
      <c r="F7567" t="s">
        <v>688</v>
      </c>
      <c r="G7567">
        <v>661000</v>
      </c>
      <c r="H7567">
        <v>648000</v>
      </c>
    </row>
    <row r="7568" spans="2:8" x14ac:dyDescent="0.25">
      <c r="B7568" t="str">
        <f t="shared" si="118"/>
        <v>PRTPopulation ages 0-14, male</v>
      </c>
      <c r="C7568" t="s">
        <v>609</v>
      </c>
      <c r="D7568" t="s">
        <v>118</v>
      </c>
      <c r="E7568" t="s">
        <v>689</v>
      </c>
      <c r="F7568" t="s">
        <v>690</v>
      </c>
      <c r="G7568">
        <v>696000</v>
      </c>
      <c r="H7568">
        <v>683000</v>
      </c>
    </row>
    <row r="7569" spans="2:8" x14ac:dyDescent="0.25">
      <c r="B7569" t="str">
        <f t="shared" si="118"/>
        <v>PRTPopulation ages 00-04, female</v>
      </c>
      <c r="C7569" t="s">
        <v>609</v>
      </c>
      <c r="D7569" t="s">
        <v>118</v>
      </c>
      <c r="E7569" t="s">
        <v>362</v>
      </c>
      <c r="F7569" t="s">
        <v>691</v>
      </c>
      <c r="G7569">
        <v>197000</v>
      </c>
      <c r="H7569">
        <v>194000</v>
      </c>
    </row>
    <row r="7570" spans="2:8" x14ac:dyDescent="0.25">
      <c r="B7570" t="str">
        <f t="shared" si="118"/>
        <v>PRTPopulation ages 00-04, male</v>
      </c>
      <c r="C7570" t="s">
        <v>609</v>
      </c>
      <c r="D7570" t="s">
        <v>118</v>
      </c>
      <c r="E7570" t="s">
        <v>363</v>
      </c>
      <c r="F7570" t="s">
        <v>692</v>
      </c>
      <c r="G7570">
        <v>210000</v>
      </c>
      <c r="H7570">
        <v>206000</v>
      </c>
    </row>
    <row r="7571" spans="2:8" x14ac:dyDescent="0.25">
      <c r="B7571" t="str">
        <f t="shared" si="118"/>
        <v>PRTPopulation ages 05-09, female</v>
      </c>
      <c r="C7571" t="s">
        <v>609</v>
      </c>
      <c r="D7571" t="s">
        <v>118</v>
      </c>
      <c r="E7571" t="s">
        <v>364</v>
      </c>
      <c r="F7571" t="s">
        <v>693</v>
      </c>
      <c r="G7571">
        <v>219000</v>
      </c>
      <c r="H7571">
        <v>214000</v>
      </c>
    </row>
    <row r="7572" spans="2:8" x14ac:dyDescent="0.25">
      <c r="B7572" t="str">
        <f t="shared" si="118"/>
        <v>PRTPopulation ages 05-09, male</v>
      </c>
      <c r="C7572" t="s">
        <v>609</v>
      </c>
      <c r="D7572" t="s">
        <v>118</v>
      </c>
      <c r="E7572" t="s">
        <v>365</v>
      </c>
      <c r="F7572" t="s">
        <v>694</v>
      </c>
      <c r="G7572">
        <v>231000</v>
      </c>
      <c r="H7572">
        <v>227000</v>
      </c>
    </row>
    <row r="7573" spans="2:8" x14ac:dyDescent="0.25">
      <c r="B7573" t="str">
        <f t="shared" si="118"/>
        <v>PRTPopulation ages 10-14, female</v>
      </c>
      <c r="C7573" t="s">
        <v>609</v>
      </c>
      <c r="D7573" t="s">
        <v>118</v>
      </c>
      <c r="E7573" t="s">
        <v>366</v>
      </c>
      <c r="F7573" t="s">
        <v>695</v>
      </c>
      <c r="G7573">
        <v>244000</v>
      </c>
      <c r="H7573">
        <v>240000</v>
      </c>
    </row>
    <row r="7574" spans="2:8" x14ac:dyDescent="0.25">
      <c r="B7574" t="str">
        <f t="shared" si="118"/>
        <v>PRTPopulation ages 10-14, male</v>
      </c>
      <c r="C7574" t="s">
        <v>609</v>
      </c>
      <c r="D7574" t="s">
        <v>118</v>
      </c>
      <c r="E7574" t="s">
        <v>367</v>
      </c>
      <c r="F7574" t="s">
        <v>696</v>
      </c>
      <c r="G7574">
        <v>255000</v>
      </c>
      <c r="H7574">
        <v>250000</v>
      </c>
    </row>
    <row r="7575" spans="2:8" x14ac:dyDescent="0.25">
      <c r="B7575" t="str">
        <f t="shared" si="118"/>
        <v>PRTPopulation ages 15-19, female</v>
      </c>
      <c r="C7575" t="s">
        <v>609</v>
      </c>
      <c r="D7575" t="s">
        <v>118</v>
      </c>
      <c r="E7575" t="s">
        <v>368</v>
      </c>
      <c r="F7575" t="s">
        <v>697</v>
      </c>
      <c r="G7575">
        <v>260000</v>
      </c>
      <c r="H7575">
        <v>257000</v>
      </c>
    </row>
    <row r="7576" spans="2:8" x14ac:dyDescent="0.25">
      <c r="B7576" t="str">
        <f t="shared" si="118"/>
        <v>PRTPopulation ages 15-19, male</v>
      </c>
      <c r="C7576" t="s">
        <v>609</v>
      </c>
      <c r="D7576" t="s">
        <v>118</v>
      </c>
      <c r="E7576" t="s">
        <v>369</v>
      </c>
      <c r="F7576" t="s">
        <v>698</v>
      </c>
      <c r="G7576">
        <v>271000</v>
      </c>
      <c r="H7576">
        <v>268000</v>
      </c>
    </row>
    <row r="7577" spans="2:8" x14ac:dyDescent="0.25">
      <c r="B7577" t="str">
        <f t="shared" si="118"/>
        <v>PRTPopulation ages 20-24, female</v>
      </c>
      <c r="C7577" t="s">
        <v>609</v>
      </c>
      <c r="D7577" t="s">
        <v>118</v>
      </c>
      <c r="E7577" t="s">
        <v>370</v>
      </c>
      <c r="F7577" t="s">
        <v>699</v>
      </c>
      <c r="G7577">
        <v>271000</v>
      </c>
      <c r="H7577">
        <v>270000</v>
      </c>
    </row>
    <row r="7578" spans="2:8" x14ac:dyDescent="0.25">
      <c r="B7578" t="str">
        <f t="shared" si="118"/>
        <v>PRTPopulation ages 20-24, male</v>
      </c>
      <c r="C7578" t="s">
        <v>609</v>
      </c>
      <c r="D7578" t="s">
        <v>118</v>
      </c>
      <c r="E7578" t="s">
        <v>371</v>
      </c>
      <c r="F7578" t="s">
        <v>700</v>
      </c>
      <c r="G7578">
        <v>269000</v>
      </c>
      <c r="H7578">
        <v>270000</v>
      </c>
    </row>
    <row r="7579" spans="2:8" x14ac:dyDescent="0.25">
      <c r="B7579" t="str">
        <f t="shared" si="118"/>
        <v>PRTPopulation ages 25-29, female</v>
      </c>
      <c r="C7579" t="s">
        <v>609</v>
      </c>
      <c r="D7579" t="s">
        <v>118</v>
      </c>
      <c r="E7579" t="s">
        <v>372</v>
      </c>
      <c r="F7579" t="s">
        <v>701</v>
      </c>
      <c r="G7579">
        <v>273000</v>
      </c>
      <c r="H7579">
        <v>271000</v>
      </c>
    </row>
    <row r="7580" spans="2:8" x14ac:dyDescent="0.25">
      <c r="B7580" t="str">
        <f t="shared" si="118"/>
        <v>PRTPopulation ages 25-29, male</v>
      </c>
      <c r="C7580" t="s">
        <v>609</v>
      </c>
      <c r="D7580" t="s">
        <v>118</v>
      </c>
      <c r="E7580" t="s">
        <v>373</v>
      </c>
      <c r="F7580" t="s">
        <v>702</v>
      </c>
      <c r="G7580">
        <v>264000</v>
      </c>
      <c r="H7580">
        <v>263000</v>
      </c>
    </row>
    <row r="7581" spans="2:8" x14ac:dyDescent="0.25">
      <c r="B7581" t="str">
        <f t="shared" si="118"/>
        <v>PRTPopulation ages 30-34, female</v>
      </c>
      <c r="C7581" t="s">
        <v>609</v>
      </c>
      <c r="D7581" t="s">
        <v>118</v>
      </c>
      <c r="E7581" t="s">
        <v>374</v>
      </c>
      <c r="F7581" t="s">
        <v>703</v>
      </c>
      <c r="G7581">
        <v>295000</v>
      </c>
      <c r="H7581">
        <v>287000</v>
      </c>
    </row>
    <row r="7582" spans="2:8" x14ac:dyDescent="0.25">
      <c r="B7582" t="str">
        <f t="shared" si="118"/>
        <v>PRTPopulation ages 30-34, male</v>
      </c>
      <c r="C7582" t="s">
        <v>609</v>
      </c>
      <c r="D7582" t="s">
        <v>118</v>
      </c>
      <c r="E7582" t="s">
        <v>375</v>
      </c>
      <c r="F7582" t="s">
        <v>704</v>
      </c>
      <c r="G7582">
        <v>281000</v>
      </c>
      <c r="H7582">
        <v>274000</v>
      </c>
    </row>
    <row r="7583" spans="2:8" x14ac:dyDescent="0.25">
      <c r="B7583" t="str">
        <f t="shared" si="118"/>
        <v>PRTPopulation ages 35-39, female</v>
      </c>
      <c r="C7583" t="s">
        <v>609</v>
      </c>
      <c r="D7583" t="s">
        <v>118</v>
      </c>
      <c r="E7583" t="s">
        <v>376</v>
      </c>
      <c r="F7583" t="s">
        <v>705</v>
      </c>
      <c r="G7583">
        <v>350000</v>
      </c>
      <c r="H7583">
        <v>337000</v>
      </c>
    </row>
    <row r="7584" spans="2:8" x14ac:dyDescent="0.25">
      <c r="B7584" t="str">
        <f t="shared" si="118"/>
        <v>PRTPopulation ages 35-39, male</v>
      </c>
      <c r="C7584" t="s">
        <v>609</v>
      </c>
      <c r="D7584" t="s">
        <v>118</v>
      </c>
      <c r="E7584" t="s">
        <v>377</v>
      </c>
      <c r="F7584" t="s">
        <v>706</v>
      </c>
      <c r="G7584">
        <v>329000</v>
      </c>
      <c r="H7584">
        <v>318000</v>
      </c>
    </row>
    <row r="7585" spans="2:8" x14ac:dyDescent="0.25">
      <c r="B7585" t="str">
        <f t="shared" si="118"/>
        <v>PRTPopulation ages 40-44, female</v>
      </c>
      <c r="C7585" t="s">
        <v>609</v>
      </c>
      <c r="D7585" t="s">
        <v>118</v>
      </c>
      <c r="E7585" t="s">
        <v>378</v>
      </c>
      <c r="F7585" t="s">
        <v>707</v>
      </c>
      <c r="G7585">
        <v>406000</v>
      </c>
      <c r="H7585">
        <v>396000</v>
      </c>
    </row>
    <row r="7586" spans="2:8" x14ac:dyDescent="0.25">
      <c r="B7586" t="str">
        <f t="shared" si="118"/>
        <v>PRTPopulation ages 40-44, male</v>
      </c>
      <c r="C7586" t="s">
        <v>609</v>
      </c>
      <c r="D7586" t="s">
        <v>118</v>
      </c>
      <c r="E7586" t="s">
        <v>379</v>
      </c>
      <c r="F7586" t="s">
        <v>708</v>
      </c>
      <c r="G7586">
        <v>378000</v>
      </c>
      <c r="H7586">
        <v>369000</v>
      </c>
    </row>
    <row r="7587" spans="2:8" x14ac:dyDescent="0.25">
      <c r="B7587" t="str">
        <f t="shared" si="118"/>
        <v>PRTPopulation ages 45-49, female</v>
      </c>
      <c r="C7587" t="s">
        <v>609</v>
      </c>
      <c r="D7587" t="s">
        <v>118</v>
      </c>
      <c r="E7587" t="s">
        <v>380</v>
      </c>
      <c r="F7587" t="s">
        <v>709</v>
      </c>
      <c r="G7587">
        <v>418000</v>
      </c>
      <c r="H7587">
        <v>420000</v>
      </c>
    </row>
    <row r="7588" spans="2:8" x14ac:dyDescent="0.25">
      <c r="B7588" t="str">
        <f t="shared" si="118"/>
        <v>PRTPopulation ages 45-49, male</v>
      </c>
      <c r="C7588" t="s">
        <v>609</v>
      </c>
      <c r="D7588" t="s">
        <v>118</v>
      </c>
      <c r="E7588" t="s">
        <v>381</v>
      </c>
      <c r="F7588" t="s">
        <v>710</v>
      </c>
      <c r="G7588">
        <v>387000</v>
      </c>
      <c r="H7588">
        <v>390000</v>
      </c>
    </row>
    <row r="7589" spans="2:8" x14ac:dyDescent="0.25">
      <c r="B7589" t="str">
        <f t="shared" si="118"/>
        <v>PRTPopulation ages 50-54, female</v>
      </c>
      <c r="C7589" t="s">
        <v>609</v>
      </c>
      <c r="D7589" t="s">
        <v>118</v>
      </c>
      <c r="E7589" t="s">
        <v>382</v>
      </c>
      <c r="F7589" t="s">
        <v>711</v>
      </c>
      <c r="G7589">
        <v>388000</v>
      </c>
      <c r="H7589">
        <v>389000</v>
      </c>
    </row>
    <row r="7590" spans="2:8" x14ac:dyDescent="0.25">
      <c r="B7590" t="str">
        <f t="shared" si="118"/>
        <v>PRTPopulation ages 50-54, male</v>
      </c>
      <c r="C7590" t="s">
        <v>609</v>
      </c>
      <c r="D7590" t="s">
        <v>118</v>
      </c>
      <c r="E7590" t="s">
        <v>383</v>
      </c>
      <c r="F7590" t="s">
        <v>712</v>
      </c>
      <c r="G7590">
        <v>352000</v>
      </c>
      <c r="H7590">
        <v>354000</v>
      </c>
    </row>
    <row r="7591" spans="2:8" x14ac:dyDescent="0.25">
      <c r="B7591" t="str">
        <f t="shared" si="118"/>
        <v>PRTPopulation ages 55-59, male</v>
      </c>
      <c r="C7591" t="s">
        <v>609</v>
      </c>
      <c r="D7591" t="s">
        <v>118</v>
      </c>
      <c r="E7591" t="s">
        <v>385</v>
      </c>
      <c r="F7591" t="s">
        <v>713</v>
      </c>
      <c r="G7591">
        <v>345000</v>
      </c>
      <c r="H7591">
        <v>347000</v>
      </c>
    </row>
    <row r="7592" spans="2:8" x14ac:dyDescent="0.25">
      <c r="B7592" t="str">
        <f t="shared" si="118"/>
        <v>PRTPopulation ages 55-59, female</v>
      </c>
      <c r="C7592" t="s">
        <v>609</v>
      </c>
      <c r="D7592" t="s">
        <v>118</v>
      </c>
      <c r="E7592" t="s">
        <v>384</v>
      </c>
      <c r="F7592" t="s">
        <v>714</v>
      </c>
      <c r="G7592">
        <v>388000</v>
      </c>
      <c r="H7592">
        <v>391000</v>
      </c>
    </row>
    <row r="7593" spans="2:8" x14ac:dyDescent="0.25">
      <c r="B7593" t="str">
        <f t="shared" si="118"/>
        <v>PRTPopulation ages 65-69, male</v>
      </c>
      <c r="C7593" t="s">
        <v>609</v>
      </c>
      <c r="D7593" t="s">
        <v>118</v>
      </c>
      <c r="E7593" t="s">
        <v>389</v>
      </c>
      <c r="F7593" t="s">
        <v>715</v>
      </c>
      <c r="G7593">
        <v>283000</v>
      </c>
      <c r="H7593">
        <v>284000</v>
      </c>
    </row>
    <row r="7594" spans="2:8" x14ac:dyDescent="0.25">
      <c r="B7594" t="str">
        <f t="shared" si="118"/>
        <v>PRTPopulation ages 65-69, female</v>
      </c>
      <c r="C7594" t="s">
        <v>609</v>
      </c>
      <c r="D7594" t="s">
        <v>118</v>
      </c>
      <c r="E7594" t="s">
        <v>388</v>
      </c>
      <c r="F7594" t="s">
        <v>716</v>
      </c>
      <c r="G7594">
        <v>336000</v>
      </c>
      <c r="H7594">
        <v>337000</v>
      </c>
    </row>
    <row r="7595" spans="2:8" x14ac:dyDescent="0.25">
      <c r="B7595" t="str">
        <f t="shared" si="118"/>
        <v>PRTPopulation ages 60-64, female</v>
      </c>
      <c r="C7595" t="s">
        <v>609</v>
      </c>
      <c r="D7595" t="s">
        <v>118</v>
      </c>
      <c r="E7595" t="s">
        <v>386</v>
      </c>
      <c r="F7595" t="s">
        <v>717</v>
      </c>
      <c r="G7595">
        <v>356000</v>
      </c>
      <c r="H7595">
        <v>360000</v>
      </c>
    </row>
    <row r="7596" spans="2:8" x14ac:dyDescent="0.25">
      <c r="B7596" t="str">
        <f t="shared" si="118"/>
        <v>PRTPopulation ages 60-64, male</v>
      </c>
      <c r="C7596" t="s">
        <v>609</v>
      </c>
      <c r="D7596" t="s">
        <v>118</v>
      </c>
      <c r="E7596" t="s">
        <v>387</v>
      </c>
      <c r="F7596" t="s">
        <v>718</v>
      </c>
      <c r="G7596">
        <v>309000</v>
      </c>
      <c r="H7596">
        <v>313000</v>
      </c>
    </row>
    <row r="7597" spans="2:8" x14ac:dyDescent="0.25">
      <c r="B7597" t="str">
        <f t="shared" si="118"/>
        <v>PRTPopulation ages 70-74, female</v>
      </c>
      <c r="C7597" t="s">
        <v>609</v>
      </c>
      <c r="D7597" t="s">
        <v>118</v>
      </c>
      <c r="E7597" t="s">
        <v>390</v>
      </c>
      <c r="F7597" t="s">
        <v>719</v>
      </c>
      <c r="G7597">
        <v>309000</v>
      </c>
      <c r="H7597">
        <v>314000</v>
      </c>
    </row>
    <row r="7598" spans="2:8" x14ac:dyDescent="0.25">
      <c r="B7598" t="str">
        <f t="shared" si="118"/>
        <v>PRTPopulation ages 70-74, male</v>
      </c>
      <c r="C7598" t="s">
        <v>609</v>
      </c>
      <c r="D7598" t="s">
        <v>118</v>
      </c>
      <c r="E7598" t="s">
        <v>391</v>
      </c>
      <c r="F7598" t="s">
        <v>720</v>
      </c>
      <c r="G7598">
        <v>248000</v>
      </c>
      <c r="H7598">
        <v>253000</v>
      </c>
    </row>
    <row r="7599" spans="2:8" x14ac:dyDescent="0.25">
      <c r="B7599" t="str">
        <f t="shared" si="118"/>
        <v>PRTPopulation ages 75-79, female</v>
      </c>
      <c r="C7599" t="s">
        <v>609</v>
      </c>
      <c r="D7599" t="s">
        <v>118</v>
      </c>
      <c r="E7599" t="s">
        <v>392</v>
      </c>
      <c r="F7599" t="s">
        <v>721</v>
      </c>
      <c r="G7599">
        <v>256000</v>
      </c>
      <c r="H7599">
        <v>260000</v>
      </c>
    </row>
    <row r="7600" spans="2:8" x14ac:dyDescent="0.25">
      <c r="B7600" t="str">
        <f t="shared" si="118"/>
        <v>PRTPopulation ages 75-79, male</v>
      </c>
      <c r="C7600" t="s">
        <v>609</v>
      </c>
      <c r="D7600" t="s">
        <v>118</v>
      </c>
      <c r="E7600" t="s">
        <v>393</v>
      </c>
      <c r="F7600" t="s">
        <v>722</v>
      </c>
      <c r="G7600">
        <v>187000</v>
      </c>
      <c r="H7600">
        <v>191000</v>
      </c>
    </row>
    <row r="7601" spans="2:8" x14ac:dyDescent="0.25">
      <c r="B7601" t="str">
        <f t="shared" si="118"/>
        <v>PRTPopulation ages 80 and above, female</v>
      </c>
      <c r="C7601" t="s">
        <v>609</v>
      </c>
      <c r="D7601" t="s">
        <v>118</v>
      </c>
      <c r="E7601" t="s">
        <v>394</v>
      </c>
      <c r="F7601" t="s">
        <v>723</v>
      </c>
      <c r="G7601">
        <v>428000</v>
      </c>
      <c r="H7601">
        <v>435000</v>
      </c>
    </row>
    <row r="7602" spans="2:8" x14ac:dyDescent="0.25">
      <c r="B7602" t="str">
        <f t="shared" si="118"/>
        <v>PRTPopulation ages 80 and above, male</v>
      </c>
      <c r="C7602" t="s">
        <v>609</v>
      </c>
      <c r="D7602" t="s">
        <v>118</v>
      </c>
      <c r="E7602" t="s">
        <v>395</v>
      </c>
      <c r="F7602" t="s">
        <v>724</v>
      </c>
      <c r="G7602">
        <v>244000</v>
      </c>
      <c r="H7602">
        <v>247000</v>
      </c>
    </row>
    <row r="7603" spans="2:8" x14ac:dyDescent="0.25">
      <c r="B7603" t="str">
        <f t="shared" si="118"/>
        <v>PRTPopulation, male</v>
      </c>
      <c r="C7603" t="s">
        <v>609</v>
      </c>
      <c r="D7603" t="s">
        <v>118</v>
      </c>
      <c r="E7603" t="s">
        <v>397</v>
      </c>
      <c r="F7603" t="s">
        <v>725</v>
      </c>
      <c r="G7603">
        <v>4842000</v>
      </c>
      <c r="H7603">
        <v>4823000</v>
      </c>
    </row>
    <row r="7604" spans="2:8" x14ac:dyDescent="0.25">
      <c r="B7604" t="str">
        <f t="shared" si="118"/>
        <v>PRTPopulation, total</v>
      </c>
      <c r="C7604" t="s">
        <v>609</v>
      </c>
      <c r="D7604" t="s">
        <v>118</v>
      </c>
      <c r="E7604" t="s">
        <v>398</v>
      </c>
      <c r="F7604" t="s">
        <v>726</v>
      </c>
      <c r="G7604">
        <v>10237000</v>
      </c>
      <c r="H7604">
        <v>10195000</v>
      </c>
    </row>
    <row r="7605" spans="2:8" x14ac:dyDescent="0.25">
      <c r="B7605" t="str">
        <f t="shared" si="118"/>
        <v>PRTPopulation, female</v>
      </c>
      <c r="C7605" t="s">
        <v>609</v>
      </c>
      <c r="D7605" t="s">
        <v>118</v>
      </c>
      <c r="E7605" t="s">
        <v>396</v>
      </c>
      <c r="F7605" t="s">
        <v>727</v>
      </c>
      <c r="G7605">
        <v>5395000</v>
      </c>
      <c r="H7605">
        <v>5372000</v>
      </c>
    </row>
    <row r="7606" spans="2:8" x14ac:dyDescent="0.25">
      <c r="B7606" t="str">
        <f t="shared" si="118"/>
        <v>PRTPopulation growth (annual %)</v>
      </c>
      <c r="C7606" t="s">
        <v>609</v>
      </c>
      <c r="D7606" t="s">
        <v>118</v>
      </c>
      <c r="E7606" t="s">
        <v>399</v>
      </c>
      <c r="F7606" t="s">
        <v>728</v>
      </c>
      <c r="G7606">
        <v>0</v>
      </c>
      <c r="H7606">
        <v>0</v>
      </c>
    </row>
    <row r="7607" spans="2:8" x14ac:dyDescent="0.25">
      <c r="B7607" t="str">
        <f t="shared" si="118"/>
        <v>PSTPopulation ages 0-14, female</v>
      </c>
      <c r="C7607" t="s">
        <v>610</v>
      </c>
      <c r="D7607" t="s">
        <v>611</v>
      </c>
      <c r="E7607" t="s">
        <v>687</v>
      </c>
      <c r="F7607" t="s">
        <v>688</v>
      </c>
      <c r="G7607">
        <v>86912000</v>
      </c>
      <c r="H7607">
        <v>86662000</v>
      </c>
    </row>
    <row r="7608" spans="2:8" x14ac:dyDescent="0.25">
      <c r="B7608" t="str">
        <f t="shared" si="118"/>
        <v>PSTPopulation ages 0-14, male</v>
      </c>
      <c r="C7608" t="s">
        <v>610</v>
      </c>
      <c r="D7608" t="s">
        <v>611</v>
      </c>
      <c r="E7608" t="s">
        <v>689</v>
      </c>
      <c r="F7608" t="s">
        <v>690</v>
      </c>
      <c r="G7608">
        <v>91472000</v>
      </c>
      <c r="H7608">
        <v>91219000</v>
      </c>
    </row>
    <row r="7609" spans="2:8" x14ac:dyDescent="0.25">
      <c r="B7609" t="str">
        <f t="shared" si="118"/>
        <v>PSTPopulation ages 00-04, female</v>
      </c>
      <c r="C7609" t="s">
        <v>610</v>
      </c>
      <c r="D7609" t="s">
        <v>611</v>
      </c>
      <c r="E7609" t="s">
        <v>362</v>
      </c>
      <c r="F7609" t="s">
        <v>691</v>
      </c>
      <c r="G7609">
        <v>27863000</v>
      </c>
      <c r="H7609">
        <v>27737000</v>
      </c>
    </row>
    <row r="7610" spans="2:8" x14ac:dyDescent="0.25">
      <c r="B7610" t="str">
        <f t="shared" si="118"/>
        <v>PSTPopulation ages 00-04, male</v>
      </c>
      <c r="C7610" t="s">
        <v>610</v>
      </c>
      <c r="D7610" t="s">
        <v>611</v>
      </c>
      <c r="E7610" t="s">
        <v>363</v>
      </c>
      <c r="F7610" t="s">
        <v>692</v>
      </c>
      <c r="G7610">
        <v>29297400</v>
      </c>
      <c r="H7610">
        <v>29161400</v>
      </c>
    </row>
    <row r="7611" spans="2:8" x14ac:dyDescent="0.25">
      <c r="B7611" t="str">
        <f t="shared" si="118"/>
        <v>PSTPopulation ages 05-09, female</v>
      </c>
      <c r="C7611" t="s">
        <v>610</v>
      </c>
      <c r="D7611" t="s">
        <v>611</v>
      </c>
      <c r="E7611" t="s">
        <v>364</v>
      </c>
      <c r="F7611" t="s">
        <v>693</v>
      </c>
      <c r="G7611">
        <v>29282300</v>
      </c>
      <c r="H7611">
        <v>29073200</v>
      </c>
    </row>
    <row r="7612" spans="2:8" x14ac:dyDescent="0.25">
      <c r="B7612" t="str">
        <f t="shared" si="118"/>
        <v>PSTPopulation ages 05-09, male</v>
      </c>
      <c r="C7612" t="s">
        <v>610</v>
      </c>
      <c r="D7612" t="s">
        <v>611</v>
      </c>
      <c r="E7612" t="s">
        <v>365</v>
      </c>
      <c r="F7612" t="s">
        <v>694</v>
      </c>
      <c r="G7612">
        <v>30825700</v>
      </c>
      <c r="H7612">
        <v>30605600</v>
      </c>
    </row>
    <row r="7613" spans="2:8" x14ac:dyDescent="0.25">
      <c r="B7613" t="str">
        <f t="shared" si="118"/>
        <v>PSTPopulation ages 10-14, female</v>
      </c>
      <c r="C7613" t="s">
        <v>610</v>
      </c>
      <c r="D7613" t="s">
        <v>611</v>
      </c>
      <c r="E7613" t="s">
        <v>366</v>
      </c>
      <c r="F7613" t="s">
        <v>695</v>
      </c>
      <c r="G7613">
        <v>29762200</v>
      </c>
      <c r="H7613">
        <v>29849000</v>
      </c>
    </row>
    <row r="7614" spans="2:8" x14ac:dyDescent="0.25">
      <c r="B7614" t="str">
        <f t="shared" si="118"/>
        <v>PSTPopulation ages 10-14, male</v>
      </c>
      <c r="C7614" t="s">
        <v>610</v>
      </c>
      <c r="D7614" t="s">
        <v>611</v>
      </c>
      <c r="E7614" t="s">
        <v>367</v>
      </c>
      <c r="F7614" t="s">
        <v>696</v>
      </c>
      <c r="G7614">
        <v>31346500</v>
      </c>
      <c r="H7614">
        <v>31452300</v>
      </c>
    </row>
    <row r="7615" spans="2:8" x14ac:dyDescent="0.25">
      <c r="B7615" t="str">
        <f t="shared" si="118"/>
        <v>PSTPopulation ages 15-19, female</v>
      </c>
      <c r="C7615" t="s">
        <v>610</v>
      </c>
      <c r="D7615" t="s">
        <v>611</v>
      </c>
      <c r="E7615" t="s">
        <v>368</v>
      </c>
      <c r="F7615" t="s">
        <v>697</v>
      </c>
      <c r="G7615">
        <v>29708800</v>
      </c>
      <c r="H7615">
        <v>29637700</v>
      </c>
    </row>
    <row r="7616" spans="2:8" x14ac:dyDescent="0.25">
      <c r="B7616" t="str">
        <f t="shared" si="118"/>
        <v>PSTPopulation ages 15-19, male</v>
      </c>
      <c r="C7616" t="s">
        <v>610</v>
      </c>
      <c r="D7616" t="s">
        <v>611</v>
      </c>
      <c r="E7616" t="s">
        <v>369</v>
      </c>
      <c r="F7616" t="s">
        <v>698</v>
      </c>
      <c r="G7616">
        <v>31263400</v>
      </c>
      <c r="H7616">
        <v>31193300</v>
      </c>
    </row>
    <row r="7617" spans="2:8" x14ac:dyDescent="0.25">
      <c r="B7617" t="str">
        <f t="shared" si="118"/>
        <v>PSTPopulation ages 20-24, female</v>
      </c>
      <c r="C7617" t="s">
        <v>610</v>
      </c>
      <c r="D7617" t="s">
        <v>611</v>
      </c>
      <c r="E7617" t="s">
        <v>370</v>
      </c>
      <c r="F7617" t="s">
        <v>699</v>
      </c>
      <c r="G7617">
        <v>32001100</v>
      </c>
      <c r="H7617">
        <v>31649000</v>
      </c>
    </row>
    <row r="7618" spans="2:8" x14ac:dyDescent="0.25">
      <c r="B7618" t="str">
        <f t="shared" si="118"/>
        <v>PSTPopulation ages 20-24, male</v>
      </c>
      <c r="C7618" t="s">
        <v>610</v>
      </c>
      <c r="D7618" t="s">
        <v>611</v>
      </c>
      <c r="E7618" t="s">
        <v>371</v>
      </c>
      <c r="F7618" t="s">
        <v>700</v>
      </c>
      <c r="G7618">
        <v>33623300</v>
      </c>
      <c r="H7618">
        <v>33229300</v>
      </c>
    </row>
    <row r="7619" spans="2:8" x14ac:dyDescent="0.25">
      <c r="B7619" t="str">
        <f t="shared" si="118"/>
        <v>PSTPopulation ages 25-29, female</v>
      </c>
      <c r="C7619" t="s">
        <v>610</v>
      </c>
      <c r="D7619" t="s">
        <v>611</v>
      </c>
      <c r="E7619" t="s">
        <v>372</v>
      </c>
      <c r="F7619" t="s">
        <v>701</v>
      </c>
      <c r="G7619">
        <v>34647100</v>
      </c>
      <c r="H7619">
        <v>34423100</v>
      </c>
    </row>
    <row r="7620" spans="2:8" x14ac:dyDescent="0.25">
      <c r="B7620" t="str">
        <f t="shared" si="118"/>
        <v>PSTPopulation ages 25-29, male</v>
      </c>
      <c r="C7620" t="s">
        <v>610</v>
      </c>
      <c r="D7620" t="s">
        <v>611</v>
      </c>
      <c r="E7620" t="s">
        <v>373</v>
      </c>
      <c r="F7620" t="s">
        <v>702</v>
      </c>
      <c r="G7620">
        <v>36238000</v>
      </c>
      <c r="H7620">
        <v>36050000</v>
      </c>
    </row>
    <row r="7621" spans="2:8" x14ac:dyDescent="0.25">
      <c r="B7621" t="str">
        <f t="shared" si="118"/>
        <v>PSTPopulation ages 30-34, female</v>
      </c>
      <c r="C7621" t="s">
        <v>610</v>
      </c>
      <c r="D7621" t="s">
        <v>611</v>
      </c>
      <c r="E7621" t="s">
        <v>374</v>
      </c>
      <c r="F7621" t="s">
        <v>703</v>
      </c>
      <c r="G7621">
        <v>36077900</v>
      </c>
      <c r="H7621">
        <v>36009800</v>
      </c>
    </row>
    <row r="7622" spans="2:8" x14ac:dyDescent="0.25">
      <c r="B7622" t="str">
        <f t="shared" si="118"/>
        <v>PSTPopulation ages 30-34, male</v>
      </c>
      <c r="C7622" t="s">
        <v>610</v>
      </c>
      <c r="D7622" t="s">
        <v>611</v>
      </c>
      <c r="E7622" t="s">
        <v>375</v>
      </c>
      <c r="F7622" t="s">
        <v>704</v>
      </c>
      <c r="G7622">
        <v>37061400</v>
      </c>
      <c r="H7622">
        <v>37102400</v>
      </c>
    </row>
    <row r="7623" spans="2:8" x14ac:dyDescent="0.25">
      <c r="B7623" t="str">
        <f t="shared" ref="B7623:B7686" si="119">CONCATENATE(D7623,E7623)</f>
        <v>PSTPopulation ages 35-39, female</v>
      </c>
      <c r="C7623" t="s">
        <v>610</v>
      </c>
      <c r="D7623" t="s">
        <v>611</v>
      </c>
      <c r="E7623" t="s">
        <v>376</v>
      </c>
      <c r="F7623" t="s">
        <v>705</v>
      </c>
      <c r="G7623">
        <v>36709500</v>
      </c>
      <c r="H7623">
        <v>36782400</v>
      </c>
    </row>
    <row r="7624" spans="2:8" x14ac:dyDescent="0.25">
      <c r="B7624" t="str">
        <f t="shared" si="119"/>
        <v>PSTPopulation ages 35-39, male</v>
      </c>
      <c r="C7624" t="s">
        <v>610</v>
      </c>
      <c r="D7624" t="s">
        <v>611</v>
      </c>
      <c r="E7624" t="s">
        <v>377</v>
      </c>
      <c r="F7624" t="s">
        <v>706</v>
      </c>
      <c r="G7624">
        <v>37104600</v>
      </c>
      <c r="H7624">
        <v>37267600</v>
      </c>
    </row>
    <row r="7625" spans="2:8" x14ac:dyDescent="0.25">
      <c r="B7625" t="str">
        <f t="shared" si="119"/>
        <v>PSTPopulation ages 40-44, female</v>
      </c>
      <c r="C7625" t="s">
        <v>610</v>
      </c>
      <c r="D7625" t="s">
        <v>611</v>
      </c>
      <c r="E7625" t="s">
        <v>378</v>
      </c>
      <c r="F7625" t="s">
        <v>707</v>
      </c>
      <c r="G7625">
        <v>36996400</v>
      </c>
      <c r="H7625">
        <v>36794300</v>
      </c>
    </row>
    <row r="7626" spans="2:8" x14ac:dyDescent="0.25">
      <c r="B7626" t="str">
        <f t="shared" si="119"/>
        <v>PSTPopulation ages 40-44, male</v>
      </c>
      <c r="C7626" t="s">
        <v>610</v>
      </c>
      <c r="D7626" t="s">
        <v>611</v>
      </c>
      <c r="E7626" t="s">
        <v>379</v>
      </c>
      <c r="F7626" t="s">
        <v>708</v>
      </c>
      <c r="G7626">
        <v>37077500</v>
      </c>
      <c r="H7626">
        <v>36893400</v>
      </c>
    </row>
    <row r="7627" spans="2:8" x14ac:dyDescent="0.25">
      <c r="B7627" t="str">
        <f t="shared" si="119"/>
        <v>PSTPopulation ages 45-49, female</v>
      </c>
      <c r="C7627" t="s">
        <v>610</v>
      </c>
      <c r="D7627" t="s">
        <v>611</v>
      </c>
      <c r="E7627" t="s">
        <v>380</v>
      </c>
      <c r="F7627" t="s">
        <v>709</v>
      </c>
      <c r="G7627">
        <v>38635800</v>
      </c>
      <c r="H7627">
        <v>38432800</v>
      </c>
    </row>
    <row r="7628" spans="2:8" x14ac:dyDescent="0.25">
      <c r="B7628" t="str">
        <f t="shared" si="119"/>
        <v>PSTPopulation ages 45-49, male</v>
      </c>
      <c r="C7628" t="s">
        <v>610</v>
      </c>
      <c r="D7628" t="s">
        <v>611</v>
      </c>
      <c r="E7628" t="s">
        <v>381</v>
      </c>
      <c r="F7628" t="s">
        <v>710</v>
      </c>
      <c r="G7628">
        <v>38576000</v>
      </c>
      <c r="H7628">
        <v>38369900</v>
      </c>
    </row>
    <row r="7629" spans="2:8" x14ac:dyDescent="0.25">
      <c r="B7629" t="str">
        <f t="shared" si="119"/>
        <v>PSTPopulation ages 50-54, female</v>
      </c>
      <c r="C7629" t="s">
        <v>610</v>
      </c>
      <c r="D7629" t="s">
        <v>611</v>
      </c>
      <c r="E7629" t="s">
        <v>382</v>
      </c>
      <c r="F7629" t="s">
        <v>711</v>
      </c>
      <c r="G7629">
        <v>39011600</v>
      </c>
      <c r="H7629">
        <v>38804600</v>
      </c>
    </row>
    <row r="7630" spans="2:8" x14ac:dyDescent="0.25">
      <c r="B7630" t="str">
        <f t="shared" si="119"/>
        <v>PSTPopulation ages 50-54, male</v>
      </c>
      <c r="C7630" t="s">
        <v>610</v>
      </c>
      <c r="D7630" t="s">
        <v>611</v>
      </c>
      <c r="E7630" t="s">
        <v>383</v>
      </c>
      <c r="F7630" t="s">
        <v>712</v>
      </c>
      <c r="G7630">
        <v>38631500</v>
      </c>
      <c r="H7630">
        <v>38448600</v>
      </c>
    </row>
    <row r="7631" spans="2:8" x14ac:dyDescent="0.25">
      <c r="B7631" t="str">
        <f t="shared" si="119"/>
        <v>PSTPopulation ages 55-59, male</v>
      </c>
      <c r="C7631" t="s">
        <v>610</v>
      </c>
      <c r="D7631" t="s">
        <v>611</v>
      </c>
      <c r="E7631" t="s">
        <v>385</v>
      </c>
      <c r="F7631" t="s">
        <v>713</v>
      </c>
      <c r="G7631">
        <v>37891200</v>
      </c>
      <c r="H7631">
        <v>38133300</v>
      </c>
    </row>
    <row r="7632" spans="2:8" x14ac:dyDescent="0.25">
      <c r="B7632" t="str">
        <f t="shared" si="119"/>
        <v>PSTPopulation ages 55-59, female</v>
      </c>
      <c r="C7632" t="s">
        <v>610</v>
      </c>
      <c r="D7632" t="s">
        <v>611</v>
      </c>
      <c r="E7632" t="s">
        <v>384</v>
      </c>
      <c r="F7632" t="s">
        <v>714</v>
      </c>
      <c r="G7632">
        <v>38996100</v>
      </c>
      <c r="H7632">
        <v>39167200</v>
      </c>
    </row>
    <row r="7633" spans="2:8" x14ac:dyDescent="0.25">
      <c r="B7633" t="str">
        <f t="shared" si="119"/>
        <v>PSTPopulation ages 65-69, male</v>
      </c>
      <c r="C7633" t="s">
        <v>610</v>
      </c>
      <c r="D7633" t="s">
        <v>611</v>
      </c>
      <c r="E7633" t="s">
        <v>389</v>
      </c>
      <c r="F7633" t="s">
        <v>715</v>
      </c>
      <c r="G7633">
        <v>29512200</v>
      </c>
      <c r="H7633">
        <v>29846500</v>
      </c>
    </row>
    <row r="7634" spans="2:8" x14ac:dyDescent="0.25">
      <c r="B7634" t="str">
        <f t="shared" si="119"/>
        <v>PSTPopulation ages 65-69, female</v>
      </c>
      <c r="C7634" t="s">
        <v>610</v>
      </c>
      <c r="D7634" t="s">
        <v>611</v>
      </c>
      <c r="E7634" t="s">
        <v>388</v>
      </c>
      <c r="F7634" t="s">
        <v>716</v>
      </c>
      <c r="G7634">
        <v>32834500</v>
      </c>
      <c r="H7634">
        <v>33178900</v>
      </c>
    </row>
    <row r="7635" spans="2:8" x14ac:dyDescent="0.25">
      <c r="B7635" t="str">
        <f t="shared" si="119"/>
        <v>PSTPopulation ages 60-64, female</v>
      </c>
      <c r="C7635" t="s">
        <v>610</v>
      </c>
      <c r="D7635" t="s">
        <v>611</v>
      </c>
      <c r="E7635" t="s">
        <v>386</v>
      </c>
      <c r="F7635" t="s">
        <v>717</v>
      </c>
      <c r="G7635">
        <v>36020200</v>
      </c>
      <c r="H7635">
        <v>36468500</v>
      </c>
    </row>
    <row r="7636" spans="2:8" x14ac:dyDescent="0.25">
      <c r="B7636" t="str">
        <f t="shared" si="119"/>
        <v>PSTPopulation ages 60-64, male</v>
      </c>
      <c r="C7636" t="s">
        <v>610</v>
      </c>
      <c r="D7636" t="s">
        <v>611</v>
      </c>
      <c r="E7636" t="s">
        <v>387</v>
      </c>
      <c r="F7636" t="s">
        <v>718</v>
      </c>
      <c r="G7636">
        <v>33804500</v>
      </c>
      <c r="H7636">
        <v>34337700</v>
      </c>
    </row>
    <row r="7637" spans="2:8" x14ac:dyDescent="0.25">
      <c r="B7637" t="str">
        <f t="shared" si="119"/>
        <v>PSTPopulation ages 70-74, female</v>
      </c>
      <c r="C7637" t="s">
        <v>610</v>
      </c>
      <c r="D7637" t="s">
        <v>611</v>
      </c>
      <c r="E7637" t="s">
        <v>390</v>
      </c>
      <c r="F7637" t="s">
        <v>719</v>
      </c>
      <c r="G7637">
        <v>28810300</v>
      </c>
      <c r="H7637">
        <v>29611700</v>
      </c>
    </row>
    <row r="7638" spans="2:8" x14ac:dyDescent="0.25">
      <c r="B7638" t="str">
        <f t="shared" si="119"/>
        <v>PSTPopulation ages 70-74, male</v>
      </c>
      <c r="C7638" t="s">
        <v>610</v>
      </c>
      <c r="D7638" t="s">
        <v>611</v>
      </c>
      <c r="E7638" t="s">
        <v>391</v>
      </c>
      <c r="F7638" t="s">
        <v>720</v>
      </c>
      <c r="G7638">
        <v>24812700</v>
      </c>
      <c r="H7638">
        <v>25552700</v>
      </c>
    </row>
    <row r="7639" spans="2:8" x14ac:dyDescent="0.25">
      <c r="B7639" t="str">
        <f t="shared" si="119"/>
        <v>PSTPopulation ages 75-79, female</v>
      </c>
      <c r="C7639" t="s">
        <v>610</v>
      </c>
      <c r="D7639" t="s">
        <v>611</v>
      </c>
      <c r="E7639" t="s">
        <v>392</v>
      </c>
      <c r="F7639" t="s">
        <v>721</v>
      </c>
      <c r="G7639">
        <v>22048800</v>
      </c>
      <c r="H7639">
        <v>22659900</v>
      </c>
    </row>
    <row r="7640" spans="2:8" x14ac:dyDescent="0.25">
      <c r="B7640" t="str">
        <f t="shared" si="119"/>
        <v>PSTPopulation ages 75-79, male</v>
      </c>
      <c r="C7640" t="s">
        <v>610</v>
      </c>
      <c r="D7640" t="s">
        <v>611</v>
      </c>
      <c r="E7640" t="s">
        <v>393</v>
      </c>
      <c r="F7640" t="s">
        <v>722</v>
      </c>
      <c r="G7640">
        <v>17328800</v>
      </c>
      <c r="H7640">
        <v>17931400</v>
      </c>
    </row>
    <row r="7641" spans="2:8" x14ac:dyDescent="0.25">
      <c r="B7641" t="str">
        <f t="shared" si="119"/>
        <v>PSTPopulation ages 80 and above, female</v>
      </c>
      <c r="C7641" t="s">
        <v>610</v>
      </c>
      <c r="D7641" t="s">
        <v>611</v>
      </c>
      <c r="E7641" t="s">
        <v>394</v>
      </c>
      <c r="F7641" t="s">
        <v>723</v>
      </c>
      <c r="G7641">
        <v>37160900</v>
      </c>
      <c r="H7641">
        <v>37759000</v>
      </c>
    </row>
    <row r="7642" spans="2:8" x14ac:dyDescent="0.25">
      <c r="B7642" t="str">
        <f t="shared" si="119"/>
        <v>PSTPopulation ages 80 and above, male</v>
      </c>
      <c r="C7642" t="s">
        <v>610</v>
      </c>
      <c r="D7642" t="s">
        <v>611</v>
      </c>
      <c r="E7642" t="s">
        <v>395</v>
      </c>
      <c r="F7642" t="s">
        <v>724</v>
      </c>
      <c r="G7642">
        <v>22188900</v>
      </c>
      <c r="H7642">
        <v>22661500</v>
      </c>
    </row>
    <row r="7643" spans="2:8" x14ac:dyDescent="0.25">
      <c r="B7643" t="str">
        <f t="shared" si="119"/>
        <v>PSTPopulation, male</v>
      </c>
      <c r="C7643" t="s">
        <v>610</v>
      </c>
      <c r="D7643" t="s">
        <v>611</v>
      </c>
      <c r="E7643" t="s">
        <v>397</v>
      </c>
      <c r="F7643" t="s">
        <v>725</v>
      </c>
      <c r="G7643">
        <v>546584000</v>
      </c>
      <c r="H7643">
        <v>548230000</v>
      </c>
    </row>
    <row r="7644" spans="2:8" x14ac:dyDescent="0.25">
      <c r="B7644" t="str">
        <f t="shared" si="119"/>
        <v>PSTPopulation, total</v>
      </c>
      <c r="C7644" t="s">
        <v>610</v>
      </c>
      <c r="D7644" t="s">
        <v>611</v>
      </c>
      <c r="E7644" t="s">
        <v>398</v>
      </c>
      <c r="F7644" t="s">
        <v>726</v>
      </c>
      <c r="G7644">
        <v>1113145000</v>
      </c>
      <c r="H7644">
        <v>1116268000</v>
      </c>
    </row>
    <row r="7645" spans="2:8" x14ac:dyDescent="0.25">
      <c r="B7645" t="str">
        <f t="shared" si="119"/>
        <v>PSTPopulation, female</v>
      </c>
      <c r="C7645" t="s">
        <v>610</v>
      </c>
      <c r="D7645" t="s">
        <v>611</v>
      </c>
      <c r="E7645" t="s">
        <v>396</v>
      </c>
      <c r="F7645" t="s">
        <v>727</v>
      </c>
      <c r="G7645">
        <v>566558000</v>
      </c>
      <c r="H7645">
        <v>568036000</v>
      </c>
    </row>
    <row r="7646" spans="2:8" x14ac:dyDescent="0.25">
      <c r="B7646" t="str">
        <f t="shared" si="119"/>
        <v>PSTPopulation growth (annual %)</v>
      </c>
      <c r="C7646" t="s">
        <v>610</v>
      </c>
      <c r="D7646" t="s">
        <v>611</v>
      </c>
      <c r="E7646" t="s">
        <v>399</v>
      </c>
      <c r="F7646" t="s">
        <v>728</v>
      </c>
      <c r="G7646">
        <v>0.28357970569537372</v>
      </c>
      <c r="H7646">
        <v>0.28055644143395853</v>
      </c>
    </row>
    <row r="7647" spans="2:8" x14ac:dyDescent="0.25">
      <c r="B7647" t="str">
        <f t="shared" si="119"/>
        <v>PREPopulation ages 0-14, female</v>
      </c>
      <c r="C7647" t="s">
        <v>612</v>
      </c>
      <c r="D7647" t="s">
        <v>613</v>
      </c>
      <c r="E7647" t="s">
        <v>687</v>
      </c>
      <c r="F7647" t="s">
        <v>688</v>
      </c>
      <c r="G7647">
        <v>202624000</v>
      </c>
      <c r="H7647">
        <v>206717000</v>
      </c>
    </row>
    <row r="7648" spans="2:8" x14ac:dyDescent="0.25">
      <c r="B7648" t="str">
        <f t="shared" si="119"/>
        <v>PREPopulation ages 0-14, male</v>
      </c>
      <c r="C7648" t="s">
        <v>612</v>
      </c>
      <c r="D7648" t="s">
        <v>613</v>
      </c>
      <c r="E7648" t="s">
        <v>689</v>
      </c>
      <c r="F7648" t="s">
        <v>690</v>
      </c>
      <c r="G7648">
        <v>208158000</v>
      </c>
      <c r="H7648">
        <v>212406000</v>
      </c>
    </row>
    <row r="7649" spans="2:8" x14ac:dyDescent="0.25">
      <c r="B7649" t="str">
        <f t="shared" si="119"/>
        <v>PREPopulation ages 00-04, female</v>
      </c>
      <c r="C7649" t="s">
        <v>612</v>
      </c>
      <c r="D7649" t="s">
        <v>613</v>
      </c>
      <c r="E7649" t="s">
        <v>362</v>
      </c>
      <c r="F7649" t="s">
        <v>691</v>
      </c>
      <c r="G7649">
        <v>75574000</v>
      </c>
      <c r="H7649">
        <v>76836000</v>
      </c>
    </row>
    <row r="7650" spans="2:8" x14ac:dyDescent="0.25">
      <c r="B7650" t="str">
        <f t="shared" si="119"/>
        <v>PREPopulation ages 00-04, male</v>
      </c>
      <c r="C7650" t="s">
        <v>612</v>
      </c>
      <c r="D7650" t="s">
        <v>613</v>
      </c>
      <c r="E7650" t="s">
        <v>363</v>
      </c>
      <c r="F7650" t="s">
        <v>692</v>
      </c>
      <c r="G7650">
        <v>77878000</v>
      </c>
      <c r="H7650">
        <v>79170000</v>
      </c>
    </row>
    <row r="7651" spans="2:8" x14ac:dyDescent="0.25">
      <c r="B7651" t="str">
        <f t="shared" si="119"/>
        <v>PREPopulation ages 05-09, female</v>
      </c>
      <c r="C7651" t="s">
        <v>612</v>
      </c>
      <c r="D7651" t="s">
        <v>613</v>
      </c>
      <c r="E7651" t="s">
        <v>364</v>
      </c>
      <c r="F7651" t="s">
        <v>693</v>
      </c>
      <c r="G7651">
        <v>67638000</v>
      </c>
      <c r="H7651">
        <v>68919000</v>
      </c>
    </row>
    <row r="7652" spans="2:8" x14ac:dyDescent="0.25">
      <c r="B7652" t="str">
        <f t="shared" si="119"/>
        <v>PREPopulation ages 05-09, male</v>
      </c>
      <c r="C7652" t="s">
        <v>612</v>
      </c>
      <c r="D7652" t="s">
        <v>613</v>
      </c>
      <c r="E7652" t="s">
        <v>365</v>
      </c>
      <c r="F7652" t="s">
        <v>694</v>
      </c>
      <c r="G7652">
        <v>69476000</v>
      </c>
      <c r="H7652">
        <v>70810000</v>
      </c>
    </row>
    <row r="7653" spans="2:8" x14ac:dyDescent="0.25">
      <c r="B7653" t="str">
        <f t="shared" si="119"/>
        <v>PREPopulation ages 10-14, female</v>
      </c>
      <c r="C7653" t="s">
        <v>612</v>
      </c>
      <c r="D7653" t="s">
        <v>613</v>
      </c>
      <c r="E7653" t="s">
        <v>366</v>
      </c>
      <c r="F7653" t="s">
        <v>695</v>
      </c>
      <c r="G7653">
        <v>59413000</v>
      </c>
      <c r="H7653">
        <v>60965000</v>
      </c>
    </row>
    <row r="7654" spans="2:8" x14ac:dyDescent="0.25">
      <c r="B7654" t="str">
        <f t="shared" si="119"/>
        <v>PREPopulation ages 10-14, male</v>
      </c>
      <c r="C7654" t="s">
        <v>612</v>
      </c>
      <c r="D7654" t="s">
        <v>613</v>
      </c>
      <c r="E7654" t="s">
        <v>367</v>
      </c>
      <c r="F7654" t="s">
        <v>696</v>
      </c>
      <c r="G7654">
        <v>60811000</v>
      </c>
      <c r="H7654">
        <v>62427000</v>
      </c>
    </row>
    <row r="7655" spans="2:8" x14ac:dyDescent="0.25">
      <c r="B7655" t="str">
        <f t="shared" si="119"/>
        <v>PREPopulation ages 15-19, female</v>
      </c>
      <c r="C7655" t="s">
        <v>612</v>
      </c>
      <c r="D7655" t="s">
        <v>613</v>
      </c>
      <c r="E7655" t="s">
        <v>368</v>
      </c>
      <c r="F7655" t="s">
        <v>697</v>
      </c>
      <c r="G7655">
        <v>50820000</v>
      </c>
      <c r="H7655">
        <v>52397000</v>
      </c>
    </row>
    <row r="7656" spans="2:8" x14ac:dyDescent="0.25">
      <c r="B7656" t="str">
        <f t="shared" si="119"/>
        <v>PREPopulation ages 15-19, male</v>
      </c>
      <c r="C7656" t="s">
        <v>612</v>
      </c>
      <c r="D7656" t="s">
        <v>613</v>
      </c>
      <c r="E7656" t="s">
        <v>369</v>
      </c>
      <c r="F7656" t="s">
        <v>698</v>
      </c>
      <c r="G7656">
        <v>51770000</v>
      </c>
      <c r="H7656">
        <v>53429000</v>
      </c>
    </row>
    <row r="7657" spans="2:8" x14ac:dyDescent="0.25">
      <c r="B7657" t="str">
        <f t="shared" si="119"/>
        <v>PREPopulation ages 20-24, female</v>
      </c>
      <c r="C7657" t="s">
        <v>612</v>
      </c>
      <c r="D7657" t="s">
        <v>613</v>
      </c>
      <c r="E7657" t="s">
        <v>370</v>
      </c>
      <c r="F7657" t="s">
        <v>699</v>
      </c>
      <c r="G7657">
        <v>42776000</v>
      </c>
      <c r="H7657">
        <v>44144000</v>
      </c>
    </row>
    <row r="7658" spans="2:8" x14ac:dyDescent="0.25">
      <c r="B7658" t="str">
        <f t="shared" si="119"/>
        <v>PREPopulation ages 20-24, male</v>
      </c>
      <c r="C7658" t="s">
        <v>612</v>
      </c>
      <c r="D7658" t="s">
        <v>613</v>
      </c>
      <c r="E7658" t="s">
        <v>371</v>
      </c>
      <c r="F7658" t="s">
        <v>700</v>
      </c>
      <c r="G7658">
        <v>43239000</v>
      </c>
      <c r="H7658">
        <v>44655000</v>
      </c>
    </row>
    <row r="7659" spans="2:8" x14ac:dyDescent="0.25">
      <c r="B7659" t="str">
        <f t="shared" si="119"/>
        <v>PREPopulation ages 25-29, female</v>
      </c>
      <c r="C7659" t="s">
        <v>612</v>
      </c>
      <c r="D7659" t="s">
        <v>613</v>
      </c>
      <c r="E7659" t="s">
        <v>372</v>
      </c>
      <c r="F7659" t="s">
        <v>701</v>
      </c>
      <c r="G7659">
        <v>35949000</v>
      </c>
      <c r="H7659">
        <v>37027000</v>
      </c>
    </row>
    <row r="7660" spans="2:8" x14ac:dyDescent="0.25">
      <c r="B7660" t="str">
        <f t="shared" si="119"/>
        <v>PREPopulation ages 25-29, male</v>
      </c>
      <c r="C7660" t="s">
        <v>612</v>
      </c>
      <c r="D7660" t="s">
        <v>613</v>
      </c>
      <c r="E7660" t="s">
        <v>373</v>
      </c>
      <c r="F7660" t="s">
        <v>702</v>
      </c>
      <c r="G7660">
        <v>36126000</v>
      </c>
      <c r="H7660">
        <v>37230000</v>
      </c>
    </row>
    <row r="7661" spans="2:8" x14ac:dyDescent="0.25">
      <c r="B7661" t="str">
        <f t="shared" si="119"/>
        <v>PREPopulation ages 30-34, female</v>
      </c>
      <c r="C7661" t="s">
        <v>612</v>
      </c>
      <c r="D7661" t="s">
        <v>613</v>
      </c>
      <c r="E7661" t="s">
        <v>374</v>
      </c>
      <c r="F7661" t="s">
        <v>703</v>
      </c>
      <c r="G7661">
        <v>30405000</v>
      </c>
      <c r="H7661">
        <v>31289000</v>
      </c>
    </row>
    <row r="7662" spans="2:8" x14ac:dyDescent="0.25">
      <c r="B7662" t="str">
        <f t="shared" si="119"/>
        <v>PREPopulation ages 30-34, male</v>
      </c>
      <c r="C7662" t="s">
        <v>612</v>
      </c>
      <c r="D7662" t="s">
        <v>613</v>
      </c>
      <c r="E7662" t="s">
        <v>375</v>
      </c>
      <c r="F7662" t="s">
        <v>704</v>
      </c>
      <c r="G7662">
        <v>30314000</v>
      </c>
      <c r="H7662">
        <v>31235000</v>
      </c>
    </row>
    <row r="7663" spans="2:8" x14ac:dyDescent="0.25">
      <c r="B7663" t="str">
        <f t="shared" si="119"/>
        <v>PREPopulation ages 35-39, female</v>
      </c>
      <c r="C7663" t="s">
        <v>612</v>
      </c>
      <c r="D7663" t="s">
        <v>613</v>
      </c>
      <c r="E7663" t="s">
        <v>376</v>
      </c>
      <c r="F7663" t="s">
        <v>705</v>
      </c>
      <c r="G7663">
        <v>25442000</v>
      </c>
      <c r="H7663">
        <v>26255000</v>
      </c>
    </row>
    <row r="7664" spans="2:8" x14ac:dyDescent="0.25">
      <c r="B7664" t="str">
        <f t="shared" si="119"/>
        <v>PREPopulation ages 35-39, male</v>
      </c>
      <c r="C7664" t="s">
        <v>612</v>
      </c>
      <c r="D7664" t="s">
        <v>613</v>
      </c>
      <c r="E7664" t="s">
        <v>377</v>
      </c>
      <c r="F7664" t="s">
        <v>706</v>
      </c>
      <c r="G7664">
        <v>25129000</v>
      </c>
      <c r="H7664">
        <v>25945000</v>
      </c>
    </row>
    <row r="7665" spans="2:8" x14ac:dyDescent="0.25">
      <c r="B7665" t="str">
        <f t="shared" si="119"/>
        <v>PREPopulation ages 40-44, female</v>
      </c>
      <c r="C7665" t="s">
        <v>612</v>
      </c>
      <c r="D7665" t="s">
        <v>613</v>
      </c>
      <c r="E7665" t="s">
        <v>378</v>
      </c>
      <c r="F7665" t="s">
        <v>707</v>
      </c>
      <c r="G7665">
        <v>20821000</v>
      </c>
      <c r="H7665">
        <v>21564000</v>
      </c>
    </row>
    <row r="7666" spans="2:8" x14ac:dyDescent="0.25">
      <c r="B7666" t="str">
        <f t="shared" si="119"/>
        <v>PREPopulation ages 40-44, male</v>
      </c>
      <c r="C7666" t="s">
        <v>612</v>
      </c>
      <c r="D7666" t="s">
        <v>613</v>
      </c>
      <c r="E7666" t="s">
        <v>379</v>
      </c>
      <c r="F7666" t="s">
        <v>708</v>
      </c>
      <c r="G7666">
        <v>20443000</v>
      </c>
      <c r="H7666">
        <v>21180000</v>
      </c>
    </row>
    <row r="7667" spans="2:8" x14ac:dyDescent="0.25">
      <c r="B7667" t="str">
        <f t="shared" si="119"/>
        <v>PREPopulation ages 45-49, female</v>
      </c>
      <c r="C7667" t="s">
        <v>612</v>
      </c>
      <c r="D7667" t="s">
        <v>613</v>
      </c>
      <c r="E7667" t="s">
        <v>380</v>
      </c>
      <c r="F7667" t="s">
        <v>709</v>
      </c>
      <c r="G7667">
        <v>16749000</v>
      </c>
      <c r="H7667">
        <v>17383000</v>
      </c>
    </row>
    <row r="7668" spans="2:8" x14ac:dyDescent="0.25">
      <c r="B7668" t="str">
        <f t="shared" si="119"/>
        <v>PREPopulation ages 45-49, male</v>
      </c>
      <c r="C7668" t="s">
        <v>612</v>
      </c>
      <c r="D7668" t="s">
        <v>613</v>
      </c>
      <c r="E7668" t="s">
        <v>381</v>
      </c>
      <c r="F7668" t="s">
        <v>710</v>
      </c>
      <c r="G7668">
        <v>16217000</v>
      </c>
      <c r="H7668">
        <v>16857000</v>
      </c>
    </row>
    <row r="7669" spans="2:8" x14ac:dyDescent="0.25">
      <c r="B7669" t="str">
        <f t="shared" si="119"/>
        <v>PREPopulation ages 50-54, female</v>
      </c>
      <c r="C7669" t="s">
        <v>612</v>
      </c>
      <c r="D7669" t="s">
        <v>613</v>
      </c>
      <c r="E7669" t="s">
        <v>382</v>
      </c>
      <c r="F7669" t="s">
        <v>711</v>
      </c>
      <c r="G7669">
        <v>13338000</v>
      </c>
      <c r="H7669">
        <v>13837000</v>
      </c>
    </row>
    <row r="7670" spans="2:8" x14ac:dyDescent="0.25">
      <c r="B7670" t="str">
        <f t="shared" si="119"/>
        <v>PREPopulation ages 50-54, male</v>
      </c>
      <c r="C7670" t="s">
        <v>612</v>
      </c>
      <c r="D7670" t="s">
        <v>613</v>
      </c>
      <c r="E7670" t="s">
        <v>383</v>
      </c>
      <c r="F7670" t="s">
        <v>712</v>
      </c>
      <c r="G7670">
        <v>12621000</v>
      </c>
      <c r="H7670">
        <v>13107000</v>
      </c>
    </row>
    <row r="7671" spans="2:8" x14ac:dyDescent="0.25">
      <c r="B7671" t="str">
        <f t="shared" si="119"/>
        <v>PREPopulation ages 55-59, male</v>
      </c>
      <c r="C7671" t="s">
        <v>612</v>
      </c>
      <c r="D7671" t="s">
        <v>613</v>
      </c>
      <c r="E7671" t="s">
        <v>385</v>
      </c>
      <c r="F7671" t="s">
        <v>713</v>
      </c>
      <c r="G7671">
        <v>9771000</v>
      </c>
      <c r="H7671">
        <v>10135000</v>
      </c>
    </row>
    <row r="7672" spans="2:8" x14ac:dyDescent="0.25">
      <c r="B7672" t="str">
        <f t="shared" si="119"/>
        <v>PREPopulation ages 55-59, female</v>
      </c>
      <c r="C7672" t="s">
        <v>612</v>
      </c>
      <c r="D7672" t="s">
        <v>613</v>
      </c>
      <c r="E7672" t="s">
        <v>384</v>
      </c>
      <c r="F7672" t="s">
        <v>714</v>
      </c>
      <c r="G7672">
        <v>10550000</v>
      </c>
      <c r="H7672">
        <v>10936000</v>
      </c>
    </row>
    <row r="7673" spans="2:8" x14ac:dyDescent="0.25">
      <c r="B7673" t="str">
        <f t="shared" si="119"/>
        <v>PREPopulation ages 65-69, male</v>
      </c>
      <c r="C7673" t="s">
        <v>612</v>
      </c>
      <c r="D7673" t="s">
        <v>613</v>
      </c>
      <c r="E7673" t="s">
        <v>389</v>
      </c>
      <c r="F7673" t="s">
        <v>715</v>
      </c>
      <c r="G7673">
        <v>5250300</v>
      </c>
      <c r="H7673">
        <v>5447000</v>
      </c>
    </row>
    <row r="7674" spans="2:8" x14ac:dyDescent="0.25">
      <c r="B7674" t="str">
        <f t="shared" si="119"/>
        <v>PREPopulation ages 65-69, female</v>
      </c>
      <c r="C7674" t="s">
        <v>612</v>
      </c>
      <c r="D7674" t="s">
        <v>613</v>
      </c>
      <c r="E7674" t="s">
        <v>388</v>
      </c>
      <c r="F7674" t="s">
        <v>716</v>
      </c>
      <c r="G7674">
        <v>6119500</v>
      </c>
      <c r="H7674">
        <v>6349100</v>
      </c>
    </row>
    <row r="7675" spans="2:8" x14ac:dyDescent="0.25">
      <c r="B7675" t="str">
        <f t="shared" si="119"/>
        <v>PREPopulation ages 60-64, female</v>
      </c>
      <c r="C7675" t="s">
        <v>612</v>
      </c>
      <c r="D7675" t="s">
        <v>613</v>
      </c>
      <c r="E7675" t="s">
        <v>386</v>
      </c>
      <c r="F7675" t="s">
        <v>717</v>
      </c>
      <c r="G7675">
        <v>8187400</v>
      </c>
      <c r="H7675">
        <v>8473900</v>
      </c>
    </row>
    <row r="7676" spans="2:8" x14ac:dyDescent="0.25">
      <c r="B7676" t="str">
        <f t="shared" si="119"/>
        <v>PREPopulation ages 60-64, male</v>
      </c>
      <c r="C7676" t="s">
        <v>612</v>
      </c>
      <c r="D7676" t="s">
        <v>613</v>
      </c>
      <c r="E7676" t="s">
        <v>387</v>
      </c>
      <c r="F7676" t="s">
        <v>718</v>
      </c>
      <c r="G7676">
        <v>7308000</v>
      </c>
      <c r="H7676">
        <v>7575400</v>
      </c>
    </row>
    <row r="7677" spans="2:8" x14ac:dyDescent="0.25">
      <c r="B7677" t="str">
        <f t="shared" si="119"/>
        <v>PREPopulation ages 70-74, female</v>
      </c>
      <c r="C7677" t="s">
        <v>612</v>
      </c>
      <c r="D7677" t="s">
        <v>613</v>
      </c>
      <c r="E7677" t="s">
        <v>390</v>
      </c>
      <c r="F7677" t="s">
        <v>719</v>
      </c>
      <c r="G7677">
        <v>4140400</v>
      </c>
      <c r="H7677">
        <v>4297400</v>
      </c>
    </row>
    <row r="7678" spans="2:8" x14ac:dyDescent="0.25">
      <c r="B7678" t="str">
        <f t="shared" si="119"/>
        <v>PREPopulation ages 70-74, male</v>
      </c>
      <c r="C7678" t="s">
        <v>612</v>
      </c>
      <c r="D7678" t="s">
        <v>613</v>
      </c>
      <c r="E7678" t="s">
        <v>391</v>
      </c>
      <c r="F7678" t="s">
        <v>720</v>
      </c>
      <c r="G7678">
        <v>3381800</v>
      </c>
      <c r="H7678">
        <v>3503500</v>
      </c>
    </row>
    <row r="7679" spans="2:8" x14ac:dyDescent="0.25">
      <c r="B7679" t="str">
        <f t="shared" si="119"/>
        <v>PREPopulation ages 75-79, female</v>
      </c>
      <c r="C7679" t="s">
        <v>612</v>
      </c>
      <c r="D7679" t="s">
        <v>613</v>
      </c>
      <c r="E7679" t="s">
        <v>392</v>
      </c>
      <c r="F7679" t="s">
        <v>721</v>
      </c>
      <c r="G7679">
        <v>2488400</v>
      </c>
      <c r="H7679">
        <v>2569000</v>
      </c>
    </row>
    <row r="7680" spans="2:8" x14ac:dyDescent="0.25">
      <c r="B7680" t="str">
        <f t="shared" si="119"/>
        <v>PREPopulation ages 75-79, male</v>
      </c>
      <c r="C7680" t="s">
        <v>612</v>
      </c>
      <c r="D7680" t="s">
        <v>613</v>
      </c>
      <c r="E7680" t="s">
        <v>393</v>
      </c>
      <c r="F7680" t="s">
        <v>722</v>
      </c>
      <c r="G7680">
        <v>1909500</v>
      </c>
      <c r="H7680">
        <v>1966000</v>
      </c>
    </row>
    <row r="7681" spans="2:8" x14ac:dyDescent="0.25">
      <c r="B7681" t="str">
        <f t="shared" si="119"/>
        <v>PREPopulation ages 80 and above, female</v>
      </c>
      <c r="C7681" t="s">
        <v>612</v>
      </c>
      <c r="D7681" t="s">
        <v>613</v>
      </c>
      <c r="E7681" t="s">
        <v>394</v>
      </c>
      <c r="F7681" t="s">
        <v>723</v>
      </c>
      <c r="G7681">
        <v>1716700</v>
      </c>
      <c r="H7681">
        <v>1714800</v>
      </c>
    </row>
    <row r="7682" spans="2:8" x14ac:dyDescent="0.25">
      <c r="B7682" t="str">
        <f t="shared" si="119"/>
        <v>PREPopulation ages 80 and above, male</v>
      </c>
      <c r="C7682" t="s">
        <v>612</v>
      </c>
      <c r="D7682" t="s">
        <v>613</v>
      </c>
      <c r="E7682" t="s">
        <v>395</v>
      </c>
      <c r="F7682" t="s">
        <v>724</v>
      </c>
      <c r="G7682">
        <v>1164200</v>
      </c>
      <c r="H7682">
        <v>1151500</v>
      </c>
    </row>
    <row r="7683" spans="2:8" x14ac:dyDescent="0.25">
      <c r="B7683" t="str">
        <f t="shared" si="119"/>
        <v>PREPopulation, male</v>
      </c>
      <c r="C7683" t="s">
        <v>612</v>
      </c>
      <c r="D7683" t="s">
        <v>613</v>
      </c>
      <c r="E7683" t="s">
        <v>397</v>
      </c>
      <c r="F7683" t="s">
        <v>725</v>
      </c>
      <c r="G7683">
        <v>472788000</v>
      </c>
      <c r="H7683">
        <v>485835000</v>
      </c>
    </row>
    <row r="7684" spans="2:8" x14ac:dyDescent="0.25">
      <c r="B7684" t="str">
        <f t="shared" si="119"/>
        <v>PREPopulation, total</v>
      </c>
      <c r="C7684" t="s">
        <v>612</v>
      </c>
      <c r="D7684" t="s">
        <v>613</v>
      </c>
      <c r="E7684" t="s">
        <v>398</v>
      </c>
      <c r="F7684" t="s">
        <v>726</v>
      </c>
      <c r="G7684">
        <v>944903000</v>
      </c>
      <c r="H7684">
        <v>970795000</v>
      </c>
    </row>
    <row r="7685" spans="2:8" x14ac:dyDescent="0.25">
      <c r="B7685" t="str">
        <f t="shared" si="119"/>
        <v>PREPopulation, female</v>
      </c>
      <c r="C7685" t="s">
        <v>612</v>
      </c>
      <c r="D7685" t="s">
        <v>613</v>
      </c>
      <c r="E7685" t="s">
        <v>396</v>
      </c>
      <c r="F7685" t="s">
        <v>727</v>
      </c>
      <c r="G7685">
        <v>472114000</v>
      </c>
      <c r="H7685">
        <v>484962000</v>
      </c>
    </row>
    <row r="7686" spans="2:8" x14ac:dyDescent="0.25">
      <c r="B7686" t="str">
        <f t="shared" si="119"/>
        <v>PREPopulation growth (annual %)</v>
      </c>
      <c r="C7686" t="s">
        <v>612</v>
      </c>
      <c r="D7686" t="s">
        <v>613</v>
      </c>
      <c r="E7686" t="s">
        <v>399</v>
      </c>
      <c r="F7686" t="s">
        <v>728</v>
      </c>
      <c r="G7686">
        <v>2.7643296123574146</v>
      </c>
      <c r="H7686">
        <v>2.7401754465802242</v>
      </c>
    </row>
    <row r="7687" spans="2:8" x14ac:dyDescent="0.25">
      <c r="B7687" t="str">
        <f t="shared" ref="B7687:B7750" si="120">CONCATENATE(D7687,E7687)</f>
        <v>PRIPopulation ages 0-14, female</v>
      </c>
      <c r="C7687" t="s">
        <v>614</v>
      </c>
      <c r="D7687" t="s">
        <v>615</v>
      </c>
      <c r="E7687" t="s">
        <v>687</v>
      </c>
      <c r="F7687" t="s">
        <v>688</v>
      </c>
      <c r="G7687">
        <v>252000</v>
      </c>
      <c r="H7687">
        <v>243000</v>
      </c>
    </row>
    <row r="7688" spans="2:8" x14ac:dyDescent="0.25">
      <c r="B7688" t="str">
        <f t="shared" si="120"/>
        <v>PRIPopulation ages 0-14, male</v>
      </c>
      <c r="C7688" t="s">
        <v>614</v>
      </c>
      <c r="D7688" t="s">
        <v>615</v>
      </c>
      <c r="E7688" t="s">
        <v>689</v>
      </c>
      <c r="F7688" t="s">
        <v>690</v>
      </c>
      <c r="G7688">
        <v>267000</v>
      </c>
      <c r="H7688">
        <v>258000</v>
      </c>
    </row>
    <row r="7689" spans="2:8" x14ac:dyDescent="0.25">
      <c r="B7689" t="str">
        <f t="shared" si="120"/>
        <v>PRIPopulation ages 00-04, female</v>
      </c>
      <c r="C7689" t="s">
        <v>614</v>
      </c>
      <c r="D7689" t="s">
        <v>615</v>
      </c>
      <c r="E7689" t="s">
        <v>362</v>
      </c>
      <c r="F7689" t="s">
        <v>691</v>
      </c>
      <c r="G7689">
        <v>49000</v>
      </c>
      <c r="H7689">
        <v>45000</v>
      </c>
    </row>
    <row r="7690" spans="2:8" x14ac:dyDescent="0.25">
      <c r="B7690" t="str">
        <f t="shared" si="120"/>
        <v>PRIPopulation ages 00-04, male</v>
      </c>
      <c r="C7690" t="s">
        <v>614</v>
      </c>
      <c r="D7690" t="s">
        <v>615</v>
      </c>
      <c r="E7690" t="s">
        <v>363</v>
      </c>
      <c r="F7690" t="s">
        <v>692</v>
      </c>
      <c r="G7690">
        <v>53000</v>
      </c>
      <c r="H7690">
        <v>48000</v>
      </c>
    </row>
    <row r="7691" spans="2:8" x14ac:dyDescent="0.25">
      <c r="B7691" t="str">
        <f t="shared" si="120"/>
        <v>PRIPopulation ages 05-09, female</v>
      </c>
      <c r="C7691" t="s">
        <v>614</v>
      </c>
      <c r="D7691" t="s">
        <v>615</v>
      </c>
      <c r="E7691" t="s">
        <v>364</v>
      </c>
      <c r="F7691" t="s">
        <v>693</v>
      </c>
      <c r="G7691">
        <v>91000</v>
      </c>
      <c r="H7691">
        <v>84000</v>
      </c>
    </row>
    <row r="7692" spans="2:8" x14ac:dyDescent="0.25">
      <c r="B7692" t="str">
        <f t="shared" si="120"/>
        <v>PRIPopulation ages 05-09, male</v>
      </c>
      <c r="C7692" t="s">
        <v>614</v>
      </c>
      <c r="D7692" t="s">
        <v>615</v>
      </c>
      <c r="E7692" t="s">
        <v>365</v>
      </c>
      <c r="F7692" t="s">
        <v>694</v>
      </c>
      <c r="G7692">
        <v>95000</v>
      </c>
      <c r="H7692">
        <v>89000</v>
      </c>
    </row>
    <row r="7693" spans="2:8" x14ac:dyDescent="0.25">
      <c r="B7693" t="str">
        <f t="shared" si="120"/>
        <v>PRIPopulation ages 10-14, female</v>
      </c>
      <c r="C7693" t="s">
        <v>614</v>
      </c>
      <c r="D7693" t="s">
        <v>615</v>
      </c>
      <c r="E7693" t="s">
        <v>366</v>
      </c>
      <c r="F7693" t="s">
        <v>695</v>
      </c>
      <c r="G7693">
        <v>111000</v>
      </c>
      <c r="H7693">
        <v>114000</v>
      </c>
    </row>
    <row r="7694" spans="2:8" x14ac:dyDescent="0.25">
      <c r="B7694" t="str">
        <f t="shared" si="120"/>
        <v>PRIPopulation ages 10-14, male</v>
      </c>
      <c r="C7694" t="s">
        <v>614</v>
      </c>
      <c r="D7694" t="s">
        <v>615</v>
      </c>
      <c r="E7694" t="s">
        <v>367</v>
      </c>
      <c r="F7694" t="s">
        <v>696</v>
      </c>
      <c r="G7694">
        <v>119000</v>
      </c>
      <c r="H7694">
        <v>120000</v>
      </c>
    </row>
    <row r="7695" spans="2:8" x14ac:dyDescent="0.25">
      <c r="B7695" t="str">
        <f t="shared" si="120"/>
        <v>PRIPopulation ages 15-19, female</v>
      </c>
      <c r="C7695" t="s">
        <v>614</v>
      </c>
      <c r="D7695" t="s">
        <v>615</v>
      </c>
      <c r="E7695" t="s">
        <v>368</v>
      </c>
      <c r="F7695" t="s">
        <v>697</v>
      </c>
      <c r="G7695">
        <v>94000</v>
      </c>
      <c r="H7695">
        <v>95000</v>
      </c>
    </row>
    <row r="7696" spans="2:8" x14ac:dyDescent="0.25">
      <c r="B7696" t="str">
        <f t="shared" si="120"/>
        <v>PRIPopulation ages 15-19, male</v>
      </c>
      <c r="C7696" t="s">
        <v>614</v>
      </c>
      <c r="D7696" t="s">
        <v>615</v>
      </c>
      <c r="E7696" t="s">
        <v>369</v>
      </c>
      <c r="F7696" t="s">
        <v>698</v>
      </c>
      <c r="G7696">
        <v>108000</v>
      </c>
      <c r="H7696">
        <v>110000</v>
      </c>
    </row>
    <row r="7697" spans="2:8" x14ac:dyDescent="0.25">
      <c r="B7697" t="str">
        <f t="shared" si="120"/>
        <v>PRIPopulation ages 20-24, female</v>
      </c>
      <c r="C7697" t="s">
        <v>614</v>
      </c>
      <c r="D7697" t="s">
        <v>615</v>
      </c>
      <c r="E7697" t="s">
        <v>370</v>
      </c>
      <c r="F7697" t="s">
        <v>699</v>
      </c>
      <c r="G7697">
        <v>79000</v>
      </c>
      <c r="H7697">
        <v>72000</v>
      </c>
    </row>
    <row r="7698" spans="2:8" x14ac:dyDescent="0.25">
      <c r="B7698" t="str">
        <f t="shared" si="120"/>
        <v>PRIPopulation ages 20-24, male</v>
      </c>
      <c r="C7698" t="s">
        <v>614</v>
      </c>
      <c r="D7698" t="s">
        <v>615</v>
      </c>
      <c r="E7698" t="s">
        <v>371</v>
      </c>
      <c r="F7698" t="s">
        <v>700</v>
      </c>
      <c r="G7698">
        <v>93000</v>
      </c>
      <c r="H7698">
        <v>88000</v>
      </c>
    </row>
    <row r="7699" spans="2:8" x14ac:dyDescent="0.25">
      <c r="B7699" t="str">
        <f t="shared" si="120"/>
        <v>PRIPopulation ages 25-29, female</v>
      </c>
      <c r="C7699" t="s">
        <v>614</v>
      </c>
      <c r="D7699" t="s">
        <v>615</v>
      </c>
      <c r="E7699" t="s">
        <v>372</v>
      </c>
      <c r="F7699" t="s">
        <v>701</v>
      </c>
      <c r="G7699">
        <v>87000</v>
      </c>
      <c r="H7699">
        <v>79000</v>
      </c>
    </row>
    <row r="7700" spans="2:8" x14ac:dyDescent="0.25">
      <c r="B7700" t="str">
        <f t="shared" si="120"/>
        <v>PRIPopulation ages 25-29, male</v>
      </c>
      <c r="C7700" t="s">
        <v>614</v>
      </c>
      <c r="D7700" t="s">
        <v>615</v>
      </c>
      <c r="E7700" t="s">
        <v>373</v>
      </c>
      <c r="F7700" t="s">
        <v>702</v>
      </c>
      <c r="G7700">
        <v>90000</v>
      </c>
      <c r="H7700">
        <v>83000</v>
      </c>
    </row>
    <row r="7701" spans="2:8" x14ac:dyDescent="0.25">
      <c r="B7701" t="str">
        <f t="shared" si="120"/>
        <v>PRIPopulation ages 30-34, female</v>
      </c>
      <c r="C7701" t="s">
        <v>614</v>
      </c>
      <c r="D7701" t="s">
        <v>615</v>
      </c>
      <c r="E7701" t="s">
        <v>374</v>
      </c>
      <c r="F7701" t="s">
        <v>703</v>
      </c>
      <c r="G7701">
        <v>93000</v>
      </c>
      <c r="H7701">
        <v>87000</v>
      </c>
    </row>
    <row r="7702" spans="2:8" x14ac:dyDescent="0.25">
      <c r="B7702" t="str">
        <f t="shared" si="120"/>
        <v>PRIPopulation ages 30-34, male</v>
      </c>
      <c r="C7702" t="s">
        <v>614</v>
      </c>
      <c r="D7702" t="s">
        <v>615</v>
      </c>
      <c r="E7702" t="s">
        <v>375</v>
      </c>
      <c r="F7702" t="s">
        <v>704</v>
      </c>
      <c r="G7702">
        <v>92000</v>
      </c>
      <c r="H7702">
        <v>87000</v>
      </c>
    </row>
    <row r="7703" spans="2:8" x14ac:dyDescent="0.25">
      <c r="B7703" t="str">
        <f t="shared" si="120"/>
        <v>PRIPopulation ages 35-39, female</v>
      </c>
      <c r="C7703" t="s">
        <v>614</v>
      </c>
      <c r="D7703" t="s">
        <v>615</v>
      </c>
      <c r="E7703" t="s">
        <v>376</v>
      </c>
      <c r="F7703" t="s">
        <v>705</v>
      </c>
      <c r="G7703">
        <v>105000</v>
      </c>
      <c r="H7703">
        <v>101000</v>
      </c>
    </row>
    <row r="7704" spans="2:8" x14ac:dyDescent="0.25">
      <c r="B7704" t="str">
        <f t="shared" si="120"/>
        <v>PRIPopulation ages 35-39, male</v>
      </c>
      <c r="C7704" t="s">
        <v>614</v>
      </c>
      <c r="D7704" t="s">
        <v>615</v>
      </c>
      <c r="E7704" t="s">
        <v>377</v>
      </c>
      <c r="F7704" t="s">
        <v>706</v>
      </c>
      <c r="G7704">
        <v>98000</v>
      </c>
      <c r="H7704">
        <v>94000</v>
      </c>
    </row>
    <row r="7705" spans="2:8" x14ac:dyDescent="0.25">
      <c r="B7705" t="str">
        <f t="shared" si="120"/>
        <v>PRIPopulation ages 40-44, female</v>
      </c>
      <c r="C7705" t="s">
        <v>614</v>
      </c>
      <c r="D7705" t="s">
        <v>615</v>
      </c>
      <c r="E7705" t="s">
        <v>378</v>
      </c>
      <c r="F7705" t="s">
        <v>707</v>
      </c>
      <c r="G7705">
        <v>115000</v>
      </c>
      <c r="H7705">
        <v>114000</v>
      </c>
    </row>
    <row r="7706" spans="2:8" x14ac:dyDescent="0.25">
      <c r="B7706" t="str">
        <f t="shared" si="120"/>
        <v>PRIPopulation ages 40-44, male</v>
      </c>
      <c r="C7706" t="s">
        <v>614</v>
      </c>
      <c r="D7706" t="s">
        <v>615</v>
      </c>
      <c r="E7706" t="s">
        <v>379</v>
      </c>
      <c r="F7706" t="s">
        <v>708</v>
      </c>
      <c r="G7706">
        <v>105000</v>
      </c>
      <c r="H7706">
        <v>104000</v>
      </c>
    </row>
    <row r="7707" spans="2:8" x14ac:dyDescent="0.25">
      <c r="B7707" t="str">
        <f t="shared" si="120"/>
        <v>PRIPopulation ages 45-49, female</v>
      </c>
      <c r="C7707" t="s">
        <v>614</v>
      </c>
      <c r="D7707" t="s">
        <v>615</v>
      </c>
      <c r="E7707" t="s">
        <v>380</v>
      </c>
      <c r="F7707" t="s">
        <v>709</v>
      </c>
      <c r="G7707">
        <v>121000</v>
      </c>
      <c r="H7707">
        <v>121000</v>
      </c>
    </row>
    <row r="7708" spans="2:8" x14ac:dyDescent="0.25">
      <c r="B7708" t="str">
        <f t="shared" si="120"/>
        <v>PRIPopulation ages 45-49, male</v>
      </c>
      <c r="C7708" t="s">
        <v>614</v>
      </c>
      <c r="D7708" t="s">
        <v>615</v>
      </c>
      <c r="E7708" t="s">
        <v>381</v>
      </c>
      <c r="F7708" t="s">
        <v>710</v>
      </c>
      <c r="G7708">
        <v>104000</v>
      </c>
      <c r="H7708">
        <v>105000</v>
      </c>
    </row>
    <row r="7709" spans="2:8" x14ac:dyDescent="0.25">
      <c r="B7709" t="str">
        <f t="shared" si="120"/>
        <v>PRIPopulation ages 50-54, female</v>
      </c>
      <c r="C7709" t="s">
        <v>614</v>
      </c>
      <c r="D7709" t="s">
        <v>615</v>
      </c>
      <c r="E7709" t="s">
        <v>382</v>
      </c>
      <c r="F7709" t="s">
        <v>711</v>
      </c>
      <c r="G7709">
        <v>126000</v>
      </c>
      <c r="H7709">
        <v>129000</v>
      </c>
    </row>
    <row r="7710" spans="2:8" x14ac:dyDescent="0.25">
      <c r="B7710" t="str">
        <f t="shared" si="120"/>
        <v>PRIPopulation ages 50-54, male</v>
      </c>
      <c r="C7710" t="s">
        <v>614</v>
      </c>
      <c r="D7710" t="s">
        <v>615</v>
      </c>
      <c r="E7710" t="s">
        <v>383</v>
      </c>
      <c r="F7710" t="s">
        <v>712</v>
      </c>
      <c r="G7710">
        <v>105000</v>
      </c>
      <c r="H7710">
        <v>107000</v>
      </c>
    </row>
    <row r="7711" spans="2:8" x14ac:dyDescent="0.25">
      <c r="B7711" t="str">
        <f t="shared" si="120"/>
        <v>PRIPopulation ages 55-59, male</v>
      </c>
      <c r="C7711" t="s">
        <v>614</v>
      </c>
      <c r="D7711" t="s">
        <v>615</v>
      </c>
      <c r="E7711" t="s">
        <v>385</v>
      </c>
      <c r="F7711" t="s">
        <v>713</v>
      </c>
      <c r="G7711">
        <v>99000</v>
      </c>
      <c r="H7711">
        <v>101000</v>
      </c>
    </row>
    <row r="7712" spans="2:8" x14ac:dyDescent="0.25">
      <c r="B7712" t="str">
        <f t="shared" si="120"/>
        <v>PRIPopulation ages 55-59, female</v>
      </c>
      <c r="C7712" t="s">
        <v>614</v>
      </c>
      <c r="D7712" t="s">
        <v>615</v>
      </c>
      <c r="E7712" t="s">
        <v>384</v>
      </c>
      <c r="F7712" t="s">
        <v>714</v>
      </c>
      <c r="G7712">
        <v>121000</v>
      </c>
      <c r="H7712">
        <v>124000</v>
      </c>
    </row>
    <row r="7713" spans="2:8" x14ac:dyDescent="0.25">
      <c r="B7713" t="str">
        <f t="shared" si="120"/>
        <v>PRIPopulation ages 65-69, male</v>
      </c>
      <c r="C7713" t="s">
        <v>614</v>
      </c>
      <c r="D7713" t="s">
        <v>615</v>
      </c>
      <c r="E7713" t="s">
        <v>389</v>
      </c>
      <c r="F7713" t="s">
        <v>715</v>
      </c>
      <c r="G7713">
        <v>75000</v>
      </c>
      <c r="H7713">
        <v>78000</v>
      </c>
    </row>
    <row r="7714" spans="2:8" x14ac:dyDescent="0.25">
      <c r="B7714" t="str">
        <f t="shared" si="120"/>
        <v>PRIPopulation ages 65-69, female</v>
      </c>
      <c r="C7714" t="s">
        <v>614</v>
      </c>
      <c r="D7714" t="s">
        <v>615</v>
      </c>
      <c r="E7714" t="s">
        <v>388</v>
      </c>
      <c r="F7714" t="s">
        <v>716</v>
      </c>
      <c r="G7714">
        <v>102000</v>
      </c>
      <c r="H7714">
        <v>106000</v>
      </c>
    </row>
    <row r="7715" spans="2:8" x14ac:dyDescent="0.25">
      <c r="B7715" t="str">
        <f t="shared" si="120"/>
        <v>PRIPopulation ages 60-64, female</v>
      </c>
      <c r="C7715" t="s">
        <v>614</v>
      </c>
      <c r="D7715" t="s">
        <v>615</v>
      </c>
      <c r="E7715" t="s">
        <v>386</v>
      </c>
      <c r="F7715" t="s">
        <v>717</v>
      </c>
      <c r="G7715">
        <v>116000</v>
      </c>
      <c r="H7715">
        <v>121000</v>
      </c>
    </row>
    <row r="7716" spans="2:8" x14ac:dyDescent="0.25">
      <c r="B7716" t="str">
        <f t="shared" si="120"/>
        <v>PRIPopulation ages 60-64, male</v>
      </c>
      <c r="C7716" t="s">
        <v>614</v>
      </c>
      <c r="D7716" t="s">
        <v>615</v>
      </c>
      <c r="E7716" t="s">
        <v>387</v>
      </c>
      <c r="F7716" t="s">
        <v>718</v>
      </c>
      <c r="G7716">
        <v>93000</v>
      </c>
      <c r="H7716">
        <v>97000</v>
      </c>
    </row>
    <row r="7717" spans="2:8" x14ac:dyDescent="0.25">
      <c r="B7717" t="str">
        <f t="shared" si="120"/>
        <v>PRIPopulation ages 70-74, female</v>
      </c>
      <c r="C7717" t="s">
        <v>614</v>
      </c>
      <c r="D7717" t="s">
        <v>615</v>
      </c>
      <c r="E7717" t="s">
        <v>390</v>
      </c>
      <c r="F7717" t="s">
        <v>719</v>
      </c>
      <c r="G7717">
        <v>95000</v>
      </c>
      <c r="H7717">
        <v>100000</v>
      </c>
    </row>
    <row r="7718" spans="2:8" x14ac:dyDescent="0.25">
      <c r="B7718" t="str">
        <f t="shared" si="120"/>
        <v>PRIPopulation ages 70-74, male</v>
      </c>
      <c r="C7718" t="s">
        <v>614</v>
      </c>
      <c r="D7718" t="s">
        <v>615</v>
      </c>
      <c r="E7718" t="s">
        <v>391</v>
      </c>
      <c r="F7718" t="s">
        <v>720</v>
      </c>
      <c r="G7718">
        <v>72000</v>
      </c>
      <c r="H7718">
        <v>75000</v>
      </c>
    </row>
    <row r="7719" spans="2:8" x14ac:dyDescent="0.25">
      <c r="B7719" t="str">
        <f t="shared" si="120"/>
        <v>PRIPopulation ages 75-79, female</v>
      </c>
      <c r="C7719" t="s">
        <v>614</v>
      </c>
      <c r="D7719" t="s">
        <v>615</v>
      </c>
      <c r="E7719" t="s">
        <v>392</v>
      </c>
      <c r="F7719" t="s">
        <v>721</v>
      </c>
      <c r="G7719">
        <v>68000</v>
      </c>
      <c r="H7719">
        <v>74000</v>
      </c>
    </row>
    <row r="7720" spans="2:8" x14ac:dyDescent="0.25">
      <c r="B7720" t="str">
        <f t="shared" si="120"/>
        <v>PRIPopulation ages 75-79, male</v>
      </c>
      <c r="C7720" t="s">
        <v>614</v>
      </c>
      <c r="D7720" t="s">
        <v>615</v>
      </c>
      <c r="E7720" t="s">
        <v>393</v>
      </c>
      <c r="F7720" t="s">
        <v>722</v>
      </c>
      <c r="G7720">
        <v>51000</v>
      </c>
      <c r="H7720">
        <v>55000</v>
      </c>
    </row>
    <row r="7721" spans="2:8" x14ac:dyDescent="0.25">
      <c r="B7721" t="str">
        <f t="shared" si="120"/>
        <v>PRIPopulation ages 80 and above, female</v>
      </c>
      <c r="C7721" t="s">
        <v>614</v>
      </c>
      <c r="D7721" t="s">
        <v>615</v>
      </c>
      <c r="E7721" t="s">
        <v>394</v>
      </c>
      <c r="F7721" t="s">
        <v>723</v>
      </c>
      <c r="G7721">
        <v>103000</v>
      </c>
      <c r="H7721">
        <v>110000</v>
      </c>
    </row>
    <row r="7722" spans="2:8" x14ac:dyDescent="0.25">
      <c r="B7722" t="str">
        <f t="shared" si="120"/>
        <v>PRIPopulation ages 80 and above, male</v>
      </c>
      <c r="C7722" t="s">
        <v>614</v>
      </c>
      <c r="D7722" t="s">
        <v>615</v>
      </c>
      <c r="E7722" t="s">
        <v>395</v>
      </c>
      <c r="F7722" t="s">
        <v>724</v>
      </c>
      <c r="G7722">
        <v>61000</v>
      </c>
      <c r="H7722">
        <v>65000</v>
      </c>
    </row>
    <row r="7723" spans="2:8" x14ac:dyDescent="0.25">
      <c r="B7723" t="str">
        <f t="shared" si="120"/>
        <v>PRIPopulation, male</v>
      </c>
      <c r="C7723" t="s">
        <v>614</v>
      </c>
      <c r="D7723" t="s">
        <v>615</v>
      </c>
      <c r="E7723" t="s">
        <v>397</v>
      </c>
      <c r="F7723" t="s">
        <v>725</v>
      </c>
      <c r="G7723">
        <v>1513000</v>
      </c>
      <c r="H7723">
        <v>1508000</v>
      </c>
    </row>
    <row r="7724" spans="2:8" x14ac:dyDescent="0.25">
      <c r="B7724" t="str">
        <f t="shared" si="120"/>
        <v>PRIPopulation, total</v>
      </c>
      <c r="C7724" t="s">
        <v>614</v>
      </c>
      <c r="D7724" t="s">
        <v>615</v>
      </c>
      <c r="E7724" t="s">
        <v>398</v>
      </c>
      <c r="F7724" t="s">
        <v>726</v>
      </c>
      <c r="G7724">
        <v>3189000</v>
      </c>
      <c r="H7724">
        <v>3184000</v>
      </c>
    </row>
    <row r="7725" spans="2:8" x14ac:dyDescent="0.25">
      <c r="B7725" t="str">
        <f t="shared" si="120"/>
        <v>PRIPopulation, female</v>
      </c>
      <c r="C7725" t="s">
        <v>614</v>
      </c>
      <c r="D7725" t="s">
        <v>615</v>
      </c>
      <c r="E7725" t="s">
        <v>396</v>
      </c>
      <c r="F7725" t="s">
        <v>727</v>
      </c>
      <c r="G7725">
        <v>1676000</v>
      </c>
      <c r="H7725">
        <v>1675000</v>
      </c>
    </row>
    <row r="7726" spans="2:8" x14ac:dyDescent="0.25">
      <c r="B7726" t="str">
        <f t="shared" si="120"/>
        <v>PRIPopulation growth (annual %)</v>
      </c>
      <c r="C7726" t="s">
        <v>614</v>
      </c>
      <c r="D7726" t="s">
        <v>615</v>
      </c>
      <c r="E7726" t="s">
        <v>399</v>
      </c>
      <c r="F7726" t="s">
        <v>728</v>
      </c>
      <c r="G7726">
        <v>0</v>
      </c>
      <c r="H7726">
        <v>0</v>
      </c>
    </row>
    <row r="7727" spans="2:8" x14ac:dyDescent="0.25">
      <c r="B7727" t="str">
        <f t="shared" si="120"/>
        <v>QATPopulation ages 0-14, female</v>
      </c>
      <c r="C7727" t="s">
        <v>616</v>
      </c>
      <c r="D7727" t="s">
        <v>120</v>
      </c>
      <c r="E7727" t="s">
        <v>687</v>
      </c>
      <c r="F7727" t="s">
        <v>688</v>
      </c>
      <c r="G7727">
        <v>188000</v>
      </c>
      <c r="H7727">
        <v>191000</v>
      </c>
    </row>
    <row r="7728" spans="2:8" x14ac:dyDescent="0.25">
      <c r="B7728" t="str">
        <f t="shared" si="120"/>
        <v>QATPopulation ages 0-14, male</v>
      </c>
      <c r="C7728" t="s">
        <v>616</v>
      </c>
      <c r="D7728" t="s">
        <v>120</v>
      </c>
      <c r="E7728" t="s">
        <v>689</v>
      </c>
      <c r="F7728" t="s">
        <v>690</v>
      </c>
      <c r="G7728">
        <v>197000</v>
      </c>
      <c r="H7728">
        <v>202000</v>
      </c>
    </row>
    <row r="7729" spans="2:8" x14ac:dyDescent="0.25">
      <c r="B7729" t="str">
        <f t="shared" si="120"/>
        <v>QATPopulation ages 00-04, female</v>
      </c>
      <c r="C7729" t="s">
        <v>616</v>
      </c>
      <c r="D7729" t="s">
        <v>120</v>
      </c>
      <c r="E7729" t="s">
        <v>362</v>
      </c>
      <c r="F7729" t="s">
        <v>691</v>
      </c>
      <c r="G7729">
        <v>66000</v>
      </c>
      <c r="H7729">
        <v>66000</v>
      </c>
    </row>
    <row r="7730" spans="2:8" x14ac:dyDescent="0.25">
      <c r="B7730" t="str">
        <f t="shared" si="120"/>
        <v>QATPopulation ages 00-04, male</v>
      </c>
      <c r="C7730" t="s">
        <v>616</v>
      </c>
      <c r="D7730" t="s">
        <v>120</v>
      </c>
      <c r="E7730" t="s">
        <v>363</v>
      </c>
      <c r="F7730" t="s">
        <v>692</v>
      </c>
      <c r="G7730">
        <v>69000</v>
      </c>
      <c r="H7730">
        <v>69000</v>
      </c>
    </row>
    <row r="7731" spans="2:8" x14ac:dyDescent="0.25">
      <c r="B7731" t="str">
        <f t="shared" si="120"/>
        <v>QATPopulation ages 05-09, female</v>
      </c>
      <c r="C7731" t="s">
        <v>616</v>
      </c>
      <c r="D7731" t="s">
        <v>120</v>
      </c>
      <c r="E7731" t="s">
        <v>364</v>
      </c>
      <c r="F7731" t="s">
        <v>693</v>
      </c>
      <c r="G7731">
        <v>65000</v>
      </c>
      <c r="H7731">
        <v>66000</v>
      </c>
    </row>
    <row r="7732" spans="2:8" x14ac:dyDescent="0.25">
      <c r="B7732" t="str">
        <f t="shared" si="120"/>
        <v>QATPopulation ages 05-09, male</v>
      </c>
      <c r="C7732" t="s">
        <v>616</v>
      </c>
      <c r="D7732" t="s">
        <v>120</v>
      </c>
      <c r="E7732" t="s">
        <v>365</v>
      </c>
      <c r="F7732" t="s">
        <v>694</v>
      </c>
      <c r="G7732">
        <v>69000</v>
      </c>
      <c r="H7732">
        <v>70000</v>
      </c>
    </row>
    <row r="7733" spans="2:8" x14ac:dyDescent="0.25">
      <c r="B7733" t="str">
        <f t="shared" si="120"/>
        <v>QATPopulation ages 10-14, female</v>
      </c>
      <c r="C7733" t="s">
        <v>616</v>
      </c>
      <c r="D7733" t="s">
        <v>120</v>
      </c>
      <c r="E7733" t="s">
        <v>366</v>
      </c>
      <c r="F7733" t="s">
        <v>695</v>
      </c>
      <c r="G7733">
        <v>57000</v>
      </c>
      <c r="H7733">
        <v>59000</v>
      </c>
    </row>
    <row r="7734" spans="2:8" x14ac:dyDescent="0.25">
      <c r="B7734" t="str">
        <f t="shared" si="120"/>
        <v>QATPopulation ages 10-14, male</v>
      </c>
      <c r="C7734" t="s">
        <v>616</v>
      </c>
      <c r="D7734" t="s">
        <v>120</v>
      </c>
      <c r="E7734" t="s">
        <v>367</v>
      </c>
      <c r="F7734" t="s">
        <v>696</v>
      </c>
      <c r="G7734">
        <v>59000</v>
      </c>
      <c r="H7734">
        <v>63000</v>
      </c>
    </row>
    <row r="7735" spans="2:8" x14ac:dyDescent="0.25">
      <c r="B7735" t="str">
        <f t="shared" si="120"/>
        <v>QATPopulation ages 15-19, female</v>
      </c>
      <c r="C7735" t="s">
        <v>616</v>
      </c>
      <c r="D7735" t="s">
        <v>120</v>
      </c>
      <c r="E7735" t="s">
        <v>368</v>
      </c>
      <c r="F7735" t="s">
        <v>697</v>
      </c>
      <c r="G7735">
        <v>46000</v>
      </c>
      <c r="H7735">
        <v>48000</v>
      </c>
    </row>
    <row r="7736" spans="2:8" x14ac:dyDescent="0.25">
      <c r="B7736" t="str">
        <f t="shared" si="120"/>
        <v>QATPopulation ages 15-19, male</v>
      </c>
      <c r="C7736" t="s">
        <v>616</v>
      </c>
      <c r="D7736" t="s">
        <v>120</v>
      </c>
      <c r="E7736" t="s">
        <v>369</v>
      </c>
      <c r="F7736" t="s">
        <v>698</v>
      </c>
      <c r="G7736">
        <v>68000</v>
      </c>
      <c r="H7736">
        <v>58000</v>
      </c>
    </row>
    <row r="7737" spans="2:8" x14ac:dyDescent="0.25">
      <c r="B7737" t="str">
        <f t="shared" si="120"/>
        <v>QATPopulation ages 20-24, female</v>
      </c>
      <c r="C7737" t="s">
        <v>616</v>
      </c>
      <c r="D7737" t="s">
        <v>120</v>
      </c>
      <c r="E7737" t="s">
        <v>370</v>
      </c>
      <c r="F7737" t="s">
        <v>699</v>
      </c>
      <c r="G7737">
        <v>49000</v>
      </c>
      <c r="H7737">
        <v>48000</v>
      </c>
    </row>
    <row r="7738" spans="2:8" x14ac:dyDescent="0.25">
      <c r="B7738" t="str">
        <f t="shared" si="120"/>
        <v>QATPopulation ages 20-24, male</v>
      </c>
      <c r="C7738" t="s">
        <v>616</v>
      </c>
      <c r="D7738" t="s">
        <v>120</v>
      </c>
      <c r="E7738" t="s">
        <v>371</v>
      </c>
      <c r="F7738" t="s">
        <v>700</v>
      </c>
      <c r="G7738">
        <v>204000</v>
      </c>
      <c r="H7738">
        <v>189000</v>
      </c>
    </row>
    <row r="7739" spans="2:8" x14ac:dyDescent="0.25">
      <c r="B7739" t="str">
        <f t="shared" si="120"/>
        <v>QATPopulation ages 25-29, female</v>
      </c>
      <c r="C7739" t="s">
        <v>616</v>
      </c>
      <c r="D7739" t="s">
        <v>120</v>
      </c>
      <c r="E7739" t="s">
        <v>372</v>
      </c>
      <c r="F7739" t="s">
        <v>701</v>
      </c>
      <c r="G7739">
        <v>74000</v>
      </c>
      <c r="H7739">
        <v>73000</v>
      </c>
    </row>
    <row r="7740" spans="2:8" x14ac:dyDescent="0.25">
      <c r="B7740" t="str">
        <f t="shared" si="120"/>
        <v>QATPopulation ages 25-29, male</v>
      </c>
      <c r="C7740" t="s">
        <v>616</v>
      </c>
      <c r="D7740" t="s">
        <v>120</v>
      </c>
      <c r="E7740" t="s">
        <v>373</v>
      </c>
      <c r="F7740" t="s">
        <v>702</v>
      </c>
      <c r="G7740">
        <v>393000</v>
      </c>
      <c r="H7740">
        <v>407000</v>
      </c>
    </row>
    <row r="7741" spans="2:8" x14ac:dyDescent="0.25">
      <c r="B7741" t="str">
        <f t="shared" si="120"/>
        <v>QATPopulation ages 30-34, female</v>
      </c>
      <c r="C7741" t="s">
        <v>616</v>
      </c>
      <c r="D7741" t="s">
        <v>120</v>
      </c>
      <c r="E7741" t="s">
        <v>374</v>
      </c>
      <c r="F7741" t="s">
        <v>703</v>
      </c>
      <c r="G7741">
        <v>93000</v>
      </c>
      <c r="H7741">
        <v>94000</v>
      </c>
    </row>
    <row r="7742" spans="2:8" x14ac:dyDescent="0.25">
      <c r="B7742" t="str">
        <f t="shared" si="120"/>
        <v>QATPopulation ages 30-34, male</v>
      </c>
      <c r="C7742" t="s">
        <v>616</v>
      </c>
      <c r="D7742" t="s">
        <v>120</v>
      </c>
      <c r="E7742" t="s">
        <v>375</v>
      </c>
      <c r="F7742" t="s">
        <v>704</v>
      </c>
      <c r="G7742">
        <v>382000</v>
      </c>
      <c r="H7742">
        <v>401000</v>
      </c>
    </row>
    <row r="7743" spans="2:8" x14ac:dyDescent="0.25">
      <c r="B7743" t="str">
        <f t="shared" si="120"/>
        <v>QATPopulation ages 35-39, female</v>
      </c>
      <c r="C7743" t="s">
        <v>616</v>
      </c>
      <c r="D7743" t="s">
        <v>120</v>
      </c>
      <c r="E7743" t="s">
        <v>376</v>
      </c>
      <c r="F7743" t="s">
        <v>705</v>
      </c>
      <c r="G7743">
        <v>83000</v>
      </c>
      <c r="H7743">
        <v>87000</v>
      </c>
    </row>
    <row r="7744" spans="2:8" x14ac:dyDescent="0.25">
      <c r="B7744" t="str">
        <f t="shared" si="120"/>
        <v>QATPopulation ages 35-39, male</v>
      </c>
      <c r="C7744" t="s">
        <v>616</v>
      </c>
      <c r="D7744" t="s">
        <v>120</v>
      </c>
      <c r="E7744" t="s">
        <v>377</v>
      </c>
      <c r="F7744" t="s">
        <v>706</v>
      </c>
      <c r="G7744">
        <v>262000</v>
      </c>
      <c r="H7744">
        <v>264000</v>
      </c>
    </row>
    <row r="7745" spans="2:8" x14ac:dyDescent="0.25">
      <c r="B7745" t="str">
        <f t="shared" si="120"/>
        <v>QATPopulation ages 40-44, female</v>
      </c>
      <c r="C7745" t="s">
        <v>616</v>
      </c>
      <c r="D7745" t="s">
        <v>120</v>
      </c>
      <c r="E7745" t="s">
        <v>378</v>
      </c>
      <c r="F7745" t="s">
        <v>707</v>
      </c>
      <c r="G7745">
        <v>56000</v>
      </c>
      <c r="H7745">
        <v>58000</v>
      </c>
    </row>
    <row r="7746" spans="2:8" x14ac:dyDescent="0.25">
      <c r="B7746" t="str">
        <f t="shared" si="120"/>
        <v>QATPopulation ages 40-44, male</v>
      </c>
      <c r="C7746" t="s">
        <v>616</v>
      </c>
      <c r="D7746" t="s">
        <v>120</v>
      </c>
      <c r="E7746" t="s">
        <v>379</v>
      </c>
      <c r="F7746" t="s">
        <v>708</v>
      </c>
      <c r="G7746">
        <v>201000</v>
      </c>
      <c r="H7746">
        <v>197000</v>
      </c>
    </row>
    <row r="7747" spans="2:8" x14ac:dyDescent="0.25">
      <c r="B7747" t="str">
        <f t="shared" si="120"/>
        <v>QATPopulation ages 45-49, female</v>
      </c>
      <c r="C7747" t="s">
        <v>616</v>
      </c>
      <c r="D7747" t="s">
        <v>120</v>
      </c>
      <c r="E7747" t="s">
        <v>380</v>
      </c>
      <c r="F7747" t="s">
        <v>709</v>
      </c>
      <c r="G7747">
        <v>41000</v>
      </c>
      <c r="H7747">
        <v>42000</v>
      </c>
    </row>
    <row r="7748" spans="2:8" x14ac:dyDescent="0.25">
      <c r="B7748" t="str">
        <f t="shared" si="120"/>
        <v>QATPopulation ages 45-49, male</v>
      </c>
      <c r="C7748" t="s">
        <v>616</v>
      </c>
      <c r="D7748" t="s">
        <v>120</v>
      </c>
      <c r="E7748" t="s">
        <v>381</v>
      </c>
      <c r="F7748" t="s">
        <v>710</v>
      </c>
      <c r="G7748">
        <v>165000</v>
      </c>
      <c r="H7748">
        <v>165000</v>
      </c>
    </row>
    <row r="7749" spans="2:8" x14ac:dyDescent="0.25">
      <c r="B7749" t="str">
        <f t="shared" si="120"/>
        <v>QATPopulation ages 50-54, female</v>
      </c>
      <c r="C7749" t="s">
        <v>616</v>
      </c>
      <c r="D7749" t="s">
        <v>120</v>
      </c>
      <c r="E7749" t="s">
        <v>382</v>
      </c>
      <c r="F7749" t="s">
        <v>711</v>
      </c>
      <c r="G7749">
        <v>30000</v>
      </c>
      <c r="H7749">
        <v>31000</v>
      </c>
    </row>
    <row r="7750" spans="2:8" x14ac:dyDescent="0.25">
      <c r="B7750" t="str">
        <f t="shared" si="120"/>
        <v>QATPopulation ages 50-54, male</v>
      </c>
      <c r="C7750" t="s">
        <v>616</v>
      </c>
      <c r="D7750" t="s">
        <v>120</v>
      </c>
      <c r="E7750" t="s">
        <v>383</v>
      </c>
      <c r="F7750" t="s">
        <v>712</v>
      </c>
      <c r="G7750">
        <v>118000</v>
      </c>
      <c r="H7750">
        <v>125000</v>
      </c>
    </row>
    <row r="7751" spans="2:8" x14ac:dyDescent="0.25">
      <c r="B7751" t="str">
        <f t="shared" ref="B7751:B7814" si="121">CONCATENATE(D7751,E7751)</f>
        <v>QATPopulation ages 55-59, male</v>
      </c>
      <c r="C7751" t="s">
        <v>616</v>
      </c>
      <c r="D7751" t="s">
        <v>120</v>
      </c>
      <c r="E7751" t="s">
        <v>385</v>
      </c>
      <c r="F7751" t="s">
        <v>713</v>
      </c>
      <c r="G7751">
        <v>74000</v>
      </c>
      <c r="H7751">
        <v>79000</v>
      </c>
    </row>
    <row r="7752" spans="2:8" x14ac:dyDescent="0.25">
      <c r="B7752" t="str">
        <f t="shared" si="121"/>
        <v>QATPopulation ages 55-59, female</v>
      </c>
      <c r="C7752" t="s">
        <v>616</v>
      </c>
      <c r="D7752" t="s">
        <v>120</v>
      </c>
      <c r="E7752" t="s">
        <v>384</v>
      </c>
      <c r="F7752" t="s">
        <v>714</v>
      </c>
      <c r="G7752">
        <v>18000</v>
      </c>
      <c r="H7752">
        <v>19000</v>
      </c>
    </row>
    <row r="7753" spans="2:8" x14ac:dyDescent="0.25">
      <c r="B7753" t="str">
        <f t="shared" si="121"/>
        <v>QATPopulation ages 65-69, male</v>
      </c>
      <c r="C7753" t="s">
        <v>616</v>
      </c>
      <c r="D7753" t="s">
        <v>120</v>
      </c>
      <c r="E7753" t="s">
        <v>389</v>
      </c>
      <c r="F7753" t="s">
        <v>715</v>
      </c>
      <c r="G7753">
        <v>20000</v>
      </c>
      <c r="H7753">
        <v>22000</v>
      </c>
    </row>
    <row r="7754" spans="2:8" x14ac:dyDescent="0.25">
      <c r="B7754" t="str">
        <f t="shared" si="121"/>
        <v>QATPopulation ages 65-69, female</v>
      </c>
      <c r="C7754" t="s">
        <v>616</v>
      </c>
      <c r="D7754" t="s">
        <v>120</v>
      </c>
      <c r="E7754" t="s">
        <v>388</v>
      </c>
      <c r="F7754" t="s">
        <v>716</v>
      </c>
      <c r="G7754">
        <v>5400</v>
      </c>
      <c r="H7754">
        <v>5900</v>
      </c>
    </row>
    <row r="7755" spans="2:8" x14ac:dyDescent="0.25">
      <c r="B7755" t="str">
        <f t="shared" si="121"/>
        <v>QATPopulation ages 60-64, female</v>
      </c>
      <c r="C7755" t="s">
        <v>616</v>
      </c>
      <c r="D7755" t="s">
        <v>120</v>
      </c>
      <c r="E7755" t="s">
        <v>386</v>
      </c>
      <c r="F7755" t="s">
        <v>717</v>
      </c>
      <c r="G7755">
        <v>9500</v>
      </c>
      <c r="H7755">
        <v>11000</v>
      </c>
    </row>
    <row r="7756" spans="2:8" x14ac:dyDescent="0.25">
      <c r="B7756" t="str">
        <f t="shared" si="121"/>
        <v>QATPopulation ages 60-64, male</v>
      </c>
      <c r="C7756" t="s">
        <v>616</v>
      </c>
      <c r="D7756" t="s">
        <v>120</v>
      </c>
      <c r="E7756" t="s">
        <v>387</v>
      </c>
      <c r="F7756" t="s">
        <v>718</v>
      </c>
      <c r="G7756">
        <v>40000</v>
      </c>
      <c r="H7756">
        <v>43000</v>
      </c>
    </row>
    <row r="7757" spans="2:8" x14ac:dyDescent="0.25">
      <c r="B7757" t="str">
        <f t="shared" si="121"/>
        <v>QATPopulation ages 70-74, female</v>
      </c>
      <c r="C7757" t="s">
        <v>616</v>
      </c>
      <c r="D7757" t="s">
        <v>120</v>
      </c>
      <c r="E7757" t="s">
        <v>390</v>
      </c>
      <c r="F7757" t="s">
        <v>719</v>
      </c>
      <c r="G7757">
        <v>3500</v>
      </c>
      <c r="H7757">
        <v>3800</v>
      </c>
    </row>
    <row r="7758" spans="2:8" x14ac:dyDescent="0.25">
      <c r="B7758" t="str">
        <f t="shared" si="121"/>
        <v>QATPopulation ages 70-74, male</v>
      </c>
      <c r="C7758" t="s">
        <v>616</v>
      </c>
      <c r="D7758" t="s">
        <v>120</v>
      </c>
      <c r="E7758" t="s">
        <v>391</v>
      </c>
      <c r="F7758" t="s">
        <v>720</v>
      </c>
      <c r="G7758">
        <v>7500</v>
      </c>
      <c r="H7758">
        <v>9100</v>
      </c>
    </row>
    <row r="7759" spans="2:8" x14ac:dyDescent="0.25">
      <c r="B7759" t="str">
        <f t="shared" si="121"/>
        <v>QATPopulation ages 75-79, female</v>
      </c>
      <c r="C7759" t="s">
        <v>616</v>
      </c>
      <c r="D7759" t="s">
        <v>120</v>
      </c>
      <c r="E7759" t="s">
        <v>392</v>
      </c>
      <c r="F7759" t="s">
        <v>721</v>
      </c>
      <c r="G7759">
        <v>1700</v>
      </c>
      <c r="H7759">
        <v>1800</v>
      </c>
    </row>
    <row r="7760" spans="2:8" x14ac:dyDescent="0.25">
      <c r="B7760" t="str">
        <f t="shared" si="121"/>
        <v>QATPopulation ages 75-79, male</v>
      </c>
      <c r="C7760" t="s">
        <v>616</v>
      </c>
      <c r="D7760" t="s">
        <v>120</v>
      </c>
      <c r="E7760" t="s">
        <v>393</v>
      </c>
      <c r="F7760" t="s">
        <v>722</v>
      </c>
      <c r="G7760">
        <v>1600</v>
      </c>
      <c r="H7760">
        <v>2000</v>
      </c>
    </row>
    <row r="7761" spans="2:8" x14ac:dyDescent="0.25">
      <c r="B7761" t="str">
        <f t="shared" si="121"/>
        <v>QATPopulation ages 80 and above, female</v>
      </c>
      <c r="C7761" t="s">
        <v>616</v>
      </c>
      <c r="D7761" t="s">
        <v>120</v>
      </c>
      <c r="E7761" t="s">
        <v>394</v>
      </c>
      <c r="F7761" t="s">
        <v>723</v>
      </c>
      <c r="G7761">
        <v>2100</v>
      </c>
      <c r="H7761">
        <v>2200</v>
      </c>
    </row>
    <row r="7762" spans="2:8" x14ac:dyDescent="0.25">
      <c r="B7762" t="str">
        <f t="shared" si="121"/>
        <v>QATPopulation ages 80 and above, male</v>
      </c>
      <c r="C7762" t="s">
        <v>616</v>
      </c>
      <c r="D7762" t="s">
        <v>120</v>
      </c>
      <c r="E7762" t="s">
        <v>395</v>
      </c>
      <c r="F7762" t="s">
        <v>724</v>
      </c>
      <c r="G7762">
        <v>1900</v>
      </c>
      <c r="H7762">
        <v>1900</v>
      </c>
    </row>
    <row r="7763" spans="2:8" x14ac:dyDescent="0.25">
      <c r="B7763" t="str">
        <f t="shared" si="121"/>
        <v>QATPopulation, male</v>
      </c>
      <c r="C7763" t="s">
        <v>616</v>
      </c>
      <c r="D7763" t="s">
        <v>120</v>
      </c>
      <c r="E7763" t="s">
        <v>397</v>
      </c>
      <c r="F7763" t="s">
        <v>725</v>
      </c>
      <c r="G7763">
        <v>2134000</v>
      </c>
      <c r="H7763">
        <v>2165000</v>
      </c>
    </row>
    <row r="7764" spans="2:8" x14ac:dyDescent="0.25">
      <c r="B7764" t="str">
        <f t="shared" si="121"/>
        <v>QATPopulation, total</v>
      </c>
      <c r="C7764" t="s">
        <v>616</v>
      </c>
      <c r="D7764" t="s">
        <v>120</v>
      </c>
      <c r="E7764" t="s">
        <v>398</v>
      </c>
      <c r="F7764" t="s">
        <v>726</v>
      </c>
      <c r="G7764">
        <v>2832000</v>
      </c>
      <c r="H7764">
        <v>2881000</v>
      </c>
    </row>
    <row r="7765" spans="2:8" x14ac:dyDescent="0.25">
      <c r="B7765" t="str">
        <f t="shared" si="121"/>
        <v>QATPopulation, female</v>
      </c>
      <c r="C7765" t="s">
        <v>616</v>
      </c>
      <c r="D7765" t="s">
        <v>120</v>
      </c>
      <c r="E7765" t="s">
        <v>396</v>
      </c>
      <c r="F7765" t="s">
        <v>727</v>
      </c>
      <c r="G7765">
        <v>699000</v>
      </c>
      <c r="H7765">
        <v>716000</v>
      </c>
    </row>
    <row r="7766" spans="2:8" x14ac:dyDescent="0.25">
      <c r="B7766" t="str">
        <f t="shared" si="121"/>
        <v>QATPopulation growth (annual %)</v>
      </c>
      <c r="C7766" t="s">
        <v>616</v>
      </c>
      <c r="D7766" t="s">
        <v>120</v>
      </c>
      <c r="E7766" t="s">
        <v>399</v>
      </c>
      <c r="F7766" t="s">
        <v>728</v>
      </c>
      <c r="G7766">
        <v>0</v>
      </c>
      <c r="H7766">
        <v>0</v>
      </c>
    </row>
    <row r="7767" spans="2:8" x14ac:dyDescent="0.25">
      <c r="B7767" t="str">
        <f t="shared" si="121"/>
        <v>ROUPopulation ages 0-14, female</v>
      </c>
      <c r="C7767" t="s">
        <v>617</v>
      </c>
      <c r="D7767" t="s">
        <v>121</v>
      </c>
      <c r="E7767" t="s">
        <v>687</v>
      </c>
      <c r="F7767" t="s">
        <v>688</v>
      </c>
      <c r="G7767">
        <v>1466000</v>
      </c>
      <c r="H7767">
        <v>1452000</v>
      </c>
    </row>
    <row r="7768" spans="2:8" x14ac:dyDescent="0.25">
      <c r="B7768" t="str">
        <f t="shared" si="121"/>
        <v>ROUPopulation ages 0-14, male</v>
      </c>
      <c r="C7768" t="s">
        <v>617</v>
      </c>
      <c r="D7768" t="s">
        <v>121</v>
      </c>
      <c r="E7768" t="s">
        <v>689</v>
      </c>
      <c r="F7768" t="s">
        <v>690</v>
      </c>
      <c r="G7768">
        <v>1549000</v>
      </c>
      <c r="H7768">
        <v>1535000</v>
      </c>
    </row>
    <row r="7769" spans="2:8" x14ac:dyDescent="0.25">
      <c r="B7769" t="str">
        <f t="shared" si="121"/>
        <v>ROUPopulation ages 00-04, female</v>
      </c>
      <c r="C7769" t="s">
        <v>617</v>
      </c>
      <c r="D7769" t="s">
        <v>121</v>
      </c>
      <c r="E7769" t="s">
        <v>362</v>
      </c>
      <c r="F7769" t="s">
        <v>691</v>
      </c>
      <c r="G7769">
        <v>457000</v>
      </c>
      <c r="H7769">
        <v>457000</v>
      </c>
    </row>
    <row r="7770" spans="2:8" x14ac:dyDescent="0.25">
      <c r="B7770" t="str">
        <f t="shared" si="121"/>
        <v>ROUPopulation ages 00-04, male</v>
      </c>
      <c r="C7770" t="s">
        <v>617</v>
      </c>
      <c r="D7770" t="s">
        <v>121</v>
      </c>
      <c r="E7770" t="s">
        <v>363</v>
      </c>
      <c r="F7770" t="s">
        <v>692</v>
      </c>
      <c r="G7770">
        <v>483000</v>
      </c>
      <c r="H7770">
        <v>483000</v>
      </c>
    </row>
    <row r="7771" spans="2:8" x14ac:dyDescent="0.25">
      <c r="B7771" t="str">
        <f t="shared" si="121"/>
        <v>ROUPopulation ages 05-09, female</v>
      </c>
      <c r="C7771" t="s">
        <v>617</v>
      </c>
      <c r="D7771" t="s">
        <v>121</v>
      </c>
      <c r="E7771" t="s">
        <v>364</v>
      </c>
      <c r="F7771" t="s">
        <v>693</v>
      </c>
      <c r="G7771">
        <v>485000</v>
      </c>
      <c r="H7771">
        <v>469000</v>
      </c>
    </row>
    <row r="7772" spans="2:8" x14ac:dyDescent="0.25">
      <c r="B7772" t="str">
        <f t="shared" si="121"/>
        <v>ROUPopulation ages 05-09, male</v>
      </c>
      <c r="C7772" t="s">
        <v>617</v>
      </c>
      <c r="D7772" t="s">
        <v>121</v>
      </c>
      <c r="E7772" t="s">
        <v>365</v>
      </c>
      <c r="F7772" t="s">
        <v>694</v>
      </c>
      <c r="G7772">
        <v>513000</v>
      </c>
      <c r="H7772">
        <v>497000</v>
      </c>
    </row>
    <row r="7773" spans="2:8" x14ac:dyDescent="0.25">
      <c r="B7773" t="str">
        <f t="shared" si="121"/>
        <v>ROUPopulation ages 10-14, female</v>
      </c>
      <c r="C7773" t="s">
        <v>617</v>
      </c>
      <c r="D7773" t="s">
        <v>121</v>
      </c>
      <c r="E7773" t="s">
        <v>366</v>
      </c>
      <c r="F7773" t="s">
        <v>695</v>
      </c>
      <c r="G7773">
        <v>523000</v>
      </c>
      <c r="H7773">
        <v>526000</v>
      </c>
    </row>
    <row r="7774" spans="2:8" x14ac:dyDescent="0.25">
      <c r="B7774" t="str">
        <f t="shared" si="121"/>
        <v>ROUPopulation ages 10-14, male</v>
      </c>
      <c r="C7774" t="s">
        <v>617</v>
      </c>
      <c r="D7774" t="s">
        <v>121</v>
      </c>
      <c r="E7774" t="s">
        <v>367</v>
      </c>
      <c r="F7774" t="s">
        <v>696</v>
      </c>
      <c r="G7774">
        <v>553000</v>
      </c>
      <c r="H7774">
        <v>556000</v>
      </c>
    </row>
    <row r="7775" spans="2:8" x14ac:dyDescent="0.25">
      <c r="B7775" t="str">
        <f t="shared" si="121"/>
        <v>ROUPopulation ages 15-19, female</v>
      </c>
      <c r="C7775" t="s">
        <v>617</v>
      </c>
      <c r="D7775" t="s">
        <v>121</v>
      </c>
      <c r="E7775" t="s">
        <v>368</v>
      </c>
      <c r="F7775" t="s">
        <v>697</v>
      </c>
      <c r="G7775">
        <v>482000</v>
      </c>
      <c r="H7775">
        <v>483000</v>
      </c>
    </row>
    <row r="7776" spans="2:8" x14ac:dyDescent="0.25">
      <c r="B7776" t="str">
        <f t="shared" si="121"/>
        <v>ROUPopulation ages 15-19, male</v>
      </c>
      <c r="C7776" t="s">
        <v>617</v>
      </c>
      <c r="D7776" t="s">
        <v>121</v>
      </c>
      <c r="E7776" t="s">
        <v>369</v>
      </c>
      <c r="F7776" t="s">
        <v>698</v>
      </c>
      <c r="G7776">
        <v>510000</v>
      </c>
      <c r="H7776">
        <v>512000</v>
      </c>
    </row>
    <row r="7777" spans="2:8" x14ac:dyDescent="0.25">
      <c r="B7777" t="str">
        <f t="shared" si="121"/>
        <v>ROUPopulation ages 20-24, female</v>
      </c>
      <c r="C7777" t="s">
        <v>617</v>
      </c>
      <c r="D7777" t="s">
        <v>121</v>
      </c>
      <c r="E7777" t="s">
        <v>370</v>
      </c>
      <c r="F7777" t="s">
        <v>699</v>
      </c>
      <c r="G7777">
        <v>494000</v>
      </c>
      <c r="H7777">
        <v>488000</v>
      </c>
    </row>
    <row r="7778" spans="2:8" x14ac:dyDescent="0.25">
      <c r="B7778" t="str">
        <f t="shared" si="121"/>
        <v>ROUPopulation ages 20-24, male</v>
      </c>
      <c r="C7778" t="s">
        <v>617</v>
      </c>
      <c r="D7778" t="s">
        <v>121</v>
      </c>
      <c r="E7778" t="s">
        <v>371</v>
      </c>
      <c r="F7778" t="s">
        <v>700</v>
      </c>
      <c r="G7778">
        <v>531000</v>
      </c>
      <c r="H7778">
        <v>523000</v>
      </c>
    </row>
    <row r="7779" spans="2:8" x14ac:dyDescent="0.25">
      <c r="B7779" t="str">
        <f t="shared" si="121"/>
        <v>ROUPopulation ages 25-29, female</v>
      </c>
      <c r="C7779" t="s">
        <v>617</v>
      </c>
      <c r="D7779" t="s">
        <v>121</v>
      </c>
      <c r="E7779" t="s">
        <v>372</v>
      </c>
      <c r="F7779" t="s">
        <v>701</v>
      </c>
      <c r="G7779">
        <v>548000</v>
      </c>
      <c r="H7779">
        <v>514000</v>
      </c>
    </row>
    <row r="7780" spans="2:8" x14ac:dyDescent="0.25">
      <c r="B7780" t="str">
        <f t="shared" si="121"/>
        <v>ROUPopulation ages 25-29, male</v>
      </c>
      <c r="C7780" t="s">
        <v>617</v>
      </c>
      <c r="D7780" t="s">
        <v>121</v>
      </c>
      <c r="E7780" t="s">
        <v>373</v>
      </c>
      <c r="F7780" t="s">
        <v>702</v>
      </c>
      <c r="G7780">
        <v>601000</v>
      </c>
      <c r="H7780">
        <v>563000</v>
      </c>
    </row>
    <row r="7781" spans="2:8" x14ac:dyDescent="0.25">
      <c r="B7781" t="str">
        <f t="shared" si="121"/>
        <v>ROUPopulation ages 30-34, female</v>
      </c>
      <c r="C7781" t="s">
        <v>617</v>
      </c>
      <c r="D7781" t="s">
        <v>121</v>
      </c>
      <c r="E7781" t="s">
        <v>374</v>
      </c>
      <c r="F7781" t="s">
        <v>703</v>
      </c>
      <c r="G7781">
        <v>667000</v>
      </c>
      <c r="H7781">
        <v>667000</v>
      </c>
    </row>
    <row r="7782" spans="2:8" x14ac:dyDescent="0.25">
      <c r="B7782" t="str">
        <f t="shared" si="121"/>
        <v>ROUPopulation ages 30-34, male</v>
      </c>
      <c r="C7782" t="s">
        <v>617</v>
      </c>
      <c r="D7782" t="s">
        <v>121</v>
      </c>
      <c r="E7782" t="s">
        <v>375</v>
      </c>
      <c r="F7782" t="s">
        <v>704</v>
      </c>
      <c r="G7782">
        <v>727000</v>
      </c>
      <c r="H7782">
        <v>730000</v>
      </c>
    </row>
    <row r="7783" spans="2:8" x14ac:dyDescent="0.25">
      <c r="B7783" t="str">
        <f t="shared" si="121"/>
        <v>ROUPopulation ages 35-39, female</v>
      </c>
      <c r="C7783" t="s">
        <v>617</v>
      </c>
      <c r="D7783" t="s">
        <v>121</v>
      </c>
      <c r="E7783" t="s">
        <v>376</v>
      </c>
      <c r="F7783" t="s">
        <v>705</v>
      </c>
      <c r="G7783">
        <v>597000</v>
      </c>
      <c r="H7783">
        <v>577000</v>
      </c>
    </row>
    <row r="7784" spans="2:8" x14ac:dyDescent="0.25">
      <c r="B7784" t="str">
        <f t="shared" si="121"/>
        <v>ROUPopulation ages 35-39, male</v>
      </c>
      <c r="C7784" t="s">
        <v>617</v>
      </c>
      <c r="D7784" t="s">
        <v>121</v>
      </c>
      <c r="E7784" t="s">
        <v>377</v>
      </c>
      <c r="F7784" t="s">
        <v>706</v>
      </c>
      <c r="G7784">
        <v>630000</v>
      </c>
      <c r="H7784">
        <v>614000</v>
      </c>
    </row>
    <row r="7785" spans="2:8" x14ac:dyDescent="0.25">
      <c r="B7785" t="str">
        <f t="shared" si="121"/>
        <v>ROUPopulation ages 40-44, female</v>
      </c>
      <c r="C7785" t="s">
        <v>617</v>
      </c>
      <c r="D7785" t="s">
        <v>121</v>
      </c>
      <c r="E7785" t="s">
        <v>378</v>
      </c>
      <c r="F7785" t="s">
        <v>707</v>
      </c>
      <c r="G7785">
        <v>766000</v>
      </c>
      <c r="H7785">
        <v>750000</v>
      </c>
    </row>
    <row r="7786" spans="2:8" x14ac:dyDescent="0.25">
      <c r="B7786" t="str">
        <f t="shared" si="121"/>
        <v>ROUPopulation ages 40-44, male</v>
      </c>
      <c r="C7786" t="s">
        <v>617</v>
      </c>
      <c r="D7786" t="s">
        <v>121</v>
      </c>
      <c r="E7786" t="s">
        <v>379</v>
      </c>
      <c r="F7786" t="s">
        <v>708</v>
      </c>
      <c r="G7786">
        <v>790000</v>
      </c>
      <c r="H7786">
        <v>774000</v>
      </c>
    </row>
    <row r="7787" spans="2:8" x14ac:dyDescent="0.25">
      <c r="B7787" t="str">
        <f t="shared" si="121"/>
        <v>ROUPopulation ages 45-49, female</v>
      </c>
      <c r="C7787" t="s">
        <v>617</v>
      </c>
      <c r="D7787" t="s">
        <v>121</v>
      </c>
      <c r="E7787" t="s">
        <v>380</v>
      </c>
      <c r="F7787" t="s">
        <v>709</v>
      </c>
      <c r="G7787">
        <v>749000</v>
      </c>
      <c r="H7787">
        <v>741000</v>
      </c>
    </row>
    <row r="7788" spans="2:8" x14ac:dyDescent="0.25">
      <c r="B7788" t="str">
        <f t="shared" si="121"/>
        <v>ROUPopulation ages 45-49, male</v>
      </c>
      <c r="C7788" t="s">
        <v>617</v>
      </c>
      <c r="D7788" t="s">
        <v>121</v>
      </c>
      <c r="E7788" t="s">
        <v>381</v>
      </c>
      <c r="F7788" t="s">
        <v>710</v>
      </c>
      <c r="G7788">
        <v>770000</v>
      </c>
      <c r="H7788">
        <v>763000</v>
      </c>
    </row>
    <row r="7789" spans="2:8" x14ac:dyDescent="0.25">
      <c r="B7789" t="str">
        <f t="shared" si="121"/>
        <v>ROUPopulation ages 50-54, female</v>
      </c>
      <c r="C7789" t="s">
        <v>617</v>
      </c>
      <c r="D7789" t="s">
        <v>121</v>
      </c>
      <c r="E7789" t="s">
        <v>382</v>
      </c>
      <c r="F7789" t="s">
        <v>711</v>
      </c>
      <c r="G7789">
        <v>731000</v>
      </c>
      <c r="H7789">
        <v>765000</v>
      </c>
    </row>
    <row r="7790" spans="2:8" x14ac:dyDescent="0.25">
      <c r="B7790" t="str">
        <f t="shared" si="121"/>
        <v>ROUPopulation ages 50-54, male</v>
      </c>
      <c r="C7790" t="s">
        <v>617</v>
      </c>
      <c r="D7790" t="s">
        <v>121</v>
      </c>
      <c r="E7790" t="s">
        <v>383</v>
      </c>
      <c r="F7790" t="s">
        <v>712</v>
      </c>
      <c r="G7790">
        <v>727000</v>
      </c>
      <c r="H7790">
        <v>762000</v>
      </c>
    </row>
    <row r="7791" spans="2:8" x14ac:dyDescent="0.25">
      <c r="B7791" t="str">
        <f t="shared" si="121"/>
        <v>ROUPopulation ages 55-59, male</v>
      </c>
      <c r="C7791" t="s">
        <v>617</v>
      </c>
      <c r="D7791" t="s">
        <v>121</v>
      </c>
      <c r="E7791" t="s">
        <v>385</v>
      </c>
      <c r="F7791" t="s">
        <v>713</v>
      </c>
      <c r="G7791">
        <v>506000</v>
      </c>
      <c r="H7791">
        <v>506000</v>
      </c>
    </row>
    <row r="7792" spans="2:8" x14ac:dyDescent="0.25">
      <c r="B7792" t="str">
        <f t="shared" si="121"/>
        <v>ROUPopulation ages 55-59, female</v>
      </c>
      <c r="C7792" t="s">
        <v>617</v>
      </c>
      <c r="D7792" t="s">
        <v>121</v>
      </c>
      <c r="E7792" t="s">
        <v>384</v>
      </c>
      <c r="F7792" t="s">
        <v>714</v>
      </c>
      <c r="G7792">
        <v>544000</v>
      </c>
      <c r="H7792">
        <v>538000</v>
      </c>
    </row>
    <row r="7793" spans="2:8" x14ac:dyDescent="0.25">
      <c r="B7793" t="str">
        <f t="shared" si="121"/>
        <v>ROUPopulation ages 65-69, male</v>
      </c>
      <c r="C7793" t="s">
        <v>617</v>
      </c>
      <c r="D7793" t="s">
        <v>121</v>
      </c>
      <c r="E7793" t="s">
        <v>389</v>
      </c>
      <c r="F7793" t="s">
        <v>715</v>
      </c>
      <c r="G7793">
        <v>538000</v>
      </c>
      <c r="H7793">
        <v>548000</v>
      </c>
    </row>
    <row r="7794" spans="2:8" x14ac:dyDescent="0.25">
      <c r="B7794" t="str">
        <f t="shared" si="121"/>
        <v>ROUPopulation ages 65-69, female</v>
      </c>
      <c r="C7794" t="s">
        <v>617</v>
      </c>
      <c r="D7794" t="s">
        <v>121</v>
      </c>
      <c r="E7794" t="s">
        <v>388</v>
      </c>
      <c r="F7794" t="s">
        <v>716</v>
      </c>
      <c r="G7794">
        <v>685000</v>
      </c>
      <c r="H7794">
        <v>698000</v>
      </c>
    </row>
    <row r="7795" spans="2:8" x14ac:dyDescent="0.25">
      <c r="B7795" t="str">
        <f t="shared" si="121"/>
        <v>ROUPopulation ages 60-64, female</v>
      </c>
      <c r="C7795" t="s">
        <v>617</v>
      </c>
      <c r="D7795" t="s">
        <v>121</v>
      </c>
      <c r="E7795" t="s">
        <v>386</v>
      </c>
      <c r="F7795" t="s">
        <v>717</v>
      </c>
      <c r="G7795">
        <v>720000</v>
      </c>
      <c r="H7795">
        <v>694000</v>
      </c>
    </row>
    <row r="7796" spans="2:8" x14ac:dyDescent="0.25">
      <c r="B7796" t="str">
        <f t="shared" si="121"/>
        <v>ROUPopulation ages 60-64, male</v>
      </c>
      <c r="C7796" t="s">
        <v>617</v>
      </c>
      <c r="D7796" t="s">
        <v>121</v>
      </c>
      <c r="E7796" t="s">
        <v>387</v>
      </c>
      <c r="F7796" t="s">
        <v>718</v>
      </c>
      <c r="G7796">
        <v>617000</v>
      </c>
      <c r="H7796">
        <v>596000</v>
      </c>
    </row>
    <row r="7797" spans="2:8" x14ac:dyDescent="0.25">
      <c r="B7797" t="str">
        <f t="shared" si="121"/>
        <v>ROUPopulation ages 70-74, female</v>
      </c>
      <c r="C7797" t="s">
        <v>617</v>
      </c>
      <c r="D7797" t="s">
        <v>121</v>
      </c>
      <c r="E7797" t="s">
        <v>390</v>
      </c>
      <c r="F7797" t="s">
        <v>719</v>
      </c>
      <c r="G7797">
        <v>513000</v>
      </c>
      <c r="H7797">
        <v>542000</v>
      </c>
    </row>
    <row r="7798" spans="2:8" x14ac:dyDescent="0.25">
      <c r="B7798" t="str">
        <f t="shared" si="121"/>
        <v>ROUPopulation ages 70-74, male</v>
      </c>
      <c r="C7798" t="s">
        <v>617</v>
      </c>
      <c r="D7798" t="s">
        <v>121</v>
      </c>
      <c r="E7798" t="s">
        <v>391</v>
      </c>
      <c r="F7798" t="s">
        <v>720</v>
      </c>
      <c r="G7798">
        <v>365000</v>
      </c>
      <c r="H7798">
        <v>386000</v>
      </c>
    </row>
    <row r="7799" spans="2:8" x14ac:dyDescent="0.25">
      <c r="B7799" t="str">
        <f t="shared" si="121"/>
        <v>ROUPopulation ages 75-79, female</v>
      </c>
      <c r="C7799" t="s">
        <v>617</v>
      </c>
      <c r="D7799" t="s">
        <v>121</v>
      </c>
      <c r="E7799" t="s">
        <v>392</v>
      </c>
      <c r="F7799" t="s">
        <v>721</v>
      </c>
      <c r="G7799">
        <v>373000</v>
      </c>
      <c r="H7799">
        <v>371000</v>
      </c>
    </row>
    <row r="7800" spans="2:8" x14ac:dyDescent="0.25">
      <c r="B7800" t="str">
        <f t="shared" si="121"/>
        <v>ROUPopulation ages 75-79, male</v>
      </c>
      <c r="C7800" t="s">
        <v>617</v>
      </c>
      <c r="D7800" t="s">
        <v>121</v>
      </c>
      <c r="E7800" t="s">
        <v>393</v>
      </c>
      <c r="F7800" t="s">
        <v>722</v>
      </c>
      <c r="G7800">
        <v>231000</v>
      </c>
      <c r="H7800">
        <v>232000</v>
      </c>
    </row>
    <row r="7801" spans="2:8" x14ac:dyDescent="0.25">
      <c r="B7801" t="str">
        <f t="shared" si="121"/>
        <v>ROUPopulation ages 80 and above, female</v>
      </c>
      <c r="C7801" t="s">
        <v>617</v>
      </c>
      <c r="D7801" t="s">
        <v>121</v>
      </c>
      <c r="E7801" t="s">
        <v>394</v>
      </c>
      <c r="F7801" t="s">
        <v>723</v>
      </c>
      <c r="G7801">
        <v>609000</v>
      </c>
      <c r="H7801">
        <v>608000</v>
      </c>
    </row>
    <row r="7802" spans="2:8" x14ac:dyDescent="0.25">
      <c r="B7802" t="str">
        <f t="shared" si="121"/>
        <v>ROUPopulation ages 80 and above, male</v>
      </c>
      <c r="C7802" t="s">
        <v>617</v>
      </c>
      <c r="D7802" t="s">
        <v>121</v>
      </c>
      <c r="E7802" t="s">
        <v>395</v>
      </c>
      <c r="F7802" t="s">
        <v>724</v>
      </c>
      <c r="G7802">
        <v>323000</v>
      </c>
      <c r="H7802">
        <v>315000</v>
      </c>
    </row>
    <row r="7803" spans="2:8" x14ac:dyDescent="0.25">
      <c r="B7803" t="str">
        <f t="shared" si="121"/>
        <v>ROUPopulation, male</v>
      </c>
      <c r="C7803" t="s">
        <v>617</v>
      </c>
      <c r="D7803" t="s">
        <v>121</v>
      </c>
      <c r="E7803" t="s">
        <v>397</v>
      </c>
      <c r="F7803" t="s">
        <v>725</v>
      </c>
      <c r="G7803">
        <v>9415000</v>
      </c>
      <c r="H7803">
        <v>9358000</v>
      </c>
    </row>
    <row r="7804" spans="2:8" x14ac:dyDescent="0.25">
      <c r="B7804" t="str">
        <f t="shared" si="121"/>
        <v>ROUPopulation, total</v>
      </c>
      <c r="C7804" t="s">
        <v>617</v>
      </c>
      <c r="D7804" t="s">
        <v>121</v>
      </c>
      <c r="E7804" t="s">
        <v>398</v>
      </c>
      <c r="F7804" t="s">
        <v>726</v>
      </c>
      <c r="G7804">
        <v>19358000</v>
      </c>
      <c r="H7804">
        <v>19247000</v>
      </c>
    </row>
    <row r="7805" spans="2:8" x14ac:dyDescent="0.25">
      <c r="B7805" t="str">
        <f t="shared" si="121"/>
        <v>ROUPopulation, female</v>
      </c>
      <c r="C7805" t="s">
        <v>617</v>
      </c>
      <c r="D7805" t="s">
        <v>121</v>
      </c>
      <c r="E7805" t="s">
        <v>396</v>
      </c>
      <c r="F7805" t="s">
        <v>727</v>
      </c>
      <c r="G7805">
        <v>9943000</v>
      </c>
      <c r="H7805">
        <v>9888000</v>
      </c>
    </row>
    <row r="7806" spans="2:8" x14ac:dyDescent="0.25">
      <c r="B7806" t="str">
        <f t="shared" si="121"/>
        <v>ROUPopulation growth (annual %)</v>
      </c>
      <c r="C7806" t="s">
        <v>617</v>
      </c>
      <c r="D7806" t="s">
        <v>121</v>
      </c>
      <c r="E7806" t="s">
        <v>399</v>
      </c>
      <c r="F7806" t="s">
        <v>728</v>
      </c>
      <c r="G7806">
        <v>0</v>
      </c>
      <c r="H7806">
        <v>0</v>
      </c>
    </row>
    <row r="7807" spans="2:8" x14ac:dyDescent="0.25">
      <c r="B7807" t="str">
        <f t="shared" si="121"/>
        <v>RUSPopulation ages 0-14, female</v>
      </c>
      <c r="C7807" t="s">
        <v>618</v>
      </c>
      <c r="D7807" t="s">
        <v>122</v>
      </c>
      <c r="E7807" t="s">
        <v>687</v>
      </c>
      <c r="F7807" t="s">
        <v>688</v>
      </c>
      <c r="G7807">
        <v>12763000</v>
      </c>
      <c r="H7807">
        <v>12893000</v>
      </c>
    </row>
    <row r="7808" spans="2:8" x14ac:dyDescent="0.25">
      <c r="B7808" t="str">
        <f t="shared" si="121"/>
        <v>RUSPopulation ages 0-14, male</v>
      </c>
      <c r="C7808" t="s">
        <v>618</v>
      </c>
      <c r="D7808" t="s">
        <v>122</v>
      </c>
      <c r="E7808" t="s">
        <v>689</v>
      </c>
      <c r="F7808" t="s">
        <v>690</v>
      </c>
      <c r="G7808">
        <v>13446000</v>
      </c>
      <c r="H7808">
        <v>13590000</v>
      </c>
    </row>
    <row r="7809" spans="2:8" x14ac:dyDescent="0.25">
      <c r="B7809" t="str">
        <f t="shared" si="121"/>
        <v>RUSPopulation ages 00-04, female</v>
      </c>
      <c r="C7809" t="s">
        <v>618</v>
      </c>
      <c r="D7809" t="s">
        <v>122</v>
      </c>
      <c r="E7809" t="s">
        <v>362</v>
      </c>
      <c r="F7809" t="s">
        <v>691</v>
      </c>
      <c r="G7809">
        <v>4523000</v>
      </c>
      <c r="H7809">
        <v>4456000</v>
      </c>
    </row>
    <row r="7810" spans="2:8" x14ac:dyDescent="0.25">
      <c r="B7810" t="str">
        <f t="shared" si="121"/>
        <v>RUSPopulation ages 00-04, male</v>
      </c>
      <c r="C7810" t="s">
        <v>618</v>
      </c>
      <c r="D7810" t="s">
        <v>122</v>
      </c>
      <c r="E7810" t="s">
        <v>363</v>
      </c>
      <c r="F7810" t="s">
        <v>692</v>
      </c>
      <c r="G7810">
        <v>4780000</v>
      </c>
      <c r="H7810">
        <v>4707000</v>
      </c>
    </row>
    <row r="7811" spans="2:8" x14ac:dyDescent="0.25">
      <c r="B7811" t="str">
        <f t="shared" si="121"/>
        <v>RUSPopulation ages 05-09, female</v>
      </c>
      <c r="C7811" t="s">
        <v>618</v>
      </c>
      <c r="D7811" t="s">
        <v>122</v>
      </c>
      <c r="E7811" t="s">
        <v>364</v>
      </c>
      <c r="F7811" t="s">
        <v>693</v>
      </c>
      <c r="G7811">
        <v>4413000</v>
      </c>
      <c r="H7811">
        <v>4495000</v>
      </c>
    </row>
    <row r="7812" spans="2:8" x14ac:dyDescent="0.25">
      <c r="B7812" t="str">
        <f t="shared" si="121"/>
        <v>RUSPopulation ages 05-09, male</v>
      </c>
      <c r="C7812" t="s">
        <v>618</v>
      </c>
      <c r="D7812" t="s">
        <v>122</v>
      </c>
      <c r="E7812" t="s">
        <v>365</v>
      </c>
      <c r="F7812" t="s">
        <v>694</v>
      </c>
      <c r="G7812">
        <v>4654000</v>
      </c>
      <c r="H7812">
        <v>4746000</v>
      </c>
    </row>
    <row r="7813" spans="2:8" x14ac:dyDescent="0.25">
      <c r="B7813" t="str">
        <f t="shared" si="121"/>
        <v>RUSPopulation ages 10-14, female</v>
      </c>
      <c r="C7813" t="s">
        <v>618</v>
      </c>
      <c r="D7813" t="s">
        <v>122</v>
      </c>
      <c r="E7813" t="s">
        <v>366</v>
      </c>
      <c r="F7813" t="s">
        <v>695</v>
      </c>
      <c r="G7813">
        <v>3827000</v>
      </c>
      <c r="H7813">
        <v>3941000</v>
      </c>
    </row>
    <row r="7814" spans="2:8" x14ac:dyDescent="0.25">
      <c r="B7814" t="str">
        <f t="shared" si="121"/>
        <v>RUSPopulation ages 10-14, male</v>
      </c>
      <c r="C7814" t="s">
        <v>618</v>
      </c>
      <c r="D7814" t="s">
        <v>122</v>
      </c>
      <c r="E7814" t="s">
        <v>367</v>
      </c>
      <c r="F7814" t="s">
        <v>696</v>
      </c>
      <c r="G7814">
        <v>4013000</v>
      </c>
      <c r="H7814">
        <v>4137000</v>
      </c>
    </row>
    <row r="7815" spans="2:8" x14ac:dyDescent="0.25">
      <c r="B7815" t="str">
        <f t="shared" ref="B7815:B7878" si="122">CONCATENATE(D7815,E7815)</f>
        <v>RUSPopulation ages 15-19, female</v>
      </c>
      <c r="C7815" t="s">
        <v>618</v>
      </c>
      <c r="D7815" t="s">
        <v>122</v>
      </c>
      <c r="E7815" t="s">
        <v>368</v>
      </c>
      <c r="F7815" t="s">
        <v>697</v>
      </c>
      <c r="G7815">
        <v>3326000</v>
      </c>
      <c r="H7815">
        <v>3420000</v>
      </c>
    </row>
    <row r="7816" spans="2:8" x14ac:dyDescent="0.25">
      <c r="B7816" t="str">
        <f t="shared" si="122"/>
        <v>RUSPopulation ages 15-19, male</v>
      </c>
      <c r="C7816" t="s">
        <v>618</v>
      </c>
      <c r="D7816" t="s">
        <v>122</v>
      </c>
      <c r="E7816" t="s">
        <v>369</v>
      </c>
      <c r="F7816" t="s">
        <v>698</v>
      </c>
      <c r="G7816">
        <v>3478000</v>
      </c>
      <c r="H7816">
        <v>3578000</v>
      </c>
    </row>
    <row r="7817" spans="2:8" x14ac:dyDescent="0.25">
      <c r="B7817" t="str">
        <f t="shared" si="122"/>
        <v>RUSPopulation ages 20-24, female</v>
      </c>
      <c r="C7817" t="s">
        <v>618</v>
      </c>
      <c r="D7817" t="s">
        <v>122</v>
      </c>
      <c r="E7817" t="s">
        <v>370</v>
      </c>
      <c r="F7817" t="s">
        <v>699</v>
      </c>
      <c r="G7817">
        <v>3321000</v>
      </c>
      <c r="H7817">
        <v>3203000</v>
      </c>
    </row>
    <row r="7818" spans="2:8" x14ac:dyDescent="0.25">
      <c r="B7818" t="str">
        <f t="shared" si="122"/>
        <v>RUSPopulation ages 20-24, male</v>
      </c>
      <c r="C7818" t="s">
        <v>618</v>
      </c>
      <c r="D7818" t="s">
        <v>122</v>
      </c>
      <c r="E7818" t="s">
        <v>371</v>
      </c>
      <c r="F7818" t="s">
        <v>700</v>
      </c>
      <c r="G7818">
        <v>3461000</v>
      </c>
      <c r="H7818">
        <v>3334000</v>
      </c>
    </row>
    <row r="7819" spans="2:8" x14ac:dyDescent="0.25">
      <c r="B7819" t="str">
        <f t="shared" si="122"/>
        <v>RUSPopulation ages 25-29, female</v>
      </c>
      <c r="C7819" t="s">
        <v>618</v>
      </c>
      <c r="D7819" t="s">
        <v>122</v>
      </c>
      <c r="E7819" t="s">
        <v>372</v>
      </c>
      <c r="F7819" t="s">
        <v>701</v>
      </c>
      <c r="G7819">
        <v>4745000</v>
      </c>
      <c r="H7819">
        <v>4365000</v>
      </c>
    </row>
    <row r="7820" spans="2:8" x14ac:dyDescent="0.25">
      <c r="B7820" t="str">
        <f t="shared" si="122"/>
        <v>RUSPopulation ages 25-29, male</v>
      </c>
      <c r="C7820" t="s">
        <v>618</v>
      </c>
      <c r="D7820" t="s">
        <v>122</v>
      </c>
      <c r="E7820" t="s">
        <v>373</v>
      </c>
      <c r="F7820" t="s">
        <v>702</v>
      </c>
      <c r="G7820">
        <v>4902000</v>
      </c>
      <c r="H7820">
        <v>4522000</v>
      </c>
    </row>
    <row r="7821" spans="2:8" x14ac:dyDescent="0.25">
      <c r="B7821" t="str">
        <f t="shared" si="122"/>
        <v>RUSPopulation ages 30-34, female</v>
      </c>
      <c r="C7821" t="s">
        <v>618</v>
      </c>
      <c r="D7821" t="s">
        <v>122</v>
      </c>
      <c r="E7821" t="s">
        <v>374</v>
      </c>
      <c r="F7821" t="s">
        <v>703</v>
      </c>
      <c r="G7821">
        <v>6297000</v>
      </c>
      <c r="H7821">
        <v>6170000</v>
      </c>
    </row>
    <row r="7822" spans="2:8" x14ac:dyDescent="0.25">
      <c r="B7822" t="str">
        <f t="shared" si="122"/>
        <v>RUSPopulation ages 30-34, male</v>
      </c>
      <c r="C7822" t="s">
        <v>618</v>
      </c>
      <c r="D7822" t="s">
        <v>122</v>
      </c>
      <c r="E7822" t="s">
        <v>375</v>
      </c>
      <c r="F7822" t="s">
        <v>704</v>
      </c>
      <c r="G7822">
        <v>6343000</v>
      </c>
      <c r="H7822">
        <v>6227000</v>
      </c>
    </row>
    <row r="7823" spans="2:8" x14ac:dyDescent="0.25">
      <c r="B7823" t="str">
        <f t="shared" si="122"/>
        <v>RUSPopulation ages 35-39, female</v>
      </c>
      <c r="C7823" t="s">
        <v>618</v>
      </c>
      <c r="D7823" t="s">
        <v>122</v>
      </c>
      <c r="E7823" t="s">
        <v>376</v>
      </c>
      <c r="F7823" t="s">
        <v>705</v>
      </c>
      <c r="G7823">
        <v>5844000</v>
      </c>
      <c r="H7823">
        <v>5943000</v>
      </c>
    </row>
    <row r="7824" spans="2:8" x14ac:dyDescent="0.25">
      <c r="B7824" t="str">
        <f t="shared" si="122"/>
        <v>RUSPopulation ages 35-39, male</v>
      </c>
      <c r="C7824" t="s">
        <v>618</v>
      </c>
      <c r="D7824" t="s">
        <v>122</v>
      </c>
      <c r="E7824" t="s">
        <v>377</v>
      </c>
      <c r="F7824" t="s">
        <v>706</v>
      </c>
      <c r="G7824">
        <v>5717000</v>
      </c>
      <c r="H7824">
        <v>5842000</v>
      </c>
    </row>
    <row r="7825" spans="2:8" x14ac:dyDescent="0.25">
      <c r="B7825" t="str">
        <f t="shared" si="122"/>
        <v>RUSPopulation ages 40-44, female</v>
      </c>
      <c r="C7825" t="s">
        <v>618</v>
      </c>
      <c r="D7825" t="s">
        <v>122</v>
      </c>
      <c r="E7825" t="s">
        <v>378</v>
      </c>
      <c r="F7825" t="s">
        <v>707</v>
      </c>
      <c r="G7825">
        <v>5347000</v>
      </c>
      <c r="H7825">
        <v>5412000</v>
      </c>
    </row>
    <row r="7826" spans="2:8" x14ac:dyDescent="0.25">
      <c r="B7826" t="str">
        <f t="shared" si="122"/>
        <v>RUSPopulation ages 40-44, male</v>
      </c>
      <c r="C7826" t="s">
        <v>618</v>
      </c>
      <c r="D7826" t="s">
        <v>122</v>
      </c>
      <c r="E7826" t="s">
        <v>379</v>
      </c>
      <c r="F7826" t="s">
        <v>708</v>
      </c>
      <c r="G7826">
        <v>5001000</v>
      </c>
      <c r="H7826">
        <v>5068000</v>
      </c>
    </row>
    <row r="7827" spans="2:8" x14ac:dyDescent="0.25">
      <c r="B7827" t="str">
        <f t="shared" si="122"/>
        <v>RUSPopulation ages 45-49, female</v>
      </c>
      <c r="C7827" t="s">
        <v>618</v>
      </c>
      <c r="D7827" t="s">
        <v>122</v>
      </c>
      <c r="E7827" t="s">
        <v>380</v>
      </c>
      <c r="F7827" t="s">
        <v>709</v>
      </c>
      <c r="G7827">
        <v>4921000</v>
      </c>
      <c r="H7827">
        <v>5036000</v>
      </c>
    </row>
    <row r="7828" spans="2:8" x14ac:dyDescent="0.25">
      <c r="B7828" t="str">
        <f t="shared" si="122"/>
        <v>RUSPopulation ages 45-49, male</v>
      </c>
      <c r="C7828" t="s">
        <v>618</v>
      </c>
      <c r="D7828" t="s">
        <v>122</v>
      </c>
      <c r="E7828" t="s">
        <v>381</v>
      </c>
      <c r="F7828" t="s">
        <v>710</v>
      </c>
      <c r="G7828">
        <v>4509000</v>
      </c>
      <c r="H7828">
        <v>4620000</v>
      </c>
    </row>
    <row r="7829" spans="2:8" x14ac:dyDescent="0.25">
      <c r="B7829" t="str">
        <f t="shared" si="122"/>
        <v>RUSPopulation ages 50-54, female</v>
      </c>
      <c r="C7829" t="s">
        <v>618</v>
      </c>
      <c r="D7829" t="s">
        <v>122</v>
      </c>
      <c r="E7829" t="s">
        <v>382</v>
      </c>
      <c r="F7829" t="s">
        <v>711</v>
      </c>
      <c r="G7829">
        <v>4657000</v>
      </c>
      <c r="H7829">
        <v>4497000</v>
      </c>
    </row>
    <row r="7830" spans="2:8" x14ac:dyDescent="0.25">
      <c r="B7830" t="str">
        <f t="shared" si="122"/>
        <v>RUSPopulation ages 50-54, male</v>
      </c>
      <c r="C7830" t="s">
        <v>618</v>
      </c>
      <c r="D7830" t="s">
        <v>122</v>
      </c>
      <c r="E7830" t="s">
        <v>383</v>
      </c>
      <c r="F7830" t="s">
        <v>712</v>
      </c>
      <c r="G7830">
        <v>3999000</v>
      </c>
      <c r="H7830">
        <v>3883000</v>
      </c>
    </row>
    <row r="7831" spans="2:8" x14ac:dyDescent="0.25">
      <c r="B7831" t="str">
        <f t="shared" si="122"/>
        <v>RUSPopulation ages 55-59, male</v>
      </c>
      <c r="C7831" t="s">
        <v>618</v>
      </c>
      <c r="D7831" t="s">
        <v>122</v>
      </c>
      <c r="E7831" t="s">
        <v>385</v>
      </c>
      <c r="F7831" t="s">
        <v>713</v>
      </c>
      <c r="G7831">
        <v>4726000</v>
      </c>
      <c r="H7831">
        <v>4606000</v>
      </c>
    </row>
    <row r="7832" spans="2:8" x14ac:dyDescent="0.25">
      <c r="B7832" t="str">
        <f t="shared" si="122"/>
        <v>RUSPopulation ages 55-59, female</v>
      </c>
      <c r="C7832" t="s">
        <v>618</v>
      </c>
      <c r="D7832" t="s">
        <v>122</v>
      </c>
      <c r="E7832" t="s">
        <v>384</v>
      </c>
      <c r="F7832" t="s">
        <v>714</v>
      </c>
      <c r="G7832">
        <v>5868000</v>
      </c>
      <c r="H7832">
        <v>5690000</v>
      </c>
    </row>
    <row r="7833" spans="2:8" x14ac:dyDescent="0.25">
      <c r="B7833" t="str">
        <f t="shared" si="122"/>
        <v>RUSPopulation ages 65-69, male</v>
      </c>
      <c r="C7833" t="s">
        <v>618</v>
      </c>
      <c r="D7833" t="s">
        <v>122</v>
      </c>
      <c r="E7833" t="s">
        <v>389</v>
      </c>
      <c r="F7833" t="s">
        <v>715</v>
      </c>
      <c r="G7833">
        <v>3093000</v>
      </c>
      <c r="H7833">
        <v>3218000</v>
      </c>
    </row>
    <row r="7834" spans="2:8" x14ac:dyDescent="0.25">
      <c r="B7834" t="str">
        <f t="shared" si="122"/>
        <v>RUSPopulation ages 65-69, female</v>
      </c>
      <c r="C7834" t="s">
        <v>618</v>
      </c>
      <c r="D7834" t="s">
        <v>122</v>
      </c>
      <c r="E7834" t="s">
        <v>388</v>
      </c>
      <c r="F7834" t="s">
        <v>716</v>
      </c>
      <c r="G7834">
        <v>4908000</v>
      </c>
      <c r="H7834">
        <v>5111000</v>
      </c>
    </row>
    <row r="7835" spans="2:8" x14ac:dyDescent="0.25">
      <c r="B7835" t="str">
        <f t="shared" si="122"/>
        <v>RUSPopulation ages 60-64, female</v>
      </c>
      <c r="C7835" t="s">
        <v>618</v>
      </c>
      <c r="D7835" t="s">
        <v>122</v>
      </c>
      <c r="E7835" t="s">
        <v>386</v>
      </c>
      <c r="F7835" t="s">
        <v>717</v>
      </c>
      <c r="G7835">
        <v>5772000</v>
      </c>
      <c r="H7835">
        <v>5780000</v>
      </c>
    </row>
    <row r="7836" spans="2:8" x14ac:dyDescent="0.25">
      <c r="B7836" t="str">
        <f t="shared" si="122"/>
        <v>RUSPopulation ages 60-64, male</v>
      </c>
      <c r="C7836" t="s">
        <v>618</v>
      </c>
      <c r="D7836" t="s">
        <v>122</v>
      </c>
      <c r="E7836" t="s">
        <v>387</v>
      </c>
      <c r="F7836" t="s">
        <v>718</v>
      </c>
      <c r="G7836">
        <v>4136000</v>
      </c>
      <c r="H7836">
        <v>4176000</v>
      </c>
    </row>
    <row r="7837" spans="2:8" x14ac:dyDescent="0.25">
      <c r="B7837" t="str">
        <f t="shared" si="122"/>
        <v>RUSPopulation ages 70-74, female</v>
      </c>
      <c r="C7837" t="s">
        <v>618</v>
      </c>
      <c r="D7837" t="s">
        <v>122</v>
      </c>
      <c r="E7837" t="s">
        <v>390</v>
      </c>
      <c r="F7837" t="s">
        <v>719</v>
      </c>
      <c r="G7837">
        <v>3175000</v>
      </c>
      <c r="H7837">
        <v>3427000</v>
      </c>
    </row>
    <row r="7838" spans="2:8" x14ac:dyDescent="0.25">
      <c r="B7838" t="str">
        <f t="shared" si="122"/>
        <v>RUSPopulation ages 70-74, male</v>
      </c>
      <c r="C7838" t="s">
        <v>618</v>
      </c>
      <c r="D7838" t="s">
        <v>122</v>
      </c>
      <c r="E7838" t="s">
        <v>391</v>
      </c>
      <c r="F7838" t="s">
        <v>720</v>
      </c>
      <c r="G7838">
        <v>1750000</v>
      </c>
      <c r="H7838">
        <v>1900000</v>
      </c>
    </row>
    <row r="7839" spans="2:8" x14ac:dyDescent="0.25">
      <c r="B7839" t="str">
        <f t="shared" si="122"/>
        <v>RUSPopulation ages 75-79, female</v>
      </c>
      <c r="C7839" t="s">
        <v>618</v>
      </c>
      <c r="D7839" t="s">
        <v>122</v>
      </c>
      <c r="E7839" t="s">
        <v>392</v>
      </c>
      <c r="F7839" t="s">
        <v>721</v>
      </c>
      <c r="G7839">
        <v>2303000</v>
      </c>
      <c r="H7839">
        <v>2196000</v>
      </c>
    </row>
    <row r="7840" spans="2:8" x14ac:dyDescent="0.25">
      <c r="B7840" t="str">
        <f t="shared" si="122"/>
        <v>RUSPopulation ages 75-79, male</v>
      </c>
      <c r="C7840" t="s">
        <v>618</v>
      </c>
      <c r="D7840" t="s">
        <v>122</v>
      </c>
      <c r="E7840" t="s">
        <v>393</v>
      </c>
      <c r="F7840" t="s">
        <v>722</v>
      </c>
      <c r="G7840">
        <v>954000</v>
      </c>
      <c r="H7840">
        <v>926000</v>
      </c>
    </row>
    <row r="7841" spans="2:8" x14ac:dyDescent="0.25">
      <c r="B7841" t="str">
        <f t="shared" si="122"/>
        <v>RUSPopulation ages 80 and above, female</v>
      </c>
      <c r="C7841" t="s">
        <v>618</v>
      </c>
      <c r="D7841" t="s">
        <v>122</v>
      </c>
      <c r="E7841" t="s">
        <v>394</v>
      </c>
      <c r="F7841" t="s">
        <v>723</v>
      </c>
      <c r="G7841">
        <v>4218000</v>
      </c>
      <c r="H7841">
        <v>4232000</v>
      </c>
    </row>
    <row r="7842" spans="2:8" x14ac:dyDescent="0.25">
      <c r="B7842" t="str">
        <f t="shared" si="122"/>
        <v>RUSPopulation ages 80 and above, male</v>
      </c>
      <c r="C7842" t="s">
        <v>618</v>
      </c>
      <c r="D7842" t="s">
        <v>122</v>
      </c>
      <c r="E7842" t="s">
        <v>395</v>
      </c>
      <c r="F7842" t="s">
        <v>724</v>
      </c>
      <c r="G7842">
        <v>1392000</v>
      </c>
      <c r="H7842">
        <v>1357000</v>
      </c>
    </row>
    <row r="7843" spans="2:8" x14ac:dyDescent="0.25">
      <c r="B7843" t="str">
        <f t="shared" si="122"/>
        <v>RUSPopulation, male</v>
      </c>
      <c r="C7843" t="s">
        <v>618</v>
      </c>
      <c r="D7843" t="s">
        <v>122</v>
      </c>
      <c r="E7843" t="s">
        <v>397</v>
      </c>
      <c r="F7843" t="s">
        <v>725</v>
      </c>
      <c r="G7843">
        <v>66906000</v>
      </c>
      <c r="H7843">
        <v>66847000</v>
      </c>
    </row>
    <row r="7844" spans="2:8" x14ac:dyDescent="0.25">
      <c r="B7844" t="str">
        <f t="shared" si="122"/>
        <v>RUSPopulation, total</v>
      </c>
      <c r="C7844" t="s">
        <v>618</v>
      </c>
      <c r="D7844" t="s">
        <v>122</v>
      </c>
      <c r="E7844" t="s">
        <v>398</v>
      </c>
      <c r="F7844" t="s">
        <v>726</v>
      </c>
      <c r="G7844">
        <v>144369000</v>
      </c>
      <c r="H7844">
        <v>144222000</v>
      </c>
    </row>
    <row r="7845" spans="2:8" x14ac:dyDescent="0.25">
      <c r="B7845" t="str">
        <f t="shared" si="122"/>
        <v>RUSPopulation, female</v>
      </c>
      <c r="C7845" t="s">
        <v>618</v>
      </c>
      <c r="D7845" t="s">
        <v>122</v>
      </c>
      <c r="E7845" t="s">
        <v>396</v>
      </c>
      <c r="F7845" t="s">
        <v>727</v>
      </c>
      <c r="G7845">
        <v>77463000</v>
      </c>
      <c r="H7845">
        <v>77375000</v>
      </c>
    </row>
    <row r="7846" spans="2:8" x14ac:dyDescent="0.25">
      <c r="B7846" t="str">
        <f t="shared" si="122"/>
        <v>RUSPopulation growth (annual %)</v>
      </c>
      <c r="C7846" t="s">
        <v>618</v>
      </c>
      <c r="D7846" t="s">
        <v>122</v>
      </c>
      <c r="E7846" t="s">
        <v>399</v>
      </c>
      <c r="F7846" t="s">
        <v>728</v>
      </c>
      <c r="G7846">
        <v>0</v>
      </c>
      <c r="H7846">
        <v>0</v>
      </c>
    </row>
    <row r="7847" spans="2:8" x14ac:dyDescent="0.25">
      <c r="B7847" t="str">
        <f t="shared" si="122"/>
        <v>RWAPopulation ages 0-14, female</v>
      </c>
      <c r="C7847" t="s">
        <v>210</v>
      </c>
      <c r="D7847" t="s">
        <v>123</v>
      </c>
      <c r="E7847" t="s">
        <v>687</v>
      </c>
      <c r="F7847" t="s">
        <v>688</v>
      </c>
      <c r="G7847">
        <v>2503000</v>
      </c>
      <c r="H7847">
        <v>2547000</v>
      </c>
    </row>
    <row r="7848" spans="2:8" x14ac:dyDescent="0.25">
      <c r="B7848" t="str">
        <f t="shared" si="122"/>
        <v>RWAPopulation ages 0-14, male</v>
      </c>
      <c r="C7848" t="s">
        <v>210</v>
      </c>
      <c r="D7848" t="s">
        <v>123</v>
      </c>
      <c r="E7848" t="s">
        <v>689</v>
      </c>
      <c r="F7848" t="s">
        <v>690</v>
      </c>
      <c r="G7848">
        <v>2518000</v>
      </c>
      <c r="H7848">
        <v>2566000</v>
      </c>
    </row>
    <row r="7849" spans="2:8" x14ac:dyDescent="0.25">
      <c r="B7849" t="str">
        <f t="shared" si="122"/>
        <v>RWAPopulation ages 00-04, female</v>
      </c>
      <c r="C7849" t="s">
        <v>210</v>
      </c>
      <c r="D7849" t="s">
        <v>123</v>
      </c>
      <c r="E7849" t="s">
        <v>362</v>
      </c>
      <c r="F7849" t="s">
        <v>691</v>
      </c>
      <c r="G7849">
        <v>918000</v>
      </c>
      <c r="H7849">
        <v>935000</v>
      </c>
    </row>
    <row r="7850" spans="2:8" x14ac:dyDescent="0.25">
      <c r="B7850" t="str">
        <f t="shared" si="122"/>
        <v>RWAPopulation ages 00-04, male</v>
      </c>
      <c r="C7850" t="s">
        <v>210</v>
      </c>
      <c r="D7850" t="s">
        <v>123</v>
      </c>
      <c r="E7850" t="s">
        <v>363</v>
      </c>
      <c r="F7850" t="s">
        <v>692</v>
      </c>
      <c r="G7850">
        <v>931000</v>
      </c>
      <c r="H7850">
        <v>950000</v>
      </c>
    </row>
    <row r="7851" spans="2:8" x14ac:dyDescent="0.25">
      <c r="B7851" t="str">
        <f t="shared" si="122"/>
        <v>RWAPopulation ages 05-09, female</v>
      </c>
      <c r="C7851" t="s">
        <v>210</v>
      </c>
      <c r="D7851" t="s">
        <v>123</v>
      </c>
      <c r="E7851" t="s">
        <v>364</v>
      </c>
      <c r="F7851" t="s">
        <v>693</v>
      </c>
      <c r="G7851">
        <v>825000</v>
      </c>
      <c r="H7851">
        <v>835000</v>
      </c>
    </row>
    <row r="7852" spans="2:8" x14ac:dyDescent="0.25">
      <c r="B7852" t="str">
        <f t="shared" si="122"/>
        <v>RWAPopulation ages 05-09, male</v>
      </c>
      <c r="C7852" t="s">
        <v>210</v>
      </c>
      <c r="D7852" t="s">
        <v>123</v>
      </c>
      <c r="E7852" t="s">
        <v>365</v>
      </c>
      <c r="F7852" t="s">
        <v>694</v>
      </c>
      <c r="G7852">
        <v>829000</v>
      </c>
      <c r="H7852">
        <v>841000</v>
      </c>
    </row>
    <row r="7853" spans="2:8" x14ac:dyDescent="0.25">
      <c r="B7853" t="str">
        <f t="shared" si="122"/>
        <v>RWAPopulation ages 10-14, female</v>
      </c>
      <c r="C7853" t="s">
        <v>210</v>
      </c>
      <c r="D7853" t="s">
        <v>123</v>
      </c>
      <c r="E7853" t="s">
        <v>366</v>
      </c>
      <c r="F7853" t="s">
        <v>695</v>
      </c>
      <c r="G7853">
        <v>761000</v>
      </c>
      <c r="H7853">
        <v>777000</v>
      </c>
    </row>
    <row r="7854" spans="2:8" x14ac:dyDescent="0.25">
      <c r="B7854" t="str">
        <f t="shared" si="122"/>
        <v>RWAPopulation ages 10-14, male</v>
      </c>
      <c r="C7854" t="s">
        <v>210</v>
      </c>
      <c r="D7854" t="s">
        <v>123</v>
      </c>
      <c r="E7854" t="s">
        <v>367</v>
      </c>
      <c r="F7854" t="s">
        <v>696</v>
      </c>
      <c r="G7854">
        <v>757000</v>
      </c>
      <c r="H7854">
        <v>775000</v>
      </c>
    </row>
    <row r="7855" spans="2:8" x14ac:dyDescent="0.25">
      <c r="B7855" t="str">
        <f t="shared" si="122"/>
        <v>RWAPopulation ages 15-19, female</v>
      </c>
      <c r="C7855" t="s">
        <v>210</v>
      </c>
      <c r="D7855" t="s">
        <v>123</v>
      </c>
      <c r="E7855" t="s">
        <v>368</v>
      </c>
      <c r="F7855" t="s">
        <v>697</v>
      </c>
      <c r="G7855">
        <v>663000</v>
      </c>
      <c r="H7855">
        <v>681000</v>
      </c>
    </row>
    <row r="7856" spans="2:8" x14ac:dyDescent="0.25">
      <c r="B7856" t="str">
        <f t="shared" si="122"/>
        <v>RWAPopulation ages 15-19, male</v>
      </c>
      <c r="C7856" t="s">
        <v>210</v>
      </c>
      <c r="D7856" t="s">
        <v>123</v>
      </c>
      <c r="E7856" t="s">
        <v>369</v>
      </c>
      <c r="F7856" t="s">
        <v>698</v>
      </c>
      <c r="G7856">
        <v>656000</v>
      </c>
      <c r="H7856">
        <v>673000</v>
      </c>
    </row>
    <row r="7857" spans="2:8" x14ac:dyDescent="0.25">
      <c r="B7857" t="str">
        <f t="shared" si="122"/>
        <v>RWAPopulation ages 20-24, female</v>
      </c>
      <c r="C7857" t="s">
        <v>210</v>
      </c>
      <c r="D7857" t="s">
        <v>123</v>
      </c>
      <c r="E7857" t="s">
        <v>370</v>
      </c>
      <c r="F7857" t="s">
        <v>699</v>
      </c>
      <c r="G7857">
        <v>582000</v>
      </c>
      <c r="H7857">
        <v>597000</v>
      </c>
    </row>
    <row r="7858" spans="2:8" x14ac:dyDescent="0.25">
      <c r="B7858" t="str">
        <f t="shared" si="122"/>
        <v>RWAPopulation ages 20-24, male</v>
      </c>
      <c r="C7858" t="s">
        <v>210</v>
      </c>
      <c r="D7858" t="s">
        <v>123</v>
      </c>
      <c r="E7858" t="s">
        <v>371</v>
      </c>
      <c r="F7858" t="s">
        <v>700</v>
      </c>
      <c r="G7858">
        <v>570000</v>
      </c>
      <c r="H7858">
        <v>586000</v>
      </c>
    </row>
    <row r="7859" spans="2:8" x14ac:dyDescent="0.25">
      <c r="B7859" t="str">
        <f t="shared" si="122"/>
        <v>RWAPopulation ages 25-29, female</v>
      </c>
      <c r="C7859" t="s">
        <v>210</v>
      </c>
      <c r="D7859" t="s">
        <v>123</v>
      </c>
      <c r="E7859" t="s">
        <v>372</v>
      </c>
      <c r="F7859" t="s">
        <v>701</v>
      </c>
      <c r="G7859">
        <v>518000</v>
      </c>
      <c r="H7859">
        <v>525000</v>
      </c>
    </row>
    <row r="7860" spans="2:8" x14ac:dyDescent="0.25">
      <c r="B7860" t="str">
        <f t="shared" si="122"/>
        <v>RWAPopulation ages 25-29, male</v>
      </c>
      <c r="C7860" t="s">
        <v>210</v>
      </c>
      <c r="D7860" t="s">
        <v>123</v>
      </c>
      <c r="E7860" t="s">
        <v>373</v>
      </c>
      <c r="F7860" t="s">
        <v>702</v>
      </c>
      <c r="G7860">
        <v>498000</v>
      </c>
      <c r="H7860">
        <v>503000</v>
      </c>
    </row>
    <row r="7861" spans="2:8" x14ac:dyDescent="0.25">
      <c r="B7861" t="str">
        <f t="shared" si="122"/>
        <v>RWAPopulation ages 30-34, female</v>
      </c>
      <c r="C7861" t="s">
        <v>210</v>
      </c>
      <c r="D7861" t="s">
        <v>123</v>
      </c>
      <c r="E7861" t="s">
        <v>374</v>
      </c>
      <c r="F7861" t="s">
        <v>703</v>
      </c>
      <c r="G7861">
        <v>489000</v>
      </c>
      <c r="H7861">
        <v>494000</v>
      </c>
    </row>
    <row r="7862" spans="2:8" x14ac:dyDescent="0.25">
      <c r="B7862" t="str">
        <f t="shared" si="122"/>
        <v>RWAPopulation ages 30-34, male</v>
      </c>
      <c r="C7862" t="s">
        <v>210</v>
      </c>
      <c r="D7862" t="s">
        <v>123</v>
      </c>
      <c r="E7862" t="s">
        <v>375</v>
      </c>
      <c r="F7862" t="s">
        <v>704</v>
      </c>
      <c r="G7862">
        <v>475000</v>
      </c>
      <c r="H7862">
        <v>485000</v>
      </c>
    </row>
    <row r="7863" spans="2:8" x14ac:dyDescent="0.25">
      <c r="B7863" t="str">
        <f t="shared" si="122"/>
        <v>RWAPopulation ages 35-39, female</v>
      </c>
      <c r="C7863" t="s">
        <v>210</v>
      </c>
      <c r="D7863" t="s">
        <v>123</v>
      </c>
      <c r="E7863" t="s">
        <v>376</v>
      </c>
      <c r="F7863" t="s">
        <v>705</v>
      </c>
      <c r="G7863">
        <v>424000</v>
      </c>
      <c r="H7863">
        <v>444000</v>
      </c>
    </row>
    <row r="7864" spans="2:8" x14ac:dyDescent="0.25">
      <c r="B7864" t="str">
        <f t="shared" si="122"/>
        <v>RWAPopulation ages 35-39, male</v>
      </c>
      <c r="C7864" t="s">
        <v>210</v>
      </c>
      <c r="D7864" t="s">
        <v>123</v>
      </c>
      <c r="E7864" t="s">
        <v>377</v>
      </c>
      <c r="F7864" t="s">
        <v>706</v>
      </c>
      <c r="G7864">
        <v>371000</v>
      </c>
      <c r="H7864">
        <v>390000</v>
      </c>
    </row>
    <row r="7865" spans="2:8" x14ac:dyDescent="0.25">
      <c r="B7865" t="str">
        <f t="shared" si="122"/>
        <v>RWAPopulation ages 40-44, female</v>
      </c>
      <c r="C7865" t="s">
        <v>210</v>
      </c>
      <c r="D7865" t="s">
        <v>123</v>
      </c>
      <c r="E7865" t="s">
        <v>378</v>
      </c>
      <c r="F7865" t="s">
        <v>707</v>
      </c>
      <c r="G7865">
        <v>298000</v>
      </c>
      <c r="H7865">
        <v>317000</v>
      </c>
    </row>
    <row r="7866" spans="2:8" x14ac:dyDescent="0.25">
      <c r="B7866" t="str">
        <f t="shared" si="122"/>
        <v>RWAPopulation ages 40-44, male</v>
      </c>
      <c r="C7866" t="s">
        <v>210</v>
      </c>
      <c r="D7866" t="s">
        <v>123</v>
      </c>
      <c r="E7866" t="s">
        <v>379</v>
      </c>
      <c r="F7866" t="s">
        <v>708</v>
      </c>
      <c r="G7866">
        <v>277000</v>
      </c>
      <c r="H7866">
        <v>292000</v>
      </c>
    </row>
    <row r="7867" spans="2:8" x14ac:dyDescent="0.25">
      <c r="B7867" t="str">
        <f t="shared" si="122"/>
        <v>RWAPopulation ages 45-49, female</v>
      </c>
      <c r="C7867" t="s">
        <v>210</v>
      </c>
      <c r="D7867" t="s">
        <v>123</v>
      </c>
      <c r="E7867" t="s">
        <v>380</v>
      </c>
      <c r="F7867" t="s">
        <v>709</v>
      </c>
      <c r="G7867">
        <v>230000</v>
      </c>
      <c r="H7867">
        <v>244000</v>
      </c>
    </row>
    <row r="7868" spans="2:8" x14ac:dyDescent="0.25">
      <c r="B7868" t="str">
        <f t="shared" si="122"/>
        <v>RWAPopulation ages 45-49, male</v>
      </c>
      <c r="C7868" t="s">
        <v>210</v>
      </c>
      <c r="D7868" t="s">
        <v>123</v>
      </c>
      <c r="E7868" t="s">
        <v>381</v>
      </c>
      <c r="F7868" t="s">
        <v>710</v>
      </c>
      <c r="G7868">
        <v>207000</v>
      </c>
      <c r="H7868">
        <v>217000</v>
      </c>
    </row>
    <row r="7869" spans="2:8" x14ac:dyDescent="0.25">
      <c r="B7869" t="str">
        <f t="shared" si="122"/>
        <v>RWAPopulation ages 50-54, female</v>
      </c>
      <c r="C7869" t="s">
        <v>210</v>
      </c>
      <c r="D7869" t="s">
        <v>123</v>
      </c>
      <c r="E7869" t="s">
        <v>382</v>
      </c>
      <c r="F7869" t="s">
        <v>711</v>
      </c>
      <c r="G7869">
        <v>178000</v>
      </c>
      <c r="H7869">
        <v>179000</v>
      </c>
    </row>
    <row r="7870" spans="2:8" x14ac:dyDescent="0.25">
      <c r="B7870" t="str">
        <f t="shared" si="122"/>
        <v>RWAPopulation ages 50-54, male</v>
      </c>
      <c r="C7870" t="s">
        <v>210</v>
      </c>
      <c r="D7870" t="s">
        <v>123</v>
      </c>
      <c r="E7870" t="s">
        <v>383</v>
      </c>
      <c r="F7870" t="s">
        <v>712</v>
      </c>
      <c r="G7870">
        <v>178000</v>
      </c>
      <c r="H7870">
        <v>176000</v>
      </c>
    </row>
    <row r="7871" spans="2:8" x14ac:dyDescent="0.25">
      <c r="B7871" t="str">
        <f t="shared" si="122"/>
        <v>RWAPopulation ages 55-59, male</v>
      </c>
      <c r="C7871" t="s">
        <v>210</v>
      </c>
      <c r="D7871" t="s">
        <v>123</v>
      </c>
      <c r="E7871" t="s">
        <v>385</v>
      </c>
      <c r="F7871" t="s">
        <v>713</v>
      </c>
      <c r="G7871">
        <v>183000</v>
      </c>
      <c r="H7871">
        <v>188000</v>
      </c>
    </row>
    <row r="7872" spans="2:8" x14ac:dyDescent="0.25">
      <c r="B7872" t="str">
        <f t="shared" si="122"/>
        <v>RWAPopulation ages 55-59, female</v>
      </c>
      <c r="C7872" t="s">
        <v>210</v>
      </c>
      <c r="D7872" t="s">
        <v>123</v>
      </c>
      <c r="E7872" t="s">
        <v>384</v>
      </c>
      <c r="F7872" t="s">
        <v>714</v>
      </c>
      <c r="G7872">
        <v>182000</v>
      </c>
      <c r="H7872">
        <v>186000</v>
      </c>
    </row>
    <row r="7873" spans="2:8" x14ac:dyDescent="0.25">
      <c r="B7873" t="str">
        <f t="shared" si="122"/>
        <v>RWAPopulation ages 65-69, male</v>
      </c>
      <c r="C7873" t="s">
        <v>210</v>
      </c>
      <c r="D7873" t="s">
        <v>123</v>
      </c>
      <c r="E7873" t="s">
        <v>389</v>
      </c>
      <c r="F7873" t="s">
        <v>715</v>
      </c>
      <c r="G7873">
        <v>78000</v>
      </c>
      <c r="H7873">
        <v>83000</v>
      </c>
    </row>
    <row r="7874" spans="2:8" x14ac:dyDescent="0.25">
      <c r="B7874" t="str">
        <f t="shared" si="122"/>
        <v>RWAPopulation ages 65-69, female</v>
      </c>
      <c r="C7874" t="s">
        <v>210</v>
      </c>
      <c r="D7874" t="s">
        <v>123</v>
      </c>
      <c r="E7874" t="s">
        <v>388</v>
      </c>
      <c r="F7874" t="s">
        <v>716</v>
      </c>
      <c r="G7874">
        <v>98000</v>
      </c>
      <c r="H7874">
        <v>103000</v>
      </c>
    </row>
    <row r="7875" spans="2:8" x14ac:dyDescent="0.25">
      <c r="B7875" t="str">
        <f t="shared" si="122"/>
        <v>RWAPopulation ages 60-64, female</v>
      </c>
      <c r="C7875" t="s">
        <v>210</v>
      </c>
      <c r="D7875" t="s">
        <v>123</v>
      </c>
      <c r="E7875" t="s">
        <v>386</v>
      </c>
      <c r="F7875" t="s">
        <v>717</v>
      </c>
      <c r="G7875">
        <v>129000</v>
      </c>
      <c r="H7875">
        <v>136000</v>
      </c>
    </row>
    <row r="7876" spans="2:8" x14ac:dyDescent="0.25">
      <c r="B7876" t="str">
        <f t="shared" si="122"/>
        <v>RWAPopulation ages 60-64, male</v>
      </c>
      <c r="C7876" t="s">
        <v>210</v>
      </c>
      <c r="D7876" t="s">
        <v>123</v>
      </c>
      <c r="E7876" t="s">
        <v>387</v>
      </c>
      <c r="F7876" t="s">
        <v>718</v>
      </c>
      <c r="G7876">
        <v>115000</v>
      </c>
      <c r="H7876">
        <v>123000</v>
      </c>
    </row>
    <row r="7877" spans="2:8" x14ac:dyDescent="0.25">
      <c r="B7877" t="str">
        <f t="shared" si="122"/>
        <v>RWAPopulation ages 70-74, female</v>
      </c>
      <c r="C7877" t="s">
        <v>210</v>
      </c>
      <c r="D7877" t="s">
        <v>123</v>
      </c>
      <c r="E7877" t="s">
        <v>390</v>
      </c>
      <c r="F7877" t="s">
        <v>719</v>
      </c>
      <c r="G7877">
        <v>62000</v>
      </c>
      <c r="H7877">
        <v>65000</v>
      </c>
    </row>
    <row r="7878" spans="2:8" x14ac:dyDescent="0.25">
      <c r="B7878" t="str">
        <f t="shared" si="122"/>
        <v>RWAPopulation ages 70-74, male</v>
      </c>
      <c r="C7878" t="s">
        <v>210</v>
      </c>
      <c r="D7878" t="s">
        <v>123</v>
      </c>
      <c r="E7878" t="s">
        <v>391</v>
      </c>
      <c r="F7878" t="s">
        <v>720</v>
      </c>
      <c r="G7878">
        <v>41000</v>
      </c>
      <c r="H7878">
        <v>44000</v>
      </c>
    </row>
    <row r="7879" spans="2:8" x14ac:dyDescent="0.25">
      <c r="B7879" t="str">
        <f t="shared" ref="B7879:B7942" si="123">CONCATENATE(D7879,E7879)</f>
        <v>RWAPopulation ages 75-79, female</v>
      </c>
      <c r="C7879" t="s">
        <v>210</v>
      </c>
      <c r="D7879" t="s">
        <v>123</v>
      </c>
      <c r="E7879" t="s">
        <v>392</v>
      </c>
      <c r="F7879" t="s">
        <v>721</v>
      </c>
      <c r="G7879">
        <v>38000</v>
      </c>
      <c r="H7879">
        <v>41000</v>
      </c>
    </row>
    <row r="7880" spans="2:8" x14ac:dyDescent="0.25">
      <c r="B7880" t="str">
        <f t="shared" si="123"/>
        <v>RWAPopulation ages 75-79, male</v>
      </c>
      <c r="C7880" t="s">
        <v>210</v>
      </c>
      <c r="D7880" t="s">
        <v>123</v>
      </c>
      <c r="E7880" t="s">
        <v>393</v>
      </c>
      <c r="F7880" t="s">
        <v>722</v>
      </c>
      <c r="G7880">
        <v>23000</v>
      </c>
      <c r="H7880">
        <v>25000</v>
      </c>
    </row>
    <row r="7881" spans="2:8" x14ac:dyDescent="0.25">
      <c r="B7881" t="str">
        <f t="shared" si="123"/>
        <v>RWAPopulation ages 80 and above, female</v>
      </c>
      <c r="C7881" t="s">
        <v>210</v>
      </c>
      <c r="D7881" t="s">
        <v>123</v>
      </c>
      <c r="E7881" t="s">
        <v>394</v>
      </c>
      <c r="F7881" t="s">
        <v>723</v>
      </c>
      <c r="G7881">
        <v>27000</v>
      </c>
      <c r="H7881">
        <v>27000</v>
      </c>
    </row>
    <row r="7882" spans="2:8" x14ac:dyDescent="0.25">
      <c r="B7882" t="str">
        <f t="shared" si="123"/>
        <v>RWAPopulation ages 80 and above, male</v>
      </c>
      <c r="C7882" t="s">
        <v>210</v>
      </c>
      <c r="D7882" t="s">
        <v>123</v>
      </c>
      <c r="E7882" t="s">
        <v>395</v>
      </c>
      <c r="F7882" t="s">
        <v>724</v>
      </c>
      <c r="G7882">
        <v>16000</v>
      </c>
      <c r="H7882">
        <v>16000</v>
      </c>
    </row>
    <row r="7883" spans="2:8" x14ac:dyDescent="0.25">
      <c r="B7883" t="str">
        <f t="shared" si="123"/>
        <v>RWAPopulation, male</v>
      </c>
      <c r="C7883" t="s">
        <v>210</v>
      </c>
      <c r="D7883" t="s">
        <v>123</v>
      </c>
      <c r="E7883" t="s">
        <v>397</v>
      </c>
      <c r="F7883" t="s">
        <v>725</v>
      </c>
      <c r="G7883">
        <v>6206000</v>
      </c>
      <c r="H7883">
        <v>6367000</v>
      </c>
    </row>
    <row r="7884" spans="2:8" x14ac:dyDescent="0.25">
      <c r="B7884" t="str">
        <f t="shared" si="123"/>
        <v>RWAPopulation, total</v>
      </c>
      <c r="C7884" t="s">
        <v>210</v>
      </c>
      <c r="D7884" t="s">
        <v>123</v>
      </c>
      <c r="E7884" t="s">
        <v>398</v>
      </c>
      <c r="F7884" t="s">
        <v>726</v>
      </c>
      <c r="G7884">
        <v>12627000</v>
      </c>
      <c r="H7884">
        <v>12952000</v>
      </c>
    </row>
    <row r="7885" spans="2:8" x14ac:dyDescent="0.25">
      <c r="B7885" t="str">
        <f t="shared" si="123"/>
        <v>RWAPopulation, female</v>
      </c>
      <c r="C7885" t="s">
        <v>210</v>
      </c>
      <c r="D7885" t="s">
        <v>123</v>
      </c>
      <c r="E7885" t="s">
        <v>396</v>
      </c>
      <c r="F7885" t="s">
        <v>727</v>
      </c>
      <c r="G7885">
        <v>6421000</v>
      </c>
      <c r="H7885">
        <v>6585000</v>
      </c>
    </row>
    <row r="7886" spans="2:8" x14ac:dyDescent="0.25">
      <c r="B7886" t="str">
        <f t="shared" si="123"/>
        <v>RWAPopulation growth (annual %)</v>
      </c>
      <c r="C7886" t="s">
        <v>210</v>
      </c>
      <c r="D7886" t="s">
        <v>123</v>
      </c>
      <c r="E7886" t="s">
        <v>399</v>
      </c>
      <c r="F7886" t="s">
        <v>728</v>
      </c>
      <c r="G7886">
        <v>0</v>
      </c>
      <c r="H7886">
        <v>0</v>
      </c>
    </row>
    <row r="7887" spans="2:8" x14ac:dyDescent="0.25">
      <c r="B7887" t="str">
        <f t="shared" si="123"/>
        <v>WSMPopulation ages 0-14, female</v>
      </c>
      <c r="C7887" t="s">
        <v>254</v>
      </c>
      <c r="D7887" t="s">
        <v>152</v>
      </c>
      <c r="E7887" t="s">
        <v>687</v>
      </c>
      <c r="F7887" t="s">
        <v>688</v>
      </c>
      <c r="G7887">
        <v>36000</v>
      </c>
      <c r="H7887">
        <v>35000</v>
      </c>
    </row>
    <row r="7888" spans="2:8" x14ac:dyDescent="0.25">
      <c r="B7888" t="str">
        <f t="shared" si="123"/>
        <v>WSMPopulation ages 0-14, male</v>
      </c>
      <c r="C7888" t="s">
        <v>254</v>
      </c>
      <c r="D7888" t="s">
        <v>152</v>
      </c>
      <c r="E7888" t="s">
        <v>689</v>
      </c>
      <c r="F7888" t="s">
        <v>690</v>
      </c>
      <c r="G7888">
        <v>39000</v>
      </c>
      <c r="H7888">
        <v>38000</v>
      </c>
    </row>
    <row r="7889" spans="2:8" x14ac:dyDescent="0.25">
      <c r="B7889" t="str">
        <f t="shared" si="123"/>
        <v>WSMPopulation ages 00-04, female</v>
      </c>
      <c r="C7889" t="s">
        <v>254</v>
      </c>
      <c r="D7889" t="s">
        <v>152</v>
      </c>
      <c r="E7889" t="s">
        <v>362</v>
      </c>
      <c r="F7889" t="s">
        <v>691</v>
      </c>
      <c r="G7889">
        <v>13000</v>
      </c>
      <c r="H7889">
        <v>13000</v>
      </c>
    </row>
    <row r="7890" spans="2:8" x14ac:dyDescent="0.25">
      <c r="B7890" t="str">
        <f t="shared" si="123"/>
        <v>WSMPopulation ages 00-04, male</v>
      </c>
      <c r="C7890" t="s">
        <v>254</v>
      </c>
      <c r="D7890" t="s">
        <v>152</v>
      </c>
      <c r="E7890" t="s">
        <v>363</v>
      </c>
      <c r="F7890" t="s">
        <v>692</v>
      </c>
      <c r="G7890">
        <v>14000</v>
      </c>
      <c r="H7890">
        <v>14000</v>
      </c>
    </row>
    <row r="7891" spans="2:8" x14ac:dyDescent="0.25">
      <c r="B7891" t="str">
        <f t="shared" si="123"/>
        <v>WSMPopulation ages 05-09, female</v>
      </c>
      <c r="C7891" t="s">
        <v>254</v>
      </c>
      <c r="D7891" t="s">
        <v>152</v>
      </c>
      <c r="E7891" t="s">
        <v>364</v>
      </c>
      <c r="F7891" t="s">
        <v>693</v>
      </c>
      <c r="G7891">
        <v>12000</v>
      </c>
      <c r="H7891">
        <v>12000</v>
      </c>
    </row>
    <row r="7892" spans="2:8" x14ac:dyDescent="0.25">
      <c r="B7892" t="str">
        <f t="shared" si="123"/>
        <v>WSMPopulation ages 05-09, male</v>
      </c>
      <c r="C7892" t="s">
        <v>254</v>
      </c>
      <c r="D7892" t="s">
        <v>152</v>
      </c>
      <c r="E7892" t="s">
        <v>365</v>
      </c>
      <c r="F7892" t="s">
        <v>694</v>
      </c>
      <c r="G7892">
        <v>13000</v>
      </c>
      <c r="H7892">
        <v>13000</v>
      </c>
    </row>
    <row r="7893" spans="2:8" x14ac:dyDescent="0.25">
      <c r="B7893" t="str">
        <f t="shared" si="123"/>
        <v>WSMPopulation ages 10-14, female</v>
      </c>
      <c r="C7893" t="s">
        <v>254</v>
      </c>
      <c r="D7893" t="s">
        <v>152</v>
      </c>
      <c r="E7893" t="s">
        <v>366</v>
      </c>
      <c r="F7893" t="s">
        <v>695</v>
      </c>
      <c r="G7893">
        <v>11000</v>
      </c>
      <c r="H7893">
        <v>11000</v>
      </c>
    </row>
    <row r="7894" spans="2:8" x14ac:dyDescent="0.25">
      <c r="B7894" t="str">
        <f t="shared" si="123"/>
        <v>WSMPopulation ages 10-14, male</v>
      </c>
      <c r="C7894" t="s">
        <v>254</v>
      </c>
      <c r="D7894" t="s">
        <v>152</v>
      </c>
      <c r="E7894" t="s">
        <v>367</v>
      </c>
      <c r="F7894" t="s">
        <v>696</v>
      </c>
      <c r="G7894">
        <v>12000</v>
      </c>
      <c r="H7894">
        <v>12000</v>
      </c>
    </row>
    <row r="7895" spans="2:8" x14ac:dyDescent="0.25">
      <c r="B7895" t="str">
        <f t="shared" si="123"/>
        <v>WSMPopulation ages 15-19, female</v>
      </c>
      <c r="C7895" t="s">
        <v>254</v>
      </c>
      <c r="D7895" t="s">
        <v>152</v>
      </c>
      <c r="E7895" t="s">
        <v>368</v>
      </c>
      <c r="F7895" t="s">
        <v>697</v>
      </c>
      <c r="G7895">
        <v>9000</v>
      </c>
      <c r="H7895">
        <v>9300</v>
      </c>
    </row>
    <row r="7896" spans="2:8" x14ac:dyDescent="0.25">
      <c r="B7896" t="str">
        <f t="shared" si="123"/>
        <v>WSMPopulation ages 15-19, male</v>
      </c>
      <c r="C7896" t="s">
        <v>254</v>
      </c>
      <c r="D7896" t="s">
        <v>152</v>
      </c>
      <c r="E7896" t="s">
        <v>369</v>
      </c>
      <c r="F7896" t="s">
        <v>698</v>
      </c>
      <c r="G7896">
        <v>9800</v>
      </c>
      <c r="H7896">
        <v>10000</v>
      </c>
    </row>
    <row r="7897" spans="2:8" x14ac:dyDescent="0.25">
      <c r="B7897" t="str">
        <f t="shared" si="123"/>
        <v>WSMPopulation ages 20-24, female</v>
      </c>
      <c r="C7897" t="s">
        <v>254</v>
      </c>
      <c r="D7897" t="s">
        <v>152</v>
      </c>
      <c r="E7897" t="s">
        <v>370</v>
      </c>
      <c r="F7897" t="s">
        <v>699</v>
      </c>
      <c r="G7897">
        <v>7700</v>
      </c>
      <c r="H7897">
        <v>7800</v>
      </c>
    </row>
    <row r="7898" spans="2:8" x14ac:dyDescent="0.25">
      <c r="B7898" t="str">
        <f t="shared" si="123"/>
        <v>WSMPopulation ages 20-24, male</v>
      </c>
      <c r="C7898" t="s">
        <v>254</v>
      </c>
      <c r="D7898" t="s">
        <v>152</v>
      </c>
      <c r="E7898" t="s">
        <v>371</v>
      </c>
      <c r="F7898" t="s">
        <v>700</v>
      </c>
      <c r="G7898">
        <v>8700</v>
      </c>
      <c r="H7898">
        <v>8800</v>
      </c>
    </row>
    <row r="7899" spans="2:8" x14ac:dyDescent="0.25">
      <c r="B7899" t="str">
        <f t="shared" si="123"/>
        <v>WSMPopulation ages 25-29, female</v>
      </c>
      <c r="C7899" t="s">
        <v>254</v>
      </c>
      <c r="D7899" t="s">
        <v>152</v>
      </c>
      <c r="E7899" t="s">
        <v>372</v>
      </c>
      <c r="F7899" t="s">
        <v>701</v>
      </c>
      <c r="G7899">
        <v>6600</v>
      </c>
      <c r="H7899">
        <v>6900</v>
      </c>
    </row>
    <row r="7900" spans="2:8" x14ac:dyDescent="0.25">
      <c r="B7900" t="str">
        <f t="shared" si="123"/>
        <v>WSMPopulation ages 25-29, male</v>
      </c>
      <c r="C7900" t="s">
        <v>254</v>
      </c>
      <c r="D7900" t="s">
        <v>152</v>
      </c>
      <c r="E7900" t="s">
        <v>373</v>
      </c>
      <c r="F7900" t="s">
        <v>702</v>
      </c>
      <c r="G7900">
        <v>7600</v>
      </c>
      <c r="H7900">
        <v>7900</v>
      </c>
    </row>
    <row r="7901" spans="2:8" x14ac:dyDescent="0.25">
      <c r="B7901" t="str">
        <f t="shared" si="123"/>
        <v>WSMPopulation ages 30-34, female</v>
      </c>
      <c r="C7901" t="s">
        <v>254</v>
      </c>
      <c r="D7901" t="s">
        <v>152</v>
      </c>
      <c r="E7901" t="s">
        <v>374</v>
      </c>
      <c r="F7901" t="s">
        <v>703</v>
      </c>
      <c r="G7901">
        <v>5300</v>
      </c>
      <c r="H7901">
        <v>5500</v>
      </c>
    </row>
    <row r="7902" spans="2:8" x14ac:dyDescent="0.25">
      <c r="B7902" t="str">
        <f t="shared" si="123"/>
        <v>WSMPopulation ages 30-34, male</v>
      </c>
      <c r="C7902" t="s">
        <v>254</v>
      </c>
      <c r="D7902" t="s">
        <v>152</v>
      </c>
      <c r="E7902" t="s">
        <v>375</v>
      </c>
      <c r="F7902" t="s">
        <v>704</v>
      </c>
      <c r="G7902">
        <v>6000</v>
      </c>
      <c r="H7902">
        <v>6200</v>
      </c>
    </row>
    <row r="7903" spans="2:8" x14ac:dyDescent="0.25">
      <c r="B7903" t="str">
        <f t="shared" si="123"/>
        <v>WSMPopulation ages 35-39, female</v>
      </c>
      <c r="C7903" t="s">
        <v>254</v>
      </c>
      <c r="D7903" t="s">
        <v>152</v>
      </c>
      <c r="E7903" t="s">
        <v>376</v>
      </c>
      <c r="F7903" t="s">
        <v>705</v>
      </c>
      <c r="G7903">
        <v>5100</v>
      </c>
      <c r="H7903">
        <v>5000</v>
      </c>
    </row>
    <row r="7904" spans="2:8" x14ac:dyDescent="0.25">
      <c r="B7904" t="str">
        <f t="shared" si="123"/>
        <v>WSMPopulation ages 35-39, male</v>
      </c>
      <c r="C7904" t="s">
        <v>254</v>
      </c>
      <c r="D7904" t="s">
        <v>152</v>
      </c>
      <c r="E7904" t="s">
        <v>377</v>
      </c>
      <c r="F7904" t="s">
        <v>706</v>
      </c>
      <c r="G7904">
        <v>5400</v>
      </c>
      <c r="H7904">
        <v>5400</v>
      </c>
    </row>
    <row r="7905" spans="2:8" x14ac:dyDescent="0.25">
      <c r="B7905" t="str">
        <f t="shared" si="123"/>
        <v>WSMPopulation ages 40-44, female</v>
      </c>
      <c r="C7905" t="s">
        <v>254</v>
      </c>
      <c r="D7905" t="s">
        <v>152</v>
      </c>
      <c r="E7905" t="s">
        <v>378</v>
      </c>
      <c r="F7905" t="s">
        <v>707</v>
      </c>
      <c r="G7905">
        <v>4800</v>
      </c>
      <c r="H7905">
        <v>4800</v>
      </c>
    </row>
    <row r="7906" spans="2:8" x14ac:dyDescent="0.25">
      <c r="B7906" t="str">
        <f t="shared" si="123"/>
        <v>WSMPopulation ages 40-44, male</v>
      </c>
      <c r="C7906" t="s">
        <v>254</v>
      </c>
      <c r="D7906" t="s">
        <v>152</v>
      </c>
      <c r="E7906" t="s">
        <v>379</v>
      </c>
      <c r="F7906" t="s">
        <v>708</v>
      </c>
      <c r="G7906">
        <v>5200</v>
      </c>
      <c r="H7906">
        <v>5100</v>
      </c>
    </row>
    <row r="7907" spans="2:8" x14ac:dyDescent="0.25">
      <c r="B7907" t="str">
        <f t="shared" si="123"/>
        <v>WSMPopulation ages 45-49, female</v>
      </c>
      <c r="C7907" t="s">
        <v>254</v>
      </c>
      <c r="D7907" t="s">
        <v>152</v>
      </c>
      <c r="E7907" t="s">
        <v>380</v>
      </c>
      <c r="F7907" t="s">
        <v>709</v>
      </c>
      <c r="G7907">
        <v>4500</v>
      </c>
      <c r="H7907">
        <v>4600</v>
      </c>
    </row>
    <row r="7908" spans="2:8" x14ac:dyDescent="0.25">
      <c r="B7908" t="str">
        <f t="shared" si="123"/>
        <v>WSMPopulation ages 45-49, male</v>
      </c>
      <c r="C7908" t="s">
        <v>254</v>
      </c>
      <c r="D7908" t="s">
        <v>152</v>
      </c>
      <c r="E7908" t="s">
        <v>381</v>
      </c>
      <c r="F7908" t="s">
        <v>710</v>
      </c>
      <c r="G7908">
        <v>5100</v>
      </c>
      <c r="H7908">
        <v>5100</v>
      </c>
    </row>
    <row r="7909" spans="2:8" x14ac:dyDescent="0.25">
      <c r="B7909" t="str">
        <f t="shared" si="123"/>
        <v>WSMPopulation ages 50-54, female</v>
      </c>
      <c r="C7909" t="s">
        <v>254</v>
      </c>
      <c r="D7909" t="s">
        <v>152</v>
      </c>
      <c r="E7909" t="s">
        <v>382</v>
      </c>
      <c r="F7909" t="s">
        <v>711</v>
      </c>
      <c r="G7909">
        <v>4200</v>
      </c>
      <c r="H7909">
        <v>4200</v>
      </c>
    </row>
    <row r="7910" spans="2:8" x14ac:dyDescent="0.25">
      <c r="B7910" t="str">
        <f t="shared" si="123"/>
        <v>WSMPopulation ages 50-54, male</v>
      </c>
      <c r="C7910" t="s">
        <v>254</v>
      </c>
      <c r="D7910" t="s">
        <v>152</v>
      </c>
      <c r="E7910" t="s">
        <v>383</v>
      </c>
      <c r="F7910" t="s">
        <v>712</v>
      </c>
      <c r="G7910">
        <v>4600</v>
      </c>
      <c r="H7910">
        <v>4700</v>
      </c>
    </row>
    <row r="7911" spans="2:8" x14ac:dyDescent="0.25">
      <c r="B7911" t="str">
        <f t="shared" si="123"/>
        <v>WSMPopulation ages 55-59, male</v>
      </c>
      <c r="C7911" t="s">
        <v>254</v>
      </c>
      <c r="D7911" t="s">
        <v>152</v>
      </c>
      <c r="E7911" t="s">
        <v>385</v>
      </c>
      <c r="F7911" t="s">
        <v>713</v>
      </c>
      <c r="G7911">
        <v>3700</v>
      </c>
      <c r="H7911">
        <v>3800</v>
      </c>
    </row>
    <row r="7912" spans="2:8" x14ac:dyDescent="0.25">
      <c r="B7912" t="str">
        <f t="shared" si="123"/>
        <v>WSMPopulation ages 55-59, female</v>
      </c>
      <c r="C7912" t="s">
        <v>254</v>
      </c>
      <c r="D7912" t="s">
        <v>152</v>
      </c>
      <c r="E7912" t="s">
        <v>384</v>
      </c>
      <c r="F7912" t="s">
        <v>714</v>
      </c>
      <c r="G7912">
        <v>3600</v>
      </c>
      <c r="H7912">
        <v>3700</v>
      </c>
    </row>
    <row r="7913" spans="2:8" x14ac:dyDescent="0.25">
      <c r="B7913" t="str">
        <f t="shared" si="123"/>
        <v>WSMPopulation ages 65-69, male</v>
      </c>
      <c r="C7913" t="s">
        <v>254</v>
      </c>
      <c r="D7913" t="s">
        <v>152</v>
      </c>
      <c r="E7913" t="s">
        <v>389</v>
      </c>
      <c r="F7913" t="s">
        <v>715</v>
      </c>
      <c r="G7913">
        <v>1900</v>
      </c>
      <c r="H7913">
        <v>2000</v>
      </c>
    </row>
    <row r="7914" spans="2:8" x14ac:dyDescent="0.25">
      <c r="B7914" t="str">
        <f t="shared" si="123"/>
        <v>WSMPopulation ages 65-69, female</v>
      </c>
      <c r="C7914" t="s">
        <v>254</v>
      </c>
      <c r="D7914" t="s">
        <v>152</v>
      </c>
      <c r="E7914" t="s">
        <v>388</v>
      </c>
      <c r="F7914" t="s">
        <v>716</v>
      </c>
      <c r="G7914">
        <v>2000</v>
      </c>
      <c r="H7914">
        <v>2100</v>
      </c>
    </row>
    <row r="7915" spans="2:8" x14ac:dyDescent="0.25">
      <c r="B7915" t="str">
        <f t="shared" si="123"/>
        <v>WSMPopulation ages 60-64, female</v>
      </c>
      <c r="C7915" t="s">
        <v>254</v>
      </c>
      <c r="D7915" t="s">
        <v>152</v>
      </c>
      <c r="E7915" t="s">
        <v>386</v>
      </c>
      <c r="F7915" t="s">
        <v>717</v>
      </c>
      <c r="G7915">
        <v>2800</v>
      </c>
      <c r="H7915">
        <v>2900</v>
      </c>
    </row>
    <row r="7916" spans="2:8" x14ac:dyDescent="0.25">
      <c r="B7916" t="str">
        <f t="shared" si="123"/>
        <v>WSMPopulation ages 60-64, male</v>
      </c>
      <c r="C7916" t="s">
        <v>254</v>
      </c>
      <c r="D7916" t="s">
        <v>152</v>
      </c>
      <c r="E7916" t="s">
        <v>387</v>
      </c>
      <c r="F7916" t="s">
        <v>718</v>
      </c>
      <c r="G7916">
        <v>2900</v>
      </c>
      <c r="H7916">
        <v>3000</v>
      </c>
    </row>
    <row r="7917" spans="2:8" x14ac:dyDescent="0.25">
      <c r="B7917" t="str">
        <f t="shared" si="123"/>
        <v>WSMPopulation ages 70-74, female</v>
      </c>
      <c r="C7917" t="s">
        <v>254</v>
      </c>
      <c r="D7917" t="s">
        <v>152</v>
      </c>
      <c r="E7917" t="s">
        <v>390</v>
      </c>
      <c r="F7917" t="s">
        <v>719</v>
      </c>
      <c r="G7917">
        <v>1400</v>
      </c>
      <c r="H7917">
        <v>1500</v>
      </c>
    </row>
    <row r="7918" spans="2:8" x14ac:dyDescent="0.25">
      <c r="B7918" t="str">
        <f t="shared" si="123"/>
        <v>WSMPopulation ages 70-74, male</v>
      </c>
      <c r="C7918" t="s">
        <v>254</v>
      </c>
      <c r="D7918" t="s">
        <v>152</v>
      </c>
      <c r="E7918" t="s">
        <v>391</v>
      </c>
      <c r="F7918" t="s">
        <v>720</v>
      </c>
      <c r="G7918">
        <v>1200</v>
      </c>
      <c r="H7918">
        <v>1200</v>
      </c>
    </row>
    <row r="7919" spans="2:8" x14ac:dyDescent="0.25">
      <c r="B7919" t="str">
        <f t="shared" si="123"/>
        <v>WSMPopulation ages 75-79, female</v>
      </c>
      <c r="C7919" t="s">
        <v>254</v>
      </c>
      <c r="D7919" t="s">
        <v>152</v>
      </c>
      <c r="E7919" t="s">
        <v>392</v>
      </c>
      <c r="F7919" t="s">
        <v>721</v>
      </c>
      <c r="G7919">
        <v>1100</v>
      </c>
      <c r="H7919">
        <v>1100</v>
      </c>
    </row>
    <row r="7920" spans="2:8" x14ac:dyDescent="0.25">
      <c r="B7920" t="str">
        <f t="shared" si="123"/>
        <v>WSMPopulation ages 75-79, male</v>
      </c>
      <c r="C7920" t="s">
        <v>254</v>
      </c>
      <c r="D7920" t="s">
        <v>152</v>
      </c>
      <c r="E7920" t="s">
        <v>393</v>
      </c>
      <c r="F7920" t="s">
        <v>722</v>
      </c>
      <c r="G7920">
        <v>700</v>
      </c>
      <c r="H7920">
        <v>700</v>
      </c>
    </row>
    <row r="7921" spans="2:8" x14ac:dyDescent="0.25">
      <c r="B7921" t="str">
        <f t="shared" si="123"/>
        <v>WSMPopulation ages 80 and above, female</v>
      </c>
      <c r="C7921" t="s">
        <v>254</v>
      </c>
      <c r="D7921" t="s">
        <v>152</v>
      </c>
      <c r="E7921" t="s">
        <v>394</v>
      </c>
      <c r="F7921" t="s">
        <v>723</v>
      </c>
      <c r="G7921">
        <v>900</v>
      </c>
      <c r="H7921">
        <v>900</v>
      </c>
    </row>
    <row r="7922" spans="2:8" x14ac:dyDescent="0.25">
      <c r="B7922" t="str">
        <f t="shared" si="123"/>
        <v>WSMPopulation ages 80 and above, male</v>
      </c>
      <c r="C7922" t="s">
        <v>254</v>
      </c>
      <c r="D7922" t="s">
        <v>152</v>
      </c>
      <c r="E7922" t="s">
        <v>395</v>
      </c>
      <c r="F7922" t="s">
        <v>724</v>
      </c>
      <c r="G7922">
        <v>500</v>
      </c>
      <c r="H7922">
        <v>500</v>
      </c>
    </row>
    <row r="7923" spans="2:8" x14ac:dyDescent="0.25">
      <c r="B7923" t="str">
        <f t="shared" si="123"/>
        <v>WSMPopulation, male</v>
      </c>
      <c r="C7923" t="s">
        <v>254</v>
      </c>
      <c r="D7923" t="s">
        <v>152</v>
      </c>
      <c r="E7923" t="s">
        <v>397</v>
      </c>
      <c r="F7923" t="s">
        <v>725</v>
      </c>
      <c r="G7923">
        <v>102000</v>
      </c>
      <c r="H7923">
        <v>103000</v>
      </c>
    </row>
    <row r="7924" spans="2:8" x14ac:dyDescent="0.25">
      <c r="B7924" t="str">
        <f t="shared" si="123"/>
        <v>WSMPopulation, total</v>
      </c>
      <c r="C7924" t="s">
        <v>254</v>
      </c>
      <c r="D7924" t="s">
        <v>152</v>
      </c>
      <c r="E7924" t="s">
        <v>398</v>
      </c>
      <c r="F7924" t="s">
        <v>726</v>
      </c>
      <c r="G7924">
        <v>197000</v>
      </c>
      <c r="H7924">
        <v>198000</v>
      </c>
    </row>
    <row r="7925" spans="2:8" x14ac:dyDescent="0.25">
      <c r="B7925" t="str">
        <f t="shared" si="123"/>
        <v>WSMPopulation, female</v>
      </c>
      <c r="C7925" t="s">
        <v>254</v>
      </c>
      <c r="D7925" t="s">
        <v>152</v>
      </c>
      <c r="E7925" t="s">
        <v>396</v>
      </c>
      <c r="F7925" t="s">
        <v>727</v>
      </c>
      <c r="G7925">
        <v>95000</v>
      </c>
      <c r="H7925">
        <v>96000</v>
      </c>
    </row>
    <row r="7926" spans="2:8" x14ac:dyDescent="0.25">
      <c r="B7926" t="str">
        <f t="shared" si="123"/>
        <v>WSMPopulation growth (annual %)</v>
      </c>
      <c r="C7926" t="s">
        <v>254</v>
      </c>
      <c r="D7926" t="s">
        <v>152</v>
      </c>
      <c r="E7926" t="s">
        <v>399</v>
      </c>
      <c r="F7926" t="s">
        <v>728</v>
      </c>
      <c r="G7926">
        <v>0</v>
      </c>
      <c r="H7926">
        <v>0</v>
      </c>
    </row>
    <row r="7927" spans="2:8" x14ac:dyDescent="0.25">
      <c r="B7927" t="str">
        <f t="shared" si="123"/>
        <v>SMRPopulation ages 0-14, female</v>
      </c>
      <c r="C7927" t="s">
        <v>619</v>
      </c>
      <c r="D7927" t="s">
        <v>130</v>
      </c>
      <c r="E7927" t="s">
        <v>687</v>
      </c>
      <c r="F7927" t="s">
        <v>688</v>
      </c>
      <c r="G7927">
        <v>0</v>
      </c>
      <c r="H7927">
        <v>0</v>
      </c>
    </row>
    <row r="7928" spans="2:8" x14ac:dyDescent="0.25">
      <c r="B7928" t="str">
        <f t="shared" si="123"/>
        <v>SMRPopulation ages 0-14, male</v>
      </c>
      <c r="C7928" t="s">
        <v>619</v>
      </c>
      <c r="D7928" t="s">
        <v>130</v>
      </c>
      <c r="E7928" t="s">
        <v>689</v>
      </c>
      <c r="F7928" t="s">
        <v>690</v>
      </c>
      <c r="G7928">
        <v>0</v>
      </c>
      <c r="H7928">
        <v>0</v>
      </c>
    </row>
    <row r="7929" spans="2:8" x14ac:dyDescent="0.25">
      <c r="B7929" t="str">
        <f t="shared" si="123"/>
        <v>SMRPopulation ages 00-04, female</v>
      </c>
      <c r="C7929" t="s">
        <v>619</v>
      </c>
      <c r="D7929" t="s">
        <v>130</v>
      </c>
      <c r="E7929" t="s">
        <v>362</v>
      </c>
      <c r="F7929" t="s">
        <v>691</v>
      </c>
      <c r="G7929">
        <v>0</v>
      </c>
      <c r="H7929">
        <v>0</v>
      </c>
    </row>
    <row r="7930" spans="2:8" x14ac:dyDescent="0.25">
      <c r="B7930" t="str">
        <f t="shared" si="123"/>
        <v>SMRPopulation ages 00-04, male</v>
      </c>
      <c r="C7930" t="s">
        <v>619</v>
      </c>
      <c r="D7930" t="s">
        <v>130</v>
      </c>
      <c r="E7930" t="s">
        <v>363</v>
      </c>
      <c r="F7930" t="s">
        <v>692</v>
      </c>
      <c r="G7930">
        <v>0</v>
      </c>
      <c r="H7930">
        <v>0</v>
      </c>
    </row>
    <row r="7931" spans="2:8" x14ac:dyDescent="0.25">
      <c r="B7931" t="str">
        <f t="shared" si="123"/>
        <v>SMRPopulation ages 05-09, female</v>
      </c>
      <c r="C7931" t="s">
        <v>619</v>
      </c>
      <c r="D7931" t="s">
        <v>130</v>
      </c>
      <c r="E7931" t="s">
        <v>364</v>
      </c>
      <c r="F7931" t="s">
        <v>693</v>
      </c>
      <c r="G7931">
        <v>0</v>
      </c>
      <c r="H7931">
        <v>0</v>
      </c>
    </row>
    <row r="7932" spans="2:8" x14ac:dyDescent="0.25">
      <c r="B7932" t="str">
        <f t="shared" si="123"/>
        <v>SMRPopulation ages 05-09, male</v>
      </c>
      <c r="C7932" t="s">
        <v>619</v>
      </c>
      <c r="D7932" t="s">
        <v>130</v>
      </c>
      <c r="E7932" t="s">
        <v>365</v>
      </c>
      <c r="F7932" t="s">
        <v>694</v>
      </c>
      <c r="G7932">
        <v>0</v>
      </c>
      <c r="H7932">
        <v>0</v>
      </c>
    </row>
    <row r="7933" spans="2:8" x14ac:dyDescent="0.25">
      <c r="B7933" t="str">
        <f t="shared" si="123"/>
        <v>SMRPopulation ages 10-14, female</v>
      </c>
      <c r="C7933" t="s">
        <v>619</v>
      </c>
      <c r="D7933" t="s">
        <v>130</v>
      </c>
      <c r="E7933" t="s">
        <v>366</v>
      </c>
      <c r="F7933" t="s">
        <v>695</v>
      </c>
      <c r="G7933">
        <v>0</v>
      </c>
      <c r="H7933">
        <v>0</v>
      </c>
    </row>
    <row r="7934" spans="2:8" x14ac:dyDescent="0.25">
      <c r="B7934" t="str">
        <f t="shared" si="123"/>
        <v>SMRPopulation ages 10-14, male</v>
      </c>
      <c r="C7934" t="s">
        <v>619</v>
      </c>
      <c r="D7934" t="s">
        <v>130</v>
      </c>
      <c r="E7934" t="s">
        <v>367</v>
      </c>
      <c r="F7934" t="s">
        <v>696</v>
      </c>
      <c r="G7934">
        <v>0</v>
      </c>
      <c r="H7934">
        <v>0</v>
      </c>
    </row>
    <row r="7935" spans="2:8" x14ac:dyDescent="0.25">
      <c r="B7935" t="str">
        <f t="shared" si="123"/>
        <v>SMRPopulation ages 15-19, female</v>
      </c>
      <c r="C7935" t="s">
        <v>619</v>
      </c>
      <c r="D7935" t="s">
        <v>130</v>
      </c>
      <c r="E7935" t="s">
        <v>368</v>
      </c>
      <c r="F7935" t="s">
        <v>697</v>
      </c>
      <c r="G7935">
        <v>0</v>
      </c>
      <c r="H7935">
        <v>0</v>
      </c>
    </row>
    <row r="7936" spans="2:8" x14ac:dyDescent="0.25">
      <c r="B7936" t="str">
        <f t="shared" si="123"/>
        <v>SMRPopulation ages 15-19, male</v>
      </c>
      <c r="C7936" t="s">
        <v>619</v>
      </c>
      <c r="D7936" t="s">
        <v>130</v>
      </c>
      <c r="E7936" t="s">
        <v>369</v>
      </c>
      <c r="F7936" t="s">
        <v>698</v>
      </c>
      <c r="G7936">
        <v>0</v>
      </c>
      <c r="H7936">
        <v>0</v>
      </c>
    </row>
    <row r="7937" spans="2:8" x14ac:dyDescent="0.25">
      <c r="B7937" t="str">
        <f t="shared" si="123"/>
        <v>SMRPopulation ages 20-24, female</v>
      </c>
      <c r="C7937" t="s">
        <v>619</v>
      </c>
      <c r="D7937" t="s">
        <v>130</v>
      </c>
      <c r="E7937" t="s">
        <v>370</v>
      </c>
      <c r="F7937" t="s">
        <v>699</v>
      </c>
      <c r="G7937">
        <v>0</v>
      </c>
      <c r="H7937">
        <v>0</v>
      </c>
    </row>
    <row r="7938" spans="2:8" x14ac:dyDescent="0.25">
      <c r="B7938" t="str">
        <f t="shared" si="123"/>
        <v>SMRPopulation ages 20-24, male</v>
      </c>
      <c r="C7938" t="s">
        <v>619</v>
      </c>
      <c r="D7938" t="s">
        <v>130</v>
      </c>
      <c r="E7938" t="s">
        <v>371</v>
      </c>
      <c r="F7938" t="s">
        <v>700</v>
      </c>
      <c r="G7938">
        <v>0</v>
      </c>
      <c r="H7938">
        <v>0</v>
      </c>
    </row>
    <row r="7939" spans="2:8" x14ac:dyDescent="0.25">
      <c r="B7939" t="str">
        <f t="shared" si="123"/>
        <v>SMRPopulation ages 25-29, female</v>
      </c>
      <c r="C7939" t="s">
        <v>619</v>
      </c>
      <c r="D7939" t="s">
        <v>130</v>
      </c>
      <c r="E7939" t="s">
        <v>372</v>
      </c>
      <c r="F7939" t="s">
        <v>701</v>
      </c>
      <c r="G7939">
        <v>0</v>
      </c>
      <c r="H7939">
        <v>0</v>
      </c>
    </row>
    <row r="7940" spans="2:8" x14ac:dyDescent="0.25">
      <c r="B7940" t="str">
        <f t="shared" si="123"/>
        <v>SMRPopulation ages 25-29, male</v>
      </c>
      <c r="C7940" t="s">
        <v>619</v>
      </c>
      <c r="D7940" t="s">
        <v>130</v>
      </c>
      <c r="E7940" t="s">
        <v>373</v>
      </c>
      <c r="F7940" t="s">
        <v>702</v>
      </c>
      <c r="G7940">
        <v>0</v>
      </c>
      <c r="H7940">
        <v>0</v>
      </c>
    </row>
    <row r="7941" spans="2:8" x14ac:dyDescent="0.25">
      <c r="B7941" t="str">
        <f t="shared" si="123"/>
        <v>SMRPopulation ages 30-34, female</v>
      </c>
      <c r="C7941" t="s">
        <v>619</v>
      </c>
      <c r="D7941" t="s">
        <v>130</v>
      </c>
      <c r="E7941" t="s">
        <v>374</v>
      </c>
      <c r="F7941" t="s">
        <v>703</v>
      </c>
      <c r="G7941">
        <v>0</v>
      </c>
      <c r="H7941">
        <v>0</v>
      </c>
    </row>
    <row r="7942" spans="2:8" x14ac:dyDescent="0.25">
      <c r="B7942" t="str">
        <f t="shared" si="123"/>
        <v>SMRPopulation ages 30-34, male</v>
      </c>
      <c r="C7942" t="s">
        <v>619</v>
      </c>
      <c r="D7942" t="s">
        <v>130</v>
      </c>
      <c r="E7942" t="s">
        <v>375</v>
      </c>
      <c r="F7942" t="s">
        <v>704</v>
      </c>
      <c r="G7942">
        <v>0</v>
      </c>
      <c r="H7942">
        <v>0</v>
      </c>
    </row>
    <row r="7943" spans="2:8" x14ac:dyDescent="0.25">
      <c r="B7943" t="str">
        <f t="shared" ref="B7943:B8006" si="124">CONCATENATE(D7943,E7943)</f>
        <v>SMRPopulation ages 35-39, female</v>
      </c>
      <c r="C7943" t="s">
        <v>619</v>
      </c>
      <c r="D7943" t="s">
        <v>130</v>
      </c>
      <c r="E7943" t="s">
        <v>376</v>
      </c>
      <c r="F7943" t="s">
        <v>705</v>
      </c>
      <c r="G7943">
        <v>0</v>
      </c>
      <c r="H7943">
        <v>0</v>
      </c>
    </row>
    <row r="7944" spans="2:8" x14ac:dyDescent="0.25">
      <c r="B7944" t="str">
        <f t="shared" si="124"/>
        <v>SMRPopulation ages 35-39, male</v>
      </c>
      <c r="C7944" t="s">
        <v>619</v>
      </c>
      <c r="D7944" t="s">
        <v>130</v>
      </c>
      <c r="E7944" t="s">
        <v>377</v>
      </c>
      <c r="F7944" t="s">
        <v>706</v>
      </c>
      <c r="G7944">
        <v>0</v>
      </c>
      <c r="H7944">
        <v>0</v>
      </c>
    </row>
    <row r="7945" spans="2:8" x14ac:dyDescent="0.25">
      <c r="B7945" t="str">
        <f t="shared" si="124"/>
        <v>SMRPopulation ages 40-44, female</v>
      </c>
      <c r="C7945" t="s">
        <v>619</v>
      </c>
      <c r="D7945" t="s">
        <v>130</v>
      </c>
      <c r="E7945" t="s">
        <v>378</v>
      </c>
      <c r="F7945" t="s">
        <v>707</v>
      </c>
      <c r="G7945">
        <v>0</v>
      </c>
      <c r="H7945">
        <v>0</v>
      </c>
    </row>
    <row r="7946" spans="2:8" x14ac:dyDescent="0.25">
      <c r="B7946" t="str">
        <f t="shared" si="124"/>
        <v>SMRPopulation ages 40-44, male</v>
      </c>
      <c r="C7946" t="s">
        <v>619</v>
      </c>
      <c r="D7946" t="s">
        <v>130</v>
      </c>
      <c r="E7946" t="s">
        <v>379</v>
      </c>
      <c r="F7946" t="s">
        <v>708</v>
      </c>
      <c r="G7946">
        <v>0</v>
      </c>
      <c r="H7946">
        <v>0</v>
      </c>
    </row>
    <row r="7947" spans="2:8" x14ac:dyDescent="0.25">
      <c r="B7947" t="str">
        <f t="shared" si="124"/>
        <v>SMRPopulation ages 45-49, female</v>
      </c>
      <c r="C7947" t="s">
        <v>619</v>
      </c>
      <c r="D7947" t="s">
        <v>130</v>
      </c>
      <c r="E7947" t="s">
        <v>380</v>
      </c>
      <c r="F7947" t="s">
        <v>709</v>
      </c>
      <c r="G7947">
        <v>0</v>
      </c>
      <c r="H7947">
        <v>0</v>
      </c>
    </row>
    <row r="7948" spans="2:8" x14ac:dyDescent="0.25">
      <c r="B7948" t="str">
        <f t="shared" si="124"/>
        <v>SMRPopulation ages 45-49, male</v>
      </c>
      <c r="C7948" t="s">
        <v>619</v>
      </c>
      <c r="D7948" t="s">
        <v>130</v>
      </c>
      <c r="E7948" t="s">
        <v>381</v>
      </c>
      <c r="F7948" t="s">
        <v>710</v>
      </c>
      <c r="G7948">
        <v>0</v>
      </c>
      <c r="H7948">
        <v>0</v>
      </c>
    </row>
    <row r="7949" spans="2:8" x14ac:dyDescent="0.25">
      <c r="B7949" t="str">
        <f t="shared" si="124"/>
        <v>SMRPopulation ages 50-54, female</v>
      </c>
      <c r="C7949" t="s">
        <v>619</v>
      </c>
      <c r="D7949" t="s">
        <v>130</v>
      </c>
      <c r="E7949" t="s">
        <v>382</v>
      </c>
      <c r="F7949" t="s">
        <v>711</v>
      </c>
      <c r="G7949">
        <v>0</v>
      </c>
      <c r="H7949">
        <v>0</v>
      </c>
    </row>
    <row r="7950" spans="2:8" x14ac:dyDescent="0.25">
      <c r="B7950" t="str">
        <f t="shared" si="124"/>
        <v>SMRPopulation ages 50-54, male</v>
      </c>
      <c r="C7950" t="s">
        <v>619</v>
      </c>
      <c r="D7950" t="s">
        <v>130</v>
      </c>
      <c r="E7950" t="s">
        <v>383</v>
      </c>
      <c r="F7950" t="s">
        <v>712</v>
      </c>
      <c r="G7950">
        <v>0</v>
      </c>
      <c r="H7950">
        <v>0</v>
      </c>
    </row>
    <row r="7951" spans="2:8" x14ac:dyDescent="0.25">
      <c r="B7951" t="str">
        <f t="shared" si="124"/>
        <v>SMRPopulation ages 55-59, male</v>
      </c>
      <c r="C7951" t="s">
        <v>619</v>
      </c>
      <c r="D7951" t="s">
        <v>130</v>
      </c>
      <c r="E7951" t="s">
        <v>385</v>
      </c>
      <c r="F7951" t="s">
        <v>713</v>
      </c>
      <c r="G7951">
        <v>0</v>
      </c>
      <c r="H7951">
        <v>0</v>
      </c>
    </row>
    <row r="7952" spans="2:8" x14ac:dyDescent="0.25">
      <c r="B7952" t="str">
        <f t="shared" si="124"/>
        <v>SMRPopulation ages 55-59, female</v>
      </c>
      <c r="C7952" t="s">
        <v>619</v>
      </c>
      <c r="D7952" t="s">
        <v>130</v>
      </c>
      <c r="E7952" t="s">
        <v>384</v>
      </c>
      <c r="F7952" t="s">
        <v>714</v>
      </c>
      <c r="G7952">
        <v>0</v>
      </c>
      <c r="H7952">
        <v>0</v>
      </c>
    </row>
    <row r="7953" spans="2:8" x14ac:dyDescent="0.25">
      <c r="B7953" t="str">
        <f t="shared" si="124"/>
        <v>SMRPopulation ages 65-69, male</v>
      </c>
      <c r="C7953" t="s">
        <v>619</v>
      </c>
      <c r="D7953" t="s">
        <v>130</v>
      </c>
      <c r="E7953" t="s">
        <v>389</v>
      </c>
      <c r="F7953" t="s">
        <v>715</v>
      </c>
      <c r="G7953">
        <v>0</v>
      </c>
      <c r="H7953">
        <v>0</v>
      </c>
    </row>
    <row r="7954" spans="2:8" x14ac:dyDescent="0.25">
      <c r="B7954" t="str">
        <f t="shared" si="124"/>
        <v>SMRPopulation ages 65-69, female</v>
      </c>
      <c r="C7954" t="s">
        <v>619</v>
      </c>
      <c r="D7954" t="s">
        <v>130</v>
      </c>
      <c r="E7954" t="s">
        <v>388</v>
      </c>
      <c r="F7954" t="s">
        <v>716</v>
      </c>
      <c r="G7954">
        <v>0</v>
      </c>
      <c r="H7954">
        <v>0</v>
      </c>
    </row>
    <row r="7955" spans="2:8" x14ac:dyDescent="0.25">
      <c r="B7955" t="str">
        <f t="shared" si="124"/>
        <v>SMRPopulation ages 60-64, female</v>
      </c>
      <c r="C7955" t="s">
        <v>619</v>
      </c>
      <c r="D7955" t="s">
        <v>130</v>
      </c>
      <c r="E7955" t="s">
        <v>386</v>
      </c>
      <c r="F7955" t="s">
        <v>717</v>
      </c>
      <c r="G7955">
        <v>0</v>
      </c>
      <c r="H7955">
        <v>0</v>
      </c>
    </row>
    <row r="7956" spans="2:8" x14ac:dyDescent="0.25">
      <c r="B7956" t="str">
        <f t="shared" si="124"/>
        <v>SMRPopulation ages 60-64, male</v>
      </c>
      <c r="C7956" t="s">
        <v>619</v>
      </c>
      <c r="D7956" t="s">
        <v>130</v>
      </c>
      <c r="E7956" t="s">
        <v>387</v>
      </c>
      <c r="F7956" t="s">
        <v>718</v>
      </c>
      <c r="G7956">
        <v>0</v>
      </c>
      <c r="H7956">
        <v>0</v>
      </c>
    </row>
    <row r="7957" spans="2:8" x14ac:dyDescent="0.25">
      <c r="B7957" t="str">
        <f t="shared" si="124"/>
        <v>SMRPopulation ages 70-74, female</v>
      </c>
      <c r="C7957" t="s">
        <v>619</v>
      </c>
      <c r="D7957" t="s">
        <v>130</v>
      </c>
      <c r="E7957" t="s">
        <v>390</v>
      </c>
      <c r="F7957" t="s">
        <v>719</v>
      </c>
      <c r="G7957">
        <v>0</v>
      </c>
      <c r="H7957">
        <v>0</v>
      </c>
    </row>
    <row r="7958" spans="2:8" x14ac:dyDescent="0.25">
      <c r="B7958" t="str">
        <f t="shared" si="124"/>
        <v>SMRPopulation ages 70-74, male</v>
      </c>
      <c r="C7958" t="s">
        <v>619</v>
      </c>
      <c r="D7958" t="s">
        <v>130</v>
      </c>
      <c r="E7958" t="s">
        <v>391</v>
      </c>
      <c r="F7958" t="s">
        <v>720</v>
      </c>
      <c r="G7958">
        <v>0</v>
      </c>
      <c r="H7958">
        <v>0</v>
      </c>
    </row>
    <row r="7959" spans="2:8" x14ac:dyDescent="0.25">
      <c r="B7959" t="str">
        <f t="shared" si="124"/>
        <v>SMRPopulation ages 75-79, female</v>
      </c>
      <c r="C7959" t="s">
        <v>619</v>
      </c>
      <c r="D7959" t="s">
        <v>130</v>
      </c>
      <c r="E7959" t="s">
        <v>392</v>
      </c>
      <c r="F7959" t="s">
        <v>721</v>
      </c>
      <c r="G7959">
        <v>0</v>
      </c>
      <c r="H7959">
        <v>0</v>
      </c>
    </row>
    <row r="7960" spans="2:8" x14ac:dyDescent="0.25">
      <c r="B7960" t="str">
        <f t="shared" si="124"/>
        <v>SMRPopulation ages 75-79, male</v>
      </c>
      <c r="C7960" t="s">
        <v>619</v>
      </c>
      <c r="D7960" t="s">
        <v>130</v>
      </c>
      <c r="E7960" t="s">
        <v>393</v>
      </c>
      <c r="F7960" t="s">
        <v>722</v>
      </c>
      <c r="G7960">
        <v>0</v>
      </c>
      <c r="H7960">
        <v>0</v>
      </c>
    </row>
    <row r="7961" spans="2:8" x14ac:dyDescent="0.25">
      <c r="B7961" t="str">
        <f t="shared" si="124"/>
        <v>SMRPopulation ages 80 and above, female</v>
      </c>
      <c r="C7961" t="s">
        <v>619</v>
      </c>
      <c r="D7961" t="s">
        <v>130</v>
      </c>
      <c r="E7961" t="s">
        <v>394</v>
      </c>
      <c r="F7961" t="s">
        <v>723</v>
      </c>
      <c r="G7961">
        <v>0</v>
      </c>
      <c r="H7961">
        <v>0</v>
      </c>
    </row>
    <row r="7962" spans="2:8" x14ac:dyDescent="0.25">
      <c r="B7962" t="str">
        <f t="shared" si="124"/>
        <v>SMRPopulation ages 80 and above, male</v>
      </c>
      <c r="C7962" t="s">
        <v>619</v>
      </c>
      <c r="D7962" t="s">
        <v>130</v>
      </c>
      <c r="E7962" t="s">
        <v>395</v>
      </c>
      <c r="F7962" t="s">
        <v>724</v>
      </c>
      <c r="G7962">
        <v>0</v>
      </c>
      <c r="H7962">
        <v>0</v>
      </c>
    </row>
    <row r="7963" spans="2:8" x14ac:dyDescent="0.25">
      <c r="B7963" t="str">
        <f t="shared" si="124"/>
        <v>SMRPopulation, male</v>
      </c>
      <c r="C7963" t="s">
        <v>619</v>
      </c>
      <c r="D7963" t="s">
        <v>130</v>
      </c>
      <c r="E7963" t="s">
        <v>397</v>
      </c>
      <c r="F7963" t="s">
        <v>725</v>
      </c>
      <c r="G7963">
        <v>0</v>
      </c>
      <c r="H7963">
        <v>0</v>
      </c>
    </row>
    <row r="7964" spans="2:8" x14ac:dyDescent="0.25">
      <c r="B7964" t="str">
        <f t="shared" si="124"/>
        <v>SMRPopulation, total</v>
      </c>
      <c r="C7964" t="s">
        <v>619</v>
      </c>
      <c r="D7964" t="s">
        <v>130</v>
      </c>
      <c r="E7964" t="s">
        <v>398</v>
      </c>
      <c r="F7964" t="s">
        <v>726</v>
      </c>
      <c r="G7964">
        <v>34000</v>
      </c>
      <c r="H7964">
        <v>34000</v>
      </c>
    </row>
    <row r="7965" spans="2:8" x14ac:dyDescent="0.25">
      <c r="B7965" t="str">
        <f t="shared" si="124"/>
        <v>SMRPopulation, female</v>
      </c>
      <c r="C7965" t="s">
        <v>619</v>
      </c>
      <c r="D7965" t="s">
        <v>130</v>
      </c>
      <c r="E7965" t="s">
        <v>396</v>
      </c>
      <c r="F7965" t="s">
        <v>727</v>
      </c>
      <c r="G7965">
        <v>0</v>
      </c>
      <c r="H7965">
        <v>0</v>
      </c>
    </row>
    <row r="7966" spans="2:8" x14ac:dyDescent="0.25">
      <c r="B7966" t="str">
        <f t="shared" si="124"/>
        <v>SMRPopulation growth (annual %)</v>
      </c>
      <c r="C7966" t="s">
        <v>619</v>
      </c>
      <c r="D7966" t="s">
        <v>130</v>
      </c>
      <c r="E7966" t="s">
        <v>399</v>
      </c>
      <c r="F7966" t="s">
        <v>728</v>
      </c>
      <c r="G7966">
        <v>0</v>
      </c>
      <c r="H7966">
        <v>0</v>
      </c>
    </row>
    <row r="7967" spans="2:8" x14ac:dyDescent="0.25">
      <c r="B7967" t="str">
        <f t="shared" si="124"/>
        <v>STPPopulation ages 0-14, female</v>
      </c>
      <c r="C7967" t="s">
        <v>211</v>
      </c>
      <c r="D7967" t="s">
        <v>175</v>
      </c>
      <c r="E7967" t="s">
        <v>687</v>
      </c>
      <c r="F7967" t="s">
        <v>688</v>
      </c>
      <c r="G7967">
        <v>45000</v>
      </c>
      <c r="H7967">
        <v>45000</v>
      </c>
    </row>
    <row r="7968" spans="2:8" x14ac:dyDescent="0.25">
      <c r="B7968" t="str">
        <f t="shared" si="124"/>
        <v>STPPopulation ages 0-14, male</v>
      </c>
      <c r="C7968" t="s">
        <v>211</v>
      </c>
      <c r="D7968" t="s">
        <v>175</v>
      </c>
      <c r="E7968" t="s">
        <v>689</v>
      </c>
      <c r="F7968" t="s">
        <v>690</v>
      </c>
      <c r="G7968">
        <v>46000</v>
      </c>
      <c r="H7968">
        <v>46000</v>
      </c>
    </row>
    <row r="7969" spans="2:8" x14ac:dyDescent="0.25">
      <c r="B7969" t="str">
        <f t="shared" si="124"/>
        <v>STPPopulation ages 00-04, female</v>
      </c>
      <c r="C7969" t="s">
        <v>211</v>
      </c>
      <c r="D7969" t="s">
        <v>175</v>
      </c>
      <c r="E7969" t="s">
        <v>362</v>
      </c>
      <c r="F7969" t="s">
        <v>691</v>
      </c>
      <c r="G7969">
        <v>16000</v>
      </c>
      <c r="H7969">
        <v>16000</v>
      </c>
    </row>
    <row r="7970" spans="2:8" x14ac:dyDescent="0.25">
      <c r="B7970" t="str">
        <f t="shared" si="124"/>
        <v>STPPopulation ages 00-04, male</v>
      </c>
      <c r="C7970" t="s">
        <v>211</v>
      </c>
      <c r="D7970" t="s">
        <v>175</v>
      </c>
      <c r="E7970" t="s">
        <v>363</v>
      </c>
      <c r="F7970" t="s">
        <v>692</v>
      </c>
      <c r="G7970">
        <v>16000</v>
      </c>
      <c r="H7970">
        <v>16000</v>
      </c>
    </row>
    <row r="7971" spans="2:8" x14ac:dyDescent="0.25">
      <c r="B7971" t="str">
        <f t="shared" si="124"/>
        <v>STPPopulation ages 05-09, female</v>
      </c>
      <c r="C7971" t="s">
        <v>211</v>
      </c>
      <c r="D7971" t="s">
        <v>175</v>
      </c>
      <c r="E7971" t="s">
        <v>364</v>
      </c>
      <c r="F7971" t="s">
        <v>693</v>
      </c>
      <c r="G7971">
        <v>15000</v>
      </c>
      <c r="H7971">
        <v>15000</v>
      </c>
    </row>
    <row r="7972" spans="2:8" x14ac:dyDescent="0.25">
      <c r="B7972" t="str">
        <f t="shared" si="124"/>
        <v>STPPopulation ages 05-09, male</v>
      </c>
      <c r="C7972" t="s">
        <v>211</v>
      </c>
      <c r="D7972" t="s">
        <v>175</v>
      </c>
      <c r="E7972" t="s">
        <v>365</v>
      </c>
      <c r="F7972" t="s">
        <v>694</v>
      </c>
      <c r="G7972">
        <v>15000</v>
      </c>
      <c r="H7972">
        <v>15000</v>
      </c>
    </row>
    <row r="7973" spans="2:8" x14ac:dyDescent="0.25">
      <c r="B7973" t="str">
        <f t="shared" si="124"/>
        <v>STPPopulation ages 10-14, female</v>
      </c>
      <c r="C7973" t="s">
        <v>211</v>
      </c>
      <c r="D7973" t="s">
        <v>175</v>
      </c>
      <c r="E7973" t="s">
        <v>366</v>
      </c>
      <c r="F7973" t="s">
        <v>695</v>
      </c>
      <c r="G7973">
        <v>14000</v>
      </c>
      <c r="H7973">
        <v>14000</v>
      </c>
    </row>
    <row r="7974" spans="2:8" x14ac:dyDescent="0.25">
      <c r="B7974" t="str">
        <f t="shared" si="124"/>
        <v>STPPopulation ages 10-14, male</v>
      </c>
      <c r="C7974" t="s">
        <v>211</v>
      </c>
      <c r="D7974" t="s">
        <v>175</v>
      </c>
      <c r="E7974" t="s">
        <v>367</v>
      </c>
      <c r="F7974" t="s">
        <v>696</v>
      </c>
      <c r="G7974">
        <v>14000</v>
      </c>
      <c r="H7974">
        <v>15000</v>
      </c>
    </row>
    <row r="7975" spans="2:8" x14ac:dyDescent="0.25">
      <c r="B7975" t="str">
        <f t="shared" si="124"/>
        <v>STPPopulation ages 15-19, female</v>
      </c>
      <c r="C7975" t="s">
        <v>211</v>
      </c>
      <c r="D7975" t="s">
        <v>175</v>
      </c>
      <c r="E7975" t="s">
        <v>368</v>
      </c>
      <c r="F7975" t="s">
        <v>697</v>
      </c>
      <c r="G7975">
        <v>12000</v>
      </c>
      <c r="H7975">
        <v>12000</v>
      </c>
    </row>
    <row r="7976" spans="2:8" x14ac:dyDescent="0.25">
      <c r="B7976" t="str">
        <f t="shared" si="124"/>
        <v>STPPopulation ages 15-19, male</v>
      </c>
      <c r="C7976" t="s">
        <v>211</v>
      </c>
      <c r="D7976" t="s">
        <v>175</v>
      </c>
      <c r="E7976" t="s">
        <v>369</v>
      </c>
      <c r="F7976" t="s">
        <v>698</v>
      </c>
      <c r="G7976">
        <v>12000</v>
      </c>
      <c r="H7976">
        <v>13000</v>
      </c>
    </row>
    <row r="7977" spans="2:8" x14ac:dyDescent="0.25">
      <c r="B7977" t="str">
        <f t="shared" si="124"/>
        <v>STPPopulation ages 20-24, female</v>
      </c>
      <c r="C7977" t="s">
        <v>211</v>
      </c>
      <c r="D7977" t="s">
        <v>175</v>
      </c>
      <c r="E7977" t="s">
        <v>370</v>
      </c>
      <c r="F7977" t="s">
        <v>699</v>
      </c>
      <c r="G7977">
        <v>8900</v>
      </c>
      <c r="H7977">
        <v>9200</v>
      </c>
    </row>
    <row r="7978" spans="2:8" x14ac:dyDescent="0.25">
      <c r="B7978" t="str">
        <f t="shared" si="124"/>
        <v>STPPopulation ages 20-24, male</v>
      </c>
      <c r="C7978" t="s">
        <v>211</v>
      </c>
      <c r="D7978" t="s">
        <v>175</v>
      </c>
      <c r="E7978" t="s">
        <v>371</v>
      </c>
      <c r="F7978" t="s">
        <v>700</v>
      </c>
      <c r="G7978">
        <v>9100</v>
      </c>
      <c r="H7978">
        <v>9500</v>
      </c>
    </row>
    <row r="7979" spans="2:8" x14ac:dyDescent="0.25">
      <c r="B7979" t="str">
        <f t="shared" si="124"/>
        <v>STPPopulation ages 25-29, female</v>
      </c>
      <c r="C7979" t="s">
        <v>211</v>
      </c>
      <c r="D7979" t="s">
        <v>175</v>
      </c>
      <c r="E7979" t="s">
        <v>372</v>
      </c>
      <c r="F7979" t="s">
        <v>701</v>
      </c>
      <c r="G7979">
        <v>7400</v>
      </c>
      <c r="H7979">
        <v>7400</v>
      </c>
    </row>
    <row r="7980" spans="2:8" x14ac:dyDescent="0.25">
      <c r="B7980" t="str">
        <f t="shared" si="124"/>
        <v>STPPopulation ages 25-29, male</v>
      </c>
      <c r="C7980" t="s">
        <v>211</v>
      </c>
      <c r="D7980" t="s">
        <v>175</v>
      </c>
      <c r="E7980" t="s">
        <v>373</v>
      </c>
      <c r="F7980" t="s">
        <v>702</v>
      </c>
      <c r="G7980">
        <v>7500</v>
      </c>
      <c r="H7980">
        <v>7600</v>
      </c>
    </row>
    <row r="7981" spans="2:8" x14ac:dyDescent="0.25">
      <c r="B7981" t="str">
        <f t="shared" si="124"/>
        <v>STPPopulation ages 30-34, female</v>
      </c>
      <c r="C7981" t="s">
        <v>211</v>
      </c>
      <c r="D7981" t="s">
        <v>175</v>
      </c>
      <c r="E7981" t="s">
        <v>374</v>
      </c>
      <c r="F7981" t="s">
        <v>703</v>
      </c>
      <c r="G7981">
        <v>7000</v>
      </c>
      <c r="H7981">
        <v>7000</v>
      </c>
    </row>
    <row r="7982" spans="2:8" x14ac:dyDescent="0.25">
      <c r="B7982" t="str">
        <f t="shared" si="124"/>
        <v>STPPopulation ages 30-34, male</v>
      </c>
      <c r="C7982" t="s">
        <v>211</v>
      </c>
      <c r="D7982" t="s">
        <v>175</v>
      </c>
      <c r="E7982" t="s">
        <v>375</v>
      </c>
      <c r="F7982" t="s">
        <v>704</v>
      </c>
      <c r="G7982">
        <v>7100</v>
      </c>
      <c r="H7982">
        <v>7100</v>
      </c>
    </row>
    <row r="7983" spans="2:8" x14ac:dyDescent="0.25">
      <c r="B7983" t="str">
        <f t="shared" si="124"/>
        <v>STPPopulation ages 35-39, female</v>
      </c>
      <c r="C7983" t="s">
        <v>211</v>
      </c>
      <c r="D7983" t="s">
        <v>175</v>
      </c>
      <c r="E7983" t="s">
        <v>376</v>
      </c>
      <c r="F7983" t="s">
        <v>705</v>
      </c>
      <c r="G7983">
        <v>6200</v>
      </c>
      <c r="H7983">
        <v>6200</v>
      </c>
    </row>
    <row r="7984" spans="2:8" x14ac:dyDescent="0.25">
      <c r="B7984" t="str">
        <f t="shared" si="124"/>
        <v>STPPopulation ages 35-39, male</v>
      </c>
      <c r="C7984" t="s">
        <v>211</v>
      </c>
      <c r="D7984" t="s">
        <v>175</v>
      </c>
      <c r="E7984" t="s">
        <v>377</v>
      </c>
      <c r="F7984" t="s">
        <v>706</v>
      </c>
      <c r="G7984">
        <v>6300</v>
      </c>
      <c r="H7984">
        <v>6300</v>
      </c>
    </row>
    <row r="7985" spans="2:8" x14ac:dyDescent="0.25">
      <c r="B7985" t="str">
        <f t="shared" si="124"/>
        <v>STPPopulation ages 40-44, female</v>
      </c>
      <c r="C7985" t="s">
        <v>211</v>
      </c>
      <c r="D7985" t="s">
        <v>175</v>
      </c>
      <c r="E7985" t="s">
        <v>378</v>
      </c>
      <c r="F7985" t="s">
        <v>707</v>
      </c>
      <c r="G7985">
        <v>5300</v>
      </c>
      <c r="H7985">
        <v>5500</v>
      </c>
    </row>
    <row r="7986" spans="2:8" x14ac:dyDescent="0.25">
      <c r="B7986" t="str">
        <f t="shared" si="124"/>
        <v>STPPopulation ages 40-44, male</v>
      </c>
      <c r="C7986" t="s">
        <v>211</v>
      </c>
      <c r="D7986" t="s">
        <v>175</v>
      </c>
      <c r="E7986" t="s">
        <v>379</v>
      </c>
      <c r="F7986" t="s">
        <v>708</v>
      </c>
      <c r="G7986">
        <v>5300</v>
      </c>
      <c r="H7986">
        <v>5500</v>
      </c>
    </row>
    <row r="7987" spans="2:8" x14ac:dyDescent="0.25">
      <c r="B7987" t="str">
        <f t="shared" si="124"/>
        <v>STPPopulation ages 45-49, female</v>
      </c>
      <c r="C7987" t="s">
        <v>211</v>
      </c>
      <c r="D7987" t="s">
        <v>175</v>
      </c>
      <c r="E7987" t="s">
        <v>380</v>
      </c>
      <c r="F7987" t="s">
        <v>709</v>
      </c>
      <c r="G7987">
        <v>3800</v>
      </c>
      <c r="H7987">
        <v>3900</v>
      </c>
    </row>
    <row r="7988" spans="2:8" x14ac:dyDescent="0.25">
      <c r="B7988" t="str">
        <f t="shared" si="124"/>
        <v>STPPopulation ages 45-49, male</v>
      </c>
      <c r="C7988" t="s">
        <v>211</v>
      </c>
      <c r="D7988" t="s">
        <v>175</v>
      </c>
      <c r="E7988" t="s">
        <v>381</v>
      </c>
      <c r="F7988" t="s">
        <v>710</v>
      </c>
      <c r="G7988">
        <v>3700</v>
      </c>
      <c r="H7988">
        <v>3800</v>
      </c>
    </row>
    <row r="7989" spans="2:8" x14ac:dyDescent="0.25">
      <c r="B7989" t="str">
        <f t="shared" si="124"/>
        <v>STPPopulation ages 50-54, female</v>
      </c>
      <c r="C7989" t="s">
        <v>211</v>
      </c>
      <c r="D7989" t="s">
        <v>175</v>
      </c>
      <c r="E7989" t="s">
        <v>382</v>
      </c>
      <c r="F7989" t="s">
        <v>711</v>
      </c>
      <c r="G7989">
        <v>3700</v>
      </c>
      <c r="H7989">
        <v>3700</v>
      </c>
    </row>
    <row r="7990" spans="2:8" x14ac:dyDescent="0.25">
      <c r="B7990" t="str">
        <f t="shared" si="124"/>
        <v>STPPopulation ages 50-54, male</v>
      </c>
      <c r="C7990" t="s">
        <v>211</v>
      </c>
      <c r="D7990" t="s">
        <v>175</v>
      </c>
      <c r="E7990" t="s">
        <v>383</v>
      </c>
      <c r="F7990" t="s">
        <v>712</v>
      </c>
      <c r="G7990">
        <v>3500</v>
      </c>
      <c r="H7990">
        <v>3600</v>
      </c>
    </row>
    <row r="7991" spans="2:8" x14ac:dyDescent="0.25">
      <c r="B7991" t="str">
        <f t="shared" si="124"/>
        <v>STPPopulation ages 55-59, male</v>
      </c>
      <c r="C7991" t="s">
        <v>211</v>
      </c>
      <c r="D7991" t="s">
        <v>175</v>
      </c>
      <c r="E7991" t="s">
        <v>385</v>
      </c>
      <c r="F7991" t="s">
        <v>713</v>
      </c>
      <c r="G7991">
        <v>2400</v>
      </c>
      <c r="H7991">
        <v>2500</v>
      </c>
    </row>
    <row r="7992" spans="2:8" x14ac:dyDescent="0.25">
      <c r="B7992" t="str">
        <f t="shared" si="124"/>
        <v>STPPopulation ages 55-59, female</v>
      </c>
      <c r="C7992" t="s">
        <v>211</v>
      </c>
      <c r="D7992" t="s">
        <v>175</v>
      </c>
      <c r="E7992" t="s">
        <v>384</v>
      </c>
      <c r="F7992" t="s">
        <v>714</v>
      </c>
      <c r="G7992">
        <v>2800</v>
      </c>
      <c r="H7992">
        <v>2900</v>
      </c>
    </row>
    <row r="7993" spans="2:8" x14ac:dyDescent="0.25">
      <c r="B7993" t="str">
        <f t="shared" si="124"/>
        <v>STPPopulation ages 65-69, male</v>
      </c>
      <c r="C7993" t="s">
        <v>211</v>
      </c>
      <c r="D7993" t="s">
        <v>175</v>
      </c>
      <c r="E7993" t="s">
        <v>389</v>
      </c>
      <c r="F7993" t="s">
        <v>715</v>
      </c>
      <c r="G7993">
        <v>1200</v>
      </c>
      <c r="H7993">
        <v>1200</v>
      </c>
    </row>
    <row r="7994" spans="2:8" x14ac:dyDescent="0.25">
      <c r="B7994" t="str">
        <f t="shared" si="124"/>
        <v>STPPopulation ages 65-69, female</v>
      </c>
      <c r="C7994" t="s">
        <v>211</v>
      </c>
      <c r="D7994" t="s">
        <v>175</v>
      </c>
      <c r="E7994" t="s">
        <v>388</v>
      </c>
      <c r="F7994" t="s">
        <v>716</v>
      </c>
      <c r="G7994">
        <v>1400</v>
      </c>
      <c r="H7994">
        <v>1500</v>
      </c>
    </row>
    <row r="7995" spans="2:8" x14ac:dyDescent="0.25">
      <c r="B7995" t="str">
        <f t="shared" si="124"/>
        <v>STPPopulation ages 60-64, female</v>
      </c>
      <c r="C7995" t="s">
        <v>211</v>
      </c>
      <c r="D7995" t="s">
        <v>175</v>
      </c>
      <c r="E7995" t="s">
        <v>386</v>
      </c>
      <c r="F7995" t="s">
        <v>717</v>
      </c>
      <c r="G7995">
        <v>2200</v>
      </c>
      <c r="H7995">
        <v>2300</v>
      </c>
    </row>
    <row r="7996" spans="2:8" x14ac:dyDescent="0.25">
      <c r="B7996" t="str">
        <f t="shared" si="124"/>
        <v>STPPopulation ages 60-64, male</v>
      </c>
      <c r="C7996" t="s">
        <v>211</v>
      </c>
      <c r="D7996" t="s">
        <v>175</v>
      </c>
      <c r="E7996" t="s">
        <v>387</v>
      </c>
      <c r="F7996" t="s">
        <v>718</v>
      </c>
      <c r="G7996">
        <v>2000</v>
      </c>
      <c r="H7996">
        <v>2000</v>
      </c>
    </row>
    <row r="7997" spans="2:8" x14ac:dyDescent="0.25">
      <c r="B7997" t="str">
        <f t="shared" si="124"/>
        <v>STPPopulation ages 70-74, female</v>
      </c>
      <c r="C7997" t="s">
        <v>211</v>
      </c>
      <c r="D7997" t="s">
        <v>175</v>
      </c>
      <c r="E7997" t="s">
        <v>390</v>
      </c>
      <c r="F7997" t="s">
        <v>719</v>
      </c>
      <c r="G7997">
        <v>900</v>
      </c>
      <c r="H7997">
        <v>900</v>
      </c>
    </row>
    <row r="7998" spans="2:8" x14ac:dyDescent="0.25">
      <c r="B7998" t="str">
        <f t="shared" si="124"/>
        <v>STPPopulation ages 70-74, male</v>
      </c>
      <c r="C7998" t="s">
        <v>211</v>
      </c>
      <c r="D7998" t="s">
        <v>175</v>
      </c>
      <c r="E7998" t="s">
        <v>391</v>
      </c>
      <c r="F7998" t="s">
        <v>720</v>
      </c>
      <c r="G7998">
        <v>800</v>
      </c>
      <c r="H7998">
        <v>800</v>
      </c>
    </row>
    <row r="7999" spans="2:8" x14ac:dyDescent="0.25">
      <c r="B7999" t="str">
        <f t="shared" si="124"/>
        <v>STPPopulation ages 75-79, female</v>
      </c>
      <c r="C7999" t="s">
        <v>211</v>
      </c>
      <c r="D7999" t="s">
        <v>175</v>
      </c>
      <c r="E7999" t="s">
        <v>392</v>
      </c>
      <c r="F7999" t="s">
        <v>721</v>
      </c>
      <c r="G7999">
        <v>600</v>
      </c>
      <c r="H7999">
        <v>600</v>
      </c>
    </row>
    <row r="8000" spans="2:8" x14ac:dyDescent="0.25">
      <c r="B8000" t="str">
        <f t="shared" si="124"/>
        <v>STPPopulation ages 75-79, male</v>
      </c>
      <c r="C8000" t="s">
        <v>211</v>
      </c>
      <c r="D8000" t="s">
        <v>175</v>
      </c>
      <c r="E8000" t="s">
        <v>393</v>
      </c>
      <c r="F8000" t="s">
        <v>722</v>
      </c>
      <c r="G8000">
        <v>400</v>
      </c>
      <c r="H8000">
        <v>400</v>
      </c>
    </row>
    <row r="8001" spans="2:8" x14ac:dyDescent="0.25">
      <c r="B8001" t="str">
        <f t="shared" si="124"/>
        <v>STPPopulation ages 80 and above, female</v>
      </c>
      <c r="C8001" t="s">
        <v>211</v>
      </c>
      <c r="D8001" t="s">
        <v>175</v>
      </c>
      <c r="E8001" t="s">
        <v>394</v>
      </c>
      <c r="F8001" t="s">
        <v>723</v>
      </c>
      <c r="G8001">
        <v>700</v>
      </c>
      <c r="H8001">
        <v>700</v>
      </c>
    </row>
    <row r="8002" spans="2:8" x14ac:dyDescent="0.25">
      <c r="B8002" t="str">
        <f t="shared" si="124"/>
        <v>STPPopulation ages 80 and above, male</v>
      </c>
      <c r="C8002" t="s">
        <v>211</v>
      </c>
      <c r="D8002" t="s">
        <v>175</v>
      </c>
      <c r="E8002" t="s">
        <v>395</v>
      </c>
      <c r="F8002" t="s">
        <v>724</v>
      </c>
      <c r="G8002">
        <v>400</v>
      </c>
      <c r="H8002">
        <v>400</v>
      </c>
    </row>
    <row r="8003" spans="2:8" x14ac:dyDescent="0.25">
      <c r="B8003" t="str">
        <f t="shared" si="124"/>
        <v>STPPopulation, male</v>
      </c>
      <c r="C8003" t="s">
        <v>211</v>
      </c>
      <c r="D8003" t="s">
        <v>175</v>
      </c>
      <c r="E8003" t="s">
        <v>397</v>
      </c>
      <c r="F8003" t="s">
        <v>725</v>
      </c>
      <c r="G8003">
        <v>108000</v>
      </c>
      <c r="H8003">
        <v>110000</v>
      </c>
    </row>
    <row r="8004" spans="2:8" x14ac:dyDescent="0.25">
      <c r="B8004" t="str">
        <f t="shared" si="124"/>
        <v>STPPopulation, total</v>
      </c>
      <c r="C8004" t="s">
        <v>211</v>
      </c>
      <c r="D8004" t="s">
        <v>175</v>
      </c>
      <c r="E8004" t="s">
        <v>398</v>
      </c>
      <c r="F8004" t="s">
        <v>726</v>
      </c>
      <c r="G8004">
        <v>215000</v>
      </c>
      <c r="H8004">
        <v>219000</v>
      </c>
    </row>
    <row r="8005" spans="2:8" x14ac:dyDescent="0.25">
      <c r="B8005" t="str">
        <f t="shared" si="124"/>
        <v>STPPopulation, female</v>
      </c>
      <c r="C8005" t="s">
        <v>211</v>
      </c>
      <c r="D8005" t="s">
        <v>175</v>
      </c>
      <c r="E8005" t="s">
        <v>396</v>
      </c>
      <c r="F8005" t="s">
        <v>727</v>
      </c>
      <c r="G8005">
        <v>107000</v>
      </c>
      <c r="H8005">
        <v>109000</v>
      </c>
    </row>
    <row r="8006" spans="2:8" x14ac:dyDescent="0.25">
      <c r="B8006" t="str">
        <f t="shared" si="124"/>
        <v>STPPopulation growth (annual %)</v>
      </c>
      <c r="C8006" t="s">
        <v>211</v>
      </c>
      <c r="D8006" t="s">
        <v>175</v>
      </c>
      <c r="E8006" t="s">
        <v>399</v>
      </c>
      <c r="F8006" t="s">
        <v>728</v>
      </c>
      <c r="G8006">
        <v>0</v>
      </c>
      <c r="H8006">
        <v>0</v>
      </c>
    </row>
    <row r="8007" spans="2:8" x14ac:dyDescent="0.25">
      <c r="B8007" t="str">
        <f t="shared" ref="B8007:B8070" si="125">CONCATENATE(D8007,E8007)</f>
        <v>SAUPopulation ages 0-14, female</v>
      </c>
      <c r="C8007" t="s">
        <v>620</v>
      </c>
      <c r="D8007" t="s">
        <v>124</v>
      </c>
      <c r="E8007" t="s">
        <v>687</v>
      </c>
      <c r="F8007" t="s">
        <v>688</v>
      </c>
      <c r="G8007">
        <v>4190000</v>
      </c>
      <c r="H8007">
        <v>4236000</v>
      </c>
    </row>
    <row r="8008" spans="2:8" x14ac:dyDescent="0.25">
      <c r="B8008" t="str">
        <f t="shared" si="125"/>
        <v>SAUPopulation ages 0-14, male</v>
      </c>
      <c r="C8008" t="s">
        <v>620</v>
      </c>
      <c r="D8008" t="s">
        <v>124</v>
      </c>
      <c r="E8008" t="s">
        <v>689</v>
      </c>
      <c r="F8008" t="s">
        <v>690</v>
      </c>
      <c r="G8008">
        <v>4329000</v>
      </c>
      <c r="H8008">
        <v>4362000</v>
      </c>
    </row>
    <row r="8009" spans="2:8" x14ac:dyDescent="0.25">
      <c r="B8009" t="str">
        <f t="shared" si="125"/>
        <v>SAUPopulation ages 00-04, female</v>
      </c>
      <c r="C8009" t="s">
        <v>620</v>
      </c>
      <c r="D8009" t="s">
        <v>124</v>
      </c>
      <c r="E8009" t="s">
        <v>362</v>
      </c>
      <c r="F8009" t="s">
        <v>691</v>
      </c>
      <c r="G8009">
        <v>1474000</v>
      </c>
      <c r="H8009">
        <v>1468000</v>
      </c>
    </row>
    <row r="8010" spans="2:8" x14ac:dyDescent="0.25">
      <c r="B8010" t="str">
        <f t="shared" si="125"/>
        <v>SAUPopulation ages 00-04, male</v>
      </c>
      <c r="C8010" t="s">
        <v>620</v>
      </c>
      <c r="D8010" t="s">
        <v>124</v>
      </c>
      <c r="E8010" t="s">
        <v>363</v>
      </c>
      <c r="F8010" t="s">
        <v>692</v>
      </c>
      <c r="G8010">
        <v>1522000</v>
      </c>
      <c r="H8010">
        <v>1511000</v>
      </c>
    </row>
    <row r="8011" spans="2:8" x14ac:dyDescent="0.25">
      <c r="B8011" t="str">
        <f t="shared" si="125"/>
        <v>SAUPopulation ages 05-09, female</v>
      </c>
      <c r="C8011" t="s">
        <v>620</v>
      </c>
      <c r="D8011" t="s">
        <v>124</v>
      </c>
      <c r="E8011" t="s">
        <v>364</v>
      </c>
      <c r="F8011" t="s">
        <v>693</v>
      </c>
      <c r="G8011">
        <v>1447000</v>
      </c>
      <c r="H8011">
        <v>1467000</v>
      </c>
    </row>
    <row r="8012" spans="2:8" x14ac:dyDescent="0.25">
      <c r="B8012" t="str">
        <f t="shared" si="125"/>
        <v>SAUPopulation ages 05-09, male</v>
      </c>
      <c r="C8012" t="s">
        <v>620</v>
      </c>
      <c r="D8012" t="s">
        <v>124</v>
      </c>
      <c r="E8012" t="s">
        <v>365</v>
      </c>
      <c r="F8012" t="s">
        <v>694</v>
      </c>
      <c r="G8012">
        <v>1494000</v>
      </c>
      <c r="H8012">
        <v>1510000</v>
      </c>
    </row>
    <row r="8013" spans="2:8" x14ac:dyDescent="0.25">
      <c r="B8013" t="str">
        <f t="shared" si="125"/>
        <v>SAUPopulation ages 10-14, female</v>
      </c>
      <c r="C8013" t="s">
        <v>620</v>
      </c>
      <c r="D8013" t="s">
        <v>124</v>
      </c>
      <c r="E8013" t="s">
        <v>366</v>
      </c>
      <c r="F8013" t="s">
        <v>695</v>
      </c>
      <c r="G8013">
        <v>1270000</v>
      </c>
      <c r="H8013">
        <v>1301000</v>
      </c>
    </row>
    <row r="8014" spans="2:8" x14ac:dyDescent="0.25">
      <c r="B8014" t="str">
        <f t="shared" si="125"/>
        <v>SAUPopulation ages 10-14, male</v>
      </c>
      <c r="C8014" t="s">
        <v>620</v>
      </c>
      <c r="D8014" t="s">
        <v>124</v>
      </c>
      <c r="E8014" t="s">
        <v>367</v>
      </c>
      <c r="F8014" t="s">
        <v>696</v>
      </c>
      <c r="G8014">
        <v>1312000</v>
      </c>
      <c r="H8014">
        <v>1341000</v>
      </c>
    </row>
    <row r="8015" spans="2:8" x14ac:dyDescent="0.25">
      <c r="B8015" t="str">
        <f t="shared" si="125"/>
        <v>SAUPopulation ages 15-19, female</v>
      </c>
      <c r="C8015" t="s">
        <v>620</v>
      </c>
      <c r="D8015" t="s">
        <v>124</v>
      </c>
      <c r="E8015" t="s">
        <v>368</v>
      </c>
      <c r="F8015" t="s">
        <v>697</v>
      </c>
      <c r="G8015">
        <v>1093000</v>
      </c>
      <c r="H8015">
        <v>1090000</v>
      </c>
    </row>
    <row r="8016" spans="2:8" x14ac:dyDescent="0.25">
      <c r="B8016" t="str">
        <f t="shared" si="125"/>
        <v>SAUPopulation ages 15-19, male</v>
      </c>
      <c r="C8016" t="s">
        <v>620</v>
      </c>
      <c r="D8016" t="s">
        <v>124</v>
      </c>
      <c r="E8016" t="s">
        <v>369</v>
      </c>
      <c r="F8016" t="s">
        <v>698</v>
      </c>
      <c r="G8016">
        <v>1143000</v>
      </c>
      <c r="H8016">
        <v>1129000</v>
      </c>
    </row>
    <row r="8017" spans="2:8" x14ac:dyDescent="0.25">
      <c r="B8017" t="str">
        <f t="shared" si="125"/>
        <v>SAUPopulation ages 20-24, female</v>
      </c>
      <c r="C8017" t="s">
        <v>620</v>
      </c>
      <c r="D8017" t="s">
        <v>124</v>
      </c>
      <c r="E8017" t="s">
        <v>370</v>
      </c>
      <c r="F8017" t="s">
        <v>699</v>
      </c>
      <c r="G8017">
        <v>1145000</v>
      </c>
      <c r="H8017">
        <v>1105000</v>
      </c>
    </row>
    <row r="8018" spans="2:8" x14ac:dyDescent="0.25">
      <c r="B8018" t="str">
        <f t="shared" si="125"/>
        <v>SAUPopulation ages 20-24, male</v>
      </c>
      <c r="C8018" t="s">
        <v>620</v>
      </c>
      <c r="D8018" t="s">
        <v>124</v>
      </c>
      <c r="E8018" t="s">
        <v>371</v>
      </c>
      <c r="F8018" t="s">
        <v>700</v>
      </c>
      <c r="G8018">
        <v>1279000</v>
      </c>
      <c r="H8018">
        <v>1228000</v>
      </c>
    </row>
    <row r="8019" spans="2:8" x14ac:dyDescent="0.25">
      <c r="B8019" t="str">
        <f t="shared" si="125"/>
        <v>SAUPopulation ages 25-29, female</v>
      </c>
      <c r="C8019" t="s">
        <v>620</v>
      </c>
      <c r="D8019" t="s">
        <v>124</v>
      </c>
      <c r="E8019" t="s">
        <v>372</v>
      </c>
      <c r="F8019" t="s">
        <v>701</v>
      </c>
      <c r="G8019">
        <v>1359000</v>
      </c>
      <c r="H8019">
        <v>1358000</v>
      </c>
    </row>
    <row r="8020" spans="2:8" x14ac:dyDescent="0.25">
      <c r="B8020" t="str">
        <f t="shared" si="125"/>
        <v>SAUPopulation ages 25-29, male</v>
      </c>
      <c r="C8020" t="s">
        <v>620</v>
      </c>
      <c r="D8020" t="s">
        <v>124</v>
      </c>
      <c r="E8020" t="s">
        <v>373</v>
      </c>
      <c r="F8020" t="s">
        <v>702</v>
      </c>
      <c r="G8020">
        <v>1676000</v>
      </c>
      <c r="H8020">
        <v>1664000</v>
      </c>
    </row>
    <row r="8021" spans="2:8" x14ac:dyDescent="0.25">
      <c r="B8021" t="str">
        <f t="shared" si="125"/>
        <v>SAUPopulation ages 30-34, female</v>
      </c>
      <c r="C8021" t="s">
        <v>620</v>
      </c>
      <c r="D8021" t="s">
        <v>124</v>
      </c>
      <c r="E8021" t="s">
        <v>374</v>
      </c>
      <c r="F8021" t="s">
        <v>703</v>
      </c>
      <c r="G8021">
        <v>1385000</v>
      </c>
      <c r="H8021">
        <v>1417000</v>
      </c>
    </row>
    <row r="8022" spans="2:8" x14ac:dyDescent="0.25">
      <c r="B8022" t="str">
        <f t="shared" si="125"/>
        <v>SAUPopulation ages 30-34, male</v>
      </c>
      <c r="C8022" t="s">
        <v>620</v>
      </c>
      <c r="D8022" t="s">
        <v>124</v>
      </c>
      <c r="E8022" t="s">
        <v>375</v>
      </c>
      <c r="F8022" t="s">
        <v>704</v>
      </c>
      <c r="G8022">
        <v>1987000</v>
      </c>
      <c r="H8022">
        <v>2021000</v>
      </c>
    </row>
    <row r="8023" spans="2:8" x14ac:dyDescent="0.25">
      <c r="B8023" t="str">
        <f t="shared" si="125"/>
        <v>SAUPopulation ages 35-39, female</v>
      </c>
      <c r="C8023" t="s">
        <v>620</v>
      </c>
      <c r="D8023" t="s">
        <v>124</v>
      </c>
      <c r="E8023" t="s">
        <v>376</v>
      </c>
      <c r="F8023" t="s">
        <v>705</v>
      </c>
      <c r="G8023">
        <v>1326000</v>
      </c>
      <c r="H8023">
        <v>1333000</v>
      </c>
    </row>
    <row r="8024" spans="2:8" x14ac:dyDescent="0.25">
      <c r="B8024" t="str">
        <f t="shared" si="125"/>
        <v>SAUPopulation ages 35-39, male</v>
      </c>
      <c r="C8024" t="s">
        <v>620</v>
      </c>
      <c r="D8024" t="s">
        <v>124</v>
      </c>
      <c r="E8024" t="s">
        <v>377</v>
      </c>
      <c r="F8024" t="s">
        <v>706</v>
      </c>
      <c r="G8024">
        <v>2188000</v>
      </c>
      <c r="H8024">
        <v>2210000</v>
      </c>
    </row>
    <row r="8025" spans="2:8" x14ac:dyDescent="0.25">
      <c r="B8025" t="str">
        <f t="shared" si="125"/>
        <v>SAUPopulation ages 40-44, female</v>
      </c>
      <c r="C8025" t="s">
        <v>620</v>
      </c>
      <c r="D8025" t="s">
        <v>124</v>
      </c>
      <c r="E8025" t="s">
        <v>378</v>
      </c>
      <c r="F8025" t="s">
        <v>707</v>
      </c>
      <c r="G8025">
        <v>1254000</v>
      </c>
      <c r="H8025">
        <v>1284000</v>
      </c>
    </row>
    <row r="8026" spans="2:8" x14ac:dyDescent="0.25">
      <c r="B8026" t="str">
        <f t="shared" si="125"/>
        <v>SAUPopulation ages 40-44, male</v>
      </c>
      <c r="C8026" t="s">
        <v>620</v>
      </c>
      <c r="D8026" t="s">
        <v>124</v>
      </c>
      <c r="E8026" t="s">
        <v>379</v>
      </c>
      <c r="F8026" t="s">
        <v>708</v>
      </c>
      <c r="G8026">
        <v>2234000</v>
      </c>
      <c r="H8026">
        <v>2294000</v>
      </c>
    </row>
    <row r="8027" spans="2:8" x14ac:dyDescent="0.25">
      <c r="B8027" t="str">
        <f t="shared" si="125"/>
        <v>SAUPopulation ages 45-49, female</v>
      </c>
      <c r="C8027" t="s">
        <v>620</v>
      </c>
      <c r="D8027" t="s">
        <v>124</v>
      </c>
      <c r="E8027" t="s">
        <v>380</v>
      </c>
      <c r="F8027" t="s">
        <v>709</v>
      </c>
      <c r="G8027">
        <v>916000</v>
      </c>
      <c r="H8027">
        <v>969000</v>
      </c>
    </row>
    <row r="8028" spans="2:8" x14ac:dyDescent="0.25">
      <c r="B8028" t="str">
        <f t="shared" si="125"/>
        <v>SAUPopulation ages 45-49, male</v>
      </c>
      <c r="C8028" t="s">
        <v>620</v>
      </c>
      <c r="D8028" t="s">
        <v>124</v>
      </c>
      <c r="E8028" t="s">
        <v>381</v>
      </c>
      <c r="F8028" t="s">
        <v>710</v>
      </c>
      <c r="G8028">
        <v>1759000</v>
      </c>
      <c r="H8028">
        <v>1862000</v>
      </c>
    </row>
    <row r="8029" spans="2:8" x14ac:dyDescent="0.25">
      <c r="B8029" t="str">
        <f t="shared" si="125"/>
        <v>SAUPopulation ages 50-54, female</v>
      </c>
      <c r="C8029" t="s">
        <v>620</v>
      </c>
      <c r="D8029" t="s">
        <v>124</v>
      </c>
      <c r="E8029" t="s">
        <v>382</v>
      </c>
      <c r="F8029" t="s">
        <v>711</v>
      </c>
      <c r="G8029">
        <v>580000</v>
      </c>
      <c r="H8029">
        <v>607000</v>
      </c>
    </row>
    <row r="8030" spans="2:8" x14ac:dyDescent="0.25">
      <c r="B8030" t="str">
        <f t="shared" si="125"/>
        <v>SAUPopulation ages 50-54, male</v>
      </c>
      <c r="C8030" t="s">
        <v>620</v>
      </c>
      <c r="D8030" t="s">
        <v>124</v>
      </c>
      <c r="E8030" t="s">
        <v>383</v>
      </c>
      <c r="F8030" t="s">
        <v>712</v>
      </c>
      <c r="G8030">
        <v>1215000</v>
      </c>
      <c r="H8030">
        <v>1285000</v>
      </c>
    </row>
    <row r="8031" spans="2:8" x14ac:dyDescent="0.25">
      <c r="B8031" t="str">
        <f t="shared" si="125"/>
        <v>SAUPopulation ages 55-59, male</v>
      </c>
      <c r="C8031" t="s">
        <v>620</v>
      </c>
      <c r="D8031" t="s">
        <v>124</v>
      </c>
      <c r="E8031" t="s">
        <v>385</v>
      </c>
      <c r="F8031" t="s">
        <v>713</v>
      </c>
      <c r="G8031">
        <v>849000</v>
      </c>
      <c r="H8031">
        <v>898000</v>
      </c>
    </row>
    <row r="8032" spans="2:8" x14ac:dyDescent="0.25">
      <c r="B8032" t="str">
        <f t="shared" si="125"/>
        <v>SAUPopulation ages 55-59, female</v>
      </c>
      <c r="C8032" t="s">
        <v>620</v>
      </c>
      <c r="D8032" t="s">
        <v>124</v>
      </c>
      <c r="E8032" t="s">
        <v>384</v>
      </c>
      <c r="F8032" t="s">
        <v>714</v>
      </c>
      <c r="G8032">
        <v>411000</v>
      </c>
      <c r="H8032">
        <v>426000</v>
      </c>
    </row>
    <row r="8033" spans="2:8" x14ac:dyDescent="0.25">
      <c r="B8033" t="str">
        <f t="shared" si="125"/>
        <v>SAUPopulation ages 65-69, male</v>
      </c>
      <c r="C8033" t="s">
        <v>620</v>
      </c>
      <c r="D8033" t="s">
        <v>124</v>
      </c>
      <c r="E8033" t="s">
        <v>389</v>
      </c>
      <c r="F8033" t="s">
        <v>715</v>
      </c>
      <c r="G8033">
        <v>299000</v>
      </c>
      <c r="H8033">
        <v>315000</v>
      </c>
    </row>
    <row r="8034" spans="2:8" x14ac:dyDescent="0.25">
      <c r="B8034" t="str">
        <f t="shared" si="125"/>
        <v>SAUPopulation ages 65-69, female</v>
      </c>
      <c r="C8034" t="s">
        <v>620</v>
      </c>
      <c r="D8034" t="s">
        <v>124</v>
      </c>
      <c r="E8034" t="s">
        <v>388</v>
      </c>
      <c r="F8034" t="s">
        <v>716</v>
      </c>
      <c r="G8034">
        <v>227000</v>
      </c>
      <c r="H8034">
        <v>239000</v>
      </c>
    </row>
    <row r="8035" spans="2:8" x14ac:dyDescent="0.25">
      <c r="B8035" t="str">
        <f t="shared" si="125"/>
        <v>SAUPopulation ages 60-64, female</v>
      </c>
      <c r="C8035" t="s">
        <v>620</v>
      </c>
      <c r="D8035" t="s">
        <v>124</v>
      </c>
      <c r="E8035" t="s">
        <v>386</v>
      </c>
      <c r="F8035" t="s">
        <v>717</v>
      </c>
      <c r="G8035">
        <v>279000</v>
      </c>
      <c r="H8035">
        <v>287000</v>
      </c>
    </row>
    <row r="8036" spans="2:8" x14ac:dyDescent="0.25">
      <c r="B8036" t="str">
        <f t="shared" si="125"/>
        <v>SAUPopulation ages 60-64, male</v>
      </c>
      <c r="C8036" t="s">
        <v>620</v>
      </c>
      <c r="D8036" t="s">
        <v>124</v>
      </c>
      <c r="E8036" t="s">
        <v>387</v>
      </c>
      <c r="F8036" t="s">
        <v>718</v>
      </c>
      <c r="G8036">
        <v>502000</v>
      </c>
      <c r="H8036">
        <v>532000</v>
      </c>
    </row>
    <row r="8037" spans="2:8" x14ac:dyDescent="0.25">
      <c r="B8037" t="str">
        <f t="shared" si="125"/>
        <v>SAUPopulation ages 70-74, female</v>
      </c>
      <c r="C8037" t="s">
        <v>620</v>
      </c>
      <c r="D8037" t="s">
        <v>124</v>
      </c>
      <c r="E8037" t="s">
        <v>390</v>
      </c>
      <c r="F8037" t="s">
        <v>719</v>
      </c>
      <c r="G8037">
        <v>134000</v>
      </c>
      <c r="H8037">
        <v>142000</v>
      </c>
    </row>
    <row r="8038" spans="2:8" x14ac:dyDescent="0.25">
      <c r="B8038" t="str">
        <f t="shared" si="125"/>
        <v>SAUPopulation ages 70-74, male</v>
      </c>
      <c r="C8038" t="s">
        <v>620</v>
      </c>
      <c r="D8038" t="s">
        <v>124</v>
      </c>
      <c r="E8038" t="s">
        <v>391</v>
      </c>
      <c r="F8038" t="s">
        <v>720</v>
      </c>
      <c r="G8038">
        <v>145000</v>
      </c>
      <c r="H8038">
        <v>151000</v>
      </c>
    </row>
    <row r="8039" spans="2:8" x14ac:dyDescent="0.25">
      <c r="B8039" t="str">
        <f t="shared" si="125"/>
        <v>SAUPopulation ages 75-79, female</v>
      </c>
      <c r="C8039" t="s">
        <v>620</v>
      </c>
      <c r="D8039" t="s">
        <v>124</v>
      </c>
      <c r="E8039" t="s">
        <v>392</v>
      </c>
      <c r="F8039" t="s">
        <v>721</v>
      </c>
      <c r="G8039">
        <v>97000</v>
      </c>
      <c r="H8039">
        <v>99000</v>
      </c>
    </row>
    <row r="8040" spans="2:8" x14ac:dyDescent="0.25">
      <c r="B8040" t="str">
        <f t="shared" si="125"/>
        <v>SAUPopulation ages 75-79, male</v>
      </c>
      <c r="C8040" t="s">
        <v>620</v>
      </c>
      <c r="D8040" t="s">
        <v>124</v>
      </c>
      <c r="E8040" t="s">
        <v>393</v>
      </c>
      <c r="F8040" t="s">
        <v>722</v>
      </c>
      <c r="G8040">
        <v>100000</v>
      </c>
      <c r="H8040">
        <v>102000</v>
      </c>
    </row>
    <row r="8041" spans="2:8" x14ac:dyDescent="0.25">
      <c r="B8041" t="str">
        <f t="shared" si="125"/>
        <v>SAUPopulation ages 80 and above, female</v>
      </c>
      <c r="C8041" t="s">
        <v>620</v>
      </c>
      <c r="D8041" t="s">
        <v>124</v>
      </c>
      <c r="E8041" t="s">
        <v>394</v>
      </c>
      <c r="F8041" t="s">
        <v>723</v>
      </c>
      <c r="G8041">
        <v>89000</v>
      </c>
      <c r="H8041">
        <v>91000</v>
      </c>
    </row>
    <row r="8042" spans="2:8" x14ac:dyDescent="0.25">
      <c r="B8042" t="str">
        <f t="shared" si="125"/>
        <v>SAUPopulation ages 80 and above, male</v>
      </c>
      <c r="C8042" t="s">
        <v>620</v>
      </c>
      <c r="D8042" t="s">
        <v>124</v>
      </c>
      <c r="E8042" t="s">
        <v>395</v>
      </c>
      <c r="F8042" t="s">
        <v>724</v>
      </c>
      <c r="G8042">
        <v>78000</v>
      </c>
      <c r="H8042">
        <v>79000</v>
      </c>
    </row>
    <row r="8043" spans="2:8" x14ac:dyDescent="0.25">
      <c r="B8043" t="str">
        <f t="shared" si="125"/>
        <v>SAUPopulation, male</v>
      </c>
      <c r="C8043" t="s">
        <v>620</v>
      </c>
      <c r="D8043" t="s">
        <v>124</v>
      </c>
      <c r="E8043" t="s">
        <v>397</v>
      </c>
      <c r="F8043" t="s">
        <v>725</v>
      </c>
      <c r="G8043">
        <v>19784000</v>
      </c>
      <c r="H8043">
        <v>20131000</v>
      </c>
    </row>
    <row r="8044" spans="2:8" x14ac:dyDescent="0.25">
      <c r="B8044" t="str">
        <f t="shared" si="125"/>
        <v>SAUPopulation, total</v>
      </c>
      <c r="C8044" t="s">
        <v>620</v>
      </c>
      <c r="D8044" t="s">
        <v>124</v>
      </c>
      <c r="E8044" t="s">
        <v>398</v>
      </c>
      <c r="F8044" t="s">
        <v>726</v>
      </c>
      <c r="G8044">
        <v>34269000</v>
      </c>
      <c r="H8044">
        <v>34814000</v>
      </c>
    </row>
    <row r="8045" spans="2:8" x14ac:dyDescent="0.25">
      <c r="B8045" t="str">
        <f t="shared" si="125"/>
        <v>SAUPopulation, female</v>
      </c>
      <c r="C8045" t="s">
        <v>620</v>
      </c>
      <c r="D8045" t="s">
        <v>124</v>
      </c>
      <c r="E8045" t="s">
        <v>396</v>
      </c>
      <c r="F8045" t="s">
        <v>727</v>
      </c>
      <c r="G8045">
        <v>14485000</v>
      </c>
      <c r="H8045">
        <v>14683000</v>
      </c>
    </row>
    <row r="8046" spans="2:8" x14ac:dyDescent="0.25">
      <c r="B8046" t="str">
        <f t="shared" si="125"/>
        <v>SAUPopulation growth (annual %)</v>
      </c>
      <c r="C8046" t="s">
        <v>620</v>
      </c>
      <c r="D8046" t="s">
        <v>124</v>
      </c>
      <c r="E8046" t="s">
        <v>399</v>
      </c>
      <c r="F8046" t="s">
        <v>728</v>
      </c>
      <c r="G8046">
        <v>0</v>
      </c>
      <c r="H8046">
        <v>0</v>
      </c>
    </row>
    <row r="8047" spans="2:8" x14ac:dyDescent="0.25">
      <c r="B8047" t="str">
        <f t="shared" si="125"/>
        <v>SENPopulation ages 0-14, female</v>
      </c>
      <c r="C8047" t="s">
        <v>212</v>
      </c>
      <c r="D8047" t="s">
        <v>126</v>
      </c>
      <c r="E8047" t="s">
        <v>687</v>
      </c>
      <c r="F8047" t="s">
        <v>688</v>
      </c>
      <c r="G8047">
        <v>3445000</v>
      </c>
      <c r="H8047">
        <v>3518000</v>
      </c>
    </row>
    <row r="8048" spans="2:8" x14ac:dyDescent="0.25">
      <c r="B8048" t="str">
        <f t="shared" si="125"/>
        <v>SENPopulation ages 0-14, male</v>
      </c>
      <c r="C8048" t="s">
        <v>212</v>
      </c>
      <c r="D8048" t="s">
        <v>126</v>
      </c>
      <c r="E8048" t="s">
        <v>689</v>
      </c>
      <c r="F8048" t="s">
        <v>690</v>
      </c>
      <c r="G8048">
        <v>3536000</v>
      </c>
      <c r="H8048">
        <v>3613000</v>
      </c>
    </row>
    <row r="8049" spans="2:8" x14ac:dyDescent="0.25">
      <c r="B8049" t="str">
        <f t="shared" si="125"/>
        <v>SENPopulation ages 00-04, female</v>
      </c>
      <c r="C8049" t="s">
        <v>212</v>
      </c>
      <c r="D8049" t="s">
        <v>126</v>
      </c>
      <c r="E8049" t="s">
        <v>362</v>
      </c>
      <c r="F8049" t="s">
        <v>691</v>
      </c>
      <c r="G8049">
        <v>1274000</v>
      </c>
      <c r="H8049">
        <v>1289000</v>
      </c>
    </row>
    <row r="8050" spans="2:8" x14ac:dyDescent="0.25">
      <c r="B8050" t="str">
        <f t="shared" si="125"/>
        <v>SENPopulation ages 00-04, male</v>
      </c>
      <c r="C8050" t="s">
        <v>212</v>
      </c>
      <c r="D8050" t="s">
        <v>126</v>
      </c>
      <c r="E8050" t="s">
        <v>363</v>
      </c>
      <c r="F8050" t="s">
        <v>692</v>
      </c>
      <c r="G8050">
        <v>1311000</v>
      </c>
      <c r="H8050">
        <v>1326000</v>
      </c>
    </row>
    <row r="8051" spans="2:8" x14ac:dyDescent="0.25">
      <c r="B8051" t="str">
        <f t="shared" si="125"/>
        <v>SENPopulation ages 05-09, female</v>
      </c>
      <c r="C8051" t="s">
        <v>212</v>
      </c>
      <c r="D8051" t="s">
        <v>126</v>
      </c>
      <c r="E8051" t="s">
        <v>364</v>
      </c>
      <c r="F8051" t="s">
        <v>693</v>
      </c>
      <c r="G8051">
        <v>1167000</v>
      </c>
      <c r="H8051">
        <v>1192000</v>
      </c>
    </row>
    <row r="8052" spans="2:8" x14ac:dyDescent="0.25">
      <c r="B8052" t="str">
        <f t="shared" si="125"/>
        <v>SENPopulation ages 05-09, male</v>
      </c>
      <c r="C8052" t="s">
        <v>212</v>
      </c>
      <c r="D8052" t="s">
        <v>126</v>
      </c>
      <c r="E8052" t="s">
        <v>365</v>
      </c>
      <c r="F8052" t="s">
        <v>694</v>
      </c>
      <c r="G8052">
        <v>1198000</v>
      </c>
      <c r="H8052">
        <v>1225000</v>
      </c>
    </row>
    <row r="8053" spans="2:8" x14ac:dyDescent="0.25">
      <c r="B8053" t="str">
        <f t="shared" si="125"/>
        <v>SENPopulation ages 10-14, female</v>
      </c>
      <c r="C8053" t="s">
        <v>212</v>
      </c>
      <c r="D8053" t="s">
        <v>126</v>
      </c>
      <c r="E8053" t="s">
        <v>366</v>
      </c>
      <c r="F8053" t="s">
        <v>695</v>
      </c>
      <c r="G8053">
        <v>1004000</v>
      </c>
      <c r="H8053">
        <v>1037000</v>
      </c>
    </row>
    <row r="8054" spans="2:8" x14ac:dyDescent="0.25">
      <c r="B8054" t="str">
        <f t="shared" si="125"/>
        <v>SENPopulation ages 10-14, male</v>
      </c>
      <c r="C8054" t="s">
        <v>212</v>
      </c>
      <c r="D8054" t="s">
        <v>126</v>
      </c>
      <c r="E8054" t="s">
        <v>367</v>
      </c>
      <c r="F8054" t="s">
        <v>696</v>
      </c>
      <c r="G8054">
        <v>1028000</v>
      </c>
      <c r="H8054">
        <v>1062000</v>
      </c>
    </row>
    <row r="8055" spans="2:8" x14ac:dyDescent="0.25">
      <c r="B8055" t="str">
        <f t="shared" si="125"/>
        <v>SENPopulation ages 15-19, female</v>
      </c>
      <c r="C8055" t="s">
        <v>212</v>
      </c>
      <c r="D8055" t="s">
        <v>126</v>
      </c>
      <c r="E8055" t="s">
        <v>368</v>
      </c>
      <c r="F8055" t="s">
        <v>697</v>
      </c>
      <c r="G8055">
        <v>849000</v>
      </c>
      <c r="H8055">
        <v>875000</v>
      </c>
    </row>
    <row r="8056" spans="2:8" x14ac:dyDescent="0.25">
      <c r="B8056" t="str">
        <f t="shared" si="125"/>
        <v>SENPopulation ages 15-19, male</v>
      </c>
      <c r="C8056" t="s">
        <v>212</v>
      </c>
      <c r="D8056" t="s">
        <v>126</v>
      </c>
      <c r="E8056" t="s">
        <v>369</v>
      </c>
      <c r="F8056" t="s">
        <v>698</v>
      </c>
      <c r="G8056">
        <v>863000</v>
      </c>
      <c r="H8056">
        <v>890000</v>
      </c>
    </row>
    <row r="8057" spans="2:8" x14ac:dyDescent="0.25">
      <c r="B8057" t="str">
        <f t="shared" si="125"/>
        <v>SENPopulation ages 20-24, female</v>
      </c>
      <c r="C8057" t="s">
        <v>212</v>
      </c>
      <c r="D8057" t="s">
        <v>126</v>
      </c>
      <c r="E8057" t="s">
        <v>370</v>
      </c>
      <c r="F8057" t="s">
        <v>699</v>
      </c>
      <c r="G8057">
        <v>742000</v>
      </c>
      <c r="H8057">
        <v>760000</v>
      </c>
    </row>
    <row r="8058" spans="2:8" x14ac:dyDescent="0.25">
      <c r="B8058" t="str">
        <f t="shared" si="125"/>
        <v>SENPopulation ages 20-24, male</v>
      </c>
      <c r="C8058" t="s">
        <v>212</v>
      </c>
      <c r="D8058" t="s">
        <v>126</v>
      </c>
      <c r="E8058" t="s">
        <v>371</v>
      </c>
      <c r="F8058" t="s">
        <v>700</v>
      </c>
      <c r="G8058">
        <v>739000</v>
      </c>
      <c r="H8058">
        <v>759000</v>
      </c>
    </row>
    <row r="8059" spans="2:8" x14ac:dyDescent="0.25">
      <c r="B8059" t="str">
        <f t="shared" si="125"/>
        <v>SENPopulation ages 25-29, female</v>
      </c>
      <c r="C8059" t="s">
        <v>212</v>
      </c>
      <c r="D8059" t="s">
        <v>126</v>
      </c>
      <c r="E8059" t="s">
        <v>372</v>
      </c>
      <c r="F8059" t="s">
        <v>701</v>
      </c>
      <c r="G8059">
        <v>649000</v>
      </c>
      <c r="H8059">
        <v>664000</v>
      </c>
    </row>
    <row r="8060" spans="2:8" x14ac:dyDescent="0.25">
      <c r="B8060" t="str">
        <f t="shared" si="125"/>
        <v>SENPopulation ages 25-29, male</v>
      </c>
      <c r="C8060" t="s">
        <v>212</v>
      </c>
      <c r="D8060" t="s">
        <v>126</v>
      </c>
      <c r="E8060" t="s">
        <v>373</v>
      </c>
      <c r="F8060" t="s">
        <v>702</v>
      </c>
      <c r="G8060">
        <v>622000</v>
      </c>
      <c r="H8060">
        <v>641000</v>
      </c>
    </row>
    <row r="8061" spans="2:8" x14ac:dyDescent="0.25">
      <c r="B8061" t="str">
        <f t="shared" si="125"/>
        <v>SENPopulation ages 30-34, female</v>
      </c>
      <c r="C8061" t="s">
        <v>212</v>
      </c>
      <c r="D8061" t="s">
        <v>126</v>
      </c>
      <c r="E8061" t="s">
        <v>374</v>
      </c>
      <c r="F8061" t="s">
        <v>703</v>
      </c>
      <c r="G8061">
        <v>566000</v>
      </c>
      <c r="H8061">
        <v>579000</v>
      </c>
    </row>
    <row r="8062" spans="2:8" x14ac:dyDescent="0.25">
      <c r="B8062" t="str">
        <f t="shared" si="125"/>
        <v>SENPopulation ages 30-34, male</v>
      </c>
      <c r="C8062" t="s">
        <v>212</v>
      </c>
      <c r="D8062" t="s">
        <v>126</v>
      </c>
      <c r="E8062" t="s">
        <v>375</v>
      </c>
      <c r="F8062" t="s">
        <v>704</v>
      </c>
      <c r="G8062">
        <v>515000</v>
      </c>
      <c r="H8062">
        <v>531000</v>
      </c>
    </row>
    <row r="8063" spans="2:8" x14ac:dyDescent="0.25">
      <c r="B8063" t="str">
        <f t="shared" si="125"/>
        <v>SENPopulation ages 35-39, female</v>
      </c>
      <c r="C8063" t="s">
        <v>212</v>
      </c>
      <c r="D8063" t="s">
        <v>126</v>
      </c>
      <c r="E8063" t="s">
        <v>376</v>
      </c>
      <c r="F8063" t="s">
        <v>705</v>
      </c>
      <c r="G8063">
        <v>487000</v>
      </c>
      <c r="H8063">
        <v>503000</v>
      </c>
    </row>
    <row r="8064" spans="2:8" x14ac:dyDescent="0.25">
      <c r="B8064" t="str">
        <f t="shared" si="125"/>
        <v>SENPopulation ages 35-39, male</v>
      </c>
      <c r="C8064" t="s">
        <v>212</v>
      </c>
      <c r="D8064" t="s">
        <v>126</v>
      </c>
      <c r="E8064" t="s">
        <v>377</v>
      </c>
      <c r="F8064" t="s">
        <v>706</v>
      </c>
      <c r="G8064">
        <v>420000</v>
      </c>
      <c r="H8064">
        <v>437000</v>
      </c>
    </row>
    <row r="8065" spans="2:8" x14ac:dyDescent="0.25">
      <c r="B8065" t="str">
        <f t="shared" si="125"/>
        <v>SENPopulation ages 40-44, female</v>
      </c>
      <c r="C8065" t="s">
        <v>212</v>
      </c>
      <c r="D8065" t="s">
        <v>126</v>
      </c>
      <c r="E8065" t="s">
        <v>378</v>
      </c>
      <c r="F8065" t="s">
        <v>707</v>
      </c>
      <c r="G8065">
        <v>392000</v>
      </c>
      <c r="H8065">
        <v>408000</v>
      </c>
    </row>
    <row r="8066" spans="2:8" x14ac:dyDescent="0.25">
      <c r="B8066" t="str">
        <f t="shared" si="125"/>
        <v>SENPopulation ages 40-44, male</v>
      </c>
      <c r="C8066" t="s">
        <v>212</v>
      </c>
      <c r="D8066" t="s">
        <v>126</v>
      </c>
      <c r="E8066" t="s">
        <v>379</v>
      </c>
      <c r="F8066" t="s">
        <v>708</v>
      </c>
      <c r="G8066">
        <v>319000</v>
      </c>
      <c r="H8066">
        <v>334000</v>
      </c>
    </row>
    <row r="8067" spans="2:8" x14ac:dyDescent="0.25">
      <c r="B8067" t="str">
        <f t="shared" si="125"/>
        <v>SENPopulation ages 45-49, female</v>
      </c>
      <c r="C8067" t="s">
        <v>212</v>
      </c>
      <c r="D8067" t="s">
        <v>126</v>
      </c>
      <c r="E8067" t="s">
        <v>380</v>
      </c>
      <c r="F8067" t="s">
        <v>709</v>
      </c>
      <c r="G8067">
        <v>317000</v>
      </c>
      <c r="H8067">
        <v>329000</v>
      </c>
    </row>
    <row r="8068" spans="2:8" x14ac:dyDescent="0.25">
      <c r="B8068" t="str">
        <f t="shared" si="125"/>
        <v>SENPopulation ages 45-49, male</v>
      </c>
      <c r="C8068" t="s">
        <v>212</v>
      </c>
      <c r="D8068" t="s">
        <v>126</v>
      </c>
      <c r="E8068" t="s">
        <v>381</v>
      </c>
      <c r="F8068" t="s">
        <v>710</v>
      </c>
      <c r="G8068">
        <v>251000</v>
      </c>
      <c r="H8068">
        <v>261000</v>
      </c>
    </row>
    <row r="8069" spans="2:8" x14ac:dyDescent="0.25">
      <c r="B8069" t="str">
        <f t="shared" si="125"/>
        <v>SENPopulation ages 50-54, female</v>
      </c>
      <c r="C8069" t="s">
        <v>212</v>
      </c>
      <c r="D8069" t="s">
        <v>126</v>
      </c>
      <c r="E8069" t="s">
        <v>382</v>
      </c>
      <c r="F8069" t="s">
        <v>711</v>
      </c>
      <c r="G8069">
        <v>252000</v>
      </c>
      <c r="H8069">
        <v>262000</v>
      </c>
    </row>
    <row r="8070" spans="2:8" x14ac:dyDescent="0.25">
      <c r="B8070" t="str">
        <f t="shared" si="125"/>
        <v>SENPopulation ages 50-54, male</v>
      </c>
      <c r="C8070" t="s">
        <v>212</v>
      </c>
      <c r="D8070" t="s">
        <v>126</v>
      </c>
      <c r="E8070" t="s">
        <v>383</v>
      </c>
      <c r="F8070" t="s">
        <v>712</v>
      </c>
      <c r="G8070">
        <v>198000</v>
      </c>
      <c r="H8070">
        <v>205000</v>
      </c>
    </row>
    <row r="8071" spans="2:8" x14ac:dyDescent="0.25">
      <c r="B8071" t="str">
        <f t="shared" ref="B8071:B8134" si="126">CONCATENATE(D8071,E8071)</f>
        <v>SENPopulation ages 55-59, male</v>
      </c>
      <c r="C8071" t="s">
        <v>212</v>
      </c>
      <c r="D8071" t="s">
        <v>126</v>
      </c>
      <c r="E8071" t="s">
        <v>385</v>
      </c>
      <c r="F8071" t="s">
        <v>713</v>
      </c>
      <c r="G8071">
        <v>154000</v>
      </c>
      <c r="H8071">
        <v>160000</v>
      </c>
    </row>
    <row r="8072" spans="2:8" x14ac:dyDescent="0.25">
      <c r="B8072" t="str">
        <f t="shared" si="126"/>
        <v>SENPopulation ages 55-59, female</v>
      </c>
      <c r="C8072" t="s">
        <v>212</v>
      </c>
      <c r="D8072" t="s">
        <v>126</v>
      </c>
      <c r="E8072" t="s">
        <v>384</v>
      </c>
      <c r="F8072" t="s">
        <v>714</v>
      </c>
      <c r="G8072">
        <v>200000</v>
      </c>
      <c r="H8072">
        <v>208000</v>
      </c>
    </row>
    <row r="8073" spans="2:8" x14ac:dyDescent="0.25">
      <c r="B8073" t="str">
        <f t="shared" si="126"/>
        <v>SENPopulation ages 65-69, male</v>
      </c>
      <c r="C8073" t="s">
        <v>212</v>
      </c>
      <c r="D8073" t="s">
        <v>126</v>
      </c>
      <c r="E8073" t="s">
        <v>389</v>
      </c>
      <c r="F8073" t="s">
        <v>715</v>
      </c>
      <c r="G8073">
        <v>90000</v>
      </c>
      <c r="H8073">
        <v>93000</v>
      </c>
    </row>
    <row r="8074" spans="2:8" x14ac:dyDescent="0.25">
      <c r="B8074" t="str">
        <f t="shared" si="126"/>
        <v>SENPopulation ages 65-69, female</v>
      </c>
      <c r="C8074" t="s">
        <v>212</v>
      </c>
      <c r="D8074" t="s">
        <v>126</v>
      </c>
      <c r="E8074" t="s">
        <v>388</v>
      </c>
      <c r="F8074" t="s">
        <v>716</v>
      </c>
      <c r="G8074">
        <v>121000</v>
      </c>
      <c r="H8074">
        <v>126000</v>
      </c>
    </row>
    <row r="8075" spans="2:8" x14ac:dyDescent="0.25">
      <c r="B8075" t="str">
        <f t="shared" si="126"/>
        <v>SENPopulation ages 60-64, female</v>
      </c>
      <c r="C8075" t="s">
        <v>212</v>
      </c>
      <c r="D8075" t="s">
        <v>126</v>
      </c>
      <c r="E8075" t="s">
        <v>386</v>
      </c>
      <c r="F8075" t="s">
        <v>717</v>
      </c>
      <c r="G8075">
        <v>158000</v>
      </c>
      <c r="H8075">
        <v>164000</v>
      </c>
    </row>
    <row r="8076" spans="2:8" x14ac:dyDescent="0.25">
      <c r="B8076" t="str">
        <f t="shared" si="126"/>
        <v>SENPopulation ages 60-64, male</v>
      </c>
      <c r="C8076" t="s">
        <v>212</v>
      </c>
      <c r="D8076" t="s">
        <v>126</v>
      </c>
      <c r="E8076" t="s">
        <v>387</v>
      </c>
      <c r="F8076" t="s">
        <v>718</v>
      </c>
      <c r="G8076">
        <v>119000</v>
      </c>
      <c r="H8076">
        <v>122000</v>
      </c>
    </row>
    <row r="8077" spans="2:8" x14ac:dyDescent="0.25">
      <c r="B8077" t="str">
        <f t="shared" si="126"/>
        <v>SENPopulation ages 70-74, female</v>
      </c>
      <c r="C8077" t="s">
        <v>212</v>
      </c>
      <c r="D8077" t="s">
        <v>126</v>
      </c>
      <c r="E8077" t="s">
        <v>390</v>
      </c>
      <c r="F8077" t="s">
        <v>719</v>
      </c>
      <c r="G8077">
        <v>82000</v>
      </c>
      <c r="H8077">
        <v>85000</v>
      </c>
    </row>
    <row r="8078" spans="2:8" x14ac:dyDescent="0.25">
      <c r="B8078" t="str">
        <f t="shared" si="126"/>
        <v>SENPopulation ages 70-74, male</v>
      </c>
      <c r="C8078" t="s">
        <v>212</v>
      </c>
      <c r="D8078" t="s">
        <v>126</v>
      </c>
      <c r="E8078" t="s">
        <v>391</v>
      </c>
      <c r="F8078" t="s">
        <v>720</v>
      </c>
      <c r="G8078">
        <v>59000</v>
      </c>
      <c r="H8078">
        <v>60000</v>
      </c>
    </row>
    <row r="8079" spans="2:8" x14ac:dyDescent="0.25">
      <c r="B8079" t="str">
        <f t="shared" si="126"/>
        <v>SENPopulation ages 75-79, female</v>
      </c>
      <c r="C8079" t="s">
        <v>212</v>
      </c>
      <c r="D8079" t="s">
        <v>126</v>
      </c>
      <c r="E8079" t="s">
        <v>392</v>
      </c>
      <c r="F8079" t="s">
        <v>721</v>
      </c>
      <c r="G8079">
        <v>53000</v>
      </c>
      <c r="H8079">
        <v>55000</v>
      </c>
    </row>
    <row r="8080" spans="2:8" x14ac:dyDescent="0.25">
      <c r="B8080" t="str">
        <f t="shared" si="126"/>
        <v>SENPopulation ages 75-79, male</v>
      </c>
      <c r="C8080" t="s">
        <v>212</v>
      </c>
      <c r="D8080" t="s">
        <v>126</v>
      </c>
      <c r="E8080" t="s">
        <v>393</v>
      </c>
      <c r="F8080" t="s">
        <v>722</v>
      </c>
      <c r="G8080">
        <v>38000</v>
      </c>
      <c r="H8080">
        <v>39000</v>
      </c>
    </row>
    <row r="8081" spans="2:8" x14ac:dyDescent="0.25">
      <c r="B8081" t="str">
        <f t="shared" si="126"/>
        <v>SENPopulation ages 80 and above, female</v>
      </c>
      <c r="C8081" t="s">
        <v>212</v>
      </c>
      <c r="D8081" t="s">
        <v>126</v>
      </c>
      <c r="E8081" t="s">
        <v>394</v>
      </c>
      <c r="F8081" t="s">
        <v>723</v>
      </c>
      <c r="G8081">
        <v>37000</v>
      </c>
      <c r="H8081">
        <v>37000</v>
      </c>
    </row>
    <row r="8082" spans="2:8" x14ac:dyDescent="0.25">
      <c r="B8082" t="str">
        <f t="shared" si="126"/>
        <v>SENPopulation ages 80 and above, male</v>
      </c>
      <c r="C8082" t="s">
        <v>212</v>
      </c>
      <c r="D8082" t="s">
        <v>126</v>
      </c>
      <c r="E8082" t="s">
        <v>395</v>
      </c>
      <c r="F8082" t="s">
        <v>724</v>
      </c>
      <c r="G8082">
        <v>25000</v>
      </c>
      <c r="H8082">
        <v>24000</v>
      </c>
    </row>
    <row r="8083" spans="2:8" x14ac:dyDescent="0.25">
      <c r="B8083" t="str">
        <f t="shared" si="126"/>
        <v>SENPopulation, male</v>
      </c>
      <c r="C8083" t="s">
        <v>212</v>
      </c>
      <c r="D8083" t="s">
        <v>126</v>
      </c>
      <c r="E8083" t="s">
        <v>397</v>
      </c>
      <c r="F8083" t="s">
        <v>725</v>
      </c>
      <c r="G8083">
        <v>7946000</v>
      </c>
      <c r="H8083">
        <v>8171000</v>
      </c>
    </row>
    <row r="8084" spans="2:8" x14ac:dyDescent="0.25">
      <c r="B8084" t="str">
        <f t="shared" si="126"/>
        <v>SENPopulation, total</v>
      </c>
      <c r="C8084" t="s">
        <v>212</v>
      </c>
      <c r="D8084" t="s">
        <v>126</v>
      </c>
      <c r="E8084" t="s">
        <v>398</v>
      </c>
      <c r="F8084" t="s">
        <v>726</v>
      </c>
      <c r="G8084">
        <v>16296000</v>
      </c>
      <c r="H8084">
        <v>16744000</v>
      </c>
    </row>
    <row r="8085" spans="2:8" x14ac:dyDescent="0.25">
      <c r="B8085" t="str">
        <f t="shared" si="126"/>
        <v>SENPopulation, female</v>
      </c>
      <c r="C8085" t="s">
        <v>212</v>
      </c>
      <c r="D8085" t="s">
        <v>126</v>
      </c>
      <c r="E8085" t="s">
        <v>396</v>
      </c>
      <c r="F8085" t="s">
        <v>727</v>
      </c>
      <c r="G8085">
        <v>8350000</v>
      </c>
      <c r="H8085">
        <v>8573000</v>
      </c>
    </row>
    <row r="8086" spans="2:8" x14ac:dyDescent="0.25">
      <c r="B8086" t="str">
        <f t="shared" si="126"/>
        <v>SENPopulation growth (annual %)</v>
      </c>
      <c r="C8086" t="s">
        <v>212</v>
      </c>
      <c r="D8086" t="s">
        <v>126</v>
      </c>
      <c r="E8086" t="s">
        <v>399</v>
      </c>
      <c r="F8086" t="s">
        <v>728</v>
      </c>
      <c r="G8086">
        <v>0</v>
      </c>
      <c r="H8086">
        <v>0</v>
      </c>
    </row>
    <row r="8087" spans="2:8" x14ac:dyDescent="0.25">
      <c r="B8087" t="str">
        <f t="shared" si="126"/>
        <v>SRBPopulation ages 0-14, female</v>
      </c>
      <c r="C8087" t="s">
        <v>621</v>
      </c>
      <c r="D8087" t="s">
        <v>131</v>
      </c>
      <c r="E8087" t="s">
        <v>687</v>
      </c>
      <c r="F8087" t="s">
        <v>688</v>
      </c>
      <c r="G8087">
        <v>522000</v>
      </c>
      <c r="H8087">
        <v>514000</v>
      </c>
    </row>
    <row r="8088" spans="2:8" x14ac:dyDescent="0.25">
      <c r="B8088" t="str">
        <f t="shared" si="126"/>
        <v>SRBPopulation ages 0-14, male</v>
      </c>
      <c r="C8088" t="s">
        <v>621</v>
      </c>
      <c r="D8088" t="s">
        <v>131</v>
      </c>
      <c r="E8088" t="s">
        <v>689</v>
      </c>
      <c r="F8088" t="s">
        <v>690</v>
      </c>
      <c r="G8088">
        <v>559000</v>
      </c>
      <c r="H8088">
        <v>550000</v>
      </c>
    </row>
    <row r="8089" spans="2:8" x14ac:dyDescent="0.25">
      <c r="B8089" t="str">
        <f t="shared" si="126"/>
        <v>SRBPopulation ages 00-04, female</v>
      </c>
      <c r="C8089" t="s">
        <v>621</v>
      </c>
      <c r="D8089" t="s">
        <v>131</v>
      </c>
      <c r="E8089" t="s">
        <v>362</v>
      </c>
      <c r="F8089" t="s">
        <v>691</v>
      </c>
      <c r="G8089">
        <v>161000</v>
      </c>
      <c r="H8089">
        <v>160000</v>
      </c>
    </row>
    <row r="8090" spans="2:8" x14ac:dyDescent="0.25">
      <c r="B8090" t="str">
        <f t="shared" si="126"/>
        <v>SRBPopulation ages 00-04, male</v>
      </c>
      <c r="C8090" t="s">
        <v>621</v>
      </c>
      <c r="D8090" t="s">
        <v>131</v>
      </c>
      <c r="E8090" t="s">
        <v>363</v>
      </c>
      <c r="F8090" t="s">
        <v>692</v>
      </c>
      <c r="G8090">
        <v>173000</v>
      </c>
      <c r="H8090">
        <v>172000</v>
      </c>
    </row>
    <row r="8091" spans="2:8" x14ac:dyDescent="0.25">
      <c r="B8091" t="str">
        <f t="shared" si="126"/>
        <v>SRBPopulation ages 05-09, female</v>
      </c>
      <c r="C8091" t="s">
        <v>621</v>
      </c>
      <c r="D8091" t="s">
        <v>131</v>
      </c>
      <c r="E8091" t="s">
        <v>364</v>
      </c>
      <c r="F8091" t="s">
        <v>693</v>
      </c>
      <c r="G8091">
        <v>171000</v>
      </c>
      <c r="H8091">
        <v>167000</v>
      </c>
    </row>
    <row r="8092" spans="2:8" x14ac:dyDescent="0.25">
      <c r="B8092" t="str">
        <f t="shared" si="126"/>
        <v>SRBPopulation ages 05-09, male</v>
      </c>
      <c r="C8092" t="s">
        <v>621</v>
      </c>
      <c r="D8092" t="s">
        <v>131</v>
      </c>
      <c r="E8092" t="s">
        <v>365</v>
      </c>
      <c r="F8092" t="s">
        <v>694</v>
      </c>
      <c r="G8092">
        <v>183000</v>
      </c>
      <c r="H8092">
        <v>179000</v>
      </c>
    </row>
    <row r="8093" spans="2:8" x14ac:dyDescent="0.25">
      <c r="B8093" t="str">
        <f t="shared" si="126"/>
        <v>SRBPopulation ages 10-14, female</v>
      </c>
      <c r="C8093" t="s">
        <v>621</v>
      </c>
      <c r="D8093" t="s">
        <v>131</v>
      </c>
      <c r="E8093" t="s">
        <v>366</v>
      </c>
      <c r="F8093" t="s">
        <v>695</v>
      </c>
      <c r="G8093">
        <v>189000</v>
      </c>
      <c r="H8093">
        <v>186000</v>
      </c>
    </row>
    <row r="8094" spans="2:8" x14ac:dyDescent="0.25">
      <c r="B8094" t="str">
        <f t="shared" si="126"/>
        <v>SRBPopulation ages 10-14, male</v>
      </c>
      <c r="C8094" t="s">
        <v>621</v>
      </c>
      <c r="D8094" t="s">
        <v>131</v>
      </c>
      <c r="E8094" t="s">
        <v>367</v>
      </c>
      <c r="F8094" t="s">
        <v>696</v>
      </c>
      <c r="G8094">
        <v>203000</v>
      </c>
      <c r="H8094">
        <v>200000</v>
      </c>
    </row>
    <row r="8095" spans="2:8" x14ac:dyDescent="0.25">
      <c r="B8095" t="str">
        <f t="shared" si="126"/>
        <v>SRBPopulation ages 15-19, female</v>
      </c>
      <c r="C8095" t="s">
        <v>621</v>
      </c>
      <c r="D8095" t="s">
        <v>131</v>
      </c>
      <c r="E8095" t="s">
        <v>368</v>
      </c>
      <c r="F8095" t="s">
        <v>697</v>
      </c>
      <c r="G8095">
        <v>198000</v>
      </c>
      <c r="H8095">
        <v>197000</v>
      </c>
    </row>
    <row r="8096" spans="2:8" x14ac:dyDescent="0.25">
      <c r="B8096" t="str">
        <f t="shared" si="126"/>
        <v>SRBPopulation ages 15-19, male</v>
      </c>
      <c r="C8096" t="s">
        <v>621</v>
      </c>
      <c r="D8096" t="s">
        <v>131</v>
      </c>
      <c r="E8096" t="s">
        <v>369</v>
      </c>
      <c r="F8096" t="s">
        <v>698</v>
      </c>
      <c r="G8096">
        <v>211000</v>
      </c>
      <c r="H8096">
        <v>210000</v>
      </c>
    </row>
    <row r="8097" spans="2:8" x14ac:dyDescent="0.25">
      <c r="B8097" t="str">
        <f t="shared" si="126"/>
        <v>SRBPopulation ages 20-24, female</v>
      </c>
      <c r="C8097" t="s">
        <v>621</v>
      </c>
      <c r="D8097" t="s">
        <v>131</v>
      </c>
      <c r="E8097" t="s">
        <v>370</v>
      </c>
      <c r="F8097" t="s">
        <v>699</v>
      </c>
      <c r="G8097">
        <v>205000</v>
      </c>
      <c r="H8097">
        <v>203000</v>
      </c>
    </row>
    <row r="8098" spans="2:8" x14ac:dyDescent="0.25">
      <c r="B8098" t="str">
        <f t="shared" si="126"/>
        <v>SRBPopulation ages 20-24, male</v>
      </c>
      <c r="C8098" t="s">
        <v>621</v>
      </c>
      <c r="D8098" t="s">
        <v>131</v>
      </c>
      <c r="E8098" t="s">
        <v>371</v>
      </c>
      <c r="F8098" t="s">
        <v>700</v>
      </c>
      <c r="G8098">
        <v>219000</v>
      </c>
      <c r="H8098">
        <v>217000</v>
      </c>
    </row>
    <row r="8099" spans="2:8" x14ac:dyDescent="0.25">
      <c r="B8099" t="str">
        <f t="shared" si="126"/>
        <v>SRBPopulation ages 25-29, female</v>
      </c>
      <c r="C8099" t="s">
        <v>621</v>
      </c>
      <c r="D8099" t="s">
        <v>131</v>
      </c>
      <c r="E8099" t="s">
        <v>372</v>
      </c>
      <c r="F8099" t="s">
        <v>701</v>
      </c>
      <c r="G8099">
        <v>224000</v>
      </c>
      <c r="H8099">
        <v>220000</v>
      </c>
    </row>
    <row r="8100" spans="2:8" x14ac:dyDescent="0.25">
      <c r="B8100" t="str">
        <f t="shared" si="126"/>
        <v>SRBPopulation ages 25-29, male</v>
      </c>
      <c r="C8100" t="s">
        <v>621</v>
      </c>
      <c r="D8100" t="s">
        <v>131</v>
      </c>
      <c r="E8100" t="s">
        <v>373</v>
      </c>
      <c r="F8100" t="s">
        <v>702</v>
      </c>
      <c r="G8100">
        <v>239000</v>
      </c>
      <c r="H8100">
        <v>234000</v>
      </c>
    </row>
    <row r="8101" spans="2:8" x14ac:dyDescent="0.25">
      <c r="B8101" t="str">
        <f t="shared" si="126"/>
        <v>SRBPopulation ages 30-34, female</v>
      </c>
      <c r="C8101" t="s">
        <v>621</v>
      </c>
      <c r="D8101" t="s">
        <v>131</v>
      </c>
      <c r="E8101" t="s">
        <v>374</v>
      </c>
      <c r="F8101" t="s">
        <v>703</v>
      </c>
      <c r="G8101">
        <v>238000</v>
      </c>
      <c r="H8101">
        <v>238000</v>
      </c>
    </row>
    <row r="8102" spans="2:8" x14ac:dyDescent="0.25">
      <c r="B8102" t="str">
        <f t="shared" si="126"/>
        <v>SRBPopulation ages 30-34, male</v>
      </c>
      <c r="C8102" t="s">
        <v>621</v>
      </c>
      <c r="D8102" t="s">
        <v>131</v>
      </c>
      <c r="E8102" t="s">
        <v>375</v>
      </c>
      <c r="F8102" t="s">
        <v>704</v>
      </c>
      <c r="G8102">
        <v>251000</v>
      </c>
      <c r="H8102">
        <v>252000</v>
      </c>
    </row>
    <row r="8103" spans="2:8" x14ac:dyDescent="0.25">
      <c r="B8103" t="str">
        <f t="shared" si="126"/>
        <v>SRBPopulation ages 35-39, female</v>
      </c>
      <c r="C8103" t="s">
        <v>621</v>
      </c>
      <c r="D8103" t="s">
        <v>131</v>
      </c>
      <c r="E8103" t="s">
        <v>376</v>
      </c>
      <c r="F8103" t="s">
        <v>705</v>
      </c>
      <c r="G8103">
        <v>235000</v>
      </c>
      <c r="H8103">
        <v>234000</v>
      </c>
    </row>
    <row r="8104" spans="2:8" x14ac:dyDescent="0.25">
      <c r="B8104" t="str">
        <f t="shared" si="126"/>
        <v>SRBPopulation ages 35-39, male</v>
      </c>
      <c r="C8104" t="s">
        <v>621</v>
      </c>
      <c r="D8104" t="s">
        <v>131</v>
      </c>
      <c r="E8104" t="s">
        <v>377</v>
      </c>
      <c r="F8104" t="s">
        <v>706</v>
      </c>
      <c r="G8104">
        <v>240000</v>
      </c>
      <c r="H8104">
        <v>239000</v>
      </c>
    </row>
    <row r="8105" spans="2:8" x14ac:dyDescent="0.25">
      <c r="B8105" t="str">
        <f t="shared" si="126"/>
        <v>SRBPopulation ages 40-44, female</v>
      </c>
      <c r="C8105" t="s">
        <v>621</v>
      </c>
      <c r="D8105" t="s">
        <v>131</v>
      </c>
      <c r="E8105" t="s">
        <v>378</v>
      </c>
      <c r="F8105" t="s">
        <v>707</v>
      </c>
      <c r="G8105">
        <v>248000</v>
      </c>
      <c r="H8105">
        <v>246000</v>
      </c>
    </row>
    <row r="8106" spans="2:8" x14ac:dyDescent="0.25">
      <c r="B8106" t="str">
        <f t="shared" si="126"/>
        <v>SRBPopulation ages 40-44, male</v>
      </c>
      <c r="C8106" t="s">
        <v>621</v>
      </c>
      <c r="D8106" t="s">
        <v>131</v>
      </c>
      <c r="E8106" t="s">
        <v>379</v>
      </c>
      <c r="F8106" t="s">
        <v>708</v>
      </c>
      <c r="G8106">
        <v>247000</v>
      </c>
      <c r="H8106">
        <v>247000</v>
      </c>
    </row>
    <row r="8107" spans="2:8" x14ac:dyDescent="0.25">
      <c r="B8107" t="str">
        <f t="shared" si="126"/>
        <v>SRBPopulation ages 45-49, female</v>
      </c>
      <c r="C8107" t="s">
        <v>621</v>
      </c>
      <c r="D8107" t="s">
        <v>131</v>
      </c>
      <c r="E8107" t="s">
        <v>380</v>
      </c>
      <c r="F8107" t="s">
        <v>709</v>
      </c>
      <c r="G8107">
        <v>242000</v>
      </c>
      <c r="H8107">
        <v>243000</v>
      </c>
    </row>
    <row r="8108" spans="2:8" x14ac:dyDescent="0.25">
      <c r="B8108" t="str">
        <f t="shared" si="126"/>
        <v>SRBPopulation ages 45-49, male</v>
      </c>
      <c r="C8108" t="s">
        <v>621</v>
      </c>
      <c r="D8108" t="s">
        <v>131</v>
      </c>
      <c r="E8108" t="s">
        <v>381</v>
      </c>
      <c r="F8108" t="s">
        <v>710</v>
      </c>
      <c r="G8108">
        <v>237000</v>
      </c>
      <c r="H8108">
        <v>239000</v>
      </c>
    </row>
    <row r="8109" spans="2:8" x14ac:dyDescent="0.25">
      <c r="B8109" t="str">
        <f t="shared" si="126"/>
        <v>SRBPopulation ages 50-54, female</v>
      </c>
      <c r="C8109" t="s">
        <v>621</v>
      </c>
      <c r="D8109" t="s">
        <v>131</v>
      </c>
      <c r="E8109" t="s">
        <v>382</v>
      </c>
      <c r="F8109" t="s">
        <v>711</v>
      </c>
      <c r="G8109">
        <v>229000</v>
      </c>
      <c r="H8109">
        <v>230000</v>
      </c>
    </row>
    <row r="8110" spans="2:8" x14ac:dyDescent="0.25">
      <c r="B8110" t="str">
        <f t="shared" si="126"/>
        <v>SRBPopulation ages 50-54, male</v>
      </c>
      <c r="C8110" t="s">
        <v>621</v>
      </c>
      <c r="D8110" t="s">
        <v>131</v>
      </c>
      <c r="E8110" t="s">
        <v>383</v>
      </c>
      <c r="F8110" t="s">
        <v>712</v>
      </c>
      <c r="G8110">
        <v>221000</v>
      </c>
      <c r="H8110">
        <v>222000</v>
      </c>
    </row>
    <row r="8111" spans="2:8" x14ac:dyDescent="0.25">
      <c r="B8111" t="str">
        <f t="shared" si="126"/>
        <v>SRBPopulation ages 55-59, male</v>
      </c>
      <c r="C8111" t="s">
        <v>621</v>
      </c>
      <c r="D8111" t="s">
        <v>131</v>
      </c>
      <c r="E8111" t="s">
        <v>385</v>
      </c>
      <c r="F8111" t="s">
        <v>713</v>
      </c>
      <c r="G8111">
        <v>212000</v>
      </c>
      <c r="H8111">
        <v>211000</v>
      </c>
    </row>
    <row r="8112" spans="2:8" x14ac:dyDescent="0.25">
      <c r="B8112" t="str">
        <f t="shared" si="126"/>
        <v>SRBPopulation ages 55-59, female</v>
      </c>
      <c r="C8112" t="s">
        <v>621</v>
      </c>
      <c r="D8112" t="s">
        <v>131</v>
      </c>
      <c r="E8112" t="s">
        <v>384</v>
      </c>
      <c r="F8112" t="s">
        <v>714</v>
      </c>
      <c r="G8112">
        <v>226000</v>
      </c>
      <c r="H8112">
        <v>226000</v>
      </c>
    </row>
    <row r="8113" spans="2:8" x14ac:dyDescent="0.25">
      <c r="B8113" t="str">
        <f t="shared" si="126"/>
        <v>SRBPopulation ages 65-69, male</v>
      </c>
      <c r="C8113" t="s">
        <v>621</v>
      </c>
      <c r="D8113" t="s">
        <v>131</v>
      </c>
      <c r="E8113" t="s">
        <v>389</v>
      </c>
      <c r="F8113" t="s">
        <v>715</v>
      </c>
      <c r="G8113">
        <v>216000</v>
      </c>
      <c r="H8113">
        <v>216000</v>
      </c>
    </row>
    <row r="8114" spans="2:8" x14ac:dyDescent="0.25">
      <c r="B8114" t="str">
        <f t="shared" si="126"/>
        <v>SRBPopulation ages 65-69, female</v>
      </c>
      <c r="C8114" t="s">
        <v>621</v>
      </c>
      <c r="D8114" t="s">
        <v>131</v>
      </c>
      <c r="E8114" t="s">
        <v>388</v>
      </c>
      <c r="F8114" t="s">
        <v>716</v>
      </c>
      <c r="G8114">
        <v>256000</v>
      </c>
      <c r="H8114">
        <v>256000</v>
      </c>
    </row>
    <row r="8115" spans="2:8" x14ac:dyDescent="0.25">
      <c r="B8115" t="str">
        <f t="shared" si="126"/>
        <v>SRBPopulation ages 60-64, female</v>
      </c>
      <c r="C8115" t="s">
        <v>621</v>
      </c>
      <c r="D8115" t="s">
        <v>131</v>
      </c>
      <c r="E8115" t="s">
        <v>386</v>
      </c>
      <c r="F8115" t="s">
        <v>717</v>
      </c>
      <c r="G8115">
        <v>237000</v>
      </c>
      <c r="H8115">
        <v>229000</v>
      </c>
    </row>
    <row r="8116" spans="2:8" x14ac:dyDescent="0.25">
      <c r="B8116" t="str">
        <f t="shared" si="126"/>
        <v>SRBPopulation ages 60-64, male</v>
      </c>
      <c r="C8116" t="s">
        <v>621</v>
      </c>
      <c r="D8116" t="s">
        <v>131</v>
      </c>
      <c r="E8116" t="s">
        <v>387</v>
      </c>
      <c r="F8116" t="s">
        <v>718</v>
      </c>
      <c r="G8116">
        <v>211000</v>
      </c>
      <c r="H8116">
        <v>205000</v>
      </c>
    </row>
    <row r="8117" spans="2:8" x14ac:dyDescent="0.25">
      <c r="B8117" t="str">
        <f t="shared" si="126"/>
        <v>SRBPopulation ages 70-74, female</v>
      </c>
      <c r="C8117" t="s">
        <v>621</v>
      </c>
      <c r="D8117" t="s">
        <v>131</v>
      </c>
      <c r="E8117" t="s">
        <v>390</v>
      </c>
      <c r="F8117" t="s">
        <v>719</v>
      </c>
      <c r="G8117">
        <v>194000</v>
      </c>
      <c r="H8117">
        <v>205000</v>
      </c>
    </row>
    <row r="8118" spans="2:8" x14ac:dyDescent="0.25">
      <c r="B8118" t="str">
        <f t="shared" si="126"/>
        <v>SRBPopulation ages 70-74, male</v>
      </c>
      <c r="C8118" t="s">
        <v>621</v>
      </c>
      <c r="D8118" t="s">
        <v>131</v>
      </c>
      <c r="E8118" t="s">
        <v>391</v>
      </c>
      <c r="F8118" t="s">
        <v>720</v>
      </c>
      <c r="G8118">
        <v>154000</v>
      </c>
      <c r="H8118">
        <v>163000</v>
      </c>
    </row>
    <row r="8119" spans="2:8" x14ac:dyDescent="0.25">
      <c r="B8119" t="str">
        <f t="shared" si="126"/>
        <v>SRBPopulation ages 75-79, female</v>
      </c>
      <c r="C8119" t="s">
        <v>621</v>
      </c>
      <c r="D8119" t="s">
        <v>131</v>
      </c>
      <c r="E8119" t="s">
        <v>392</v>
      </c>
      <c r="F8119" t="s">
        <v>721</v>
      </c>
      <c r="G8119">
        <v>120000</v>
      </c>
      <c r="H8119">
        <v>123000</v>
      </c>
    </row>
    <row r="8120" spans="2:8" x14ac:dyDescent="0.25">
      <c r="B8120" t="str">
        <f t="shared" si="126"/>
        <v>SRBPopulation ages 75-79, male</v>
      </c>
      <c r="C8120" t="s">
        <v>621</v>
      </c>
      <c r="D8120" t="s">
        <v>131</v>
      </c>
      <c r="E8120" t="s">
        <v>393</v>
      </c>
      <c r="F8120" t="s">
        <v>722</v>
      </c>
      <c r="G8120">
        <v>85000</v>
      </c>
      <c r="H8120">
        <v>87000</v>
      </c>
    </row>
    <row r="8121" spans="2:8" x14ac:dyDescent="0.25">
      <c r="B8121" t="str">
        <f t="shared" si="126"/>
        <v>SRBPopulation ages 80 and above, female</v>
      </c>
      <c r="C8121" t="s">
        <v>621</v>
      </c>
      <c r="D8121" t="s">
        <v>131</v>
      </c>
      <c r="E8121" t="s">
        <v>394</v>
      </c>
      <c r="F8121" t="s">
        <v>723</v>
      </c>
      <c r="G8121">
        <v>173000</v>
      </c>
      <c r="H8121">
        <v>169000</v>
      </c>
    </row>
    <row r="8122" spans="2:8" x14ac:dyDescent="0.25">
      <c r="B8122" t="str">
        <f t="shared" si="126"/>
        <v>SRBPopulation ages 80 and above, male</v>
      </c>
      <c r="C8122" t="s">
        <v>621</v>
      </c>
      <c r="D8122" t="s">
        <v>131</v>
      </c>
      <c r="E8122" t="s">
        <v>395</v>
      </c>
      <c r="F8122" t="s">
        <v>724</v>
      </c>
      <c r="G8122">
        <v>106000</v>
      </c>
      <c r="H8122">
        <v>101000</v>
      </c>
    </row>
    <row r="8123" spans="2:8" x14ac:dyDescent="0.25">
      <c r="B8123" t="str">
        <f t="shared" si="126"/>
        <v>SRBPopulation, male</v>
      </c>
      <c r="C8123" t="s">
        <v>621</v>
      </c>
      <c r="D8123" t="s">
        <v>131</v>
      </c>
      <c r="E8123" t="s">
        <v>397</v>
      </c>
      <c r="F8123" t="s">
        <v>725</v>
      </c>
      <c r="G8123">
        <v>3407000</v>
      </c>
      <c r="H8123">
        <v>3394000</v>
      </c>
    </row>
    <row r="8124" spans="2:8" x14ac:dyDescent="0.25">
      <c r="B8124" t="str">
        <f t="shared" si="126"/>
        <v>SRBPopulation, total</v>
      </c>
      <c r="C8124" t="s">
        <v>621</v>
      </c>
      <c r="D8124" t="s">
        <v>131</v>
      </c>
      <c r="E8124" t="s">
        <v>398</v>
      </c>
      <c r="F8124" t="s">
        <v>726</v>
      </c>
      <c r="G8124">
        <v>6955000</v>
      </c>
      <c r="H8124">
        <v>6929000</v>
      </c>
    </row>
    <row r="8125" spans="2:8" x14ac:dyDescent="0.25">
      <c r="B8125" t="str">
        <f t="shared" si="126"/>
        <v>SRBPopulation, female</v>
      </c>
      <c r="C8125" t="s">
        <v>621</v>
      </c>
      <c r="D8125" t="s">
        <v>131</v>
      </c>
      <c r="E8125" t="s">
        <v>396</v>
      </c>
      <c r="F8125" t="s">
        <v>727</v>
      </c>
      <c r="G8125">
        <v>3548000</v>
      </c>
      <c r="H8125">
        <v>3535000</v>
      </c>
    </row>
    <row r="8126" spans="2:8" x14ac:dyDescent="0.25">
      <c r="B8126" t="str">
        <f t="shared" si="126"/>
        <v>SRBPopulation growth (annual %)</v>
      </c>
      <c r="C8126" t="s">
        <v>621</v>
      </c>
      <c r="D8126" t="s">
        <v>131</v>
      </c>
      <c r="E8126" t="s">
        <v>399</v>
      </c>
      <c r="F8126" t="s">
        <v>728</v>
      </c>
      <c r="G8126">
        <v>0</v>
      </c>
      <c r="H8126">
        <v>0</v>
      </c>
    </row>
    <row r="8127" spans="2:8" x14ac:dyDescent="0.25">
      <c r="B8127" t="str">
        <f t="shared" si="126"/>
        <v>SYCPopulation ages 0-14, female</v>
      </c>
      <c r="C8127" t="s">
        <v>213</v>
      </c>
      <c r="D8127" t="s">
        <v>135</v>
      </c>
      <c r="E8127" t="s">
        <v>687</v>
      </c>
      <c r="F8127" t="s">
        <v>688</v>
      </c>
      <c r="G8127">
        <v>11000</v>
      </c>
      <c r="H8127">
        <v>11000</v>
      </c>
    </row>
    <row r="8128" spans="2:8" x14ac:dyDescent="0.25">
      <c r="B8128" t="str">
        <f t="shared" si="126"/>
        <v>SYCPopulation ages 0-14, male</v>
      </c>
      <c r="C8128" t="s">
        <v>213</v>
      </c>
      <c r="D8128" t="s">
        <v>135</v>
      </c>
      <c r="E8128" t="s">
        <v>689</v>
      </c>
      <c r="F8128" t="s">
        <v>690</v>
      </c>
      <c r="G8128">
        <v>12000</v>
      </c>
      <c r="H8128">
        <v>12000</v>
      </c>
    </row>
    <row r="8129" spans="2:8" x14ac:dyDescent="0.25">
      <c r="B8129" t="str">
        <f t="shared" si="126"/>
        <v>SYCPopulation ages 00-04, female</v>
      </c>
      <c r="C8129" t="s">
        <v>213</v>
      </c>
      <c r="D8129" t="s">
        <v>135</v>
      </c>
      <c r="E8129" t="s">
        <v>362</v>
      </c>
      <c r="F8129" t="s">
        <v>691</v>
      </c>
      <c r="G8129">
        <v>3900</v>
      </c>
      <c r="H8129">
        <v>3800</v>
      </c>
    </row>
    <row r="8130" spans="2:8" x14ac:dyDescent="0.25">
      <c r="B8130" t="str">
        <f t="shared" si="126"/>
        <v>SYCPopulation ages 00-04, male</v>
      </c>
      <c r="C8130" t="s">
        <v>213</v>
      </c>
      <c r="D8130" t="s">
        <v>135</v>
      </c>
      <c r="E8130" t="s">
        <v>363</v>
      </c>
      <c r="F8130" t="s">
        <v>692</v>
      </c>
      <c r="G8130">
        <v>4100</v>
      </c>
      <c r="H8130">
        <v>4100</v>
      </c>
    </row>
    <row r="8131" spans="2:8" x14ac:dyDescent="0.25">
      <c r="B8131" t="str">
        <f t="shared" si="126"/>
        <v>SYCPopulation ages 05-09, female</v>
      </c>
      <c r="C8131" t="s">
        <v>213</v>
      </c>
      <c r="D8131" t="s">
        <v>135</v>
      </c>
      <c r="E8131" t="s">
        <v>364</v>
      </c>
      <c r="F8131" t="s">
        <v>693</v>
      </c>
      <c r="G8131">
        <v>3800</v>
      </c>
      <c r="H8131">
        <v>3800</v>
      </c>
    </row>
    <row r="8132" spans="2:8" x14ac:dyDescent="0.25">
      <c r="B8132" t="str">
        <f t="shared" si="126"/>
        <v>SYCPopulation ages 05-09, male</v>
      </c>
      <c r="C8132" t="s">
        <v>213</v>
      </c>
      <c r="D8132" t="s">
        <v>135</v>
      </c>
      <c r="E8132" t="s">
        <v>365</v>
      </c>
      <c r="F8132" t="s">
        <v>694</v>
      </c>
      <c r="G8132">
        <v>4100</v>
      </c>
      <c r="H8132">
        <v>4100</v>
      </c>
    </row>
    <row r="8133" spans="2:8" x14ac:dyDescent="0.25">
      <c r="B8133" t="str">
        <f t="shared" si="126"/>
        <v>SYCPopulation ages 10-14, female</v>
      </c>
      <c r="C8133" t="s">
        <v>213</v>
      </c>
      <c r="D8133" t="s">
        <v>135</v>
      </c>
      <c r="E8133" t="s">
        <v>366</v>
      </c>
      <c r="F8133" t="s">
        <v>695</v>
      </c>
      <c r="G8133">
        <v>3500</v>
      </c>
      <c r="H8133">
        <v>3600</v>
      </c>
    </row>
    <row r="8134" spans="2:8" x14ac:dyDescent="0.25">
      <c r="B8134" t="str">
        <f t="shared" si="126"/>
        <v>SYCPopulation ages 10-14, male</v>
      </c>
      <c r="C8134" t="s">
        <v>213</v>
      </c>
      <c r="D8134" t="s">
        <v>135</v>
      </c>
      <c r="E8134" t="s">
        <v>367</v>
      </c>
      <c r="F8134" t="s">
        <v>696</v>
      </c>
      <c r="G8134">
        <v>3700</v>
      </c>
      <c r="H8134">
        <v>3800</v>
      </c>
    </row>
    <row r="8135" spans="2:8" x14ac:dyDescent="0.25">
      <c r="B8135" t="str">
        <f t="shared" ref="B8135:B8198" si="127">CONCATENATE(D8135,E8135)</f>
        <v>SYCPopulation ages 15-19, female</v>
      </c>
      <c r="C8135" t="s">
        <v>213</v>
      </c>
      <c r="D8135" t="s">
        <v>135</v>
      </c>
      <c r="E8135" t="s">
        <v>368</v>
      </c>
      <c r="F8135" t="s">
        <v>697</v>
      </c>
      <c r="G8135">
        <v>3100</v>
      </c>
      <c r="H8135">
        <v>3100</v>
      </c>
    </row>
    <row r="8136" spans="2:8" x14ac:dyDescent="0.25">
      <c r="B8136" t="str">
        <f t="shared" si="127"/>
        <v>SYCPopulation ages 15-19, male</v>
      </c>
      <c r="C8136" t="s">
        <v>213</v>
      </c>
      <c r="D8136" t="s">
        <v>135</v>
      </c>
      <c r="E8136" t="s">
        <v>369</v>
      </c>
      <c r="F8136" t="s">
        <v>698</v>
      </c>
      <c r="G8136">
        <v>3200</v>
      </c>
      <c r="H8136">
        <v>3300</v>
      </c>
    </row>
    <row r="8137" spans="2:8" x14ac:dyDescent="0.25">
      <c r="B8137" t="str">
        <f t="shared" si="127"/>
        <v>SYCPopulation ages 20-24, female</v>
      </c>
      <c r="C8137" t="s">
        <v>213</v>
      </c>
      <c r="D8137" t="s">
        <v>135</v>
      </c>
      <c r="E8137" t="s">
        <v>370</v>
      </c>
      <c r="F8137" t="s">
        <v>699</v>
      </c>
      <c r="G8137">
        <v>3100</v>
      </c>
      <c r="H8137">
        <v>3100</v>
      </c>
    </row>
    <row r="8138" spans="2:8" x14ac:dyDescent="0.25">
      <c r="B8138" t="str">
        <f t="shared" si="127"/>
        <v>SYCPopulation ages 20-24, male</v>
      </c>
      <c r="C8138" t="s">
        <v>213</v>
      </c>
      <c r="D8138" t="s">
        <v>135</v>
      </c>
      <c r="E8138" t="s">
        <v>371</v>
      </c>
      <c r="F8138" t="s">
        <v>700</v>
      </c>
      <c r="G8138">
        <v>3300</v>
      </c>
      <c r="H8138">
        <v>3200</v>
      </c>
    </row>
    <row r="8139" spans="2:8" x14ac:dyDescent="0.25">
      <c r="B8139" t="str">
        <f t="shared" si="127"/>
        <v>SYCPopulation ages 25-29, female</v>
      </c>
      <c r="C8139" t="s">
        <v>213</v>
      </c>
      <c r="D8139" t="s">
        <v>135</v>
      </c>
      <c r="E8139" t="s">
        <v>372</v>
      </c>
      <c r="F8139" t="s">
        <v>701</v>
      </c>
      <c r="G8139">
        <v>3400</v>
      </c>
      <c r="H8139">
        <v>3300</v>
      </c>
    </row>
    <row r="8140" spans="2:8" x14ac:dyDescent="0.25">
      <c r="B8140" t="str">
        <f t="shared" si="127"/>
        <v>SYCPopulation ages 25-29, male</v>
      </c>
      <c r="C8140" t="s">
        <v>213</v>
      </c>
      <c r="D8140" t="s">
        <v>135</v>
      </c>
      <c r="E8140" t="s">
        <v>373</v>
      </c>
      <c r="F8140" t="s">
        <v>702</v>
      </c>
      <c r="G8140">
        <v>3800</v>
      </c>
      <c r="H8140">
        <v>3700</v>
      </c>
    </row>
    <row r="8141" spans="2:8" x14ac:dyDescent="0.25">
      <c r="B8141" t="str">
        <f t="shared" si="127"/>
        <v>SYCPopulation ages 30-34, female</v>
      </c>
      <c r="C8141" t="s">
        <v>213</v>
      </c>
      <c r="D8141" t="s">
        <v>135</v>
      </c>
      <c r="E8141" t="s">
        <v>374</v>
      </c>
      <c r="F8141" t="s">
        <v>703</v>
      </c>
      <c r="G8141">
        <v>3200</v>
      </c>
      <c r="H8141">
        <v>3200</v>
      </c>
    </row>
    <row r="8142" spans="2:8" x14ac:dyDescent="0.25">
      <c r="B8142" t="str">
        <f t="shared" si="127"/>
        <v>SYCPopulation ages 30-34, male</v>
      </c>
      <c r="C8142" t="s">
        <v>213</v>
      </c>
      <c r="D8142" t="s">
        <v>135</v>
      </c>
      <c r="E8142" t="s">
        <v>375</v>
      </c>
      <c r="F8142" t="s">
        <v>704</v>
      </c>
      <c r="G8142">
        <v>3900</v>
      </c>
      <c r="H8142">
        <v>3800</v>
      </c>
    </row>
    <row r="8143" spans="2:8" x14ac:dyDescent="0.25">
      <c r="B8143" t="str">
        <f t="shared" si="127"/>
        <v>SYCPopulation ages 35-39, female</v>
      </c>
      <c r="C8143" t="s">
        <v>213</v>
      </c>
      <c r="D8143" t="s">
        <v>135</v>
      </c>
      <c r="E8143" t="s">
        <v>376</v>
      </c>
      <c r="F8143" t="s">
        <v>705</v>
      </c>
      <c r="G8143">
        <v>3300</v>
      </c>
      <c r="H8143">
        <v>3300</v>
      </c>
    </row>
    <row r="8144" spans="2:8" x14ac:dyDescent="0.25">
      <c r="B8144" t="str">
        <f t="shared" si="127"/>
        <v>SYCPopulation ages 35-39, male</v>
      </c>
      <c r="C8144" t="s">
        <v>213</v>
      </c>
      <c r="D8144" t="s">
        <v>135</v>
      </c>
      <c r="E8144" t="s">
        <v>377</v>
      </c>
      <c r="F8144" t="s">
        <v>706</v>
      </c>
      <c r="G8144">
        <v>4100</v>
      </c>
      <c r="H8144">
        <v>4000</v>
      </c>
    </row>
    <row r="8145" spans="2:8" x14ac:dyDescent="0.25">
      <c r="B8145" t="str">
        <f t="shared" si="127"/>
        <v>SYCPopulation ages 40-44, female</v>
      </c>
      <c r="C8145" t="s">
        <v>213</v>
      </c>
      <c r="D8145" t="s">
        <v>135</v>
      </c>
      <c r="E8145" t="s">
        <v>378</v>
      </c>
      <c r="F8145" t="s">
        <v>707</v>
      </c>
      <c r="G8145">
        <v>3500</v>
      </c>
      <c r="H8145">
        <v>3400</v>
      </c>
    </row>
    <row r="8146" spans="2:8" x14ac:dyDescent="0.25">
      <c r="B8146" t="str">
        <f t="shared" si="127"/>
        <v>SYCPopulation ages 40-44, male</v>
      </c>
      <c r="C8146" t="s">
        <v>213</v>
      </c>
      <c r="D8146" t="s">
        <v>135</v>
      </c>
      <c r="E8146" t="s">
        <v>379</v>
      </c>
      <c r="F8146" t="s">
        <v>708</v>
      </c>
      <c r="G8146">
        <v>4000</v>
      </c>
      <c r="H8146">
        <v>4000</v>
      </c>
    </row>
    <row r="8147" spans="2:8" x14ac:dyDescent="0.25">
      <c r="B8147" t="str">
        <f t="shared" si="127"/>
        <v>SYCPopulation ages 45-49, female</v>
      </c>
      <c r="C8147" t="s">
        <v>213</v>
      </c>
      <c r="D8147" t="s">
        <v>135</v>
      </c>
      <c r="E8147" t="s">
        <v>380</v>
      </c>
      <c r="F8147" t="s">
        <v>709</v>
      </c>
      <c r="G8147">
        <v>3500</v>
      </c>
      <c r="H8147">
        <v>3500</v>
      </c>
    </row>
    <row r="8148" spans="2:8" x14ac:dyDescent="0.25">
      <c r="B8148" t="str">
        <f t="shared" si="127"/>
        <v>SYCPopulation ages 45-49, male</v>
      </c>
      <c r="C8148" t="s">
        <v>213</v>
      </c>
      <c r="D8148" t="s">
        <v>135</v>
      </c>
      <c r="E8148" t="s">
        <v>381</v>
      </c>
      <c r="F8148" t="s">
        <v>710</v>
      </c>
      <c r="G8148">
        <v>3800</v>
      </c>
      <c r="H8148">
        <v>3900</v>
      </c>
    </row>
    <row r="8149" spans="2:8" x14ac:dyDescent="0.25">
      <c r="B8149" t="str">
        <f t="shared" si="127"/>
        <v>SYCPopulation ages 50-54, female</v>
      </c>
      <c r="C8149" t="s">
        <v>213</v>
      </c>
      <c r="D8149" t="s">
        <v>135</v>
      </c>
      <c r="E8149" t="s">
        <v>382</v>
      </c>
      <c r="F8149" t="s">
        <v>711</v>
      </c>
      <c r="G8149">
        <v>3300</v>
      </c>
      <c r="H8149">
        <v>3300</v>
      </c>
    </row>
    <row r="8150" spans="2:8" x14ac:dyDescent="0.25">
      <c r="B8150" t="str">
        <f t="shared" si="127"/>
        <v>SYCPopulation ages 50-54, male</v>
      </c>
      <c r="C8150" t="s">
        <v>213</v>
      </c>
      <c r="D8150" t="s">
        <v>135</v>
      </c>
      <c r="E8150" t="s">
        <v>383</v>
      </c>
      <c r="F8150" t="s">
        <v>712</v>
      </c>
      <c r="G8150">
        <v>3400</v>
      </c>
      <c r="H8150">
        <v>3400</v>
      </c>
    </row>
    <row r="8151" spans="2:8" x14ac:dyDescent="0.25">
      <c r="B8151" t="str">
        <f t="shared" si="127"/>
        <v>SYCPopulation ages 55-59, male</v>
      </c>
      <c r="C8151" t="s">
        <v>213</v>
      </c>
      <c r="D8151" t="s">
        <v>135</v>
      </c>
      <c r="E8151" t="s">
        <v>385</v>
      </c>
      <c r="F8151" t="s">
        <v>713</v>
      </c>
      <c r="G8151">
        <v>3000</v>
      </c>
      <c r="H8151">
        <v>3000</v>
      </c>
    </row>
    <row r="8152" spans="2:8" x14ac:dyDescent="0.25">
      <c r="B8152" t="str">
        <f t="shared" si="127"/>
        <v>SYCPopulation ages 55-59, female</v>
      </c>
      <c r="C8152" t="s">
        <v>213</v>
      </c>
      <c r="D8152" t="s">
        <v>135</v>
      </c>
      <c r="E8152" t="s">
        <v>384</v>
      </c>
      <c r="F8152" t="s">
        <v>714</v>
      </c>
      <c r="G8152">
        <v>3000</v>
      </c>
      <c r="H8152">
        <v>3100</v>
      </c>
    </row>
    <row r="8153" spans="2:8" x14ac:dyDescent="0.25">
      <c r="B8153" t="str">
        <f t="shared" si="127"/>
        <v>SYCPopulation ages 65-69, male</v>
      </c>
      <c r="C8153" t="s">
        <v>213</v>
      </c>
      <c r="D8153" t="s">
        <v>135</v>
      </c>
      <c r="E8153" t="s">
        <v>389</v>
      </c>
      <c r="F8153" t="s">
        <v>715</v>
      </c>
      <c r="G8153">
        <v>1400</v>
      </c>
      <c r="H8153">
        <v>1500</v>
      </c>
    </row>
    <row r="8154" spans="2:8" x14ac:dyDescent="0.25">
      <c r="B8154" t="str">
        <f t="shared" si="127"/>
        <v>SYCPopulation ages 65-69, female</v>
      </c>
      <c r="C8154" t="s">
        <v>213</v>
      </c>
      <c r="D8154" t="s">
        <v>135</v>
      </c>
      <c r="E8154" t="s">
        <v>388</v>
      </c>
      <c r="F8154" t="s">
        <v>716</v>
      </c>
      <c r="G8154">
        <v>1400</v>
      </c>
      <c r="H8154">
        <v>1600</v>
      </c>
    </row>
    <row r="8155" spans="2:8" x14ac:dyDescent="0.25">
      <c r="B8155" t="str">
        <f t="shared" si="127"/>
        <v>SYCPopulation ages 60-64, female</v>
      </c>
      <c r="C8155" t="s">
        <v>213</v>
      </c>
      <c r="D8155" t="s">
        <v>135</v>
      </c>
      <c r="E8155" t="s">
        <v>386</v>
      </c>
      <c r="F8155" t="s">
        <v>717</v>
      </c>
      <c r="G8155">
        <v>2300</v>
      </c>
      <c r="H8155">
        <v>2400</v>
      </c>
    </row>
    <row r="8156" spans="2:8" x14ac:dyDescent="0.25">
      <c r="B8156" t="str">
        <f t="shared" si="127"/>
        <v>SYCPopulation ages 60-64, male</v>
      </c>
      <c r="C8156" t="s">
        <v>213</v>
      </c>
      <c r="D8156" t="s">
        <v>135</v>
      </c>
      <c r="E8156" t="s">
        <v>387</v>
      </c>
      <c r="F8156" t="s">
        <v>718</v>
      </c>
      <c r="G8156">
        <v>2300</v>
      </c>
      <c r="H8156">
        <v>2400</v>
      </c>
    </row>
    <row r="8157" spans="2:8" x14ac:dyDescent="0.25">
      <c r="B8157" t="str">
        <f t="shared" si="127"/>
        <v>SYCPopulation ages 70-74, female</v>
      </c>
      <c r="C8157" t="s">
        <v>213</v>
      </c>
      <c r="D8157" t="s">
        <v>135</v>
      </c>
      <c r="E8157" t="s">
        <v>390</v>
      </c>
      <c r="F8157" t="s">
        <v>719</v>
      </c>
      <c r="G8157">
        <v>800</v>
      </c>
      <c r="H8157">
        <v>900</v>
      </c>
    </row>
    <row r="8158" spans="2:8" x14ac:dyDescent="0.25">
      <c r="B8158" t="str">
        <f t="shared" si="127"/>
        <v>SYCPopulation ages 70-74, male</v>
      </c>
      <c r="C8158" t="s">
        <v>213</v>
      </c>
      <c r="D8158" t="s">
        <v>135</v>
      </c>
      <c r="E8158" t="s">
        <v>391</v>
      </c>
      <c r="F8158" t="s">
        <v>720</v>
      </c>
      <c r="G8158">
        <v>800</v>
      </c>
      <c r="H8158">
        <v>800</v>
      </c>
    </row>
    <row r="8159" spans="2:8" x14ac:dyDescent="0.25">
      <c r="B8159" t="str">
        <f t="shared" si="127"/>
        <v>SYCPopulation ages 75-79, female</v>
      </c>
      <c r="C8159" t="s">
        <v>213</v>
      </c>
      <c r="D8159" t="s">
        <v>135</v>
      </c>
      <c r="E8159" t="s">
        <v>392</v>
      </c>
      <c r="F8159" t="s">
        <v>721</v>
      </c>
      <c r="G8159">
        <v>900</v>
      </c>
      <c r="H8159">
        <v>900</v>
      </c>
    </row>
    <row r="8160" spans="2:8" x14ac:dyDescent="0.25">
      <c r="B8160" t="str">
        <f t="shared" si="127"/>
        <v>SYCPopulation ages 75-79, male</v>
      </c>
      <c r="C8160" t="s">
        <v>213</v>
      </c>
      <c r="D8160" t="s">
        <v>135</v>
      </c>
      <c r="E8160" t="s">
        <v>393</v>
      </c>
      <c r="F8160" t="s">
        <v>722</v>
      </c>
      <c r="G8160">
        <v>700</v>
      </c>
      <c r="H8160">
        <v>700</v>
      </c>
    </row>
    <row r="8161" spans="2:8" x14ac:dyDescent="0.25">
      <c r="B8161" t="str">
        <f t="shared" si="127"/>
        <v>SYCPopulation ages 80 and above, female</v>
      </c>
      <c r="C8161" t="s">
        <v>213</v>
      </c>
      <c r="D8161" t="s">
        <v>135</v>
      </c>
      <c r="E8161" t="s">
        <v>394</v>
      </c>
      <c r="F8161" t="s">
        <v>723</v>
      </c>
      <c r="G8161">
        <v>1100</v>
      </c>
      <c r="H8161">
        <v>1100</v>
      </c>
    </row>
    <row r="8162" spans="2:8" x14ac:dyDescent="0.25">
      <c r="B8162" t="str">
        <f t="shared" si="127"/>
        <v>SYCPopulation ages 80 and above, male</v>
      </c>
      <c r="C8162" t="s">
        <v>213</v>
      </c>
      <c r="D8162" t="s">
        <v>135</v>
      </c>
      <c r="E8162" t="s">
        <v>395</v>
      </c>
      <c r="F8162" t="s">
        <v>724</v>
      </c>
      <c r="G8162">
        <v>500</v>
      </c>
      <c r="H8162">
        <v>500</v>
      </c>
    </row>
    <row r="8163" spans="2:8" x14ac:dyDescent="0.25">
      <c r="B8163" t="str">
        <f t="shared" si="127"/>
        <v>SYCPopulation, male</v>
      </c>
      <c r="C8163" t="s">
        <v>213</v>
      </c>
      <c r="D8163" t="s">
        <v>135</v>
      </c>
      <c r="E8163" t="s">
        <v>397</v>
      </c>
      <c r="F8163" t="s">
        <v>725</v>
      </c>
      <c r="G8163">
        <v>50000</v>
      </c>
      <c r="H8163">
        <v>50000</v>
      </c>
    </row>
    <row r="8164" spans="2:8" x14ac:dyDescent="0.25">
      <c r="B8164" t="str">
        <f t="shared" si="127"/>
        <v>SYCPopulation, total</v>
      </c>
      <c r="C8164" t="s">
        <v>213</v>
      </c>
      <c r="D8164" t="s">
        <v>135</v>
      </c>
      <c r="E8164" t="s">
        <v>398</v>
      </c>
      <c r="F8164" t="s">
        <v>726</v>
      </c>
      <c r="G8164">
        <v>97000</v>
      </c>
      <c r="H8164">
        <v>98000</v>
      </c>
    </row>
    <row r="8165" spans="2:8" x14ac:dyDescent="0.25">
      <c r="B8165" t="str">
        <f t="shared" si="127"/>
        <v>SYCPopulation, female</v>
      </c>
      <c r="C8165" t="s">
        <v>213</v>
      </c>
      <c r="D8165" t="s">
        <v>135</v>
      </c>
      <c r="E8165" t="s">
        <v>396</v>
      </c>
      <c r="F8165" t="s">
        <v>727</v>
      </c>
      <c r="G8165">
        <v>47000</v>
      </c>
      <c r="H8165">
        <v>48000</v>
      </c>
    </row>
    <row r="8166" spans="2:8" x14ac:dyDescent="0.25">
      <c r="B8166" t="str">
        <f t="shared" si="127"/>
        <v>SYCPopulation growth (annual %)</v>
      </c>
      <c r="C8166" t="s">
        <v>213</v>
      </c>
      <c r="D8166" t="s">
        <v>135</v>
      </c>
      <c r="E8166" t="s">
        <v>399</v>
      </c>
      <c r="F8166" t="s">
        <v>728</v>
      </c>
      <c r="G8166">
        <v>0</v>
      </c>
      <c r="H8166">
        <v>0</v>
      </c>
    </row>
    <row r="8167" spans="2:8" x14ac:dyDescent="0.25">
      <c r="B8167" t="str">
        <f t="shared" si="127"/>
        <v>SLEPopulation ages 0-14, female</v>
      </c>
      <c r="C8167" t="s">
        <v>214</v>
      </c>
      <c r="D8167" t="s">
        <v>129</v>
      </c>
      <c r="E8167" t="s">
        <v>687</v>
      </c>
      <c r="F8167" t="s">
        <v>688</v>
      </c>
      <c r="G8167">
        <v>1588000</v>
      </c>
      <c r="H8167">
        <v>1606000</v>
      </c>
    </row>
    <row r="8168" spans="2:8" x14ac:dyDescent="0.25">
      <c r="B8168" t="str">
        <f t="shared" si="127"/>
        <v>SLEPopulation ages 0-14, male</v>
      </c>
      <c r="C8168" t="s">
        <v>214</v>
      </c>
      <c r="D8168" t="s">
        <v>129</v>
      </c>
      <c r="E8168" t="s">
        <v>689</v>
      </c>
      <c r="F8168" t="s">
        <v>690</v>
      </c>
      <c r="G8168">
        <v>1594000</v>
      </c>
      <c r="H8168">
        <v>1612000</v>
      </c>
    </row>
    <row r="8169" spans="2:8" x14ac:dyDescent="0.25">
      <c r="B8169" t="str">
        <f t="shared" si="127"/>
        <v>SLEPopulation ages 00-04, female</v>
      </c>
      <c r="C8169" t="s">
        <v>214</v>
      </c>
      <c r="D8169" t="s">
        <v>129</v>
      </c>
      <c r="E8169" t="s">
        <v>362</v>
      </c>
      <c r="F8169" t="s">
        <v>691</v>
      </c>
      <c r="G8169">
        <v>572000</v>
      </c>
      <c r="H8169">
        <v>578000</v>
      </c>
    </row>
    <row r="8170" spans="2:8" x14ac:dyDescent="0.25">
      <c r="B8170" t="str">
        <f t="shared" si="127"/>
        <v>SLEPopulation ages 00-04, male</v>
      </c>
      <c r="C8170" t="s">
        <v>214</v>
      </c>
      <c r="D8170" t="s">
        <v>129</v>
      </c>
      <c r="E8170" t="s">
        <v>363</v>
      </c>
      <c r="F8170" t="s">
        <v>692</v>
      </c>
      <c r="G8170">
        <v>575000</v>
      </c>
      <c r="H8170">
        <v>581000</v>
      </c>
    </row>
    <row r="8171" spans="2:8" x14ac:dyDescent="0.25">
      <c r="B8171" t="str">
        <f t="shared" si="127"/>
        <v>SLEPopulation ages 05-09, female</v>
      </c>
      <c r="C8171" t="s">
        <v>214</v>
      </c>
      <c r="D8171" t="s">
        <v>129</v>
      </c>
      <c r="E8171" t="s">
        <v>364</v>
      </c>
      <c r="F8171" t="s">
        <v>693</v>
      </c>
      <c r="G8171">
        <v>529000</v>
      </c>
      <c r="H8171">
        <v>533000</v>
      </c>
    </row>
    <row r="8172" spans="2:8" x14ac:dyDescent="0.25">
      <c r="B8172" t="str">
        <f t="shared" si="127"/>
        <v>SLEPopulation ages 05-09, male</v>
      </c>
      <c r="C8172" t="s">
        <v>214</v>
      </c>
      <c r="D8172" t="s">
        <v>129</v>
      </c>
      <c r="E8172" t="s">
        <v>365</v>
      </c>
      <c r="F8172" t="s">
        <v>694</v>
      </c>
      <c r="G8172">
        <v>530000</v>
      </c>
      <c r="H8172">
        <v>534000</v>
      </c>
    </row>
    <row r="8173" spans="2:8" x14ac:dyDescent="0.25">
      <c r="B8173" t="str">
        <f t="shared" si="127"/>
        <v>SLEPopulation ages 10-14, female</v>
      </c>
      <c r="C8173" t="s">
        <v>214</v>
      </c>
      <c r="D8173" t="s">
        <v>129</v>
      </c>
      <c r="E8173" t="s">
        <v>366</v>
      </c>
      <c r="F8173" t="s">
        <v>695</v>
      </c>
      <c r="G8173">
        <v>487000</v>
      </c>
      <c r="H8173">
        <v>495000</v>
      </c>
    </row>
    <row r="8174" spans="2:8" x14ac:dyDescent="0.25">
      <c r="B8174" t="str">
        <f t="shared" si="127"/>
        <v>SLEPopulation ages 10-14, male</v>
      </c>
      <c r="C8174" t="s">
        <v>214</v>
      </c>
      <c r="D8174" t="s">
        <v>129</v>
      </c>
      <c r="E8174" t="s">
        <v>367</v>
      </c>
      <c r="F8174" t="s">
        <v>696</v>
      </c>
      <c r="G8174">
        <v>488000</v>
      </c>
      <c r="H8174">
        <v>497000</v>
      </c>
    </row>
    <row r="8175" spans="2:8" x14ac:dyDescent="0.25">
      <c r="B8175" t="str">
        <f t="shared" si="127"/>
        <v>SLEPopulation ages 15-19, female</v>
      </c>
      <c r="C8175" t="s">
        <v>214</v>
      </c>
      <c r="D8175" t="s">
        <v>129</v>
      </c>
      <c r="E8175" t="s">
        <v>368</v>
      </c>
      <c r="F8175" t="s">
        <v>697</v>
      </c>
      <c r="G8175">
        <v>426000</v>
      </c>
      <c r="H8175">
        <v>436000</v>
      </c>
    </row>
    <row r="8176" spans="2:8" x14ac:dyDescent="0.25">
      <c r="B8176" t="str">
        <f t="shared" si="127"/>
        <v>SLEPopulation ages 15-19, male</v>
      </c>
      <c r="C8176" t="s">
        <v>214</v>
      </c>
      <c r="D8176" t="s">
        <v>129</v>
      </c>
      <c r="E8176" t="s">
        <v>369</v>
      </c>
      <c r="F8176" t="s">
        <v>698</v>
      </c>
      <c r="G8176">
        <v>428000</v>
      </c>
      <c r="H8176">
        <v>439000</v>
      </c>
    </row>
    <row r="8177" spans="2:8" x14ac:dyDescent="0.25">
      <c r="B8177" t="str">
        <f t="shared" si="127"/>
        <v>SLEPopulation ages 20-24, female</v>
      </c>
      <c r="C8177" t="s">
        <v>214</v>
      </c>
      <c r="D8177" t="s">
        <v>129</v>
      </c>
      <c r="E8177" t="s">
        <v>370</v>
      </c>
      <c r="F8177" t="s">
        <v>699</v>
      </c>
      <c r="G8177">
        <v>367000</v>
      </c>
      <c r="H8177">
        <v>376000</v>
      </c>
    </row>
    <row r="8178" spans="2:8" x14ac:dyDescent="0.25">
      <c r="B8178" t="str">
        <f t="shared" si="127"/>
        <v>SLEPopulation ages 20-24, male</v>
      </c>
      <c r="C8178" t="s">
        <v>214</v>
      </c>
      <c r="D8178" t="s">
        <v>129</v>
      </c>
      <c r="E8178" t="s">
        <v>371</v>
      </c>
      <c r="F8178" t="s">
        <v>700</v>
      </c>
      <c r="G8178">
        <v>369000</v>
      </c>
      <c r="H8178">
        <v>378000</v>
      </c>
    </row>
    <row r="8179" spans="2:8" x14ac:dyDescent="0.25">
      <c r="B8179" t="str">
        <f t="shared" si="127"/>
        <v>SLEPopulation ages 25-29, female</v>
      </c>
      <c r="C8179" t="s">
        <v>214</v>
      </c>
      <c r="D8179" t="s">
        <v>129</v>
      </c>
      <c r="E8179" t="s">
        <v>372</v>
      </c>
      <c r="F8179" t="s">
        <v>701</v>
      </c>
      <c r="G8179">
        <v>315000</v>
      </c>
      <c r="H8179">
        <v>323000</v>
      </c>
    </row>
    <row r="8180" spans="2:8" x14ac:dyDescent="0.25">
      <c r="B8180" t="str">
        <f t="shared" si="127"/>
        <v>SLEPopulation ages 25-29, male</v>
      </c>
      <c r="C8180" t="s">
        <v>214</v>
      </c>
      <c r="D8180" t="s">
        <v>129</v>
      </c>
      <c r="E8180" t="s">
        <v>373</v>
      </c>
      <c r="F8180" t="s">
        <v>702</v>
      </c>
      <c r="G8180">
        <v>321000</v>
      </c>
      <c r="H8180">
        <v>329000</v>
      </c>
    </row>
    <row r="8181" spans="2:8" x14ac:dyDescent="0.25">
      <c r="B8181" t="str">
        <f t="shared" si="127"/>
        <v>SLEPopulation ages 30-34, female</v>
      </c>
      <c r="C8181" t="s">
        <v>214</v>
      </c>
      <c r="D8181" t="s">
        <v>129</v>
      </c>
      <c r="E8181" t="s">
        <v>374</v>
      </c>
      <c r="F8181" t="s">
        <v>703</v>
      </c>
      <c r="G8181">
        <v>265000</v>
      </c>
      <c r="H8181">
        <v>272000</v>
      </c>
    </row>
    <row r="8182" spans="2:8" x14ac:dyDescent="0.25">
      <c r="B8182" t="str">
        <f t="shared" si="127"/>
        <v>SLEPopulation ages 30-34, male</v>
      </c>
      <c r="C8182" t="s">
        <v>214</v>
      </c>
      <c r="D8182" t="s">
        <v>129</v>
      </c>
      <c r="E8182" t="s">
        <v>375</v>
      </c>
      <c r="F8182" t="s">
        <v>704</v>
      </c>
      <c r="G8182">
        <v>274000</v>
      </c>
      <c r="H8182">
        <v>281000</v>
      </c>
    </row>
    <row r="8183" spans="2:8" x14ac:dyDescent="0.25">
      <c r="B8183" t="str">
        <f t="shared" si="127"/>
        <v>SLEPopulation ages 35-39, female</v>
      </c>
      <c r="C8183" t="s">
        <v>214</v>
      </c>
      <c r="D8183" t="s">
        <v>129</v>
      </c>
      <c r="E8183" t="s">
        <v>376</v>
      </c>
      <c r="F8183" t="s">
        <v>705</v>
      </c>
      <c r="G8183">
        <v>220000</v>
      </c>
      <c r="H8183">
        <v>227000</v>
      </c>
    </row>
    <row r="8184" spans="2:8" x14ac:dyDescent="0.25">
      <c r="B8184" t="str">
        <f t="shared" si="127"/>
        <v>SLEPopulation ages 35-39, male</v>
      </c>
      <c r="C8184" t="s">
        <v>214</v>
      </c>
      <c r="D8184" t="s">
        <v>129</v>
      </c>
      <c r="E8184" t="s">
        <v>377</v>
      </c>
      <c r="F8184" t="s">
        <v>706</v>
      </c>
      <c r="G8184">
        <v>229000</v>
      </c>
      <c r="H8184">
        <v>236000</v>
      </c>
    </row>
    <row r="8185" spans="2:8" x14ac:dyDescent="0.25">
      <c r="B8185" t="str">
        <f t="shared" si="127"/>
        <v>SLEPopulation ages 40-44, female</v>
      </c>
      <c r="C8185" t="s">
        <v>214</v>
      </c>
      <c r="D8185" t="s">
        <v>129</v>
      </c>
      <c r="E8185" t="s">
        <v>378</v>
      </c>
      <c r="F8185" t="s">
        <v>707</v>
      </c>
      <c r="G8185">
        <v>177000</v>
      </c>
      <c r="H8185">
        <v>183000</v>
      </c>
    </row>
    <row r="8186" spans="2:8" x14ac:dyDescent="0.25">
      <c r="B8186" t="str">
        <f t="shared" si="127"/>
        <v>SLEPopulation ages 40-44, male</v>
      </c>
      <c r="C8186" t="s">
        <v>214</v>
      </c>
      <c r="D8186" t="s">
        <v>129</v>
      </c>
      <c r="E8186" t="s">
        <v>379</v>
      </c>
      <c r="F8186" t="s">
        <v>708</v>
      </c>
      <c r="G8186">
        <v>183000</v>
      </c>
      <c r="H8186">
        <v>190000</v>
      </c>
    </row>
    <row r="8187" spans="2:8" x14ac:dyDescent="0.25">
      <c r="B8187" t="str">
        <f t="shared" si="127"/>
        <v>SLEPopulation ages 45-49, female</v>
      </c>
      <c r="C8187" t="s">
        <v>214</v>
      </c>
      <c r="D8187" t="s">
        <v>129</v>
      </c>
      <c r="E8187" t="s">
        <v>380</v>
      </c>
      <c r="F8187" t="s">
        <v>709</v>
      </c>
      <c r="G8187">
        <v>145000</v>
      </c>
      <c r="H8187">
        <v>149000</v>
      </c>
    </row>
    <row r="8188" spans="2:8" x14ac:dyDescent="0.25">
      <c r="B8188" t="str">
        <f t="shared" si="127"/>
        <v>SLEPopulation ages 45-49, male</v>
      </c>
      <c r="C8188" t="s">
        <v>214</v>
      </c>
      <c r="D8188" t="s">
        <v>129</v>
      </c>
      <c r="E8188" t="s">
        <v>381</v>
      </c>
      <c r="F8188" t="s">
        <v>710</v>
      </c>
      <c r="G8188">
        <v>145000</v>
      </c>
      <c r="H8188">
        <v>150000</v>
      </c>
    </row>
    <row r="8189" spans="2:8" x14ac:dyDescent="0.25">
      <c r="B8189" t="str">
        <f t="shared" si="127"/>
        <v>SLEPopulation ages 50-54, female</v>
      </c>
      <c r="C8189" t="s">
        <v>214</v>
      </c>
      <c r="D8189" t="s">
        <v>129</v>
      </c>
      <c r="E8189" t="s">
        <v>382</v>
      </c>
      <c r="F8189" t="s">
        <v>711</v>
      </c>
      <c r="G8189">
        <v>117000</v>
      </c>
      <c r="H8189">
        <v>120000</v>
      </c>
    </row>
    <row r="8190" spans="2:8" x14ac:dyDescent="0.25">
      <c r="B8190" t="str">
        <f t="shared" si="127"/>
        <v>SLEPopulation ages 50-54, male</v>
      </c>
      <c r="C8190" t="s">
        <v>214</v>
      </c>
      <c r="D8190" t="s">
        <v>129</v>
      </c>
      <c r="E8190" t="s">
        <v>383</v>
      </c>
      <c r="F8190" t="s">
        <v>712</v>
      </c>
      <c r="G8190">
        <v>112000</v>
      </c>
      <c r="H8190">
        <v>116000</v>
      </c>
    </row>
    <row r="8191" spans="2:8" x14ac:dyDescent="0.25">
      <c r="B8191" t="str">
        <f t="shared" si="127"/>
        <v>SLEPopulation ages 55-59, male</v>
      </c>
      <c r="C8191" t="s">
        <v>214</v>
      </c>
      <c r="D8191" t="s">
        <v>129</v>
      </c>
      <c r="E8191" t="s">
        <v>385</v>
      </c>
      <c r="F8191" t="s">
        <v>713</v>
      </c>
      <c r="G8191">
        <v>84000</v>
      </c>
      <c r="H8191">
        <v>87000</v>
      </c>
    </row>
    <row r="8192" spans="2:8" x14ac:dyDescent="0.25">
      <c r="B8192" t="str">
        <f t="shared" si="127"/>
        <v>SLEPopulation ages 55-59, female</v>
      </c>
      <c r="C8192" t="s">
        <v>214</v>
      </c>
      <c r="D8192" t="s">
        <v>129</v>
      </c>
      <c r="E8192" t="s">
        <v>384</v>
      </c>
      <c r="F8192" t="s">
        <v>714</v>
      </c>
      <c r="G8192">
        <v>93000</v>
      </c>
      <c r="H8192">
        <v>95000</v>
      </c>
    </row>
    <row r="8193" spans="2:8" x14ac:dyDescent="0.25">
      <c r="B8193" t="str">
        <f t="shared" si="127"/>
        <v>SLEPopulation ages 65-69, male</v>
      </c>
      <c r="C8193" t="s">
        <v>214</v>
      </c>
      <c r="D8193" t="s">
        <v>129</v>
      </c>
      <c r="E8193" t="s">
        <v>389</v>
      </c>
      <c r="F8193" t="s">
        <v>715</v>
      </c>
      <c r="G8193">
        <v>42000</v>
      </c>
      <c r="H8193">
        <v>43000</v>
      </c>
    </row>
    <row r="8194" spans="2:8" x14ac:dyDescent="0.25">
      <c r="B8194" t="str">
        <f t="shared" si="127"/>
        <v>SLEPopulation ages 65-69, female</v>
      </c>
      <c r="C8194" t="s">
        <v>214</v>
      </c>
      <c r="D8194" t="s">
        <v>129</v>
      </c>
      <c r="E8194" t="s">
        <v>388</v>
      </c>
      <c r="F8194" t="s">
        <v>716</v>
      </c>
      <c r="G8194">
        <v>54000</v>
      </c>
      <c r="H8194">
        <v>55000</v>
      </c>
    </row>
    <row r="8195" spans="2:8" x14ac:dyDescent="0.25">
      <c r="B8195" t="str">
        <f t="shared" si="127"/>
        <v>SLEPopulation ages 60-64, female</v>
      </c>
      <c r="C8195" t="s">
        <v>214</v>
      </c>
      <c r="D8195" t="s">
        <v>129</v>
      </c>
      <c r="E8195" t="s">
        <v>386</v>
      </c>
      <c r="F8195" t="s">
        <v>717</v>
      </c>
      <c r="G8195">
        <v>71000</v>
      </c>
      <c r="H8195">
        <v>73000</v>
      </c>
    </row>
    <row r="8196" spans="2:8" x14ac:dyDescent="0.25">
      <c r="B8196" t="str">
        <f t="shared" si="127"/>
        <v>SLEPopulation ages 60-64, male</v>
      </c>
      <c r="C8196" t="s">
        <v>214</v>
      </c>
      <c r="D8196" t="s">
        <v>129</v>
      </c>
      <c r="E8196" t="s">
        <v>387</v>
      </c>
      <c r="F8196" t="s">
        <v>718</v>
      </c>
      <c r="G8196">
        <v>60000</v>
      </c>
      <c r="H8196">
        <v>62000</v>
      </c>
    </row>
    <row r="8197" spans="2:8" x14ac:dyDescent="0.25">
      <c r="B8197" t="str">
        <f t="shared" si="127"/>
        <v>SLEPopulation ages 70-74, female</v>
      </c>
      <c r="C8197" t="s">
        <v>214</v>
      </c>
      <c r="D8197" t="s">
        <v>129</v>
      </c>
      <c r="E8197" t="s">
        <v>390</v>
      </c>
      <c r="F8197" t="s">
        <v>719</v>
      </c>
      <c r="G8197">
        <v>38000</v>
      </c>
      <c r="H8197">
        <v>39000</v>
      </c>
    </row>
    <row r="8198" spans="2:8" x14ac:dyDescent="0.25">
      <c r="B8198" t="str">
        <f t="shared" si="127"/>
        <v>SLEPopulation ages 70-74, male</v>
      </c>
      <c r="C8198" t="s">
        <v>214</v>
      </c>
      <c r="D8198" t="s">
        <v>129</v>
      </c>
      <c r="E8198" t="s">
        <v>391</v>
      </c>
      <c r="F8198" t="s">
        <v>720</v>
      </c>
      <c r="G8198">
        <v>29000</v>
      </c>
      <c r="H8198">
        <v>29000</v>
      </c>
    </row>
    <row r="8199" spans="2:8" x14ac:dyDescent="0.25">
      <c r="B8199" t="str">
        <f t="shared" ref="B8199:B8262" si="128">CONCATENATE(D8199,E8199)</f>
        <v>SLEPopulation ages 75-79, female</v>
      </c>
      <c r="C8199" t="s">
        <v>214</v>
      </c>
      <c r="D8199" t="s">
        <v>129</v>
      </c>
      <c r="E8199" t="s">
        <v>392</v>
      </c>
      <c r="F8199" t="s">
        <v>721</v>
      </c>
      <c r="G8199">
        <v>23000</v>
      </c>
      <c r="H8199">
        <v>24000</v>
      </c>
    </row>
    <row r="8200" spans="2:8" x14ac:dyDescent="0.25">
      <c r="B8200" t="str">
        <f t="shared" si="128"/>
        <v>SLEPopulation ages 75-79, male</v>
      </c>
      <c r="C8200" t="s">
        <v>214</v>
      </c>
      <c r="D8200" t="s">
        <v>129</v>
      </c>
      <c r="E8200" t="s">
        <v>393</v>
      </c>
      <c r="F8200" t="s">
        <v>722</v>
      </c>
      <c r="G8200">
        <v>17000</v>
      </c>
      <c r="H8200">
        <v>17000</v>
      </c>
    </row>
    <row r="8201" spans="2:8" x14ac:dyDescent="0.25">
      <c r="B8201" t="str">
        <f t="shared" si="128"/>
        <v>SLEPopulation ages 80 and above, female</v>
      </c>
      <c r="C8201" t="s">
        <v>214</v>
      </c>
      <c r="D8201" t="s">
        <v>129</v>
      </c>
      <c r="E8201" t="s">
        <v>394</v>
      </c>
      <c r="F8201" t="s">
        <v>723</v>
      </c>
      <c r="G8201">
        <v>17000</v>
      </c>
      <c r="H8201">
        <v>16000</v>
      </c>
    </row>
    <row r="8202" spans="2:8" x14ac:dyDescent="0.25">
      <c r="B8202" t="str">
        <f t="shared" si="128"/>
        <v>SLEPopulation ages 80 and above, male</v>
      </c>
      <c r="C8202" t="s">
        <v>214</v>
      </c>
      <c r="D8202" t="s">
        <v>129</v>
      </c>
      <c r="E8202" t="s">
        <v>395</v>
      </c>
      <c r="F8202" t="s">
        <v>724</v>
      </c>
      <c r="G8202">
        <v>11000</v>
      </c>
      <c r="H8202">
        <v>10000</v>
      </c>
    </row>
    <row r="8203" spans="2:8" x14ac:dyDescent="0.25">
      <c r="B8203" t="str">
        <f t="shared" si="128"/>
        <v>SLEPopulation, male</v>
      </c>
      <c r="C8203" t="s">
        <v>214</v>
      </c>
      <c r="D8203" t="s">
        <v>129</v>
      </c>
      <c r="E8203" t="s">
        <v>397</v>
      </c>
      <c r="F8203" t="s">
        <v>725</v>
      </c>
      <c r="G8203">
        <v>3898000</v>
      </c>
      <c r="H8203">
        <v>3981000</v>
      </c>
    </row>
    <row r="8204" spans="2:8" x14ac:dyDescent="0.25">
      <c r="B8204" t="str">
        <f t="shared" si="128"/>
        <v>SLEPopulation, total</v>
      </c>
      <c r="C8204" t="s">
        <v>214</v>
      </c>
      <c r="D8204" t="s">
        <v>129</v>
      </c>
      <c r="E8204" t="s">
        <v>398</v>
      </c>
      <c r="F8204" t="s">
        <v>726</v>
      </c>
      <c r="G8204">
        <v>7813000</v>
      </c>
      <c r="H8204">
        <v>7977000</v>
      </c>
    </row>
    <row r="8205" spans="2:8" x14ac:dyDescent="0.25">
      <c r="B8205" t="str">
        <f t="shared" si="128"/>
        <v>SLEPopulation, female</v>
      </c>
      <c r="C8205" t="s">
        <v>214</v>
      </c>
      <c r="D8205" t="s">
        <v>129</v>
      </c>
      <c r="E8205" t="s">
        <v>396</v>
      </c>
      <c r="F8205" t="s">
        <v>727</v>
      </c>
      <c r="G8205">
        <v>3915000</v>
      </c>
      <c r="H8205">
        <v>3996000</v>
      </c>
    </row>
    <row r="8206" spans="2:8" x14ac:dyDescent="0.25">
      <c r="B8206" t="str">
        <f t="shared" si="128"/>
        <v>SLEPopulation growth (annual %)</v>
      </c>
      <c r="C8206" t="s">
        <v>214</v>
      </c>
      <c r="D8206" t="s">
        <v>129</v>
      </c>
      <c r="E8206" t="s">
        <v>399</v>
      </c>
      <c r="F8206" t="s">
        <v>728</v>
      </c>
      <c r="G8206">
        <v>0</v>
      </c>
      <c r="H8206">
        <v>0</v>
      </c>
    </row>
    <row r="8207" spans="2:8" x14ac:dyDescent="0.25">
      <c r="B8207" t="str">
        <f t="shared" si="128"/>
        <v>SGPPopulation ages 0-14, female</v>
      </c>
      <c r="C8207" t="s">
        <v>622</v>
      </c>
      <c r="D8207" t="s">
        <v>127</v>
      </c>
      <c r="E8207" t="s">
        <v>687</v>
      </c>
      <c r="F8207" t="s">
        <v>688</v>
      </c>
      <c r="G8207">
        <v>342000</v>
      </c>
      <c r="H8207">
        <v>344000</v>
      </c>
    </row>
    <row r="8208" spans="2:8" x14ac:dyDescent="0.25">
      <c r="B8208" t="str">
        <f t="shared" si="128"/>
        <v>SGPPopulation ages 0-14, male</v>
      </c>
      <c r="C8208" t="s">
        <v>622</v>
      </c>
      <c r="D8208" t="s">
        <v>127</v>
      </c>
      <c r="E8208" t="s">
        <v>689</v>
      </c>
      <c r="F8208" t="s">
        <v>690</v>
      </c>
      <c r="G8208">
        <v>362000</v>
      </c>
      <c r="H8208">
        <v>366000</v>
      </c>
    </row>
    <row r="8209" spans="2:8" x14ac:dyDescent="0.25">
      <c r="B8209" t="str">
        <f t="shared" si="128"/>
        <v>SGPPopulation ages 00-04, female</v>
      </c>
      <c r="C8209" t="s">
        <v>622</v>
      </c>
      <c r="D8209" t="s">
        <v>127</v>
      </c>
      <c r="E8209" t="s">
        <v>362</v>
      </c>
      <c r="F8209" t="s">
        <v>691</v>
      </c>
      <c r="G8209">
        <v>118000</v>
      </c>
      <c r="H8209">
        <v>122000</v>
      </c>
    </row>
    <row r="8210" spans="2:8" x14ac:dyDescent="0.25">
      <c r="B8210" t="str">
        <f t="shared" si="128"/>
        <v>SGPPopulation ages 00-04, male</v>
      </c>
      <c r="C8210" t="s">
        <v>622</v>
      </c>
      <c r="D8210" t="s">
        <v>127</v>
      </c>
      <c r="E8210" t="s">
        <v>363</v>
      </c>
      <c r="F8210" t="s">
        <v>692</v>
      </c>
      <c r="G8210">
        <v>127000</v>
      </c>
      <c r="H8210">
        <v>132000</v>
      </c>
    </row>
    <row r="8211" spans="2:8" x14ac:dyDescent="0.25">
      <c r="B8211" t="str">
        <f t="shared" si="128"/>
        <v>SGPPopulation ages 05-09, female</v>
      </c>
      <c r="C8211" t="s">
        <v>622</v>
      </c>
      <c r="D8211" t="s">
        <v>127</v>
      </c>
      <c r="E8211" t="s">
        <v>364</v>
      </c>
      <c r="F8211" t="s">
        <v>693</v>
      </c>
      <c r="G8211">
        <v>107000</v>
      </c>
      <c r="H8211">
        <v>106000</v>
      </c>
    </row>
    <row r="8212" spans="2:8" x14ac:dyDescent="0.25">
      <c r="B8212" t="str">
        <f t="shared" si="128"/>
        <v>SGPPopulation ages 05-09, male</v>
      </c>
      <c r="C8212" t="s">
        <v>622</v>
      </c>
      <c r="D8212" t="s">
        <v>127</v>
      </c>
      <c r="E8212" t="s">
        <v>365</v>
      </c>
      <c r="F8212" t="s">
        <v>694</v>
      </c>
      <c r="G8212">
        <v>113000</v>
      </c>
      <c r="H8212">
        <v>112000</v>
      </c>
    </row>
    <row r="8213" spans="2:8" x14ac:dyDescent="0.25">
      <c r="B8213" t="str">
        <f t="shared" si="128"/>
        <v>SGPPopulation ages 10-14, female</v>
      </c>
      <c r="C8213" t="s">
        <v>622</v>
      </c>
      <c r="D8213" t="s">
        <v>127</v>
      </c>
      <c r="E8213" t="s">
        <v>366</v>
      </c>
      <c r="F8213" t="s">
        <v>695</v>
      </c>
      <c r="G8213">
        <v>117000</v>
      </c>
      <c r="H8213">
        <v>116000</v>
      </c>
    </row>
    <row r="8214" spans="2:8" x14ac:dyDescent="0.25">
      <c r="B8214" t="str">
        <f t="shared" si="128"/>
        <v>SGPPopulation ages 10-14, male</v>
      </c>
      <c r="C8214" t="s">
        <v>622</v>
      </c>
      <c r="D8214" t="s">
        <v>127</v>
      </c>
      <c r="E8214" t="s">
        <v>367</v>
      </c>
      <c r="F8214" t="s">
        <v>696</v>
      </c>
      <c r="G8214">
        <v>122000</v>
      </c>
      <c r="H8214">
        <v>121000</v>
      </c>
    </row>
    <row r="8215" spans="2:8" x14ac:dyDescent="0.25">
      <c r="B8215" t="str">
        <f t="shared" si="128"/>
        <v>SGPPopulation ages 15-19, female</v>
      </c>
      <c r="C8215" t="s">
        <v>622</v>
      </c>
      <c r="D8215" t="s">
        <v>127</v>
      </c>
      <c r="E8215" t="s">
        <v>368</v>
      </c>
      <c r="F8215" t="s">
        <v>697</v>
      </c>
      <c r="G8215">
        <v>133000</v>
      </c>
      <c r="H8215">
        <v>127000</v>
      </c>
    </row>
    <row r="8216" spans="2:8" x14ac:dyDescent="0.25">
      <c r="B8216" t="str">
        <f t="shared" si="128"/>
        <v>SGPPopulation ages 15-19, male</v>
      </c>
      <c r="C8216" t="s">
        <v>622</v>
      </c>
      <c r="D8216" t="s">
        <v>127</v>
      </c>
      <c r="E8216" t="s">
        <v>369</v>
      </c>
      <c r="F8216" t="s">
        <v>698</v>
      </c>
      <c r="G8216">
        <v>146000</v>
      </c>
      <c r="H8216">
        <v>135000</v>
      </c>
    </row>
    <row r="8217" spans="2:8" x14ac:dyDescent="0.25">
      <c r="B8217" t="str">
        <f t="shared" si="128"/>
        <v>SGPPopulation ages 20-24, female</v>
      </c>
      <c r="C8217" t="s">
        <v>622</v>
      </c>
      <c r="D8217" t="s">
        <v>127</v>
      </c>
      <c r="E8217" t="s">
        <v>370</v>
      </c>
      <c r="F8217" t="s">
        <v>699</v>
      </c>
      <c r="G8217">
        <v>180000</v>
      </c>
      <c r="H8217">
        <v>176000</v>
      </c>
    </row>
    <row r="8218" spans="2:8" x14ac:dyDescent="0.25">
      <c r="B8218" t="str">
        <f t="shared" si="128"/>
        <v>SGPPopulation ages 20-24, male</v>
      </c>
      <c r="C8218" t="s">
        <v>622</v>
      </c>
      <c r="D8218" t="s">
        <v>127</v>
      </c>
      <c r="E8218" t="s">
        <v>371</v>
      </c>
      <c r="F8218" t="s">
        <v>700</v>
      </c>
      <c r="G8218">
        <v>223000</v>
      </c>
      <c r="H8218">
        <v>216000</v>
      </c>
    </row>
    <row r="8219" spans="2:8" x14ac:dyDescent="0.25">
      <c r="B8219" t="str">
        <f t="shared" si="128"/>
        <v>SGPPopulation ages 25-29, female</v>
      </c>
      <c r="C8219" t="s">
        <v>622</v>
      </c>
      <c r="D8219" t="s">
        <v>127</v>
      </c>
      <c r="E8219" t="s">
        <v>372</v>
      </c>
      <c r="F8219" t="s">
        <v>701</v>
      </c>
      <c r="G8219">
        <v>194000</v>
      </c>
      <c r="H8219">
        <v>195000</v>
      </c>
    </row>
    <row r="8220" spans="2:8" x14ac:dyDescent="0.25">
      <c r="B8220" t="str">
        <f t="shared" si="128"/>
        <v>SGPPopulation ages 25-29, male</v>
      </c>
      <c r="C8220" t="s">
        <v>622</v>
      </c>
      <c r="D8220" t="s">
        <v>127</v>
      </c>
      <c r="E8220" t="s">
        <v>373</v>
      </c>
      <c r="F8220" t="s">
        <v>702</v>
      </c>
      <c r="G8220">
        <v>231000</v>
      </c>
      <c r="H8220">
        <v>235000</v>
      </c>
    </row>
    <row r="8221" spans="2:8" x14ac:dyDescent="0.25">
      <c r="B8221" t="str">
        <f t="shared" si="128"/>
        <v>SGPPopulation ages 30-34, female</v>
      </c>
      <c r="C8221" t="s">
        <v>622</v>
      </c>
      <c r="D8221" t="s">
        <v>127</v>
      </c>
      <c r="E8221" t="s">
        <v>374</v>
      </c>
      <c r="F8221" t="s">
        <v>703</v>
      </c>
      <c r="G8221">
        <v>203000</v>
      </c>
      <c r="H8221">
        <v>201000</v>
      </c>
    </row>
    <row r="8222" spans="2:8" x14ac:dyDescent="0.25">
      <c r="B8222" t="str">
        <f t="shared" si="128"/>
        <v>SGPPopulation ages 30-34, male</v>
      </c>
      <c r="C8222" t="s">
        <v>622</v>
      </c>
      <c r="D8222" t="s">
        <v>127</v>
      </c>
      <c r="E8222" t="s">
        <v>375</v>
      </c>
      <c r="F8222" t="s">
        <v>704</v>
      </c>
      <c r="G8222">
        <v>225000</v>
      </c>
      <c r="H8222">
        <v>227000</v>
      </c>
    </row>
    <row r="8223" spans="2:8" x14ac:dyDescent="0.25">
      <c r="B8223" t="str">
        <f t="shared" si="128"/>
        <v>SGPPopulation ages 35-39, female</v>
      </c>
      <c r="C8223" t="s">
        <v>622</v>
      </c>
      <c r="D8223" t="s">
        <v>127</v>
      </c>
      <c r="E8223" t="s">
        <v>376</v>
      </c>
      <c r="F8223" t="s">
        <v>705</v>
      </c>
      <c r="G8223">
        <v>222000</v>
      </c>
      <c r="H8223">
        <v>221000</v>
      </c>
    </row>
    <row r="8224" spans="2:8" x14ac:dyDescent="0.25">
      <c r="B8224" t="str">
        <f t="shared" si="128"/>
        <v>SGPPopulation ages 35-39, male</v>
      </c>
      <c r="C8224" t="s">
        <v>622</v>
      </c>
      <c r="D8224" t="s">
        <v>127</v>
      </c>
      <c r="E8224" t="s">
        <v>377</v>
      </c>
      <c r="F8224" t="s">
        <v>706</v>
      </c>
      <c r="G8224">
        <v>234000</v>
      </c>
      <c r="H8224">
        <v>235000</v>
      </c>
    </row>
    <row r="8225" spans="2:8" x14ac:dyDescent="0.25">
      <c r="B8225" t="str">
        <f t="shared" si="128"/>
        <v>SGPPopulation ages 40-44, female</v>
      </c>
      <c r="C8225" t="s">
        <v>622</v>
      </c>
      <c r="D8225" t="s">
        <v>127</v>
      </c>
      <c r="E8225" t="s">
        <v>378</v>
      </c>
      <c r="F8225" t="s">
        <v>707</v>
      </c>
      <c r="G8225">
        <v>225000</v>
      </c>
      <c r="H8225">
        <v>225000</v>
      </c>
    </row>
    <row r="8226" spans="2:8" x14ac:dyDescent="0.25">
      <c r="B8226" t="str">
        <f t="shared" si="128"/>
        <v>SGPPopulation ages 40-44, male</v>
      </c>
      <c r="C8226" t="s">
        <v>622</v>
      </c>
      <c r="D8226" t="s">
        <v>127</v>
      </c>
      <c r="E8226" t="s">
        <v>379</v>
      </c>
      <c r="F8226" t="s">
        <v>708</v>
      </c>
      <c r="G8226">
        <v>244000</v>
      </c>
      <c r="H8226">
        <v>242000</v>
      </c>
    </row>
    <row r="8227" spans="2:8" x14ac:dyDescent="0.25">
      <c r="B8227" t="str">
        <f t="shared" si="128"/>
        <v>SGPPopulation ages 45-49, female</v>
      </c>
      <c r="C8227" t="s">
        <v>622</v>
      </c>
      <c r="D8227" t="s">
        <v>127</v>
      </c>
      <c r="E8227" t="s">
        <v>380</v>
      </c>
      <c r="F8227" t="s">
        <v>709</v>
      </c>
      <c r="G8227">
        <v>226000</v>
      </c>
      <c r="H8227">
        <v>229000</v>
      </c>
    </row>
    <row r="8228" spans="2:8" x14ac:dyDescent="0.25">
      <c r="B8228" t="str">
        <f t="shared" si="128"/>
        <v>SGPPopulation ages 45-49, male</v>
      </c>
      <c r="C8228" t="s">
        <v>622</v>
      </c>
      <c r="D8228" t="s">
        <v>127</v>
      </c>
      <c r="E8228" t="s">
        <v>381</v>
      </c>
      <c r="F8228" t="s">
        <v>710</v>
      </c>
      <c r="G8228">
        <v>255000</v>
      </c>
      <c r="H8228">
        <v>256000</v>
      </c>
    </row>
    <row r="8229" spans="2:8" x14ac:dyDescent="0.25">
      <c r="B8229" t="str">
        <f t="shared" si="128"/>
        <v>SGPPopulation ages 50-54, female</v>
      </c>
      <c r="C8229" t="s">
        <v>622</v>
      </c>
      <c r="D8229" t="s">
        <v>127</v>
      </c>
      <c r="E8229" t="s">
        <v>382</v>
      </c>
      <c r="F8229" t="s">
        <v>711</v>
      </c>
      <c r="G8229">
        <v>214000</v>
      </c>
      <c r="H8229">
        <v>215000</v>
      </c>
    </row>
    <row r="8230" spans="2:8" x14ac:dyDescent="0.25">
      <c r="B8230" t="str">
        <f t="shared" si="128"/>
        <v>SGPPopulation ages 50-54, male</v>
      </c>
      <c r="C8230" t="s">
        <v>622</v>
      </c>
      <c r="D8230" t="s">
        <v>127</v>
      </c>
      <c r="E8230" t="s">
        <v>383</v>
      </c>
      <c r="F8230" t="s">
        <v>712</v>
      </c>
      <c r="G8230">
        <v>246000</v>
      </c>
      <c r="H8230">
        <v>245000</v>
      </c>
    </row>
    <row r="8231" spans="2:8" x14ac:dyDescent="0.25">
      <c r="B8231" t="str">
        <f t="shared" si="128"/>
        <v>SGPPopulation ages 55-59, male</v>
      </c>
      <c r="C8231" t="s">
        <v>622</v>
      </c>
      <c r="D8231" t="s">
        <v>127</v>
      </c>
      <c r="E8231" t="s">
        <v>385</v>
      </c>
      <c r="F8231" t="s">
        <v>713</v>
      </c>
      <c r="G8231">
        <v>256000</v>
      </c>
      <c r="H8231">
        <v>256000</v>
      </c>
    </row>
    <row r="8232" spans="2:8" x14ac:dyDescent="0.25">
      <c r="B8232" t="str">
        <f t="shared" si="128"/>
        <v>SGPPopulation ages 55-59, female</v>
      </c>
      <c r="C8232" t="s">
        <v>622</v>
      </c>
      <c r="D8232" t="s">
        <v>127</v>
      </c>
      <c r="E8232" t="s">
        <v>384</v>
      </c>
      <c r="F8232" t="s">
        <v>714</v>
      </c>
      <c r="G8232">
        <v>216000</v>
      </c>
      <c r="H8232">
        <v>217000</v>
      </c>
    </row>
    <row r="8233" spans="2:8" x14ac:dyDescent="0.25">
      <c r="B8233" t="str">
        <f t="shared" si="128"/>
        <v>SGPPopulation ages 65-69, male</v>
      </c>
      <c r="C8233" t="s">
        <v>622</v>
      </c>
      <c r="D8233" t="s">
        <v>127</v>
      </c>
      <c r="E8233" t="s">
        <v>389</v>
      </c>
      <c r="F8233" t="s">
        <v>715</v>
      </c>
      <c r="G8233">
        <v>171000</v>
      </c>
      <c r="H8233">
        <v>187000</v>
      </c>
    </row>
    <row r="8234" spans="2:8" x14ac:dyDescent="0.25">
      <c r="B8234" t="str">
        <f t="shared" si="128"/>
        <v>SGPPopulation ages 65-69, female</v>
      </c>
      <c r="C8234" t="s">
        <v>622</v>
      </c>
      <c r="D8234" t="s">
        <v>127</v>
      </c>
      <c r="E8234" t="s">
        <v>388</v>
      </c>
      <c r="F8234" t="s">
        <v>716</v>
      </c>
      <c r="G8234">
        <v>153000</v>
      </c>
      <c r="H8234">
        <v>164000</v>
      </c>
    </row>
    <row r="8235" spans="2:8" x14ac:dyDescent="0.25">
      <c r="B8235" t="str">
        <f t="shared" si="128"/>
        <v>SGPPopulation ages 60-64, female</v>
      </c>
      <c r="C8235" t="s">
        <v>622</v>
      </c>
      <c r="D8235" t="s">
        <v>127</v>
      </c>
      <c r="E8235" t="s">
        <v>386</v>
      </c>
      <c r="F8235" t="s">
        <v>717</v>
      </c>
      <c r="G8235">
        <v>197000</v>
      </c>
      <c r="H8235">
        <v>202000</v>
      </c>
    </row>
    <row r="8236" spans="2:8" x14ac:dyDescent="0.25">
      <c r="B8236" t="str">
        <f t="shared" si="128"/>
        <v>SGPPopulation ages 60-64, male</v>
      </c>
      <c r="C8236" t="s">
        <v>622</v>
      </c>
      <c r="D8236" t="s">
        <v>127</v>
      </c>
      <c r="E8236" t="s">
        <v>387</v>
      </c>
      <c r="F8236" t="s">
        <v>718</v>
      </c>
      <c r="G8236">
        <v>230000</v>
      </c>
      <c r="H8236">
        <v>236000</v>
      </c>
    </row>
    <row r="8237" spans="2:8" x14ac:dyDescent="0.25">
      <c r="B8237" t="str">
        <f t="shared" si="128"/>
        <v>SGPPopulation ages 70-74, female</v>
      </c>
      <c r="C8237" t="s">
        <v>622</v>
      </c>
      <c r="D8237" t="s">
        <v>127</v>
      </c>
      <c r="E8237" t="s">
        <v>390</v>
      </c>
      <c r="F8237" t="s">
        <v>719</v>
      </c>
      <c r="G8237">
        <v>88000</v>
      </c>
      <c r="H8237">
        <v>99000</v>
      </c>
    </row>
    <row r="8238" spans="2:8" x14ac:dyDescent="0.25">
      <c r="B8238" t="str">
        <f t="shared" si="128"/>
        <v>SGPPopulation ages 70-74, male</v>
      </c>
      <c r="C8238" t="s">
        <v>622</v>
      </c>
      <c r="D8238" t="s">
        <v>127</v>
      </c>
      <c r="E8238" t="s">
        <v>391</v>
      </c>
      <c r="F8238" t="s">
        <v>720</v>
      </c>
      <c r="G8238">
        <v>76000</v>
      </c>
      <c r="H8238">
        <v>89000</v>
      </c>
    </row>
    <row r="8239" spans="2:8" x14ac:dyDescent="0.25">
      <c r="B8239" t="str">
        <f t="shared" si="128"/>
        <v>SGPPopulation ages 75-79, female</v>
      </c>
      <c r="C8239" t="s">
        <v>622</v>
      </c>
      <c r="D8239" t="s">
        <v>127</v>
      </c>
      <c r="E8239" t="s">
        <v>392</v>
      </c>
      <c r="F8239" t="s">
        <v>721</v>
      </c>
      <c r="G8239">
        <v>51000</v>
      </c>
      <c r="H8239">
        <v>55000</v>
      </c>
    </row>
    <row r="8240" spans="2:8" x14ac:dyDescent="0.25">
      <c r="B8240" t="str">
        <f t="shared" si="128"/>
        <v>SGPPopulation ages 75-79, male</v>
      </c>
      <c r="C8240" t="s">
        <v>622</v>
      </c>
      <c r="D8240" t="s">
        <v>127</v>
      </c>
      <c r="E8240" t="s">
        <v>393</v>
      </c>
      <c r="F8240" t="s">
        <v>722</v>
      </c>
      <c r="G8240">
        <v>41000</v>
      </c>
      <c r="H8240">
        <v>44000</v>
      </c>
    </row>
    <row r="8241" spans="2:8" x14ac:dyDescent="0.25">
      <c r="B8241" t="str">
        <f t="shared" si="128"/>
        <v>SGPPopulation ages 80 and above, female</v>
      </c>
      <c r="C8241" t="s">
        <v>622</v>
      </c>
      <c r="D8241" t="s">
        <v>127</v>
      </c>
      <c r="E8241" t="s">
        <v>394</v>
      </c>
      <c r="F8241" t="s">
        <v>723</v>
      </c>
      <c r="G8241">
        <v>79000</v>
      </c>
      <c r="H8241">
        <v>82000</v>
      </c>
    </row>
    <row r="8242" spans="2:8" x14ac:dyDescent="0.25">
      <c r="B8242" t="str">
        <f t="shared" si="128"/>
        <v>SGPPopulation ages 80 and above, male</v>
      </c>
      <c r="C8242" t="s">
        <v>622</v>
      </c>
      <c r="D8242" t="s">
        <v>127</v>
      </c>
      <c r="E8242" t="s">
        <v>395</v>
      </c>
      <c r="F8242" t="s">
        <v>724</v>
      </c>
      <c r="G8242">
        <v>49000</v>
      </c>
      <c r="H8242">
        <v>52000</v>
      </c>
    </row>
    <row r="8243" spans="2:8" x14ac:dyDescent="0.25">
      <c r="B8243" t="str">
        <f t="shared" si="128"/>
        <v>SGPPopulation, male</v>
      </c>
      <c r="C8243" t="s">
        <v>622</v>
      </c>
      <c r="D8243" t="s">
        <v>127</v>
      </c>
      <c r="E8243" t="s">
        <v>397</v>
      </c>
      <c r="F8243" t="s">
        <v>725</v>
      </c>
      <c r="G8243">
        <v>2989000</v>
      </c>
      <c r="H8243">
        <v>3021000</v>
      </c>
    </row>
    <row r="8244" spans="2:8" x14ac:dyDescent="0.25">
      <c r="B8244" t="str">
        <f t="shared" si="128"/>
        <v>SGPPopulation, total</v>
      </c>
      <c r="C8244" t="s">
        <v>622</v>
      </c>
      <c r="D8244" t="s">
        <v>127</v>
      </c>
      <c r="E8244" t="s">
        <v>398</v>
      </c>
      <c r="F8244" t="s">
        <v>726</v>
      </c>
      <c r="G8244">
        <v>5710000</v>
      </c>
      <c r="H8244">
        <v>5772000</v>
      </c>
    </row>
    <row r="8245" spans="2:8" x14ac:dyDescent="0.25">
      <c r="B8245" t="str">
        <f t="shared" si="128"/>
        <v>SGPPopulation, female</v>
      </c>
      <c r="C8245" t="s">
        <v>622</v>
      </c>
      <c r="D8245" t="s">
        <v>127</v>
      </c>
      <c r="E8245" t="s">
        <v>396</v>
      </c>
      <c r="F8245" t="s">
        <v>727</v>
      </c>
      <c r="G8245">
        <v>2721000</v>
      </c>
      <c r="H8245">
        <v>2751000</v>
      </c>
    </row>
    <row r="8246" spans="2:8" x14ac:dyDescent="0.25">
      <c r="B8246" t="str">
        <f t="shared" si="128"/>
        <v>SGPPopulation growth (annual %)</v>
      </c>
      <c r="C8246" t="s">
        <v>622</v>
      </c>
      <c r="D8246" t="s">
        <v>127</v>
      </c>
      <c r="E8246" t="s">
        <v>399</v>
      </c>
      <c r="F8246" t="s">
        <v>728</v>
      </c>
      <c r="G8246">
        <v>0</v>
      </c>
      <c r="H8246">
        <v>0</v>
      </c>
    </row>
    <row r="8247" spans="2:8" x14ac:dyDescent="0.25">
      <c r="B8247" t="str">
        <f t="shared" si="128"/>
        <v>SXMPopulation ages 0-14, female</v>
      </c>
      <c r="C8247" t="s">
        <v>623</v>
      </c>
      <c r="D8247" t="s">
        <v>624</v>
      </c>
      <c r="E8247" t="s">
        <v>687</v>
      </c>
      <c r="F8247" t="s">
        <v>688</v>
      </c>
      <c r="G8247">
        <v>0</v>
      </c>
      <c r="H8247">
        <v>0</v>
      </c>
    </row>
    <row r="8248" spans="2:8" x14ac:dyDescent="0.25">
      <c r="B8248" t="str">
        <f t="shared" si="128"/>
        <v>SXMPopulation ages 0-14, male</v>
      </c>
      <c r="C8248" t="s">
        <v>623</v>
      </c>
      <c r="D8248" t="s">
        <v>624</v>
      </c>
      <c r="E8248" t="s">
        <v>689</v>
      </c>
      <c r="F8248" t="s">
        <v>690</v>
      </c>
      <c r="G8248">
        <v>0</v>
      </c>
      <c r="H8248">
        <v>0</v>
      </c>
    </row>
    <row r="8249" spans="2:8" x14ac:dyDescent="0.25">
      <c r="B8249" t="str">
        <f t="shared" si="128"/>
        <v>SXMPopulation ages 00-04, female</v>
      </c>
      <c r="C8249" t="s">
        <v>623</v>
      </c>
      <c r="D8249" t="s">
        <v>624</v>
      </c>
      <c r="E8249" t="s">
        <v>362</v>
      </c>
      <c r="F8249" t="s">
        <v>691</v>
      </c>
      <c r="G8249">
        <v>0</v>
      </c>
      <c r="H8249">
        <v>0</v>
      </c>
    </row>
    <row r="8250" spans="2:8" x14ac:dyDescent="0.25">
      <c r="B8250" t="str">
        <f t="shared" si="128"/>
        <v>SXMPopulation ages 00-04, male</v>
      </c>
      <c r="C8250" t="s">
        <v>623</v>
      </c>
      <c r="D8250" t="s">
        <v>624</v>
      </c>
      <c r="E8250" t="s">
        <v>363</v>
      </c>
      <c r="F8250" t="s">
        <v>692</v>
      </c>
      <c r="G8250">
        <v>0</v>
      </c>
      <c r="H8250">
        <v>0</v>
      </c>
    </row>
    <row r="8251" spans="2:8" x14ac:dyDescent="0.25">
      <c r="B8251" t="str">
        <f t="shared" si="128"/>
        <v>SXMPopulation ages 05-09, female</v>
      </c>
      <c r="C8251" t="s">
        <v>623</v>
      </c>
      <c r="D8251" t="s">
        <v>624</v>
      </c>
      <c r="E8251" t="s">
        <v>364</v>
      </c>
      <c r="F8251" t="s">
        <v>693</v>
      </c>
      <c r="G8251">
        <v>0</v>
      </c>
      <c r="H8251">
        <v>0</v>
      </c>
    </row>
    <row r="8252" spans="2:8" x14ac:dyDescent="0.25">
      <c r="B8252" t="str">
        <f t="shared" si="128"/>
        <v>SXMPopulation ages 05-09, male</v>
      </c>
      <c r="C8252" t="s">
        <v>623</v>
      </c>
      <c r="D8252" t="s">
        <v>624</v>
      </c>
      <c r="E8252" t="s">
        <v>365</v>
      </c>
      <c r="F8252" t="s">
        <v>694</v>
      </c>
      <c r="G8252">
        <v>0</v>
      </c>
      <c r="H8252">
        <v>0</v>
      </c>
    </row>
    <row r="8253" spans="2:8" x14ac:dyDescent="0.25">
      <c r="B8253" t="str">
        <f t="shared" si="128"/>
        <v>SXMPopulation ages 10-14, female</v>
      </c>
      <c r="C8253" t="s">
        <v>623</v>
      </c>
      <c r="D8253" t="s">
        <v>624</v>
      </c>
      <c r="E8253" t="s">
        <v>366</v>
      </c>
      <c r="F8253" t="s">
        <v>695</v>
      </c>
      <c r="G8253">
        <v>0</v>
      </c>
      <c r="H8253">
        <v>0</v>
      </c>
    </row>
    <row r="8254" spans="2:8" x14ac:dyDescent="0.25">
      <c r="B8254" t="str">
        <f t="shared" si="128"/>
        <v>SXMPopulation ages 10-14, male</v>
      </c>
      <c r="C8254" t="s">
        <v>623</v>
      </c>
      <c r="D8254" t="s">
        <v>624</v>
      </c>
      <c r="E8254" t="s">
        <v>367</v>
      </c>
      <c r="F8254" t="s">
        <v>696</v>
      </c>
      <c r="G8254">
        <v>0</v>
      </c>
      <c r="H8254">
        <v>0</v>
      </c>
    </row>
    <row r="8255" spans="2:8" x14ac:dyDescent="0.25">
      <c r="B8255" t="str">
        <f t="shared" si="128"/>
        <v>SXMPopulation ages 15-19, female</v>
      </c>
      <c r="C8255" t="s">
        <v>623</v>
      </c>
      <c r="D8255" t="s">
        <v>624</v>
      </c>
      <c r="E8255" t="s">
        <v>368</v>
      </c>
      <c r="F8255" t="s">
        <v>697</v>
      </c>
      <c r="G8255">
        <v>0</v>
      </c>
      <c r="H8255">
        <v>0</v>
      </c>
    </row>
    <row r="8256" spans="2:8" x14ac:dyDescent="0.25">
      <c r="B8256" t="str">
        <f t="shared" si="128"/>
        <v>SXMPopulation ages 15-19, male</v>
      </c>
      <c r="C8256" t="s">
        <v>623</v>
      </c>
      <c r="D8256" t="s">
        <v>624</v>
      </c>
      <c r="E8256" t="s">
        <v>369</v>
      </c>
      <c r="F8256" t="s">
        <v>698</v>
      </c>
      <c r="G8256">
        <v>0</v>
      </c>
      <c r="H8256">
        <v>0</v>
      </c>
    </row>
    <row r="8257" spans="2:8" x14ac:dyDescent="0.25">
      <c r="B8257" t="str">
        <f t="shared" si="128"/>
        <v>SXMPopulation ages 20-24, female</v>
      </c>
      <c r="C8257" t="s">
        <v>623</v>
      </c>
      <c r="D8257" t="s">
        <v>624</v>
      </c>
      <c r="E8257" t="s">
        <v>370</v>
      </c>
      <c r="F8257" t="s">
        <v>699</v>
      </c>
      <c r="G8257">
        <v>0</v>
      </c>
      <c r="H8257">
        <v>0</v>
      </c>
    </row>
    <row r="8258" spans="2:8" x14ac:dyDescent="0.25">
      <c r="B8258" t="str">
        <f t="shared" si="128"/>
        <v>SXMPopulation ages 20-24, male</v>
      </c>
      <c r="C8258" t="s">
        <v>623</v>
      </c>
      <c r="D8258" t="s">
        <v>624</v>
      </c>
      <c r="E8258" t="s">
        <v>371</v>
      </c>
      <c r="F8258" t="s">
        <v>700</v>
      </c>
      <c r="G8258">
        <v>0</v>
      </c>
      <c r="H8258">
        <v>0</v>
      </c>
    </row>
    <row r="8259" spans="2:8" x14ac:dyDescent="0.25">
      <c r="B8259" t="str">
        <f t="shared" si="128"/>
        <v>SXMPopulation ages 25-29, female</v>
      </c>
      <c r="C8259" t="s">
        <v>623</v>
      </c>
      <c r="D8259" t="s">
        <v>624</v>
      </c>
      <c r="E8259" t="s">
        <v>372</v>
      </c>
      <c r="F8259" t="s">
        <v>701</v>
      </c>
      <c r="G8259">
        <v>0</v>
      </c>
      <c r="H8259">
        <v>0</v>
      </c>
    </row>
    <row r="8260" spans="2:8" x14ac:dyDescent="0.25">
      <c r="B8260" t="str">
        <f t="shared" si="128"/>
        <v>SXMPopulation ages 25-29, male</v>
      </c>
      <c r="C8260" t="s">
        <v>623</v>
      </c>
      <c r="D8260" t="s">
        <v>624</v>
      </c>
      <c r="E8260" t="s">
        <v>373</v>
      </c>
      <c r="F8260" t="s">
        <v>702</v>
      </c>
      <c r="G8260">
        <v>0</v>
      </c>
      <c r="H8260">
        <v>0</v>
      </c>
    </row>
    <row r="8261" spans="2:8" x14ac:dyDescent="0.25">
      <c r="B8261" t="str">
        <f t="shared" si="128"/>
        <v>SXMPopulation ages 30-34, female</v>
      </c>
      <c r="C8261" t="s">
        <v>623</v>
      </c>
      <c r="D8261" t="s">
        <v>624</v>
      </c>
      <c r="E8261" t="s">
        <v>374</v>
      </c>
      <c r="F8261" t="s">
        <v>703</v>
      </c>
      <c r="G8261">
        <v>0</v>
      </c>
      <c r="H8261">
        <v>0</v>
      </c>
    </row>
    <row r="8262" spans="2:8" x14ac:dyDescent="0.25">
      <c r="B8262" t="str">
        <f t="shared" si="128"/>
        <v>SXMPopulation ages 30-34, male</v>
      </c>
      <c r="C8262" t="s">
        <v>623</v>
      </c>
      <c r="D8262" t="s">
        <v>624</v>
      </c>
      <c r="E8262" t="s">
        <v>375</v>
      </c>
      <c r="F8262" t="s">
        <v>704</v>
      </c>
      <c r="G8262">
        <v>0</v>
      </c>
      <c r="H8262">
        <v>0</v>
      </c>
    </row>
    <row r="8263" spans="2:8" x14ac:dyDescent="0.25">
      <c r="B8263" t="str">
        <f t="shared" ref="B8263:B8326" si="129">CONCATENATE(D8263,E8263)</f>
        <v>SXMPopulation ages 35-39, female</v>
      </c>
      <c r="C8263" t="s">
        <v>623</v>
      </c>
      <c r="D8263" t="s">
        <v>624</v>
      </c>
      <c r="E8263" t="s">
        <v>376</v>
      </c>
      <c r="F8263" t="s">
        <v>705</v>
      </c>
      <c r="G8263">
        <v>0</v>
      </c>
      <c r="H8263">
        <v>0</v>
      </c>
    </row>
    <row r="8264" spans="2:8" x14ac:dyDescent="0.25">
      <c r="B8264" t="str">
        <f t="shared" si="129"/>
        <v>SXMPopulation ages 35-39, male</v>
      </c>
      <c r="C8264" t="s">
        <v>623</v>
      </c>
      <c r="D8264" t="s">
        <v>624</v>
      </c>
      <c r="E8264" t="s">
        <v>377</v>
      </c>
      <c r="F8264" t="s">
        <v>706</v>
      </c>
      <c r="G8264">
        <v>0</v>
      </c>
      <c r="H8264">
        <v>0</v>
      </c>
    </row>
    <row r="8265" spans="2:8" x14ac:dyDescent="0.25">
      <c r="B8265" t="str">
        <f t="shared" si="129"/>
        <v>SXMPopulation ages 40-44, female</v>
      </c>
      <c r="C8265" t="s">
        <v>623</v>
      </c>
      <c r="D8265" t="s">
        <v>624</v>
      </c>
      <c r="E8265" t="s">
        <v>378</v>
      </c>
      <c r="F8265" t="s">
        <v>707</v>
      </c>
      <c r="G8265">
        <v>0</v>
      </c>
      <c r="H8265">
        <v>0</v>
      </c>
    </row>
    <row r="8266" spans="2:8" x14ac:dyDescent="0.25">
      <c r="B8266" t="str">
        <f t="shared" si="129"/>
        <v>SXMPopulation ages 40-44, male</v>
      </c>
      <c r="C8266" t="s">
        <v>623</v>
      </c>
      <c r="D8266" t="s">
        <v>624</v>
      </c>
      <c r="E8266" t="s">
        <v>379</v>
      </c>
      <c r="F8266" t="s">
        <v>708</v>
      </c>
      <c r="G8266">
        <v>0</v>
      </c>
      <c r="H8266">
        <v>0</v>
      </c>
    </row>
    <row r="8267" spans="2:8" x14ac:dyDescent="0.25">
      <c r="B8267" t="str">
        <f t="shared" si="129"/>
        <v>SXMPopulation ages 45-49, female</v>
      </c>
      <c r="C8267" t="s">
        <v>623</v>
      </c>
      <c r="D8267" t="s">
        <v>624</v>
      </c>
      <c r="E8267" t="s">
        <v>380</v>
      </c>
      <c r="F8267" t="s">
        <v>709</v>
      </c>
      <c r="G8267">
        <v>0</v>
      </c>
      <c r="H8267">
        <v>0</v>
      </c>
    </row>
    <row r="8268" spans="2:8" x14ac:dyDescent="0.25">
      <c r="B8268" t="str">
        <f t="shared" si="129"/>
        <v>SXMPopulation ages 45-49, male</v>
      </c>
      <c r="C8268" t="s">
        <v>623</v>
      </c>
      <c r="D8268" t="s">
        <v>624</v>
      </c>
      <c r="E8268" t="s">
        <v>381</v>
      </c>
      <c r="F8268" t="s">
        <v>710</v>
      </c>
      <c r="G8268">
        <v>0</v>
      </c>
      <c r="H8268">
        <v>0</v>
      </c>
    </row>
    <row r="8269" spans="2:8" x14ac:dyDescent="0.25">
      <c r="B8269" t="str">
        <f t="shared" si="129"/>
        <v>SXMPopulation ages 50-54, female</v>
      </c>
      <c r="C8269" t="s">
        <v>623</v>
      </c>
      <c r="D8269" t="s">
        <v>624</v>
      </c>
      <c r="E8269" t="s">
        <v>382</v>
      </c>
      <c r="F8269" t="s">
        <v>711</v>
      </c>
      <c r="G8269">
        <v>0</v>
      </c>
      <c r="H8269">
        <v>0</v>
      </c>
    </row>
    <row r="8270" spans="2:8" x14ac:dyDescent="0.25">
      <c r="B8270" t="str">
        <f t="shared" si="129"/>
        <v>SXMPopulation ages 50-54, male</v>
      </c>
      <c r="C8270" t="s">
        <v>623</v>
      </c>
      <c r="D8270" t="s">
        <v>624</v>
      </c>
      <c r="E8270" t="s">
        <v>383</v>
      </c>
      <c r="F8270" t="s">
        <v>712</v>
      </c>
      <c r="G8270">
        <v>0</v>
      </c>
      <c r="H8270">
        <v>0</v>
      </c>
    </row>
    <row r="8271" spans="2:8" x14ac:dyDescent="0.25">
      <c r="B8271" t="str">
        <f t="shared" si="129"/>
        <v>SXMPopulation ages 55-59, male</v>
      </c>
      <c r="C8271" t="s">
        <v>623</v>
      </c>
      <c r="D8271" t="s">
        <v>624</v>
      </c>
      <c r="E8271" t="s">
        <v>385</v>
      </c>
      <c r="F8271" t="s">
        <v>713</v>
      </c>
      <c r="G8271">
        <v>0</v>
      </c>
      <c r="H8271">
        <v>0</v>
      </c>
    </row>
    <row r="8272" spans="2:8" x14ac:dyDescent="0.25">
      <c r="B8272" t="str">
        <f t="shared" si="129"/>
        <v>SXMPopulation ages 55-59, female</v>
      </c>
      <c r="C8272" t="s">
        <v>623</v>
      </c>
      <c r="D8272" t="s">
        <v>624</v>
      </c>
      <c r="E8272" t="s">
        <v>384</v>
      </c>
      <c r="F8272" t="s">
        <v>714</v>
      </c>
      <c r="G8272">
        <v>0</v>
      </c>
      <c r="H8272">
        <v>0</v>
      </c>
    </row>
    <row r="8273" spans="2:8" x14ac:dyDescent="0.25">
      <c r="B8273" t="str">
        <f t="shared" si="129"/>
        <v>SXMPopulation ages 65-69, male</v>
      </c>
      <c r="C8273" t="s">
        <v>623</v>
      </c>
      <c r="D8273" t="s">
        <v>624</v>
      </c>
      <c r="E8273" t="s">
        <v>389</v>
      </c>
      <c r="F8273" t="s">
        <v>715</v>
      </c>
      <c r="G8273">
        <v>0</v>
      </c>
      <c r="H8273">
        <v>0</v>
      </c>
    </row>
    <row r="8274" spans="2:8" x14ac:dyDescent="0.25">
      <c r="B8274" t="str">
        <f t="shared" si="129"/>
        <v>SXMPopulation ages 65-69, female</v>
      </c>
      <c r="C8274" t="s">
        <v>623</v>
      </c>
      <c r="D8274" t="s">
        <v>624</v>
      </c>
      <c r="E8274" t="s">
        <v>388</v>
      </c>
      <c r="F8274" t="s">
        <v>716</v>
      </c>
      <c r="G8274">
        <v>0</v>
      </c>
      <c r="H8274">
        <v>0</v>
      </c>
    </row>
    <row r="8275" spans="2:8" x14ac:dyDescent="0.25">
      <c r="B8275" t="str">
        <f t="shared" si="129"/>
        <v>SXMPopulation ages 60-64, female</v>
      </c>
      <c r="C8275" t="s">
        <v>623</v>
      </c>
      <c r="D8275" t="s">
        <v>624</v>
      </c>
      <c r="E8275" t="s">
        <v>386</v>
      </c>
      <c r="F8275" t="s">
        <v>717</v>
      </c>
      <c r="G8275">
        <v>0</v>
      </c>
      <c r="H8275">
        <v>0</v>
      </c>
    </row>
    <row r="8276" spans="2:8" x14ac:dyDescent="0.25">
      <c r="B8276" t="str">
        <f t="shared" si="129"/>
        <v>SXMPopulation ages 60-64, male</v>
      </c>
      <c r="C8276" t="s">
        <v>623</v>
      </c>
      <c r="D8276" t="s">
        <v>624</v>
      </c>
      <c r="E8276" t="s">
        <v>387</v>
      </c>
      <c r="F8276" t="s">
        <v>718</v>
      </c>
      <c r="G8276">
        <v>0</v>
      </c>
      <c r="H8276">
        <v>0</v>
      </c>
    </row>
    <row r="8277" spans="2:8" x14ac:dyDescent="0.25">
      <c r="B8277" t="str">
        <f t="shared" si="129"/>
        <v>SXMPopulation ages 70-74, female</v>
      </c>
      <c r="C8277" t="s">
        <v>623</v>
      </c>
      <c r="D8277" t="s">
        <v>624</v>
      </c>
      <c r="E8277" t="s">
        <v>390</v>
      </c>
      <c r="F8277" t="s">
        <v>719</v>
      </c>
      <c r="G8277">
        <v>0</v>
      </c>
      <c r="H8277">
        <v>0</v>
      </c>
    </row>
    <row r="8278" spans="2:8" x14ac:dyDescent="0.25">
      <c r="B8278" t="str">
        <f t="shared" si="129"/>
        <v>SXMPopulation ages 70-74, male</v>
      </c>
      <c r="C8278" t="s">
        <v>623</v>
      </c>
      <c r="D8278" t="s">
        <v>624</v>
      </c>
      <c r="E8278" t="s">
        <v>391</v>
      </c>
      <c r="F8278" t="s">
        <v>720</v>
      </c>
      <c r="G8278">
        <v>0</v>
      </c>
      <c r="H8278">
        <v>0</v>
      </c>
    </row>
    <row r="8279" spans="2:8" x14ac:dyDescent="0.25">
      <c r="B8279" t="str">
        <f t="shared" si="129"/>
        <v>SXMPopulation ages 75-79, female</v>
      </c>
      <c r="C8279" t="s">
        <v>623</v>
      </c>
      <c r="D8279" t="s">
        <v>624</v>
      </c>
      <c r="E8279" t="s">
        <v>392</v>
      </c>
      <c r="F8279" t="s">
        <v>721</v>
      </c>
      <c r="G8279">
        <v>0</v>
      </c>
      <c r="H8279">
        <v>0</v>
      </c>
    </row>
    <row r="8280" spans="2:8" x14ac:dyDescent="0.25">
      <c r="B8280" t="str">
        <f t="shared" si="129"/>
        <v>SXMPopulation ages 75-79, male</v>
      </c>
      <c r="C8280" t="s">
        <v>623</v>
      </c>
      <c r="D8280" t="s">
        <v>624</v>
      </c>
      <c r="E8280" t="s">
        <v>393</v>
      </c>
      <c r="F8280" t="s">
        <v>722</v>
      </c>
      <c r="G8280">
        <v>0</v>
      </c>
      <c r="H8280">
        <v>0</v>
      </c>
    </row>
    <row r="8281" spans="2:8" x14ac:dyDescent="0.25">
      <c r="B8281" t="str">
        <f t="shared" si="129"/>
        <v>SXMPopulation ages 80 and above, female</v>
      </c>
      <c r="C8281" t="s">
        <v>623</v>
      </c>
      <c r="D8281" t="s">
        <v>624</v>
      </c>
      <c r="E8281" t="s">
        <v>394</v>
      </c>
      <c r="F8281" t="s">
        <v>723</v>
      </c>
      <c r="G8281">
        <v>0</v>
      </c>
      <c r="H8281">
        <v>0</v>
      </c>
    </row>
    <row r="8282" spans="2:8" x14ac:dyDescent="0.25">
      <c r="B8282" t="str">
        <f t="shared" si="129"/>
        <v>SXMPopulation ages 80 and above, male</v>
      </c>
      <c r="C8282" t="s">
        <v>623</v>
      </c>
      <c r="D8282" t="s">
        <v>624</v>
      </c>
      <c r="E8282" t="s">
        <v>395</v>
      </c>
      <c r="F8282" t="s">
        <v>724</v>
      </c>
      <c r="G8282">
        <v>0</v>
      </c>
      <c r="H8282">
        <v>0</v>
      </c>
    </row>
    <row r="8283" spans="2:8" x14ac:dyDescent="0.25">
      <c r="B8283" t="str">
        <f t="shared" si="129"/>
        <v>SXMPopulation, male</v>
      </c>
      <c r="C8283" t="s">
        <v>623</v>
      </c>
      <c r="D8283" t="s">
        <v>624</v>
      </c>
      <c r="E8283" t="s">
        <v>397</v>
      </c>
      <c r="F8283" t="s">
        <v>725</v>
      </c>
      <c r="G8283">
        <v>0</v>
      </c>
      <c r="H8283">
        <v>0</v>
      </c>
    </row>
    <row r="8284" spans="2:8" x14ac:dyDescent="0.25">
      <c r="B8284" t="str">
        <f t="shared" si="129"/>
        <v>SXMPopulation, total</v>
      </c>
      <c r="C8284" t="s">
        <v>623</v>
      </c>
      <c r="D8284" t="s">
        <v>624</v>
      </c>
      <c r="E8284" t="s">
        <v>398</v>
      </c>
      <c r="F8284" t="s">
        <v>726</v>
      </c>
      <c r="G8284">
        <v>0</v>
      </c>
      <c r="H8284">
        <v>0</v>
      </c>
    </row>
    <row r="8285" spans="2:8" x14ac:dyDescent="0.25">
      <c r="B8285" t="str">
        <f t="shared" si="129"/>
        <v>SXMPopulation, female</v>
      </c>
      <c r="C8285" t="s">
        <v>623</v>
      </c>
      <c r="D8285" t="s">
        <v>624</v>
      </c>
      <c r="E8285" t="s">
        <v>396</v>
      </c>
      <c r="F8285" t="s">
        <v>727</v>
      </c>
      <c r="G8285">
        <v>0</v>
      </c>
      <c r="H8285">
        <v>0</v>
      </c>
    </row>
    <row r="8286" spans="2:8" x14ac:dyDescent="0.25">
      <c r="B8286" t="str">
        <f t="shared" si="129"/>
        <v>SXMPopulation growth (annual %)</v>
      </c>
      <c r="C8286" t="s">
        <v>623</v>
      </c>
      <c r="D8286" t="s">
        <v>624</v>
      </c>
      <c r="E8286" t="s">
        <v>399</v>
      </c>
      <c r="F8286" t="s">
        <v>728</v>
      </c>
      <c r="G8286">
        <v>0</v>
      </c>
      <c r="H8286">
        <v>0</v>
      </c>
    </row>
    <row r="8287" spans="2:8" x14ac:dyDescent="0.25">
      <c r="B8287" t="str">
        <f t="shared" si="129"/>
        <v>SVKPopulation ages 0-14, female</v>
      </c>
      <c r="C8287" t="s">
        <v>625</v>
      </c>
      <c r="D8287" t="s">
        <v>626</v>
      </c>
      <c r="E8287" t="s">
        <v>687</v>
      </c>
      <c r="F8287" t="s">
        <v>688</v>
      </c>
      <c r="G8287">
        <v>413000</v>
      </c>
      <c r="H8287">
        <v>414000</v>
      </c>
    </row>
    <row r="8288" spans="2:8" x14ac:dyDescent="0.25">
      <c r="B8288" t="str">
        <f t="shared" si="129"/>
        <v>SVKPopulation ages 0-14, male</v>
      </c>
      <c r="C8288" t="s">
        <v>625</v>
      </c>
      <c r="D8288" t="s">
        <v>626</v>
      </c>
      <c r="E8288" t="s">
        <v>689</v>
      </c>
      <c r="F8288" t="s">
        <v>690</v>
      </c>
      <c r="G8288">
        <v>433000</v>
      </c>
      <c r="H8288">
        <v>434000</v>
      </c>
    </row>
    <row r="8289" spans="2:8" x14ac:dyDescent="0.25">
      <c r="B8289" t="str">
        <f t="shared" si="129"/>
        <v>SVKPopulation ages 00-04, female</v>
      </c>
      <c r="C8289" t="s">
        <v>625</v>
      </c>
      <c r="D8289" t="s">
        <v>626</v>
      </c>
      <c r="E8289" t="s">
        <v>362</v>
      </c>
      <c r="F8289" t="s">
        <v>691</v>
      </c>
      <c r="G8289">
        <v>138000</v>
      </c>
      <c r="H8289">
        <v>138000</v>
      </c>
    </row>
    <row r="8290" spans="2:8" x14ac:dyDescent="0.25">
      <c r="B8290" t="str">
        <f t="shared" si="129"/>
        <v>SVKPopulation ages 00-04, male</v>
      </c>
      <c r="C8290" t="s">
        <v>625</v>
      </c>
      <c r="D8290" t="s">
        <v>626</v>
      </c>
      <c r="E8290" t="s">
        <v>363</v>
      </c>
      <c r="F8290" t="s">
        <v>692</v>
      </c>
      <c r="G8290">
        <v>145000</v>
      </c>
      <c r="H8290">
        <v>145000</v>
      </c>
    </row>
    <row r="8291" spans="2:8" x14ac:dyDescent="0.25">
      <c r="B8291" t="str">
        <f t="shared" si="129"/>
        <v>SVKPopulation ages 05-09, female</v>
      </c>
      <c r="C8291" t="s">
        <v>625</v>
      </c>
      <c r="D8291" t="s">
        <v>626</v>
      </c>
      <c r="E8291" t="s">
        <v>364</v>
      </c>
      <c r="F8291" t="s">
        <v>693</v>
      </c>
      <c r="G8291">
        <v>139000</v>
      </c>
      <c r="H8291">
        <v>138000</v>
      </c>
    </row>
    <row r="8292" spans="2:8" x14ac:dyDescent="0.25">
      <c r="B8292" t="str">
        <f t="shared" si="129"/>
        <v>SVKPopulation ages 05-09, male</v>
      </c>
      <c r="C8292" t="s">
        <v>625</v>
      </c>
      <c r="D8292" t="s">
        <v>626</v>
      </c>
      <c r="E8292" t="s">
        <v>365</v>
      </c>
      <c r="F8292" t="s">
        <v>694</v>
      </c>
      <c r="G8292">
        <v>145000</v>
      </c>
      <c r="H8292">
        <v>144000</v>
      </c>
    </row>
    <row r="8293" spans="2:8" x14ac:dyDescent="0.25">
      <c r="B8293" t="str">
        <f t="shared" si="129"/>
        <v>SVKPopulation ages 10-14, female</v>
      </c>
      <c r="C8293" t="s">
        <v>625</v>
      </c>
      <c r="D8293" t="s">
        <v>626</v>
      </c>
      <c r="E8293" t="s">
        <v>366</v>
      </c>
      <c r="F8293" t="s">
        <v>695</v>
      </c>
      <c r="G8293">
        <v>136000</v>
      </c>
      <c r="H8293">
        <v>138000</v>
      </c>
    </row>
    <row r="8294" spans="2:8" x14ac:dyDescent="0.25">
      <c r="B8294" t="str">
        <f t="shared" si="129"/>
        <v>SVKPopulation ages 10-14, male</v>
      </c>
      <c r="C8294" t="s">
        <v>625</v>
      </c>
      <c r="D8294" t="s">
        <v>626</v>
      </c>
      <c r="E8294" t="s">
        <v>367</v>
      </c>
      <c r="F8294" t="s">
        <v>696</v>
      </c>
      <c r="G8294">
        <v>143000</v>
      </c>
      <c r="H8294">
        <v>144000</v>
      </c>
    </row>
    <row r="8295" spans="2:8" x14ac:dyDescent="0.25">
      <c r="B8295" t="str">
        <f t="shared" si="129"/>
        <v>SVKPopulation ages 15-19, female</v>
      </c>
      <c r="C8295" t="s">
        <v>625</v>
      </c>
      <c r="D8295" t="s">
        <v>626</v>
      </c>
      <c r="E8295" t="s">
        <v>368</v>
      </c>
      <c r="F8295" t="s">
        <v>697</v>
      </c>
      <c r="G8295">
        <v>128000</v>
      </c>
      <c r="H8295">
        <v>128000</v>
      </c>
    </row>
    <row r="8296" spans="2:8" x14ac:dyDescent="0.25">
      <c r="B8296" t="str">
        <f t="shared" si="129"/>
        <v>SVKPopulation ages 15-19, male</v>
      </c>
      <c r="C8296" t="s">
        <v>625</v>
      </c>
      <c r="D8296" t="s">
        <v>626</v>
      </c>
      <c r="E8296" t="s">
        <v>369</v>
      </c>
      <c r="F8296" t="s">
        <v>698</v>
      </c>
      <c r="G8296">
        <v>135000</v>
      </c>
      <c r="H8296">
        <v>134000</v>
      </c>
    </row>
    <row r="8297" spans="2:8" x14ac:dyDescent="0.25">
      <c r="B8297" t="str">
        <f t="shared" si="129"/>
        <v>SVKPopulation ages 20-24, female</v>
      </c>
      <c r="C8297" t="s">
        <v>625</v>
      </c>
      <c r="D8297" t="s">
        <v>626</v>
      </c>
      <c r="E8297" t="s">
        <v>370</v>
      </c>
      <c r="F8297" t="s">
        <v>699</v>
      </c>
      <c r="G8297">
        <v>148000</v>
      </c>
      <c r="H8297">
        <v>141000</v>
      </c>
    </row>
    <row r="8298" spans="2:8" x14ac:dyDescent="0.25">
      <c r="B8298" t="str">
        <f t="shared" si="129"/>
        <v>SVKPopulation ages 20-24, male</v>
      </c>
      <c r="C8298" t="s">
        <v>625</v>
      </c>
      <c r="D8298" t="s">
        <v>626</v>
      </c>
      <c r="E8298" t="s">
        <v>371</v>
      </c>
      <c r="F8298" t="s">
        <v>700</v>
      </c>
      <c r="G8298">
        <v>155000</v>
      </c>
      <c r="H8298">
        <v>149000</v>
      </c>
    </row>
    <row r="8299" spans="2:8" x14ac:dyDescent="0.25">
      <c r="B8299" t="str">
        <f t="shared" si="129"/>
        <v>SVKPopulation ages 25-29, female</v>
      </c>
      <c r="C8299" t="s">
        <v>625</v>
      </c>
      <c r="D8299" t="s">
        <v>626</v>
      </c>
      <c r="E8299" t="s">
        <v>372</v>
      </c>
      <c r="F8299" t="s">
        <v>701</v>
      </c>
      <c r="G8299">
        <v>184000</v>
      </c>
      <c r="H8299">
        <v>178000</v>
      </c>
    </row>
    <row r="8300" spans="2:8" x14ac:dyDescent="0.25">
      <c r="B8300" t="str">
        <f t="shared" si="129"/>
        <v>SVKPopulation ages 25-29, male</v>
      </c>
      <c r="C8300" t="s">
        <v>625</v>
      </c>
      <c r="D8300" t="s">
        <v>626</v>
      </c>
      <c r="E8300" t="s">
        <v>373</v>
      </c>
      <c r="F8300" t="s">
        <v>702</v>
      </c>
      <c r="G8300">
        <v>193000</v>
      </c>
      <c r="H8300">
        <v>187000</v>
      </c>
    </row>
    <row r="8301" spans="2:8" x14ac:dyDescent="0.25">
      <c r="B8301" t="str">
        <f t="shared" si="129"/>
        <v>SVKPopulation ages 30-34, female</v>
      </c>
      <c r="C8301" t="s">
        <v>625</v>
      </c>
      <c r="D8301" t="s">
        <v>626</v>
      </c>
      <c r="E8301" t="s">
        <v>374</v>
      </c>
      <c r="F8301" t="s">
        <v>703</v>
      </c>
      <c r="G8301">
        <v>204000</v>
      </c>
      <c r="H8301">
        <v>200000</v>
      </c>
    </row>
    <row r="8302" spans="2:8" x14ac:dyDescent="0.25">
      <c r="B8302" t="str">
        <f t="shared" si="129"/>
        <v>SVKPopulation ages 30-34, male</v>
      </c>
      <c r="C8302" t="s">
        <v>625</v>
      </c>
      <c r="D8302" t="s">
        <v>626</v>
      </c>
      <c r="E8302" t="s">
        <v>375</v>
      </c>
      <c r="F8302" t="s">
        <v>704</v>
      </c>
      <c r="G8302">
        <v>213000</v>
      </c>
      <c r="H8302">
        <v>209000</v>
      </c>
    </row>
    <row r="8303" spans="2:8" x14ac:dyDescent="0.25">
      <c r="B8303" t="str">
        <f t="shared" si="129"/>
        <v>SVKPopulation ages 35-39, female</v>
      </c>
      <c r="C8303" t="s">
        <v>625</v>
      </c>
      <c r="D8303" t="s">
        <v>626</v>
      </c>
      <c r="E8303" t="s">
        <v>376</v>
      </c>
      <c r="F8303" t="s">
        <v>705</v>
      </c>
      <c r="G8303">
        <v>215000</v>
      </c>
      <c r="H8303">
        <v>212000</v>
      </c>
    </row>
    <row r="8304" spans="2:8" x14ac:dyDescent="0.25">
      <c r="B8304" t="str">
        <f t="shared" si="129"/>
        <v>SVKPopulation ages 35-39, male</v>
      </c>
      <c r="C8304" t="s">
        <v>625</v>
      </c>
      <c r="D8304" t="s">
        <v>626</v>
      </c>
      <c r="E8304" t="s">
        <v>377</v>
      </c>
      <c r="F8304" t="s">
        <v>706</v>
      </c>
      <c r="G8304">
        <v>227000</v>
      </c>
      <c r="H8304">
        <v>224000</v>
      </c>
    </row>
    <row r="8305" spans="2:8" x14ac:dyDescent="0.25">
      <c r="B8305" t="str">
        <f t="shared" si="129"/>
        <v>SVKPopulation ages 40-44, female</v>
      </c>
      <c r="C8305" t="s">
        <v>625</v>
      </c>
      <c r="D8305" t="s">
        <v>626</v>
      </c>
      <c r="E8305" t="s">
        <v>378</v>
      </c>
      <c r="F8305" t="s">
        <v>707</v>
      </c>
      <c r="G8305">
        <v>220000</v>
      </c>
      <c r="H8305">
        <v>222000</v>
      </c>
    </row>
    <row r="8306" spans="2:8" x14ac:dyDescent="0.25">
      <c r="B8306" t="str">
        <f t="shared" si="129"/>
        <v>SVKPopulation ages 40-44, male</v>
      </c>
      <c r="C8306" t="s">
        <v>625</v>
      </c>
      <c r="D8306" t="s">
        <v>626</v>
      </c>
      <c r="E8306" t="s">
        <v>379</v>
      </c>
      <c r="F8306" t="s">
        <v>708</v>
      </c>
      <c r="G8306">
        <v>232000</v>
      </c>
      <c r="H8306">
        <v>235000</v>
      </c>
    </row>
    <row r="8307" spans="2:8" x14ac:dyDescent="0.25">
      <c r="B8307" t="str">
        <f t="shared" si="129"/>
        <v>SVKPopulation ages 45-49, female</v>
      </c>
      <c r="C8307" t="s">
        <v>625</v>
      </c>
      <c r="D8307" t="s">
        <v>626</v>
      </c>
      <c r="E8307" t="s">
        <v>380</v>
      </c>
      <c r="F8307" t="s">
        <v>709</v>
      </c>
      <c r="G8307">
        <v>193000</v>
      </c>
      <c r="H8307">
        <v>198000</v>
      </c>
    </row>
    <row r="8308" spans="2:8" x14ac:dyDescent="0.25">
      <c r="B8308" t="str">
        <f t="shared" si="129"/>
        <v>SVKPopulation ages 45-49, male</v>
      </c>
      <c r="C8308" t="s">
        <v>625</v>
      </c>
      <c r="D8308" t="s">
        <v>626</v>
      </c>
      <c r="E8308" t="s">
        <v>381</v>
      </c>
      <c r="F8308" t="s">
        <v>710</v>
      </c>
      <c r="G8308">
        <v>197000</v>
      </c>
      <c r="H8308">
        <v>204000</v>
      </c>
    </row>
    <row r="8309" spans="2:8" x14ac:dyDescent="0.25">
      <c r="B8309" t="str">
        <f t="shared" si="129"/>
        <v>SVKPopulation ages 50-54, female</v>
      </c>
      <c r="C8309" t="s">
        <v>625</v>
      </c>
      <c r="D8309" t="s">
        <v>626</v>
      </c>
      <c r="E8309" t="s">
        <v>382</v>
      </c>
      <c r="F8309" t="s">
        <v>711</v>
      </c>
      <c r="G8309">
        <v>175000</v>
      </c>
      <c r="H8309">
        <v>174000</v>
      </c>
    </row>
    <row r="8310" spans="2:8" x14ac:dyDescent="0.25">
      <c r="B8310" t="str">
        <f t="shared" si="129"/>
        <v>SVKPopulation ages 50-54, male</v>
      </c>
      <c r="C8310" t="s">
        <v>625</v>
      </c>
      <c r="D8310" t="s">
        <v>626</v>
      </c>
      <c r="E8310" t="s">
        <v>383</v>
      </c>
      <c r="F8310" t="s">
        <v>712</v>
      </c>
      <c r="G8310">
        <v>171000</v>
      </c>
      <c r="H8310">
        <v>172000</v>
      </c>
    </row>
    <row r="8311" spans="2:8" x14ac:dyDescent="0.25">
      <c r="B8311" t="str">
        <f t="shared" si="129"/>
        <v>SVKPopulation ages 55-59, male</v>
      </c>
      <c r="C8311" t="s">
        <v>625</v>
      </c>
      <c r="D8311" t="s">
        <v>626</v>
      </c>
      <c r="E8311" t="s">
        <v>385</v>
      </c>
      <c r="F8311" t="s">
        <v>713</v>
      </c>
      <c r="G8311">
        <v>177000</v>
      </c>
      <c r="H8311">
        <v>175000</v>
      </c>
    </row>
    <row r="8312" spans="2:8" x14ac:dyDescent="0.25">
      <c r="B8312" t="str">
        <f t="shared" si="129"/>
        <v>SVKPopulation ages 55-59, female</v>
      </c>
      <c r="C8312" t="s">
        <v>625</v>
      </c>
      <c r="D8312" t="s">
        <v>626</v>
      </c>
      <c r="E8312" t="s">
        <v>384</v>
      </c>
      <c r="F8312" t="s">
        <v>714</v>
      </c>
      <c r="G8312">
        <v>190000</v>
      </c>
      <c r="H8312">
        <v>186000</v>
      </c>
    </row>
    <row r="8313" spans="2:8" x14ac:dyDescent="0.25">
      <c r="B8313" t="str">
        <f t="shared" si="129"/>
        <v>SVKPopulation ages 65-69, male</v>
      </c>
      <c r="C8313" t="s">
        <v>625</v>
      </c>
      <c r="D8313" t="s">
        <v>626</v>
      </c>
      <c r="E8313" t="s">
        <v>389</v>
      </c>
      <c r="F8313" t="s">
        <v>715</v>
      </c>
      <c r="G8313">
        <v>144000</v>
      </c>
      <c r="H8313">
        <v>149000</v>
      </c>
    </row>
    <row r="8314" spans="2:8" x14ac:dyDescent="0.25">
      <c r="B8314" t="str">
        <f t="shared" si="129"/>
        <v>SVKPopulation ages 65-69, female</v>
      </c>
      <c r="C8314" t="s">
        <v>625</v>
      </c>
      <c r="D8314" t="s">
        <v>626</v>
      </c>
      <c r="E8314" t="s">
        <v>388</v>
      </c>
      <c r="F8314" t="s">
        <v>716</v>
      </c>
      <c r="G8314">
        <v>179000</v>
      </c>
      <c r="H8314">
        <v>184000</v>
      </c>
    </row>
    <row r="8315" spans="2:8" x14ac:dyDescent="0.25">
      <c r="B8315" t="str">
        <f t="shared" si="129"/>
        <v>SVKPopulation ages 60-64, female</v>
      </c>
      <c r="C8315" t="s">
        <v>625</v>
      </c>
      <c r="D8315" t="s">
        <v>626</v>
      </c>
      <c r="E8315" t="s">
        <v>386</v>
      </c>
      <c r="F8315" t="s">
        <v>717</v>
      </c>
      <c r="G8315">
        <v>194000</v>
      </c>
      <c r="H8315">
        <v>192000</v>
      </c>
    </row>
    <row r="8316" spans="2:8" x14ac:dyDescent="0.25">
      <c r="B8316" t="str">
        <f t="shared" si="129"/>
        <v>SVKPopulation ages 60-64, male</v>
      </c>
      <c r="C8316" t="s">
        <v>625</v>
      </c>
      <c r="D8316" t="s">
        <v>626</v>
      </c>
      <c r="E8316" t="s">
        <v>387</v>
      </c>
      <c r="F8316" t="s">
        <v>718</v>
      </c>
      <c r="G8316">
        <v>170000</v>
      </c>
      <c r="H8316">
        <v>169000</v>
      </c>
    </row>
    <row r="8317" spans="2:8" x14ac:dyDescent="0.25">
      <c r="B8317" t="str">
        <f t="shared" si="129"/>
        <v>SVKPopulation ages 70-74, female</v>
      </c>
      <c r="C8317" t="s">
        <v>625</v>
      </c>
      <c r="D8317" t="s">
        <v>626</v>
      </c>
      <c r="E8317" t="s">
        <v>390</v>
      </c>
      <c r="F8317" t="s">
        <v>719</v>
      </c>
      <c r="G8317">
        <v>132000</v>
      </c>
      <c r="H8317">
        <v>138000</v>
      </c>
    </row>
    <row r="8318" spans="2:8" x14ac:dyDescent="0.25">
      <c r="B8318" t="str">
        <f t="shared" si="129"/>
        <v>SVKPopulation ages 70-74, male</v>
      </c>
      <c r="C8318" t="s">
        <v>625</v>
      </c>
      <c r="D8318" t="s">
        <v>626</v>
      </c>
      <c r="E8318" t="s">
        <v>391</v>
      </c>
      <c r="F8318" t="s">
        <v>720</v>
      </c>
      <c r="G8318">
        <v>93000</v>
      </c>
      <c r="H8318">
        <v>98000</v>
      </c>
    </row>
    <row r="8319" spans="2:8" x14ac:dyDescent="0.25">
      <c r="B8319" t="str">
        <f t="shared" si="129"/>
        <v>SVKPopulation ages 75-79, female</v>
      </c>
      <c r="C8319" t="s">
        <v>625</v>
      </c>
      <c r="D8319" t="s">
        <v>626</v>
      </c>
      <c r="E8319" t="s">
        <v>392</v>
      </c>
      <c r="F8319" t="s">
        <v>721</v>
      </c>
      <c r="G8319">
        <v>98000</v>
      </c>
      <c r="H8319">
        <v>102000</v>
      </c>
    </row>
    <row r="8320" spans="2:8" x14ac:dyDescent="0.25">
      <c r="B8320" t="str">
        <f t="shared" si="129"/>
        <v>SVKPopulation ages 75-79, male</v>
      </c>
      <c r="C8320" t="s">
        <v>625</v>
      </c>
      <c r="D8320" t="s">
        <v>626</v>
      </c>
      <c r="E8320" t="s">
        <v>393</v>
      </c>
      <c r="F8320" t="s">
        <v>722</v>
      </c>
      <c r="G8320">
        <v>57000</v>
      </c>
      <c r="H8320">
        <v>60000</v>
      </c>
    </row>
    <row r="8321" spans="2:8" x14ac:dyDescent="0.25">
      <c r="B8321" t="str">
        <f t="shared" si="129"/>
        <v>SVKPopulation ages 80 and above, female</v>
      </c>
      <c r="C8321" t="s">
        <v>625</v>
      </c>
      <c r="D8321" t="s">
        <v>626</v>
      </c>
      <c r="E8321" t="s">
        <v>394</v>
      </c>
      <c r="F8321" t="s">
        <v>723</v>
      </c>
      <c r="G8321">
        <v>123000</v>
      </c>
      <c r="H8321">
        <v>124000</v>
      </c>
    </row>
    <row r="8322" spans="2:8" x14ac:dyDescent="0.25">
      <c r="B8322" t="str">
        <f t="shared" si="129"/>
        <v>SVKPopulation ages 80 and above, male</v>
      </c>
      <c r="C8322" t="s">
        <v>625</v>
      </c>
      <c r="D8322" t="s">
        <v>626</v>
      </c>
      <c r="E8322" t="s">
        <v>395</v>
      </c>
      <c r="F8322" t="s">
        <v>724</v>
      </c>
      <c r="G8322">
        <v>55000</v>
      </c>
      <c r="H8322">
        <v>55000</v>
      </c>
    </row>
    <row r="8323" spans="2:8" x14ac:dyDescent="0.25">
      <c r="B8323" t="str">
        <f t="shared" si="129"/>
        <v>SVKPopulation, male</v>
      </c>
      <c r="C8323" t="s">
        <v>625</v>
      </c>
      <c r="D8323" t="s">
        <v>626</v>
      </c>
      <c r="E8323" t="s">
        <v>397</v>
      </c>
      <c r="F8323" t="s">
        <v>725</v>
      </c>
      <c r="G8323">
        <v>2652000</v>
      </c>
      <c r="H8323">
        <v>2653000</v>
      </c>
    </row>
    <row r="8324" spans="2:8" x14ac:dyDescent="0.25">
      <c r="B8324" t="str">
        <f t="shared" si="129"/>
        <v>SVKPopulation, total</v>
      </c>
      <c r="C8324" t="s">
        <v>625</v>
      </c>
      <c r="D8324" t="s">
        <v>626</v>
      </c>
      <c r="E8324" t="s">
        <v>398</v>
      </c>
      <c r="F8324" t="s">
        <v>726</v>
      </c>
      <c r="G8324">
        <v>5448000</v>
      </c>
      <c r="H8324">
        <v>5448000</v>
      </c>
    </row>
    <row r="8325" spans="2:8" x14ac:dyDescent="0.25">
      <c r="B8325" t="str">
        <f t="shared" si="129"/>
        <v>SVKPopulation, female</v>
      </c>
      <c r="C8325" t="s">
        <v>625</v>
      </c>
      <c r="D8325" t="s">
        <v>626</v>
      </c>
      <c r="E8325" t="s">
        <v>396</v>
      </c>
      <c r="F8325" t="s">
        <v>727</v>
      </c>
      <c r="G8325">
        <v>2796000</v>
      </c>
      <c r="H8325">
        <v>2795000</v>
      </c>
    </row>
    <row r="8326" spans="2:8" x14ac:dyDescent="0.25">
      <c r="B8326" t="str">
        <f t="shared" si="129"/>
        <v>SVKPopulation growth (annual %)</v>
      </c>
      <c r="C8326" t="s">
        <v>625</v>
      </c>
      <c r="D8326" t="s">
        <v>626</v>
      </c>
      <c r="E8326" t="s">
        <v>399</v>
      </c>
      <c r="F8326" t="s">
        <v>728</v>
      </c>
      <c r="G8326">
        <v>0</v>
      </c>
      <c r="H8326">
        <v>0</v>
      </c>
    </row>
    <row r="8327" spans="2:8" x14ac:dyDescent="0.25">
      <c r="B8327" t="str">
        <f t="shared" ref="B8327:B8390" si="130">CONCATENATE(D8327,E8327)</f>
        <v>SVNPopulation ages 0-14, female</v>
      </c>
      <c r="C8327" t="s">
        <v>627</v>
      </c>
      <c r="D8327" t="s">
        <v>132</v>
      </c>
      <c r="E8327" t="s">
        <v>687</v>
      </c>
      <c r="F8327" t="s">
        <v>688</v>
      </c>
      <c r="G8327">
        <v>152000</v>
      </c>
      <c r="H8327">
        <v>152000</v>
      </c>
    </row>
    <row r="8328" spans="2:8" x14ac:dyDescent="0.25">
      <c r="B8328" t="str">
        <f t="shared" si="130"/>
        <v>SVNPopulation ages 0-14, male</v>
      </c>
      <c r="C8328" t="s">
        <v>627</v>
      </c>
      <c r="D8328" t="s">
        <v>132</v>
      </c>
      <c r="E8328" t="s">
        <v>689</v>
      </c>
      <c r="F8328" t="s">
        <v>690</v>
      </c>
      <c r="G8328">
        <v>161000</v>
      </c>
      <c r="H8328">
        <v>161000</v>
      </c>
    </row>
    <row r="8329" spans="2:8" x14ac:dyDescent="0.25">
      <c r="B8329" t="str">
        <f t="shared" si="130"/>
        <v>SVNPopulation ages 00-04, female</v>
      </c>
      <c r="C8329" t="s">
        <v>627</v>
      </c>
      <c r="D8329" t="s">
        <v>132</v>
      </c>
      <c r="E8329" t="s">
        <v>362</v>
      </c>
      <c r="F8329" t="s">
        <v>691</v>
      </c>
      <c r="G8329">
        <v>50000</v>
      </c>
      <c r="H8329">
        <v>49000</v>
      </c>
    </row>
    <row r="8330" spans="2:8" x14ac:dyDescent="0.25">
      <c r="B8330" t="str">
        <f t="shared" si="130"/>
        <v>SVNPopulation ages 00-04, male</v>
      </c>
      <c r="C8330" t="s">
        <v>627</v>
      </c>
      <c r="D8330" t="s">
        <v>132</v>
      </c>
      <c r="E8330" t="s">
        <v>363</v>
      </c>
      <c r="F8330" t="s">
        <v>692</v>
      </c>
      <c r="G8330">
        <v>53000</v>
      </c>
      <c r="H8330">
        <v>52000</v>
      </c>
    </row>
    <row r="8331" spans="2:8" x14ac:dyDescent="0.25">
      <c r="B8331" t="str">
        <f t="shared" si="130"/>
        <v>SVNPopulation ages 05-09, female</v>
      </c>
      <c r="C8331" t="s">
        <v>627</v>
      </c>
      <c r="D8331" t="s">
        <v>132</v>
      </c>
      <c r="E8331" t="s">
        <v>364</v>
      </c>
      <c r="F8331" t="s">
        <v>693</v>
      </c>
      <c r="G8331">
        <v>53000</v>
      </c>
      <c r="H8331">
        <v>53000</v>
      </c>
    </row>
    <row r="8332" spans="2:8" x14ac:dyDescent="0.25">
      <c r="B8332" t="str">
        <f t="shared" si="130"/>
        <v>SVNPopulation ages 05-09, male</v>
      </c>
      <c r="C8332" t="s">
        <v>627</v>
      </c>
      <c r="D8332" t="s">
        <v>132</v>
      </c>
      <c r="E8332" t="s">
        <v>365</v>
      </c>
      <c r="F8332" t="s">
        <v>694</v>
      </c>
      <c r="G8332">
        <v>56000</v>
      </c>
      <c r="H8332">
        <v>56000</v>
      </c>
    </row>
    <row r="8333" spans="2:8" x14ac:dyDescent="0.25">
      <c r="B8333" t="str">
        <f t="shared" si="130"/>
        <v>SVNPopulation ages 10-14, female</v>
      </c>
      <c r="C8333" t="s">
        <v>627</v>
      </c>
      <c r="D8333" t="s">
        <v>132</v>
      </c>
      <c r="E8333" t="s">
        <v>366</v>
      </c>
      <c r="F8333" t="s">
        <v>695</v>
      </c>
      <c r="G8333">
        <v>49000</v>
      </c>
      <c r="H8333">
        <v>50000</v>
      </c>
    </row>
    <row r="8334" spans="2:8" x14ac:dyDescent="0.25">
      <c r="B8334" t="str">
        <f t="shared" si="130"/>
        <v>SVNPopulation ages 10-14, male</v>
      </c>
      <c r="C8334" t="s">
        <v>627</v>
      </c>
      <c r="D8334" t="s">
        <v>132</v>
      </c>
      <c r="E8334" t="s">
        <v>367</v>
      </c>
      <c r="F8334" t="s">
        <v>696</v>
      </c>
      <c r="G8334">
        <v>52000</v>
      </c>
      <c r="H8334">
        <v>54000</v>
      </c>
    </row>
    <row r="8335" spans="2:8" x14ac:dyDescent="0.25">
      <c r="B8335" t="str">
        <f t="shared" si="130"/>
        <v>SVNPopulation ages 15-19, female</v>
      </c>
      <c r="C8335" t="s">
        <v>627</v>
      </c>
      <c r="D8335" t="s">
        <v>132</v>
      </c>
      <c r="E8335" t="s">
        <v>368</v>
      </c>
      <c r="F8335" t="s">
        <v>697</v>
      </c>
      <c r="G8335">
        <v>44000</v>
      </c>
      <c r="H8335">
        <v>44000</v>
      </c>
    </row>
    <row r="8336" spans="2:8" x14ac:dyDescent="0.25">
      <c r="B8336" t="str">
        <f t="shared" si="130"/>
        <v>SVNPopulation ages 15-19, male</v>
      </c>
      <c r="C8336" t="s">
        <v>627</v>
      </c>
      <c r="D8336" t="s">
        <v>132</v>
      </c>
      <c r="E8336" t="s">
        <v>369</v>
      </c>
      <c r="F8336" t="s">
        <v>698</v>
      </c>
      <c r="G8336">
        <v>47000</v>
      </c>
      <c r="H8336">
        <v>47000</v>
      </c>
    </row>
    <row r="8337" spans="2:8" x14ac:dyDescent="0.25">
      <c r="B8337" t="str">
        <f t="shared" si="130"/>
        <v>SVNPopulation ages 20-24, female</v>
      </c>
      <c r="C8337" t="s">
        <v>627</v>
      </c>
      <c r="D8337" t="s">
        <v>132</v>
      </c>
      <c r="E8337" t="s">
        <v>370</v>
      </c>
      <c r="F8337" t="s">
        <v>699</v>
      </c>
      <c r="G8337">
        <v>47000</v>
      </c>
      <c r="H8337">
        <v>46000</v>
      </c>
    </row>
    <row r="8338" spans="2:8" x14ac:dyDescent="0.25">
      <c r="B8338" t="str">
        <f t="shared" si="130"/>
        <v>SVNPopulation ages 20-24, male</v>
      </c>
      <c r="C8338" t="s">
        <v>627</v>
      </c>
      <c r="D8338" t="s">
        <v>132</v>
      </c>
      <c r="E8338" t="s">
        <v>371</v>
      </c>
      <c r="F8338" t="s">
        <v>700</v>
      </c>
      <c r="G8338">
        <v>50000</v>
      </c>
      <c r="H8338">
        <v>50000</v>
      </c>
    </row>
    <row r="8339" spans="2:8" x14ac:dyDescent="0.25">
      <c r="B8339" t="str">
        <f t="shared" si="130"/>
        <v>SVNPopulation ages 25-29, female</v>
      </c>
      <c r="C8339" t="s">
        <v>627</v>
      </c>
      <c r="D8339" t="s">
        <v>132</v>
      </c>
      <c r="E8339" t="s">
        <v>372</v>
      </c>
      <c r="F8339" t="s">
        <v>701</v>
      </c>
      <c r="G8339">
        <v>55000</v>
      </c>
      <c r="H8339">
        <v>53000</v>
      </c>
    </row>
    <row r="8340" spans="2:8" x14ac:dyDescent="0.25">
      <c r="B8340" t="str">
        <f t="shared" si="130"/>
        <v>SVNPopulation ages 25-29, male</v>
      </c>
      <c r="C8340" t="s">
        <v>627</v>
      </c>
      <c r="D8340" t="s">
        <v>132</v>
      </c>
      <c r="E8340" t="s">
        <v>373</v>
      </c>
      <c r="F8340" t="s">
        <v>702</v>
      </c>
      <c r="G8340">
        <v>58000</v>
      </c>
      <c r="H8340">
        <v>56000</v>
      </c>
    </row>
    <row r="8341" spans="2:8" x14ac:dyDescent="0.25">
      <c r="B8341" t="str">
        <f t="shared" si="130"/>
        <v>SVNPopulation ages 30-34, female</v>
      </c>
      <c r="C8341" t="s">
        <v>627</v>
      </c>
      <c r="D8341" t="s">
        <v>132</v>
      </c>
      <c r="E8341" t="s">
        <v>374</v>
      </c>
      <c r="F8341" t="s">
        <v>703</v>
      </c>
      <c r="G8341">
        <v>66000</v>
      </c>
      <c r="H8341">
        <v>64000</v>
      </c>
    </row>
    <row r="8342" spans="2:8" x14ac:dyDescent="0.25">
      <c r="B8342" t="str">
        <f t="shared" si="130"/>
        <v>SVNPopulation ages 30-34, male</v>
      </c>
      <c r="C8342" t="s">
        <v>627</v>
      </c>
      <c r="D8342" t="s">
        <v>132</v>
      </c>
      <c r="E8342" t="s">
        <v>375</v>
      </c>
      <c r="F8342" t="s">
        <v>704</v>
      </c>
      <c r="G8342">
        <v>71000</v>
      </c>
      <c r="H8342">
        <v>69000</v>
      </c>
    </row>
    <row r="8343" spans="2:8" x14ac:dyDescent="0.25">
      <c r="B8343" t="str">
        <f t="shared" si="130"/>
        <v>SVNPopulation ages 35-39, female</v>
      </c>
      <c r="C8343" t="s">
        <v>627</v>
      </c>
      <c r="D8343" t="s">
        <v>132</v>
      </c>
      <c r="E8343" t="s">
        <v>376</v>
      </c>
      <c r="F8343" t="s">
        <v>705</v>
      </c>
      <c r="G8343">
        <v>72000</v>
      </c>
      <c r="H8343">
        <v>71000</v>
      </c>
    </row>
    <row r="8344" spans="2:8" x14ac:dyDescent="0.25">
      <c r="B8344" t="str">
        <f t="shared" si="130"/>
        <v>SVNPopulation ages 35-39, male</v>
      </c>
      <c r="C8344" t="s">
        <v>627</v>
      </c>
      <c r="D8344" t="s">
        <v>132</v>
      </c>
      <c r="E8344" t="s">
        <v>377</v>
      </c>
      <c r="F8344" t="s">
        <v>706</v>
      </c>
      <c r="G8344">
        <v>79000</v>
      </c>
      <c r="H8344">
        <v>78000</v>
      </c>
    </row>
    <row r="8345" spans="2:8" x14ac:dyDescent="0.25">
      <c r="B8345" t="str">
        <f t="shared" si="130"/>
        <v>SVNPopulation ages 40-44, female</v>
      </c>
      <c r="C8345" t="s">
        <v>627</v>
      </c>
      <c r="D8345" t="s">
        <v>132</v>
      </c>
      <c r="E8345" t="s">
        <v>378</v>
      </c>
      <c r="F8345" t="s">
        <v>707</v>
      </c>
      <c r="G8345">
        <v>74000</v>
      </c>
      <c r="H8345">
        <v>74000</v>
      </c>
    </row>
    <row r="8346" spans="2:8" x14ac:dyDescent="0.25">
      <c r="B8346" t="str">
        <f t="shared" si="130"/>
        <v>SVNPopulation ages 40-44, male</v>
      </c>
      <c r="C8346" t="s">
        <v>627</v>
      </c>
      <c r="D8346" t="s">
        <v>132</v>
      </c>
      <c r="E8346" t="s">
        <v>379</v>
      </c>
      <c r="F8346" t="s">
        <v>708</v>
      </c>
      <c r="G8346">
        <v>82000</v>
      </c>
      <c r="H8346">
        <v>83000</v>
      </c>
    </row>
    <row r="8347" spans="2:8" x14ac:dyDescent="0.25">
      <c r="B8347" t="str">
        <f t="shared" si="130"/>
        <v>SVNPopulation ages 45-49, female</v>
      </c>
      <c r="C8347" t="s">
        <v>627</v>
      </c>
      <c r="D8347" t="s">
        <v>132</v>
      </c>
      <c r="E8347" t="s">
        <v>380</v>
      </c>
      <c r="F8347" t="s">
        <v>709</v>
      </c>
      <c r="G8347">
        <v>70000</v>
      </c>
      <c r="H8347">
        <v>69000</v>
      </c>
    </row>
    <row r="8348" spans="2:8" x14ac:dyDescent="0.25">
      <c r="B8348" t="str">
        <f t="shared" si="130"/>
        <v>SVNPopulation ages 45-49, male</v>
      </c>
      <c r="C8348" t="s">
        <v>627</v>
      </c>
      <c r="D8348" t="s">
        <v>132</v>
      </c>
      <c r="E8348" t="s">
        <v>381</v>
      </c>
      <c r="F8348" t="s">
        <v>710</v>
      </c>
      <c r="G8348">
        <v>76000</v>
      </c>
      <c r="H8348">
        <v>77000</v>
      </c>
    </row>
    <row r="8349" spans="2:8" x14ac:dyDescent="0.25">
      <c r="B8349" t="str">
        <f t="shared" si="130"/>
        <v>SVNPopulation ages 50-54, female</v>
      </c>
      <c r="C8349" t="s">
        <v>627</v>
      </c>
      <c r="D8349" t="s">
        <v>132</v>
      </c>
      <c r="E8349" t="s">
        <v>382</v>
      </c>
      <c r="F8349" t="s">
        <v>711</v>
      </c>
      <c r="G8349">
        <v>75000</v>
      </c>
      <c r="H8349">
        <v>74000</v>
      </c>
    </row>
    <row r="8350" spans="2:8" x14ac:dyDescent="0.25">
      <c r="B8350" t="str">
        <f t="shared" si="130"/>
        <v>SVNPopulation ages 50-54, male</v>
      </c>
      <c r="C8350" t="s">
        <v>627</v>
      </c>
      <c r="D8350" t="s">
        <v>132</v>
      </c>
      <c r="E8350" t="s">
        <v>383</v>
      </c>
      <c r="F8350" t="s">
        <v>712</v>
      </c>
      <c r="G8350">
        <v>77000</v>
      </c>
      <c r="H8350">
        <v>76000</v>
      </c>
    </row>
    <row r="8351" spans="2:8" x14ac:dyDescent="0.25">
      <c r="B8351" t="str">
        <f t="shared" si="130"/>
        <v>SVNPopulation ages 55-59, male</v>
      </c>
      <c r="C8351" t="s">
        <v>627</v>
      </c>
      <c r="D8351" t="s">
        <v>132</v>
      </c>
      <c r="E8351" t="s">
        <v>385</v>
      </c>
      <c r="F8351" t="s">
        <v>713</v>
      </c>
      <c r="G8351">
        <v>75000</v>
      </c>
      <c r="H8351">
        <v>75000</v>
      </c>
    </row>
    <row r="8352" spans="2:8" x14ac:dyDescent="0.25">
      <c r="B8352" t="str">
        <f t="shared" si="130"/>
        <v>SVNPopulation ages 55-59, female</v>
      </c>
      <c r="C8352" t="s">
        <v>627</v>
      </c>
      <c r="D8352" t="s">
        <v>132</v>
      </c>
      <c r="E8352" t="s">
        <v>384</v>
      </c>
      <c r="F8352" t="s">
        <v>714</v>
      </c>
      <c r="G8352">
        <v>74000</v>
      </c>
      <c r="H8352">
        <v>74000</v>
      </c>
    </row>
    <row r="8353" spans="2:8" x14ac:dyDescent="0.25">
      <c r="B8353" t="str">
        <f t="shared" si="130"/>
        <v>SVNPopulation ages 65-69, male</v>
      </c>
      <c r="C8353" t="s">
        <v>627</v>
      </c>
      <c r="D8353" t="s">
        <v>132</v>
      </c>
      <c r="E8353" t="s">
        <v>389</v>
      </c>
      <c r="F8353" t="s">
        <v>715</v>
      </c>
      <c r="G8353">
        <v>66000</v>
      </c>
      <c r="H8353">
        <v>68000</v>
      </c>
    </row>
    <row r="8354" spans="2:8" x14ac:dyDescent="0.25">
      <c r="B8354" t="str">
        <f t="shared" si="130"/>
        <v>SVNPopulation ages 65-69, female</v>
      </c>
      <c r="C8354" t="s">
        <v>627</v>
      </c>
      <c r="D8354" t="s">
        <v>132</v>
      </c>
      <c r="E8354" t="s">
        <v>388</v>
      </c>
      <c r="F8354" t="s">
        <v>716</v>
      </c>
      <c r="G8354">
        <v>68000</v>
      </c>
      <c r="H8354">
        <v>70000</v>
      </c>
    </row>
    <row r="8355" spans="2:8" x14ac:dyDescent="0.25">
      <c r="B8355" t="str">
        <f t="shared" si="130"/>
        <v>SVNPopulation ages 60-64, female</v>
      </c>
      <c r="C8355" t="s">
        <v>627</v>
      </c>
      <c r="D8355" t="s">
        <v>132</v>
      </c>
      <c r="E8355" t="s">
        <v>386</v>
      </c>
      <c r="F8355" t="s">
        <v>717</v>
      </c>
      <c r="G8355">
        <v>73000</v>
      </c>
      <c r="H8355">
        <v>72000</v>
      </c>
    </row>
    <row r="8356" spans="2:8" x14ac:dyDescent="0.25">
      <c r="B8356" t="str">
        <f t="shared" si="130"/>
        <v>SVNPopulation ages 60-64, male</v>
      </c>
      <c r="C8356" t="s">
        <v>627</v>
      </c>
      <c r="D8356" t="s">
        <v>132</v>
      </c>
      <c r="E8356" t="s">
        <v>387</v>
      </c>
      <c r="F8356" t="s">
        <v>718</v>
      </c>
      <c r="G8356">
        <v>73000</v>
      </c>
      <c r="H8356">
        <v>72000</v>
      </c>
    </row>
    <row r="8357" spans="2:8" x14ac:dyDescent="0.25">
      <c r="B8357" t="str">
        <f t="shared" si="130"/>
        <v>SVNPopulation ages 70-74, female</v>
      </c>
      <c r="C8357" t="s">
        <v>627</v>
      </c>
      <c r="D8357" t="s">
        <v>132</v>
      </c>
      <c r="E8357" t="s">
        <v>390</v>
      </c>
      <c r="F8357" t="s">
        <v>719</v>
      </c>
      <c r="G8357">
        <v>50000</v>
      </c>
      <c r="H8357">
        <v>52000</v>
      </c>
    </row>
    <row r="8358" spans="2:8" x14ac:dyDescent="0.25">
      <c r="B8358" t="str">
        <f t="shared" si="130"/>
        <v>SVNPopulation ages 70-74, male</v>
      </c>
      <c r="C8358" t="s">
        <v>627</v>
      </c>
      <c r="D8358" t="s">
        <v>132</v>
      </c>
      <c r="E8358" t="s">
        <v>391</v>
      </c>
      <c r="F8358" t="s">
        <v>720</v>
      </c>
      <c r="G8358">
        <v>43000</v>
      </c>
      <c r="H8358">
        <v>45000</v>
      </c>
    </row>
    <row r="8359" spans="2:8" x14ac:dyDescent="0.25">
      <c r="B8359" t="str">
        <f t="shared" si="130"/>
        <v>SVNPopulation ages 75-79, female</v>
      </c>
      <c r="C8359" t="s">
        <v>627</v>
      </c>
      <c r="D8359" t="s">
        <v>132</v>
      </c>
      <c r="E8359" t="s">
        <v>392</v>
      </c>
      <c r="F8359" t="s">
        <v>721</v>
      </c>
      <c r="G8359">
        <v>45000</v>
      </c>
      <c r="H8359">
        <v>46000</v>
      </c>
    </row>
    <row r="8360" spans="2:8" x14ac:dyDescent="0.25">
      <c r="B8360" t="str">
        <f t="shared" si="130"/>
        <v>SVNPopulation ages 75-79, male</v>
      </c>
      <c r="C8360" t="s">
        <v>627</v>
      </c>
      <c r="D8360" t="s">
        <v>132</v>
      </c>
      <c r="E8360" t="s">
        <v>393</v>
      </c>
      <c r="F8360" t="s">
        <v>722</v>
      </c>
      <c r="G8360">
        <v>33000</v>
      </c>
      <c r="H8360">
        <v>34000</v>
      </c>
    </row>
    <row r="8361" spans="2:8" x14ac:dyDescent="0.25">
      <c r="B8361" t="str">
        <f t="shared" si="130"/>
        <v>SVNPopulation ages 80 and above, female</v>
      </c>
      <c r="C8361" t="s">
        <v>627</v>
      </c>
      <c r="D8361" t="s">
        <v>132</v>
      </c>
      <c r="E8361" t="s">
        <v>394</v>
      </c>
      <c r="F8361" t="s">
        <v>723</v>
      </c>
      <c r="G8361">
        <v>75000</v>
      </c>
      <c r="H8361">
        <v>76000</v>
      </c>
    </row>
    <row r="8362" spans="2:8" x14ac:dyDescent="0.25">
      <c r="B8362" t="str">
        <f t="shared" si="130"/>
        <v>SVNPopulation ages 80 and above, male</v>
      </c>
      <c r="C8362" t="s">
        <v>627</v>
      </c>
      <c r="D8362" t="s">
        <v>132</v>
      </c>
      <c r="E8362" t="s">
        <v>395</v>
      </c>
      <c r="F8362" t="s">
        <v>724</v>
      </c>
      <c r="G8362">
        <v>37000</v>
      </c>
      <c r="H8362">
        <v>38000</v>
      </c>
    </row>
    <row r="8363" spans="2:8" x14ac:dyDescent="0.25">
      <c r="B8363" t="str">
        <f t="shared" si="130"/>
        <v>SVNPopulation, male</v>
      </c>
      <c r="C8363" t="s">
        <v>627</v>
      </c>
      <c r="D8363" t="s">
        <v>132</v>
      </c>
      <c r="E8363" t="s">
        <v>397</v>
      </c>
      <c r="F8363" t="s">
        <v>725</v>
      </c>
      <c r="G8363">
        <v>1029000</v>
      </c>
      <c r="H8363">
        <v>1029000</v>
      </c>
    </row>
    <row r="8364" spans="2:8" x14ac:dyDescent="0.25">
      <c r="B8364" t="str">
        <f t="shared" si="130"/>
        <v>SVNPopulation, total</v>
      </c>
      <c r="C8364" t="s">
        <v>627</v>
      </c>
      <c r="D8364" t="s">
        <v>132</v>
      </c>
      <c r="E8364" t="s">
        <v>398</v>
      </c>
      <c r="F8364" t="s">
        <v>726</v>
      </c>
      <c r="G8364">
        <v>2067000</v>
      </c>
      <c r="H8364">
        <v>2067000</v>
      </c>
    </row>
    <row r="8365" spans="2:8" x14ac:dyDescent="0.25">
      <c r="B8365" t="str">
        <f t="shared" si="130"/>
        <v>SVNPopulation, female</v>
      </c>
      <c r="C8365" t="s">
        <v>627</v>
      </c>
      <c r="D8365" t="s">
        <v>132</v>
      </c>
      <c r="E8365" t="s">
        <v>396</v>
      </c>
      <c r="F8365" t="s">
        <v>727</v>
      </c>
      <c r="G8365">
        <v>1038000</v>
      </c>
      <c r="H8365">
        <v>1038000</v>
      </c>
    </row>
    <row r="8366" spans="2:8" x14ac:dyDescent="0.25">
      <c r="B8366" t="str">
        <f t="shared" si="130"/>
        <v>SVNPopulation growth (annual %)</v>
      </c>
      <c r="C8366" t="s">
        <v>627</v>
      </c>
      <c r="D8366" t="s">
        <v>132</v>
      </c>
      <c r="E8366" t="s">
        <v>399</v>
      </c>
      <c r="F8366" t="s">
        <v>728</v>
      </c>
      <c r="G8366">
        <v>0</v>
      </c>
      <c r="H8366">
        <v>0</v>
      </c>
    </row>
    <row r="8367" spans="2:8" x14ac:dyDescent="0.25">
      <c r="B8367" t="str">
        <f t="shared" si="130"/>
        <v>SSTPopulation ages 0-14, female</v>
      </c>
      <c r="C8367" t="s">
        <v>628</v>
      </c>
      <c r="D8367" t="s">
        <v>629</v>
      </c>
      <c r="E8367" t="s">
        <v>687</v>
      </c>
      <c r="F8367" t="s">
        <v>688</v>
      </c>
      <c r="G8367">
        <v>5841000</v>
      </c>
      <c r="H8367">
        <v>5901000</v>
      </c>
    </row>
    <row r="8368" spans="2:8" x14ac:dyDescent="0.25">
      <c r="B8368" t="str">
        <f t="shared" si="130"/>
        <v>SSTPopulation ages 0-14, male</v>
      </c>
      <c r="C8368" t="s">
        <v>628</v>
      </c>
      <c r="D8368" t="s">
        <v>629</v>
      </c>
      <c r="E8368" t="s">
        <v>689</v>
      </c>
      <c r="F8368" t="s">
        <v>690</v>
      </c>
      <c r="G8368">
        <v>6028000</v>
      </c>
      <c r="H8368">
        <v>6085000</v>
      </c>
    </row>
    <row r="8369" spans="2:8" x14ac:dyDescent="0.25">
      <c r="B8369" t="str">
        <f t="shared" si="130"/>
        <v>SSTPopulation ages 00-04, female</v>
      </c>
      <c r="C8369" t="s">
        <v>628</v>
      </c>
      <c r="D8369" t="s">
        <v>629</v>
      </c>
      <c r="E8369" t="s">
        <v>362</v>
      </c>
      <c r="F8369" t="s">
        <v>691</v>
      </c>
      <c r="G8369">
        <v>2080700</v>
      </c>
      <c r="H8369">
        <v>2088600</v>
      </c>
    </row>
    <row r="8370" spans="2:8" x14ac:dyDescent="0.25">
      <c r="B8370" t="str">
        <f t="shared" si="130"/>
        <v>SSTPopulation ages 00-04, male</v>
      </c>
      <c r="C8370" t="s">
        <v>628</v>
      </c>
      <c r="D8370" t="s">
        <v>629</v>
      </c>
      <c r="E8370" t="s">
        <v>363</v>
      </c>
      <c r="F8370" t="s">
        <v>692</v>
      </c>
      <c r="G8370">
        <v>2145900</v>
      </c>
      <c r="H8370">
        <v>2156900</v>
      </c>
    </row>
    <row r="8371" spans="2:8" x14ac:dyDescent="0.25">
      <c r="B8371" t="str">
        <f t="shared" si="130"/>
        <v>SSTPopulation ages 05-09, female</v>
      </c>
      <c r="C8371" t="s">
        <v>628</v>
      </c>
      <c r="D8371" t="s">
        <v>629</v>
      </c>
      <c r="E8371" t="s">
        <v>364</v>
      </c>
      <c r="F8371" t="s">
        <v>693</v>
      </c>
      <c r="G8371">
        <v>1955700</v>
      </c>
      <c r="H8371">
        <v>1980500</v>
      </c>
    </row>
    <row r="8372" spans="2:8" x14ac:dyDescent="0.25">
      <c r="B8372" t="str">
        <f t="shared" si="130"/>
        <v>SSTPopulation ages 05-09, male</v>
      </c>
      <c r="C8372" t="s">
        <v>628</v>
      </c>
      <c r="D8372" t="s">
        <v>629</v>
      </c>
      <c r="E8372" t="s">
        <v>365</v>
      </c>
      <c r="F8372" t="s">
        <v>694</v>
      </c>
      <c r="G8372">
        <v>2018000</v>
      </c>
      <c r="H8372">
        <v>2044100</v>
      </c>
    </row>
    <row r="8373" spans="2:8" x14ac:dyDescent="0.25">
      <c r="B8373" t="str">
        <f t="shared" si="130"/>
        <v>SSTPopulation ages 10-14, female</v>
      </c>
      <c r="C8373" t="s">
        <v>628</v>
      </c>
      <c r="D8373" t="s">
        <v>629</v>
      </c>
      <c r="E8373" t="s">
        <v>366</v>
      </c>
      <c r="F8373" t="s">
        <v>695</v>
      </c>
      <c r="G8373">
        <v>1804400</v>
      </c>
      <c r="H8373">
        <v>1832500</v>
      </c>
    </row>
    <row r="8374" spans="2:8" x14ac:dyDescent="0.25">
      <c r="B8374" t="str">
        <f t="shared" si="130"/>
        <v>SSTPopulation ages 10-14, male</v>
      </c>
      <c r="C8374" t="s">
        <v>628</v>
      </c>
      <c r="D8374" t="s">
        <v>629</v>
      </c>
      <c r="E8374" t="s">
        <v>367</v>
      </c>
      <c r="F8374" t="s">
        <v>696</v>
      </c>
      <c r="G8374">
        <v>1857400</v>
      </c>
      <c r="H8374">
        <v>1887500</v>
      </c>
    </row>
    <row r="8375" spans="2:8" x14ac:dyDescent="0.25">
      <c r="B8375" t="str">
        <f t="shared" si="130"/>
        <v>SSTPopulation ages 15-19, female</v>
      </c>
      <c r="C8375" t="s">
        <v>628</v>
      </c>
      <c r="D8375" t="s">
        <v>629</v>
      </c>
      <c r="E8375" t="s">
        <v>368</v>
      </c>
      <c r="F8375" t="s">
        <v>697</v>
      </c>
      <c r="G8375">
        <v>1676900</v>
      </c>
      <c r="H8375">
        <v>1690900</v>
      </c>
    </row>
    <row r="8376" spans="2:8" x14ac:dyDescent="0.25">
      <c r="B8376" t="str">
        <f t="shared" si="130"/>
        <v>SSTPopulation ages 15-19, male</v>
      </c>
      <c r="C8376" t="s">
        <v>628</v>
      </c>
      <c r="D8376" t="s">
        <v>629</v>
      </c>
      <c r="E8376" t="s">
        <v>369</v>
      </c>
      <c r="F8376" t="s">
        <v>698</v>
      </c>
      <c r="G8376">
        <v>1763000</v>
      </c>
      <c r="H8376">
        <v>1763700</v>
      </c>
    </row>
    <row r="8377" spans="2:8" x14ac:dyDescent="0.25">
      <c r="B8377" t="str">
        <f t="shared" si="130"/>
        <v>SSTPopulation ages 20-24, female</v>
      </c>
      <c r="C8377" t="s">
        <v>628</v>
      </c>
      <c r="D8377" t="s">
        <v>629</v>
      </c>
      <c r="E8377" t="s">
        <v>370</v>
      </c>
      <c r="F8377" t="s">
        <v>699</v>
      </c>
      <c r="G8377">
        <v>1628700</v>
      </c>
      <c r="H8377">
        <v>1627600</v>
      </c>
    </row>
    <row r="8378" spans="2:8" x14ac:dyDescent="0.25">
      <c r="B8378" t="str">
        <f t="shared" si="130"/>
        <v>SSTPopulation ages 20-24, male</v>
      </c>
      <c r="C8378" t="s">
        <v>628</v>
      </c>
      <c r="D8378" t="s">
        <v>629</v>
      </c>
      <c r="E8378" t="s">
        <v>371</v>
      </c>
      <c r="F8378" t="s">
        <v>700</v>
      </c>
      <c r="G8378">
        <v>1900400</v>
      </c>
      <c r="H8378">
        <v>1875300</v>
      </c>
    </row>
    <row r="8379" spans="2:8" x14ac:dyDescent="0.25">
      <c r="B8379" t="str">
        <f t="shared" si="130"/>
        <v>SSTPopulation ages 25-29, female</v>
      </c>
      <c r="C8379" t="s">
        <v>628</v>
      </c>
      <c r="D8379" t="s">
        <v>629</v>
      </c>
      <c r="E8379" t="s">
        <v>372</v>
      </c>
      <c r="F8379" t="s">
        <v>701</v>
      </c>
      <c r="G8379">
        <v>1643100</v>
      </c>
      <c r="H8379">
        <v>1647600</v>
      </c>
    </row>
    <row r="8380" spans="2:8" x14ac:dyDescent="0.25">
      <c r="B8380" t="str">
        <f t="shared" si="130"/>
        <v>SSTPopulation ages 25-29, male</v>
      </c>
      <c r="C8380" t="s">
        <v>628</v>
      </c>
      <c r="D8380" t="s">
        <v>629</v>
      </c>
      <c r="E8380" t="s">
        <v>373</v>
      </c>
      <c r="F8380" t="s">
        <v>702</v>
      </c>
      <c r="G8380">
        <v>2156100</v>
      </c>
      <c r="H8380">
        <v>2189800</v>
      </c>
    </row>
    <row r="8381" spans="2:8" x14ac:dyDescent="0.25">
      <c r="B8381" t="str">
        <f t="shared" si="130"/>
        <v>SSTPopulation ages 30-34, female</v>
      </c>
      <c r="C8381" t="s">
        <v>628</v>
      </c>
      <c r="D8381" t="s">
        <v>629</v>
      </c>
      <c r="E8381" t="s">
        <v>374</v>
      </c>
      <c r="F8381" t="s">
        <v>703</v>
      </c>
      <c r="G8381">
        <v>1543900</v>
      </c>
      <c r="H8381">
        <v>1566100</v>
      </c>
    </row>
    <row r="8382" spans="2:8" x14ac:dyDescent="0.25">
      <c r="B8382" t="str">
        <f t="shared" si="130"/>
        <v>SSTPopulation ages 30-34, male</v>
      </c>
      <c r="C8382" t="s">
        <v>628</v>
      </c>
      <c r="D8382" t="s">
        <v>629</v>
      </c>
      <c r="E8382" t="s">
        <v>375</v>
      </c>
      <c r="F8382" t="s">
        <v>704</v>
      </c>
      <c r="G8382">
        <v>2042500</v>
      </c>
      <c r="H8382">
        <v>2112000</v>
      </c>
    </row>
    <row r="8383" spans="2:8" x14ac:dyDescent="0.25">
      <c r="B8383" t="str">
        <f t="shared" si="130"/>
        <v>SSTPopulation ages 35-39, female</v>
      </c>
      <c r="C8383" t="s">
        <v>628</v>
      </c>
      <c r="D8383" t="s">
        <v>629</v>
      </c>
      <c r="E8383" t="s">
        <v>376</v>
      </c>
      <c r="F8383" t="s">
        <v>705</v>
      </c>
      <c r="G8383">
        <v>1373800</v>
      </c>
      <c r="H8383">
        <v>1405400</v>
      </c>
    </row>
    <row r="8384" spans="2:8" x14ac:dyDescent="0.25">
      <c r="B8384" t="str">
        <f t="shared" si="130"/>
        <v>SSTPopulation ages 35-39, male</v>
      </c>
      <c r="C8384" t="s">
        <v>628</v>
      </c>
      <c r="D8384" t="s">
        <v>629</v>
      </c>
      <c r="E8384" t="s">
        <v>377</v>
      </c>
      <c r="F8384" t="s">
        <v>706</v>
      </c>
      <c r="G8384">
        <v>1667600</v>
      </c>
      <c r="H8384">
        <v>1724000</v>
      </c>
    </row>
    <row r="8385" spans="2:8" x14ac:dyDescent="0.25">
      <c r="B8385" t="str">
        <f t="shared" si="130"/>
        <v>SSTPopulation ages 40-44, female</v>
      </c>
      <c r="C8385" t="s">
        <v>628</v>
      </c>
      <c r="D8385" t="s">
        <v>629</v>
      </c>
      <c r="E8385" t="s">
        <v>378</v>
      </c>
      <c r="F8385" t="s">
        <v>707</v>
      </c>
      <c r="G8385">
        <v>1141900</v>
      </c>
      <c r="H8385">
        <v>1170600</v>
      </c>
    </row>
    <row r="8386" spans="2:8" x14ac:dyDescent="0.25">
      <c r="B8386" t="str">
        <f t="shared" si="130"/>
        <v>SSTPopulation ages 40-44, male</v>
      </c>
      <c r="C8386" t="s">
        <v>628</v>
      </c>
      <c r="D8386" t="s">
        <v>629</v>
      </c>
      <c r="E8386" t="s">
        <v>379</v>
      </c>
      <c r="F8386" t="s">
        <v>708</v>
      </c>
      <c r="G8386">
        <v>1353400</v>
      </c>
      <c r="H8386">
        <v>1379100</v>
      </c>
    </row>
    <row r="8387" spans="2:8" x14ac:dyDescent="0.25">
      <c r="B8387" t="str">
        <f t="shared" si="130"/>
        <v>SSTPopulation ages 45-49, female</v>
      </c>
      <c r="C8387" t="s">
        <v>628</v>
      </c>
      <c r="D8387" t="s">
        <v>629</v>
      </c>
      <c r="E8387" t="s">
        <v>380</v>
      </c>
      <c r="F8387" t="s">
        <v>709</v>
      </c>
      <c r="G8387">
        <v>986700</v>
      </c>
      <c r="H8387">
        <v>1008200</v>
      </c>
    </row>
    <row r="8388" spans="2:8" x14ac:dyDescent="0.25">
      <c r="B8388" t="str">
        <f t="shared" si="130"/>
        <v>SSTPopulation ages 45-49, male</v>
      </c>
      <c r="C8388" t="s">
        <v>628</v>
      </c>
      <c r="D8388" t="s">
        <v>629</v>
      </c>
      <c r="E8388" t="s">
        <v>381</v>
      </c>
      <c r="F8388" t="s">
        <v>710</v>
      </c>
      <c r="G8388">
        <v>1147300</v>
      </c>
      <c r="H8388">
        <v>1172600</v>
      </c>
    </row>
    <row r="8389" spans="2:8" x14ac:dyDescent="0.25">
      <c r="B8389" t="str">
        <f t="shared" si="130"/>
        <v>SSTPopulation ages 50-54, female</v>
      </c>
      <c r="C8389" t="s">
        <v>628</v>
      </c>
      <c r="D8389" t="s">
        <v>629</v>
      </c>
      <c r="E8389" t="s">
        <v>382</v>
      </c>
      <c r="F8389" t="s">
        <v>711</v>
      </c>
      <c r="G8389">
        <v>856300</v>
      </c>
      <c r="H8389">
        <v>867100</v>
      </c>
    </row>
    <row r="8390" spans="2:8" x14ac:dyDescent="0.25">
      <c r="B8390" t="str">
        <f t="shared" si="130"/>
        <v>SSTPopulation ages 50-54, male</v>
      </c>
      <c r="C8390" t="s">
        <v>628</v>
      </c>
      <c r="D8390" t="s">
        <v>629</v>
      </c>
      <c r="E8390" t="s">
        <v>383</v>
      </c>
      <c r="F8390" t="s">
        <v>712</v>
      </c>
      <c r="G8390">
        <v>943200</v>
      </c>
      <c r="H8390">
        <v>962900</v>
      </c>
    </row>
    <row r="8391" spans="2:8" x14ac:dyDescent="0.25">
      <c r="B8391" t="str">
        <f t="shared" ref="B8391:B8454" si="131">CONCATENATE(D8391,E8391)</f>
        <v>SSTPopulation ages 55-59, male</v>
      </c>
      <c r="C8391" t="s">
        <v>628</v>
      </c>
      <c r="D8391" t="s">
        <v>629</v>
      </c>
      <c r="E8391" t="s">
        <v>385</v>
      </c>
      <c r="F8391" t="s">
        <v>713</v>
      </c>
      <c r="G8391">
        <v>786100</v>
      </c>
      <c r="H8391">
        <v>805200</v>
      </c>
    </row>
    <row r="8392" spans="2:8" x14ac:dyDescent="0.25">
      <c r="B8392" t="str">
        <f t="shared" si="131"/>
        <v>SSTPopulation ages 55-59, female</v>
      </c>
      <c r="C8392" t="s">
        <v>628</v>
      </c>
      <c r="D8392" t="s">
        <v>629</v>
      </c>
      <c r="E8392" t="s">
        <v>384</v>
      </c>
      <c r="F8392" t="s">
        <v>714</v>
      </c>
      <c r="G8392">
        <v>762900</v>
      </c>
      <c r="H8392">
        <v>778900</v>
      </c>
    </row>
    <row r="8393" spans="2:8" x14ac:dyDescent="0.25">
      <c r="B8393" t="str">
        <f t="shared" si="131"/>
        <v>SSTPopulation ages 65-69, male</v>
      </c>
      <c r="C8393" t="s">
        <v>628</v>
      </c>
      <c r="D8393" t="s">
        <v>629</v>
      </c>
      <c r="E8393" t="s">
        <v>389</v>
      </c>
      <c r="F8393" t="s">
        <v>715</v>
      </c>
      <c r="G8393">
        <v>435600</v>
      </c>
      <c r="H8393">
        <v>454200</v>
      </c>
    </row>
    <row r="8394" spans="2:8" x14ac:dyDescent="0.25">
      <c r="B8394" t="str">
        <f t="shared" si="131"/>
        <v>SSTPopulation ages 65-69, female</v>
      </c>
      <c r="C8394" t="s">
        <v>628</v>
      </c>
      <c r="D8394" t="s">
        <v>629</v>
      </c>
      <c r="E8394" t="s">
        <v>388</v>
      </c>
      <c r="F8394" t="s">
        <v>716</v>
      </c>
      <c r="G8394">
        <v>488200</v>
      </c>
      <c r="H8394">
        <v>505600</v>
      </c>
    </row>
    <row r="8395" spans="2:8" x14ac:dyDescent="0.25">
      <c r="B8395" t="str">
        <f t="shared" si="131"/>
        <v>SSTPopulation ages 60-64, female</v>
      </c>
      <c r="C8395" t="s">
        <v>628</v>
      </c>
      <c r="D8395" t="s">
        <v>629</v>
      </c>
      <c r="E8395" t="s">
        <v>386</v>
      </c>
      <c r="F8395" t="s">
        <v>717</v>
      </c>
      <c r="G8395">
        <v>630700</v>
      </c>
      <c r="H8395">
        <v>648700</v>
      </c>
    </row>
    <row r="8396" spans="2:8" x14ac:dyDescent="0.25">
      <c r="B8396" t="str">
        <f t="shared" si="131"/>
        <v>SSTPopulation ages 60-64, male</v>
      </c>
      <c r="C8396" t="s">
        <v>628</v>
      </c>
      <c r="D8396" t="s">
        <v>629</v>
      </c>
      <c r="E8396" t="s">
        <v>387</v>
      </c>
      <c r="F8396" t="s">
        <v>718</v>
      </c>
      <c r="G8396">
        <v>602800</v>
      </c>
      <c r="H8396">
        <v>622500</v>
      </c>
    </row>
    <row r="8397" spans="2:8" x14ac:dyDescent="0.25">
      <c r="B8397" t="str">
        <f t="shared" si="131"/>
        <v>SSTPopulation ages 70-74, female</v>
      </c>
      <c r="C8397" t="s">
        <v>628</v>
      </c>
      <c r="D8397" t="s">
        <v>629</v>
      </c>
      <c r="E8397" t="s">
        <v>390</v>
      </c>
      <c r="F8397" t="s">
        <v>719</v>
      </c>
      <c r="G8397">
        <v>357800</v>
      </c>
      <c r="H8397">
        <v>370100</v>
      </c>
    </row>
    <row r="8398" spans="2:8" x14ac:dyDescent="0.25">
      <c r="B8398" t="str">
        <f t="shared" si="131"/>
        <v>SSTPopulation ages 70-74, male</v>
      </c>
      <c r="C8398" t="s">
        <v>628</v>
      </c>
      <c r="D8398" t="s">
        <v>629</v>
      </c>
      <c r="E8398" t="s">
        <v>391</v>
      </c>
      <c r="F8398" t="s">
        <v>720</v>
      </c>
      <c r="G8398">
        <v>299600</v>
      </c>
      <c r="H8398">
        <v>311900</v>
      </c>
    </row>
    <row r="8399" spans="2:8" x14ac:dyDescent="0.25">
      <c r="B8399" t="str">
        <f t="shared" si="131"/>
        <v>SSTPopulation ages 75-79, female</v>
      </c>
      <c r="C8399" t="s">
        <v>628</v>
      </c>
      <c r="D8399" t="s">
        <v>629</v>
      </c>
      <c r="E8399" t="s">
        <v>392</v>
      </c>
      <c r="F8399" t="s">
        <v>721</v>
      </c>
      <c r="G8399">
        <v>258300</v>
      </c>
      <c r="H8399">
        <v>263800</v>
      </c>
    </row>
    <row r="8400" spans="2:8" x14ac:dyDescent="0.25">
      <c r="B8400" t="str">
        <f t="shared" si="131"/>
        <v>SSTPopulation ages 75-79, male</v>
      </c>
      <c r="C8400" t="s">
        <v>628</v>
      </c>
      <c r="D8400" t="s">
        <v>629</v>
      </c>
      <c r="E8400" t="s">
        <v>393</v>
      </c>
      <c r="F8400" t="s">
        <v>722</v>
      </c>
      <c r="G8400">
        <v>186500</v>
      </c>
      <c r="H8400">
        <v>192700</v>
      </c>
    </row>
    <row r="8401" spans="2:8" x14ac:dyDescent="0.25">
      <c r="B8401" t="str">
        <f t="shared" si="131"/>
        <v>SSTPopulation ages 80 and above, female</v>
      </c>
      <c r="C8401" t="s">
        <v>628</v>
      </c>
      <c r="D8401" t="s">
        <v>629</v>
      </c>
      <c r="E8401" t="s">
        <v>394</v>
      </c>
      <c r="F8401" t="s">
        <v>723</v>
      </c>
      <c r="G8401">
        <v>297800</v>
      </c>
      <c r="H8401">
        <v>303100</v>
      </c>
    </row>
    <row r="8402" spans="2:8" x14ac:dyDescent="0.25">
      <c r="B8402" t="str">
        <f t="shared" si="131"/>
        <v>SSTPopulation ages 80 and above, male</v>
      </c>
      <c r="C8402" t="s">
        <v>628</v>
      </c>
      <c r="D8402" t="s">
        <v>629</v>
      </c>
      <c r="E8402" t="s">
        <v>395</v>
      </c>
      <c r="F8402" t="s">
        <v>724</v>
      </c>
      <c r="G8402">
        <v>180700</v>
      </c>
      <c r="H8402">
        <v>182300</v>
      </c>
    </row>
    <row r="8403" spans="2:8" x14ac:dyDescent="0.25">
      <c r="B8403" t="str">
        <f t="shared" si="131"/>
        <v>SSTPopulation, male</v>
      </c>
      <c r="C8403" t="s">
        <v>628</v>
      </c>
      <c r="D8403" t="s">
        <v>629</v>
      </c>
      <c r="E8403" t="s">
        <v>397</v>
      </c>
      <c r="F8403" t="s">
        <v>725</v>
      </c>
      <c r="G8403">
        <v>21482000</v>
      </c>
      <c r="H8403">
        <v>21828000</v>
      </c>
    </row>
    <row r="8404" spans="2:8" x14ac:dyDescent="0.25">
      <c r="B8404" t="str">
        <f t="shared" si="131"/>
        <v>SSTPopulation, total</v>
      </c>
      <c r="C8404" t="s">
        <v>628</v>
      </c>
      <c r="D8404" t="s">
        <v>629</v>
      </c>
      <c r="E8404" t="s">
        <v>398</v>
      </c>
      <c r="F8404" t="s">
        <v>726</v>
      </c>
      <c r="G8404">
        <v>41227000</v>
      </c>
      <c r="H8404">
        <v>41855000</v>
      </c>
    </row>
    <row r="8405" spans="2:8" x14ac:dyDescent="0.25">
      <c r="B8405" t="str">
        <f t="shared" si="131"/>
        <v>SSTPopulation, female</v>
      </c>
      <c r="C8405" t="s">
        <v>628</v>
      </c>
      <c r="D8405" t="s">
        <v>629</v>
      </c>
      <c r="E8405" t="s">
        <v>396</v>
      </c>
      <c r="F8405" t="s">
        <v>727</v>
      </c>
      <c r="G8405">
        <v>19485000</v>
      </c>
      <c r="H8405">
        <v>19770000</v>
      </c>
    </row>
    <row r="8406" spans="2:8" x14ac:dyDescent="0.25">
      <c r="B8406" t="str">
        <f t="shared" si="131"/>
        <v>SSTPopulation growth (annual %)</v>
      </c>
      <c r="C8406" t="s">
        <v>628</v>
      </c>
      <c r="D8406" t="s">
        <v>629</v>
      </c>
      <c r="E8406" t="s">
        <v>399</v>
      </c>
      <c r="F8406" t="s">
        <v>728</v>
      </c>
      <c r="G8406">
        <v>1.6060969671687815</v>
      </c>
      <c r="H8406">
        <v>1.523273582846187</v>
      </c>
    </row>
    <row r="8407" spans="2:8" x14ac:dyDescent="0.25">
      <c r="B8407" t="str">
        <f t="shared" si="131"/>
        <v>SLBPopulation ages 0-14, female</v>
      </c>
      <c r="C8407" t="s">
        <v>255</v>
      </c>
      <c r="D8407" t="s">
        <v>128</v>
      </c>
      <c r="E8407" t="s">
        <v>687</v>
      </c>
      <c r="F8407" t="s">
        <v>688</v>
      </c>
      <c r="G8407">
        <v>130000</v>
      </c>
      <c r="H8407">
        <v>133000</v>
      </c>
    </row>
    <row r="8408" spans="2:8" x14ac:dyDescent="0.25">
      <c r="B8408" t="str">
        <f t="shared" si="131"/>
        <v>SLBPopulation ages 0-14, male</v>
      </c>
      <c r="C8408" t="s">
        <v>255</v>
      </c>
      <c r="D8408" t="s">
        <v>128</v>
      </c>
      <c r="E8408" t="s">
        <v>689</v>
      </c>
      <c r="F8408" t="s">
        <v>690</v>
      </c>
      <c r="G8408">
        <v>139000</v>
      </c>
      <c r="H8408">
        <v>142000</v>
      </c>
    </row>
    <row r="8409" spans="2:8" x14ac:dyDescent="0.25">
      <c r="B8409" t="str">
        <f t="shared" si="131"/>
        <v>SLBPopulation ages 00-04, female</v>
      </c>
      <c r="C8409" t="s">
        <v>255</v>
      </c>
      <c r="D8409" t="s">
        <v>128</v>
      </c>
      <c r="E8409" t="s">
        <v>362</v>
      </c>
      <c r="F8409" t="s">
        <v>691</v>
      </c>
      <c r="G8409">
        <v>49000</v>
      </c>
      <c r="H8409">
        <v>50000</v>
      </c>
    </row>
    <row r="8410" spans="2:8" x14ac:dyDescent="0.25">
      <c r="B8410" t="str">
        <f t="shared" si="131"/>
        <v>SLBPopulation ages 00-04, male</v>
      </c>
      <c r="C8410" t="s">
        <v>255</v>
      </c>
      <c r="D8410" t="s">
        <v>128</v>
      </c>
      <c r="E8410" t="s">
        <v>363</v>
      </c>
      <c r="F8410" t="s">
        <v>692</v>
      </c>
      <c r="G8410">
        <v>53000</v>
      </c>
      <c r="H8410">
        <v>53000</v>
      </c>
    </row>
    <row r="8411" spans="2:8" x14ac:dyDescent="0.25">
      <c r="B8411" t="str">
        <f t="shared" si="131"/>
        <v>SLBPopulation ages 05-09, female</v>
      </c>
      <c r="C8411" t="s">
        <v>255</v>
      </c>
      <c r="D8411" t="s">
        <v>128</v>
      </c>
      <c r="E8411" t="s">
        <v>364</v>
      </c>
      <c r="F8411" t="s">
        <v>693</v>
      </c>
      <c r="G8411">
        <v>44000</v>
      </c>
      <c r="H8411">
        <v>45000</v>
      </c>
    </row>
    <row r="8412" spans="2:8" x14ac:dyDescent="0.25">
      <c r="B8412" t="str">
        <f t="shared" si="131"/>
        <v>SLBPopulation ages 05-09, male</v>
      </c>
      <c r="C8412" t="s">
        <v>255</v>
      </c>
      <c r="D8412" t="s">
        <v>128</v>
      </c>
      <c r="E8412" t="s">
        <v>365</v>
      </c>
      <c r="F8412" t="s">
        <v>694</v>
      </c>
      <c r="G8412">
        <v>47000</v>
      </c>
      <c r="H8412">
        <v>48000</v>
      </c>
    </row>
    <row r="8413" spans="2:8" x14ac:dyDescent="0.25">
      <c r="B8413" t="str">
        <f t="shared" si="131"/>
        <v>SLBPopulation ages 10-14, female</v>
      </c>
      <c r="C8413" t="s">
        <v>255</v>
      </c>
      <c r="D8413" t="s">
        <v>128</v>
      </c>
      <c r="E8413" t="s">
        <v>366</v>
      </c>
      <c r="F8413" t="s">
        <v>695</v>
      </c>
      <c r="G8413">
        <v>37000</v>
      </c>
      <c r="H8413">
        <v>38000</v>
      </c>
    </row>
    <row r="8414" spans="2:8" x14ac:dyDescent="0.25">
      <c r="B8414" t="str">
        <f t="shared" si="131"/>
        <v>SLBPopulation ages 10-14, male</v>
      </c>
      <c r="C8414" t="s">
        <v>255</v>
      </c>
      <c r="D8414" t="s">
        <v>128</v>
      </c>
      <c r="E8414" t="s">
        <v>367</v>
      </c>
      <c r="F8414" t="s">
        <v>696</v>
      </c>
      <c r="G8414">
        <v>40000</v>
      </c>
      <c r="H8414">
        <v>41000</v>
      </c>
    </row>
    <row r="8415" spans="2:8" x14ac:dyDescent="0.25">
      <c r="B8415" t="str">
        <f t="shared" si="131"/>
        <v>SLBPopulation ages 15-19, female</v>
      </c>
      <c r="C8415" t="s">
        <v>255</v>
      </c>
      <c r="D8415" t="s">
        <v>128</v>
      </c>
      <c r="E8415" t="s">
        <v>368</v>
      </c>
      <c r="F8415" t="s">
        <v>697</v>
      </c>
      <c r="G8415">
        <v>33000</v>
      </c>
      <c r="H8415">
        <v>34000</v>
      </c>
    </row>
    <row r="8416" spans="2:8" x14ac:dyDescent="0.25">
      <c r="B8416" t="str">
        <f t="shared" si="131"/>
        <v>SLBPopulation ages 15-19, male</v>
      </c>
      <c r="C8416" t="s">
        <v>255</v>
      </c>
      <c r="D8416" t="s">
        <v>128</v>
      </c>
      <c r="E8416" t="s">
        <v>369</v>
      </c>
      <c r="F8416" t="s">
        <v>698</v>
      </c>
      <c r="G8416">
        <v>36000</v>
      </c>
      <c r="H8416">
        <v>36000</v>
      </c>
    </row>
    <row r="8417" spans="2:8" x14ac:dyDescent="0.25">
      <c r="B8417" t="str">
        <f t="shared" si="131"/>
        <v>SLBPopulation ages 20-24, female</v>
      </c>
      <c r="C8417" t="s">
        <v>255</v>
      </c>
      <c r="D8417" t="s">
        <v>128</v>
      </c>
      <c r="E8417" t="s">
        <v>370</v>
      </c>
      <c r="F8417" t="s">
        <v>699</v>
      </c>
      <c r="G8417">
        <v>28000</v>
      </c>
      <c r="H8417">
        <v>29000</v>
      </c>
    </row>
    <row r="8418" spans="2:8" x14ac:dyDescent="0.25">
      <c r="B8418" t="str">
        <f t="shared" si="131"/>
        <v>SLBPopulation ages 20-24, male</v>
      </c>
      <c r="C8418" t="s">
        <v>255</v>
      </c>
      <c r="D8418" t="s">
        <v>128</v>
      </c>
      <c r="E8418" t="s">
        <v>371</v>
      </c>
      <c r="F8418" t="s">
        <v>700</v>
      </c>
      <c r="G8418">
        <v>31000</v>
      </c>
      <c r="H8418">
        <v>32000</v>
      </c>
    </row>
    <row r="8419" spans="2:8" x14ac:dyDescent="0.25">
      <c r="B8419" t="str">
        <f t="shared" si="131"/>
        <v>SLBPopulation ages 25-29, female</v>
      </c>
      <c r="C8419" t="s">
        <v>255</v>
      </c>
      <c r="D8419" t="s">
        <v>128</v>
      </c>
      <c r="E8419" t="s">
        <v>372</v>
      </c>
      <c r="F8419" t="s">
        <v>701</v>
      </c>
      <c r="G8419">
        <v>24000</v>
      </c>
      <c r="H8419">
        <v>25000</v>
      </c>
    </row>
    <row r="8420" spans="2:8" x14ac:dyDescent="0.25">
      <c r="B8420" t="str">
        <f t="shared" si="131"/>
        <v>SLBPopulation ages 25-29, male</v>
      </c>
      <c r="C8420" t="s">
        <v>255</v>
      </c>
      <c r="D8420" t="s">
        <v>128</v>
      </c>
      <c r="E8420" t="s">
        <v>373</v>
      </c>
      <c r="F8420" t="s">
        <v>702</v>
      </c>
      <c r="G8420">
        <v>25000</v>
      </c>
      <c r="H8420">
        <v>26000</v>
      </c>
    </row>
    <row r="8421" spans="2:8" x14ac:dyDescent="0.25">
      <c r="B8421" t="str">
        <f t="shared" si="131"/>
        <v>SLBPopulation ages 30-34, female</v>
      </c>
      <c r="C8421" t="s">
        <v>255</v>
      </c>
      <c r="D8421" t="s">
        <v>128</v>
      </c>
      <c r="E8421" t="s">
        <v>374</v>
      </c>
      <c r="F8421" t="s">
        <v>703</v>
      </c>
      <c r="G8421">
        <v>21000</v>
      </c>
      <c r="H8421">
        <v>21000</v>
      </c>
    </row>
    <row r="8422" spans="2:8" x14ac:dyDescent="0.25">
      <c r="B8422" t="str">
        <f t="shared" si="131"/>
        <v>SLBPopulation ages 30-34, male</v>
      </c>
      <c r="C8422" t="s">
        <v>255</v>
      </c>
      <c r="D8422" t="s">
        <v>128</v>
      </c>
      <c r="E8422" t="s">
        <v>375</v>
      </c>
      <c r="F8422" t="s">
        <v>704</v>
      </c>
      <c r="G8422">
        <v>21000</v>
      </c>
      <c r="H8422">
        <v>21000</v>
      </c>
    </row>
    <row r="8423" spans="2:8" x14ac:dyDescent="0.25">
      <c r="B8423" t="str">
        <f t="shared" si="131"/>
        <v>SLBPopulation ages 35-39, female</v>
      </c>
      <c r="C8423" t="s">
        <v>255</v>
      </c>
      <c r="D8423" t="s">
        <v>128</v>
      </c>
      <c r="E8423" t="s">
        <v>376</v>
      </c>
      <c r="F8423" t="s">
        <v>705</v>
      </c>
      <c r="G8423">
        <v>20000</v>
      </c>
      <c r="H8423">
        <v>20000</v>
      </c>
    </row>
    <row r="8424" spans="2:8" x14ac:dyDescent="0.25">
      <c r="B8424" t="str">
        <f t="shared" si="131"/>
        <v>SLBPopulation ages 35-39, male</v>
      </c>
      <c r="C8424" t="s">
        <v>255</v>
      </c>
      <c r="D8424" t="s">
        <v>128</v>
      </c>
      <c r="E8424" t="s">
        <v>377</v>
      </c>
      <c r="F8424" t="s">
        <v>706</v>
      </c>
      <c r="G8424">
        <v>19000</v>
      </c>
      <c r="H8424">
        <v>19000</v>
      </c>
    </row>
    <row r="8425" spans="2:8" x14ac:dyDescent="0.25">
      <c r="B8425" t="str">
        <f t="shared" si="131"/>
        <v>SLBPopulation ages 40-44, female</v>
      </c>
      <c r="C8425" t="s">
        <v>255</v>
      </c>
      <c r="D8425" t="s">
        <v>128</v>
      </c>
      <c r="E8425" t="s">
        <v>378</v>
      </c>
      <c r="F8425" t="s">
        <v>707</v>
      </c>
      <c r="G8425">
        <v>19000</v>
      </c>
      <c r="H8425">
        <v>19000</v>
      </c>
    </row>
    <row r="8426" spans="2:8" x14ac:dyDescent="0.25">
      <c r="B8426" t="str">
        <f t="shared" si="131"/>
        <v>SLBPopulation ages 40-44, male</v>
      </c>
      <c r="C8426" t="s">
        <v>255</v>
      </c>
      <c r="D8426" t="s">
        <v>128</v>
      </c>
      <c r="E8426" t="s">
        <v>379</v>
      </c>
      <c r="F8426" t="s">
        <v>708</v>
      </c>
      <c r="G8426">
        <v>18000</v>
      </c>
      <c r="H8426">
        <v>18000</v>
      </c>
    </row>
    <row r="8427" spans="2:8" x14ac:dyDescent="0.25">
      <c r="B8427" t="str">
        <f t="shared" si="131"/>
        <v>SLBPopulation ages 45-49, female</v>
      </c>
      <c r="C8427" t="s">
        <v>255</v>
      </c>
      <c r="D8427" t="s">
        <v>128</v>
      </c>
      <c r="E8427" t="s">
        <v>380</v>
      </c>
      <c r="F8427" t="s">
        <v>709</v>
      </c>
      <c r="G8427">
        <v>15000</v>
      </c>
      <c r="H8427">
        <v>16000</v>
      </c>
    </row>
    <row r="8428" spans="2:8" x14ac:dyDescent="0.25">
      <c r="B8428" t="str">
        <f t="shared" si="131"/>
        <v>SLBPopulation ages 45-49, male</v>
      </c>
      <c r="C8428" t="s">
        <v>255</v>
      </c>
      <c r="D8428" t="s">
        <v>128</v>
      </c>
      <c r="E8428" t="s">
        <v>381</v>
      </c>
      <c r="F8428" t="s">
        <v>710</v>
      </c>
      <c r="G8428">
        <v>15000</v>
      </c>
      <c r="H8428">
        <v>16000</v>
      </c>
    </row>
    <row r="8429" spans="2:8" x14ac:dyDescent="0.25">
      <c r="B8429" t="str">
        <f t="shared" si="131"/>
        <v>SLBPopulation ages 50-54, female</v>
      </c>
      <c r="C8429" t="s">
        <v>255</v>
      </c>
      <c r="D8429" t="s">
        <v>128</v>
      </c>
      <c r="E8429" t="s">
        <v>382</v>
      </c>
      <c r="F8429" t="s">
        <v>711</v>
      </c>
      <c r="G8429">
        <v>11000</v>
      </c>
      <c r="H8429">
        <v>11000</v>
      </c>
    </row>
    <row r="8430" spans="2:8" x14ac:dyDescent="0.25">
      <c r="B8430" t="str">
        <f t="shared" si="131"/>
        <v>SLBPopulation ages 50-54, male</v>
      </c>
      <c r="C8430" t="s">
        <v>255</v>
      </c>
      <c r="D8430" t="s">
        <v>128</v>
      </c>
      <c r="E8430" t="s">
        <v>383</v>
      </c>
      <c r="F8430" t="s">
        <v>712</v>
      </c>
      <c r="G8430">
        <v>11000</v>
      </c>
      <c r="H8430">
        <v>11000</v>
      </c>
    </row>
    <row r="8431" spans="2:8" x14ac:dyDescent="0.25">
      <c r="B8431" t="str">
        <f t="shared" si="131"/>
        <v>SLBPopulation ages 55-59, male</v>
      </c>
      <c r="C8431" t="s">
        <v>255</v>
      </c>
      <c r="D8431" t="s">
        <v>128</v>
      </c>
      <c r="E8431" t="s">
        <v>385</v>
      </c>
      <c r="F8431" t="s">
        <v>713</v>
      </c>
      <c r="G8431">
        <v>8600</v>
      </c>
      <c r="H8431">
        <v>9000</v>
      </c>
    </row>
    <row r="8432" spans="2:8" x14ac:dyDescent="0.25">
      <c r="B8432" t="str">
        <f t="shared" si="131"/>
        <v>SLBPopulation ages 55-59, female</v>
      </c>
      <c r="C8432" t="s">
        <v>255</v>
      </c>
      <c r="D8432" t="s">
        <v>128</v>
      </c>
      <c r="E8432" t="s">
        <v>384</v>
      </c>
      <c r="F8432" t="s">
        <v>714</v>
      </c>
      <c r="G8432">
        <v>8600</v>
      </c>
      <c r="H8432">
        <v>8900</v>
      </c>
    </row>
    <row r="8433" spans="2:8" x14ac:dyDescent="0.25">
      <c r="B8433" t="str">
        <f t="shared" si="131"/>
        <v>SLBPopulation ages 65-69, male</v>
      </c>
      <c r="C8433" t="s">
        <v>255</v>
      </c>
      <c r="D8433" t="s">
        <v>128</v>
      </c>
      <c r="E8433" t="s">
        <v>389</v>
      </c>
      <c r="F8433" t="s">
        <v>715</v>
      </c>
      <c r="G8433">
        <v>4600</v>
      </c>
      <c r="H8433">
        <v>4700</v>
      </c>
    </row>
    <row r="8434" spans="2:8" x14ac:dyDescent="0.25">
      <c r="B8434" t="str">
        <f t="shared" si="131"/>
        <v>SLBPopulation ages 65-69, female</v>
      </c>
      <c r="C8434" t="s">
        <v>255</v>
      </c>
      <c r="D8434" t="s">
        <v>128</v>
      </c>
      <c r="E8434" t="s">
        <v>388</v>
      </c>
      <c r="F8434" t="s">
        <v>716</v>
      </c>
      <c r="G8434">
        <v>4600</v>
      </c>
      <c r="H8434">
        <v>4800</v>
      </c>
    </row>
    <row r="8435" spans="2:8" x14ac:dyDescent="0.25">
      <c r="B8435" t="str">
        <f t="shared" si="131"/>
        <v>SLBPopulation ages 60-64, female</v>
      </c>
      <c r="C8435" t="s">
        <v>255</v>
      </c>
      <c r="D8435" t="s">
        <v>128</v>
      </c>
      <c r="E8435" t="s">
        <v>386</v>
      </c>
      <c r="F8435" t="s">
        <v>717</v>
      </c>
      <c r="G8435">
        <v>6300</v>
      </c>
      <c r="H8435">
        <v>6700</v>
      </c>
    </row>
    <row r="8436" spans="2:8" x14ac:dyDescent="0.25">
      <c r="B8436" t="str">
        <f t="shared" si="131"/>
        <v>SLBPopulation ages 60-64, male</v>
      </c>
      <c r="C8436" t="s">
        <v>255</v>
      </c>
      <c r="D8436" t="s">
        <v>128</v>
      </c>
      <c r="E8436" t="s">
        <v>387</v>
      </c>
      <c r="F8436" t="s">
        <v>718</v>
      </c>
      <c r="G8436">
        <v>6500</v>
      </c>
      <c r="H8436">
        <v>6800</v>
      </c>
    </row>
    <row r="8437" spans="2:8" x14ac:dyDescent="0.25">
      <c r="B8437" t="str">
        <f t="shared" si="131"/>
        <v>SLBPopulation ages 70-74, female</v>
      </c>
      <c r="C8437" t="s">
        <v>255</v>
      </c>
      <c r="D8437" t="s">
        <v>128</v>
      </c>
      <c r="E8437" t="s">
        <v>390</v>
      </c>
      <c r="F8437" t="s">
        <v>719</v>
      </c>
      <c r="G8437">
        <v>3700</v>
      </c>
      <c r="H8437">
        <v>3800</v>
      </c>
    </row>
    <row r="8438" spans="2:8" x14ac:dyDescent="0.25">
      <c r="B8438" t="str">
        <f t="shared" si="131"/>
        <v>SLBPopulation ages 70-74, male</v>
      </c>
      <c r="C8438" t="s">
        <v>255</v>
      </c>
      <c r="D8438" t="s">
        <v>128</v>
      </c>
      <c r="E8438" t="s">
        <v>391</v>
      </c>
      <c r="F8438" t="s">
        <v>720</v>
      </c>
      <c r="G8438">
        <v>3300</v>
      </c>
      <c r="H8438">
        <v>3400</v>
      </c>
    </row>
    <row r="8439" spans="2:8" x14ac:dyDescent="0.25">
      <c r="B8439" t="str">
        <f t="shared" si="131"/>
        <v>SLBPopulation ages 75-79, female</v>
      </c>
      <c r="C8439" t="s">
        <v>255</v>
      </c>
      <c r="D8439" t="s">
        <v>128</v>
      </c>
      <c r="E8439" t="s">
        <v>392</v>
      </c>
      <c r="F8439" t="s">
        <v>721</v>
      </c>
      <c r="G8439">
        <v>2400</v>
      </c>
      <c r="H8439">
        <v>2500</v>
      </c>
    </row>
    <row r="8440" spans="2:8" x14ac:dyDescent="0.25">
      <c r="B8440" t="str">
        <f t="shared" si="131"/>
        <v>SLBPopulation ages 75-79, male</v>
      </c>
      <c r="C8440" t="s">
        <v>255</v>
      </c>
      <c r="D8440" t="s">
        <v>128</v>
      </c>
      <c r="E8440" t="s">
        <v>393</v>
      </c>
      <c r="F8440" t="s">
        <v>722</v>
      </c>
      <c r="G8440">
        <v>2200</v>
      </c>
      <c r="H8440">
        <v>2300</v>
      </c>
    </row>
    <row r="8441" spans="2:8" x14ac:dyDescent="0.25">
      <c r="B8441" t="str">
        <f t="shared" si="131"/>
        <v>SLBPopulation ages 80 and above, female</v>
      </c>
      <c r="C8441" t="s">
        <v>255</v>
      </c>
      <c r="D8441" t="s">
        <v>128</v>
      </c>
      <c r="E8441" t="s">
        <v>394</v>
      </c>
      <c r="F8441" t="s">
        <v>723</v>
      </c>
      <c r="G8441">
        <v>1900</v>
      </c>
      <c r="H8441">
        <v>1900</v>
      </c>
    </row>
    <row r="8442" spans="2:8" x14ac:dyDescent="0.25">
      <c r="B8442" t="str">
        <f t="shared" si="131"/>
        <v>SLBPopulation ages 80 and above, male</v>
      </c>
      <c r="C8442" t="s">
        <v>255</v>
      </c>
      <c r="D8442" t="s">
        <v>128</v>
      </c>
      <c r="E8442" t="s">
        <v>395</v>
      </c>
      <c r="F8442" t="s">
        <v>724</v>
      </c>
      <c r="G8442">
        <v>1700</v>
      </c>
      <c r="H8442">
        <v>1700</v>
      </c>
    </row>
    <row r="8443" spans="2:8" x14ac:dyDescent="0.25">
      <c r="B8443" t="str">
        <f t="shared" si="131"/>
        <v>SLBPopulation, male</v>
      </c>
      <c r="C8443" t="s">
        <v>255</v>
      </c>
      <c r="D8443" t="s">
        <v>128</v>
      </c>
      <c r="E8443" t="s">
        <v>397</v>
      </c>
      <c r="F8443" t="s">
        <v>725</v>
      </c>
      <c r="G8443">
        <v>341000</v>
      </c>
      <c r="H8443">
        <v>349000</v>
      </c>
    </row>
    <row r="8444" spans="2:8" x14ac:dyDescent="0.25">
      <c r="B8444" t="str">
        <f t="shared" si="131"/>
        <v>SLBPopulation, total</v>
      </c>
      <c r="C8444" t="s">
        <v>255</v>
      </c>
      <c r="D8444" t="s">
        <v>128</v>
      </c>
      <c r="E8444" t="s">
        <v>398</v>
      </c>
      <c r="F8444" t="s">
        <v>726</v>
      </c>
      <c r="G8444">
        <v>670000</v>
      </c>
      <c r="H8444">
        <v>687000</v>
      </c>
    </row>
    <row r="8445" spans="2:8" x14ac:dyDescent="0.25">
      <c r="B8445" t="str">
        <f t="shared" si="131"/>
        <v>SLBPopulation, female</v>
      </c>
      <c r="C8445" t="s">
        <v>255</v>
      </c>
      <c r="D8445" t="s">
        <v>128</v>
      </c>
      <c r="E8445" t="s">
        <v>396</v>
      </c>
      <c r="F8445" t="s">
        <v>727</v>
      </c>
      <c r="G8445">
        <v>329000</v>
      </c>
      <c r="H8445">
        <v>338000</v>
      </c>
    </row>
    <row r="8446" spans="2:8" x14ac:dyDescent="0.25">
      <c r="B8446" t="str">
        <f t="shared" si="131"/>
        <v>SLBPopulation growth (annual %)</v>
      </c>
      <c r="C8446" t="s">
        <v>255</v>
      </c>
      <c r="D8446" t="s">
        <v>128</v>
      </c>
      <c r="E8446" t="s">
        <v>399</v>
      </c>
      <c r="F8446" t="s">
        <v>728</v>
      </c>
      <c r="G8446">
        <v>0</v>
      </c>
      <c r="H8446">
        <v>0</v>
      </c>
    </row>
    <row r="8447" spans="2:8" x14ac:dyDescent="0.25">
      <c r="B8447" t="str">
        <f t="shared" si="131"/>
        <v>SOMPopulation ages 0-14, female</v>
      </c>
      <c r="C8447" t="s">
        <v>232</v>
      </c>
      <c r="D8447" t="s">
        <v>171</v>
      </c>
      <c r="E8447" t="s">
        <v>687</v>
      </c>
      <c r="F8447" t="s">
        <v>688</v>
      </c>
      <c r="G8447">
        <v>3557000</v>
      </c>
      <c r="H8447">
        <v>3643000</v>
      </c>
    </row>
    <row r="8448" spans="2:8" x14ac:dyDescent="0.25">
      <c r="B8448" t="str">
        <f t="shared" si="131"/>
        <v>SOMPopulation ages 0-14, male</v>
      </c>
      <c r="C8448" t="s">
        <v>232</v>
      </c>
      <c r="D8448" t="s">
        <v>171</v>
      </c>
      <c r="E8448" t="s">
        <v>689</v>
      </c>
      <c r="F8448" t="s">
        <v>690</v>
      </c>
      <c r="G8448">
        <v>3605000</v>
      </c>
      <c r="H8448">
        <v>3692000</v>
      </c>
    </row>
    <row r="8449" spans="2:8" x14ac:dyDescent="0.25">
      <c r="B8449" t="str">
        <f t="shared" si="131"/>
        <v>SOMPopulation ages 00-04, female</v>
      </c>
      <c r="C8449" t="s">
        <v>232</v>
      </c>
      <c r="D8449" t="s">
        <v>171</v>
      </c>
      <c r="E8449" t="s">
        <v>362</v>
      </c>
      <c r="F8449" t="s">
        <v>691</v>
      </c>
      <c r="G8449">
        <v>1364000</v>
      </c>
      <c r="H8449">
        <v>1403000</v>
      </c>
    </row>
    <row r="8450" spans="2:8" x14ac:dyDescent="0.25">
      <c r="B8450" t="str">
        <f t="shared" si="131"/>
        <v>SOMPopulation ages 00-04, male</v>
      </c>
      <c r="C8450" t="s">
        <v>232</v>
      </c>
      <c r="D8450" t="s">
        <v>171</v>
      </c>
      <c r="E8450" t="s">
        <v>363</v>
      </c>
      <c r="F8450" t="s">
        <v>692</v>
      </c>
      <c r="G8450">
        <v>1385000</v>
      </c>
      <c r="H8450">
        <v>1424000</v>
      </c>
    </row>
    <row r="8451" spans="2:8" x14ac:dyDescent="0.25">
      <c r="B8451" t="str">
        <f t="shared" si="131"/>
        <v>SOMPopulation ages 05-09, female</v>
      </c>
      <c r="C8451" t="s">
        <v>232</v>
      </c>
      <c r="D8451" t="s">
        <v>171</v>
      </c>
      <c r="E8451" t="s">
        <v>364</v>
      </c>
      <c r="F8451" t="s">
        <v>693</v>
      </c>
      <c r="G8451">
        <v>1165000</v>
      </c>
      <c r="H8451">
        <v>1187000</v>
      </c>
    </row>
    <row r="8452" spans="2:8" x14ac:dyDescent="0.25">
      <c r="B8452" t="str">
        <f t="shared" si="131"/>
        <v>SOMPopulation ages 05-09, male</v>
      </c>
      <c r="C8452" t="s">
        <v>232</v>
      </c>
      <c r="D8452" t="s">
        <v>171</v>
      </c>
      <c r="E8452" t="s">
        <v>365</v>
      </c>
      <c r="F8452" t="s">
        <v>694</v>
      </c>
      <c r="G8452">
        <v>1180000</v>
      </c>
      <c r="H8452">
        <v>1202000</v>
      </c>
    </row>
    <row r="8453" spans="2:8" x14ac:dyDescent="0.25">
      <c r="B8453" t="str">
        <f t="shared" si="131"/>
        <v>SOMPopulation ages 10-14, female</v>
      </c>
      <c r="C8453" t="s">
        <v>232</v>
      </c>
      <c r="D8453" t="s">
        <v>171</v>
      </c>
      <c r="E8453" t="s">
        <v>366</v>
      </c>
      <c r="F8453" t="s">
        <v>695</v>
      </c>
      <c r="G8453">
        <v>1029000</v>
      </c>
      <c r="H8453">
        <v>1054000</v>
      </c>
    </row>
    <row r="8454" spans="2:8" x14ac:dyDescent="0.25">
      <c r="B8454" t="str">
        <f t="shared" si="131"/>
        <v>SOMPopulation ages 10-14, male</v>
      </c>
      <c r="C8454" t="s">
        <v>232</v>
      </c>
      <c r="D8454" t="s">
        <v>171</v>
      </c>
      <c r="E8454" t="s">
        <v>367</v>
      </c>
      <c r="F8454" t="s">
        <v>696</v>
      </c>
      <c r="G8454">
        <v>1040000</v>
      </c>
      <c r="H8454">
        <v>1066000</v>
      </c>
    </row>
    <row r="8455" spans="2:8" x14ac:dyDescent="0.25">
      <c r="B8455" t="str">
        <f t="shared" ref="B8455:B8518" si="132">CONCATENATE(D8455,E8455)</f>
        <v>SOMPopulation ages 15-19, female</v>
      </c>
      <c r="C8455" t="s">
        <v>232</v>
      </c>
      <c r="D8455" t="s">
        <v>171</v>
      </c>
      <c r="E8455" t="s">
        <v>368</v>
      </c>
      <c r="F8455" t="s">
        <v>697</v>
      </c>
      <c r="G8455">
        <v>882000</v>
      </c>
      <c r="H8455">
        <v>906000</v>
      </c>
    </row>
    <row r="8456" spans="2:8" x14ac:dyDescent="0.25">
      <c r="B8456" t="str">
        <f t="shared" si="132"/>
        <v>SOMPopulation ages 15-19, male</v>
      </c>
      <c r="C8456" t="s">
        <v>232</v>
      </c>
      <c r="D8456" t="s">
        <v>171</v>
      </c>
      <c r="E8456" t="s">
        <v>369</v>
      </c>
      <c r="F8456" t="s">
        <v>698</v>
      </c>
      <c r="G8456">
        <v>888000</v>
      </c>
      <c r="H8456">
        <v>913000</v>
      </c>
    </row>
    <row r="8457" spans="2:8" x14ac:dyDescent="0.25">
      <c r="B8457" t="str">
        <f t="shared" si="132"/>
        <v>SOMPopulation ages 20-24, female</v>
      </c>
      <c r="C8457" t="s">
        <v>232</v>
      </c>
      <c r="D8457" t="s">
        <v>171</v>
      </c>
      <c r="E8457" t="s">
        <v>370</v>
      </c>
      <c r="F8457" t="s">
        <v>699</v>
      </c>
      <c r="G8457">
        <v>737000</v>
      </c>
      <c r="H8457">
        <v>766000</v>
      </c>
    </row>
    <row r="8458" spans="2:8" x14ac:dyDescent="0.25">
      <c r="B8458" t="str">
        <f t="shared" si="132"/>
        <v>SOMPopulation ages 20-24, male</v>
      </c>
      <c r="C8458" t="s">
        <v>232</v>
      </c>
      <c r="D8458" t="s">
        <v>171</v>
      </c>
      <c r="E8458" t="s">
        <v>371</v>
      </c>
      <c r="F8458" t="s">
        <v>700</v>
      </c>
      <c r="G8458">
        <v>739000</v>
      </c>
      <c r="H8458">
        <v>768000</v>
      </c>
    </row>
    <row r="8459" spans="2:8" x14ac:dyDescent="0.25">
      <c r="B8459" t="str">
        <f t="shared" si="132"/>
        <v>SOMPopulation ages 25-29, female</v>
      </c>
      <c r="C8459" t="s">
        <v>232</v>
      </c>
      <c r="D8459" t="s">
        <v>171</v>
      </c>
      <c r="E8459" t="s">
        <v>372</v>
      </c>
      <c r="F8459" t="s">
        <v>701</v>
      </c>
      <c r="G8459">
        <v>555000</v>
      </c>
      <c r="H8459">
        <v>583000</v>
      </c>
    </row>
    <row r="8460" spans="2:8" x14ac:dyDescent="0.25">
      <c r="B8460" t="str">
        <f t="shared" si="132"/>
        <v>SOMPopulation ages 25-29, male</v>
      </c>
      <c r="C8460" t="s">
        <v>232</v>
      </c>
      <c r="D8460" t="s">
        <v>171</v>
      </c>
      <c r="E8460" t="s">
        <v>373</v>
      </c>
      <c r="F8460" t="s">
        <v>702</v>
      </c>
      <c r="G8460">
        <v>550000</v>
      </c>
      <c r="H8460">
        <v>577000</v>
      </c>
    </row>
    <row r="8461" spans="2:8" x14ac:dyDescent="0.25">
      <c r="B8461" t="str">
        <f t="shared" si="132"/>
        <v>SOMPopulation ages 30-34, female</v>
      </c>
      <c r="C8461" t="s">
        <v>232</v>
      </c>
      <c r="D8461" t="s">
        <v>171</v>
      </c>
      <c r="E8461" t="s">
        <v>374</v>
      </c>
      <c r="F8461" t="s">
        <v>703</v>
      </c>
      <c r="G8461">
        <v>419000</v>
      </c>
      <c r="H8461">
        <v>438000</v>
      </c>
    </row>
    <row r="8462" spans="2:8" x14ac:dyDescent="0.25">
      <c r="B8462" t="str">
        <f t="shared" si="132"/>
        <v>SOMPopulation ages 30-34, male</v>
      </c>
      <c r="C8462" t="s">
        <v>232</v>
      </c>
      <c r="D8462" t="s">
        <v>171</v>
      </c>
      <c r="E8462" t="s">
        <v>375</v>
      </c>
      <c r="F8462" t="s">
        <v>704</v>
      </c>
      <c r="G8462">
        <v>412000</v>
      </c>
      <c r="H8462">
        <v>430000</v>
      </c>
    </row>
    <row r="8463" spans="2:8" x14ac:dyDescent="0.25">
      <c r="B8463" t="str">
        <f t="shared" si="132"/>
        <v>SOMPopulation ages 35-39, female</v>
      </c>
      <c r="C8463" t="s">
        <v>232</v>
      </c>
      <c r="D8463" t="s">
        <v>171</v>
      </c>
      <c r="E8463" t="s">
        <v>376</v>
      </c>
      <c r="F8463" t="s">
        <v>705</v>
      </c>
      <c r="G8463">
        <v>329000</v>
      </c>
      <c r="H8463">
        <v>339000</v>
      </c>
    </row>
    <row r="8464" spans="2:8" x14ac:dyDescent="0.25">
      <c r="B8464" t="str">
        <f t="shared" si="132"/>
        <v>SOMPopulation ages 35-39, male</v>
      </c>
      <c r="C8464" t="s">
        <v>232</v>
      </c>
      <c r="D8464" t="s">
        <v>171</v>
      </c>
      <c r="E8464" t="s">
        <v>377</v>
      </c>
      <c r="F8464" t="s">
        <v>706</v>
      </c>
      <c r="G8464">
        <v>317000</v>
      </c>
      <c r="H8464">
        <v>327000</v>
      </c>
    </row>
    <row r="8465" spans="2:8" x14ac:dyDescent="0.25">
      <c r="B8465" t="str">
        <f t="shared" si="132"/>
        <v>SOMPopulation ages 40-44, female</v>
      </c>
      <c r="C8465" t="s">
        <v>232</v>
      </c>
      <c r="D8465" t="s">
        <v>171</v>
      </c>
      <c r="E8465" t="s">
        <v>378</v>
      </c>
      <c r="F8465" t="s">
        <v>707</v>
      </c>
      <c r="G8465">
        <v>284000</v>
      </c>
      <c r="H8465">
        <v>288000</v>
      </c>
    </row>
    <row r="8466" spans="2:8" x14ac:dyDescent="0.25">
      <c r="B8466" t="str">
        <f t="shared" si="132"/>
        <v>SOMPopulation ages 40-44, male</v>
      </c>
      <c r="C8466" t="s">
        <v>232</v>
      </c>
      <c r="D8466" t="s">
        <v>171</v>
      </c>
      <c r="E8466" t="s">
        <v>379</v>
      </c>
      <c r="F8466" t="s">
        <v>708</v>
      </c>
      <c r="G8466">
        <v>269000</v>
      </c>
      <c r="H8466">
        <v>273000</v>
      </c>
    </row>
    <row r="8467" spans="2:8" x14ac:dyDescent="0.25">
      <c r="B8467" t="str">
        <f t="shared" si="132"/>
        <v>SOMPopulation ages 45-49, female</v>
      </c>
      <c r="C8467" t="s">
        <v>232</v>
      </c>
      <c r="D8467" t="s">
        <v>171</v>
      </c>
      <c r="E8467" t="s">
        <v>380</v>
      </c>
      <c r="F8467" t="s">
        <v>709</v>
      </c>
      <c r="G8467">
        <v>251000</v>
      </c>
      <c r="H8467">
        <v>256000</v>
      </c>
    </row>
    <row r="8468" spans="2:8" x14ac:dyDescent="0.25">
      <c r="B8468" t="str">
        <f t="shared" si="132"/>
        <v>SOMPopulation ages 45-49, male</v>
      </c>
      <c r="C8468" t="s">
        <v>232</v>
      </c>
      <c r="D8468" t="s">
        <v>171</v>
      </c>
      <c r="E8468" t="s">
        <v>381</v>
      </c>
      <c r="F8468" t="s">
        <v>710</v>
      </c>
      <c r="G8468">
        <v>233000</v>
      </c>
      <c r="H8468">
        <v>237000</v>
      </c>
    </row>
    <row r="8469" spans="2:8" x14ac:dyDescent="0.25">
      <c r="B8469" t="str">
        <f t="shared" si="132"/>
        <v>SOMPopulation ages 50-54, female</v>
      </c>
      <c r="C8469" t="s">
        <v>232</v>
      </c>
      <c r="D8469" t="s">
        <v>171</v>
      </c>
      <c r="E8469" t="s">
        <v>382</v>
      </c>
      <c r="F8469" t="s">
        <v>711</v>
      </c>
      <c r="G8469">
        <v>205000</v>
      </c>
      <c r="H8469">
        <v>212000</v>
      </c>
    </row>
    <row r="8470" spans="2:8" x14ac:dyDescent="0.25">
      <c r="B8470" t="str">
        <f t="shared" si="132"/>
        <v>SOMPopulation ages 50-54, male</v>
      </c>
      <c r="C8470" t="s">
        <v>232</v>
      </c>
      <c r="D8470" t="s">
        <v>171</v>
      </c>
      <c r="E8470" t="s">
        <v>383</v>
      </c>
      <c r="F8470" t="s">
        <v>712</v>
      </c>
      <c r="G8470">
        <v>190000</v>
      </c>
      <c r="H8470">
        <v>195000</v>
      </c>
    </row>
    <row r="8471" spans="2:8" x14ac:dyDescent="0.25">
      <c r="B8471" t="str">
        <f t="shared" si="132"/>
        <v>SOMPopulation ages 55-59, male</v>
      </c>
      <c r="C8471" t="s">
        <v>232</v>
      </c>
      <c r="D8471" t="s">
        <v>171</v>
      </c>
      <c r="E8471" t="s">
        <v>385</v>
      </c>
      <c r="F8471" t="s">
        <v>713</v>
      </c>
      <c r="G8471">
        <v>156000</v>
      </c>
      <c r="H8471">
        <v>159000</v>
      </c>
    </row>
    <row r="8472" spans="2:8" x14ac:dyDescent="0.25">
      <c r="B8472" t="str">
        <f t="shared" si="132"/>
        <v>SOMPopulation ages 55-59, female</v>
      </c>
      <c r="C8472" t="s">
        <v>232</v>
      </c>
      <c r="D8472" t="s">
        <v>171</v>
      </c>
      <c r="E8472" t="s">
        <v>384</v>
      </c>
      <c r="F8472" t="s">
        <v>714</v>
      </c>
      <c r="G8472">
        <v>162000</v>
      </c>
      <c r="H8472">
        <v>168000</v>
      </c>
    </row>
    <row r="8473" spans="2:8" x14ac:dyDescent="0.25">
      <c r="B8473" t="str">
        <f t="shared" si="132"/>
        <v>SOMPopulation ages 65-69, male</v>
      </c>
      <c r="C8473" t="s">
        <v>232</v>
      </c>
      <c r="D8473" t="s">
        <v>171</v>
      </c>
      <c r="E8473" t="s">
        <v>389</v>
      </c>
      <c r="F8473" t="s">
        <v>715</v>
      </c>
      <c r="G8473">
        <v>96000</v>
      </c>
      <c r="H8473">
        <v>99000</v>
      </c>
    </row>
    <row r="8474" spans="2:8" x14ac:dyDescent="0.25">
      <c r="B8474" t="str">
        <f t="shared" si="132"/>
        <v>SOMPopulation ages 65-69, female</v>
      </c>
      <c r="C8474" t="s">
        <v>232</v>
      </c>
      <c r="D8474" t="s">
        <v>171</v>
      </c>
      <c r="E8474" t="s">
        <v>388</v>
      </c>
      <c r="F8474" t="s">
        <v>716</v>
      </c>
      <c r="G8474">
        <v>98000</v>
      </c>
      <c r="H8474">
        <v>101000</v>
      </c>
    </row>
    <row r="8475" spans="2:8" x14ac:dyDescent="0.25">
      <c r="B8475" t="str">
        <f t="shared" si="132"/>
        <v>SOMPopulation ages 60-64, female</v>
      </c>
      <c r="C8475" t="s">
        <v>232</v>
      </c>
      <c r="D8475" t="s">
        <v>171</v>
      </c>
      <c r="E8475" t="s">
        <v>386</v>
      </c>
      <c r="F8475" t="s">
        <v>717</v>
      </c>
      <c r="G8475">
        <v>129000</v>
      </c>
      <c r="H8475">
        <v>132000</v>
      </c>
    </row>
    <row r="8476" spans="2:8" x14ac:dyDescent="0.25">
      <c r="B8476" t="str">
        <f t="shared" si="132"/>
        <v>SOMPopulation ages 60-64, male</v>
      </c>
      <c r="C8476" t="s">
        <v>232</v>
      </c>
      <c r="D8476" t="s">
        <v>171</v>
      </c>
      <c r="E8476" t="s">
        <v>387</v>
      </c>
      <c r="F8476" t="s">
        <v>718</v>
      </c>
      <c r="G8476">
        <v>128000</v>
      </c>
      <c r="H8476">
        <v>130000</v>
      </c>
    </row>
    <row r="8477" spans="2:8" x14ac:dyDescent="0.25">
      <c r="B8477" t="str">
        <f t="shared" si="132"/>
        <v>SOMPopulation ages 70-74, female</v>
      </c>
      <c r="C8477" t="s">
        <v>232</v>
      </c>
      <c r="D8477" t="s">
        <v>171</v>
      </c>
      <c r="E8477" t="s">
        <v>390</v>
      </c>
      <c r="F8477" t="s">
        <v>719</v>
      </c>
      <c r="G8477">
        <v>66000</v>
      </c>
      <c r="H8477">
        <v>69000</v>
      </c>
    </row>
    <row r="8478" spans="2:8" x14ac:dyDescent="0.25">
      <c r="B8478" t="str">
        <f t="shared" si="132"/>
        <v>SOMPopulation ages 70-74, male</v>
      </c>
      <c r="C8478" t="s">
        <v>232</v>
      </c>
      <c r="D8478" t="s">
        <v>171</v>
      </c>
      <c r="E8478" t="s">
        <v>391</v>
      </c>
      <c r="F8478" t="s">
        <v>720</v>
      </c>
      <c r="G8478">
        <v>63000</v>
      </c>
      <c r="H8478">
        <v>66000</v>
      </c>
    </row>
    <row r="8479" spans="2:8" x14ac:dyDescent="0.25">
      <c r="B8479" t="str">
        <f t="shared" si="132"/>
        <v>SOMPopulation ages 75-79, female</v>
      </c>
      <c r="C8479" t="s">
        <v>232</v>
      </c>
      <c r="D8479" t="s">
        <v>171</v>
      </c>
      <c r="E8479" t="s">
        <v>392</v>
      </c>
      <c r="F8479" t="s">
        <v>721</v>
      </c>
      <c r="G8479">
        <v>39000</v>
      </c>
      <c r="H8479">
        <v>40000</v>
      </c>
    </row>
    <row r="8480" spans="2:8" x14ac:dyDescent="0.25">
      <c r="B8480" t="str">
        <f t="shared" si="132"/>
        <v>SOMPopulation ages 75-79, male</v>
      </c>
      <c r="C8480" t="s">
        <v>232</v>
      </c>
      <c r="D8480" t="s">
        <v>171</v>
      </c>
      <c r="E8480" t="s">
        <v>393</v>
      </c>
      <c r="F8480" t="s">
        <v>722</v>
      </c>
      <c r="G8480">
        <v>34000</v>
      </c>
      <c r="H8480">
        <v>35000</v>
      </c>
    </row>
    <row r="8481" spans="2:8" x14ac:dyDescent="0.25">
      <c r="B8481" t="str">
        <f t="shared" si="132"/>
        <v>SOMPopulation ages 80 and above, female</v>
      </c>
      <c r="C8481" t="s">
        <v>232</v>
      </c>
      <c r="D8481" t="s">
        <v>171</v>
      </c>
      <c r="E8481" t="s">
        <v>394</v>
      </c>
      <c r="F8481" t="s">
        <v>723</v>
      </c>
      <c r="G8481">
        <v>29000</v>
      </c>
      <c r="H8481">
        <v>29000</v>
      </c>
    </row>
    <row r="8482" spans="2:8" x14ac:dyDescent="0.25">
      <c r="B8482" t="str">
        <f t="shared" si="132"/>
        <v>SOMPopulation ages 80 and above, male</v>
      </c>
      <c r="C8482" t="s">
        <v>232</v>
      </c>
      <c r="D8482" t="s">
        <v>171</v>
      </c>
      <c r="E8482" t="s">
        <v>395</v>
      </c>
      <c r="F8482" t="s">
        <v>724</v>
      </c>
      <c r="G8482">
        <v>22000</v>
      </c>
      <c r="H8482">
        <v>22000</v>
      </c>
    </row>
    <row r="8483" spans="2:8" x14ac:dyDescent="0.25">
      <c r="B8483" t="str">
        <f t="shared" si="132"/>
        <v>SOMPopulation, male</v>
      </c>
      <c r="C8483" t="s">
        <v>232</v>
      </c>
      <c r="D8483" t="s">
        <v>171</v>
      </c>
      <c r="E8483" t="s">
        <v>397</v>
      </c>
      <c r="F8483" t="s">
        <v>725</v>
      </c>
      <c r="G8483">
        <v>7700000</v>
      </c>
      <c r="H8483">
        <v>7924000</v>
      </c>
    </row>
    <row r="8484" spans="2:8" x14ac:dyDescent="0.25">
      <c r="B8484" t="str">
        <f t="shared" si="132"/>
        <v>SOMPopulation, total</v>
      </c>
      <c r="C8484" t="s">
        <v>232</v>
      </c>
      <c r="D8484" t="s">
        <v>171</v>
      </c>
      <c r="E8484" t="s">
        <v>398</v>
      </c>
      <c r="F8484" t="s">
        <v>726</v>
      </c>
      <c r="G8484">
        <v>15443000</v>
      </c>
      <c r="H8484">
        <v>15893000</v>
      </c>
    </row>
    <row r="8485" spans="2:8" x14ac:dyDescent="0.25">
      <c r="B8485" t="str">
        <f t="shared" si="132"/>
        <v>SOMPopulation, female</v>
      </c>
      <c r="C8485" t="s">
        <v>232</v>
      </c>
      <c r="D8485" t="s">
        <v>171</v>
      </c>
      <c r="E8485" t="s">
        <v>396</v>
      </c>
      <c r="F8485" t="s">
        <v>727</v>
      </c>
      <c r="G8485">
        <v>7743000</v>
      </c>
      <c r="H8485">
        <v>7969000</v>
      </c>
    </row>
    <row r="8486" spans="2:8" x14ac:dyDescent="0.25">
      <c r="B8486" t="str">
        <f t="shared" si="132"/>
        <v>SOMPopulation growth (annual %)</v>
      </c>
      <c r="C8486" t="s">
        <v>232</v>
      </c>
      <c r="D8486" t="s">
        <v>171</v>
      </c>
      <c r="E8486" t="s">
        <v>399</v>
      </c>
      <c r="F8486" t="s">
        <v>728</v>
      </c>
      <c r="G8486">
        <v>0</v>
      </c>
      <c r="H8486">
        <v>0</v>
      </c>
    </row>
    <row r="8487" spans="2:8" x14ac:dyDescent="0.25">
      <c r="B8487" t="str">
        <f t="shared" si="132"/>
        <v>ZAFPopulation ages 0-14, female</v>
      </c>
      <c r="C8487" t="s">
        <v>178</v>
      </c>
      <c r="D8487" t="s">
        <v>154</v>
      </c>
      <c r="E8487" t="s">
        <v>687</v>
      </c>
      <c r="F8487" t="s">
        <v>688</v>
      </c>
      <c r="G8487">
        <v>8386000</v>
      </c>
      <c r="H8487">
        <v>8445000</v>
      </c>
    </row>
    <row r="8488" spans="2:8" x14ac:dyDescent="0.25">
      <c r="B8488" t="str">
        <f t="shared" si="132"/>
        <v>ZAFPopulation ages 0-14, male</v>
      </c>
      <c r="C8488" t="s">
        <v>178</v>
      </c>
      <c r="D8488" t="s">
        <v>154</v>
      </c>
      <c r="E8488" t="s">
        <v>689</v>
      </c>
      <c r="F8488" t="s">
        <v>690</v>
      </c>
      <c r="G8488">
        <v>8577000</v>
      </c>
      <c r="H8488">
        <v>8637000</v>
      </c>
    </row>
    <row r="8489" spans="2:8" x14ac:dyDescent="0.25">
      <c r="B8489" t="str">
        <f t="shared" si="132"/>
        <v>ZAFPopulation ages 00-04, female</v>
      </c>
      <c r="C8489" t="s">
        <v>178</v>
      </c>
      <c r="D8489" t="s">
        <v>154</v>
      </c>
      <c r="E8489" t="s">
        <v>362</v>
      </c>
      <c r="F8489" t="s">
        <v>691</v>
      </c>
      <c r="G8489">
        <v>2856000</v>
      </c>
      <c r="H8489">
        <v>2846000</v>
      </c>
    </row>
    <row r="8490" spans="2:8" x14ac:dyDescent="0.25">
      <c r="B8490" t="str">
        <f t="shared" si="132"/>
        <v>ZAFPopulation ages 00-04, male</v>
      </c>
      <c r="C8490" t="s">
        <v>178</v>
      </c>
      <c r="D8490" t="s">
        <v>154</v>
      </c>
      <c r="E8490" t="s">
        <v>363</v>
      </c>
      <c r="F8490" t="s">
        <v>692</v>
      </c>
      <c r="G8490">
        <v>2930000</v>
      </c>
      <c r="H8490">
        <v>2919000</v>
      </c>
    </row>
    <row r="8491" spans="2:8" x14ac:dyDescent="0.25">
      <c r="B8491" t="str">
        <f t="shared" si="132"/>
        <v>ZAFPopulation ages 05-09, female</v>
      </c>
      <c r="C8491" t="s">
        <v>178</v>
      </c>
      <c r="D8491" t="s">
        <v>154</v>
      </c>
      <c r="E8491" t="s">
        <v>364</v>
      </c>
      <c r="F8491" t="s">
        <v>693</v>
      </c>
      <c r="G8491">
        <v>2865000</v>
      </c>
      <c r="H8491">
        <v>2877000</v>
      </c>
    </row>
    <row r="8492" spans="2:8" x14ac:dyDescent="0.25">
      <c r="B8492" t="str">
        <f t="shared" si="132"/>
        <v>ZAFPopulation ages 05-09, male</v>
      </c>
      <c r="C8492" t="s">
        <v>178</v>
      </c>
      <c r="D8492" t="s">
        <v>154</v>
      </c>
      <c r="E8492" t="s">
        <v>365</v>
      </c>
      <c r="F8492" t="s">
        <v>694</v>
      </c>
      <c r="G8492">
        <v>2931000</v>
      </c>
      <c r="H8492">
        <v>2943000</v>
      </c>
    </row>
    <row r="8493" spans="2:8" x14ac:dyDescent="0.25">
      <c r="B8493" t="str">
        <f t="shared" si="132"/>
        <v>ZAFPopulation ages 10-14, female</v>
      </c>
      <c r="C8493" t="s">
        <v>178</v>
      </c>
      <c r="D8493" t="s">
        <v>154</v>
      </c>
      <c r="E8493" t="s">
        <v>366</v>
      </c>
      <c r="F8493" t="s">
        <v>695</v>
      </c>
      <c r="G8493">
        <v>2666000</v>
      </c>
      <c r="H8493">
        <v>2721000</v>
      </c>
    </row>
    <row r="8494" spans="2:8" x14ac:dyDescent="0.25">
      <c r="B8494" t="str">
        <f t="shared" si="132"/>
        <v>ZAFPopulation ages 10-14, male</v>
      </c>
      <c r="C8494" t="s">
        <v>178</v>
      </c>
      <c r="D8494" t="s">
        <v>154</v>
      </c>
      <c r="E8494" t="s">
        <v>367</v>
      </c>
      <c r="F8494" t="s">
        <v>696</v>
      </c>
      <c r="G8494">
        <v>2716000</v>
      </c>
      <c r="H8494">
        <v>2775000</v>
      </c>
    </row>
    <row r="8495" spans="2:8" x14ac:dyDescent="0.25">
      <c r="B8495" t="str">
        <f t="shared" si="132"/>
        <v>ZAFPopulation ages 15-19, female</v>
      </c>
      <c r="C8495" t="s">
        <v>178</v>
      </c>
      <c r="D8495" t="s">
        <v>154</v>
      </c>
      <c r="E8495" t="s">
        <v>368</v>
      </c>
      <c r="F8495" t="s">
        <v>697</v>
      </c>
      <c r="G8495">
        <v>2414000</v>
      </c>
      <c r="H8495">
        <v>2441000</v>
      </c>
    </row>
    <row r="8496" spans="2:8" x14ac:dyDescent="0.25">
      <c r="B8496" t="str">
        <f t="shared" si="132"/>
        <v>ZAFPopulation ages 15-19, male</v>
      </c>
      <c r="C8496" t="s">
        <v>178</v>
      </c>
      <c r="D8496" t="s">
        <v>154</v>
      </c>
      <c r="E8496" t="s">
        <v>369</v>
      </c>
      <c r="F8496" t="s">
        <v>698</v>
      </c>
      <c r="G8496">
        <v>2445000</v>
      </c>
      <c r="H8496">
        <v>2472000</v>
      </c>
    </row>
    <row r="8497" spans="2:8" x14ac:dyDescent="0.25">
      <c r="B8497" t="str">
        <f t="shared" si="132"/>
        <v>ZAFPopulation ages 20-24, female</v>
      </c>
      <c r="C8497" t="s">
        <v>178</v>
      </c>
      <c r="D8497" t="s">
        <v>154</v>
      </c>
      <c r="E8497" t="s">
        <v>370</v>
      </c>
      <c r="F8497" t="s">
        <v>699</v>
      </c>
      <c r="G8497">
        <v>2464000</v>
      </c>
      <c r="H8497">
        <v>2447000</v>
      </c>
    </row>
    <row r="8498" spans="2:8" x14ac:dyDescent="0.25">
      <c r="B8498" t="str">
        <f t="shared" si="132"/>
        <v>ZAFPopulation ages 20-24, male</v>
      </c>
      <c r="C8498" t="s">
        <v>178</v>
      </c>
      <c r="D8498" t="s">
        <v>154</v>
      </c>
      <c r="E8498" t="s">
        <v>371</v>
      </c>
      <c r="F8498" t="s">
        <v>700</v>
      </c>
      <c r="G8498">
        <v>2497000</v>
      </c>
      <c r="H8498">
        <v>2477000</v>
      </c>
    </row>
    <row r="8499" spans="2:8" x14ac:dyDescent="0.25">
      <c r="B8499" t="str">
        <f t="shared" si="132"/>
        <v>ZAFPopulation ages 25-29, female</v>
      </c>
      <c r="C8499" t="s">
        <v>178</v>
      </c>
      <c r="D8499" t="s">
        <v>154</v>
      </c>
      <c r="E8499" t="s">
        <v>372</v>
      </c>
      <c r="F8499" t="s">
        <v>701</v>
      </c>
      <c r="G8499">
        <v>2614000</v>
      </c>
      <c r="H8499">
        <v>2589000</v>
      </c>
    </row>
    <row r="8500" spans="2:8" x14ac:dyDescent="0.25">
      <c r="B8500" t="str">
        <f t="shared" si="132"/>
        <v>ZAFPopulation ages 25-29, male</v>
      </c>
      <c r="C8500" t="s">
        <v>178</v>
      </c>
      <c r="D8500" t="s">
        <v>154</v>
      </c>
      <c r="E8500" t="s">
        <v>373</v>
      </c>
      <c r="F8500" t="s">
        <v>702</v>
      </c>
      <c r="G8500">
        <v>2658000</v>
      </c>
      <c r="H8500">
        <v>2629000</v>
      </c>
    </row>
    <row r="8501" spans="2:8" x14ac:dyDescent="0.25">
      <c r="B8501" t="str">
        <f t="shared" si="132"/>
        <v>ZAFPopulation ages 30-34, female</v>
      </c>
      <c r="C8501" t="s">
        <v>178</v>
      </c>
      <c r="D8501" t="s">
        <v>154</v>
      </c>
      <c r="E8501" t="s">
        <v>374</v>
      </c>
      <c r="F8501" t="s">
        <v>703</v>
      </c>
      <c r="G8501">
        <v>2639000</v>
      </c>
      <c r="H8501">
        <v>2664000</v>
      </c>
    </row>
    <row r="8502" spans="2:8" x14ac:dyDescent="0.25">
      <c r="B8502" t="str">
        <f t="shared" si="132"/>
        <v>ZAFPopulation ages 30-34, male</v>
      </c>
      <c r="C8502" t="s">
        <v>178</v>
      </c>
      <c r="D8502" t="s">
        <v>154</v>
      </c>
      <c r="E8502" t="s">
        <v>375</v>
      </c>
      <c r="F8502" t="s">
        <v>704</v>
      </c>
      <c r="G8502">
        <v>2686000</v>
      </c>
      <c r="H8502">
        <v>2710000</v>
      </c>
    </row>
    <row r="8503" spans="2:8" x14ac:dyDescent="0.25">
      <c r="B8503" t="str">
        <f t="shared" si="132"/>
        <v>ZAFPopulation ages 35-39, female</v>
      </c>
      <c r="C8503" t="s">
        <v>178</v>
      </c>
      <c r="D8503" t="s">
        <v>154</v>
      </c>
      <c r="E8503" t="s">
        <v>376</v>
      </c>
      <c r="F8503" t="s">
        <v>705</v>
      </c>
      <c r="G8503">
        <v>2297000</v>
      </c>
      <c r="H8503">
        <v>2378000</v>
      </c>
    </row>
    <row r="8504" spans="2:8" x14ac:dyDescent="0.25">
      <c r="B8504" t="str">
        <f t="shared" si="132"/>
        <v>ZAFPopulation ages 35-39, male</v>
      </c>
      <c r="C8504" t="s">
        <v>178</v>
      </c>
      <c r="D8504" t="s">
        <v>154</v>
      </c>
      <c r="E8504" t="s">
        <v>377</v>
      </c>
      <c r="F8504" t="s">
        <v>706</v>
      </c>
      <c r="G8504">
        <v>2320000</v>
      </c>
      <c r="H8504">
        <v>2404000</v>
      </c>
    </row>
    <row r="8505" spans="2:8" x14ac:dyDescent="0.25">
      <c r="B8505" t="str">
        <f t="shared" si="132"/>
        <v>ZAFPopulation ages 40-44, female</v>
      </c>
      <c r="C8505" t="s">
        <v>178</v>
      </c>
      <c r="D8505" t="s">
        <v>154</v>
      </c>
      <c r="E8505" t="s">
        <v>378</v>
      </c>
      <c r="F8505" t="s">
        <v>707</v>
      </c>
      <c r="G8505">
        <v>1859000</v>
      </c>
      <c r="H8505">
        <v>1917000</v>
      </c>
    </row>
    <row r="8506" spans="2:8" x14ac:dyDescent="0.25">
      <c r="B8506" t="str">
        <f t="shared" si="132"/>
        <v>ZAFPopulation ages 40-44, male</v>
      </c>
      <c r="C8506" t="s">
        <v>178</v>
      </c>
      <c r="D8506" t="s">
        <v>154</v>
      </c>
      <c r="E8506" t="s">
        <v>379</v>
      </c>
      <c r="F8506" t="s">
        <v>708</v>
      </c>
      <c r="G8506">
        <v>1830000</v>
      </c>
      <c r="H8506">
        <v>1893000</v>
      </c>
    </row>
    <row r="8507" spans="2:8" x14ac:dyDescent="0.25">
      <c r="B8507" t="str">
        <f t="shared" si="132"/>
        <v>ZAFPopulation ages 45-49, female</v>
      </c>
      <c r="C8507" t="s">
        <v>178</v>
      </c>
      <c r="D8507" t="s">
        <v>154</v>
      </c>
      <c r="E8507" t="s">
        <v>380</v>
      </c>
      <c r="F8507" t="s">
        <v>709</v>
      </c>
      <c r="G8507">
        <v>1617000</v>
      </c>
      <c r="H8507">
        <v>1655000</v>
      </c>
    </row>
    <row r="8508" spans="2:8" x14ac:dyDescent="0.25">
      <c r="B8508" t="str">
        <f t="shared" si="132"/>
        <v>ZAFPopulation ages 45-49, male</v>
      </c>
      <c r="C8508" t="s">
        <v>178</v>
      </c>
      <c r="D8508" t="s">
        <v>154</v>
      </c>
      <c r="E8508" t="s">
        <v>381</v>
      </c>
      <c r="F8508" t="s">
        <v>710</v>
      </c>
      <c r="G8508">
        <v>1540000</v>
      </c>
      <c r="H8508">
        <v>1578000</v>
      </c>
    </row>
    <row r="8509" spans="2:8" x14ac:dyDescent="0.25">
      <c r="B8509" t="str">
        <f t="shared" si="132"/>
        <v>ZAFPopulation ages 50-54, female</v>
      </c>
      <c r="C8509" t="s">
        <v>178</v>
      </c>
      <c r="D8509" t="s">
        <v>154</v>
      </c>
      <c r="E8509" t="s">
        <v>382</v>
      </c>
      <c r="F8509" t="s">
        <v>711</v>
      </c>
      <c r="G8509">
        <v>1367000</v>
      </c>
      <c r="H8509">
        <v>1401000</v>
      </c>
    </row>
    <row r="8510" spans="2:8" x14ac:dyDescent="0.25">
      <c r="B8510" t="str">
        <f t="shared" si="132"/>
        <v>ZAFPopulation ages 50-54, male</v>
      </c>
      <c r="C8510" t="s">
        <v>178</v>
      </c>
      <c r="D8510" t="s">
        <v>154</v>
      </c>
      <c r="E8510" t="s">
        <v>383</v>
      </c>
      <c r="F8510" t="s">
        <v>712</v>
      </c>
      <c r="G8510">
        <v>1259000</v>
      </c>
      <c r="H8510">
        <v>1291000</v>
      </c>
    </row>
    <row r="8511" spans="2:8" x14ac:dyDescent="0.25">
      <c r="B8511" t="str">
        <f t="shared" si="132"/>
        <v>ZAFPopulation ages 55-59, male</v>
      </c>
      <c r="C8511" t="s">
        <v>178</v>
      </c>
      <c r="D8511" t="s">
        <v>154</v>
      </c>
      <c r="E8511" t="s">
        <v>385</v>
      </c>
      <c r="F8511" t="s">
        <v>713</v>
      </c>
      <c r="G8511">
        <v>1010000</v>
      </c>
      <c r="H8511">
        <v>1036000</v>
      </c>
    </row>
    <row r="8512" spans="2:8" x14ac:dyDescent="0.25">
      <c r="B8512" t="str">
        <f t="shared" si="132"/>
        <v>ZAFPopulation ages 55-59, female</v>
      </c>
      <c r="C8512" t="s">
        <v>178</v>
      </c>
      <c r="D8512" t="s">
        <v>154</v>
      </c>
      <c r="E8512" t="s">
        <v>384</v>
      </c>
      <c r="F8512" t="s">
        <v>714</v>
      </c>
      <c r="G8512">
        <v>1158000</v>
      </c>
      <c r="H8512">
        <v>1184000</v>
      </c>
    </row>
    <row r="8513" spans="2:8" x14ac:dyDescent="0.25">
      <c r="B8513" t="str">
        <f t="shared" si="132"/>
        <v>ZAFPopulation ages 65-69, male</v>
      </c>
      <c r="C8513" t="s">
        <v>178</v>
      </c>
      <c r="D8513" t="s">
        <v>154</v>
      </c>
      <c r="E8513" t="s">
        <v>389</v>
      </c>
      <c r="F8513" t="s">
        <v>715</v>
      </c>
      <c r="G8513">
        <v>564000</v>
      </c>
      <c r="H8513">
        <v>585000</v>
      </c>
    </row>
    <row r="8514" spans="2:8" x14ac:dyDescent="0.25">
      <c r="B8514" t="str">
        <f t="shared" si="132"/>
        <v>ZAFPopulation ages 65-69, female</v>
      </c>
      <c r="C8514" t="s">
        <v>178</v>
      </c>
      <c r="D8514" t="s">
        <v>154</v>
      </c>
      <c r="E8514" t="s">
        <v>388</v>
      </c>
      <c r="F8514" t="s">
        <v>716</v>
      </c>
      <c r="G8514">
        <v>754000</v>
      </c>
      <c r="H8514">
        <v>785000</v>
      </c>
    </row>
    <row r="8515" spans="2:8" x14ac:dyDescent="0.25">
      <c r="B8515" t="str">
        <f t="shared" si="132"/>
        <v>ZAFPopulation ages 60-64, female</v>
      </c>
      <c r="C8515" t="s">
        <v>178</v>
      </c>
      <c r="D8515" t="s">
        <v>154</v>
      </c>
      <c r="E8515" t="s">
        <v>386</v>
      </c>
      <c r="F8515" t="s">
        <v>717</v>
      </c>
      <c r="G8515">
        <v>967000</v>
      </c>
      <c r="H8515">
        <v>990000</v>
      </c>
    </row>
    <row r="8516" spans="2:8" x14ac:dyDescent="0.25">
      <c r="B8516" t="str">
        <f t="shared" si="132"/>
        <v>ZAFPopulation ages 60-64, male</v>
      </c>
      <c r="C8516" t="s">
        <v>178</v>
      </c>
      <c r="D8516" t="s">
        <v>154</v>
      </c>
      <c r="E8516" t="s">
        <v>387</v>
      </c>
      <c r="F8516" t="s">
        <v>718</v>
      </c>
      <c r="G8516">
        <v>784000</v>
      </c>
      <c r="H8516">
        <v>804000</v>
      </c>
    </row>
    <row r="8517" spans="2:8" x14ac:dyDescent="0.25">
      <c r="B8517" t="str">
        <f t="shared" si="132"/>
        <v>ZAFPopulation ages 70-74, female</v>
      </c>
      <c r="C8517" t="s">
        <v>178</v>
      </c>
      <c r="D8517" t="s">
        <v>154</v>
      </c>
      <c r="E8517" t="s">
        <v>390</v>
      </c>
      <c r="F8517" t="s">
        <v>719</v>
      </c>
      <c r="G8517">
        <v>515000</v>
      </c>
      <c r="H8517">
        <v>536000</v>
      </c>
    </row>
    <row r="8518" spans="2:8" x14ac:dyDescent="0.25">
      <c r="B8518" t="str">
        <f t="shared" si="132"/>
        <v>ZAFPopulation ages 70-74, male</v>
      </c>
      <c r="C8518" t="s">
        <v>178</v>
      </c>
      <c r="D8518" t="s">
        <v>154</v>
      </c>
      <c r="E8518" t="s">
        <v>391</v>
      </c>
      <c r="F8518" t="s">
        <v>720</v>
      </c>
      <c r="G8518">
        <v>347000</v>
      </c>
      <c r="H8518">
        <v>359000</v>
      </c>
    </row>
    <row r="8519" spans="2:8" x14ac:dyDescent="0.25">
      <c r="B8519" t="str">
        <f t="shared" ref="B8519:B8582" si="133">CONCATENATE(D8519,E8519)</f>
        <v>ZAFPopulation ages 75-79, female</v>
      </c>
      <c r="C8519" t="s">
        <v>178</v>
      </c>
      <c r="D8519" t="s">
        <v>154</v>
      </c>
      <c r="E8519" t="s">
        <v>392</v>
      </c>
      <c r="F8519" t="s">
        <v>721</v>
      </c>
      <c r="G8519">
        <v>358000</v>
      </c>
      <c r="H8519">
        <v>368000</v>
      </c>
    </row>
    <row r="8520" spans="2:8" x14ac:dyDescent="0.25">
      <c r="B8520" t="str">
        <f t="shared" si="133"/>
        <v>ZAFPopulation ages 75-79, male</v>
      </c>
      <c r="C8520" t="s">
        <v>178</v>
      </c>
      <c r="D8520" t="s">
        <v>154</v>
      </c>
      <c r="E8520" t="s">
        <v>393</v>
      </c>
      <c r="F8520" t="s">
        <v>722</v>
      </c>
      <c r="G8520">
        <v>210000</v>
      </c>
      <c r="H8520">
        <v>213000</v>
      </c>
    </row>
    <row r="8521" spans="2:8" x14ac:dyDescent="0.25">
      <c r="B8521" t="str">
        <f t="shared" si="133"/>
        <v>ZAFPopulation ages 80 and above, female</v>
      </c>
      <c r="C8521" t="s">
        <v>178</v>
      </c>
      <c r="D8521" t="s">
        <v>154</v>
      </c>
      <c r="E8521" t="s">
        <v>394</v>
      </c>
      <c r="F8521" t="s">
        <v>723</v>
      </c>
      <c r="G8521">
        <v>291000</v>
      </c>
      <c r="H8521">
        <v>293000</v>
      </c>
    </row>
    <row r="8522" spans="2:8" x14ac:dyDescent="0.25">
      <c r="B8522" t="str">
        <f t="shared" si="133"/>
        <v>ZAFPopulation ages 80 and above, male</v>
      </c>
      <c r="C8522" t="s">
        <v>178</v>
      </c>
      <c r="D8522" t="s">
        <v>154</v>
      </c>
      <c r="E8522" t="s">
        <v>395</v>
      </c>
      <c r="F8522" t="s">
        <v>724</v>
      </c>
      <c r="G8522">
        <v>132000</v>
      </c>
      <c r="H8522">
        <v>128000</v>
      </c>
    </row>
    <row r="8523" spans="2:8" x14ac:dyDescent="0.25">
      <c r="B8523" t="str">
        <f t="shared" si="133"/>
        <v>ZAFPopulation, male</v>
      </c>
      <c r="C8523" t="s">
        <v>178</v>
      </c>
      <c r="D8523" t="s">
        <v>154</v>
      </c>
      <c r="E8523" t="s">
        <v>397</v>
      </c>
      <c r="F8523" t="s">
        <v>725</v>
      </c>
      <c r="G8523">
        <v>28859000</v>
      </c>
      <c r="H8523">
        <v>29216000</v>
      </c>
    </row>
    <row r="8524" spans="2:8" x14ac:dyDescent="0.25">
      <c r="B8524" t="str">
        <f t="shared" si="133"/>
        <v>ZAFPopulation, total</v>
      </c>
      <c r="C8524" t="s">
        <v>178</v>
      </c>
      <c r="D8524" t="s">
        <v>154</v>
      </c>
      <c r="E8524" t="s">
        <v>398</v>
      </c>
      <c r="F8524" t="s">
        <v>726</v>
      </c>
      <c r="G8524">
        <v>58558000</v>
      </c>
      <c r="H8524">
        <v>59309000</v>
      </c>
    </row>
    <row r="8525" spans="2:8" x14ac:dyDescent="0.25">
      <c r="B8525" t="str">
        <f t="shared" si="133"/>
        <v>ZAFPopulation, female</v>
      </c>
      <c r="C8525" t="s">
        <v>178</v>
      </c>
      <c r="D8525" t="s">
        <v>154</v>
      </c>
      <c r="E8525" t="s">
        <v>396</v>
      </c>
      <c r="F8525" t="s">
        <v>727</v>
      </c>
      <c r="G8525">
        <v>29699000</v>
      </c>
      <c r="H8525">
        <v>30093000</v>
      </c>
    </row>
    <row r="8526" spans="2:8" x14ac:dyDescent="0.25">
      <c r="B8526" t="str">
        <f t="shared" si="133"/>
        <v>ZAFPopulation growth (annual %)</v>
      </c>
      <c r="C8526" t="s">
        <v>178</v>
      </c>
      <c r="D8526" t="s">
        <v>154</v>
      </c>
      <c r="E8526" t="s">
        <v>399</v>
      </c>
      <c r="F8526" t="s">
        <v>728</v>
      </c>
      <c r="G8526">
        <v>0</v>
      </c>
      <c r="H8526">
        <v>0</v>
      </c>
    </row>
    <row r="8527" spans="2:8" x14ac:dyDescent="0.25">
      <c r="B8527" t="str">
        <f t="shared" si="133"/>
        <v>SASPopulation ages 0-14, female</v>
      </c>
      <c r="C8527" t="s">
        <v>630</v>
      </c>
      <c r="D8527" t="s">
        <v>631</v>
      </c>
      <c r="E8527" t="s">
        <v>687</v>
      </c>
      <c r="F8527" t="s">
        <v>688</v>
      </c>
      <c r="G8527">
        <v>245861000</v>
      </c>
      <c r="H8527">
        <v>244988000</v>
      </c>
    </row>
    <row r="8528" spans="2:8" x14ac:dyDescent="0.25">
      <c r="B8528" t="str">
        <f t="shared" si="133"/>
        <v>SASPopulation ages 0-14, male</v>
      </c>
      <c r="C8528" t="s">
        <v>630</v>
      </c>
      <c r="D8528" t="s">
        <v>631</v>
      </c>
      <c r="E8528" t="s">
        <v>689</v>
      </c>
      <c r="F8528" t="s">
        <v>690</v>
      </c>
      <c r="G8528">
        <v>268269000</v>
      </c>
      <c r="H8528">
        <v>267152000</v>
      </c>
    </row>
    <row r="8529" spans="2:8" x14ac:dyDescent="0.25">
      <c r="B8529" t="str">
        <f t="shared" si="133"/>
        <v>SASPopulation ages 00-04, female</v>
      </c>
      <c r="C8529" t="s">
        <v>630</v>
      </c>
      <c r="D8529" t="s">
        <v>631</v>
      </c>
      <c r="E8529" t="s">
        <v>362</v>
      </c>
      <c r="F8529" t="s">
        <v>691</v>
      </c>
      <c r="G8529">
        <v>80923000</v>
      </c>
      <c r="H8529">
        <v>81079000</v>
      </c>
    </row>
    <row r="8530" spans="2:8" x14ac:dyDescent="0.25">
      <c r="B8530" t="str">
        <f t="shared" si="133"/>
        <v>SASPopulation ages 00-04, male</v>
      </c>
      <c r="C8530" t="s">
        <v>630</v>
      </c>
      <c r="D8530" t="s">
        <v>631</v>
      </c>
      <c r="E8530" t="s">
        <v>363</v>
      </c>
      <c r="F8530" t="s">
        <v>692</v>
      </c>
      <c r="G8530">
        <v>88100000</v>
      </c>
      <c r="H8530">
        <v>88261000</v>
      </c>
    </row>
    <row r="8531" spans="2:8" x14ac:dyDescent="0.25">
      <c r="B8531" t="str">
        <f t="shared" si="133"/>
        <v>SASPopulation ages 05-09, female</v>
      </c>
      <c r="C8531" t="s">
        <v>630</v>
      </c>
      <c r="D8531" t="s">
        <v>631</v>
      </c>
      <c r="E8531" t="s">
        <v>364</v>
      </c>
      <c r="F8531" t="s">
        <v>693</v>
      </c>
      <c r="G8531">
        <v>81267000</v>
      </c>
      <c r="H8531">
        <v>80455000</v>
      </c>
    </row>
    <row r="8532" spans="2:8" x14ac:dyDescent="0.25">
      <c r="B8532" t="str">
        <f t="shared" si="133"/>
        <v>SASPopulation ages 05-09, male</v>
      </c>
      <c r="C8532" t="s">
        <v>630</v>
      </c>
      <c r="D8532" t="s">
        <v>631</v>
      </c>
      <c r="E8532" t="s">
        <v>365</v>
      </c>
      <c r="F8532" t="s">
        <v>694</v>
      </c>
      <c r="G8532">
        <v>88530000</v>
      </c>
      <c r="H8532">
        <v>87664000</v>
      </c>
    </row>
    <row r="8533" spans="2:8" x14ac:dyDescent="0.25">
      <c r="B8533" t="str">
        <f t="shared" si="133"/>
        <v>SASPopulation ages 10-14, female</v>
      </c>
      <c r="C8533" t="s">
        <v>630</v>
      </c>
      <c r="D8533" t="s">
        <v>631</v>
      </c>
      <c r="E8533" t="s">
        <v>366</v>
      </c>
      <c r="F8533" t="s">
        <v>695</v>
      </c>
      <c r="G8533">
        <v>83669000</v>
      </c>
      <c r="H8533">
        <v>83452000</v>
      </c>
    </row>
    <row r="8534" spans="2:8" x14ac:dyDescent="0.25">
      <c r="B8534" t="str">
        <f t="shared" si="133"/>
        <v>SASPopulation ages 10-14, male</v>
      </c>
      <c r="C8534" t="s">
        <v>630</v>
      </c>
      <c r="D8534" t="s">
        <v>631</v>
      </c>
      <c r="E8534" t="s">
        <v>367</v>
      </c>
      <c r="F8534" t="s">
        <v>696</v>
      </c>
      <c r="G8534">
        <v>91638000</v>
      </c>
      <c r="H8534">
        <v>91224000</v>
      </c>
    </row>
    <row r="8535" spans="2:8" x14ac:dyDescent="0.25">
      <c r="B8535" t="str">
        <f t="shared" si="133"/>
        <v>SASPopulation ages 15-19, female</v>
      </c>
      <c r="C8535" t="s">
        <v>630</v>
      </c>
      <c r="D8535" t="s">
        <v>631</v>
      </c>
      <c r="E8535" t="s">
        <v>368</v>
      </c>
      <c r="F8535" t="s">
        <v>697</v>
      </c>
      <c r="G8535">
        <v>81954000</v>
      </c>
      <c r="H8535">
        <v>82251000</v>
      </c>
    </row>
    <row r="8536" spans="2:8" x14ac:dyDescent="0.25">
      <c r="B8536" t="str">
        <f t="shared" si="133"/>
        <v>SASPopulation ages 15-19, male</v>
      </c>
      <c r="C8536" t="s">
        <v>630</v>
      </c>
      <c r="D8536" t="s">
        <v>631</v>
      </c>
      <c r="E8536" t="s">
        <v>369</v>
      </c>
      <c r="F8536" t="s">
        <v>698</v>
      </c>
      <c r="G8536">
        <v>90687000</v>
      </c>
      <c r="H8536">
        <v>90969000</v>
      </c>
    </row>
    <row r="8537" spans="2:8" x14ac:dyDescent="0.25">
      <c r="B8537" t="str">
        <f t="shared" si="133"/>
        <v>SASPopulation ages 20-24, female</v>
      </c>
      <c r="C8537" t="s">
        <v>630</v>
      </c>
      <c r="D8537" t="s">
        <v>631</v>
      </c>
      <c r="E8537" t="s">
        <v>370</v>
      </c>
      <c r="F8537" t="s">
        <v>699</v>
      </c>
      <c r="G8537">
        <v>79083000</v>
      </c>
      <c r="H8537">
        <v>79578000</v>
      </c>
    </row>
    <row r="8538" spans="2:8" x14ac:dyDescent="0.25">
      <c r="B8538" t="str">
        <f t="shared" si="133"/>
        <v>SASPopulation ages 20-24, male</v>
      </c>
      <c r="C8538" t="s">
        <v>630</v>
      </c>
      <c r="D8538" t="s">
        <v>631</v>
      </c>
      <c r="E8538" t="s">
        <v>371</v>
      </c>
      <c r="F8538" t="s">
        <v>700</v>
      </c>
      <c r="G8538">
        <v>87065000</v>
      </c>
      <c r="H8538">
        <v>87737000</v>
      </c>
    </row>
    <row r="8539" spans="2:8" x14ac:dyDescent="0.25">
      <c r="B8539" t="str">
        <f t="shared" si="133"/>
        <v>SASPopulation ages 25-29, female</v>
      </c>
      <c r="C8539" t="s">
        <v>630</v>
      </c>
      <c r="D8539" t="s">
        <v>631</v>
      </c>
      <c r="E8539" t="s">
        <v>372</v>
      </c>
      <c r="F8539" t="s">
        <v>701</v>
      </c>
      <c r="G8539">
        <v>75191000</v>
      </c>
      <c r="H8539">
        <v>75793000</v>
      </c>
    </row>
    <row r="8540" spans="2:8" x14ac:dyDescent="0.25">
      <c r="B8540" t="str">
        <f t="shared" si="133"/>
        <v>SASPopulation ages 25-29, male</v>
      </c>
      <c r="C8540" t="s">
        <v>630</v>
      </c>
      <c r="D8540" t="s">
        <v>631</v>
      </c>
      <c r="E8540" t="s">
        <v>373</v>
      </c>
      <c r="F8540" t="s">
        <v>702</v>
      </c>
      <c r="G8540">
        <v>81825000</v>
      </c>
      <c r="H8540">
        <v>82665000</v>
      </c>
    </row>
    <row r="8541" spans="2:8" x14ac:dyDescent="0.25">
      <c r="B8541" t="str">
        <f t="shared" si="133"/>
        <v>SASPopulation ages 30-34, female</v>
      </c>
      <c r="C8541" t="s">
        <v>630</v>
      </c>
      <c r="D8541" t="s">
        <v>631</v>
      </c>
      <c r="E8541" t="s">
        <v>374</v>
      </c>
      <c r="F8541" t="s">
        <v>703</v>
      </c>
      <c r="G8541">
        <v>70913000</v>
      </c>
      <c r="H8541">
        <v>71779000</v>
      </c>
    </row>
    <row r="8542" spans="2:8" x14ac:dyDescent="0.25">
      <c r="B8542" t="str">
        <f t="shared" si="133"/>
        <v>SASPopulation ages 30-34, male</v>
      </c>
      <c r="C8542" t="s">
        <v>630</v>
      </c>
      <c r="D8542" t="s">
        <v>631</v>
      </c>
      <c r="E8542" t="s">
        <v>375</v>
      </c>
      <c r="F8542" t="s">
        <v>704</v>
      </c>
      <c r="G8542">
        <v>76009000</v>
      </c>
      <c r="H8542">
        <v>77063000</v>
      </c>
    </row>
    <row r="8543" spans="2:8" x14ac:dyDescent="0.25">
      <c r="B8543" t="str">
        <f t="shared" si="133"/>
        <v>SASPopulation ages 35-39, female</v>
      </c>
      <c r="C8543" t="s">
        <v>630</v>
      </c>
      <c r="D8543" t="s">
        <v>631</v>
      </c>
      <c r="E8543" t="s">
        <v>376</v>
      </c>
      <c r="F8543" t="s">
        <v>705</v>
      </c>
      <c r="G8543">
        <v>64392000</v>
      </c>
      <c r="H8543">
        <v>65754000</v>
      </c>
    </row>
    <row r="8544" spans="2:8" x14ac:dyDescent="0.25">
      <c r="B8544" t="str">
        <f t="shared" si="133"/>
        <v>SASPopulation ages 35-39, male</v>
      </c>
      <c r="C8544" t="s">
        <v>630</v>
      </c>
      <c r="D8544" t="s">
        <v>631</v>
      </c>
      <c r="E8544" t="s">
        <v>377</v>
      </c>
      <c r="F8544" t="s">
        <v>706</v>
      </c>
      <c r="G8544">
        <v>68319000</v>
      </c>
      <c r="H8544">
        <v>69846000</v>
      </c>
    </row>
    <row r="8545" spans="2:8" x14ac:dyDescent="0.25">
      <c r="B8545" t="str">
        <f t="shared" si="133"/>
        <v>SASPopulation ages 40-44, female</v>
      </c>
      <c r="C8545" t="s">
        <v>630</v>
      </c>
      <c r="D8545" t="s">
        <v>631</v>
      </c>
      <c r="E8545" t="s">
        <v>378</v>
      </c>
      <c r="F8545" t="s">
        <v>707</v>
      </c>
      <c r="G8545">
        <v>56189000</v>
      </c>
      <c r="H8545">
        <v>57580000</v>
      </c>
    </row>
    <row r="8546" spans="2:8" x14ac:dyDescent="0.25">
      <c r="B8546" t="str">
        <f t="shared" si="133"/>
        <v>SASPopulation ages 40-44, male</v>
      </c>
      <c r="C8546" t="s">
        <v>630</v>
      </c>
      <c r="D8546" t="s">
        <v>631</v>
      </c>
      <c r="E8546" t="s">
        <v>379</v>
      </c>
      <c r="F8546" t="s">
        <v>708</v>
      </c>
      <c r="G8546">
        <v>58888000</v>
      </c>
      <c r="H8546">
        <v>60378000</v>
      </c>
    </row>
    <row r="8547" spans="2:8" x14ac:dyDescent="0.25">
      <c r="B8547" t="str">
        <f t="shared" si="133"/>
        <v>SASPopulation ages 45-49, female</v>
      </c>
      <c r="C8547" t="s">
        <v>630</v>
      </c>
      <c r="D8547" t="s">
        <v>631</v>
      </c>
      <c r="E8547" t="s">
        <v>380</v>
      </c>
      <c r="F8547" t="s">
        <v>709</v>
      </c>
      <c r="G8547">
        <v>49148000</v>
      </c>
      <c r="H8547">
        <v>50314000</v>
      </c>
    </row>
    <row r="8548" spans="2:8" x14ac:dyDescent="0.25">
      <c r="B8548" t="str">
        <f t="shared" si="133"/>
        <v>SASPopulation ages 45-49, male</v>
      </c>
      <c r="C8548" t="s">
        <v>630</v>
      </c>
      <c r="D8548" t="s">
        <v>631</v>
      </c>
      <c r="E8548" t="s">
        <v>381</v>
      </c>
      <c r="F8548" t="s">
        <v>710</v>
      </c>
      <c r="G8548">
        <v>51246000</v>
      </c>
      <c r="H8548">
        <v>52391000</v>
      </c>
    </row>
    <row r="8549" spans="2:8" x14ac:dyDescent="0.25">
      <c r="B8549" t="str">
        <f t="shared" si="133"/>
        <v>SASPopulation ages 50-54, female</v>
      </c>
      <c r="C8549" t="s">
        <v>630</v>
      </c>
      <c r="D8549" t="s">
        <v>631</v>
      </c>
      <c r="E8549" t="s">
        <v>382</v>
      </c>
      <c r="F8549" t="s">
        <v>711</v>
      </c>
      <c r="G8549">
        <v>42693100</v>
      </c>
      <c r="H8549">
        <v>43669300</v>
      </c>
    </row>
    <row r="8550" spans="2:8" x14ac:dyDescent="0.25">
      <c r="B8550" t="str">
        <f t="shared" si="133"/>
        <v>SASPopulation ages 50-54, male</v>
      </c>
      <c r="C8550" t="s">
        <v>630</v>
      </c>
      <c r="D8550" t="s">
        <v>631</v>
      </c>
      <c r="E8550" t="s">
        <v>383</v>
      </c>
      <c r="F8550" t="s">
        <v>712</v>
      </c>
      <c r="G8550">
        <v>44482000</v>
      </c>
      <c r="H8550">
        <v>45435000</v>
      </c>
    </row>
    <row r="8551" spans="2:8" x14ac:dyDescent="0.25">
      <c r="B8551" t="str">
        <f t="shared" si="133"/>
        <v>SASPopulation ages 55-59, male</v>
      </c>
      <c r="C8551" t="s">
        <v>630</v>
      </c>
      <c r="D8551" t="s">
        <v>631</v>
      </c>
      <c r="E8551" t="s">
        <v>385</v>
      </c>
      <c r="F8551" t="s">
        <v>713</v>
      </c>
      <c r="G8551">
        <v>37660000</v>
      </c>
      <c r="H8551">
        <v>38633500</v>
      </c>
    </row>
    <row r="8552" spans="2:8" x14ac:dyDescent="0.25">
      <c r="B8552" t="str">
        <f t="shared" si="133"/>
        <v>SASPopulation ages 55-59, female</v>
      </c>
      <c r="C8552" t="s">
        <v>630</v>
      </c>
      <c r="D8552" t="s">
        <v>631</v>
      </c>
      <c r="E8552" t="s">
        <v>384</v>
      </c>
      <c r="F8552" t="s">
        <v>714</v>
      </c>
      <c r="G8552">
        <v>36381600</v>
      </c>
      <c r="H8552">
        <v>37368800</v>
      </c>
    </row>
    <row r="8553" spans="2:8" x14ac:dyDescent="0.25">
      <c r="B8553" t="str">
        <f t="shared" si="133"/>
        <v>SASPopulation ages 65-69, male</v>
      </c>
      <c r="C8553" t="s">
        <v>630</v>
      </c>
      <c r="D8553" t="s">
        <v>631</v>
      </c>
      <c r="E8553" t="s">
        <v>389</v>
      </c>
      <c r="F8553" t="s">
        <v>715</v>
      </c>
      <c r="G8553">
        <v>22410600</v>
      </c>
      <c r="H8553">
        <v>23432800</v>
      </c>
    </row>
    <row r="8554" spans="2:8" x14ac:dyDescent="0.25">
      <c r="B8554" t="str">
        <f t="shared" si="133"/>
        <v>SASPopulation ages 65-69, female</v>
      </c>
      <c r="C8554" t="s">
        <v>630</v>
      </c>
      <c r="D8554" t="s">
        <v>631</v>
      </c>
      <c r="E8554" t="s">
        <v>388</v>
      </c>
      <c r="F8554" t="s">
        <v>716</v>
      </c>
      <c r="G8554">
        <v>22360900</v>
      </c>
      <c r="H8554">
        <v>23296400</v>
      </c>
    </row>
    <row r="8555" spans="2:8" x14ac:dyDescent="0.25">
      <c r="B8555" t="str">
        <f t="shared" si="133"/>
        <v>SASPopulation ages 60-64, female</v>
      </c>
      <c r="C8555" t="s">
        <v>630</v>
      </c>
      <c r="D8555" t="s">
        <v>631</v>
      </c>
      <c r="E8555" t="s">
        <v>386</v>
      </c>
      <c r="F8555" t="s">
        <v>717</v>
      </c>
      <c r="G8555">
        <v>29375300</v>
      </c>
      <c r="H8555">
        <v>30315900</v>
      </c>
    </row>
    <row r="8556" spans="2:8" x14ac:dyDescent="0.25">
      <c r="B8556" t="str">
        <f t="shared" si="133"/>
        <v>SASPopulation ages 60-64, male</v>
      </c>
      <c r="C8556" t="s">
        <v>630</v>
      </c>
      <c r="D8556" t="s">
        <v>631</v>
      </c>
      <c r="E8556" t="s">
        <v>387</v>
      </c>
      <c r="F8556" t="s">
        <v>718</v>
      </c>
      <c r="G8556">
        <v>30064900</v>
      </c>
      <c r="H8556">
        <v>30959700</v>
      </c>
    </row>
    <row r="8557" spans="2:8" x14ac:dyDescent="0.25">
      <c r="B8557" t="str">
        <f t="shared" si="133"/>
        <v>SASPopulation ages 70-74, female</v>
      </c>
      <c r="C8557" t="s">
        <v>630</v>
      </c>
      <c r="D8557" t="s">
        <v>631</v>
      </c>
      <c r="E8557" t="s">
        <v>390</v>
      </c>
      <c r="F8557" t="s">
        <v>719</v>
      </c>
      <c r="G8557">
        <v>15166600</v>
      </c>
      <c r="H8557">
        <v>15814700</v>
      </c>
    </row>
    <row r="8558" spans="2:8" x14ac:dyDescent="0.25">
      <c r="B8558" t="str">
        <f t="shared" si="133"/>
        <v>SASPopulation ages 70-74, male</v>
      </c>
      <c r="C8558" t="s">
        <v>630</v>
      </c>
      <c r="D8558" t="s">
        <v>631</v>
      </c>
      <c r="E8558" t="s">
        <v>391</v>
      </c>
      <c r="F8558" t="s">
        <v>720</v>
      </c>
      <c r="G8558">
        <v>14196500</v>
      </c>
      <c r="H8558">
        <v>14884500</v>
      </c>
    </row>
    <row r="8559" spans="2:8" x14ac:dyDescent="0.25">
      <c r="B8559" t="str">
        <f t="shared" si="133"/>
        <v>SASPopulation ages 75-79, female</v>
      </c>
      <c r="C8559" t="s">
        <v>630</v>
      </c>
      <c r="D8559" t="s">
        <v>631</v>
      </c>
      <c r="E8559" t="s">
        <v>392</v>
      </c>
      <c r="F8559" t="s">
        <v>721</v>
      </c>
      <c r="G8559">
        <v>10049200</v>
      </c>
      <c r="H8559">
        <v>10362200</v>
      </c>
    </row>
    <row r="8560" spans="2:8" x14ac:dyDescent="0.25">
      <c r="B8560" t="str">
        <f t="shared" si="133"/>
        <v>SASPopulation ages 75-79, male</v>
      </c>
      <c r="C8560" t="s">
        <v>630</v>
      </c>
      <c r="D8560" t="s">
        <v>631</v>
      </c>
      <c r="E8560" t="s">
        <v>393</v>
      </c>
      <c r="F8560" t="s">
        <v>722</v>
      </c>
      <c r="G8560">
        <v>9002300</v>
      </c>
      <c r="H8560">
        <v>9261400</v>
      </c>
    </row>
    <row r="8561" spans="2:8" x14ac:dyDescent="0.25">
      <c r="B8561" t="str">
        <f t="shared" si="133"/>
        <v>SASPopulation ages 80 and above, female</v>
      </c>
      <c r="C8561" t="s">
        <v>630</v>
      </c>
      <c r="D8561" t="s">
        <v>631</v>
      </c>
      <c r="E8561" t="s">
        <v>394</v>
      </c>
      <c r="F8561" t="s">
        <v>723</v>
      </c>
      <c r="G8561">
        <v>9162500</v>
      </c>
      <c r="H8561">
        <v>9356800</v>
      </c>
    </row>
    <row r="8562" spans="2:8" x14ac:dyDescent="0.25">
      <c r="B8562" t="str">
        <f t="shared" si="133"/>
        <v>SASPopulation ages 80 and above, male</v>
      </c>
      <c r="C8562" t="s">
        <v>630</v>
      </c>
      <c r="D8562" t="s">
        <v>631</v>
      </c>
      <c r="E8562" t="s">
        <v>395</v>
      </c>
      <c r="F8562" t="s">
        <v>724</v>
      </c>
      <c r="G8562">
        <v>7682400</v>
      </c>
      <c r="H8562">
        <v>7774600</v>
      </c>
    </row>
    <row r="8563" spans="2:8" x14ac:dyDescent="0.25">
      <c r="B8563" t="str">
        <f t="shared" si="133"/>
        <v>SASPopulation, male</v>
      </c>
      <c r="C8563" t="s">
        <v>630</v>
      </c>
      <c r="D8563" t="s">
        <v>631</v>
      </c>
      <c r="E8563" t="s">
        <v>397</v>
      </c>
      <c r="F8563" t="s">
        <v>725</v>
      </c>
      <c r="G8563">
        <v>947811000</v>
      </c>
      <c r="H8563">
        <v>958580000</v>
      </c>
    </row>
    <row r="8564" spans="2:8" x14ac:dyDescent="0.25">
      <c r="B8564" t="str">
        <f t="shared" si="133"/>
        <v>SASPopulation, total</v>
      </c>
      <c r="C8564" t="s">
        <v>630</v>
      </c>
      <c r="D8564" t="s">
        <v>631</v>
      </c>
      <c r="E8564" t="s">
        <v>398</v>
      </c>
      <c r="F8564" t="s">
        <v>726</v>
      </c>
      <c r="G8564">
        <v>1835731000</v>
      </c>
      <c r="H8564">
        <v>1856800000</v>
      </c>
    </row>
    <row r="8565" spans="2:8" x14ac:dyDescent="0.25">
      <c r="B8565" t="str">
        <f t="shared" si="133"/>
        <v>SASPopulation, female</v>
      </c>
      <c r="C8565" t="s">
        <v>630</v>
      </c>
      <c r="D8565" t="s">
        <v>631</v>
      </c>
      <c r="E8565" t="s">
        <v>396</v>
      </c>
      <c r="F8565" t="s">
        <v>727</v>
      </c>
      <c r="G8565">
        <v>887921000</v>
      </c>
      <c r="H8565">
        <v>898220000</v>
      </c>
    </row>
    <row r="8566" spans="2:8" x14ac:dyDescent="0.25">
      <c r="B8566" t="str">
        <f t="shared" si="133"/>
        <v>SASPopulation growth (annual %)</v>
      </c>
      <c r="C8566" t="s">
        <v>630</v>
      </c>
      <c r="D8566" t="s">
        <v>631</v>
      </c>
      <c r="E8566" t="s">
        <v>399</v>
      </c>
      <c r="F8566" t="s">
        <v>728</v>
      </c>
      <c r="G8566">
        <v>1.176278020384359</v>
      </c>
      <c r="H8566">
        <v>1.1477171764272498</v>
      </c>
    </row>
    <row r="8567" spans="2:8" x14ac:dyDescent="0.25">
      <c r="B8567" t="str">
        <f t="shared" si="133"/>
        <v>TSAPopulation ages 0-14, female</v>
      </c>
      <c r="C8567" t="s">
        <v>632</v>
      </c>
      <c r="D8567" t="s">
        <v>633</v>
      </c>
      <c r="E8567" t="s">
        <v>687</v>
      </c>
      <c r="F8567" t="s">
        <v>688</v>
      </c>
      <c r="G8567">
        <v>245861000</v>
      </c>
      <c r="H8567">
        <v>244988000</v>
      </c>
    </row>
    <row r="8568" spans="2:8" x14ac:dyDescent="0.25">
      <c r="B8568" t="str">
        <f t="shared" si="133"/>
        <v>TSAPopulation ages 0-14, male</v>
      </c>
      <c r="C8568" t="s">
        <v>632</v>
      </c>
      <c r="D8568" t="s">
        <v>633</v>
      </c>
      <c r="E8568" t="s">
        <v>689</v>
      </c>
      <c r="F8568" t="s">
        <v>690</v>
      </c>
      <c r="G8568">
        <v>268269000</v>
      </c>
      <c r="H8568">
        <v>267152000</v>
      </c>
    </row>
    <row r="8569" spans="2:8" x14ac:dyDescent="0.25">
      <c r="B8569" t="str">
        <f t="shared" si="133"/>
        <v>TSAPopulation ages 00-04, female</v>
      </c>
      <c r="C8569" t="s">
        <v>632</v>
      </c>
      <c r="D8569" t="s">
        <v>633</v>
      </c>
      <c r="E8569" t="s">
        <v>362</v>
      </c>
      <c r="F8569" t="s">
        <v>691</v>
      </c>
      <c r="G8569">
        <v>80923000</v>
      </c>
      <c r="H8569">
        <v>81079000</v>
      </c>
    </row>
    <row r="8570" spans="2:8" x14ac:dyDescent="0.25">
      <c r="B8570" t="str">
        <f t="shared" si="133"/>
        <v>TSAPopulation ages 00-04, male</v>
      </c>
      <c r="C8570" t="s">
        <v>632</v>
      </c>
      <c r="D8570" t="s">
        <v>633</v>
      </c>
      <c r="E8570" t="s">
        <v>363</v>
      </c>
      <c r="F8570" t="s">
        <v>692</v>
      </c>
      <c r="G8570">
        <v>88100000</v>
      </c>
      <c r="H8570">
        <v>88261000</v>
      </c>
    </row>
    <row r="8571" spans="2:8" x14ac:dyDescent="0.25">
      <c r="B8571" t="str">
        <f t="shared" si="133"/>
        <v>TSAPopulation ages 05-09, female</v>
      </c>
      <c r="C8571" t="s">
        <v>632</v>
      </c>
      <c r="D8571" t="s">
        <v>633</v>
      </c>
      <c r="E8571" t="s">
        <v>364</v>
      </c>
      <c r="F8571" t="s">
        <v>693</v>
      </c>
      <c r="G8571">
        <v>81267000</v>
      </c>
      <c r="H8571">
        <v>80455000</v>
      </c>
    </row>
    <row r="8572" spans="2:8" x14ac:dyDescent="0.25">
      <c r="B8572" t="str">
        <f t="shared" si="133"/>
        <v>TSAPopulation ages 05-09, male</v>
      </c>
      <c r="C8572" t="s">
        <v>632</v>
      </c>
      <c r="D8572" t="s">
        <v>633</v>
      </c>
      <c r="E8572" t="s">
        <v>365</v>
      </c>
      <c r="F8572" t="s">
        <v>694</v>
      </c>
      <c r="G8572">
        <v>88530000</v>
      </c>
      <c r="H8572">
        <v>87664000</v>
      </c>
    </row>
    <row r="8573" spans="2:8" x14ac:dyDescent="0.25">
      <c r="B8573" t="str">
        <f t="shared" si="133"/>
        <v>TSAPopulation ages 10-14, female</v>
      </c>
      <c r="C8573" t="s">
        <v>632</v>
      </c>
      <c r="D8573" t="s">
        <v>633</v>
      </c>
      <c r="E8573" t="s">
        <v>366</v>
      </c>
      <c r="F8573" t="s">
        <v>695</v>
      </c>
      <c r="G8573">
        <v>83669000</v>
      </c>
      <c r="H8573">
        <v>83452000</v>
      </c>
    </row>
    <row r="8574" spans="2:8" x14ac:dyDescent="0.25">
      <c r="B8574" t="str">
        <f t="shared" si="133"/>
        <v>TSAPopulation ages 10-14, male</v>
      </c>
      <c r="C8574" t="s">
        <v>632</v>
      </c>
      <c r="D8574" t="s">
        <v>633</v>
      </c>
      <c r="E8574" t="s">
        <v>367</v>
      </c>
      <c r="F8574" t="s">
        <v>696</v>
      </c>
      <c r="G8574">
        <v>91638000</v>
      </c>
      <c r="H8574">
        <v>91224000</v>
      </c>
    </row>
    <row r="8575" spans="2:8" x14ac:dyDescent="0.25">
      <c r="B8575" t="str">
        <f t="shared" si="133"/>
        <v>TSAPopulation ages 15-19, female</v>
      </c>
      <c r="C8575" t="s">
        <v>632</v>
      </c>
      <c r="D8575" t="s">
        <v>633</v>
      </c>
      <c r="E8575" t="s">
        <v>368</v>
      </c>
      <c r="F8575" t="s">
        <v>697</v>
      </c>
      <c r="G8575">
        <v>81954000</v>
      </c>
      <c r="H8575">
        <v>82251000</v>
      </c>
    </row>
    <row r="8576" spans="2:8" x14ac:dyDescent="0.25">
      <c r="B8576" t="str">
        <f t="shared" si="133"/>
        <v>TSAPopulation ages 15-19, male</v>
      </c>
      <c r="C8576" t="s">
        <v>632</v>
      </c>
      <c r="D8576" t="s">
        <v>633</v>
      </c>
      <c r="E8576" t="s">
        <v>369</v>
      </c>
      <c r="F8576" t="s">
        <v>698</v>
      </c>
      <c r="G8576">
        <v>90687000</v>
      </c>
      <c r="H8576">
        <v>90969000</v>
      </c>
    </row>
    <row r="8577" spans="2:8" x14ac:dyDescent="0.25">
      <c r="B8577" t="str">
        <f t="shared" si="133"/>
        <v>TSAPopulation ages 20-24, female</v>
      </c>
      <c r="C8577" t="s">
        <v>632</v>
      </c>
      <c r="D8577" t="s">
        <v>633</v>
      </c>
      <c r="E8577" t="s">
        <v>370</v>
      </c>
      <c r="F8577" t="s">
        <v>699</v>
      </c>
      <c r="G8577">
        <v>79083000</v>
      </c>
      <c r="H8577">
        <v>79578000</v>
      </c>
    </row>
    <row r="8578" spans="2:8" x14ac:dyDescent="0.25">
      <c r="B8578" t="str">
        <f t="shared" si="133"/>
        <v>TSAPopulation ages 20-24, male</v>
      </c>
      <c r="C8578" t="s">
        <v>632</v>
      </c>
      <c r="D8578" t="s">
        <v>633</v>
      </c>
      <c r="E8578" t="s">
        <v>371</v>
      </c>
      <c r="F8578" t="s">
        <v>700</v>
      </c>
      <c r="G8578">
        <v>87065000</v>
      </c>
      <c r="H8578">
        <v>87737000</v>
      </c>
    </row>
    <row r="8579" spans="2:8" x14ac:dyDescent="0.25">
      <c r="B8579" t="str">
        <f t="shared" si="133"/>
        <v>TSAPopulation ages 25-29, female</v>
      </c>
      <c r="C8579" t="s">
        <v>632</v>
      </c>
      <c r="D8579" t="s">
        <v>633</v>
      </c>
      <c r="E8579" t="s">
        <v>372</v>
      </c>
      <c r="F8579" t="s">
        <v>701</v>
      </c>
      <c r="G8579">
        <v>75191000</v>
      </c>
      <c r="H8579">
        <v>75793000</v>
      </c>
    </row>
    <row r="8580" spans="2:8" x14ac:dyDescent="0.25">
      <c r="B8580" t="str">
        <f t="shared" si="133"/>
        <v>TSAPopulation ages 25-29, male</v>
      </c>
      <c r="C8580" t="s">
        <v>632</v>
      </c>
      <c r="D8580" t="s">
        <v>633</v>
      </c>
      <c r="E8580" t="s">
        <v>373</v>
      </c>
      <c r="F8580" t="s">
        <v>702</v>
      </c>
      <c r="G8580">
        <v>81825000</v>
      </c>
      <c r="H8580">
        <v>82665000</v>
      </c>
    </row>
    <row r="8581" spans="2:8" x14ac:dyDescent="0.25">
      <c r="B8581" t="str">
        <f t="shared" si="133"/>
        <v>TSAPopulation ages 30-34, female</v>
      </c>
      <c r="C8581" t="s">
        <v>632</v>
      </c>
      <c r="D8581" t="s">
        <v>633</v>
      </c>
      <c r="E8581" t="s">
        <v>374</v>
      </c>
      <c r="F8581" t="s">
        <v>703</v>
      </c>
      <c r="G8581">
        <v>70913000</v>
      </c>
      <c r="H8581">
        <v>71779000</v>
      </c>
    </row>
    <row r="8582" spans="2:8" x14ac:dyDescent="0.25">
      <c r="B8582" t="str">
        <f t="shared" si="133"/>
        <v>TSAPopulation ages 30-34, male</v>
      </c>
      <c r="C8582" t="s">
        <v>632</v>
      </c>
      <c r="D8582" t="s">
        <v>633</v>
      </c>
      <c r="E8582" t="s">
        <v>375</v>
      </c>
      <c r="F8582" t="s">
        <v>704</v>
      </c>
      <c r="G8582">
        <v>76009000</v>
      </c>
      <c r="H8582">
        <v>77063000</v>
      </c>
    </row>
    <row r="8583" spans="2:8" x14ac:dyDescent="0.25">
      <c r="B8583" t="str">
        <f t="shared" ref="B8583:B8646" si="134">CONCATENATE(D8583,E8583)</f>
        <v>TSAPopulation ages 35-39, female</v>
      </c>
      <c r="C8583" t="s">
        <v>632</v>
      </c>
      <c r="D8583" t="s">
        <v>633</v>
      </c>
      <c r="E8583" t="s">
        <v>376</v>
      </c>
      <c r="F8583" t="s">
        <v>705</v>
      </c>
      <c r="G8583">
        <v>64392000</v>
      </c>
      <c r="H8583">
        <v>65754000</v>
      </c>
    </row>
    <row r="8584" spans="2:8" x14ac:dyDescent="0.25">
      <c r="B8584" t="str">
        <f t="shared" si="134"/>
        <v>TSAPopulation ages 35-39, male</v>
      </c>
      <c r="C8584" t="s">
        <v>632</v>
      </c>
      <c r="D8584" t="s">
        <v>633</v>
      </c>
      <c r="E8584" t="s">
        <v>377</v>
      </c>
      <c r="F8584" t="s">
        <v>706</v>
      </c>
      <c r="G8584">
        <v>68319000</v>
      </c>
      <c r="H8584">
        <v>69846000</v>
      </c>
    </row>
    <row r="8585" spans="2:8" x14ac:dyDescent="0.25">
      <c r="B8585" t="str">
        <f t="shared" si="134"/>
        <v>TSAPopulation ages 40-44, female</v>
      </c>
      <c r="C8585" t="s">
        <v>632</v>
      </c>
      <c r="D8585" t="s">
        <v>633</v>
      </c>
      <c r="E8585" t="s">
        <v>378</v>
      </c>
      <c r="F8585" t="s">
        <v>707</v>
      </c>
      <c r="G8585">
        <v>56189000</v>
      </c>
      <c r="H8585">
        <v>57580000</v>
      </c>
    </row>
    <row r="8586" spans="2:8" x14ac:dyDescent="0.25">
      <c r="B8586" t="str">
        <f t="shared" si="134"/>
        <v>TSAPopulation ages 40-44, male</v>
      </c>
      <c r="C8586" t="s">
        <v>632</v>
      </c>
      <c r="D8586" t="s">
        <v>633</v>
      </c>
      <c r="E8586" t="s">
        <v>379</v>
      </c>
      <c r="F8586" t="s">
        <v>708</v>
      </c>
      <c r="G8586">
        <v>58888000</v>
      </c>
      <c r="H8586">
        <v>60378000</v>
      </c>
    </row>
    <row r="8587" spans="2:8" x14ac:dyDescent="0.25">
      <c r="B8587" t="str">
        <f t="shared" si="134"/>
        <v>TSAPopulation ages 45-49, female</v>
      </c>
      <c r="C8587" t="s">
        <v>632</v>
      </c>
      <c r="D8587" t="s">
        <v>633</v>
      </c>
      <c r="E8587" t="s">
        <v>380</v>
      </c>
      <c r="F8587" t="s">
        <v>709</v>
      </c>
      <c r="G8587">
        <v>49148000</v>
      </c>
      <c r="H8587">
        <v>50314000</v>
      </c>
    </row>
    <row r="8588" spans="2:8" x14ac:dyDescent="0.25">
      <c r="B8588" t="str">
        <f t="shared" si="134"/>
        <v>TSAPopulation ages 45-49, male</v>
      </c>
      <c r="C8588" t="s">
        <v>632</v>
      </c>
      <c r="D8588" t="s">
        <v>633</v>
      </c>
      <c r="E8588" t="s">
        <v>381</v>
      </c>
      <c r="F8588" t="s">
        <v>710</v>
      </c>
      <c r="G8588">
        <v>51246000</v>
      </c>
      <c r="H8588">
        <v>52391000</v>
      </c>
    </row>
    <row r="8589" spans="2:8" x14ac:dyDescent="0.25">
      <c r="B8589" t="str">
        <f t="shared" si="134"/>
        <v>TSAPopulation ages 50-54, female</v>
      </c>
      <c r="C8589" t="s">
        <v>632</v>
      </c>
      <c r="D8589" t="s">
        <v>633</v>
      </c>
      <c r="E8589" t="s">
        <v>382</v>
      </c>
      <c r="F8589" t="s">
        <v>711</v>
      </c>
      <c r="G8589">
        <v>42693100</v>
      </c>
      <c r="H8589">
        <v>43669300</v>
      </c>
    </row>
    <row r="8590" spans="2:8" x14ac:dyDescent="0.25">
      <c r="B8590" t="str">
        <f t="shared" si="134"/>
        <v>TSAPopulation ages 50-54, male</v>
      </c>
      <c r="C8590" t="s">
        <v>632</v>
      </c>
      <c r="D8590" t="s">
        <v>633</v>
      </c>
      <c r="E8590" t="s">
        <v>383</v>
      </c>
      <c r="F8590" t="s">
        <v>712</v>
      </c>
      <c r="G8590">
        <v>44482000</v>
      </c>
      <c r="H8590">
        <v>45435000</v>
      </c>
    </row>
    <row r="8591" spans="2:8" x14ac:dyDescent="0.25">
      <c r="B8591" t="str">
        <f t="shared" si="134"/>
        <v>TSAPopulation ages 55-59, male</v>
      </c>
      <c r="C8591" t="s">
        <v>632</v>
      </c>
      <c r="D8591" t="s">
        <v>633</v>
      </c>
      <c r="E8591" t="s">
        <v>385</v>
      </c>
      <c r="F8591" t="s">
        <v>713</v>
      </c>
      <c r="G8591">
        <v>37660000</v>
      </c>
      <c r="H8591">
        <v>38633500</v>
      </c>
    </row>
    <row r="8592" spans="2:8" x14ac:dyDescent="0.25">
      <c r="B8592" t="str">
        <f t="shared" si="134"/>
        <v>TSAPopulation ages 55-59, female</v>
      </c>
      <c r="C8592" t="s">
        <v>632</v>
      </c>
      <c r="D8592" t="s">
        <v>633</v>
      </c>
      <c r="E8592" t="s">
        <v>384</v>
      </c>
      <c r="F8592" t="s">
        <v>714</v>
      </c>
      <c r="G8592">
        <v>36381600</v>
      </c>
      <c r="H8592">
        <v>37368800</v>
      </c>
    </row>
    <row r="8593" spans="2:8" x14ac:dyDescent="0.25">
      <c r="B8593" t="str">
        <f t="shared" si="134"/>
        <v>TSAPopulation ages 65-69, male</v>
      </c>
      <c r="C8593" t="s">
        <v>632</v>
      </c>
      <c r="D8593" t="s">
        <v>633</v>
      </c>
      <c r="E8593" t="s">
        <v>389</v>
      </c>
      <c r="F8593" t="s">
        <v>715</v>
      </c>
      <c r="G8593">
        <v>22410600</v>
      </c>
      <c r="H8593">
        <v>23432800</v>
      </c>
    </row>
    <row r="8594" spans="2:8" x14ac:dyDescent="0.25">
      <c r="B8594" t="str">
        <f t="shared" si="134"/>
        <v>TSAPopulation ages 65-69, female</v>
      </c>
      <c r="C8594" t="s">
        <v>632</v>
      </c>
      <c r="D8594" t="s">
        <v>633</v>
      </c>
      <c r="E8594" t="s">
        <v>388</v>
      </c>
      <c r="F8594" t="s">
        <v>716</v>
      </c>
      <c r="G8594">
        <v>22360900</v>
      </c>
      <c r="H8594">
        <v>23296400</v>
      </c>
    </row>
    <row r="8595" spans="2:8" x14ac:dyDescent="0.25">
      <c r="B8595" t="str">
        <f t="shared" si="134"/>
        <v>TSAPopulation ages 60-64, female</v>
      </c>
      <c r="C8595" t="s">
        <v>632</v>
      </c>
      <c r="D8595" t="s">
        <v>633</v>
      </c>
      <c r="E8595" t="s">
        <v>386</v>
      </c>
      <c r="F8595" t="s">
        <v>717</v>
      </c>
      <c r="G8595">
        <v>29375300</v>
      </c>
      <c r="H8595">
        <v>30315900</v>
      </c>
    </row>
    <row r="8596" spans="2:8" x14ac:dyDescent="0.25">
      <c r="B8596" t="str">
        <f t="shared" si="134"/>
        <v>TSAPopulation ages 60-64, male</v>
      </c>
      <c r="C8596" t="s">
        <v>632</v>
      </c>
      <c r="D8596" t="s">
        <v>633</v>
      </c>
      <c r="E8596" t="s">
        <v>387</v>
      </c>
      <c r="F8596" t="s">
        <v>718</v>
      </c>
      <c r="G8596">
        <v>30064900</v>
      </c>
      <c r="H8596">
        <v>30959700</v>
      </c>
    </row>
    <row r="8597" spans="2:8" x14ac:dyDescent="0.25">
      <c r="B8597" t="str">
        <f t="shared" si="134"/>
        <v>TSAPopulation ages 70-74, female</v>
      </c>
      <c r="C8597" t="s">
        <v>632</v>
      </c>
      <c r="D8597" t="s">
        <v>633</v>
      </c>
      <c r="E8597" t="s">
        <v>390</v>
      </c>
      <c r="F8597" t="s">
        <v>719</v>
      </c>
      <c r="G8597">
        <v>15166600</v>
      </c>
      <c r="H8597">
        <v>15814700</v>
      </c>
    </row>
    <row r="8598" spans="2:8" x14ac:dyDescent="0.25">
      <c r="B8598" t="str">
        <f t="shared" si="134"/>
        <v>TSAPopulation ages 70-74, male</v>
      </c>
      <c r="C8598" t="s">
        <v>632</v>
      </c>
      <c r="D8598" t="s">
        <v>633</v>
      </c>
      <c r="E8598" t="s">
        <v>391</v>
      </c>
      <c r="F8598" t="s">
        <v>720</v>
      </c>
      <c r="G8598">
        <v>14196500</v>
      </c>
      <c r="H8598">
        <v>14884500</v>
      </c>
    </row>
    <row r="8599" spans="2:8" x14ac:dyDescent="0.25">
      <c r="B8599" t="str">
        <f t="shared" si="134"/>
        <v>TSAPopulation ages 75-79, female</v>
      </c>
      <c r="C8599" t="s">
        <v>632</v>
      </c>
      <c r="D8599" t="s">
        <v>633</v>
      </c>
      <c r="E8599" t="s">
        <v>392</v>
      </c>
      <c r="F8599" t="s">
        <v>721</v>
      </c>
      <c r="G8599">
        <v>10049200</v>
      </c>
      <c r="H8599">
        <v>10362200</v>
      </c>
    </row>
    <row r="8600" spans="2:8" x14ac:dyDescent="0.25">
      <c r="B8600" t="str">
        <f t="shared" si="134"/>
        <v>TSAPopulation ages 75-79, male</v>
      </c>
      <c r="C8600" t="s">
        <v>632</v>
      </c>
      <c r="D8600" t="s">
        <v>633</v>
      </c>
      <c r="E8600" t="s">
        <v>393</v>
      </c>
      <c r="F8600" t="s">
        <v>722</v>
      </c>
      <c r="G8600">
        <v>9002300</v>
      </c>
      <c r="H8600">
        <v>9261400</v>
      </c>
    </row>
    <row r="8601" spans="2:8" x14ac:dyDescent="0.25">
      <c r="B8601" t="str">
        <f t="shared" si="134"/>
        <v>TSAPopulation ages 80 and above, female</v>
      </c>
      <c r="C8601" t="s">
        <v>632</v>
      </c>
      <c r="D8601" t="s">
        <v>633</v>
      </c>
      <c r="E8601" t="s">
        <v>394</v>
      </c>
      <c r="F8601" t="s">
        <v>723</v>
      </c>
      <c r="G8601">
        <v>9162500</v>
      </c>
      <c r="H8601">
        <v>9356800</v>
      </c>
    </row>
    <row r="8602" spans="2:8" x14ac:dyDescent="0.25">
      <c r="B8602" t="str">
        <f t="shared" si="134"/>
        <v>TSAPopulation ages 80 and above, male</v>
      </c>
      <c r="C8602" t="s">
        <v>632</v>
      </c>
      <c r="D8602" t="s">
        <v>633</v>
      </c>
      <c r="E8602" t="s">
        <v>395</v>
      </c>
      <c r="F8602" t="s">
        <v>724</v>
      </c>
      <c r="G8602">
        <v>7682400</v>
      </c>
      <c r="H8602">
        <v>7774600</v>
      </c>
    </row>
    <row r="8603" spans="2:8" x14ac:dyDescent="0.25">
      <c r="B8603" t="str">
        <f t="shared" si="134"/>
        <v>TSAPopulation, male</v>
      </c>
      <c r="C8603" t="s">
        <v>632</v>
      </c>
      <c r="D8603" t="s">
        <v>633</v>
      </c>
      <c r="E8603" t="s">
        <v>397</v>
      </c>
      <c r="F8603" t="s">
        <v>725</v>
      </c>
      <c r="G8603">
        <v>947811000</v>
      </c>
      <c r="H8603">
        <v>958580000</v>
      </c>
    </row>
    <row r="8604" spans="2:8" x14ac:dyDescent="0.25">
      <c r="B8604" t="str">
        <f t="shared" si="134"/>
        <v>TSAPopulation, total</v>
      </c>
      <c r="C8604" t="s">
        <v>632</v>
      </c>
      <c r="D8604" t="s">
        <v>633</v>
      </c>
      <c r="E8604" t="s">
        <v>398</v>
      </c>
      <c r="F8604" t="s">
        <v>726</v>
      </c>
      <c r="G8604">
        <v>1835731000</v>
      </c>
      <c r="H8604">
        <v>1856800000</v>
      </c>
    </row>
    <row r="8605" spans="2:8" x14ac:dyDescent="0.25">
      <c r="B8605" t="str">
        <f t="shared" si="134"/>
        <v>TSAPopulation, female</v>
      </c>
      <c r="C8605" t="s">
        <v>632</v>
      </c>
      <c r="D8605" t="s">
        <v>633</v>
      </c>
      <c r="E8605" t="s">
        <v>396</v>
      </c>
      <c r="F8605" t="s">
        <v>727</v>
      </c>
      <c r="G8605">
        <v>887921000</v>
      </c>
      <c r="H8605">
        <v>898220000</v>
      </c>
    </row>
    <row r="8606" spans="2:8" x14ac:dyDescent="0.25">
      <c r="B8606" t="str">
        <f t="shared" si="134"/>
        <v>TSAPopulation growth (annual %)</v>
      </c>
      <c r="C8606" t="s">
        <v>632</v>
      </c>
      <c r="D8606" t="s">
        <v>633</v>
      </c>
      <c r="E8606" t="s">
        <v>399</v>
      </c>
      <c r="F8606" t="s">
        <v>728</v>
      </c>
      <c r="G8606">
        <v>1.176278020384359</v>
      </c>
      <c r="H8606">
        <v>1.1477171764272498</v>
      </c>
    </row>
    <row r="8607" spans="2:8" x14ac:dyDescent="0.25">
      <c r="B8607" t="str">
        <f t="shared" si="134"/>
        <v>SSDPopulation ages 0-14, female</v>
      </c>
      <c r="C8607" t="s">
        <v>634</v>
      </c>
      <c r="D8607" t="s">
        <v>635</v>
      </c>
      <c r="E8607" t="s">
        <v>687</v>
      </c>
      <c r="F8607" t="s">
        <v>688</v>
      </c>
      <c r="G8607">
        <v>2271000</v>
      </c>
      <c r="H8607">
        <v>2284000</v>
      </c>
    </row>
    <row r="8608" spans="2:8" x14ac:dyDescent="0.25">
      <c r="B8608" t="str">
        <f t="shared" si="134"/>
        <v>SSDPopulation ages 0-14, male</v>
      </c>
      <c r="C8608" t="s">
        <v>634</v>
      </c>
      <c r="D8608" t="s">
        <v>635</v>
      </c>
      <c r="E8608" t="s">
        <v>689</v>
      </c>
      <c r="F8608" t="s">
        <v>690</v>
      </c>
      <c r="G8608">
        <v>2328000</v>
      </c>
      <c r="H8608">
        <v>2342000</v>
      </c>
    </row>
    <row r="8609" spans="2:8" x14ac:dyDescent="0.25">
      <c r="B8609" t="str">
        <f t="shared" si="134"/>
        <v>SSDPopulation ages 00-04, female</v>
      </c>
      <c r="C8609" t="s">
        <v>634</v>
      </c>
      <c r="D8609" t="s">
        <v>635</v>
      </c>
      <c r="E8609" t="s">
        <v>362</v>
      </c>
      <c r="F8609" t="s">
        <v>691</v>
      </c>
      <c r="G8609">
        <v>838000</v>
      </c>
      <c r="H8609">
        <v>843000</v>
      </c>
    </row>
    <row r="8610" spans="2:8" x14ac:dyDescent="0.25">
      <c r="B8610" t="str">
        <f t="shared" si="134"/>
        <v>SSDPopulation ages 00-04, male</v>
      </c>
      <c r="C8610" t="s">
        <v>634</v>
      </c>
      <c r="D8610" t="s">
        <v>635</v>
      </c>
      <c r="E8610" t="s">
        <v>363</v>
      </c>
      <c r="F8610" t="s">
        <v>692</v>
      </c>
      <c r="G8610">
        <v>860000</v>
      </c>
      <c r="H8610">
        <v>865000</v>
      </c>
    </row>
    <row r="8611" spans="2:8" x14ac:dyDescent="0.25">
      <c r="B8611" t="str">
        <f t="shared" si="134"/>
        <v>SSDPopulation ages 05-09, female</v>
      </c>
      <c r="C8611" t="s">
        <v>634</v>
      </c>
      <c r="D8611" t="s">
        <v>635</v>
      </c>
      <c r="E8611" t="s">
        <v>364</v>
      </c>
      <c r="F8611" t="s">
        <v>693</v>
      </c>
      <c r="G8611">
        <v>758000</v>
      </c>
      <c r="H8611">
        <v>760000</v>
      </c>
    </row>
    <row r="8612" spans="2:8" x14ac:dyDescent="0.25">
      <c r="B8612" t="str">
        <f t="shared" si="134"/>
        <v>SSDPopulation ages 05-09, male</v>
      </c>
      <c r="C8612" t="s">
        <v>634</v>
      </c>
      <c r="D8612" t="s">
        <v>635</v>
      </c>
      <c r="E8612" t="s">
        <v>365</v>
      </c>
      <c r="F8612" t="s">
        <v>694</v>
      </c>
      <c r="G8612">
        <v>777000</v>
      </c>
      <c r="H8612">
        <v>779000</v>
      </c>
    </row>
    <row r="8613" spans="2:8" x14ac:dyDescent="0.25">
      <c r="B8613" t="str">
        <f t="shared" si="134"/>
        <v>SSDPopulation ages 10-14, female</v>
      </c>
      <c r="C8613" t="s">
        <v>634</v>
      </c>
      <c r="D8613" t="s">
        <v>635</v>
      </c>
      <c r="E8613" t="s">
        <v>366</v>
      </c>
      <c r="F8613" t="s">
        <v>695</v>
      </c>
      <c r="G8613">
        <v>675000</v>
      </c>
      <c r="H8613">
        <v>682000</v>
      </c>
    </row>
    <row r="8614" spans="2:8" x14ac:dyDescent="0.25">
      <c r="B8614" t="str">
        <f t="shared" si="134"/>
        <v>SSDPopulation ages 10-14, male</v>
      </c>
      <c r="C8614" t="s">
        <v>634</v>
      </c>
      <c r="D8614" t="s">
        <v>635</v>
      </c>
      <c r="E8614" t="s">
        <v>367</v>
      </c>
      <c r="F8614" t="s">
        <v>696</v>
      </c>
      <c r="G8614">
        <v>691000</v>
      </c>
      <c r="H8614">
        <v>698000</v>
      </c>
    </row>
    <row r="8615" spans="2:8" x14ac:dyDescent="0.25">
      <c r="B8615" t="str">
        <f t="shared" si="134"/>
        <v>SSDPopulation ages 15-19, female</v>
      </c>
      <c r="C8615" t="s">
        <v>634</v>
      </c>
      <c r="D8615" t="s">
        <v>635</v>
      </c>
      <c r="E8615" t="s">
        <v>368</v>
      </c>
      <c r="F8615" t="s">
        <v>697</v>
      </c>
      <c r="G8615">
        <v>589000</v>
      </c>
      <c r="H8615">
        <v>595000</v>
      </c>
    </row>
    <row r="8616" spans="2:8" x14ac:dyDescent="0.25">
      <c r="B8616" t="str">
        <f t="shared" si="134"/>
        <v>SSDPopulation ages 15-19, male</v>
      </c>
      <c r="C8616" t="s">
        <v>634</v>
      </c>
      <c r="D8616" t="s">
        <v>635</v>
      </c>
      <c r="E8616" t="s">
        <v>369</v>
      </c>
      <c r="F8616" t="s">
        <v>698</v>
      </c>
      <c r="G8616">
        <v>600000</v>
      </c>
      <c r="H8616">
        <v>607000</v>
      </c>
    </row>
    <row r="8617" spans="2:8" x14ac:dyDescent="0.25">
      <c r="B8617" t="str">
        <f t="shared" si="134"/>
        <v>SSDPopulation ages 20-24, female</v>
      </c>
      <c r="C8617" t="s">
        <v>634</v>
      </c>
      <c r="D8617" t="s">
        <v>635</v>
      </c>
      <c r="E8617" t="s">
        <v>370</v>
      </c>
      <c r="F8617" t="s">
        <v>699</v>
      </c>
      <c r="G8617">
        <v>521000</v>
      </c>
      <c r="H8617">
        <v>528000</v>
      </c>
    </row>
    <row r="8618" spans="2:8" x14ac:dyDescent="0.25">
      <c r="B8618" t="str">
        <f t="shared" si="134"/>
        <v>SSDPopulation ages 20-24, male</v>
      </c>
      <c r="C8618" t="s">
        <v>634</v>
      </c>
      <c r="D8618" t="s">
        <v>635</v>
      </c>
      <c r="E8618" t="s">
        <v>371</v>
      </c>
      <c r="F8618" t="s">
        <v>700</v>
      </c>
      <c r="G8618">
        <v>527000</v>
      </c>
      <c r="H8618">
        <v>534000</v>
      </c>
    </row>
    <row r="8619" spans="2:8" x14ac:dyDescent="0.25">
      <c r="B8619" t="str">
        <f t="shared" si="134"/>
        <v>SSDPopulation ages 25-29, female</v>
      </c>
      <c r="C8619" t="s">
        <v>634</v>
      </c>
      <c r="D8619" t="s">
        <v>635</v>
      </c>
      <c r="E8619" t="s">
        <v>372</v>
      </c>
      <c r="F8619" t="s">
        <v>701</v>
      </c>
      <c r="G8619">
        <v>441000</v>
      </c>
      <c r="H8619">
        <v>450000</v>
      </c>
    </row>
    <row r="8620" spans="2:8" x14ac:dyDescent="0.25">
      <c r="B8620" t="str">
        <f t="shared" si="134"/>
        <v>SSDPopulation ages 25-29, male</v>
      </c>
      <c r="C8620" t="s">
        <v>634</v>
      </c>
      <c r="D8620" t="s">
        <v>635</v>
      </c>
      <c r="E8620" t="s">
        <v>373</v>
      </c>
      <c r="F8620" t="s">
        <v>702</v>
      </c>
      <c r="G8620">
        <v>443000</v>
      </c>
      <c r="H8620">
        <v>451000</v>
      </c>
    </row>
    <row r="8621" spans="2:8" x14ac:dyDescent="0.25">
      <c r="B8621" t="str">
        <f t="shared" si="134"/>
        <v>SSDPopulation ages 30-34, female</v>
      </c>
      <c r="C8621" t="s">
        <v>634</v>
      </c>
      <c r="D8621" t="s">
        <v>635</v>
      </c>
      <c r="E8621" t="s">
        <v>374</v>
      </c>
      <c r="F8621" t="s">
        <v>703</v>
      </c>
      <c r="G8621">
        <v>363000</v>
      </c>
      <c r="H8621">
        <v>372000</v>
      </c>
    </row>
    <row r="8622" spans="2:8" x14ac:dyDescent="0.25">
      <c r="B8622" t="str">
        <f t="shared" si="134"/>
        <v>SSDPopulation ages 30-34, male</v>
      </c>
      <c r="C8622" t="s">
        <v>634</v>
      </c>
      <c r="D8622" t="s">
        <v>635</v>
      </c>
      <c r="E8622" t="s">
        <v>375</v>
      </c>
      <c r="F8622" t="s">
        <v>704</v>
      </c>
      <c r="G8622">
        <v>363000</v>
      </c>
      <c r="H8622">
        <v>372000</v>
      </c>
    </row>
    <row r="8623" spans="2:8" x14ac:dyDescent="0.25">
      <c r="B8623" t="str">
        <f t="shared" si="134"/>
        <v>SSDPopulation ages 35-39, female</v>
      </c>
      <c r="C8623" t="s">
        <v>634</v>
      </c>
      <c r="D8623" t="s">
        <v>635</v>
      </c>
      <c r="E8623" t="s">
        <v>376</v>
      </c>
      <c r="F8623" t="s">
        <v>705</v>
      </c>
      <c r="G8623">
        <v>290000</v>
      </c>
      <c r="H8623">
        <v>296000</v>
      </c>
    </row>
    <row r="8624" spans="2:8" x14ac:dyDescent="0.25">
      <c r="B8624" t="str">
        <f t="shared" si="134"/>
        <v>SSDPopulation ages 35-39, male</v>
      </c>
      <c r="C8624" t="s">
        <v>634</v>
      </c>
      <c r="D8624" t="s">
        <v>635</v>
      </c>
      <c r="E8624" t="s">
        <v>377</v>
      </c>
      <c r="F8624" t="s">
        <v>706</v>
      </c>
      <c r="G8624">
        <v>289000</v>
      </c>
      <c r="H8624">
        <v>294000</v>
      </c>
    </row>
    <row r="8625" spans="2:8" x14ac:dyDescent="0.25">
      <c r="B8625" t="str">
        <f t="shared" si="134"/>
        <v>SSDPopulation ages 40-44, female</v>
      </c>
      <c r="C8625" t="s">
        <v>634</v>
      </c>
      <c r="D8625" t="s">
        <v>635</v>
      </c>
      <c r="E8625" t="s">
        <v>378</v>
      </c>
      <c r="F8625" t="s">
        <v>707</v>
      </c>
      <c r="G8625">
        <v>244000</v>
      </c>
      <c r="H8625">
        <v>247000</v>
      </c>
    </row>
    <row r="8626" spans="2:8" x14ac:dyDescent="0.25">
      <c r="B8626" t="str">
        <f t="shared" si="134"/>
        <v>SSDPopulation ages 40-44, male</v>
      </c>
      <c r="C8626" t="s">
        <v>634</v>
      </c>
      <c r="D8626" t="s">
        <v>635</v>
      </c>
      <c r="E8626" t="s">
        <v>379</v>
      </c>
      <c r="F8626" t="s">
        <v>708</v>
      </c>
      <c r="G8626">
        <v>242000</v>
      </c>
      <c r="H8626">
        <v>245000</v>
      </c>
    </row>
    <row r="8627" spans="2:8" x14ac:dyDescent="0.25">
      <c r="B8627" t="str">
        <f t="shared" si="134"/>
        <v>SSDPopulation ages 45-49, female</v>
      </c>
      <c r="C8627" t="s">
        <v>634</v>
      </c>
      <c r="D8627" t="s">
        <v>635</v>
      </c>
      <c r="E8627" t="s">
        <v>380</v>
      </c>
      <c r="F8627" t="s">
        <v>709</v>
      </c>
      <c r="G8627">
        <v>201000</v>
      </c>
      <c r="H8627">
        <v>204000</v>
      </c>
    </row>
    <row r="8628" spans="2:8" x14ac:dyDescent="0.25">
      <c r="B8628" t="str">
        <f t="shared" si="134"/>
        <v>SSDPopulation ages 45-49, male</v>
      </c>
      <c r="C8628" t="s">
        <v>634</v>
      </c>
      <c r="D8628" t="s">
        <v>635</v>
      </c>
      <c r="E8628" t="s">
        <v>381</v>
      </c>
      <c r="F8628" t="s">
        <v>710</v>
      </c>
      <c r="G8628">
        <v>197000</v>
      </c>
      <c r="H8628">
        <v>201000</v>
      </c>
    </row>
    <row r="8629" spans="2:8" x14ac:dyDescent="0.25">
      <c r="B8629" t="str">
        <f t="shared" si="134"/>
        <v>SSDPopulation ages 50-54, female</v>
      </c>
      <c r="C8629" t="s">
        <v>634</v>
      </c>
      <c r="D8629" t="s">
        <v>635</v>
      </c>
      <c r="E8629" t="s">
        <v>382</v>
      </c>
      <c r="F8629" t="s">
        <v>711</v>
      </c>
      <c r="G8629">
        <v>167000</v>
      </c>
      <c r="H8629">
        <v>169000</v>
      </c>
    </row>
    <row r="8630" spans="2:8" x14ac:dyDescent="0.25">
      <c r="B8630" t="str">
        <f t="shared" si="134"/>
        <v>SSDPopulation ages 50-54, male</v>
      </c>
      <c r="C8630" t="s">
        <v>634</v>
      </c>
      <c r="D8630" t="s">
        <v>635</v>
      </c>
      <c r="E8630" t="s">
        <v>383</v>
      </c>
      <c r="F8630" t="s">
        <v>712</v>
      </c>
      <c r="G8630">
        <v>160000</v>
      </c>
      <c r="H8630">
        <v>163000</v>
      </c>
    </row>
    <row r="8631" spans="2:8" x14ac:dyDescent="0.25">
      <c r="B8631" t="str">
        <f t="shared" si="134"/>
        <v>SSDPopulation ages 55-59, male</v>
      </c>
      <c r="C8631" t="s">
        <v>634</v>
      </c>
      <c r="D8631" t="s">
        <v>635</v>
      </c>
      <c r="E8631" t="s">
        <v>385</v>
      </c>
      <c r="F8631" t="s">
        <v>713</v>
      </c>
      <c r="G8631">
        <v>124000</v>
      </c>
      <c r="H8631">
        <v>127000</v>
      </c>
    </row>
    <row r="8632" spans="2:8" x14ac:dyDescent="0.25">
      <c r="B8632" t="str">
        <f t="shared" si="134"/>
        <v>SSDPopulation ages 55-59, female</v>
      </c>
      <c r="C8632" t="s">
        <v>634</v>
      </c>
      <c r="D8632" t="s">
        <v>635</v>
      </c>
      <c r="E8632" t="s">
        <v>384</v>
      </c>
      <c r="F8632" t="s">
        <v>714</v>
      </c>
      <c r="G8632">
        <v>133000</v>
      </c>
      <c r="H8632">
        <v>136000</v>
      </c>
    </row>
    <row r="8633" spans="2:8" x14ac:dyDescent="0.25">
      <c r="B8633" t="str">
        <f t="shared" si="134"/>
        <v>SSDPopulation ages 65-69, male</v>
      </c>
      <c r="C8633" t="s">
        <v>634</v>
      </c>
      <c r="D8633" t="s">
        <v>635</v>
      </c>
      <c r="E8633" t="s">
        <v>389</v>
      </c>
      <c r="F8633" t="s">
        <v>715</v>
      </c>
      <c r="G8633">
        <v>66000</v>
      </c>
      <c r="H8633">
        <v>67000</v>
      </c>
    </row>
    <row r="8634" spans="2:8" x14ac:dyDescent="0.25">
      <c r="B8634" t="str">
        <f t="shared" si="134"/>
        <v>SSDPopulation ages 65-69, female</v>
      </c>
      <c r="C8634" t="s">
        <v>634</v>
      </c>
      <c r="D8634" t="s">
        <v>635</v>
      </c>
      <c r="E8634" t="s">
        <v>388</v>
      </c>
      <c r="F8634" t="s">
        <v>716</v>
      </c>
      <c r="G8634">
        <v>76000</v>
      </c>
      <c r="H8634">
        <v>77000</v>
      </c>
    </row>
    <row r="8635" spans="2:8" x14ac:dyDescent="0.25">
      <c r="B8635" t="str">
        <f t="shared" si="134"/>
        <v>SSDPopulation ages 60-64, female</v>
      </c>
      <c r="C8635" t="s">
        <v>634</v>
      </c>
      <c r="D8635" t="s">
        <v>635</v>
      </c>
      <c r="E8635" t="s">
        <v>386</v>
      </c>
      <c r="F8635" t="s">
        <v>717</v>
      </c>
      <c r="G8635">
        <v>103000</v>
      </c>
      <c r="H8635">
        <v>106000</v>
      </c>
    </row>
    <row r="8636" spans="2:8" x14ac:dyDescent="0.25">
      <c r="B8636" t="str">
        <f t="shared" si="134"/>
        <v>SSDPopulation ages 60-64, male</v>
      </c>
      <c r="C8636" t="s">
        <v>634</v>
      </c>
      <c r="D8636" t="s">
        <v>635</v>
      </c>
      <c r="E8636" t="s">
        <v>387</v>
      </c>
      <c r="F8636" t="s">
        <v>718</v>
      </c>
      <c r="G8636">
        <v>93000</v>
      </c>
      <c r="H8636">
        <v>95000</v>
      </c>
    </row>
    <row r="8637" spans="2:8" x14ac:dyDescent="0.25">
      <c r="B8637" t="str">
        <f t="shared" si="134"/>
        <v>SSDPopulation ages 70-74, female</v>
      </c>
      <c r="C8637" t="s">
        <v>634</v>
      </c>
      <c r="D8637" t="s">
        <v>635</v>
      </c>
      <c r="E8637" t="s">
        <v>390</v>
      </c>
      <c r="F8637" t="s">
        <v>719</v>
      </c>
      <c r="G8637">
        <v>60000</v>
      </c>
      <c r="H8637">
        <v>60000</v>
      </c>
    </row>
    <row r="8638" spans="2:8" x14ac:dyDescent="0.25">
      <c r="B8638" t="str">
        <f t="shared" si="134"/>
        <v>SSDPopulation ages 70-74, male</v>
      </c>
      <c r="C8638" t="s">
        <v>634</v>
      </c>
      <c r="D8638" t="s">
        <v>635</v>
      </c>
      <c r="E8638" t="s">
        <v>391</v>
      </c>
      <c r="F8638" t="s">
        <v>720</v>
      </c>
      <c r="G8638">
        <v>53000</v>
      </c>
      <c r="H8638">
        <v>52000</v>
      </c>
    </row>
    <row r="8639" spans="2:8" x14ac:dyDescent="0.25">
      <c r="B8639" t="str">
        <f t="shared" si="134"/>
        <v>SSDPopulation ages 75-79, female</v>
      </c>
      <c r="C8639" t="s">
        <v>634</v>
      </c>
      <c r="D8639" t="s">
        <v>635</v>
      </c>
      <c r="E8639" t="s">
        <v>392</v>
      </c>
      <c r="F8639" t="s">
        <v>721</v>
      </c>
      <c r="G8639">
        <v>38000</v>
      </c>
      <c r="H8639">
        <v>38000</v>
      </c>
    </row>
    <row r="8640" spans="2:8" x14ac:dyDescent="0.25">
      <c r="B8640" t="str">
        <f t="shared" si="134"/>
        <v>SSDPopulation ages 75-79, male</v>
      </c>
      <c r="C8640" t="s">
        <v>634</v>
      </c>
      <c r="D8640" t="s">
        <v>635</v>
      </c>
      <c r="E8640" t="s">
        <v>393</v>
      </c>
      <c r="F8640" t="s">
        <v>722</v>
      </c>
      <c r="G8640">
        <v>32000</v>
      </c>
      <c r="H8640">
        <v>32000</v>
      </c>
    </row>
    <row r="8641" spans="2:8" x14ac:dyDescent="0.25">
      <c r="B8641" t="str">
        <f t="shared" si="134"/>
        <v>SSDPopulation ages 80 and above, female</v>
      </c>
      <c r="C8641" t="s">
        <v>634</v>
      </c>
      <c r="D8641" t="s">
        <v>635</v>
      </c>
      <c r="E8641" t="s">
        <v>394</v>
      </c>
      <c r="F8641" t="s">
        <v>723</v>
      </c>
      <c r="G8641">
        <v>28000</v>
      </c>
      <c r="H8641">
        <v>28000</v>
      </c>
    </row>
    <row r="8642" spans="2:8" x14ac:dyDescent="0.25">
      <c r="B8642" t="str">
        <f t="shared" si="134"/>
        <v>SSDPopulation ages 80 and above, male</v>
      </c>
      <c r="C8642" t="s">
        <v>634</v>
      </c>
      <c r="D8642" t="s">
        <v>635</v>
      </c>
      <c r="E8642" t="s">
        <v>395</v>
      </c>
      <c r="F8642" t="s">
        <v>724</v>
      </c>
      <c r="G8642">
        <v>21000</v>
      </c>
      <c r="H8642">
        <v>21000</v>
      </c>
    </row>
    <row r="8643" spans="2:8" x14ac:dyDescent="0.25">
      <c r="B8643" t="str">
        <f t="shared" si="134"/>
        <v>SSDPopulation, male</v>
      </c>
      <c r="C8643" t="s">
        <v>634</v>
      </c>
      <c r="D8643" t="s">
        <v>635</v>
      </c>
      <c r="E8643" t="s">
        <v>397</v>
      </c>
      <c r="F8643" t="s">
        <v>725</v>
      </c>
      <c r="G8643">
        <v>5537000</v>
      </c>
      <c r="H8643">
        <v>5603000</v>
      </c>
    </row>
    <row r="8644" spans="2:8" x14ac:dyDescent="0.25">
      <c r="B8644" t="str">
        <f t="shared" si="134"/>
        <v>SSDPopulation, total</v>
      </c>
      <c r="C8644" t="s">
        <v>634</v>
      </c>
      <c r="D8644" t="s">
        <v>635</v>
      </c>
      <c r="E8644" t="s">
        <v>398</v>
      </c>
      <c r="F8644" t="s">
        <v>726</v>
      </c>
      <c r="G8644">
        <v>11062000</v>
      </c>
      <c r="H8644">
        <v>11194000</v>
      </c>
    </row>
    <row r="8645" spans="2:8" x14ac:dyDescent="0.25">
      <c r="B8645" t="str">
        <f t="shared" si="134"/>
        <v>SSDPopulation, female</v>
      </c>
      <c r="C8645" t="s">
        <v>634</v>
      </c>
      <c r="D8645" t="s">
        <v>635</v>
      </c>
      <c r="E8645" t="s">
        <v>396</v>
      </c>
      <c r="F8645" t="s">
        <v>727</v>
      </c>
      <c r="G8645">
        <v>5526000</v>
      </c>
      <c r="H8645">
        <v>5591000</v>
      </c>
    </row>
    <row r="8646" spans="2:8" x14ac:dyDescent="0.25">
      <c r="B8646" t="str">
        <f t="shared" si="134"/>
        <v>SSDPopulation growth (annual %)</v>
      </c>
      <c r="C8646" t="s">
        <v>634</v>
      </c>
      <c r="D8646" t="s">
        <v>635</v>
      </c>
      <c r="E8646" t="s">
        <v>399</v>
      </c>
      <c r="F8646" t="s">
        <v>728</v>
      </c>
      <c r="G8646">
        <v>0</v>
      </c>
      <c r="H8646">
        <v>0</v>
      </c>
    </row>
    <row r="8647" spans="2:8" x14ac:dyDescent="0.25">
      <c r="B8647" t="str">
        <f t="shared" ref="B8647:B8710" si="135">CONCATENATE(D8647,E8647)</f>
        <v>ESPPopulation ages 0-14, female</v>
      </c>
      <c r="C8647" t="s">
        <v>636</v>
      </c>
      <c r="D8647" t="s">
        <v>40</v>
      </c>
      <c r="E8647" t="s">
        <v>687</v>
      </c>
      <c r="F8647" t="s">
        <v>688</v>
      </c>
      <c r="G8647">
        <v>3298000</v>
      </c>
      <c r="H8647">
        <v>3256000</v>
      </c>
    </row>
    <row r="8648" spans="2:8" x14ac:dyDescent="0.25">
      <c r="B8648" t="str">
        <f t="shared" si="135"/>
        <v>ESPPopulation ages 0-14, male</v>
      </c>
      <c r="C8648" t="s">
        <v>636</v>
      </c>
      <c r="D8648" t="s">
        <v>40</v>
      </c>
      <c r="E8648" t="s">
        <v>689</v>
      </c>
      <c r="F8648" t="s">
        <v>690</v>
      </c>
      <c r="G8648">
        <v>3512000</v>
      </c>
      <c r="H8648">
        <v>3470000</v>
      </c>
    </row>
    <row r="8649" spans="2:8" x14ac:dyDescent="0.25">
      <c r="B8649" t="str">
        <f t="shared" si="135"/>
        <v>ESPPopulation ages 00-04, female</v>
      </c>
      <c r="C8649" t="s">
        <v>636</v>
      </c>
      <c r="D8649" t="s">
        <v>40</v>
      </c>
      <c r="E8649" t="s">
        <v>362</v>
      </c>
      <c r="F8649" t="s">
        <v>691</v>
      </c>
      <c r="G8649">
        <v>977000</v>
      </c>
      <c r="H8649">
        <v>964000</v>
      </c>
    </row>
    <row r="8650" spans="2:8" x14ac:dyDescent="0.25">
      <c r="B8650" t="str">
        <f t="shared" si="135"/>
        <v>ESPPopulation ages 00-04, male</v>
      </c>
      <c r="C8650" t="s">
        <v>636</v>
      </c>
      <c r="D8650" t="s">
        <v>40</v>
      </c>
      <c r="E8650" t="s">
        <v>363</v>
      </c>
      <c r="F8650" t="s">
        <v>692</v>
      </c>
      <c r="G8650">
        <v>1038000</v>
      </c>
      <c r="H8650">
        <v>1025000</v>
      </c>
    </row>
    <row r="8651" spans="2:8" x14ac:dyDescent="0.25">
      <c r="B8651" t="str">
        <f t="shared" si="135"/>
        <v>ESPPopulation ages 05-09, female</v>
      </c>
      <c r="C8651" t="s">
        <v>636</v>
      </c>
      <c r="D8651" t="s">
        <v>40</v>
      </c>
      <c r="E8651" t="s">
        <v>364</v>
      </c>
      <c r="F8651" t="s">
        <v>693</v>
      </c>
      <c r="G8651">
        <v>1125000</v>
      </c>
      <c r="H8651">
        <v>1087000</v>
      </c>
    </row>
    <row r="8652" spans="2:8" x14ac:dyDescent="0.25">
      <c r="B8652" t="str">
        <f t="shared" si="135"/>
        <v>ESPPopulation ages 05-09, male</v>
      </c>
      <c r="C8652" t="s">
        <v>636</v>
      </c>
      <c r="D8652" t="s">
        <v>40</v>
      </c>
      <c r="E8652" t="s">
        <v>365</v>
      </c>
      <c r="F8652" t="s">
        <v>694</v>
      </c>
      <c r="G8652">
        <v>1198000</v>
      </c>
      <c r="H8652">
        <v>1156000</v>
      </c>
    </row>
    <row r="8653" spans="2:8" x14ac:dyDescent="0.25">
      <c r="B8653" t="str">
        <f t="shared" si="135"/>
        <v>ESPPopulation ages 10-14, female</v>
      </c>
      <c r="C8653" t="s">
        <v>636</v>
      </c>
      <c r="D8653" t="s">
        <v>40</v>
      </c>
      <c r="E8653" t="s">
        <v>366</v>
      </c>
      <c r="F8653" t="s">
        <v>695</v>
      </c>
      <c r="G8653">
        <v>1195000</v>
      </c>
      <c r="H8653">
        <v>1206000</v>
      </c>
    </row>
    <row r="8654" spans="2:8" x14ac:dyDescent="0.25">
      <c r="B8654" t="str">
        <f t="shared" si="135"/>
        <v>ESPPopulation ages 10-14, male</v>
      </c>
      <c r="C8654" t="s">
        <v>636</v>
      </c>
      <c r="D8654" t="s">
        <v>40</v>
      </c>
      <c r="E8654" t="s">
        <v>367</v>
      </c>
      <c r="F8654" t="s">
        <v>696</v>
      </c>
      <c r="G8654">
        <v>1276000</v>
      </c>
      <c r="H8654">
        <v>1289000</v>
      </c>
    </row>
    <row r="8655" spans="2:8" x14ac:dyDescent="0.25">
      <c r="B8655" t="str">
        <f t="shared" si="135"/>
        <v>ESPPopulation ages 15-19, female</v>
      </c>
      <c r="C8655" t="s">
        <v>636</v>
      </c>
      <c r="D8655" t="s">
        <v>40</v>
      </c>
      <c r="E8655" t="s">
        <v>368</v>
      </c>
      <c r="F8655" t="s">
        <v>697</v>
      </c>
      <c r="G8655">
        <v>1075000</v>
      </c>
      <c r="H8655">
        <v>1086000</v>
      </c>
    </row>
    <row r="8656" spans="2:8" x14ac:dyDescent="0.25">
      <c r="B8656" t="str">
        <f t="shared" si="135"/>
        <v>ESPPopulation ages 15-19, male</v>
      </c>
      <c r="C8656" t="s">
        <v>636</v>
      </c>
      <c r="D8656" t="s">
        <v>40</v>
      </c>
      <c r="E8656" t="s">
        <v>369</v>
      </c>
      <c r="F8656" t="s">
        <v>698</v>
      </c>
      <c r="G8656">
        <v>1135000</v>
      </c>
      <c r="H8656">
        <v>1150000</v>
      </c>
    </row>
    <row r="8657" spans="2:8" x14ac:dyDescent="0.25">
      <c r="B8657" t="str">
        <f t="shared" si="135"/>
        <v>ESPPopulation ages 20-24, female</v>
      </c>
      <c r="C8657" t="s">
        <v>636</v>
      </c>
      <c r="D8657" t="s">
        <v>40</v>
      </c>
      <c r="E8657" t="s">
        <v>370</v>
      </c>
      <c r="F8657" t="s">
        <v>699</v>
      </c>
      <c r="G8657">
        <v>1106000</v>
      </c>
      <c r="H8657">
        <v>1100000</v>
      </c>
    </row>
    <row r="8658" spans="2:8" x14ac:dyDescent="0.25">
      <c r="B8658" t="str">
        <f t="shared" si="135"/>
        <v>ESPPopulation ages 20-24, male</v>
      </c>
      <c r="C8658" t="s">
        <v>636</v>
      </c>
      <c r="D8658" t="s">
        <v>40</v>
      </c>
      <c r="E8658" t="s">
        <v>371</v>
      </c>
      <c r="F8658" t="s">
        <v>700</v>
      </c>
      <c r="G8658">
        <v>1159000</v>
      </c>
      <c r="H8658">
        <v>1154000</v>
      </c>
    </row>
    <row r="8659" spans="2:8" x14ac:dyDescent="0.25">
      <c r="B8659" t="str">
        <f t="shared" si="135"/>
        <v>ESPPopulation ages 25-29, female</v>
      </c>
      <c r="C8659" t="s">
        <v>636</v>
      </c>
      <c r="D8659" t="s">
        <v>40</v>
      </c>
      <c r="E8659" t="s">
        <v>372</v>
      </c>
      <c r="F8659" t="s">
        <v>701</v>
      </c>
      <c r="G8659">
        <v>1172000</v>
      </c>
      <c r="H8659">
        <v>1156000</v>
      </c>
    </row>
    <row r="8660" spans="2:8" x14ac:dyDescent="0.25">
      <c r="B8660" t="str">
        <f t="shared" si="135"/>
        <v>ESPPopulation ages 25-29, male</v>
      </c>
      <c r="C8660" t="s">
        <v>636</v>
      </c>
      <c r="D8660" t="s">
        <v>40</v>
      </c>
      <c r="E8660" t="s">
        <v>373</v>
      </c>
      <c r="F8660" t="s">
        <v>702</v>
      </c>
      <c r="G8660">
        <v>1214000</v>
      </c>
      <c r="H8660">
        <v>1203000</v>
      </c>
    </row>
    <row r="8661" spans="2:8" x14ac:dyDescent="0.25">
      <c r="B8661" t="str">
        <f t="shared" si="135"/>
        <v>ESPPopulation ages 30-34, female</v>
      </c>
      <c r="C8661" t="s">
        <v>636</v>
      </c>
      <c r="D8661" t="s">
        <v>40</v>
      </c>
      <c r="E8661" t="s">
        <v>374</v>
      </c>
      <c r="F8661" t="s">
        <v>703</v>
      </c>
      <c r="G8661">
        <v>1355000</v>
      </c>
      <c r="H8661">
        <v>1302000</v>
      </c>
    </row>
    <row r="8662" spans="2:8" x14ac:dyDescent="0.25">
      <c r="B8662" t="str">
        <f t="shared" si="135"/>
        <v>ESPPopulation ages 30-34, male</v>
      </c>
      <c r="C8662" t="s">
        <v>636</v>
      </c>
      <c r="D8662" t="s">
        <v>40</v>
      </c>
      <c r="E8662" t="s">
        <v>375</v>
      </c>
      <c r="F8662" t="s">
        <v>704</v>
      </c>
      <c r="G8662">
        <v>1360000</v>
      </c>
      <c r="H8662">
        <v>1315000</v>
      </c>
    </row>
    <row r="8663" spans="2:8" x14ac:dyDescent="0.25">
      <c r="B8663" t="str">
        <f t="shared" si="135"/>
        <v>ESPPopulation ages 35-39, female</v>
      </c>
      <c r="C8663" t="s">
        <v>636</v>
      </c>
      <c r="D8663" t="s">
        <v>40</v>
      </c>
      <c r="E8663" t="s">
        <v>376</v>
      </c>
      <c r="F8663" t="s">
        <v>705</v>
      </c>
      <c r="G8663">
        <v>1722000</v>
      </c>
      <c r="H8663">
        <v>1645000</v>
      </c>
    </row>
    <row r="8664" spans="2:8" x14ac:dyDescent="0.25">
      <c r="B8664" t="str">
        <f t="shared" si="135"/>
        <v>ESPPopulation ages 35-39, male</v>
      </c>
      <c r="C8664" t="s">
        <v>636</v>
      </c>
      <c r="D8664" t="s">
        <v>40</v>
      </c>
      <c r="E8664" t="s">
        <v>377</v>
      </c>
      <c r="F8664" t="s">
        <v>706</v>
      </c>
      <c r="G8664">
        <v>1718000</v>
      </c>
      <c r="H8664">
        <v>1635000</v>
      </c>
    </row>
    <row r="8665" spans="2:8" x14ac:dyDescent="0.25">
      <c r="B8665" t="str">
        <f t="shared" si="135"/>
        <v>ESPPopulation ages 40-44, female</v>
      </c>
      <c r="C8665" t="s">
        <v>636</v>
      </c>
      <c r="D8665" t="s">
        <v>40</v>
      </c>
      <c r="E8665" t="s">
        <v>378</v>
      </c>
      <c r="F8665" t="s">
        <v>707</v>
      </c>
      <c r="G8665">
        <v>1992000</v>
      </c>
      <c r="H8665">
        <v>1973000</v>
      </c>
    </row>
    <row r="8666" spans="2:8" x14ac:dyDescent="0.25">
      <c r="B8666" t="str">
        <f t="shared" si="135"/>
        <v>ESPPopulation ages 40-44, male</v>
      </c>
      <c r="C8666" t="s">
        <v>636</v>
      </c>
      <c r="D8666" t="s">
        <v>40</v>
      </c>
      <c r="E8666" t="s">
        <v>379</v>
      </c>
      <c r="F8666" t="s">
        <v>708</v>
      </c>
      <c r="G8666">
        <v>2057000</v>
      </c>
      <c r="H8666">
        <v>2025000</v>
      </c>
    </row>
    <row r="8667" spans="2:8" x14ac:dyDescent="0.25">
      <c r="B8667" t="str">
        <f t="shared" si="135"/>
        <v>ESPPopulation ages 45-49, female</v>
      </c>
      <c r="C8667" t="s">
        <v>636</v>
      </c>
      <c r="D8667" t="s">
        <v>40</v>
      </c>
      <c r="E8667" t="s">
        <v>380</v>
      </c>
      <c r="F8667" t="s">
        <v>709</v>
      </c>
      <c r="G8667">
        <v>1900000</v>
      </c>
      <c r="H8667">
        <v>1923000</v>
      </c>
    </row>
    <row r="8668" spans="2:8" x14ac:dyDescent="0.25">
      <c r="B8668" t="str">
        <f t="shared" si="135"/>
        <v>ESPPopulation ages 45-49, male</v>
      </c>
      <c r="C8668" t="s">
        <v>636</v>
      </c>
      <c r="D8668" t="s">
        <v>40</v>
      </c>
      <c r="E8668" t="s">
        <v>381</v>
      </c>
      <c r="F8668" t="s">
        <v>710</v>
      </c>
      <c r="G8668">
        <v>1983000</v>
      </c>
      <c r="H8668">
        <v>2011000</v>
      </c>
    </row>
    <row r="8669" spans="2:8" x14ac:dyDescent="0.25">
      <c r="B8669" t="str">
        <f t="shared" si="135"/>
        <v>ESPPopulation ages 50-54, female</v>
      </c>
      <c r="C8669" t="s">
        <v>636</v>
      </c>
      <c r="D8669" t="s">
        <v>40</v>
      </c>
      <c r="E8669" t="s">
        <v>382</v>
      </c>
      <c r="F8669" t="s">
        <v>711</v>
      </c>
      <c r="G8669">
        <v>1790000</v>
      </c>
      <c r="H8669">
        <v>1802000</v>
      </c>
    </row>
    <row r="8670" spans="2:8" x14ac:dyDescent="0.25">
      <c r="B8670" t="str">
        <f t="shared" si="135"/>
        <v>ESPPopulation ages 50-54, male</v>
      </c>
      <c r="C8670" t="s">
        <v>636</v>
      </c>
      <c r="D8670" t="s">
        <v>40</v>
      </c>
      <c r="E8670" t="s">
        <v>383</v>
      </c>
      <c r="F8670" t="s">
        <v>712</v>
      </c>
      <c r="G8670">
        <v>1801000</v>
      </c>
      <c r="H8670">
        <v>1827000</v>
      </c>
    </row>
    <row r="8671" spans="2:8" x14ac:dyDescent="0.25">
      <c r="B8671" t="str">
        <f t="shared" si="135"/>
        <v>ESPPopulation ages 55-59, male</v>
      </c>
      <c r="C8671" t="s">
        <v>636</v>
      </c>
      <c r="D8671" t="s">
        <v>40</v>
      </c>
      <c r="E8671" t="s">
        <v>385</v>
      </c>
      <c r="F8671" t="s">
        <v>713</v>
      </c>
      <c r="G8671">
        <v>1649000</v>
      </c>
      <c r="H8671">
        <v>1683000</v>
      </c>
    </row>
    <row r="8672" spans="2:8" x14ac:dyDescent="0.25">
      <c r="B8672" t="str">
        <f t="shared" si="135"/>
        <v>ESPPopulation ages 55-59, female</v>
      </c>
      <c r="C8672" t="s">
        <v>636</v>
      </c>
      <c r="D8672" t="s">
        <v>40</v>
      </c>
      <c r="E8672" t="s">
        <v>384</v>
      </c>
      <c r="F8672" t="s">
        <v>714</v>
      </c>
      <c r="G8672">
        <v>1702000</v>
      </c>
      <c r="H8672">
        <v>1728000</v>
      </c>
    </row>
    <row r="8673" spans="2:8" x14ac:dyDescent="0.25">
      <c r="B8673" t="str">
        <f t="shared" si="135"/>
        <v>ESPPopulation ages 65-69, male</v>
      </c>
      <c r="C8673" t="s">
        <v>636</v>
      </c>
      <c r="D8673" t="s">
        <v>40</v>
      </c>
      <c r="E8673" t="s">
        <v>389</v>
      </c>
      <c r="F8673" t="s">
        <v>715</v>
      </c>
      <c r="G8673">
        <v>1126000</v>
      </c>
      <c r="H8673">
        <v>1147000</v>
      </c>
    </row>
    <row r="8674" spans="2:8" x14ac:dyDescent="0.25">
      <c r="B8674" t="str">
        <f t="shared" si="135"/>
        <v>ESPPopulation ages 65-69, female</v>
      </c>
      <c r="C8674" t="s">
        <v>636</v>
      </c>
      <c r="D8674" t="s">
        <v>40</v>
      </c>
      <c r="E8674" t="s">
        <v>388</v>
      </c>
      <c r="F8674" t="s">
        <v>716</v>
      </c>
      <c r="G8674">
        <v>1233000</v>
      </c>
      <c r="H8674">
        <v>1252000</v>
      </c>
    </row>
    <row r="8675" spans="2:8" x14ac:dyDescent="0.25">
      <c r="B8675" t="str">
        <f t="shared" si="135"/>
        <v>ESPPopulation ages 60-64, female</v>
      </c>
      <c r="C8675" t="s">
        <v>636</v>
      </c>
      <c r="D8675" t="s">
        <v>40</v>
      </c>
      <c r="E8675" t="s">
        <v>386</v>
      </c>
      <c r="F8675" t="s">
        <v>717</v>
      </c>
      <c r="G8675">
        <v>1462000</v>
      </c>
      <c r="H8675">
        <v>1512000</v>
      </c>
    </row>
    <row r="8676" spans="2:8" x14ac:dyDescent="0.25">
      <c r="B8676" t="str">
        <f t="shared" si="135"/>
        <v>ESPPopulation ages 60-64, male</v>
      </c>
      <c r="C8676" t="s">
        <v>636</v>
      </c>
      <c r="D8676" t="s">
        <v>40</v>
      </c>
      <c r="E8676" t="s">
        <v>387</v>
      </c>
      <c r="F8676" t="s">
        <v>718</v>
      </c>
      <c r="G8676">
        <v>1377000</v>
      </c>
      <c r="H8676">
        <v>1425000</v>
      </c>
    </row>
    <row r="8677" spans="2:8" x14ac:dyDescent="0.25">
      <c r="B8677" t="str">
        <f t="shared" si="135"/>
        <v>ESPPopulation ages 70-74, female</v>
      </c>
      <c r="C8677" t="s">
        <v>636</v>
      </c>
      <c r="D8677" t="s">
        <v>40</v>
      </c>
      <c r="E8677" t="s">
        <v>390</v>
      </c>
      <c r="F8677" t="s">
        <v>719</v>
      </c>
      <c r="G8677">
        <v>1167000</v>
      </c>
      <c r="H8677">
        <v>1180000</v>
      </c>
    </row>
    <row r="8678" spans="2:8" x14ac:dyDescent="0.25">
      <c r="B8678" t="str">
        <f t="shared" si="135"/>
        <v>ESPPopulation ages 70-74, male</v>
      </c>
      <c r="C8678" t="s">
        <v>636</v>
      </c>
      <c r="D8678" t="s">
        <v>40</v>
      </c>
      <c r="E8678" t="s">
        <v>391</v>
      </c>
      <c r="F8678" t="s">
        <v>720</v>
      </c>
      <c r="G8678">
        <v>1008000</v>
      </c>
      <c r="H8678">
        <v>1022000</v>
      </c>
    </row>
    <row r="8679" spans="2:8" x14ac:dyDescent="0.25">
      <c r="B8679" t="str">
        <f t="shared" si="135"/>
        <v>ESPPopulation ages 75-79, female</v>
      </c>
      <c r="C8679" t="s">
        <v>636</v>
      </c>
      <c r="D8679" t="s">
        <v>40</v>
      </c>
      <c r="E8679" t="s">
        <v>392</v>
      </c>
      <c r="F8679" t="s">
        <v>721</v>
      </c>
      <c r="G8679">
        <v>970000</v>
      </c>
      <c r="H8679">
        <v>1004000</v>
      </c>
    </row>
    <row r="8680" spans="2:8" x14ac:dyDescent="0.25">
      <c r="B8680" t="str">
        <f t="shared" si="135"/>
        <v>ESPPopulation ages 75-79, male</v>
      </c>
      <c r="C8680" t="s">
        <v>636</v>
      </c>
      <c r="D8680" t="s">
        <v>40</v>
      </c>
      <c r="E8680" t="s">
        <v>393</v>
      </c>
      <c r="F8680" t="s">
        <v>722</v>
      </c>
      <c r="G8680">
        <v>775000</v>
      </c>
      <c r="H8680">
        <v>805000</v>
      </c>
    </row>
    <row r="8681" spans="2:8" x14ac:dyDescent="0.25">
      <c r="B8681" t="str">
        <f t="shared" si="135"/>
        <v>ESPPopulation ages 80 and above, female</v>
      </c>
      <c r="C8681" t="s">
        <v>636</v>
      </c>
      <c r="D8681" t="s">
        <v>40</v>
      </c>
      <c r="E8681" t="s">
        <v>394</v>
      </c>
      <c r="F8681" t="s">
        <v>723</v>
      </c>
      <c r="G8681">
        <v>1822000</v>
      </c>
      <c r="H8681">
        <v>1834000</v>
      </c>
    </row>
    <row r="8682" spans="2:8" x14ac:dyDescent="0.25">
      <c r="B8682" t="str">
        <f t="shared" si="135"/>
        <v>ESPPopulation ages 80 and above, male</v>
      </c>
      <c r="C8682" t="s">
        <v>636</v>
      </c>
      <c r="D8682" t="s">
        <v>40</v>
      </c>
      <c r="E8682" t="s">
        <v>395</v>
      </c>
      <c r="F8682" t="s">
        <v>724</v>
      </c>
      <c r="G8682">
        <v>1078000</v>
      </c>
      <c r="H8682">
        <v>1087000</v>
      </c>
    </row>
    <row r="8683" spans="2:8" x14ac:dyDescent="0.25">
      <c r="B8683" t="str">
        <f t="shared" si="135"/>
        <v>ESPPopulation, male</v>
      </c>
      <c r="C8683" t="s">
        <v>636</v>
      </c>
      <c r="D8683" t="s">
        <v>40</v>
      </c>
      <c r="E8683" t="s">
        <v>397</v>
      </c>
      <c r="F8683" t="s">
        <v>725</v>
      </c>
      <c r="G8683">
        <v>22952000</v>
      </c>
      <c r="H8683">
        <v>22957000</v>
      </c>
    </row>
    <row r="8684" spans="2:8" x14ac:dyDescent="0.25">
      <c r="B8684" t="str">
        <f t="shared" si="135"/>
        <v>ESPPopulation, total</v>
      </c>
      <c r="C8684" t="s">
        <v>636</v>
      </c>
      <c r="D8684" t="s">
        <v>40</v>
      </c>
      <c r="E8684" t="s">
        <v>398</v>
      </c>
      <c r="F8684" t="s">
        <v>726</v>
      </c>
      <c r="G8684">
        <v>46719000</v>
      </c>
      <c r="H8684">
        <v>46711000</v>
      </c>
    </row>
    <row r="8685" spans="2:8" x14ac:dyDescent="0.25">
      <c r="B8685" t="str">
        <f t="shared" si="135"/>
        <v>ESPPopulation, female</v>
      </c>
      <c r="C8685" t="s">
        <v>636</v>
      </c>
      <c r="D8685" t="s">
        <v>40</v>
      </c>
      <c r="E8685" t="s">
        <v>396</v>
      </c>
      <c r="F8685" t="s">
        <v>727</v>
      </c>
      <c r="G8685">
        <v>23767000</v>
      </c>
      <c r="H8685">
        <v>23754000</v>
      </c>
    </row>
    <row r="8686" spans="2:8" x14ac:dyDescent="0.25">
      <c r="B8686" t="str">
        <f t="shared" si="135"/>
        <v>ESPPopulation growth (annual %)</v>
      </c>
      <c r="C8686" t="s">
        <v>636</v>
      </c>
      <c r="D8686" t="s">
        <v>40</v>
      </c>
      <c r="E8686" t="s">
        <v>399</v>
      </c>
      <c r="F8686" t="s">
        <v>728</v>
      </c>
      <c r="G8686">
        <v>0</v>
      </c>
      <c r="H8686">
        <v>0</v>
      </c>
    </row>
    <row r="8687" spans="2:8" x14ac:dyDescent="0.25">
      <c r="B8687" t="str">
        <f t="shared" si="135"/>
        <v>LKAPopulation ages 0-14, female</v>
      </c>
      <c r="C8687" t="s">
        <v>245</v>
      </c>
      <c r="D8687" t="s">
        <v>81</v>
      </c>
      <c r="E8687" t="s">
        <v>687</v>
      </c>
      <c r="F8687" t="s">
        <v>688</v>
      </c>
      <c r="G8687">
        <v>2579000</v>
      </c>
      <c r="H8687">
        <v>2556000</v>
      </c>
    </row>
    <row r="8688" spans="2:8" x14ac:dyDescent="0.25">
      <c r="B8688" t="str">
        <f t="shared" si="135"/>
        <v>LKAPopulation ages 0-14, male</v>
      </c>
      <c r="C8688" t="s">
        <v>245</v>
      </c>
      <c r="D8688" t="s">
        <v>81</v>
      </c>
      <c r="E8688" t="s">
        <v>689</v>
      </c>
      <c r="F8688" t="s">
        <v>690</v>
      </c>
      <c r="G8688">
        <v>2633000</v>
      </c>
      <c r="H8688">
        <v>2616000</v>
      </c>
    </row>
    <row r="8689" spans="2:8" x14ac:dyDescent="0.25">
      <c r="B8689" t="str">
        <f t="shared" si="135"/>
        <v>LKAPopulation ages 00-04, female</v>
      </c>
      <c r="C8689" t="s">
        <v>245</v>
      </c>
      <c r="D8689" t="s">
        <v>81</v>
      </c>
      <c r="E8689" t="s">
        <v>362</v>
      </c>
      <c r="F8689" t="s">
        <v>691</v>
      </c>
      <c r="G8689">
        <v>842000</v>
      </c>
      <c r="H8689">
        <v>832000</v>
      </c>
    </row>
    <row r="8690" spans="2:8" x14ac:dyDescent="0.25">
      <c r="B8690" t="str">
        <f t="shared" si="135"/>
        <v>LKAPopulation ages 00-04, male</v>
      </c>
      <c r="C8690" t="s">
        <v>245</v>
      </c>
      <c r="D8690" t="s">
        <v>81</v>
      </c>
      <c r="E8690" t="s">
        <v>363</v>
      </c>
      <c r="F8690" t="s">
        <v>692</v>
      </c>
      <c r="G8690">
        <v>870000</v>
      </c>
      <c r="H8690">
        <v>861000</v>
      </c>
    </row>
    <row r="8691" spans="2:8" x14ac:dyDescent="0.25">
      <c r="B8691" t="str">
        <f t="shared" si="135"/>
        <v>LKAPopulation ages 05-09, female</v>
      </c>
      <c r="C8691" t="s">
        <v>245</v>
      </c>
      <c r="D8691" t="s">
        <v>81</v>
      </c>
      <c r="E8691" t="s">
        <v>364</v>
      </c>
      <c r="F8691" t="s">
        <v>693</v>
      </c>
      <c r="G8691">
        <v>860000</v>
      </c>
      <c r="H8691">
        <v>850000</v>
      </c>
    </row>
    <row r="8692" spans="2:8" x14ac:dyDescent="0.25">
      <c r="B8692" t="str">
        <f t="shared" si="135"/>
        <v>LKAPopulation ages 05-09, male</v>
      </c>
      <c r="C8692" t="s">
        <v>245</v>
      </c>
      <c r="D8692" t="s">
        <v>81</v>
      </c>
      <c r="E8692" t="s">
        <v>365</v>
      </c>
      <c r="F8692" t="s">
        <v>694</v>
      </c>
      <c r="G8692">
        <v>881000</v>
      </c>
      <c r="H8692">
        <v>873000</v>
      </c>
    </row>
    <row r="8693" spans="2:8" x14ac:dyDescent="0.25">
      <c r="B8693" t="str">
        <f t="shared" si="135"/>
        <v>LKAPopulation ages 10-14, female</v>
      </c>
      <c r="C8693" t="s">
        <v>245</v>
      </c>
      <c r="D8693" t="s">
        <v>81</v>
      </c>
      <c r="E8693" t="s">
        <v>366</v>
      </c>
      <c r="F8693" t="s">
        <v>695</v>
      </c>
      <c r="G8693">
        <v>877000</v>
      </c>
      <c r="H8693">
        <v>874000</v>
      </c>
    </row>
    <row r="8694" spans="2:8" x14ac:dyDescent="0.25">
      <c r="B8694" t="str">
        <f t="shared" si="135"/>
        <v>LKAPopulation ages 10-14, male</v>
      </c>
      <c r="C8694" t="s">
        <v>245</v>
      </c>
      <c r="D8694" t="s">
        <v>81</v>
      </c>
      <c r="E8694" t="s">
        <v>367</v>
      </c>
      <c r="F8694" t="s">
        <v>696</v>
      </c>
      <c r="G8694">
        <v>882000</v>
      </c>
      <c r="H8694">
        <v>882000</v>
      </c>
    </row>
    <row r="8695" spans="2:8" x14ac:dyDescent="0.25">
      <c r="B8695" t="str">
        <f t="shared" si="135"/>
        <v>LKAPopulation ages 15-19, female</v>
      </c>
      <c r="C8695" t="s">
        <v>245</v>
      </c>
      <c r="D8695" t="s">
        <v>81</v>
      </c>
      <c r="E8695" t="s">
        <v>368</v>
      </c>
      <c r="F8695" t="s">
        <v>697</v>
      </c>
      <c r="G8695">
        <v>841000</v>
      </c>
      <c r="H8695">
        <v>850000</v>
      </c>
    </row>
    <row r="8696" spans="2:8" x14ac:dyDescent="0.25">
      <c r="B8696" t="str">
        <f t="shared" si="135"/>
        <v>LKAPopulation ages 15-19, male</v>
      </c>
      <c r="C8696" t="s">
        <v>245</v>
      </c>
      <c r="D8696" t="s">
        <v>81</v>
      </c>
      <c r="E8696" t="s">
        <v>369</v>
      </c>
      <c r="F8696" t="s">
        <v>698</v>
      </c>
      <c r="G8696">
        <v>838000</v>
      </c>
      <c r="H8696">
        <v>847000</v>
      </c>
    </row>
    <row r="8697" spans="2:8" x14ac:dyDescent="0.25">
      <c r="B8697" t="str">
        <f t="shared" si="135"/>
        <v>LKAPopulation ages 20-24, female</v>
      </c>
      <c r="C8697" t="s">
        <v>245</v>
      </c>
      <c r="D8697" t="s">
        <v>81</v>
      </c>
      <c r="E8697" t="s">
        <v>370</v>
      </c>
      <c r="F8697" t="s">
        <v>699</v>
      </c>
      <c r="G8697">
        <v>767000</v>
      </c>
      <c r="H8697">
        <v>768000</v>
      </c>
    </row>
    <row r="8698" spans="2:8" x14ac:dyDescent="0.25">
      <c r="B8698" t="str">
        <f t="shared" si="135"/>
        <v>LKAPopulation ages 20-24, male</v>
      </c>
      <c r="C8698" t="s">
        <v>245</v>
      </c>
      <c r="D8698" t="s">
        <v>81</v>
      </c>
      <c r="E8698" t="s">
        <v>371</v>
      </c>
      <c r="F8698" t="s">
        <v>700</v>
      </c>
      <c r="G8698">
        <v>754000</v>
      </c>
      <c r="H8698">
        <v>758000</v>
      </c>
    </row>
    <row r="8699" spans="2:8" x14ac:dyDescent="0.25">
      <c r="B8699" t="str">
        <f t="shared" si="135"/>
        <v>LKAPopulation ages 25-29, female</v>
      </c>
      <c r="C8699" t="s">
        <v>245</v>
      </c>
      <c r="D8699" t="s">
        <v>81</v>
      </c>
      <c r="E8699" t="s">
        <v>372</v>
      </c>
      <c r="F8699" t="s">
        <v>701</v>
      </c>
      <c r="G8699">
        <v>755000</v>
      </c>
      <c r="H8699">
        <v>746000</v>
      </c>
    </row>
    <row r="8700" spans="2:8" x14ac:dyDescent="0.25">
      <c r="B8700" t="str">
        <f t="shared" si="135"/>
        <v>LKAPopulation ages 25-29, male</v>
      </c>
      <c r="C8700" t="s">
        <v>245</v>
      </c>
      <c r="D8700" t="s">
        <v>81</v>
      </c>
      <c r="E8700" t="s">
        <v>373</v>
      </c>
      <c r="F8700" t="s">
        <v>702</v>
      </c>
      <c r="G8700">
        <v>690000</v>
      </c>
      <c r="H8700">
        <v>688000</v>
      </c>
    </row>
    <row r="8701" spans="2:8" x14ac:dyDescent="0.25">
      <c r="B8701" t="str">
        <f t="shared" si="135"/>
        <v>LKAPopulation ages 30-34, female</v>
      </c>
      <c r="C8701" t="s">
        <v>245</v>
      </c>
      <c r="D8701" t="s">
        <v>81</v>
      </c>
      <c r="E8701" t="s">
        <v>374</v>
      </c>
      <c r="F8701" t="s">
        <v>703</v>
      </c>
      <c r="G8701">
        <v>760000</v>
      </c>
      <c r="H8701">
        <v>744000</v>
      </c>
    </row>
    <row r="8702" spans="2:8" x14ac:dyDescent="0.25">
      <c r="B8702" t="str">
        <f t="shared" si="135"/>
        <v>LKAPopulation ages 30-34, male</v>
      </c>
      <c r="C8702" t="s">
        <v>245</v>
      </c>
      <c r="D8702" t="s">
        <v>81</v>
      </c>
      <c r="E8702" t="s">
        <v>375</v>
      </c>
      <c r="F8702" t="s">
        <v>704</v>
      </c>
      <c r="G8702">
        <v>651000</v>
      </c>
      <c r="H8702">
        <v>636000</v>
      </c>
    </row>
    <row r="8703" spans="2:8" x14ac:dyDescent="0.25">
      <c r="B8703" t="str">
        <f t="shared" si="135"/>
        <v>LKAPopulation ages 35-39, female</v>
      </c>
      <c r="C8703" t="s">
        <v>245</v>
      </c>
      <c r="D8703" t="s">
        <v>81</v>
      </c>
      <c r="E8703" t="s">
        <v>376</v>
      </c>
      <c r="F8703" t="s">
        <v>705</v>
      </c>
      <c r="G8703">
        <v>814000</v>
      </c>
      <c r="H8703">
        <v>802000</v>
      </c>
    </row>
    <row r="8704" spans="2:8" x14ac:dyDescent="0.25">
      <c r="B8704" t="str">
        <f t="shared" si="135"/>
        <v>LKAPopulation ages 35-39, male</v>
      </c>
      <c r="C8704" t="s">
        <v>245</v>
      </c>
      <c r="D8704" t="s">
        <v>81</v>
      </c>
      <c r="E8704" t="s">
        <v>377</v>
      </c>
      <c r="F8704" t="s">
        <v>706</v>
      </c>
      <c r="G8704">
        <v>717000</v>
      </c>
      <c r="H8704">
        <v>695000</v>
      </c>
    </row>
    <row r="8705" spans="2:8" x14ac:dyDescent="0.25">
      <c r="B8705" t="str">
        <f t="shared" si="135"/>
        <v>LKAPopulation ages 40-44, female</v>
      </c>
      <c r="C8705" t="s">
        <v>245</v>
      </c>
      <c r="D8705" t="s">
        <v>81</v>
      </c>
      <c r="E8705" t="s">
        <v>378</v>
      </c>
      <c r="F8705" t="s">
        <v>707</v>
      </c>
      <c r="G8705">
        <v>797000</v>
      </c>
      <c r="H8705">
        <v>809000</v>
      </c>
    </row>
    <row r="8706" spans="2:8" x14ac:dyDescent="0.25">
      <c r="B8706" t="str">
        <f t="shared" si="135"/>
        <v>LKAPopulation ages 40-44, male</v>
      </c>
      <c r="C8706" t="s">
        <v>245</v>
      </c>
      <c r="D8706" t="s">
        <v>81</v>
      </c>
      <c r="E8706" t="s">
        <v>379</v>
      </c>
      <c r="F8706" t="s">
        <v>708</v>
      </c>
      <c r="G8706">
        <v>742000</v>
      </c>
      <c r="H8706">
        <v>745000</v>
      </c>
    </row>
    <row r="8707" spans="2:8" x14ac:dyDescent="0.25">
      <c r="B8707" t="str">
        <f t="shared" si="135"/>
        <v>LKAPopulation ages 45-49, female</v>
      </c>
      <c r="C8707" t="s">
        <v>245</v>
      </c>
      <c r="D8707" t="s">
        <v>81</v>
      </c>
      <c r="E8707" t="s">
        <v>380</v>
      </c>
      <c r="F8707" t="s">
        <v>709</v>
      </c>
      <c r="G8707">
        <v>701000</v>
      </c>
      <c r="H8707">
        <v>711000</v>
      </c>
    </row>
    <row r="8708" spans="2:8" x14ac:dyDescent="0.25">
      <c r="B8708" t="str">
        <f t="shared" si="135"/>
        <v>LKAPopulation ages 45-49, male</v>
      </c>
      <c r="C8708" t="s">
        <v>245</v>
      </c>
      <c r="D8708" t="s">
        <v>81</v>
      </c>
      <c r="E8708" t="s">
        <v>381</v>
      </c>
      <c r="F8708" t="s">
        <v>710</v>
      </c>
      <c r="G8708">
        <v>666000</v>
      </c>
      <c r="H8708">
        <v>673000</v>
      </c>
    </row>
    <row r="8709" spans="2:8" x14ac:dyDescent="0.25">
      <c r="B8709" t="str">
        <f t="shared" si="135"/>
        <v>LKAPopulation ages 50-54, female</v>
      </c>
      <c r="C8709" t="s">
        <v>245</v>
      </c>
      <c r="D8709" t="s">
        <v>81</v>
      </c>
      <c r="E8709" t="s">
        <v>382</v>
      </c>
      <c r="F8709" t="s">
        <v>711</v>
      </c>
      <c r="G8709">
        <v>688000</v>
      </c>
      <c r="H8709">
        <v>691000</v>
      </c>
    </row>
    <row r="8710" spans="2:8" x14ac:dyDescent="0.25">
      <c r="B8710" t="str">
        <f t="shared" si="135"/>
        <v>LKAPopulation ages 50-54, male</v>
      </c>
      <c r="C8710" t="s">
        <v>245</v>
      </c>
      <c r="D8710" t="s">
        <v>81</v>
      </c>
      <c r="E8710" t="s">
        <v>383</v>
      </c>
      <c r="F8710" t="s">
        <v>712</v>
      </c>
      <c r="G8710">
        <v>648000</v>
      </c>
      <c r="H8710">
        <v>653000</v>
      </c>
    </row>
    <row r="8711" spans="2:8" x14ac:dyDescent="0.25">
      <c r="B8711" t="str">
        <f t="shared" ref="B8711:B8774" si="136">CONCATENATE(D8711,E8711)</f>
        <v>LKAPopulation ages 55-59, male</v>
      </c>
      <c r="C8711" t="s">
        <v>245</v>
      </c>
      <c r="D8711" t="s">
        <v>81</v>
      </c>
      <c r="E8711" t="s">
        <v>385</v>
      </c>
      <c r="F8711" t="s">
        <v>713</v>
      </c>
      <c r="G8711">
        <v>592000</v>
      </c>
      <c r="H8711">
        <v>601000</v>
      </c>
    </row>
    <row r="8712" spans="2:8" x14ac:dyDescent="0.25">
      <c r="B8712" t="str">
        <f t="shared" si="136"/>
        <v>LKAPopulation ages 55-59, female</v>
      </c>
      <c r="C8712" t="s">
        <v>245</v>
      </c>
      <c r="D8712" t="s">
        <v>81</v>
      </c>
      <c r="E8712" t="s">
        <v>384</v>
      </c>
      <c r="F8712" t="s">
        <v>714</v>
      </c>
      <c r="G8712">
        <v>657000</v>
      </c>
      <c r="H8712">
        <v>661000</v>
      </c>
    </row>
    <row r="8713" spans="2:8" x14ac:dyDescent="0.25">
      <c r="B8713" t="str">
        <f t="shared" si="136"/>
        <v>LKAPopulation ages 65-69, male</v>
      </c>
      <c r="C8713" t="s">
        <v>245</v>
      </c>
      <c r="D8713" t="s">
        <v>81</v>
      </c>
      <c r="E8713" t="s">
        <v>389</v>
      </c>
      <c r="F8713" t="s">
        <v>715</v>
      </c>
      <c r="G8713">
        <v>405000</v>
      </c>
      <c r="H8713">
        <v>413000</v>
      </c>
    </row>
    <row r="8714" spans="2:8" x14ac:dyDescent="0.25">
      <c r="B8714" t="str">
        <f t="shared" si="136"/>
        <v>LKAPopulation ages 65-69, female</v>
      </c>
      <c r="C8714" t="s">
        <v>245</v>
      </c>
      <c r="D8714" t="s">
        <v>81</v>
      </c>
      <c r="E8714" t="s">
        <v>388</v>
      </c>
      <c r="F8714" t="s">
        <v>716</v>
      </c>
      <c r="G8714">
        <v>493000</v>
      </c>
      <c r="H8714">
        <v>504000</v>
      </c>
    </row>
    <row r="8715" spans="2:8" x14ac:dyDescent="0.25">
      <c r="B8715" t="str">
        <f t="shared" si="136"/>
        <v>LKAPopulation ages 60-64, female</v>
      </c>
      <c r="C8715" t="s">
        <v>245</v>
      </c>
      <c r="D8715" t="s">
        <v>81</v>
      </c>
      <c r="E8715" t="s">
        <v>386</v>
      </c>
      <c r="F8715" t="s">
        <v>717</v>
      </c>
      <c r="G8715">
        <v>598000</v>
      </c>
      <c r="H8715">
        <v>613000</v>
      </c>
    </row>
    <row r="8716" spans="2:8" x14ac:dyDescent="0.25">
      <c r="B8716" t="str">
        <f t="shared" si="136"/>
        <v>LKAPopulation ages 60-64, male</v>
      </c>
      <c r="C8716" t="s">
        <v>245</v>
      </c>
      <c r="D8716" t="s">
        <v>81</v>
      </c>
      <c r="E8716" t="s">
        <v>387</v>
      </c>
      <c r="F8716" t="s">
        <v>718</v>
      </c>
      <c r="G8716">
        <v>510000</v>
      </c>
      <c r="H8716">
        <v>523000</v>
      </c>
    </row>
    <row r="8717" spans="2:8" x14ac:dyDescent="0.25">
      <c r="B8717" t="str">
        <f t="shared" si="136"/>
        <v>LKAPopulation ages 70-74, female</v>
      </c>
      <c r="C8717" t="s">
        <v>245</v>
      </c>
      <c r="D8717" t="s">
        <v>81</v>
      </c>
      <c r="E8717" t="s">
        <v>390</v>
      </c>
      <c r="F8717" t="s">
        <v>719</v>
      </c>
      <c r="G8717">
        <v>406000</v>
      </c>
      <c r="H8717">
        <v>423000</v>
      </c>
    </row>
    <row r="8718" spans="2:8" x14ac:dyDescent="0.25">
      <c r="B8718" t="str">
        <f t="shared" si="136"/>
        <v>LKAPopulation ages 70-74, male</v>
      </c>
      <c r="C8718" t="s">
        <v>245</v>
      </c>
      <c r="D8718" t="s">
        <v>81</v>
      </c>
      <c r="E8718" t="s">
        <v>391</v>
      </c>
      <c r="F8718" t="s">
        <v>720</v>
      </c>
      <c r="G8718">
        <v>305000</v>
      </c>
      <c r="H8718">
        <v>318000</v>
      </c>
    </row>
    <row r="8719" spans="2:8" x14ac:dyDescent="0.25">
      <c r="B8719" t="str">
        <f t="shared" si="136"/>
        <v>LKAPopulation ages 75-79, female</v>
      </c>
      <c r="C8719" t="s">
        <v>245</v>
      </c>
      <c r="D8719" t="s">
        <v>81</v>
      </c>
      <c r="E8719" t="s">
        <v>392</v>
      </c>
      <c r="F8719" t="s">
        <v>721</v>
      </c>
      <c r="G8719">
        <v>238000</v>
      </c>
      <c r="H8719">
        <v>259000</v>
      </c>
    </row>
    <row r="8720" spans="2:8" x14ac:dyDescent="0.25">
      <c r="B8720" t="str">
        <f t="shared" si="136"/>
        <v>LKAPopulation ages 75-79, male</v>
      </c>
      <c r="C8720" t="s">
        <v>245</v>
      </c>
      <c r="D8720" t="s">
        <v>81</v>
      </c>
      <c r="E8720" t="s">
        <v>393</v>
      </c>
      <c r="F8720" t="s">
        <v>722</v>
      </c>
      <c r="G8720">
        <v>154000</v>
      </c>
      <c r="H8720">
        <v>168000</v>
      </c>
    </row>
    <row r="8721" spans="2:8" x14ac:dyDescent="0.25">
      <c r="B8721" t="str">
        <f t="shared" si="136"/>
        <v>LKAPopulation ages 80 and above, female</v>
      </c>
      <c r="C8721" t="s">
        <v>245</v>
      </c>
      <c r="D8721" t="s">
        <v>81</v>
      </c>
      <c r="E8721" t="s">
        <v>394</v>
      </c>
      <c r="F8721" t="s">
        <v>723</v>
      </c>
      <c r="G8721">
        <v>222000</v>
      </c>
      <c r="H8721">
        <v>230000</v>
      </c>
    </row>
    <row r="8722" spans="2:8" x14ac:dyDescent="0.25">
      <c r="B8722" t="str">
        <f t="shared" si="136"/>
        <v>LKAPopulation ages 80 and above, male</v>
      </c>
      <c r="C8722" t="s">
        <v>245</v>
      </c>
      <c r="D8722" t="s">
        <v>81</v>
      </c>
      <c r="E8722" t="s">
        <v>395</v>
      </c>
      <c r="F8722" t="s">
        <v>724</v>
      </c>
      <c r="G8722">
        <v>136000</v>
      </c>
      <c r="H8722">
        <v>137000</v>
      </c>
    </row>
    <row r="8723" spans="2:8" x14ac:dyDescent="0.25">
      <c r="B8723" t="str">
        <f t="shared" si="136"/>
        <v>LKAPopulation, male</v>
      </c>
      <c r="C8723" t="s">
        <v>245</v>
      </c>
      <c r="D8723" t="s">
        <v>81</v>
      </c>
      <c r="E8723" t="s">
        <v>397</v>
      </c>
      <c r="F8723" t="s">
        <v>725</v>
      </c>
      <c r="G8723">
        <v>10441000</v>
      </c>
      <c r="H8723">
        <v>10471000</v>
      </c>
    </row>
    <row r="8724" spans="2:8" x14ac:dyDescent="0.25">
      <c r="B8724" t="str">
        <f t="shared" si="136"/>
        <v>LKAPopulation, total</v>
      </c>
      <c r="C8724" t="s">
        <v>245</v>
      </c>
      <c r="D8724" t="s">
        <v>81</v>
      </c>
      <c r="E8724" t="s">
        <v>398</v>
      </c>
      <c r="F8724" t="s">
        <v>726</v>
      </c>
      <c r="G8724">
        <v>21757000</v>
      </c>
      <c r="H8724">
        <v>21837000</v>
      </c>
    </row>
    <row r="8725" spans="2:8" x14ac:dyDescent="0.25">
      <c r="B8725" t="str">
        <f t="shared" si="136"/>
        <v>LKAPopulation, female</v>
      </c>
      <c r="C8725" t="s">
        <v>245</v>
      </c>
      <c r="D8725" t="s">
        <v>81</v>
      </c>
      <c r="E8725" t="s">
        <v>396</v>
      </c>
      <c r="F8725" t="s">
        <v>727</v>
      </c>
      <c r="G8725">
        <v>11316000</v>
      </c>
      <c r="H8725">
        <v>11367000</v>
      </c>
    </row>
    <row r="8726" spans="2:8" x14ac:dyDescent="0.25">
      <c r="B8726" t="str">
        <f t="shared" si="136"/>
        <v>LKAPopulation growth (annual %)</v>
      </c>
      <c r="C8726" t="s">
        <v>245</v>
      </c>
      <c r="D8726" t="s">
        <v>81</v>
      </c>
      <c r="E8726" t="s">
        <v>399</v>
      </c>
      <c r="F8726" t="s">
        <v>728</v>
      </c>
      <c r="G8726">
        <v>0</v>
      </c>
      <c r="H8726">
        <v>0</v>
      </c>
    </row>
    <row r="8727" spans="2:8" x14ac:dyDescent="0.25">
      <c r="B8727" t="str">
        <f t="shared" si="136"/>
        <v>KNAPopulation ages 0-14, female</v>
      </c>
      <c r="C8727" t="s">
        <v>637</v>
      </c>
      <c r="D8727" t="s">
        <v>638</v>
      </c>
      <c r="E8727" t="s">
        <v>687</v>
      </c>
      <c r="F8727" t="s">
        <v>688</v>
      </c>
      <c r="G8727">
        <v>0</v>
      </c>
      <c r="H8727">
        <v>0</v>
      </c>
    </row>
    <row r="8728" spans="2:8" x14ac:dyDescent="0.25">
      <c r="B8728" t="str">
        <f t="shared" si="136"/>
        <v>KNAPopulation ages 0-14, male</v>
      </c>
      <c r="C8728" t="s">
        <v>637</v>
      </c>
      <c r="D8728" t="s">
        <v>638</v>
      </c>
      <c r="E8728" t="s">
        <v>689</v>
      </c>
      <c r="F8728" t="s">
        <v>690</v>
      </c>
      <c r="G8728">
        <v>0</v>
      </c>
      <c r="H8728">
        <v>0</v>
      </c>
    </row>
    <row r="8729" spans="2:8" x14ac:dyDescent="0.25">
      <c r="B8729" t="str">
        <f t="shared" si="136"/>
        <v>KNAPopulation ages 00-04, female</v>
      </c>
      <c r="C8729" t="s">
        <v>637</v>
      </c>
      <c r="D8729" t="s">
        <v>638</v>
      </c>
      <c r="E8729" t="s">
        <v>362</v>
      </c>
      <c r="F8729" t="s">
        <v>691</v>
      </c>
      <c r="G8729">
        <v>0</v>
      </c>
      <c r="H8729">
        <v>0</v>
      </c>
    </row>
    <row r="8730" spans="2:8" x14ac:dyDescent="0.25">
      <c r="B8730" t="str">
        <f t="shared" si="136"/>
        <v>KNAPopulation ages 00-04, male</v>
      </c>
      <c r="C8730" t="s">
        <v>637</v>
      </c>
      <c r="D8730" t="s">
        <v>638</v>
      </c>
      <c r="E8730" t="s">
        <v>363</v>
      </c>
      <c r="F8730" t="s">
        <v>692</v>
      </c>
      <c r="G8730">
        <v>0</v>
      </c>
      <c r="H8730">
        <v>0</v>
      </c>
    </row>
    <row r="8731" spans="2:8" x14ac:dyDescent="0.25">
      <c r="B8731" t="str">
        <f t="shared" si="136"/>
        <v>KNAPopulation ages 05-09, female</v>
      </c>
      <c r="C8731" t="s">
        <v>637</v>
      </c>
      <c r="D8731" t="s">
        <v>638</v>
      </c>
      <c r="E8731" t="s">
        <v>364</v>
      </c>
      <c r="F8731" t="s">
        <v>693</v>
      </c>
      <c r="G8731">
        <v>0</v>
      </c>
      <c r="H8731">
        <v>0</v>
      </c>
    </row>
    <row r="8732" spans="2:8" x14ac:dyDescent="0.25">
      <c r="B8732" t="str">
        <f t="shared" si="136"/>
        <v>KNAPopulation ages 05-09, male</v>
      </c>
      <c r="C8732" t="s">
        <v>637</v>
      </c>
      <c r="D8732" t="s">
        <v>638</v>
      </c>
      <c r="E8732" t="s">
        <v>365</v>
      </c>
      <c r="F8732" t="s">
        <v>694</v>
      </c>
      <c r="G8732">
        <v>0</v>
      </c>
      <c r="H8732">
        <v>0</v>
      </c>
    </row>
    <row r="8733" spans="2:8" x14ac:dyDescent="0.25">
      <c r="B8733" t="str">
        <f t="shared" si="136"/>
        <v>KNAPopulation ages 10-14, female</v>
      </c>
      <c r="C8733" t="s">
        <v>637</v>
      </c>
      <c r="D8733" t="s">
        <v>638</v>
      </c>
      <c r="E8733" t="s">
        <v>366</v>
      </c>
      <c r="F8733" t="s">
        <v>695</v>
      </c>
      <c r="G8733">
        <v>0</v>
      </c>
      <c r="H8733">
        <v>0</v>
      </c>
    </row>
    <row r="8734" spans="2:8" x14ac:dyDescent="0.25">
      <c r="B8734" t="str">
        <f t="shared" si="136"/>
        <v>KNAPopulation ages 10-14, male</v>
      </c>
      <c r="C8734" t="s">
        <v>637</v>
      </c>
      <c r="D8734" t="s">
        <v>638</v>
      </c>
      <c r="E8734" t="s">
        <v>367</v>
      </c>
      <c r="F8734" t="s">
        <v>696</v>
      </c>
      <c r="G8734">
        <v>0</v>
      </c>
      <c r="H8734">
        <v>0</v>
      </c>
    </row>
    <row r="8735" spans="2:8" x14ac:dyDescent="0.25">
      <c r="B8735" t="str">
        <f t="shared" si="136"/>
        <v>KNAPopulation ages 15-19, female</v>
      </c>
      <c r="C8735" t="s">
        <v>637</v>
      </c>
      <c r="D8735" t="s">
        <v>638</v>
      </c>
      <c r="E8735" t="s">
        <v>368</v>
      </c>
      <c r="F8735" t="s">
        <v>697</v>
      </c>
      <c r="G8735">
        <v>0</v>
      </c>
      <c r="H8735">
        <v>0</v>
      </c>
    </row>
    <row r="8736" spans="2:8" x14ac:dyDescent="0.25">
      <c r="B8736" t="str">
        <f t="shared" si="136"/>
        <v>KNAPopulation ages 15-19, male</v>
      </c>
      <c r="C8736" t="s">
        <v>637</v>
      </c>
      <c r="D8736" t="s">
        <v>638</v>
      </c>
      <c r="E8736" t="s">
        <v>369</v>
      </c>
      <c r="F8736" t="s">
        <v>698</v>
      </c>
      <c r="G8736">
        <v>0</v>
      </c>
      <c r="H8736">
        <v>0</v>
      </c>
    </row>
    <row r="8737" spans="2:8" x14ac:dyDescent="0.25">
      <c r="B8737" t="str">
        <f t="shared" si="136"/>
        <v>KNAPopulation ages 20-24, female</v>
      </c>
      <c r="C8737" t="s">
        <v>637</v>
      </c>
      <c r="D8737" t="s">
        <v>638</v>
      </c>
      <c r="E8737" t="s">
        <v>370</v>
      </c>
      <c r="F8737" t="s">
        <v>699</v>
      </c>
      <c r="G8737">
        <v>0</v>
      </c>
      <c r="H8737">
        <v>0</v>
      </c>
    </row>
    <row r="8738" spans="2:8" x14ac:dyDescent="0.25">
      <c r="B8738" t="str">
        <f t="shared" si="136"/>
        <v>KNAPopulation ages 20-24, male</v>
      </c>
      <c r="C8738" t="s">
        <v>637</v>
      </c>
      <c r="D8738" t="s">
        <v>638</v>
      </c>
      <c r="E8738" t="s">
        <v>371</v>
      </c>
      <c r="F8738" t="s">
        <v>700</v>
      </c>
      <c r="G8738">
        <v>0</v>
      </c>
      <c r="H8738">
        <v>0</v>
      </c>
    </row>
    <row r="8739" spans="2:8" x14ac:dyDescent="0.25">
      <c r="B8739" t="str">
        <f t="shared" si="136"/>
        <v>KNAPopulation ages 25-29, female</v>
      </c>
      <c r="C8739" t="s">
        <v>637</v>
      </c>
      <c r="D8739" t="s">
        <v>638</v>
      </c>
      <c r="E8739" t="s">
        <v>372</v>
      </c>
      <c r="F8739" t="s">
        <v>701</v>
      </c>
      <c r="G8739">
        <v>0</v>
      </c>
      <c r="H8739">
        <v>0</v>
      </c>
    </row>
    <row r="8740" spans="2:8" x14ac:dyDescent="0.25">
      <c r="B8740" t="str">
        <f t="shared" si="136"/>
        <v>KNAPopulation ages 25-29, male</v>
      </c>
      <c r="C8740" t="s">
        <v>637</v>
      </c>
      <c r="D8740" t="s">
        <v>638</v>
      </c>
      <c r="E8740" t="s">
        <v>373</v>
      </c>
      <c r="F8740" t="s">
        <v>702</v>
      </c>
      <c r="G8740">
        <v>0</v>
      </c>
      <c r="H8740">
        <v>0</v>
      </c>
    </row>
    <row r="8741" spans="2:8" x14ac:dyDescent="0.25">
      <c r="B8741" t="str">
        <f t="shared" si="136"/>
        <v>KNAPopulation ages 30-34, female</v>
      </c>
      <c r="C8741" t="s">
        <v>637</v>
      </c>
      <c r="D8741" t="s">
        <v>638</v>
      </c>
      <c r="E8741" t="s">
        <v>374</v>
      </c>
      <c r="F8741" t="s">
        <v>703</v>
      </c>
      <c r="G8741">
        <v>0</v>
      </c>
      <c r="H8741">
        <v>0</v>
      </c>
    </row>
    <row r="8742" spans="2:8" x14ac:dyDescent="0.25">
      <c r="B8742" t="str">
        <f t="shared" si="136"/>
        <v>KNAPopulation ages 30-34, male</v>
      </c>
      <c r="C8742" t="s">
        <v>637</v>
      </c>
      <c r="D8742" t="s">
        <v>638</v>
      </c>
      <c r="E8742" t="s">
        <v>375</v>
      </c>
      <c r="F8742" t="s">
        <v>704</v>
      </c>
      <c r="G8742">
        <v>0</v>
      </c>
      <c r="H8742">
        <v>0</v>
      </c>
    </row>
    <row r="8743" spans="2:8" x14ac:dyDescent="0.25">
      <c r="B8743" t="str">
        <f t="shared" si="136"/>
        <v>KNAPopulation ages 35-39, female</v>
      </c>
      <c r="C8743" t="s">
        <v>637</v>
      </c>
      <c r="D8743" t="s">
        <v>638</v>
      </c>
      <c r="E8743" t="s">
        <v>376</v>
      </c>
      <c r="F8743" t="s">
        <v>705</v>
      </c>
      <c r="G8743">
        <v>0</v>
      </c>
      <c r="H8743">
        <v>0</v>
      </c>
    </row>
    <row r="8744" spans="2:8" x14ac:dyDescent="0.25">
      <c r="B8744" t="str">
        <f t="shared" si="136"/>
        <v>KNAPopulation ages 35-39, male</v>
      </c>
      <c r="C8744" t="s">
        <v>637</v>
      </c>
      <c r="D8744" t="s">
        <v>638</v>
      </c>
      <c r="E8744" t="s">
        <v>377</v>
      </c>
      <c r="F8744" t="s">
        <v>706</v>
      </c>
      <c r="G8744">
        <v>0</v>
      </c>
      <c r="H8744">
        <v>0</v>
      </c>
    </row>
    <row r="8745" spans="2:8" x14ac:dyDescent="0.25">
      <c r="B8745" t="str">
        <f t="shared" si="136"/>
        <v>KNAPopulation ages 40-44, female</v>
      </c>
      <c r="C8745" t="s">
        <v>637</v>
      </c>
      <c r="D8745" t="s">
        <v>638</v>
      </c>
      <c r="E8745" t="s">
        <v>378</v>
      </c>
      <c r="F8745" t="s">
        <v>707</v>
      </c>
      <c r="G8745">
        <v>0</v>
      </c>
      <c r="H8745">
        <v>0</v>
      </c>
    </row>
    <row r="8746" spans="2:8" x14ac:dyDescent="0.25">
      <c r="B8746" t="str">
        <f t="shared" si="136"/>
        <v>KNAPopulation ages 40-44, male</v>
      </c>
      <c r="C8746" t="s">
        <v>637</v>
      </c>
      <c r="D8746" t="s">
        <v>638</v>
      </c>
      <c r="E8746" t="s">
        <v>379</v>
      </c>
      <c r="F8746" t="s">
        <v>708</v>
      </c>
      <c r="G8746">
        <v>0</v>
      </c>
      <c r="H8746">
        <v>0</v>
      </c>
    </row>
    <row r="8747" spans="2:8" x14ac:dyDescent="0.25">
      <c r="B8747" t="str">
        <f t="shared" si="136"/>
        <v>KNAPopulation ages 45-49, female</v>
      </c>
      <c r="C8747" t="s">
        <v>637</v>
      </c>
      <c r="D8747" t="s">
        <v>638</v>
      </c>
      <c r="E8747" t="s">
        <v>380</v>
      </c>
      <c r="F8747" t="s">
        <v>709</v>
      </c>
      <c r="G8747">
        <v>0</v>
      </c>
      <c r="H8747">
        <v>0</v>
      </c>
    </row>
    <row r="8748" spans="2:8" x14ac:dyDescent="0.25">
      <c r="B8748" t="str">
        <f t="shared" si="136"/>
        <v>KNAPopulation ages 45-49, male</v>
      </c>
      <c r="C8748" t="s">
        <v>637</v>
      </c>
      <c r="D8748" t="s">
        <v>638</v>
      </c>
      <c r="E8748" t="s">
        <v>381</v>
      </c>
      <c r="F8748" t="s">
        <v>710</v>
      </c>
      <c r="G8748">
        <v>0</v>
      </c>
      <c r="H8748">
        <v>0</v>
      </c>
    </row>
    <row r="8749" spans="2:8" x14ac:dyDescent="0.25">
      <c r="B8749" t="str">
        <f t="shared" si="136"/>
        <v>KNAPopulation ages 50-54, female</v>
      </c>
      <c r="C8749" t="s">
        <v>637</v>
      </c>
      <c r="D8749" t="s">
        <v>638</v>
      </c>
      <c r="E8749" t="s">
        <v>382</v>
      </c>
      <c r="F8749" t="s">
        <v>711</v>
      </c>
      <c r="G8749">
        <v>0</v>
      </c>
      <c r="H8749">
        <v>0</v>
      </c>
    </row>
    <row r="8750" spans="2:8" x14ac:dyDescent="0.25">
      <c r="B8750" t="str">
        <f t="shared" si="136"/>
        <v>KNAPopulation ages 50-54, male</v>
      </c>
      <c r="C8750" t="s">
        <v>637</v>
      </c>
      <c r="D8750" t="s">
        <v>638</v>
      </c>
      <c r="E8750" t="s">
        <v>383</v>
      </c>
      <c r="F8750" t="s">
        <v>712</v>
      </c>
      <c r="G8750">
        <v>0</v>
      </c>
      <c r="H8750">
        <v>0</v>
      </c>
    </row>
    <row r="8751" spans="2:8" x14ac:dyDescent="0.25">
      <c r="B8751" t="str">
        <f t="shared" si="136"/>
        <v>KNAPopulation ages 55-59, male</v>
      </c>
      <c r="C8751" t="s">
        <v>637</v>
      </c>
      <c r="D8751" t="s">
        <v>638</v>
      </c>
      <c r="E8751" t="s">
        <v>385</v>
      </c>
      <c r="F8751" t="s">
        <v>713</v>
      </c>
      <c r="G8751">
        <v>0</v>
      </c>
      <c r="H8751">
        <v>0</v>
      </c>
    </row>
    <row r="8752" spans="2:8" x14ac:dyDescent="0.25">
      <c r="B8752" t="str">
        <f t="shared" si="136"/>
        <v>KNAPopulation ages 55-59, female</v>
      </c>
      <c r="C8752" t="s">
        <v>637</v>
      </c>
      <c r="D8752" t="s">
        <v>638</v>
      </c>
      <c r="E8752" t="s">
        <v>384</v>
      </c>
      <c r="F8752" t="s">
        <v>714</v>
      </c>
      <c r="G8752">
        <v>0</v>
      </c>
      <c r="H8752">
        <v>0</v>
      </c>
    </row>
    <row r="8753" spans="2:8" x14ac:dyDescent="0.25">
      <c r="B8753" t="str">
        <f t="shared" si="136"/>
        <v>KNAPopulation ages 65-69, male</v>
      </c>
      <c r="C8753" t="s">
        <v>637</v>
      </c>
      <c r="D8753" t="s">
        <v>638</v>
      </c>
      <c r="E8753" t="s">
        <v>389</v>
      </c>
      <c r="F8753" t="s">
        <v>715</v>
      </c>
      <c r="G8753">
        <v>0</v>
      </c>
      <c r="H8753">
        <v>0</v>
      </c>
    </row>
    <row r="8754" spans="2:8" x14ac:dyDescent="0.25">
      <c r="B8754" t="str">
        <f t="shared" si="136"/>
        <v>KNAPopulation ages 65-69, female</v>
      </c>
      <c r="C8754" t="s">
        <v>637</v>
      </c>
      <c r="D8754" t="s">
        <v>638</v>
      </c>
      <c r="E8754" t="s">
        <v>388</v>
      </c>
      <c r="F8754" t="s">
        <v>716</v>
      </c>
      <c r="G8754">
        <v>0</v>
      </c>
      <c r="H8754">
        <v>0</v>
      </c>
    </row>
    <row r="8755" spans="2:8" x14ac:dyDescent="0.25">
      <c r="B8755" t="str">
        <f t="shared" si="136"/>
        <v>KNAPopulation ages 60-64, female</v>
      </c>
      <c r="C8755" t="s">
        <v>637</v>
      </c>
      <c r="D8755" t="s">
        <v>638</v>
      </c>
      <c r="E8755" t="s">
        <v>386</v>
      </c>
      <c r="F8755" t="s">
        <v>717</v>
      </c>
      <c r="G8755">
        <v>0</v>
      </c>
      <c r="H8755">
        <v>0</v>
      </c>
    </row>
    <row r="8756" spans="2:8" x14ac:dyDescent="0.25">
      <c r="B8756" t="str">
        <f t="shared" si="136"/>
        <v>KNAPopulation ages 60-64, male</v>
      </c>
      <c r="C8756" t="s">
        <v>637</v>
      </c>
      <c r="D8756" t="s">
        <v>638</v>
      </c>
      <c r="E8756" t="s">
        <v>387</v>
      </c>
      <c r="F8756" t="s">
        <v>718</v>
      </c>
      <c r="G8756">
        <v>0</v>
      </c>
      <c r="H8756">
        <v>0</v>
      </c>
    </row>
    <row r="8757" spans="2:8" x14ac:dyDescent="0.25">
      <c r="B8757" t="str">
        <f t="shared" si="136"/>
        <v>KNAPopulation ages 70-74, female</v>
      </c>
      <c r="C8757" t="s">
        <v>637</v>
      </c>
      <c r="D8757" t="s">
        <v>638</v>
      </c>
      <c r="E8757" t="s">
        <v>390</v>
      </c>
      <c r="F8757" t="s">
        <v>719</v>
      </c>
      <c r="G8757">
        <v>0</v>
      </c>
      <c r="H8757">
        <v>0</v>
      </c>
    </row>
    <row r="8758" spans="2:8" x14ac:dyDescent="0.25">
      <c r="B8758" t="str">
        <f t="shared" si="136"/>
        <v>KNAPopulation ages 70-74, male</v>
      </c>
      <c r="C8758" t="s">
        <v>637</v>
      </c>
      <c r="D8758" t="s">
        <v>638</v>
      </c>
      <c r="E8758" t="s">
        <v>391</v>
      </c>
      <c r="F8758" t="s">
        <v>720</v>
      </c>
      <c r="G8758">
        <v>0</v>
      </c>
      <c r="H8758">
        <v>0</v>
      </c>
    </row>
    <row r="8759" spans="2:8" x14ac:dyDescent="0.25">
      <c r="B8759" t="str">
        <f t="shared" si="136"/>
        <v>KNAPopulation ages 75-79, female</v>
      </c>
      <c r="C8759" t="s">
        <v>637</v>
      </c>
      <c r="D8759" t="s">
        <v>638</v>
      </c>
      <c r="E8759" t="s">
        <v>392</v>
      </c>
      <c r="F8759" t="s">
        <v>721</v>
      </c>
      <c r="G8759">
        <v>0</v>
      </c>
      <c r="H8759">
        <v>0</v>
      </c>
    </row>
    <row r="8760" spans="2:8" x14ac:dyDescent="0.25">
      <c r="B8760" t="str">
        <f t="shared" si="136"/>
        <v>KNAPopulation ages 75-79, male</v>
      </c>
      <c r="C8760" t="s">
        <v>637</v>
      </c>
      <c r="D8760" t="s">
        <v>638</v>
      </c>
      <c r="E8760" t="s">
        <v>393</v>
      </c>
      <c r="F8760" t="s">
        <v>722</v>
      </c>
      <c r="G8760">
        <v>0</v>
      </c>
      <c r="H8760">
        <v>0</v>
      </c>
    </row>
    <row r="8761" spans="2:8" x14ac:dyDescent="0.25">
      <c r="B8761" t="str">
        <f t="shared" si="136"/>
        <v>KNAPopulation ages 80 and above, female</v>
      </c>
      <c r="C8761" t="s">
        <v>637</v>
      </c>
      <c r="D8761" t="s">
        <v>638</v>
      </c>
      <c r="E8761" t="s">
        <v>394</v>
      </c>
      <c r="F8761" t="s">
        <v>723</v>
      </c>
      <c r="G8761">
        <v>0</v>
      </c>
      <c r="H8761">
        <v>0</v>
      </c>
    </row>
    <row r="8762" spans="2:8" x14ac:dyDescent="0.25">
      <c r="B8762" t="str">
        <f t="shared" si="136"/>
        <v>KNAPopulation ages 80 and above, male</v>
      </c>
      <c r="C8762" t="s">
        <v>637</v>
      </c>
      <c r="D8762" t="s">
        <v>638</v>
      </c>
      <c r="E8762" t="s">
        <v>395</v>
      </c>
      <c r="F8762" t="s">
        <v>724</v>
      </c>
      <c r="G8762">
        <v>0</v>
      </c>
      <c r="H8762">
        <v>0</v>
      </c>
    </row>
    <row r="8763" spans="2:8" x14ac:dyDescent="0.25">
      <c r="B8763" t="str">
        <f t="shared" si="136"/>
        <v>KNAPopulation, male</v>
      </c>
      <c r="C8763" t="s">
        <v>637</v>
      </c>
      <c r="D8763" t="s">
        <v>638</v>
      </c>
      <c r="E8763" t="s">
        <v>397</v>
      </c>
      <c r="F8763" t="s">
        <v>725</v>
      </c>
      <c r="G8763">
        <v>0</v>
      </c>
      <c r="H8763">
        <v>0</v>
      </c>
    </row>
    <row r="8764" spans="2:8" x14ac:dyDescent="0.25">
      <c r="B8764" t="str">
        <f t="shared" si="136"/>
        <v>KNAPopulation, total</v>
      </c>
      <c r="C8764" t="s">
        <v>637</v>
      </c>
      <c r="D8764" t="s">
        <v>638</v>
      </c>
      <c r="E8764" t="s">
        <v>398</v>
      </c>
      <c r="F8764" t="s">
        <v>726</v>
      </c>
      <c r="G8764">
        <v>53000</v>
      </c>
      <c r="H8764">
        <v>53000</v>
      </c>
    </row>
    <row r="8765" spans="2:8" x14ac:dyDescent="0.25">
      <c r="B8765" t="str">
        <f t="shared" si="136"/>
        <v>KNAPopulation, female</v>
      </c>
      <c r="C8765" t="s">
        <v>637</v>
      </c>
      <c r="D8765" t="s">
        <v>638</v>
      </c>
      <c r="E8765" t="s">
        <v>396</v>
      </c>
      <c r="F8765" t="s">
        <v>727</v>
      </c>
      <c r="G8765">
        <v>0</v>
      </c>
      <c r="H8765">
        <v>0</v>
      </c>
    </row>
    <row r="8766" spans="2:8" x14ac:dyDescent="0.25">
      <c r="B8766" t="str">
        <f t="shared" si="136"/>
        <v>KNAPopulation growth (annual %)</v>
      </c>
      <c r="C8766" t="s">
        <v>637</v>
      </c>
      <c r="D8766" t="s">
        <v>638</v>
      </c>
      <c r="E8766" t="s">
        <v>399</v>
      </c>
      <c r="F8766" t="s">
        <v>728</v>
      </c>
      <c r="G8766">
        <v>0</v>
      </c>
      <c r="H8766">
        <v>0</v>
      </c>
    </row>
    <row r="8767" spans="2:8" x14ac:dyDescent="0.25">
      <c r="B8767" t="str">
        <f t="shared" si="136"/>
        <v>LCAPopulation ages 0-14, female</v>
      </c>
      <c r="C8767" t="s">
        <v>639</v>
      </c>
      <c r="D8767" t="s">
        <v>80</v>
      </c>
      <c r="E8767" t="s">
        <v>687</v>
      </c>
      <c r="F8767" t="s">
        <v>688</v>
      </c>
      <c r="G8767">
        <v>16000</v>
      </c>
      <c r="H8767">
        <v>16000</v>
      </c>
    </row>
    <row r="8768" spans="2:8" x14ac:dyDescent="0.25">
      <c r="B8768" t="str">
        <f t="shared" si="136"/>
        <v>LCAPopulation ages 0-14, male</v>
      </c>
      <c r="C8768" t="s">
        <v>639</v>
      </c>
      <c r="D8768" t="s">
        <v>80</v>
      </c>
      <c r="E8768" t="s">
        <v>689</v>
      </c>
      <c r="F8768" t="s">
        <v>690</v>
      </c>
      <c r="G8768">
        <v>17000</v>
      </c>
      <c r="H8768">
        <v>17000</v>
      </c>
    </row>
    <row r="8769" spans="2:8" x14ac:dyDescent="0.25">
      <c r="B8769" t="str">
        <f t="shared" si="136"/>
        <v>LCAPopulation ages 00-04, female</v>
      </c>
      <c r="C8769" t="s">
        <v>639</v>
      </c>
      <c r="D8769" t="s">
        <v>80</v>
      </c>
      <c r="E8769" t="s">
        <v>362</v>
      </c>
      <c r="F8769" t="s">
        <v>691</v>
      </c>
      <c r="G8769">
        <v>5400</v>
      </c>
      <c r="H8769">
        <v>5300</v>
      </c>
    </row>
    <row r="8770" spans="2:8" x14ac:dyDescent="0.25">
      <c r="B8770" t="str">
        <f t="shared" si="136"/>
        <v>LCAPopulation ages 00-04, male</v>
      </c>
      <c r="C8770" t="s">
        <v>639</v>
      </c>
      <c r="D8770" t="s">
        <v>80</v>
      </c>
      <c r="E8770" t="s">
        <v>363</v>
      </c>
      <c r="F8770" t="s">
        <v>692</v>
      </c>
      <c r="G8770">
        <v>5500</v>
      </c>
      <c r="H8770">
        <v>5500</v>
      </c>
    </row>
    <row r="8771" spans="2:8" x14ac:dyDescent="0.25">
      <c r="B8771" t="str">
        <f t="shared" si="136"/>
        <v>LCAPopulation ages 05-09, female</v>
      </c>
      <c r="C8771" t="s">
        <v>639</v>
      </c>
      <c r="D8771" t="s">
        <v>80</v>
      </c>
      <c r="E8771" t="s">
        <v>364</v>
      </c>
      <c r="F8771" t="s">
        <v>693</v>
      </c>
      <c r="G8771">
        <v>5400</v>
      </c>
      <c r="H8771">
        <v>5400</v>
      </c>
    </row>
    <row r="8772" spans="2:8" x14ac:dyDescent="0.25">
      <c r="B8772" t="str">
        <f t="shared" si="136"/>
        <v>LCAPopulation ages 05-09, male</v>
      </c>
      <c r="C8772" t="s">
        <v>639</v>
      </c>
      <c r="D8772" t="s">
        <v>80</v>
      </c>
      <c r="E8772" t="s">
        <v>365</v>
      </c>
      <c r="F8772" t="s">
        <v>694</v>
      </c>
      <c r="G8772">
        <v>5500</v>
      </c>
      <c r="H8772">
        <v>5600</v>
      </c>
    </row>
    <row r="8773" spans="2:8" x14ac:dyDescent="0.25">
      <c r="B8773" t="str">
        <f t="shared" si="136"/>
        <v>LCAPopulation ages 10-14, female</v>
      </c>
      <c r="C8773" t="s">
        <v>639</v>
      </c>
      <c r="D8773" t="s">
        <v>80</v>
      </c>
      <c r="E8773" t="s">
        <v>366</v>
      </c>
      <c r="F8773" t="s">
        <v>695</v>
      </c>
      <c r="G8773">
        <v>5600</v>
      </c>
      <c r="H8773">
        <v>5500</v>
      </c>
    </row>
    <row r="8774" spans="2:8" x14ac:dyDescent="0.25">
      <c r="B8774" t="str">
        <f t="shared" si="136"/>
        <v>LCAPopulation ages 10-14, male</v>
      </c>
      <c r="C8774" t="s">
        <v>639</v>
      </c>
      <c r="D8774" t="s">
        <v>80</v>
      </c>
      <c r="E8774" t="s">
        <v>367</v>
      </c>
      <c r="F8774" t="s">
        <v>696</v>
      </c>
      <c r="G8774">
        <v>5800</v>
      </c>
      <c r="H8774">
        <v>5600</v>
      </c>
    </row>
    <row r="8775" spans="2:8" x14ac:dyDescent="0.25">
      <c r="B8775" t="str">
        <f t="shared" ref="B8775:B8838" si="137">CONCATENATE(D8775,E8775)</f>
        <v>LCAPopulation ages 15-19, female</v>
      </c>
      <c r="C8775" t="s">
        <v>639</v>
      </c>
      <c r="D8775" t="s">
        <v>80</v>
      </c>
      <c r="E8775" t="s">
        <v>368</v>
      </c>
      <c r="F8775" t="s">
        <v>697</v>
      </c>
      <c r="G8775">
        <v>6800</v>
      </c>
      <c r="H8775">
        <v>6600</v>
      </c>
    </row>
    <row r="8776" spans="2:8" x14ac:dyDescent="0.25">
      <c r="B8776" t="str">
        <f t="shared" si="137"/>
        <v>LCAPopulation ages 15-19, male</v>
      </c>
      <c r="C8776" t="s">
        <v>639</v>
      </c>
      <c r="D8776" t="s">
        <v>80</v>
      </c>
      <c r="E8776" t="s">
        <v>369</v>
      </c>
      <c r="F8776" t="s">
        <v>698</v>
      </c>
      <c r="G8776">
        <v>6900</v>
      </c>
      <c r="H8776">
        <v>6600</v>
      </c>
    </row>
    <row r="8777" spans="2:8" x14ac:dyDescent="0.25">
      <c r="B8777" t="str">
        <f t="shared" si="137"/>
        <v>LCAPopulation ages 20-24, female</v>
      </c>
      <c r="C8777" t="s">
        <v>639</v>
      </c>
      <c r="D8777" t="s">
        <v>80</v>
      </c>
      <c r="E8777" t="s">
        <v>370</v>
      </c>
      <c r="F8777" t="s">
        <v>699</v>
      </c>
      <c r="G8777">
        <v>8200</v>
      </c>
      <c r="H8777">
        <v>8000</v>
      </c>
    </row>
    <row r="8778" spans="2:8" x14ac:dyDescent="0.25">
      <c r="B8778" t="str">
        <f t="shared" si="137"/>
        <v>LCAPopulation ages 20-24, male</v>
      </c>
      <c r="C8778" t="s">
        <v>639</v>
      </c>
      <c r="D8778" t="s">
        <v>80</v>
      </c>
      <c r="E8778" t="s">
        <v>371</v>
      </c>
      <c r="F8778" t="s">
        <v>700</v>
      </c>
      <c r="G8778">
        <v>8200</v>
      </c>
      <c r="H8778">
        <v>7900</v>
      </c>
    </row>
    <row r="8779" spans="2:8" x14ac:dyDescent="0.25">
      <c r="B8779" t="str">
        <f t="shared" si="137"/>
        <v>LCAPopulation ages 25-29, female</v>
      </c>
      <c r="C8779" t="s">
        <v>639</v>
      </c>
      <c r="D8779" t="s">
        <v>80</v>
      </c>
      <c r="E8779" t="s">
        <v>372</v>
      </c>
      <c r="F8779" t="s">
        <v>701</v>
      </c>
      <c r="G8779">
        <v>8300</v>
      </c>
      <c r="H8779">
        <v>8500</v>
      </c>
    </row>
    <row r="8780" spans="2:8" x14ac:dyDescent="0.25">
      <c r="B8780" t="str">
        <f t="shared" si="137"/>
        <v>LCAPopulation ages 25-29, male</v>
      </c>
      <c r="C8780" t="s">
        <v>639</v>
      </c>
      <c r="D8780" t="s">
        <v>80</v>
      </c>
      <c r="E8780" t="s">
        <v>373</v>
      </c>
      <c r="F8780" t="s">
        <v>702</v>
      </c>
      <c r="G8780">
        <v>8300</v>
      </c>
      <c r="H8780">
        <v>8500</v>
      </c>
    </row>
    <row r="8781" spans="2:8" x14ac:dyDescent="0.25">
      <c r="B8781" t="str">
        <f t="shared" si="137"/>
        <v>LCAPopulation ages 30-34, female</v>
      </c>
      <c r="C8781" t="s">
        <v>639</v>
      </c>
      <c r="D8781" t="s">
        <v>80</v>
      </c>
      <c r="E8781" t="s">
        <v>374</v>
      </c>
      <c r="F8781" t="s">
        <v>703</v>
      </c>
      <c r="G8781">
        <v>7200</v>
      </c>
      <c r="H8781">
        <v>7300</v>
      </c>
    </row>
    <row r="8782" spans="2:8" x14ac:dyDescent="0.25">
      <c r="B8782" t="str">
        <f t="shared" si="137"/>
        <v>LCAPopulation ages 30-34, male</v>
      </c>
      <c r="C8782" t="s">
        <v>639</v>
      </c>
      <c r="D8782" t="s">
        <v>80</v>
      </c>
      <c r="E8782" t="s">
        <v>375</v>
      </c>
      <c r="F8782" t="s">
        <v>704</v>
      </c>
      <c r="G8782">
        <v>6900</v>
      </c>
      <c r="H8782">
        <v>7000</v>
      </c>
    </row>
    <row r="8783" spans="2:8" x14ac:dyDescent="0.25">
      <c r="B8783" t="str">
        <f t="shared" si="137"/>
        <v>LCAPopulation ages 35-39, female</v>
      </c>
      <c r="C8783" t="s">
        <v>639</v>
      </c>
      <c r="D8783" t="s">
        <v>80</v>
      </c>
      <c r="E8783" t="s">
        <v>376</v>
      </c>
      <c r="F8783" t="s">
        <v>705</v>
      </c>
      <c r="G8783">
        <v>7200</v>
      </c>
      <c r="H8783">
        <v>7300</v>
      </c>
    </row>
    <row r="8784" spans="2:8" x14ac:dyDescent="0.25">
      <c r="B8784" t="str">
        <f t="shared" si="137"/>
        <v>LCAPopulation ages 35-39, male</v>
      </c>
      <c r="C8784" t="s">
        <v>639</v>
      </c>
      <c r="D8784" t="s">
        <v>80</v>
      </c>
      <c r="E8784" t="s">
        <v>377</v>
      </c>
      <c r="F8784" t="s">
        <v>706</v>
      </c>
      <c r="G8784">
        <v>6800</v>
      </c>
      <c r="H8784">
        <v>6800</v>
      </c>
    </row>
    <row r="8785" spans="2:8" x14ac:dyDescent="0.25">
      <c r="B8785" t="str">
        <f t="shared" si="137"/>
        <v>LCAPopulation ages 40-44, female</v>
      </c>
      <c r="C8785" t="s">
        <v>639</v>
      </c>
      <c r="D8785" t="s">
        <v>80</v>
      </c>
      <c r="E8785" t="s">
        <v>378</v>
      </c>
      <c r="F8785" t="s">
        <v>707</v>
      </c>
      <c r="G8785">
        <v>6500</v>
      </c>
      <c r="H8785">
        <v>6600</v>
      </c>
    </row>
    <row r="8786" spans="2:8" x14ac:dyDescent="0.25">
      <c r="B8786" t="str">
        <f t="shared" si="137"/>
        <v>LCAPopulation ages 40-44, male</v>
      </c>
      <c r="C8786" t="s">
        <v>639</v>
      </c>
      <c r="D8786" t="s">
        <v>80</v>
      </c>
      <c r="E8786" t="s">
        <v>379</v>
      </c>
      <c r="F8786" t="s">
        <v>708</v>
      </c>
      <c r="G8786">
        <v>6200</v>
      </c>
      <c r="H8786">
        <v>6300</v>
      </c>
    </row>
    <row r="8787" spans="2:8" x14ac:dyDescent="0.25">
      <c r="B8787" t="str">
        <f t="shared" si="137"/>
        <v>LCAPopulation ages 45-49, female</v>
      </c>
      <c r="C8787" t="s">
        <v>639</v>
      </c>
      <c r="D8787" t="s">
        <v>80</v>
      </c>
      <c r="E8787" t="s">
        <v>380</v>
      </c>
      <c r="F8787" t="s">
        <v>709</v>
      </c>
      <c r="G8787">
        <v>6600</v>
      </c>
      <c r="H8787">
        <v>6600</v>
      </c>
    </row>
    <row r="8788" spans="2:8" x14ac:dyDescent="0.25">
      <c r="B8788" t="str">
        <f t="shared" si="137"/>
        <v>LCAPopulation ages 45-49, male</v>
      </c>
      <c r="C8788" t="s">
        <v>639</v>
      </c>
      <c r="D8788" t="s">
        <v>80</v>
      </c>
      <c r="E8788" t="s">
        <v>381</v>
      </c>
      <c r="F8788" t="s">
        <v>710</v>
      </c>
      <c r="G8788">
        <v>6000</v>
      </c>
      <c r="H8788">
        <v>6000</v>
      </c>
    </row>
    <row r="8789" spans="2:8" x14ac:dyDescent="0.25">
      <c r="B8789" t="str">
        <f t="shared" si="137"/>
        <v>LCAPopulation ages 50-54, female</v>
      </c>
      <c r="C8789" t="s">
        <v>639</v>
      </c>
      <c r="D8789" t="s">
        <v>80</v>
      </c>
      <c r="E8789" t="s">
        <v>382</v>
      </c>
      <c r="F8789" t="s">
        <v>711</v>
      </c>
      <c r="G8789">
        <v>6300</v>
      </c>
      <c r="H8789">
        <v>6400</v>
      </c>
    </row>
    <row r="8790" spans="2:8" x14ac:dyDescent="0.25">
      <c r="B8790" t="str">
        <f t="shared" si="137"/>
        <v>LCAPopulation ages 50-54, male</v>
      </c>
      <c r="C8790" t="s">
        <v>639</v>
      </c>
      <c r="D8790" t="s">
        <v>80</v>
      </c>
      <c r="E8790" t="s">
        <v>383</v>
      </c>
      <c r="F8790" t="s">
        <v>712</v>
      </c>
      <c r="G8790">
        <v>6000</v>
      </c>
      <c r="H8790">
        <v>6000</v>
      </c>
    </row>
    <row r="8791" spans="2:8" x14ac:dyDescent="0.25">
      <c r="B8791" t="str">
        <f t="shared" si="137"/>
        <v>LCAPopulation ages 55-59, male</v>
      </c>
      <c r="C8791" t="s">
        <v>639</v>
      </c>
      <c r="D8791" t="s">
        <v>80</v>
      </c>
      <c r="E8791" t="s">
        <v>385</v>
      </c>
      <c r="F8791" t="s">
        <v>713</v>
      </c>
      <c r="G8791">
        <v>5200</v>
      </c>
      <c r="H8791">
        <v>5300</v>
      </c>
    </row>
    <row r="8792" spans="2:8" x14ac:dyDescent="0.25">
      <c r="B8792" t="str">
        <f t="shared" si="137"/>
        <v>LCAPopulation ages 55-59, female</v>
      </c>
      <c r="C8792" t="s">
        <v>639</v>
      </c>
      <c r="D8792" t="s">
        <v>80</v>
      </c>
      <c r="E8792" t="s">
        <v>384</v>
      </c>
      <c r="F8792" t="s">
        <v>714</v>
      </c>
      <c r="G8792">
        <v>5500</v>
      </c>
      <c r="H8792">
        <v>5700</v>
      </c>
    </row>
    <row r="8793" spans="2:8" x14ac:dyDescent="0.25">
      <c r="B8793" t="str">
        <f t="shared" si="137"/>
        <v>LCAPopulation ages 65-69, male</v>
      </c>
      <c r="C8793" t="s">
        <v>639</v>
      </c>
      <c r="D8793" t="s">
        <v>80</v>
      </c>
      <c r="E8793" t="s">
        <v>389</v>
      </c>
      <c r="F8793" t="s">
        <v>715</v>
      </c>
      <c r="G8793">
        <v>2900</v>
      </c>
      <c r="H8793">
        <v>3000</v>
      </c>
    </row>
    <row r="8794" spans="2:8" x14ac:dyDescent="0.25">
      <c r="B8794" t="str">
        <f t="shared" si="137"/>
        <v>LCAPopulation ages 65-69, female</v>
      </c>
      <c r="C8794" t="s">
        <v>639</v>
      </c>
      <c r="D8794" t="s">
        <v>80</v>
      </c>
      <c r="E8794" t="s">
        <v>388</v>
      </c>
      <c r="F8794" t="s">
        <v>716</v>
      </c>
      <c r="G8794">
        <v>3000</v>
      </c>
      <c r="H8794">
        <v>3100</v>
      </c>
    </row>
    <row r="8795" spans="2:8" x14ac:dyDescent="0.25">
      <c r="B8795" t="str">
        <f t="shared" si="137"/>
        <v>LCAPopulation ages 60-64, female</v>
      </c>
      <c r="C8795" t="s">
        <v>639</v>
      </c>
      <c r="D8795" t="s">
        <v>80</v>
      </c>
      <c r="E8795" t="s">
        <v>386</v>
      </c>
      <c r="F8795" t="s">
        <v>717</v>
      </c>
      <c r="G8795">
        <v>4200</v>
      </c>
      <c r="H8795">
        <v>4400</v>
      </c>
    </row>
    <row r="8796" spans="2:8" x14ac:dyDescent="0.25">
      <c r="B8796" t="str">
        <f t="shared" si="137"/>
        <v>LCAPopulation ages 60-64, male</v>
      </c>
      <c r="C8796" t="s">
        <v>639</v>
      </c>
      <c r="D8796" t="s">
        <v>80</v>
      </c>
      <c r="E8796" t="s">
        <v>387</v>
      </c>
      <c r="F8796" t="s">
        <v>718</v>
      </c>
      <c r="G8796">
        <v>3800</v>
      </c>
      <c r="H8796">
        <v>4000</v>
      </c>
    </row>
    <row r="8797" spans="2:8" x14ac:dyDescent="0.25">
      <c r="B8797" t="str">
        <f t="shared" si="137"/>
        <v>LCAPopulation ages 70-74, female</v>
      </c>
      <c r="C8797" t="s">
        <v>639</v>
      </c>
      <c r="D8797" t="s">
        <v>80</v>
      </c>
      <c r="E8797" t="s">
        <v>390</v>
      </c>
      <c r="F8797" t="s">
        <v>719</v>
      </c>
      <c r="G8797">
        <v>2500</v>
      </c>
      <c r="H8797">
        <v>2600</v>
      </c>
    </row>
    <row r="8798" spans="2:8" x14ac:dyDescent="0.25">
      <c r="B8798" t="str">
        <f t="shared" si="137"/>
        <v>LCAPopulation ages 70-74, male</v>
      </c>
      <c r="C8798" t="s">
        <v>639</v>
      </c>
      <c r="D8798" t="s">
        <v>80</v>
      </c>
      <c r="E8798" t="s">
        <v>391</v>
      </c>
      <c r="F8798" t="s">
        <v>720</v>
      </c>
      <c r="G8798">
        <v>2200</v>
      </c>
      <c r="H8798">
        <v>2300</v>
      </c>
    </row>
    <row r="8799" spans="2:8" x14ac:dyDescent="0.25">
      <c r="B8799" t="str">
        <f t="shared" si="137"/>
        <v>LCAPopulation ages 75-79, female</v>
      </c>
      <c r="C8799" t="s">
        <v>639</v>
      </c>
      <c r="D8799" t="s">
        <v>80</v>
      </c>
      <c r="E8799" t="s">
        <v>392</v>
      </c>
      <c r="F8799" t="s">
        <v>721</v>
      </c>
      <c r="G8799">
        <v>1800</v>
      </c>
      <c r="H8799">
        <v>1800</v>
      </c>
    </row>
    <row r="8800" spans="2:8" x14ac:dyDescent="0.25">
      <c r="B8800" t="str">
        <f t="shared" si="137"/>
        <v>LCAPopulation ages 75-79, male</v>
      </c>
      <c r="C8800" t="s">
        <v>639</v>
      </c>
      <c r="D8800" t="s">
        <v>80</v>
      </c>
      <c r="E8800" t="s">
        <v>393</v>
      </c>
      <c r="F8800" t="s">
        <v>722</v>
      </c>
      <c r="G8800">
        <v>1600</v>
      </c>
      <c r="H8800">
        <v>1600</v>
      </c>
    </row>
    <row r="8801" spans="2:8" x14ac:dyDescent="0.25">
      <c r="B8801" t="str">
        <f t="shared" si="137"/>
        <v>LCAPopulation ages 80 and above, female</v>
      </c>
      <c r="C8801" t="s">
        <v>639</v>
      </c>
      <c r="D8801" t="s">
        <v>80</v>
      </c>
      <c r="E8801" t="s">
        <v>394</v>
      </c>
      <c r="F8801" t="s">
        <v>723</v>
      </c>
      <c r="G8801">
        <v>2200</v>
      </c>
      <c r="H8801">
        <v>2200</v>
      </c>
    </row>
    <row r="8802" spans="2:8" x14ac:dyDescent="0.25">
      <c r="B8802" t="str">
        <f t="shared" si="137"/>
        <v>LCAPopulation ages 80 and above, male</v>
      </c>
      <c r="C8802" t="s">
        <v>639</v>
      </c>
      <c r="D8802" t="s">
        <v>80</v>
      </c>
      <c r="E8802" t="s">
        <v>395</v>
      </c>
      <c r="F8802" t="s">
        <v>724</v>
      </c>
      <c r="G8802">
        <v>2200</v>
      </c>
      <c r="H8802">
        <v>2200</v>
      </c>
    </row>
    <row r="8803" spans="2:8" x14ac:dyDescent="0.25">
      <c r="B8803" t="str">
        <f t="shared" si="137"/>
        <v>LCAPopulation, male</v>
      </c>
      <c r="C8803" t="s">
        <v>639</v>
      </c>
      <c r="D8803" t="s">
        <v>80</v>
      </c>
      <c r="E8803" t="s">
        <v>397</v>
      </c>
      <c r="F8803" t="s">
        <v>725</v>
      </c>
      <c r="G8803">
        <v>90000</v>
      </c>
      <c r="H8803">
        <v>90000</v>
      </c>
    </row>
    <row r="8804" spans="2:8" x14ac:dyDescent="0.25">
      <c r="B8804" t="str">
        <f t="shared" si="137"/>
        <v>LCAPopulation, total</v>
      </c>
      <c r="C8804" t="s">
        <v>639</v>
      </c>
      <c r="D8804" t="s">
        <v>80</v>
      </c>
      <c r="E8804" t="s">
        <v>398</v>
      </c>
      <c r="F8804" t="s">
        <v>726</v>
      </c>
      <c r="G8804">
        <v>183000</v>
      </c>
      <c r="H8804">
        <v>184000</v>
      </c>
    </row>
    <row r="8805" spans="2:8" x14ac:dyDescent="0.25">
      <c r="B8805" t="str">
        <f t="shared" si="137"/>
        <v>LCAPopulation, female</v>
      </c>
      <c r="C8805" t="s">
        <v>639</v>
      </c>
      <c r="D8805" t="s">
        <v>80</v>
      </c>
      <c r="E8805" t="s">
        <v>396</v>
      </c>
      <c r="F8805" t="s">
        <v>727</v>
      </c>
      <c r="G8805">
        <v>93000</v>
      </c>
      <c r="H8805">
        <v>93000</v>
      </c>
    </row>
    <row r="8806" spans="2:8" x14ac:dyDescent="0.25">
      <c r="B8806" t="str">
        <f t="shared" si="137"/>
        <v>LCAPopulation growth (annual %)</v>
      </c>
      <c r="C8806" t="s">
        <v>639</v>
      </c>
      <c r="D8806" t="s">
        <v>80</v>
      </c>
      <c r="E8806" t="s">
        <v>399</v>
      </c>
      <c r="F8806" t="s">
        <v>728</v>
      </c>
      <c r="G8806">
        <v>0</v>
      </c>
      <c r="H8806">
        <v>0</v>
      </c>
    </row>
    <row r="8807" spans="2:8" x14ac:dyDescent="0.25">
      <c r="B8807" t="str">
        <f t="shared" si="137"/>
        <v>MAFPopulation ages 0-14, female</v>
      </c>
      <c r="C8807" t="s">
        <v>640</v>
      </c>
      <c r="D8807" t="s">
        <v>641</v>
      </c>
      <c r="E8807" t="s">
        <v>687</v>
      </c>
      <c r="F8807" t="s">
        <v>688</v>
      </c>
      <c r="G8807">
        <v>0</v>
      </c>
      <c r="H8807">
        <v>0</v>
      </c>
    </row>
    <row r="8808" spans="2:8" x14ac:dyDescent="0.25">
      <c r="B8808" t="str">
        <f t="shared" si="137"/>
        <v>MAFPopulation ages 0-14, male</v>
      </c>
      <c r="C8808" t="s">
        <v>640</v>
      </c>
      <c r="D8808" t="s">
        <v>641</v>
      </c>
      <c r="E8808" t="s">
        <v>689</v>
      </c>
      <c r="F8808" t="s">
        <v>690</v>
      </c>
      <c r="G8808">
        <v>0</v>
      </c>
      <c r="H8808">
        <v>0</v>
      </c>
    </row>
    <row r="8809" spans="2:8" x14ac:dyDescent="0.25">
      <c r="B8809" t="str">
        <f t="shared" si="137"/>
        <v>MAFPopulation ages 00-04, female</v>
      </c>
      <c r="C8809" t="s">
        <v>640</v>
      </c>
      <c r="D8809" t="s">
        <v>641</v>
      </c>
      <c r="E8809" t="s">
        <v>362</v>
      </c>
      <c r="F8809" t="s">
        <v>691</v>
      </c>
      <c r="G8809">
        <v>0</v>
      </c>
      <c r="H8809">
        <v>0</v>
      </c>
    </row>
    <row r="8810" spans="2:8" x14ac:dyDescent="0.25">
      <c r="B8810" t="str">
        <f t="shared" si="137"/>
        <v>MAFPopulation ages 00-04, male</v>
      </c>
      <c r="C8810" t="s">
        <v>640</v>
      </c>
      <c r="D8810" t="s">
        <v>641</v>
      </c>
      <c r="E8810" t="s">
        <v>363</v>
      </c>
      <c r="F8810" t="s">
        <v>692</v>
      </c>
      <c r="G8810">
        <v>0</v>
      </c>
      <c r="H8810">
        <v>0</v>
      </c>
    </row>
    <row r="8811" spans="2:8" x14ac:dyDescent="0.25">
      <c r="B8811" t="str">
        <f t="shared" si="137"/>
        <v>MAFPopulation ages 05-09, female</v>
      </c>
      <c r="C8811" t="s">
        <v>640</v>
      </c>
      <c r="D8811" t="s">
        <v>641</v>
      </c>
      <c r="E8811" t="s">
        <v>364</v>
      </c>
      <c r="F8811" t="s">
        <v>693</v>
      </c>
      <c r="G8811">
        <v>0</v>
      </c>
      <c r="H8811">
        <v>0</v>
      </c>
    </row>
    <row r="8812" spans="2:8" x14ac:dyDescent="0.25">
      <c r="B8812" t="str">
        <f t="shared" si="137"/>
        <v>MAFPopulation ages 05-09, male</v>
      </c>
      <c r="C8812" t="s">
        <v>640</v>
      </c>
      <c r="D8812" t="s">
        <v>641</v>
      </c>
      <c r="E8812" t="s">
        <v>365</v>
      </c>
      <c r="F8812" t="s">
        <v>694</v>
      </c>
      <c r="G8812">
        <v>0</v>
      </c>
      <c r="H8812">
        <v>0</v>
      </c>
    </row>
    <row r="8813" spans="2:8" x14ac:dyDescent="0.25">
      <c r="B8813" t="str">
        <f t="shared" si="137"/>
        <v>MAFPopulation ages 10-14, female</v>
      </c>
      <c r="C8813" t="s">
        <v>640</v>
      </c>
      <c r="D8813" t="s">
        <v>641</v>
      </c>
      <c r="E8813" t="s">
        <v>366</v>
      </c>
      <c r="F8813" t="s">
        <v>695</v>
      </c>
      <c r="G8813">
        <v>0</v>
      </c>
      <c r="H8813">
        <v>0</v>
      </c>
    </row>
    <row r="8814" spans="2:8" x14ac:dyDescent="0.25">
      <c r="B8814" t="str">
        <f t="shared" si="137"/>
        <v>MAFPopulation ages 10-14, male</v>
      </c>
      <c r="C8814" t="s">
        <v>640</v>
      </c>
      <c r="D8814" t="s">
        <v>641</v>
      </c>
      <c r="E8814" t="s">
        <v>367</v>
      </c>
      <c r="F8814" t="s">
        <v>696</v>
      </c>
      <c r="G8814">
        <v>0</v>
      </c>
      <c r="H8814">
        <v>0</v>
      </c>
    </row>
    <row r="8815" spans="2:8" x14ac:dyDescent="0.25">
      <c r="B8815" t="str">
        <f t="shared" si="137"/>
        <v>MAFPopulation ages 15-19, female</v>
      </c>
      <c r="C8815" t="s">
        <v>640</v>
      </c>
      <c r="D8815" t="s">
        <v>641</v>
      </c>
      <c r="E8815" t="s">
        <v>368</v>
      </c>
      <c r="F8815" t="s">
        <v>697</v>
      </c>
      <c r="G8815">
        <v>0</v>
      </c>
      <c r="H8815">
        <v>0</v>
      </c>
    </row>
    <row r="8816" spans="2:8" x14ac:dyDescent="0.25">
      <c r="B8816" t="str">
        <f t="shared" si="137"/>
        <v>MAFPopulation ages 15-19, male</v>
      </c>
      <c r="C8816" t="s">
        <v>640</v>
      </c>
      <c r="D8816" t="s">
        <v>641</v>
      </c>
      <c r="E8816" t="s">
        <v>369</v>
      </c>
      <c r="F8816" t="s">
        <v>698</v>
      </c>
      <c r="G8816">
        <v>0</v>
      </c>
      <c r="H8816">
        <v>0</v>
      </c>
    </row>
    <row r="8817" spans="2:8" x14ac:dyDescent="0.25">
      <c r="B8817" t="str">
        <f t="shared" si="137"/>
        <v>MAFPopulation ages 20-24, female</v>
      </c>
      <c r="C8817" t="s">
        <v>640</v>
      </c>
      <c r="D8817" t="s">
        <v>641</v>
      </c>
      <c r="E8817" t="s">
        <v>370</v>
      </c>
      <c r="F8817" t="s">
        <v>699</v>
      </c>
      <c r="G8817">
        <v>0</v>
      </c>
      <c r="H8817">
        <v>0</v>
      </c>
    </row>
    <row r="8818" spans="2:8" x14ac:dyDescent="0.25">
      <c r="B8818" t="str">
        <f t="shared" si="137"/>
        <v>MAFPopulation ages 20-24, male</v>
      </c>
      <c r="C8818" t="s">
        <v>640</v>
      </c>
      <c r="D8818" t="s">
        <v>641</v>
      </c>
      <c r="E8818" t="s">
        <v>371</v>
      </c>
      <c r="F8818" t="s">
        <v>700</v>
      </c>
      <c r="G8818">
        <v>0</v>
      </c>
      <c r="H8818">
        <v>0</v>
      </c>
    </row>
    <row r="8819" spans="2:8" x14ac:dyDescent="0.25">
      <c r="B8819" t="str">
        <f t="shared" si="137"/>
        <v>MAFPopulation ages 25-29, female</v>
      </c>
      <c r="C8819" t="s">
        <v>640</v>
      </c>
      <c r="D8819" t="s">
        <v>641</v>
      </c>
      <c r="E8819" t="s">
        <v>372</v>
      </c>
      <c r="F8819" t="s">
        <v>701</v>
      </c>
      <c r="G8819">
        <v>0</v>
      </c>
      <c r="H8819">
        <v>0</v>
      </c>
    </row>
    <row r="8820" spans="2:8" x14ac:dyDescent="0.25">
      <c r="B8820" t="str">
        <f t="shared" si="137"/>
        <v>MAFPopulation ages 25-29, male</v>
      </c>
      <c r="C8820" t="s">
        <v>640</v>
      </c>
      <c r="D8820" t="s">
        <v>641</v>
      </c>
      <c r="E8820" t="s">
        <v>373</v>
      </c>
      <c r="F8820" t="s">
        <v>702</v>
      </c>
      <c r="G8820">
        <v>0</v>
      </c>
      <c r="H8820">
        <v>0</v>
      </c>
    </row>
    <row r="8821" spans="2:8" x14ac:dyDescent="0.25">
      <c r="B8821" t="str">
        <f t="shared" si="137"/>
        <v>MAFPopulation ages 30-34, female</v>
      </c>
      <c r="C8821" t="s">
        <v>640</v>
      </c>
      <c r="D8821" t="s">
        <v>641</v>
      </c>
      <c r="E8821" t="s">
        <v>374</v>
      </c>
      <c r="F8821" t="s">
        <v>703</v>
      </c>
      <c r="G8821">
        <v>0</v>
      </c>
      <c r="H8821">
        <v>0</v>
      </c>
    </row>
    <row r="8822" spans="2:8" x14ac:dyDescent="0.25">
      <c r="B8822" t="str">
        <f t="shared" si="137"/>
        <v>MAFPopulation ages 30-34, male</v>
      </c>
      <c r="C8822" t="s">
        <v>640</v>
      </c>
      <c r="D8822" t="s">
        <v>641</v>
      </c>
      <c r="E8822" t="s">
        <v>375</v>
      </c>
      <c r="F8822" t="s">
        <v>704</v>
      </c>
      <c r="G8822">
        <v>0</v>
      </c>
      <c r="H8822">
        <v>0</v>
      </c>
    </row>
    <row r="8823" spans="2:8" x14ac:dyDescent="0.25">
      <c r="B8823" t="str">
        <f t="shared" si="137"/>
        <v>MAFPopulation ages 35-39, female</v>
      </c>
      <c r="C8823" t="s">
        <v>640</v>
      </c>
      <c r="D8823" t="s">
        <v>641</v>
      </c>
      <c r="E8823" t="s">
        <v>376</v>
      </c>
      <c r="F8823" t="s">
        <v>705</v>
      </c>
      <c r="G8823">
        <v>0</v>
      </c>
      <c r="H8823">
        <v>0</v>
      </c>
    </row>
    <row r="8824" spans="2:8" x14ac:dyDescent="0.25">
      <c r="B8824" t="str">
        <f t="shared" si="137"/>
        <v>MAFPopulation ages 35-39, male</v>
      </c>
      <c r="C8824" t="s">
        <v>640</v>
      </c>
      <c r="D8824" t="s">
        <v>641</v>
      </c>
      <c r="E8824" t="s">
        <v>377</v>
      </c>
      <c r="F8824" t="s">
        <v>706</v>
      </c>
      <c r="G8824">
        <v>0</v>
      </c>
      <c r="H8824">
        <v>0</v>
      </c>
    </row>
    <row r="8825" spans="2:8" x14ac:dyDescent="0.25">
      <c r="B8825" t="str">
        <f t="shared" si="137"/>
        <v>MAFPopulation ages 40-44, female</v>
      </c>
      <c r="C8825" t="s">
        <v>640</v>
      </c>
      <c r="D8825" t="s">
        <v>641</v>
      </c>
      <c r="E8825" t="s">
        <v>378</v>
      </c>
      <c r="F8825" t="s">
        <v>707</v>
      </c>
      <c r="G8825">
        <v>0</v>
      </c>
      <c r="H8825">
        <v>0</v>
      </c>
    </row>
    <row r="8826" spans="2:8" x14ac:dyDescent="0.25">
      <c r="B8826" t="str">
        <f t="shared" si="137"/>
        <v>MAFPopulation ages 40-44, male</v>
      </c>
      <c r="C8826" t="s">
        <v>640</v>
      </c>
      <c r="D8826" t="s">
        <v>641</v>
      </c>
      <c r="E8826" t="s">
        <v>379</v>
      </c>
      <c r="F8826" t="s">
        <v>708</v>
      </c>
      <c r="G8826">
        <v>0</v>
      </c>
      <c r="H8826">
        <v>0</v>
      </c>
    </row>
    <row r="8827" spans="2:8" x14ac:dyDescent="0.25">
      <c r="B8827" t="str">
        <f t="shared" si="137"/>
        <v>MAFPopulation ages 45-49, female</v>
      </c>
      <c r="C8827" t="s">
        <v>640</v>
      </c>
      <c r="D8827" t="s">
        <v>641</v>
      </c>
      <c r="E8827" t="s">
        <v>380</v>
      </c>
      <c r="F8827" t="s">
        <v>709</v>
      </c>
      <c r="G8827">
        <v>0</v>
      </c>
      <c r="H8827">
        <v>0</v>
      </c>
    </row>
    <row r="8828" spans="2:8" x14ac:dyDescent="0.25">
      <c r="B8828" t="str">
        <f t="shared" si="137"/>
        <v>MAFPopulation ages 45-49, male</v>
      </c>
      <c r="C8828" t="s">
        <v>640</v>
      </c>
      <c r="D8828" t="s">
        <v>641</v>
      </c>
      <c r="E8828" t="s">
        <v>381</v>
      </c>
      <c r="F8828" t="s">
        <v>710</v>
      </c>
      <c r="G8828">
        <v>0</v>
      </c>
      <c r="H8828">
        <v>0</v>
      </c>
    </row>
    <row r="8829" spans="2:8" x14ac:dyDescent="0.25">
      <c r="B8829" t="str">
        <f t="shared" si="137"/>
        <v>MAFPopulation ages 50-54, female</v>
      </c>
      <c r="C8829" t="s">
        <v>640</v>
      </c>
      <c r="D8829" t="s">
        <v>641</v>
      </c>
      <c r="E8829" t="s">
        <v>382</v>
      </c>
      <c r="F8829" t="s">
        <v>711</v>
      </c>
      <c r="G8829">
        <v>0</v>
      </c>
      <c r="H8829">
        <v>0</v>
      </c>
    </row>
    <row r="8830" spans="2:8" x14ac:dyDescent="0.25">
      <c r="B8830" t="str">
        <f t="shared" si="137"/>
        <v>MAFPopulation ages 50-54, male</v>
      </c>
      <c r="C8830" t="s">
        <v>640</v>
      </c>
      <c r="D8830" t="s">
        <v>641</v>
      </c>
      <c r="E8830" t="s">
        <v>383</v>
      </c>
      <c r="F8830" t="s">
        <v>712</v>
      </c>
      <c r="G8830">
        <v>0</v>
      </c>
      <c r="H8830">
        <v>0</v>
      </c>
    </row>
    <row r="8831" spans="2:8" x14ac:dyDescent="0.25">
      <c r="B8831" t="str">
        <f t="shared" si="137"/>
        <v>MAFPopulation ages 55-59, male</v>
      </c>
      <c r="C8831" t="s">
        <v>640</v>
      </c>
      <c r="D8831" t="s">
        <v>641</v>
      </c>
      <c r="E8831" t="s">
        <v>385</v>
      </c>
      <c r="F8831" t="s">
        <v>713</v>
      </c>
      <c r="G8831">
        <v>0</v>
      </c>
      <c r="H8831">
        <v>0</v>
      </c>
    </row>
    <row r="8832" spans="2:8" x14ac:dyDescent="0.25">
      <c r="B8832" t="str">
        <f t="shared" si="137"/>
        <v>MAFPopulation ages 55-59, female</v>
      </c>
      <c r="C8832" t="s">
        <v>640</v>
      </c>
      <c r="D8832" t="s">
        <v>641</v>
      </c>
      <c r="E8832" t="s">
        <v>384</v>
      </c>
      <c r="F8832" t="s">
        <v>714</v>
      </c>
      <c r="G8832">
        <v>0</v>
      </c>
      <c r="H8832">
        <v>0</v>
      </c>
    </row>
    <row r="8833" spans="2:8" x14ac:dyDescent="0.25">
      <c r="B8833" t="str">
        <f t="shared" si="137"/>
        <v>MAFPopulation ages 65-69, male</v>
      </c>
      <c r="C8833" t="s">
        <v>640</v>
      </c>
      <c r="D8833" t="s">
        <v>641</v>
      </c>
      <c r="E8833" t="s">
        <v>389</v>
      </c>
      <c r="F8833" t="s">
        <v>715</v>
      </c>
      <c r="G8833">
        <v>0</v>
      </c>
      <c r="H8833">
        <v>0</v>
      </c>
    </row>
    <row r="8834" spans="2:8" x14ac:dyDescent="0.25">
      <c r="B8834" t="str">
        <f t="shared" si="137"/>
        <v>MAFPopulation ages 65-69, female</v>
      </c>
      <c r="C8834" t="s">
        <v>640</v>
      </c>
      <c r="D8834" t="s">
        <v>641</v>
      </c>
      <c r="E8834" t="s">
        <v>388</v>
      </c>
      <c r="F8834" t="s">
        <v>716</v>
      </c>
      <c r="G8834">
        <v>0</v>
      </c>
      <c r="H8834">
        <v>0</v>
      </c>
    </row>
    <row r="8835" spans="2:8" x14ac:dyDescent="0.25">
      <c r="B8835" t="str">
        <f t="shared" si="137"/>
        <v>MAFPopulation ages 60-64, female</v>
      </c>
      <c r="C8835" t="s">
        <v>640</v>
      </c>
      <c r="D8835" t="s">
        <v>641</v>
      </c>
      <c r="E8835" t="s">
        <v>386</v>
      </c>
      <c r="F8835" t="s">
        <v>717</v>
      </c>
      <c r="G8835">
        <v>0</v>
      </c>
      <c r="H8835">
        <v>0</v>
      </c>
    </row>
    <row r="8836" spans="2:8" x14ac:dyDescent="0.25">
      <c r="B8836" t="str">
        <f t="shared" si="137"/>
        <v>MAFPopulation ages 60-64, male</v>
      </c>
      <c r="C8836" t="s">
        <v>640</v>
      </c>
      <c r="D8836" t="s">
        <v>641</v>
      </c>
      <c r="E8836" t="s">
        <v>387</v>
      </c>
      <c r="F8836" t="s">
        <v>718</v>
      </c>
      <c r="G8836">
        <v>0</v>
      </c>
      <c r="H8836">
        <v>0</v>
      </c>
    </row>
    <row r="8837" spans="2:8" x14ac:dyDescent="0.25">
      <c r="B8837" t="str">
        <f t="shared" si="137"/>
        <v>MAFPopulation ages 70-74, female</v>
      </c>
      <c r="C8837" t="s">
        <v>640</v>
      </c>
      <c r="D8837" t="s">
        <v>641</v>
      </c>
      <c r="E8837" t="s">
        <v>390</v>
      </c>
      <c r="F8837" t="s">
        <v>719</v>
      </c>
      <c r="G8837">
        <v>0</v>
      </c>
      <c r="H8837">
        <v>0</v>
      </c>
    </row>
    <row r="8838" spans="2:8" x14ac:dyDescent="0.25">
      <c r="B8838" t="str">
        <f t="shared" si="137"/>
        <v>MAFPopulation ages 70-74, male</v>
      </c>
      <c r="C8838" t="s">
        <v>640</v>
      </c>
      <c r="D8838" t="s">
        <v>641</v>
      </c>
      <c r="E8838" t="s">
        <v>391</v>
      </c>
      <c r="F8838" t="s">
        <v>720</v>
      </c>
      <c r="G8838">
        <v>0</v>
      </c>
      <c r="H8838">
        <v>0</v>
      </c>
    </row>
    <row r="8839" spans="2:8" x14ac:dyDescent="0.25">
      <c r="B8839" t="str">
        <f t="shared" ref="B8839:B8902" si="138">CONCATENATE(D8839,E8839)</f>
        <v>MAFPopulation ages 75-79, female</v>
      </c>
      <c r="C8839" t="s">
        <v>640</v>
      </c>
      <c r="D8839" t="s">
        <v>641</v>
      </c>
      <c r="E8839" t="s">
        <v>392</v>
      </c>
      <c r="F8839" t="s">
        <v>721</v>
      </c>
      <c r="G8839">
        <v>0</v>
      </c>
      <c r="H8839">
        <v>0</v>
      </c>
    </row>
    <row r="8840" spans="2:8" x14ac:dyDescent="0.25">
      <c r="B8840" t="str">
        <f t="shared" si="138"/>
        <v>MAFPopulation ages 75-79, male</v>
      </c>
      <c r="C8840" t="s">
        <v>640</v>
      </c>
      <c r="D8840" t="s">
        <v>641</v>
      </c>
      <c r="E8840" t="s">
        <v>393</v>
      </c>
      <c r="F8840" t="s">
        <v>722</v>
      </c>
      <c r="G8840">
        <v>0</v>
      </c>
      <c r="H8840">
        <v>0</v>
      </c>
    </row>
    <row r="8841" spans="2:8" x14ac:dyDescent="0.25">
      <c r="B8841" t="str">
        <f t="shared" si="138"/>
        <v>MAFPopulation ages 80 and above, female</v>
      </c>
      <c r="C8841" t="s">
        <v>640</v>
      </c>
      <c r="D8841" t="s">
        <v>641</v>
      </c>
      <c r="E8841" t="s">
        <v>394</v>
      </c>
      <c r="F8841" t="s">
        <v>723</v>
      </c>
      <c r="G8841">
        <v>0</v>
      </c>
      <c r="H8841">
        <v>0</v>
      </c>
    </row>
    <row r="8842" spans="2:8" x14ac:dyDescent="0.25">
      <c r="B8842" t="str">
        <f t="shared" si="138"/>
        <v>MAFPopulation ages 80 and above, male</v>
      </c>
      <c r="C8842" t="s">
        <v>640</v>
      </c>
      <c r="D8842" t="s">
        <v>641</v>
      </c>
      <c r="E8842" t="s">
        <v>395</v>
      </c>
      <c r="F8842" t="s">
        <v>724</v>
      </c>
      <c r="G8842">
        <v>0</v>
      </c>
      <c r="H8842">
        <v>0</v>
      </c>
    </row>
    <row r="8843" spans="2:8" x14ac:dyDescent="0.25">
      <c r="B8843" t="str">
        <f t="shared" si="138"/>
        <v>MAFPopulation, male</v>
      </c>
      <c r="C8843" t="s">
        <v>640</v>
      </c>
      <c r="D8843" t="s">
        <v>641</v>
      </c>
      <c r="E8843" t="s">
        <v>397</v>
      </c>
      <c r="F8843" t="s">
        <v>725</v>
      </c>
      <c r="G8843">
        <v>0</v>
      </c>
      <c r="H8843">
        <v>0</v>
      </c>
    </row>
    <row r="8844" spans="2:8" x14ac:dyDescent="0.25">
      <c r="B8844" t="str">
        <f t="shared" si="138"/>
        <v>MAFPopulation, total</v>
      </c>
      <c r="C8844" t="s">
        <v>640</v>
      </c>
      <c r="D8844" t="s">
        <v>641</v>
      </c>
      <c r="E8844" t="s">
        <v>398</v>
      </c>
      <c r="F8844" t="s">
        <v>726</v>
      </c>
      <c r="G8844">
        <v>0</v>
      </c>
      <c r="H8844">
        <v>0</v>
      </c>
    </row>
    <row r="8845" spans="2:8" x14ac:dyDescent="0.25">
      <c r="B8845" t="str">
        <f t="shared" si="138"/>
        <v>MAFPopulation, female</v>
      </c>
      <c r="C8845" t="s">
        <v>640</v>
      </c>
      <c r="D8845" t="s">
        <v>641</v>
      </c>
      <c r="E8845" t="s">
        <v>396</v>
      </c>
      <c r="F8845" t="s">
        <v>727</v>
      </c>
      <c r="G8845">
        <v>0</v>
      </c>
      <c r="H8845">
        <v>0</v>
      </c>
    </row>
    <row r="8846" spans="2:8" x14ac:dyDescent="0.25">
      <c r="B8846" t="str">
        <f t="shared" si="138"/>
        <v>MAFPopulation growth (annual %)</v>
      </c>
      <c r="C8846" t="s">
        <v>640</v>
      </c>
      <c r="D8846" t="s">
        <v>641</v>
      </c>
      <c r="E8846" t="s">
        <v>399</v>
      </c>
      <c r="F8846" t="s">
        <v>728</v>
      </c>
      <c r="G8846">
        <v>0</v>
      </c>
      <c r="H8846">
        <v>0</v>
      </c>
    </row>
    <row r="8847" spans="2:8" x14ac:dyDescent="0.25">
      <c r="B8847" t="str">
        <f t="shared" si="138"/>
        <v>VCTPopulation ages 0-14, female</v>
      </c>
      <c r="C8847" t="s">
        <v>642</v>
      </c>
      <c r="D8847" t="s">
        <v>643</v>
      </c>
      <c r="E8847" t="s">
        <v>687</v>
      </c>
      <c r="F8847" t="s">
        <v>688</v>
      </c>
      <c r="G8847">
        <v>12000</v>
      </c>
      <c r="H8847">
        <v>12000</v>
      </c>
    </row>
    <row r="8848" spans="2:8" x14ac:dyDescent="0.25">
      <c r="B8848" t="str">
        <f t="shared" si="138"/>
        <v>VCTPopulation ages 0-14, male</v>
      </c>
      <c r="C8848" t="s">
        <v>642</v>
      </c>
      <c r="D8848" t="s">
        <v>643</v>
      </c>
      <c r="E8848" t="s">
        <v>689</v>
      </c>
      <c r="F8848" t="s">
        <v>690</v>
      </c>
      <c r="G8848">
        <v>12000</v>
      </c>
      <c r="H8848">
        <v>12000</v>
      </c>
    </row>
    <row r="8849" spans="2:8" x14ac:dyDescent="0.25">
      <c r="B8849" t="str">
        <f t="shared" si="138"/>
        <v>VCTPopulation ages 00-04, female</v>
      </c>
      <c r="C8849" t="s">
        <v>642</v>
      </c>
      <c r="D8849" t="s">
        <v>643</v>
      </c>
      <c r="E8849" t="s">
        <v>362</v>
      </c>
      <c r="F8849" t="s">
        <v>691</v>
      </c>
      <c r="G8849">
        <v>3900</v>
      </c>
      <c r="H8849">
        <v>3800</v>
      </c>
    </row>
    <row r="8850" spans="2:8" x14ac:dyDescent="0.25">
      <c r="B8850" t="str">
        <f t="shared" si="138"/>
        <v>VCTPopulation ages 00-04, male</v>
      </c>
      <c r="C8850" t="s">
        <v>642</v>
      </c>
      <c r="D8850" t="s">
        <v>643</v>
      </c>
      <c r="E8850" t="s">
        <v>363</v>
      </c>
      <c r="F8850" t="s">
        <v>692</v>
      </c>
      <c r="G8850">
        <v>4000</v>
      </c>
      <c r="H8850">
        <v>3900</v>
      </c>
    </row>
    <row r="8851" spans="2:8" x14ac:dyDescent="0.25">
      <c r="B8851" t="str">
        <f t="shared" si="138"/>
        <v>VCTPopulation ages 05-09, female</v>
      </c>
      <c r="C8851" t="s">
        <v>642</v>
      </c>
      <c r="D8851" t="s">
        <v>643</v>
      </c>
      <c r="E8851" t="s">
        <v>364</v>
      </c>
      <c r="F8851" t="s">
        <v>693</v>
      </c>
      <c r="G8851">
        <v>4100</v>
      </c>
      <c r="H8851">
        <v>4100</v>
      </c>
    </row>
    <row r="8852" spans="2:8" x14ac:dyDescent="0.25">
      <c r="B8852" t="str">
        <f t="shared" si="138"/>
        <v>VCTPopulation ages 05-09, male</v>
      </c>
      <c r="C8852" t="s">
        <v>642</v>
      </c>
      <c r="D8852" t="s">
        <v>643</v>
      </c>
      <c r="E8852" t="s">
        <v>365</v>
      </c>
      <c r="F8852" t="s">
        <v>694</v>
      </c>
      <c r="G8852">
        <v>4100</v>
      </c>
      <c r="H8852">
        <v>4100</v>
      </c>
    </row>
    <row r="8853" spans="2:8" x14ac:dyDescent="0.25">
      <c r="B8853" t="str">
        <f t="shared" si="138"/>
        <v>VCTPopulation ages 10-14, female</v>
      </c>
      <c r="C8853" t="s">
        <v>642</v>
      </c>
      <c r="D8853" t="s">
        <v>643</v>
      </c>
      <c r="E8853" t="s">
        <v>366</v>
      </c>
      <c r="F8853" t="s">
        <v>695</v>
      </c>
      <c r="G8853">
        <v>4200</v>
      </c>
      <c r="H8853">
        <v>4100</v>
      </c>
    </row>
    <row r="8854" spans="2:8" x14ac:dyDescent="0.25">
      <c r="B8854" t="str">
        <f t="shared" si="138"/>
        <v>VCTPopulation ages 10-14, male</v>
      </c>
      <c r="C8854" t="s">
        <v>642</v>
      </c>
      <c r="D8854" t="s">
        <v>643</v>
      </c>
      <c r="E8854" t="s">
        <v>367</v>
      </c>
      <c r="F8854" t="s">
        <v>696</v>
      </c>
      <c r="G8854">
        <v>4300</v>
      </c>
      <c r="H8854">
        <v>4200</v>
      </c>
    </row>
    <row r="8855" spans="2:8" x14ac:dyDescent="0.25">
      <c r="B8855" t="str">
        <f t="shared" si="138"/>
        <v>VCTPopulation ages 15-19, female</v>
      </c>
      <c r="C8855" t="s">
        <v>642</v>
      </c>
      <c r="D8855" t="s">
        <v>643</v>
      </c>
      <c r="E8855" t="s">
        <v>368</v>
      </c>
      <c r="F8855" t="s">
        <v>697</v>
      </c>
      <c r="G8855">
        <v>4500</v>
      </c>
      <c r="H8855">
        <v>4400</v>
      </c>
    </row>
    <row r="8856" spans="2:8" x14ac:dyDescent="0.25">
      <c r="B8856" t="str">
        <f t="shared" si="138"/>
        <v>VCTPopulation ages 15-19, male</v>
      </c>
      <c r="C8856" t="s">
        <v>642</v>
      </c>
      <c r="D8856" t="s">
        <v>643</v>
      </c>
      <c r="E8856" t="s">
        <v>369</v>
      </c>
      <c r="F8856" t="s">
        <v>698</v>
      </c>
      <c r="G8856">
        <v>4800</v>
      </c>
      <c r="H8856">
        <v>4700</v>
      </c>
    </row>
    <row r="8857" spans="2:8" x14ac:dyDescent="0.25">
      <c r="B8857" t="str">
        <f t="shared" si="138"/>
        <v>VCTPopulation ages 20-24, female</v>
      </c>
      <c r="C8857" t="s">
        <v>642</v>
      </c>
      <c r="D8857" t="s">
        <v>643</v>
      </c>
      <c r="E8857" t="s">
        <v>370</v>
      </c>
      <c r="F8857" t="s">
        <v>699</v>
      </c>
      <c r="G8857">
        <v>4500</v>
      </c>
      <c r="H8857">
        <v>4500</v>
      </c>
    </row>
    <row r="8858" spans="2:8" x14ac:dyDescent="0.25">
      <c r="B8858" t="str">
        <f t="shared" si="138"/>
        <v>VCTPopulation ages 20-24, male</v>
      </c>
      <c r="C8858" t="s">
        <v>642</v>
      </c>
      <c r="D8858" t="s">
        <v>643</v>
      </c>
      <c r="E8858" t="s">
        <v>371</v>
      </c>
      <c r="F8858" t="s">
        <v>700</v>
      </c>
      <c r="G8858">
        <v>4700</v>
      </c>
      <c r="H8858">
        <v>4700</v>
      </c>
    </row>
    <row r="8859" spans="2:8" x14ac:dyDescent="0.25">
      <c r="B8859" t="str">
        <f t="shared" si="138"/>
        <v>VCTPopulation ages 25-29, female</v>
      </c>
      <c r="C8859" t="s">
        <v>642</v>
      </c>
      <c r="D8859" t="s">
        <v>643</v>
      </c>
      <c r="E8859" t="s">
        <v>372</v>
      </c>
      <c r="F8859" t="s">
        <v>701</v>
      </c>
      <c r="G8859">
        <v>4000</v>
      </c>
      <c r="H8859">
        <v>4100</v>
      </c>
    </row>
    <row r="8860" spans="2:8" x14ac:dyDescent="0.25">
      <c r="B8860" t="str">
        <f t="shared" si="138"/>
        <v>VCTPopulation ages 25-29, male</v>
      </c>
      <c r="C8860" t="s">
        <v>642</v>
      </c>
      <c r="D8860" t="s">
        <v>643</v>
      </c>
      <c r="E8860" t="s">
        <v>373</v>
      </c>
      <c r="F8860" t="s">
        <v>702</v>
      </c>
      <c r="G8860">
        <v>4100</v>
      </c>
      <c r="H8860">
        <v>4200</v>
      </c>
    </row>
    <row r="8861" spans="2:8" x14ac:dyDescent="0.25">
      <c r="B8861" t="str">
        <f t="shared" si="138"/>
        <v>VCTPopulation ages 30-34, female</v>
      </c>
      <c r="C8861" t="s">
        <v>642</v>
      </c>
      <c r="D8861" t="s">
        <v>643</v>
      </c>
      <c r="E8861" t="s">
        <v>374</v>
      </c>
      <c r="F8861" t="s">
        <v>703</v>
      </c>
      <c r="G8861">
        <v>3900</v>
      </c>
      <c r="H8861">
        <v>3900</v>
      </c>
    </row>
    <row r="8862" spans="2:8" x14ac:dyDescent="0.25">
      <c r="B8862" t="str">
        <f t="shared" si="138"/>
        <v>VCTPopulation ages 30-34, male</v>
      </c>
      <c r="C8862" t="s">
        <v>642</v>
      </c>
      <c r="D8862" t="s">
        <v>643</v>
      </c>
      <c r="E8862" t="s">
        <v>375</v>
      </c>
      <c r="F8862" t="s">
        <v>704</v>
      </c>
      <c r="G8862">
        <v>4000</v>
      </c>
      <c r="H8862">
        <v>4000</v>
      </c>
    </row>
    <row r="8863" spans="2:8" x14ac:dyDescent="0.25">
      <c r="B8863" t="str">
        <f t="shared" si="138"/>
        <v>VCTPopulation ages 35-39, female</v>
      </c>
      <c r="C8863" t="s">
        <v>642</v>
      </c>
      <c r="D8863" t="s">
        <v>643</v>
      </c>
      <c r="E8863" t="s">
        <v>376</v>
      </c>
      <c r="F8863" t="s">
        <v>705</v>
      </c>
      <c r="G8863">
        <v>4000</v>
      </c>
      <c r="H8863">
        <v>4000</v>
      </c>
    </row>
    <row r="8864" spans="2:8" x14ac:dyDescent="0.25">
      <c r="B8864" t="str">
        <f t="shared" si="138"/>
        <v>VCTPopulation ages 35-39, male</v>
      </c>
      <c r="C8864" t="s">
        <v>642</v>
      </c>
      <c r="D8864" t="s">
        <v>643</v>
      </c>
      <c r="E8864" t="s">
        <v>377</v>
      </c>
      <c r="F8864" t="s">
        <v>706</v>
      </c>
      <c r="G8864">
        <v>3800</v>
      </c>
      <c r="H8864">
        <v>3800</v>
      </c>
    </row>
    <row r="8865" spans="2:8" x14ac:dyDescent="0.25">
      <c r="B8865" t="str">
        <f t="shared" si="138"/>
        <v>VCTPopulation ages 40-44, female</v>
      </c>
      <c r="C8865" t="s">
        <v>642</v>
      </c>
      <c r="D8865" t="s">
        <v>643</v>
      </c>
      <c r="E8865" t="s">
        <v>378</v>
      </c>
      <c r="F8865" t="s">
        <v>707</v>
      </c>
      <c r="G8865">
        <v>3700</v>
      </c>
      <c r="H8865">
        <v>3700</v>
      </c>
    </row>
    <row r="8866" spans="2:8" x14ac:dyDescent="0.25">
      <c r="B8866" t="str">
        <f t="shared" si="138"/>
        <v>VCTPopulation ages 40-44, male</v>
      </c>
      <c r="C8866" t="s">
        <v>642</v>
      </c>
      <c r="D8866" t="s">
        <v>643</v>
      </c>
      <c r="E8866" t="s">
        <v>379</v>
      </c>
      <c r="F8866" t="s">
        <v>708</v>
      </c>
      <c r="G8866">
        <v>3800</v>
      </c>
      <c r="H8866">
        <v>3800</v>
      </c>
    </row>
    <row r="8867" spans="2:8" x14ac:dyDescent="0.25">
      <c r="B8867" t="str">
        <f t="shared" si="138"/>
        <v>VCTPopulation ages 45-49, female</v>
      </c>
      <c r="C8867" t="s">
        <v>642</v>
      </c>
      <c r="D8867" t="s">
        <v>643</v>
      </c>
      <c r="E8867" t="s">
        <v>380</v>
      </c>
      <c r="F8867" t="s">
        <v>709</v>
      </c>
      <c r="G8867">
        <v>3300</v>
      </c>
      <c r="H8867">
        <v>3300</v>
      </c>
    </row>
    <row r="8868" spans="2:8" x14ac:dyDescent="0.25">
      <c r="B8868" t="str">
        <f t="shared" si="138"/>
        <v>VCTPopulation ages 45-49, male</v>
      </c>
      <c r="C8868" t="s">
        <v>642</v>
      </c>
      <c r="D8868" t="s">
        <v>643</v>
      </c>
      <c r="E8868" t="s">
        <v>381</v>
      </c>
      <c r="F8868" t="s">
        <v>710</v>
      </c>
      <c r="G8868">
        <v>3600</v>
      </c>
      <c r="H8868">
        <v>3600</v>
      </c>
    </row>
    <row r="8869" spans="2:8" x14ac:dyDescent="0.25">
      <c r="B8869" t="str">
        <f t="shared" si="138"/>
        <v>VCTPopulation ages 50-54, female</v>
      </c>
      <c r="C8869" t="s">
        <v>642</v>
      </c>
      <c r="D8869" t="s">
        <v>643</v>
      </c>
      <c r="E8869" t="s">
        <v>382</v>
      </c>
      <c r="F8869" t="s">
        <v>711</v>
      </c>
      <c r="G8869">
        <v>3300</v>
      </c>
      <c r="H8869">
        <v>3300</v>
      </c>
    </row>
    <row r="8870" spans="2:8" x14ac:dyDescent="0.25">
      <c r="B8870" t="str">
        <f t="shared" si="138"/>
        <v>VCTPopulation ages 50-54, male</v>
      </c>
      <c r="C8870" t="s">
        <v>642</v>
      </c>
      <c r="D8870" t="s">
        <v>643</v>
      </c>
      <c r="E8870" t="s">
        <v>383</v>
      </c>
      <c r="F8870" t="s">
        <v>712</v>
      </c>
      <c r="G8870">
        <v>3500</v>
      </c>
      <c r="H8870">
        <v>3500</v>
      </c>
    </row>
    <row r="8871" spans="2:8" x14ac:dyDescent="0.25">
      <c r="B8871" t="str">
        <f t="shared" si="138"/>
        <v>VCTPopulation ages 55-59, male</v>
      </c>
      <c r="C8871" t="s">
        <v>642</v>
      </c>
      <c r="D8871" t="s">
        <v>643</v>
      </c>
      <c r="E8871" t="s">
        <v>385</v>
      </c>
      <c r="F8871" t="s">
        <v>713</v>
      </c>
      <c r="G8871">
        <v>3500</v>
      </c>
      <c r="H8871">
        <v>3500</v>
      </c>
    </row>
    <row r="8872" spans="2:8" x14ac:dyDescent="0.25">
      <c r="B8872" t="str">
        <f t="shared" si="138"/>
        <v>VCTPopulation ages 55-59, female</v>
      </c>
      <c r="C8872" t="s">
        <v>642</v>
      </c>
      <c r="D8872" t="s">
        <v>643</v>
      </c>
      <c r="E8872" t="s">
        <v>384</v>
      </c>
      <c r="F8872" t="s">
        <v>714</v>
      </c>
      <c r="G8872">
        <v>3200</v>
      </c>
      <c r="H8872">
        <v>3300</v>
      </c>
    </row>
    <row r="8873" spans="2:8" x14ac:dyDescent="0.25">
      <c r="B8873" t="str">
        <f t="shared" si="138"/>
        <v>VCTPopulation ages 65-69, male</v>
      </c>
      <c r="C8873" t="s">
        <v>642</v>
      </c>
      <c r="D8873" t="s">
        <v>643</v>
      </c>
      <c r="E8873" t="s">
        <v>389</v>
      </c>
      <c r="F8873" t="s">
        <v>715</v>
      </c>
      <c r="G8873">
        <v>1900</v>
      </c>
      <c r="H8873">
        <v>2000</v>
      </c>
    </row>
    <row r="8874" spans="2:8" x14ac:dyDescent="0.25">
      <c r="B8874" t="str">
        <f t="shared" si="138"/>
        <v>VCTPopulation ages 65-69, female</v>
      </c>
      <c r="C8874" t="s">
        <v>642</v>
      </c>
      <c r="D8874" t="s">
        <v>643</v>
      </c>
      <c r="E8874" t="s">
        <v>388</v>
      </c>
      <c r="F8874" t="s">
        <v>716</v>
      </c>
      <c r="G8874">
        <v>1900</v>
      </c>
      <c r="H8874">
        <v>1900</v>
      </c>
    </row>
    <row r="8875" spans="2:8" x14ac:dyDescent="0.25">
      <c r="B8875" t="str">
        <f t="shared" si="138"/>
        <v>VCTPopulation ages 60-64, female</v>
      </c>
      <c r="C8875" t="s">
        <v>642</v>
      </c>
      <c r="D8875" t="s">
        <v>643</v>
      </c>
      <c r="E8875" t="s">
        <v>386</v>
      </c>
      <c r="F8875" t="s">
        <v>717</v>
      </c>
      <c r="G8875">
        <v>2400</v>
      </c>
      <c r="H8875">
        <v>2500</v>
      </c>
    </row>
    <row r="8876" spans="2:8" x14ac:dyDescent="0.25">
      <c r="B8876" t="str">
        <f t="shared" si="138"/>
        <v>VCTPopulation ages 60-64, male</v>
      </c>
      <c r="C8876" t="s">
        <v>642</v>
      </c>
      <c r="D8876" t="s">
        <v>643</v>
      </c>
      <c r="E8876" t="s">
        <v>387</v>
      </c>
      <c r="F8876" t="s">
        <v>718</v>
      </c>
      <c r="G8876">
        <v>2600</v>
      </c>
      <c r="H8876">
        <v>2800</v>
      </c>
    </row>
    <row r="8877" spans="2:8" x14ac:dyDescent="0.25">
      <c r="B8877" t="str">
        <f t="shared" si="138"/>
        <v>VCTPopulation ages 70-74, female</v>
      </c>
      <c r="C8877" t="s">
        <v>642</v>
      </c>
      <c r="D8877" t="s">
        <v>643</v>
      </c>
      <c r="E8877" t="s">
        <v>390</v>
      </c>
      <c r="F8877" t="s">
        <v>719</v>
      </c>
      <c r="G8877">
        <v>1300</v>
      </c>
      <c r="H8877">
        <v>1400</v>
      </c>
    </row>
    <row r="8878" spans="2:8" x14ac:dyDescent="0.25">
      <c r="B8878" t="str">
        <f t="shared" si="138"/>
        <v>VCTPopulation ages 70-74, male</v>
      </c>
      <c r="C8878" t="s">
        <v>642</v>
      </c>
      <c r="D8878" t="s">
        <v>643</v>
      </c>
      <c r="E8878" t="s">
        <v>391</v>
      </c>
      <c r="F8878" t="s">
        <v>720</v>
      </c>
      <c r="G8878">
        <v>1300</v>
      </c>
      <c r="H8878">
        <v>1300</v>
      </c>
    </row>
    <row r="8879" spans="2:8" x14ac:dyDescent="0.25">
      <c r="B8879" t="str">
        <f t="shared" si="138"/>
        <v>VCTPopulation ages 75-79, female</v>
      </c>
      <c r="C8879" t="s">
        <v>642</v>
      </c>
      <c r="D8879" t="s">
        <v>643</v>
      </c>
      <c r="E8879" t="s">
        <v>392</v>
      </c>
      <c r="F8879" t="s">
        <v>721</v>
      </c>
      <c r="G8879">
        <v>900</v>
      </c>
      <c r="H8879">
        <v>900</v>
      </c>
    </row>
    <row r="8880" spans="2:8" x14ac:dyDescent="0.25">
      <c r="B8880" t="str">
        <f t="shared" si="138"/>
        <v>VCTPopulation ages 75-79, male</v>
      </c>
      <c r="C8880" t="s">
        <v>642</v>
      </c>
      <c r="D8880" t="s">
        <v>643</v>
      </c>
      <c r="E8880" t="s">
        <v>393</v>
      </c>
      <c r="F8880" t="s">
        <v>722</v>
      </c>
      <c r="G8880">
        <v>900</v>
      </c>
      <c r="H8880">
        <v>900</v>
      </c>
    </row>
    <row r="8881" spans="2:8" x14ac:dyDescent="0.25">
      <c r="B8881" t="str">
        <f t="shared" si="138"/>
        <v>VCTPopulation ages 80 and above, female</v>
      </c>
      <c r="C8881" t="s">
        <v>642</v>
      </c>
      <c r="D8881" t="s">
        <v>643</v>
      </c>
      <c r="E8881" t="s">
        <v>394</v>
      </c>
      <c r="F8881" t="s">
        <v>723</v>
      </c>
      <c r="G8881">
        <v>1400</v>
      </c>
      <c r="H8881">
        <v>1400</v>
      </c>
    </row>
    <row r="8882" spans="2:8" x14ac:dyDescent="0.25">
      <c r="B8882" t="str">
        <f t="shared" si="138"/>
        <v>VCTPopulation ages 80 and above, male</v>
      </c>
      <c r="C8882" t="s">
        <v>642</v>
      </c>
      <c r="D8882" t="s">
        <v>643</v>
      </c>
      <c r="E8882" t="s">
        <v>395</v>
      </c>
      <c r="F8882" t="s">
        <v>724</v>
      </c>
      <c r="G8882">
        <v>1200</v>
      </c>
      <c r="H8882">
        <v>1200</v>
      </c>
    </row>
    <row r="8883" spans="2:8" x14ac:dyDescent="0.25">
      <c r="B8883" t="str">
        <f t="shared" si="138"/>
        <v>VCTPopulation, male</v>
      </c>
      <c r="C8883" t="s">
        <v>642</v>
      </c>
      <c r="D8883" t="s">
        <v>643</v>
      </c>
      <c r="E8883" t="s">
        <v>397</v>
      </c>
      <c r="F8883" t="s">
        <v>725</v>
      </c>
      <c r="G8883">
        <v>56000</v>
      </c>
      <c r="H8883">
        <v>56000</v>
      </c>
    </row>
    <row r="8884" spans="2:8" x14ac:dyDescent="0.25">
      <c r="B8884" t="str">
        <f t="shared" si="138"/>
        <v>VCTPopulation, total</v>
      </c>
      <c r="C8884" t="s">
        <v>642</v>
      </c>
      <c r="D8884" t="s">
        <v>643</v>
      </c>
      <c r="E8884" t="s">
        <v>398</v>
      </c>
      <c r="F8884" t="s">
        <v>726</v>
      </c>
      <c r="G8884">
        <v>111000</v>
      </c>
      <c r="H8884">
        <v>111000</v>
      </c>
    </row>
    <row r="8885" spans="2:8" x14ac:dyDescent="0.25">
      <c r="B8885" t="str">
        <f t="shared" si="138"/>
        <v>VCTPopulation, female</v>
      </c>
      <c r="C8885" t="s">
        <v>642</v>
      </c>
      <c r="D8885" t="s">
        <v>643</v>
      </c>
      <c r="E8885" t="s">
        <v>396</v>
      </c>
      <c r="F8885" t="s">
        <v>727</v>
      </c>
      <c r="G8885">
        <v>54000</v>
      </c>
      <c r="H8885">
        <v>55000</v>
      </c>
    </row>
    <row r="8886" spans="2:8" x14ac:dyDescent="0.25">
      <c r="B8886" t="str">
        <f t="shared" si="138"/>
        <v>VCTPopulation growth (annual %)</v>
      </c>
      <c r="C8886" t="s">
        <v>642</v>
      </c>
      <c r="D8886" t="s">
        <v>643</v>
      </c>
      <c r="E8886" t="s">
        <v>399</v>
      </c>
      <c r="F8886" t="s">
        <v>728</v>
      </c>
      <c r="G8886">
        <v>0</v>
      </c>
      <c r="H8886">
        <v>0</v>
      </c>
    </row>
    <row r="8887" spans="2:8" x14ac:dyDescent="0.25">
      <c r="B8887" t="str">
        <f t="shared" si="138"/>
        <v>SSFPopulation ages 0-14, female</v>
      </c>
      <c r="C8887" t="s">
        <v>644</v>
      </c>
      <c r="D8887" t="s">
        <v>645</v>
      </c>
      <c r="E8887" t="s">
        <v>687</v>
      </c>
      <c r="F8887" t="s">
        <v>688</v>
      </c>
      <c r="G8887">
        <v>231126000</v>
      </c>
      <c r="H8887">
        <v>235616000</v>
      </c>
    </row>
    <row r="8888" spans="2:8" x14ac:dyDescent="0.25">
      <c r="B8888" t="str">
        <f t="shared" si="138"/>
        <v>SSFPopulation ages 0-14, male</v>
      </c>
      <c r="C8888" t="s">
        <v>644</v>
      </c>
      <c r="D8888" t="s">
        <v>645</v>
      </c>
      <c r="E8888" t="s">
        <v>689</v>
      </c>
      <c r="F8888" t="s">
        <v>690</v>
      </c>
      <c r="G8888">
        <v>236923000</v>
      </c>
      <c r="H8888">
        <v>241584000</v>
      </c>
    </row>
    <row r="8889" spans="2:8" x14ac:dyDescent="0.25">
      <c r="B8889" t="str">
        <f t="shared" si="138"/>
        <v>SSFPopulation ages 00-04, female</v>
      </c>
      <c r="C8889" t="s">
        <v>644</v>
      </c>
      <c r="D8889" t="s">
        <v>645</v>
      </c>
      <c r="E8889" t="s">
        <v>362</v>
      </c>
      <c r="F8889" t="s">
        <v>691</v>
      </c>
      <c r="G8889">
        <v>85881900</v>
      </c>
      <c r="H8889">
        <v>87240800</v>
      </c>
    </row>
    <row r="8890" spans="2:8" x14ac:dyDescent="0.25">
      <c r="B8890" t="str">
        <f t="shared" si="138"/>
        <v>SSFPopulation ages 00-04, male</v>
      </c>
      <c r="C8890" t="s">
        <v>644</v>
      </c>
      <c r="D8890" t="s">
        <v>645</v>
      </c>
      <c r="E8890" t="s">
        <v>363</v>
      </c>
      <c r="F8890" t="s">
        <v>692</v>
      </c>
      <c r="G8890">
        <v>88329100</v>
      </c>
      <c r="H8890">
        <v>89725100</v>
      </c>
    </row>
    <row r="8891" spans="2:8" x14ac:dyDescent="0.25">
      <c r="B8891" t="str">
        <f t="shared" si="138"/>
        <v>SSFPopulation ages 05-09, female</v>
      </c>
      <c r="C8891" t="s">
        <v>644</v>
      </c>
      <c r="D8891" t="s">
        <v>645</v>
      </c>
      <c r="E8891" t="s">
        <v>364</v>
      </c>
      <c r="F8891" t="s">
        <v>693</v>
      </c>
      <c r="G8891">
        <v>77158800</v>
      </c>
      <c r="H8891">
        <v>78594800</v>
      </c>
    </row>
    <row r="8892" spans="2:8" x14ac:dyDescent="0.25">
      <c r="B8892" t="str">
        <f t="shared" si="138"/>
        <v>SSFPopulation ages 05-09, male</v>
      </c>
      <c r="C8892" t="s">
        <v>644</v>
      </c>
      <c r="D8892" t="s">
        <v>645</v>
      </c>
      <c r="E8892" t="s">
        <v>365</v>
      </c>
      <c r="F8892" t="s">
        <v>694</v>
      </c>
      <c r="G8892">
        <v>79081100</v>
      </c>
      <c r="H8892">
        <v>80571100</v>
      </c>
    </row>
    <row r="8893" spans="2:8" x14ac:dyDescent="0.25">
      <c r="B8893" t="str">
        <f t="shared" si="138"/>
        <v>SSFPopulation ages 10-14, female</v>
      </c>
      <c r="C8893" t="s">
        <v>644</v>
      </c>
      <c r="D8893" t="s">
        <v>645</v>
      </c>
      <c r="E8893" t="s">
        <v>366</v>
      </c>
      <c r="F8893" t="s">
        <v>695</v>
      </c>
      <c r="G8893">
        <v>68089500</v>
      </c>
      <c r="H8893">
        <v>69782600</v>
      </c>
    </row>
    <row r="8894" spans="2:8" x14ac:dyDescent="0.25">
      <c r="B8894" t="str">
        <f t="shared" si="138"/>
        <v>SSFPopulation ages 10-14, male</v>
      </c>
      <c r="C8894" t="s">
        <v>644</v>
      </c>
      <c r="D8894" t="s">
        <v>645</v>
      </c>
      <c r="E8894" t="s">
        <v>367</v>
      </c>
      <c r="F8894" t="s">
        <v>696</v>
      </c>
      <c r="G8894">
        <v>69516700</v>
      </c>
      <c r="H8894">
        <v>71290800</v>
      </c>
    </row>
    <row r="8895" spans="2:8" x14ac:dyDescent="0.25">
      <c r="B8895" t="str">
        <f t="shared" si="138"/>
        <v>SSFPopulation ages 15-19, female</v>
      </c>
      <c r="C8895" t="s">
        <v>644</v>
      </c>
      <c r="D8895" t="s">
        <v>645</v>
      </c>
      <c r="E8895" t="s">
        <v>368</v>
      </c>
      <c r="F8895" t="s">
        <v>697</v>
      </c>
      <c r="G8895">
        <v>58867100</v>
      </c>
      <c r="H8895">
        <v>60545100</v>
      </c>
    </row>
    <row r="8896" spans="2:8" x14ac:dyDescent="0.25">
      <c r="B8896" t="str">
        <f t="shared" si="138"/>
        <v>SSFPopulation ages 15-19, male</v>
      </c>
      <c r="C8896" t="s">
        <v>644</v>
      </c>
      <c r="D8896" t="s">
        <v>645</v>
      </c>
      <c r="E8896" t="s">
        <v>369</v>
      </c>
      <c r="F8896" t="s">
        <v>698</v>
      </c>
      <c r="G8896">
        <v>59792200</v>
      </c>
      <c r="H8896">
        <v>61547300</v>
      </c>
    </row>
    <row r="8897" spans="2:8" x14ac:dyDescent="0.25">
      <c r="B8897" t="str">
        <f t="shared" si="138"/>
        <v>SSFPopulation ages 20-24, female</v>
      </c>
      <c r="C8897" t="s">
        <v>644</v>
      </c>
      <c r="D8897" t="s">
        <v>645</v>
      </c>
      <c r="E8897" t="s">
        <v>370</v>
      </c>
      <c r="F8897" t="s">
        <v>699</v>
      </c>
      <c r="G8897">
        <v>50360000</v>
      </c>
      <c r="H8897">
        <v>51828300</v>
      </c>
    </row>
    <row r="8898" spans="2:8" x14ac:dyDescent="0.25">
      <c r="B8898" t="str">
        <f t="shared" si="138"/>
        <v>SSFPopulation ages 20-24, male</v>
      </c>
      <c r="C8898" t="s">
        <v>644</v>
      </c>
      <c r="D8898" t="s">
        <v>645</v>
      </c>
      <c r="E8898" t="s">
        <v>371</v>
      </c>
      <c r="F8898" t="s">
        <v>700</v>
      </c>
      <c r="G8898">
        <v>50802400</v>
      </c>
      <c r="H8898">
        <v>52317700</v>
      </c>
    </row>
    <row r="8899" spans="2:8" x14ac:dyDescent="0.25">
      <c r="B8899" t="str">
        <f t="shared" si="138"/>
        <v>SSFPopulation ages 25-29, female</v>
      </c>
      <c r="C8899" t="s">
        <v>644</v>
      </c>
      <c r="D8899" t="s">
        <v>645</v>
      </c>
      <c r="E8899" t="s">
        <v>372</v>
      </c>
      <c r="F8899" t="s">
        <v>701</v>
      </c>
      <c r="G8899">
        <v>42939800</v>
      </c>
      <c r="H8899">
        <v>44120700</v>
      </c>
    </row>
    <row r="8900" spans="2:8" x14ac:dyDescent="0.25">
      <c r="B8900" t="str">
        <f t="shared" si="138"/>
        <v>SSFPopulation ages 25-29, male</v>
      </c>
      <c r="C8900" t="s">
        <v>644</v>
      </c>
      <c r="D8900" t="s">
        <v>645</v>
      </c>
      <c r="E8900" t="s">
        <v>373</v>
      </c>
      <c r="F8900" t="s">
        <v>702</v>
      </c>
      <c r="G8900">
        <v>42981300</v>
      </c>
      <c r="H8900">
        <v>44212300</v>
      </c>
    </row>
    <row r="8901" spans="2:8" x14ac:dyDescent="0.25">
      <c r="B8901" t="str">
        <f t="shared" si="138"/>
        <v>SSFPopulation ages 30-34, female</v>
      </c>
      <c r="C8901" t="s">
        <v>644</v>
      </c>
      <c r="D8901" t="s">
        <v>645</v>
      </c>
      <c r="E8901" t="s">
        <v>374</v>
      </c>
      <c r="F8901" t="s">
        <v>703</v>
      </c>
      <c r="G8901">
        <v>36719200</v>
      </c>
      <c r="H8901">
        <v>37717200</v>
      </c>
    </row>
    <row r="8902" spans="2:8" x14ac:dyDescent="0.25">
      <c r="B8902" t="str">
        <f t="shared" si="138"/>
        <v>SSFPopulation ages 30-34, male</v>
      </c>
      <c r="C8902" t="s">
        <v>644</v>
      </c>
      <c r="D8902" t="s">
        <v>645</v>
      </c>
      <c r="E8902" t="s">
        <v>375</v>
      </c>
      <c r="F8902" t="s">
        <v>704</v>
      </c>
      <c r="G8902">
        <v>36379000</v>
      </c>
      <c r="H8902">
        <v>37436900</v>
      </c>
    </row>
    <row r="8903" spans="2:8" x14ac:dyDescent="0.25">
      <c r="B8903" t="str">
        <f t="shared" ref="B8903:B8966" si="139">CONCATENATE(D8903,E8903)</f>
        <v>SSFPopulation ages 35-39, female</v>
      </c>
      <c r="C8903" t="s">
        <v>644</v>
      </c>
      <c r="D8903" t="s">
        <v>645</v>
      </c>
      <c r="E8903" t="s">
        <v>376</v>
      </c>
      <c r="F8903" t="s">
        <v>705</v>
      </c>
      <c r="G8903">
        <v>30887500</v>
      </c>
      <c r="H8903">
        <v>31897500</v>
      </c>
    </row>
    <row r="8904" spans="2:8" x14ac:dyDescent="0.25">
      <c r="B8904" t="str">
        <f t="shared" si="139"/>
        <v>SSFPopulation ages 35-39, male</v>
      </c>
      <c r="C8904" t="s">
        <v>644</v>
      </c>
      <c r="D8904" t="s">
        <v>645</v>
      </c>
      <c r="E8904" t="s">
        <v>377</v>
      </c>
      <c r="F8904" t="s">
        <v>706</v>
      </c>
      <c r="G8904">
        <v>30263400</v>
      </c>
      <c r="H8904">
        <v>31272300</v>
      </c>
    </row>
    <row r="8905" spans="2:8" x14ac:dyDescent="0.25">
      <c r="B8905" t="str">
        <f t="shared" si="139"/>
        <v>SSFPopulation ages 40-44, female</v>
      </c>
      <c r="C8905" t="s">
        <v>644</v>
      </c>
      <c r="D8905" t="s">
        <v>645</v>
      </c>
      <c r="E8905" t="s">
        <v>378</v>
      </c>
      <c r="F8905" t="s">
        <v>707</v>
      </c>
      <c r="G8905">
        <v>25075800</v>
      </c>
      <c r="H8905">
        <v>25981900</v>
      </c>
    </row>
    <row r="8906" spans="2:8" x14ac:dyDescent="0.25">
      <c r="B8906" t="str">
        <f t="shared" si="139"/>
        <v>SSFPopulation ages 40-44, male</v>
      </c>
      <c r="C8906" t="s">
        <v>644</v>
      </c>
      <c r="D8906" t="s">
        <v>645</v>
      </c>
      <c r="E8906" t="s">
        <v>379</v>
      </c>
      <c r="F8906" t="s">
        <v>708</v>
      </c>
      <c r="G8906">
        <v>24492300</v>
      </c>
      <c r="H8906">
        <v>25364500</v>
      </c>
    </row>
    <row r="8907" spans="2:8" x14ac:dyDescent="0.25">
      <c r="B8907" t="str">
        <f t="shared" si="139"/>
        <v>SSFPopulation ages 45-49, female</v>
      </c>
      <c r="C8907" t="s">
        <v>644</v>
      </c>
      <c r="D8907" t="s">
        <v>645</v>
      </c>
      <c r="E8907" t="s">
        <v>380</v>
      </c>
      <c r="F8907" t="s">
        <v>709</v>
      </c>
      <c r="G8907">
        <v>20294300</v>
      </c>
      <c r="H8907">
        <v>21036400</v>
      </c>
    </row>
    <row r="8908" spans="2:8" x14ac:dyDescent="0.25">
      <c r="B8908" t="str">
        <f t="shared" si="139"/>
        <v>SSFPopulation ages 45-49, male</v>
      </c>
      <c r="C8908" t="s">
        <v>644</v>
      </c>
      <c r="D8908" t="s">
        <v>645</v>
      </c>
      <c r="E8908" t="s">
        <v>381</v>
      </c>
      <c r="F8908" t="s">
        <v>710</v>
      </c>
      <c r="G8908">
        <v>19623500</v>
      </c>
      <c r="H8908">
        <v>20366700</v>
      </c>
    </row>
    <row r="8909" spans="2:8" x14ac:dyDescent="0.25">
      <c r="B8909" t="str">
        <f t="shared" si="139"/>
        <v>SSFPopulation ages 50-54, female</v>
      </c>
      <c r="C8909" t="s">
        <v>644</v>
      </c>
      <c r="D8909" t="s">
        <v>645</v>
      </c>
      <c r="E8909" t="s">
        <v>382</v>
      </c>
      <c r="F8909" t="s">
        <v>711</v>
      </c>
      <c r="G8909">
        <v>16303000</v>
      </c>
      <c r="H8909">
        <v>16867000</v>
      </c>
    </row>
    <row r="8910" spans="2:8" x14ac:dyDescent="0.25">
      <c r="B8910" t="str">
        <f t="shared" si="139"/>
        <v>SSFPopulation ages 50-54, male</v>
      </c>
      <c r="C8910" t="s">
        <v>644</v>
      </c>
      <c r="D8910" t="s">
        <v>645</v>
      </c>
      <c r="E8910" t="s">
        <v>383</v>
      </c>
      <c r="F8910" t="s">
        <v>712</v>
      </c>
      <c r="G8910">
        <v>15341900</v>
      </c>
      <c r="H8910">
        <v>15906000</v>
      </c>
    </row>
    <row r="8911" spans="2:8" x14ac:dyDescent="0.25">
      <c r="B8911" t="str">
        <f t="shared" si="139"/>
        <v>SSFPopulation ages 55-59, male</v>
      </c>
      <c r="C8911" t="s">
        <v>644</v>
      </c>
      <c r="D8911" t="s">
        <v>645</v>
      </c>
      <c r="E8911" t="s">
        <v>385</v>
      </c>
      <c r="F8911" t="s">
        <v>713</v>
      </c>
      <c r="G8911">
        <v>12022300</v>
      </c>
      <c r="H8911">
        <v>12445500</v>
      </c>
    </row>
    <row r="8912" spans="2:8" x14ac:dyDescent="0.25">
      <c r="B8912" t="str">
        <f t="shared" si="139"/>
        <v>SSFPopulation ages 55-59, female</v>
      </c>
      <c r="C8912" t="s">
        <v>644</v>
      </c>
      <c r="D8912" t="s">
        <v>645</v>
      </c>
      <c r="E8912" t="s">
        <v>384</v>
      </c>
      <c r="F8912" t="s">
        <v>714</v>
      </c>
      <c r="G8912">
        <v>13143800</v>
      </c>
      <c r="H8912">
        <v>13578000</v>
      </c>
    </row>
    <row r="8913" spans="2:8" x14ac:dyDescent="0.25">
      <c r="B8913" t="str">
        <f t="shared" si="139"/>
        <v>SSFPopulation ages 65-69, male</v>
      </c>
      <c r="C8913" t="s">
        <v>644</v>
      </c>
      <c r="D8913" t="s">
        <v>645</v>
      </c>
      <c r="E8913" t="s">
        <v>389</v>
      </c>
      <c r="F8913" t="s">
        <v>715</v>
      </c>
      <c r="G8913">
        <v>6479600</v>
      </c>
      <c r="H8913">
        <v>6721800</v>
      </c>
    </row>
    <row r="8914" spans="2:8" x14ac:dyDescent="0.25">
      <c r="B8914" t="str">
        <f t="shared" si="139"/>
        <v>SSFPopulation ages 65-69, female</v>
      </c>
      <c r="C8914" t="s">
        <v>644</v>
      </c>
      <c r="D8914" t="s">
        <v>645</v>
      </c>
      <c r="E8914" t="s">
        <v>388</v>
      </c>
      <c r="F8914" t="s">
        <v>716</v>
      </c>
      <c r="G8914">
        <v>7681700</v>
      </c>
      <c r="H8914">
        <v>7970200</v>
      </c>
    </row>
    <row r="8915" spans="2:8" x14ac:dyDescent="0.25">
      <c r="B8915" t="str">
        <f t="shared" si="139"/>
        <v>SSFPopulation ages 60-64, female</v>
      </c>
      <c r="C8915" t="s">
        <v>644</v>
      </c>
      <c r="D8915" t="s">
        <v>645</v>
      </c>
      <c r="E8915" t="s">
        <v>386</v>
      </c>
      <c r="F8915" t="s">
        <v>717</v>
      </c>
      <c r="G8915">
        <v>10326000</v>
      </c>
      <c r="H8915">
        <v>10692000</v>
      </c>
    </row>
    <row r="8916" spans="2:8" x14ac:dyDescent="0.25">
      <c r="B8916" t="str">
        <f t="shared" si="139"/>
        <v>SSFPopulation ages 60-64, male</v>
      </c>
      <c r="C8916" t="s">
        <v>644</v>
      </c>
      <c r="D8916" t="s">
        <v>645</v>
      </c>
      <c r="E8916" t="s">
        <v>387</v>
      </c>
      <c r="F8916" t="s">
        <v>718</v>
      </c>
      <c r="G8916">
        <v>9054500</v>
      </c>
      <c r="H8916">
        <v>9387500</v>
      </c>
    </row>
    <row r="8917" spans="2:8" x14ac:dyDescent="0.25">
      <c r="B8917" t="str">
        <f t="shared" si="139"/>
        <v>SSFPopulation ages 70-74, female</v>
      </c>
      <c r="C8917" t="s">
        <v>644</v>
      </c>
      <c r="D8917" t="s">
        <v>645</v>
      </c>
      <c r="E8917" t="s">
        <v>390</v>
      </c>
      <c r="F8917" t="s">
        <v>719</v>
      </c>
      <c r="G8917">
        <v>5326100</v>
      </c>
      <c r="H8917">
        <v>5520300</v>
      </c>
    </row>
    <row r="8918" spans="2:8" x14ac:dyDescent="0.25">
      <c r="B8918" t="str">
        <f t="shared" si="139"/>
        <v>SSFPopulation ages 70-74, male</v>
      </c>
      <c r="C8918" t="s">
        <v>644</v>
      </c>
      <c r="D8918" t="s">
        <v>645</v>
      </c>
      <c r="E8918" t="s">
        <v>391</v>
      </c>
      <c r="F8918" t="s">
        <v>720</v>
      </c>
      <c r="G8918">
        <v>4247500</v>
      </c>
      <c r="H8918">
        <v>4394600</v>
      </c>
    </row>
    <row r="8919" spans="2:8" x14ac:dyDescent="0.25">
      <c r="B8919" t="str">
        <f t="shared" si="139"/>
        <v>SSFPopulation ages 75-79, female</v>
      </c>
      <c r="C8919" t="s">
        <v>644</v>
      </c>
      <c r="D8919" t="s">
        <v>645</v>
      </c>
      <c r="E8919" t="s">
        <v>392</v>
      </c>
      <c r="F8919" t="s">
        <v>721</v>
      </c>
      <c r="G8919">
        <v>3247700</v>
      </c>
      <c r="H8919">
        <v>3361100</v>
      </c>
    </row>
    <row r="8920" spans="2:8" x14ac:dyDescent="0.25">
      <c r="B8920" t="str">
        <f t="shared" si="139"/>
        <v>SSFPopulation ages 75-79, male</v>
      </c>
      <c r="C8920" t="s">
        <v>644</v>
      </c>
      <c r="D8920" t="s">
        <v>645</v>
      </c>
      <c r="E8920" t="s">
        <v>393</v>
      </c>
      <c r="F8920" t="s">
        <v>722</v>
      </c>
      <c r="G8920">
        <v>2421100</v>
      </c>
      <c r="H8920">
        <v>2495400</v>
      </c>
    </row>
    <row r="8921" spans="2:8" x14ac:dyDescent="0.25">
      <c r="B8921" t="str">
        <f t="shared" si="139"/>
        <v>SSFPopulation ages 80 and above, female</v>
      </c>
      <c r="C8921" t="s">
        <v>644</v>
      </c>
      <c r="D8921" t="s">
        <v>645</v>
      </c>
      <c r="E8921" t="s">
        <v>394</v>
      </c>
      <c r="F8921" t="s">
        <v>723</v>
      </c>
      <c r="G8921">
        <v>2331300</v>
      </c>
      <c r="H8921">
        <v>2337400</v>
      </c>
    </row>
    <row r="8922" spans="2:8" x14ac:dyDescent="0.25">
      <c r="B8922" t="str">
        <f t="shared" si="139"/>
        <v>SSFPopulation ages 80 and above, male</v>
      </c>
      <c r="C8922" t="s">
        <v>644</v>
      </c>
      <c r="D8922" t="s">
        <v>645</v>
      </c>
      <c r="E8922" t="s">
        <v>395</v>
      </c>
      <c r="F8922" t="s">
        <v>724</v>
      </c>
      <c r="G8922">
        <v>1532900</v>
      </c>
      <c r="H8922">
        <v>1515400</v>
      </c>
    </row>
    <row r="8923" spans="2:8" x14ac:dyDescent="0.25">
      <c r="B8923" t="str">
        <f t="shared" si="139"/>
        <v>SSFPopulation, male</v>
      </c>
      <c r="C8923" t="s">
        <v>644</v>
      </c>
      <c r="D8923" t="s">
        <v>645</v>
      </c>
      <c r="E8923" t="s">
        <v>397</v>
      </c>
      <c r="F8923" t="s">
        <v>725</v>
      </c>
      <c r="G8923">
        <v>552345000</v>
      </c>
      <c r="H8923">
        <v>566974000</v>
      </c>
    </row>
    <row r="8924" spans="2:8" x14ac:dyDescent="0.25">
      <c r="B8924" t="str">
        <f t="shared" si="139"/>
        <v>SSFPopulation, total</v>
      </c>
      <c r="C8924" t="s">
        <v>644</v>
      </c>
      <c r="D8924" t="s">
        <v>645</v>
      </c>
      <c r="E8924" t="s">
        <v>398</v>
      </c>
      <c r="F8924" t="s">
        <v>726</v>
      </c>
      <c r="G8924">
        <v>1106960000</v>
      </c>
      <c r="H8924">
        <v>1136052000</v>
      </c>
    </row>
    <row r="8925" spans="2:8" x14ac:dyDescent="0.25">
      <c r="B8925" t="str">
        <f t="shared" si="139"/>
        <v>SSFPopulation, female</v>
      </c>
      <c r="C8925" t="s">
        <v>644</v>
      </c>
      <c r="D8925" t="s">
        <v>645</v>
      </c>
      <c r="E8925" t="s">
        <v>396</v>
      </c>
      <c r="F8925" t="s">
        <v>727</v>
      </c>
      <c r="G8925">
        <v>554612000</v>
      </c>
      <c r="H8925">
        <v>569080000</v>
      </c>
    </row>
    <row r="8926" spans="2:8" x14ac:dyDescent="0.25">
      <c r="B8926" t="str">
        <f t="shared" si="139"/>
        <v>SSFPopulation growth (annual %)</v>
      </c>
      <c r="C8926" t="s">
        <v>644</v>
      </c>
      <c r="D8926" t="s">
        <v>645</v>
      </c>
      <c r="E8926" t="s">
        <v>399</v>
      </c>
      <c r="F8926" t="s">
        <v>728</v>
      </c>
      <c r="G8926">
        <v>2.6572666925912785</v>
      </c>
      <c r="H8926">
        <v>2.6280985762809905</v>
      </c>
    </row>
    <row r="8927" spans="2:8" x14ac:dyDescent="0.25">
      <c r="B8927" t="str">
        <f t="shared" si="139"/>
        <v>SSAPopulation ages 0-14, female</v>
      </c>
      <c r="C8927" t="s">
        <v>646</v>
      </c>
      <c r="D8927" t="s">
        <v>647</v>
      </c>
      <c r="E8927" t="s">
        <v>687</v>
      </c>
      <c r="F8927" t="s">
        <v>688</v>
      </c>
      <c r="G8927">
        <v>231115000</v>
      </c>
      <c r="H8927">
        <v>235605000</v>
      </c>
    </row>
    <row r="8928" spans="2:8" x14ac:dyDescent="0.25">
      <c r="B8928" t="str">
        <f t="shared" si="139"/>
        <v>SSAPopulation ages 0-14, male</v>
      </c>
      <c r="C8928" t="s">
        <v>646</v>
      </c>
      <c r="D8928" t="s">
        <v>647</v>
      </c>
      <c r="E8928" t="s">
        <v>689</v>
      </c>
      <c r="F8928" t="s">
        <v>690</v>
      </c>
      <c r="G8928">
        <v>236911000</v>
      </c>
      <c r="H8928">
        <v>241572000</v>
      </c>
    </row>
    <row r="8929" spans="2:8" x14ac:dyDescent="0.25">
      <c r="B8929" t="str">
        <f t="shared" si="139"/>
        <v>SSAPopulation ages 00-04, female</v>
      </c>
      <c r="C8929" t="s">
        <v>646</v>
      </c>
      <c r="D8929" t="s">
        <v>647</v>
      </c>
      <c r="E8929" t="s">
        <v>362</v>
      </c>
      <c r="F8929" t="s">
        <v>691</v>
      </c>
      <c r="G8929">
        <v>85878000</v>
      </c>
      <c r="H8929">
        <v>87237000</v>
      </c>
    </row>
    <row r="8930" spans="2:8" x14ac:dyDescent="0.25">
      <c r="B8930" t="str">
        <f t="shared" si="139"/>
        <v>SSAPopulation ages 00-04, male</v>
      </c>
      <c r="C8930" t="s">
        <v>646</v>
      </c>
      <c r="D8930" t="s">
        <v>647</v>
      </c>
      <c r="E8930" t="s">
        <v>363</v>
      </c>
      <c r="F8930" t="s">
        <v>692</v>
      </c>
      <c r="G8930">
        <v>88325000</v>
      </c>
      <c r="H8930">
        <v>89721000</v>
      </c>
    </row>
    <row r="8931" spans="2:8" x14ac:dyDescent="0.25">
      <c r="B8931" t="str">
        <f t="shared" si="139"/>
        <v>SSAPopulation ages 05-09, female</v>
      </c>
      <c r="C8931" t="s">
        <v>646</v>
      </c>
      <c r="D8931" t="s">
        <v>647</v>
      </c>
      <c r="E8931" t="s">
        <v>364</v>
      </c>
      <c r="F8931" t="s">
        <v>693</v>
      </c>
      <c r="G8931">
        <v>77155000</v>
      </c>
      <c r="H8931">
        <v>78591000</v>
      </c>
    </row>
    <row r="8932" spans="2:8" x14ac:dyDescent="0.25">
      <c r="B8932" t="str">
        <f t="shared" si="139"/>
        <v>SSAPopulation ages 05-09, male</v>
      </c>
      <c r="C8932" t="s">
        <v>646</v>
      </c>
      <c r="D8932" t="s">
        <v>647</v>
      </c>
      <c r="E8932" t="s">
        <v>365</v>
      </c>
      <c r="F8932" t="s">
        <v>694</v>
      </c>
      <c r="G8932">
        <v>79077000</v>
      </c>
      <c r="H8932">
        <v>80567000</v>
      </c>
    </row>
    <row r="8933" spans="2:8" x14ac:dyDescent="0.25">
      <c r="B8933" t="str">
        <f t="shared" si="139"/>
        <v>SSAPopulation ages 10-14, female</v>
      </c>
      <c r="C8933" t="s">
        <v>646</v>
      </c>
      <c r="D8933" t="s">
        <v>647</v>
      </c>
      <c r="E8933" t="s">
        <v>366</v>
      </c>
      <c r="F8933" t="s">
        <v>695</v>
      </c>
      <c r="G8933">
        <v>68086000</v>
      </c>
      <c r="H8933">
        <v>69779000</v>
      </c>
    </row>
    <row r="8934" spans="2:8" x14ac:dyDescent="0.25">
      <c r="B8934" t="str">
        <f t="shared" si="139"/>
        <v>SSAPopulation ages 10-14, male</v>
      </c>
      <c r="C8934" t="s">
        <v>646</v>
      </c>
      <c r="D8934" t="s">
        <v>647</v>
      </c>
      <c r="E8934" t="s">
        <v>367</v>
      </c>
      <c r="F8934" t="s">
        <v>696</v>
      </c>
      <c r="G8934">
        <v>69513000</v>
      </c>
      <c r="H8934">
        <v>71287000</v>
      </c>
    </row>
    <row r="8935" spans="2:8" x14ac:dyDescent="0.25">
      <c r="B8935" t="str">
        <f t="shared" si="139"/>
        <v>SSAPopulation ages 15-19, female</v>
      </c>
      <c r="C8935" t="s">
        <v>646</v>
      </c>
      <c r="D8935" t="s">
        <v>647</v>
      </c>
      <c r="E8935" t="s">
        <v>368</v>
      </c>
      <c r="F8935" t="s">
        <v>697</v>
      </c>
      <c r="G8935">
        <v>58864000</v>
      </c>
      <c r="H8935">
        <v>60542000</v>
      </c>
    </row>
    <row r="8936" spans="2:8" x14ac:dyDescent="0.25">
      <c r="B8936" t="str">
        <f t="shared" si="139"/>
        <v>SSAPopulation ages 15-19, male</v>
      </c>
      <c r="C8936" t="s">
        <v>646</v>
      </c>
      <c r="D8936" t="s">
        <v>647</v>
      </c>
      <c r="E8936" t="s">
        <v>369</v>
      </c>
      <c r="F8936" t="s">
        <v>698</v>
      </c>
      <c r="G8936">
        <v>59789000</v>
      </c>
      <c r="H8936">
        <v>61544000</v>
      </c>
    </row>
    <row r="8937" spans="2:8" x14ac:dyDescent="0.25">
      <c r="B8937" t="str">
        <f t="shared" si="139"/>
        <v>SSAPopulation ages 20-24, female</v>
      </c>
      <c r="C8937" t="s">
        <v>646</v>
      </c>
      <c r="D8937" t="s">
        <v>647</v>
      </c>
      <c r="E8937" t="s">
        <v>370</v>
      </c>
      <c r="F8937" t="s">
        <v>699</v>
      </c>
      <c r="G8937">
        <v>50356900</v>
      </c>
      <c r="H8937">
        <v>51825200</v>
      </c>
    </row>
    <row r="8938" spans="2:8" x14ac:dyDescent="0.25">
      <c r="B8938" t="str">
        <f t="shared" si="139"/>
        <v>SSAPopulation ages 20-24, male</v>
      </c>
      <c r="C8938" t="s">
        <v>646</v>
      </c>
      <c r="D8938" t="s">
        <v>647</v>
      </c>
      <c r="E8938" t="s">
        <v>371</v>
      </c>
      <c r="F8938" t="s">
        <v>700</v>
      </c>
      <c r="G8938">
        <v>50799100</v>
      </c>
      <c r="H8938">
        <v>52314500</v>
      </c>
    </row>
    <row r="8939" spans="2:8" x14ac:dyDescent="0.25">
      <c r="B8939" t="str">
        <f t="shared" si="139"/>
        <v>SSAPopulation ages 25-29, female</v>
      </c>
      <c r="C8939" t="s">
        <v>646</v>
      </c>
      <c r="D8939" t="s">
        <v>647</v>
      </c>
      <c r="E8939" t="s">
        <v>372</v>
      </c>
      <c r="F8939" t="s">
        <v>701</v>
      </c>
      <c r="G8939">
        <v>42936400</v>
      </c>
      <c r="H8939">
        <v>44117400</v>
      </c>
    </row>
    <row r="8940" spans="2:8" x14ac:dyDescent="0.25">
      <c r="B8940" t="str">
        <f t="shared" si="139"/>
        <v>SSAPopulation ages 25-29, male</v>
      </c>
      <c r="C8940" t="s">
        <v>646</v>
      </c>
      <c r="D8940" t="s">
        <v>647</v>
      </c>
      <c r="E8940" t="s">
        <v>373</v>
      </c>
      <c r="F8940" t="s">
        <v>702</v>
      </c>
      <c r="G8940">
        <v>42977500</v>
      </c>
      <c r="H8940">
        <v>44208600</v>
      </c>
    </row>
    <row r="8941" spans="2:8" x14ac:dyDescent="0.25">
      <c r="B8941" t="str">
        <f t="shared" si="139"/>
        <v>SSAPopulation ages 30-34, female</v>
      </c>
      <c r="C8941" t="s">
        <v>646</v>
      </c>
      <c r="D8941" t="s">
        <v>647</v>
      </c>
      <c r="E8941" t="s">
        <v>374</v>
      </c>
      <c r="F8941" t="s">
        <v>703</v>
      </c>
      <c r="G8941">
        <v>36716000</v>
      </c>
      <c r="H8941">
        <v>37714000</v>
      </c>
    </row>
    <row r="8942" spans="2:8" x14ac:dyDescent="0.25">
      <c r="B8942" t="str">
        <f t="shared" si="139"/>
        <v>SSAPopulation ages 30-34, male</v>
      </c>
      <c r="C8942" t="s">
        <v>646</v>
      </c>
      <c r="D8942" t="s">
        <v>647</v>
      </c>
      <c r="E8942" t="s">
        <v>375</v>
      </c>
      <c r="F8942" t="s">
        <v>704</v>
      </c>
      <c r="G8942">
        <v>36375100</v>
      </c>
      <c r="H8942">
        <v>37433100</v>
      </c>
    </row>
    <row r="8943" spans="2:8" x14ac:dyDescent="0.25">
      <c r="B8943" t="str">
        <f t="shared" si="139"/>
        <v>SSAPopulation ages 35-39, female</v>
      </c>
      <c r="C8943" t="s">
        <v>646</v>
      </c>
      <c r="D8943" t="s">
        <v>647</v>
      </c>
      <c r="E8943" t="s">
        <v>376</v>
      </c>
      <c r="F8943" t="s">
        <v>705</v>
      </c>
      <c r="G8943">
        <v>30884200</v>
      </c>
      <c r="H8943">
        <v>31894200</v>
      </c>
    </row>
    <row r="8944" spans="2:8" x14ac:dyDescent="0.25">
      <c r="B8944" t="str">
        <f t="shared" si="139"/>
        <v>SSAPopulation ages 35-39, male</v>
      </c>
      <c r="C8944" t="s">
        <v>646</v>
      </c>
      <c r="D8944" t="s">
        <v>647</v>
      </c>
      <c r="E8944" t="s">
        <v>377</v>
      </c>
      <c r="F8944" t="s">
        <v>706</v>
      </c>
      <c r="G8944">
        <v>30259300</v>
      </c>
      <c r="H8944">
        <v>31268300</v>
      </c>
    </row>
    <row r="8945" spans="2:8" x14ac:dyDescent="0.25">
      <c r="B8945" t="str">
        <f t="shared" si="139"/>
        <v>SSAPopulation ages 40-44, female</v>
      </c>
      <c r="C8945" t="s">
        <v>646</v>
      </c>
      <c r="D8945" t="s">
        <v>647</v>
      </c>
      <c r="E8945" t="s">
        <v>378</v>
      </c>
      <c r="F8945" t="s">
        <v>707</v>
      </c>
      <c r="G8945">
        <v>25072300</v>
      </c>
      <c r="H8945">
        <v>25978500</v>
      </c>
    </row>
    <row r="8946" spans="2:8" x14ac:dyDescent="0.25">
      <c r="B8946" t="str">
        <f t="shared" si="139"/>
        <v>SSAPopulation ages 40-44, male</v>
      </c>
      <c r="C8946" t="s">
        <v>646</v>
      </c>
      <c r="D8946" t="s">
        <v>647</v>
      </c>
      <c r="E8946" t="s">
        <v>379</v>
      </c>
      <c r="F8946" t="s">
        <v>708</v>
      </c>
      <c r="G8946">
        <v>24488300</v>
      </c>
      <c r="H8946">
        <v>25360500</v>
      </c>
    </row>
    <row r="8947" spans="2:8" x14ac:dyDescent="0.25">
      <c r="B8947" t="str">
        <f t="shared" si="139"/>
        <v>SSAPopulation ages 45-49, female</v>
      </c>
      <c r="C8947" t="s">
        <v>646</v>
      </c>
      <c r="D8947" t="s">
        <v>647</v>
      </c>
      <c r="E8947" t="s">
        <v>380</v>
      </c>
      <c r="F8947" t="s">
        <v>709</v>
      </c>
      <c r="G8947">
        <v>20290800</v>
      </c>
      <c r="H8947">
        <v>21032900</v>
      </c>
    </row>
    <row r="8948" spans="2:8" x14ac:dyDescent="0.25">
      <c r="B8948" t="str">
        <f t="shared" si="139"/>
        <v>SSAPopulation ages 45-49, male</v>
      </c>
      <c r="C8948" t="s">
        <v>646</v>
      </c>
      <c r="D8948" t="s">
        <v>647</v>
      </c>
      <c r="E8948" t="s">
        <v>381</v>
      </c>
      <c r="F8948" t="s">
        <v>710</v>
      </c>
      <c r="G8948">
        <v>19619700</v>
      </c>
      <c r="H8948">
        <v>20362800</v>
      </c>
    </row>
    <row r="8949" spans="2:8" x14ac:dyDescent="0.25">
      <c r="B8949" t="str">
        <f t="shared" si="139"/>
        <v>SSAPopulation ages 50-54, female</v>
      </c>
      <c r="C8949" t="s">
        <v>646</v>
      </c>
      <c r="D8949" t="s">
        <v>647</v>
      </c>
      <c r="E8949" t="s">
        <v>382</v>
      </c>
      <c r="F8949" t="s">
        <v>711</v>
      </c>
      <c r="G8949">
        <v>16299700</v>
      </c>
      <c r="H8949">
        <v>16863700</v>
      </c>
    </row>
    <row r="8950" spans="2:8" x14ac:dyDescent="0.25">
      <c r="B8950" t="str">
        <f t="shared" si="139"/>
        <v>SSAPopulation ages 50-54, male</v>
      </c>
      <c r="C8950" t="s">
        <v>646</v>
      </c>
      <c r="D8950" t="s">
        <v>647</v>
      </c>
      <c r="E8950" t="s">
        <v>383</v>
      </c>
      <c r="F8950" t="s">
        <v>712</v>
      </c>
      <c r="G8950">
        <v>15338500</v>
      </c>
      <c r="H8950">
        <v>15902600</v>
      </c>
    </row>
    <row r="8951" spans="2:8" x14ac:dyDescent="0.25">
      <c r="B8951" t="str">
        <f t="shared" si="139"/>
        <v>SSAPopulation ages 55-59, male</v>
      </c>
      <c r="C8951" t="s">
        <v>646</v>
      </c>
      <c r="D8951" t="s">
        <v>647</v>
      </c>
      <c r="E8951" t="s">
        <v>385</v>
      </c>
      <c r="F8951" t="s">
        <v>713</v>
      </c>
      <c r="G8951">
        <v>12019300</v>
      </c>
      <c r="H8951">
        <v>12442500</v>
      </c>
    </row>
    <row r="8952" spans="2:8" x14ac:dyDescent="0.25">
      <c r="B8952" t="str">
        <f t="shared" si="139"/>
        <v>SSAPopulation ages 55-59, female</v>
      </c>
      <c r="C8952" t="s">
        <v>646</v>
      </c>
      <c r="D8952" t="s">
        <v>647</v>
      </c>
      <c r="E8952" t="s">
        <v>384</v>
      </c>
      <c r="F8952" t="s">
        <v>714</v>
      </c>
      <c r="G8952">
        <v>13140800</v>
      </c>
      <c r="H8952">
        <v>13574900</v>
      </c>
    </row>
    <row r="8953" spans="2:8" x14ac:dyDescent="0.25">
      <c r="B8953" t="str">
        <f t="shared" si="139"/>
        <v>SSAPopulation ages 65-69, male</v>
      </c>
      <c r="C8953" t="s">
        <v>646</v>
      </c>
      <c r="D8953" t="s">
        <v>647</v>
      </c>
      <c r="E8953" t="s">
        <v>389</v>
      </c>
      <c r="F8953" t="s">
        <v>715</v>
      </c>
      <c r="G8953">
        <v>6478200</v>
      </c>
      <c r="H8953">
        <v>6720300</v>
      </c>
    </row>
    <row r="8954" spans="2:8" x14ac:dyDescent="0.25">
      <c r="B8954" t="str">
        <f t="shared" si="139"/>
        <v>SSAPopulation ages 65-69, female</v>
      </c>
      <c r="C8954" t="s">
        <v>646</v>
      </c>
      <c r="D8954" t="s">
        <v>647</v>
      </c>
      <c r="E8954" t="s">
        <v>388</v>
      </c>
      <c r="F8954" t="s">
        <v>716</v>
      </c>
      <c r="G8954">
        <v>7680300</v>
      </c>
      <c r="H8954">
        <v>7968600</v>
      </c>
    </row>
    <row r="8955" spans="2:8" x14ac:dyDescent="0.25">
      <c r="B8955" t="str">
        <f t="shared" si="139"/>
        <v>SSAPopulation ages 60-64, female</v>
      </c>
      <c r="C8955" t="s">
        <v>646</v>
      </c>
      <c r="D8955" t="s">
        <v>647</v>
      </c>
      <c r="E8955" t="s">
        <v>386</v>
      </c>
      <c r="F8955" t="s">
        <v>717</v>
      </c>
      <c r="G8955">
        <v>10323700</v>
      </c>
      <c r="H8955">
        <v>10689600</v>
      </c>
    </row>
    <row r="8956" spans="2:8" x14ac:dyDescent="0.25">
      <c r="B8956" t="str">
        <f t="shared" si="139"/>
        <v>SSAPopulation ages 60-64, male</v>
      </c>
      <c r="C8956" t="s">
        <v>646</v>
      </c>
      <c r="D8956" t="s">
        <v>647</v>
      </c>
      <c r="E8956" t="s">
        <v>387</v>
      </c>
      <c r="F8956" t="s">
        <v>718</v>
      </c>
      <c r="G8956">
        <v>9052200</v>
      </c>
      <c r="H8956">
        <v>9385100</v>
      </c>
    </row>
    <row r="8957" spans="2:8" x14ac:dyDescent="0.25">
      <c r="B8957" t="str">
        <f t="shared" si="139"/>
        <v>SSAPopulation ages 70-74, female</v>
      </c>
      <c r="C8957" t="s">
        <v>646</v>
      </c>
      <c r="D8957" t="s">
        <v>647</v>
      </c>
      <c r="E8957" t="s">
        <v>390</v>
      </c>
      <c r="F8957" t="s">
        <v>719</v>
      </c>
      <c r="G8957">
        <v>5325300</v>
      </c>
      <c r="H8957">
        <v>5519400</v>
      </c>
    </row>
    <row r="8958" spans="2:8" x14ac:dyDescent="0.25">
      <c r="B8958" t="str">
        <f t="shared" si="139"/>
        <v>SSAPopulation ages 70-74, male</v>
      </c>
      <c r="C8958" t="s">
        <v>646</v>
      </c>
      <c r="D8958" t="s">
        <v>647</v>
      </c>
      <c r="E8958" t="s">
        <v>391</v>
      </c>
      <c r="F8958" t="s">
        <v>720</v>
      </c>
      <c r="G8958">
        <v>4246700</v>
      </c>
      <c r="H8958">
        <v>4393800</v>
      </c>
    </row>
    <row r="8959" spans="2:8" x14ac:dyDescent="0.25">
      <c r="B8959" t="str">
        <f t="shared" si="139"/>
        <v>SSAPopulation ages 75-79, female</v>
      </c>
      <c r="C8959" t="s">
        <v>646</v>
      </c>
      <c r="D8959" t="s">
        <v>647</v>
      </c>
      <c r="E8959" t="s">
        <v>392</v>
      </c>
      <c r="F8959" t="s">
        <v>721</v>
      </c>
      <c r="G8959">
        <v>3246800</v>
      </c>
      <c r="H8959">
        <v>3360200</v>
      </c>
    </row>
    <row r="8960" spans="2:8" x14ac:dyDescent="0.25">
      <c r="B8960" t="str">
        <f t="shared" si="139"/>
        <v>SSAPopulation ages 75-79, male</v>
      </c>
      <c r="C8960" t="s">
        <v>646</v>
      </c>
      <c r="D8960" t="s">
        <v>647</v>
      </c>
      <c r="E8960" t="s">
        <v>393</v>
      </c>
      <c r="F8960" t="s">
        <v>722</v>
      </c>
      <c r="G8960">
        <v>2420400</v>
      </c>
      <c r="H8960">
        <v>2494700</v>
      </c>
    </row>
    <row r="8961" spans="2:8" x14ac:dyDescent="0.25">
      <c r="B8961" t="str">
        <f t="shared" si="139"/>
        <v>SSAPopulation ages 80 and above, female</v>
      </c>
      <c r="C8961" t="s">
        <v>646</v>
      </c>
      <c r="D8961" t="s">
        <v>647</v>
      </c>
      <c r="E8961" t="s">
        <v>394</v>
      </c>
      <c r="F8961" t="s">
        <v>723</v>
      </c>
      <c r="G8961">
        <v>2330200</v>
      </c>
      <c r="H8961">
        <v>2336300</v>
      </c>
    </row>
    <row r="8962" spans="2:8" x14ac:dyDescent="0.25">
      <c r="B8962" t="str">
        <f t="shared" si="139"/>
        <v>SSAPopulation ages 80 and above, male</v>
      </c>
      <c r="C8962" t="s">
        <v>646</v>
      </c>
      <c r="D8962" t="s">
        <v>647</v>
      </c>
      <c r="E8962" t="s">
        <v>395</v>
      </c>
      <c r="F8962" t="s">
        <v>724</v>
      </c>
      <c r="G8962">
        <v>1532400</v>
      </c>
      <c r="H8962">
        <v>1514900</v>
      </c>
    </row>
    <row r="8963" spans="2:8" x14ac:dyDescent="0.25">
      <c r="B8963" t="str">
        <f t="shared" si="139"/>
        <v>SSAPopulation, male</v>
      </c>
      <c r="C8963" t="s">
        <v>646</v>
      </c>
      <c r="D8963" t="s">
        <v>647</v>
      </c>
      <c r="E8963" t="s">
        <v>397</v>
      </c>
      <c r="F8963" t="s">
        <v>725</v>
      </c>
      <c r="G8963">
        <v>552295000</v>
      </c>
      <c r="H8963">
        <v>566924000</v>
      </c>
    </row>
    <row r="8964" spans="2:8" x14ac:dyDescent="0.25">
      <c r="B8964" t="str">
        <f t="shared" si="139"/>
        <v>SSAPopulation, total</v>
      </c>
      <c r="C8964" t="s">
        <v>646</v>
      </c>
      <c r="D8964" t="s">
        <v>647</v>
      </c>
      <c r="E8964" t="s">
        <v>398</v>
      </c>
      <c r="F8964" t="s">
        <v>726</v>
      </c>
      <c r="G8964">
        <v>1106863000</v>
      </c>
      <c r="H8964">
        <v>1135954000</v>
      </c>
    </row>
    <row r="8965" spans="2:8" x14ac:dyDescent="0.25">
      <c r="B8965" t="str">
        <f t="shared" si="139"/>
        <v>SSAPopulation, female</v>
      </c>
      <c r="C8965" t="s">
        <v>646</v>
      </c>
      <c r="D8965" t="s">
        <v>647</v>
      </c>
      <c r="E8965" t="s">
        <v>396</v>
      </c>
      <c r="F8965" t="s">
        <v>727</v>
      </c>
      <c r="G8965">
        <v>554565000</v>
      </c>
      <c r="H8965">
        <v>569032000</v>
      </c>
    </row>
    <row r="8966" spans="2:8" x14ac:dyDescent="0.25">
      <c r="B8966" t="str">
        <f t="shared" si="139"/>
        <v>SSAPopulation growth (annual %)</v>
      </c>
      <c r="C8966" t="s">
        <v>646</v>
      </c>
      <c r="D8966" t="s">
        <v>647</v>
      </c>
      <c r="E8966" t="s">
        <v>399</v>
      </c>
      <c r="F8966" t="s">
        <v>728</v>
      </c>
      <c r="G8966">
        <v>2.6574830905954343</v>
      </c>
      <c r="H8966">
        <v>2.6282385444269067</v>
      </c>
    </row>
    <row r="8967" spans="2:8" x14ac:dyDescent="0.25">
      <c r="B8967" t="str">
        <f t="shared" ref="B8967:B9030" si="140">CONCATENATE(D8967,E8967)</f>
        <v>TSSPopulation ages 0-14, female</v>
      </c>
      <c r="C8967" t="s">
        <v>648</v>
      </c>
      <c r="D8967" t="s">
        <v>649</v>
      </c>
      <c r="E8967" t="s">
        <v>687</v>
      </c>
      <c r="F8967" t="s">
        <v>688</v>
      </c>
      <c r="G8967">
        <v>231126000</v>
      </c>
      <c r="H8967">
        <v>235616000</v>
      </c>
    </row>
    <row r="8968" spans="2:8" x14ac:dyDescent="0.25">
      <c r="B8968" t="str">
        <f t="shared" si="140"/>
        <v>TSSPopulation ages 0-14, male</v>
      </c>
      <c r="C8968" t="s">
        <v>648</v>
      </c>
      <c r="D8968" t="s">
        <v>649</v>
      </c>
      <c r="E8968" t="s">
        <v>689</v>
      </c>
      <c r="F8968" t="s">
        <v>690</v>
      </c>
      <c r="G8968">
        <v>236923000</v>
      </c>
      <c r="H8968">
        <v>241584000</v>
      </c>
    </row>
    <row r="8969" spans="2:8" x14ac:dyDescent="0.25">
      <c r="B8969" t="str">
        <f t="shared" si="140"/>
        <v>TSSPopulation ages 00-04, female</v>
      </c>
      <c r="C8969" t="s">
        <v>648</v>
      </c>
      <c r="D8969" t="s">
        <v>649</v>
      </c>
      <c r="E8969" t="s">
        <v>362</v>
      </c>
      <c r="F8969" t="s">
        <v>691</v>
      </c>
      <c r="G8969">
        <v>85881900</v>
      </c>
      <c r="H8969">
        <v>87240800</v>
      </c>
    </row>
    <row r="8970" spans="2:8" x14ac:dyDescent="0.25">
      <c r="B8970" t="str">
        <f t="shared" si="140"/>
        <v>TSSPopulation ages 00-04, male</v>
      </c>
      <c r="C8970" t="s">
        <v>648</v>
      </c>
      <c r="D8970" t="s">
        <v>649</v>
      </c>
      <c r="E8970" t="s">
        <v>363</v>
      </c>
      <c r="F8970" t="s">
        <v>692</v>
      </c>
      <c r="G8970">
        <v>88329100</v>
      </c>
      <c r="H8970">
        <v>89725100</v>
      </c>
    </row>
    <row r="8971" spans="2:8" x14ac:dyDescent="0.25">
      <c r="B8971" t="str">
        <f t="shared" si="140"/>
        <v>TSSPopulation ages 05-09, female</v>
      </c>
      <c r="C8971" t="s">
        <v>648</v>
      </c>
      <c r="D8971" t="s">
        <v>649</v>
      </c>
      <c r="E8971" t="s">
        <v>364</v>
      </c>
      <c r="F8971" t="s">
        <v>693</v>
      </c>
      <c r="G8971">
        <v>77158800</v>
      </c>
      <c r="H8971">
        <v>78594800</v>
      </c>
    </row>
    <row r="8972" spans="2:8" x14ac:dyDescent="0.25">
      <c r="B8972" t="str">
        <f t="shared" si="140"/>
        <v>TSSPopulation ages 05-09, male</v>
      </c>
      <c r="C8972" t="s">
        <v>648</v>
      </c>
      <c r="D8972" t="s">
        <v>649</v>
      </c>
      <c r="E8972" t="s">
        <v>365</v>
      </c>
      <c r="F8972" t="s">
        <v>694</v>
      </c>
      <c r="G8972">
        <v>79081100</v>
      </c>
      <c r="H8972">
        <v>80571100</v>
      </c>
    </row>
    <row r="8973" spans="2:8" x14ac:dyDescent="0.25">
      <c r="B8973" t="str">
        <f t="shared" si="140"/>
        <v>TSSPopulation ages 10-14, female</v>
      </c>
      <c r="C8973" t="s">
        <v>648</v>
      </c>
      <c r="D8973" t="s">
        <v>649</v>
      </c>
      <c r="E8973" t="s">
        <v>366</v>
      </c>
      <c r="F8973" t="s">
        <v>695</v>
      </c>
      <c r="G8973">
        <v>68089500</v>
      </c>
      <c r="H8973">
        <v>69782600</v>
      </c>
    </row>
    <row r="8974" spans="2:8" x14ac:dyDescent="0.25">
      <c r="B8974" t="str">
        <f t="shared" si="140"/>
        <v>TSSPopulation ages 10-14, male</v>
      </c>
      <c r="C8974" t="s">
        <v>648</v>
      </c>
      <c r="D8974" t="s">
        <v>649</v>
      </c>
      <c r="E8974" t="s">
        <v>367</v>
      </c>
      <c r="F8974" t="s">
        <v>696</v>
      </c>
      <c r="G8974">
        <v>69516700</v>
      </c>
      <c r="H8974">
        <v>71290800</v>
      </c>
    </row>
    <row r="8975" spans="2:8" x14ac:dyDescent="0.25">
      <c r="B8975" t="str">
        <f t="shared" si="140"/>
        <v>TSSPopulation ages 15-19, female</v>
      </c>
      <c r="C8975" t="s">
        <v>648</v>
      </c>
      <c r="D8975" t="s">
        <v>649</v>
      </c>
      <c r="E8975" t="s">
        <v>368</v>
      </c>
      <c r="F8975" t="s">
        <v>697</v>
      </c>
      <c r="G8975">
        <v>58867100</v>
      </c>
      <c r="H8975">
        <v>60545100</v>
      </c>
    </row>
    <row r="8976" spans="2:8" x14ac:dyDescent="0.25">
      <c r="B8976" t="str">
        <f t="shared" si="140"/>
        <v>TSSPopulation ages 15-19, male</v>
      </c>
      <c r="C8976" t="s">
        <v>648</v>
      </c>
      <c r="D8976" t="s">
        <v>649</v>
      </c>
      <c r="E8976" t="s">
        <v>369</v>
      </c>
      <c r="F8976" t="s">
        <v>698</v>
      </c>
      <c r="G8976">
        <v>59792200</v>
      </c>
      <c r="H8976">
        <v>61547300</v>
      </c>
    </row>
    <row r="8977" spans="2:8" x14ac:dyDescent="0.25">
      <c r="B8977" t="str">
        <f t="shared" si="140"/>
        <v>TSSPopulation ages 20-24, female</v>
      </c>
      <c r="C8977" t="s">
        <v>648</v>
      </c>
      <c r="D8977" t="s">
        <v>649</v>
      </c>
      <c r="E8977" t="s">
        <v>370</v>
      </c>
      <c r="F8977" t="s">
        <v>699</v>
      </c>
      <c r="G8977">
        <v>50360000</v>
      </c>
      <c r="H8977">
        <v>51828300</v>
      </c>
    </row>
    <row r="8978" spans="2:8" x14ac:dyDescent="0.25">
      <c r="B8978" t="str">
        <f t="shared" si="140"/>
        <v>TSSPopulation ages 20-24, male</v>
      </c>
      <c r="C8978" t="s">
        <v>648</v>
      </c>
      <c r="D8978" t="s">
        <v>649</v>
      </c>
      <c r="E8978" t="s">
        <v>371</v>
      </c>
      <c r="F8978" t="s">
        <v>700</v>
      </c>
      <c r="G8978">
        <v>50802400</v>
      </c>
      <c r="H8978">
        <v>52317700</v>
      </c>
    </row>
    <row r="8979" spans="2:8" x14ac:dyDescent="0.25">
      <c r="B8979" t="str">
        <f t="shared" si="140"/>
        <v>TSSPopulation ages 25-29, female</v>
      </c>
      <c r="C8979" t="s">
        <v>648</v>
      </c>
      <c r="D8979" t="s">
        <v>649</v>
      </c>
      <c r="E8979" t="s">
        <v>372</v>
      </c>
      <c r="F8979" t="s">
        <v>701</v>
      </c>
      <c r="G8979">
        <v>42939800</v>
      </c>
      <c r="H8979">
        <v>44120700</v>
      </c>
    </row>
    <row r="8980" spans="2:8" x14ac:dyDescent="0.25">
      <c r="B8980" t="str">
        <f t="shared" si="140"/>
        <v>TSSPopulation ages 25-29, male</v>
      </c>
      <c r="C8980" t="s">
        <v>648</v>
      </c>
      <c r="D8980" t="s">
        <v>649</v>
      </c>
      <c r="E8980" t="s">
        <v>373</v>
      </c>
      <c r="F8980" t="s">
        <v>702</v>
      </c>
      <c r="G8980">
        <v>42981300</v>
      </c>
      <c r="H8980">
        <v>44212300</v>
      </c>
    </row>
    <row r="8981" spans="2:8" x14ac:dyDescent="0.25">
      <c r="B8981" t="str">
        <f t="shared" si="140"/>
        <v>TSSPopulation ages 30-34, female</v>
      </c>
      <c r="C8981" t="s">
        <v>648</v>
      </c>
      <c r="D8981" t="s">
        <v>649</v>
      </c>
      <c r="E8981" t="s">
        <v>374</v>
      </c>
      <c r="F8981" t="s">
        <v>703</v>
      </c>
      <c r="G8981">
        <v>36719200</v>
      </c>
      <c r="H8981">
        <v>37717200</v>
      </c>
    </row>
    <row r="8982" spans="2:8" x14ac:dyDescent="0.25">
      <c r="B8982" t="str">
        <f t="shared" si="140"/>
        <v>TSSPopulation ages 30-34, male</v>
      </c>
      <c r="C8982" t="s">
        <v>648</v>
      </c>
      <c r="D8982" t="s">
        <v>649</v>
      </c>
      <c r="E8982" t="s">
        <v>375</v>
      </c>
      <c r="F8982" t="s">
        <v>704</v>
      </c>
      <c r="G8982">
        <v>36379000</v>
      </c>
      <c r="H8982">
        <v>37436900</v>
      </c>
    </row>
    <row r="8983" spans="2:8" x14ac:dyDescent="0.25">
      <c r="B8983" t="str">
        <f t="shared" si="140"/>
        <v>TSSPopulation ages 35-39, female</v>
      </c>
      <c r="C8983" t="s">
        <v>648</v>
      </c>
      <c r="D8983" t="s">
        <v>649</v>
      </c>
      <c r="E8983" t="s">
        <v>376</v>
      </c>
      <c r="F8983" t="s">
        <v>705</v>
      </c>
      <c r="G8983">
        <v>30887500</v>
      </c>
      <c r="H8983">
        <v>31897500</v>
      </c>
    </row>
    <row r="8984" spans="2:8" x14ac:dyDescent="0.25">
      <c r="B8984" t="str">
        <f t="shared" si="140"/>
        <v>TSSPopulation ages 35-39, male</v>
      </c>
      <c r="C8984" t="s">
        <v>648</v>
      </c>
      <c r="D8984" t="s">
        <v>649</v>
      </c>
      <c r="E8984" t="s">
        <v>377</v>
      </c>
      <c r="F8984" t="s">
        <v>706</v>
      </c>
      <c r="G8984">
        <v>30263400</v>
      </c>
      <c r="H8984">
        <v>31272300</v>
      </c>
    </row>
    <row r="8985" spans="2:8" x14ac:dyDescent="0.25">
      <c r="B8985" t="str">
        <f t="shared" si="140"/>
        <v>TSSPopulation ages 40-44, female</v>
      </c>
      <c r="C8985" t="s">
        <v>648</v>
      </c>
      <c r="D8985" t="s">
        <v>649</v>
      </c>
      <c r="E8985" t="s">
        <v>378</v>
      </c>
      <c r="F8985" t="s">
        <v>707</v>
      </c>
      <c r="G8985">
        <v>25075800</v>
      </c>
      <c r="H8985">
        <v>25981900</v>
      </c>
    </row>
    <row r="8986" spans="2:8" x14ac:dyDescent="0.25">
      <c r="B8986" t="str">
        <f t="shared" si="140"/>
        <v>TSSPopulation ages 40-44, male</v>
      </c>
      <c r="C8986" t="s">
        <v>648</v>
      </c>
      <c r="D8986" t="s">
        <v>649</v>
      </c>
      <c r="E8986" t="s">
        <v>379</v>
      </c>
      <c r="F8986" t="s">
        <v>708</v>
      </c>
      <c r="G8986">
        <v>24492300</v>
      </c>
      <c r="H8986">
        <v>25364500</v>
      </c>
    </row>
    <row r="8987" spans="2:8" x14ac:dyDescent="0.25">
      <c r="B8987" t="str">
        <f t="shared" si="140"/>
        <v>TSSPopulation ages 45-49, female</v>
      </c>
      <c r="C8987" t="s">
        <v>648</v>
      </c>
      <c r="D8987" t="s">
        <v>649</v>
      </c>
      <c r="E8987" t="s">
        <v>380</v>
      </c>
      <c r="F8987" t="s">
        <v>709</v>
      </c>
      <c r="G8987">
        <v>20294300</v>
      </c>
      <c r="H8987">
        <v>21036400</v>
      </c>
    </row>
    <row r="8988" spans="2:8" x14ac:dyDescent="0.25">
      <c r="B8988" t="str">
        <f t="shared" si="140"/>
        <v>TSSPopulation ages 45-49, male</v>
      </c>
      <c r="C8988" t="s">
        <v>648</v>
      </c>
      <c r="D8988" t="s">
        <v>649</v>
      </c>
      <c r="E8988" t="s">
        <v>381</v>
      </c>
      <c r="F8988" t="s">
        <v>710</v>
      </c>
      <c r="G8988">
        <v>19623500</v>
      </c>
      <c r="H8988">
        <v>20366700</v>
      </c>
    </row>
    <row r="8989" spans="2:8" x14ac:dyDescent="0.25">
      <c r="B8989" t="str">
        <f t="shared" si="140"/>
        <v>TSSPopulation ages 50-54, female</v>
      </c>
      <c r="C8989" t="s">
        <v>648</v>
      </c>
      <c r="D8989" t="s">
        <v>649</v>
      </c>
      <c r="E8989" t="s">
        <v>382</v>
      </c>
      <c r="F8989" t="s">
        <v>711</v>
      </c>
      <c r="G8989">
        <v>16303000</v>
      </c>
      <c r="H8989">
        <v>16867000</v>
      </c>
    </row>
    <row r="8990" spans="2:8" x14ac:dyDescent="0.25">
      <c r="B8990" t="str">
        <f t="shared" si="140"/>
        <v>TSSPopulation ages 50-54, male</v>
      </c>
      <c r="C8990" t="s">
        <v>648</v>
      </c>
      <c r="D8990" t="s">
        <v>649</v>
      </c>
      <c r="E8990" t="s">
        <v>383</v>
      </c>
      <c r="F8990" t="s">
        <v>712</v>
      </c>
      <c r="G8990">
        <v>15341900</v>
      </c>
      <c r="H8990">
        <v>15906000</v>
      </c>
    </row>
    <row r="8991" spans="2:8" x14ac:dyDescent="0.25">
      <c r="B8991" t="str">
        <f t="shared" si="140"/>
        <v>TSSPopulation ages 55-59, male</v>
      </c>
      <c r="C8991" t="s">
        <v>648</v>
      </c>
      <c r="D8991" t="s">
        <v>649</v>
      </c>
      <c r="E8991" t="s">
        <v>385</v>
      </c>
      <c r="F8991" t="s">
        <v>713</v>
      </c>
      <c r="G8991">
        <v>12022300</v>
      </c>
      <c r="H8991">
        <v>12445500</v>
      </c>
    </row>
    <row r="8992" spans="2:8" x14ac:dyDescent="0.25">
      <c r="B8992" t="str">
        <f t="shared" si="140"/>
        <v>TSSPopulation ages 55-59, female</v>
      </c>
      <c r="C8992" t="s">
        <v>648</v>
      </c>
      <c r="D8992" t="s">
        <v>649</v>
      </c>
      <c r="E8992" t="s">
        <v>384</v>
      </c>
      <c r="F8992" t="s">
        <v>714</v>
      </c>
      <c r="G8992">
        <v>13143800</v>
      </c>
      <c r="H8992">
        <v>13578000</v>
      </c>
    </row>
    <row r="8993" spans="2:8" x14ac:dyDescent="0.25">
      <c r="B8993" t="str">
        <f t="shared" si="140"/>
        <v>TSSPopulation ages 65-69, male</v>
      </c>
      <c r="C8993" t="s">
        <v>648</v>
      </c>
      <c r="D8993" t="s">
        <v>649</v>
      </c>
      <c r="E8993" t="s">
        <v>389</v>
      </c>
      <c r="F8993" t="s">
        <v>715</v>
      </c>
      <c r="G8993">
        <v>6479600</v>
      </c>
      <c r="H8993">
        <v>6721800</v>
      </c>
    </row>
    <row r="8994" spans="2:8" x14ac:dyDescent="0.25">
      <c r="B8994" t="str">
        <f t="shared" si="140"/>
        <v>TSSPopulation ages 65-69, female</v>
      </c>
      <c r="C8994" t="s">
        <v>648</v>
      </c>
      <c r="D8994" t="s">
        <v>649</v>
      </c>
      <c r="E8994" t="s">
        <v>388</v>
      </c>
      <c r="F8994" t="s">
        <v>716</v>
      </c>
      <c r="G8994">
        <v>7681700</v>
      </c>
      <c r="H8994">
        <v>7970200</v>
      </c>
    </row>
    <row r="8995" spans="2:8" x14ac:dyDescent="0.25">
      <c r="B8995" t="str">
        <f t="shared" si="140"/>
        <v>TSSPopulation ages 60-64, female</v>
      </c>
      <c r="C8995" t="s">
        <v>648</v>
      </c>
      <c r="D8995" t="s">
        <v>649</v>
      </c>
      <c r="E8995" t="s">
        <v>386</v>
      </c>
      <c r="F8995" t="s">
        <v>717</v>
      </c>
      <c r="G8995">
        <v>10326000</v>
      </c>
      <c r="H8995">
        <v>10692000</v>
      </c>
    </row>
    <row r="8996" spans="2:8" x14ac:dyDescent="0.25">
      <c r="B8996" t="str">
        <f t="shared" si="140"/>
        <v>TSSPopulation ages 60-64, male</v>
      </c>
      <c r="C8996" t="s">
        <v>648</v>
      </c>
      <c r="D8996" t="s">
        <v>649</v>
      </c>
      <c r="E8996" t="s">
        <v>387</v>
      </c>
      <c r="F8996" t="s">
        <v>718</v>
      </c>
      <c r="G8996">
        <v>9054500</v>
      </c>
      <c r="H8996">
        <v>9387500</v>
      </c>
    </row>
    <row r="8997" spans="2:8" x14ac:dyDescent="0.25">
      <c r="B8997" t="str">
        <f t="shared" si="140"/>
        <v>TSSPopulation ages 70-74, female</v>
      </c>
      <c r="C8997" t="s">
        <v>648</v>
      </c>
      <c r="D8997" t="s">
        <v>649</v>
      </c>
      <c r="E8997" t="s">
        <v>390</v>
      </c>
      <c r="F8997" t="s">
        <v>719</v>
      </c>
      <c r="G8997">
        <v>5326100</v>
      </c>
      <c r="H8997">
        <v>5520300</v>
      </c>
    </row>
    <row r="8998" spans="2:8" x14ac:dyDescent="0.25">
      <c r="B8998" t="str">
        <f t="shared" si="140"/>
        <v>TSSPopulation ages 70-74, male</v>
      </c>
      <c r="C8998" t="s">
        <v>648</v>
      </c>
      <c r="D8998" t="s">
        <v>649</v>
      </c>
      <c r="E8998" t="s">
        <v>391</v>
      </c>
      <c r="F8998" t="s">
        <v>720</v>
      </c>
      <c r="G8998">
        <v>4247500</v>
      </c>
      <c r="H8998">
        <v>4394600</v>
      </c>
    </row>
    <row r="8999" spans="2:8" x14ac:dyDescent="0.25">
      <c r="B8999" t="str">
        <f t="shared" si="140"/>
        <v>TSSPopulation ages 75-79, female</v>
      </c>
      <c r="C8999" t="s">
        <v>648</v>
      </c>
      <c r="D8999" t="s">
        <v>649</v>
      </c>
      <c r="E8999" t="s">
        <v>392</v>
      </c>
      <c r="F8999" t="s">
        <v>721</v>
      </c>
      <c r="G8999">
        <v>3247700</v>
      </c>
      <c r="H8999">
        <v>3361100</v>
      </c>
    </row>
    <row r="9000" spans="2:8" x14ac:dyDescent="0.25">
      <c r="B9000" t="str">
        <f t="shared" si="140"/>
        <v>TSSPopulation ages 75-79, male</v>
      </c>
      <c r="C9000" t="s">
        <v>648</v>
      </c>
      <c r="D9000" t="s">
        <v>649</v>
      </c>
      <c r="E9000" t="s">
        <v>393</v>
      </c>
      <c r="F9000" t="s">
        <v>722</v>
      </c>
      <c r="G9000">
        <v>2421100</v>
      </c>
      <c r="H9000">
        <v>2495400</v>
      </c>
    </row>
    <row r="9001" spans="2:8" x14ac:dyDescent="0.25">
      <c r="B9001" t="str">
        <f t="shared" si="140"/>
        <v>TSSPopulation ages 80 and above, female</v>
      </c>
      <c r="C9001" t="s">
        <v>648</v>
      </c>
      <c r="D9001" t="s">
        <v>649</v>
      </c>
      <c r="E9001" t="s">
        <v>394</v>
      </c>
      <c r="F9001" t="s">
        <v>723</v>
      </c>
      <c r="G9001">
        <v>2331300</v>
      </c>
      <c r="H9001">
        <v>2337400</v>
      </c>
    </row>
    <row r="9002" spans="2:8" x14ac:dyDescent="0.25">
      <c r="B9002" t="str">
        <f t="shared" si="140"/>
        <v>TSSPopulation ages 80 and above, male</v>
      </c>
      <c r="C9002" t="s">
        <v>648</v>
      </c>
      <c r="D9002" t="s">
        <v>649</v>
      </c>
      <c r="E9002" t="s">
        <v>395</v>
      </c>
      <c r="F9002" t="s">
        <v>724</v>
      </c>
      <c r="G9002">
        <v>1532900</v>
      </c>
      <c r="H9002">
        <v>1515400</v>
      </c>
    </row>
    <row r="9003" spans="2:8" x14ac:dyDescent="0.25">
      <c r="B9003" t="str">
        <f t="shared" si="140"/>
        <v>TSSPopulation, male</v>
      </c>
      <c r="C9003" t="s">
        <v>648</v>
      </c>
      <c r="D9003" t="s">
        <v>649</v>
      </c>
      <c r="E9003" t="s">
        <v>397</v>
      </c>
      <c r="F9003" t="s">
        <v>725</v>
      </c>
      <c r="G9003">
        <v>552345000</v>
      </c>
      <c r="H9003">
        <v>566974000</v>
      </c>
    </row>
    <row r="9004" spans="2:8" x14ac:dyDescent="0.25">
      <c r="B9004" t="str">
        <f t="shared" si="140"/>
        <v>TSSPopulation, total</v>
      </c>
      <c r="C9004" t="s">
        <v>648</v>
      </c>
      <c r="D9004" t="s">
        <v>649</v>
      </c>
      <c r="E9004" t="s">
        <v>398</v>
      </c>
      <c r="F9004" t="s">
        <v>726</v>
      </c>
      <c r="G9004">
        <v>1106960000</v>
      </c>
      <c r="H9004">
        <v>1136052000</v>
      </c>
    </row>
    <row r="9005" spans="2:8" x14ac:dyDescent="0.25">
      <c r="B9005" t="str">
        <f t="shared" si="140"/>
        <v>TSSPopulation, female</v>
      </c>
      <c r="C9005" t="s">
        <v>648</v>
      </c>
      <c r="D9005" t="s">
        <v>649</v>
      </c>
      <c r="E9005" t="s">
        <v>396</v>
      </c>
      <c r="F9005" t="s">
        <v>727</v>
      </c>
      <c r="G9005">
        <v>554612000</v>
      </c>
      <c r="H9005">
        <v>569080000</v>
      </c>
    </row>
    <row r="9006" spans="2:8" x14ac:dyDescent="0.25">
      <c r="B9006" t="str">
        <f t="shared" si="140"/>
        <v>TSSPopulation growth (annual %)</v>
      </c>
      <c r="C9006" t="s">
        <v>648</v>
      </c>
      <c r="D9006" t="s">
        <v>649</v>
      </c>
      <c r="E9006" t="s">
        <v>399</v>
      </c>
      <c r="F9006" t="s">
        <v>728</v>
      </c>
      <c r="G9006">
        <v>2.6572666925912785</v>
      </c>
      <c r="H9006">
        <v>2.6280985762809905</v>
      </c>
    </row>
    <row r="9007" spans="2:8" x14ac:dyDescent="0.25">
      <c r="B9007" t="str">
        <f t="shared" si="140"/>
        <v>SDNPopulation ages 0-14, female</v>
      </c>
      <c r="C9007" t="s">
        <v>233</v>
      </c>
      <c r="D9007" t="s">
        <v>125</v>
      </c>
      <c r="E9007" t="s">
        <v>687</v>
      </c>
      <c r="F9007" t="s">
        <v>688</v>
      </c>
      <c r="G9007">
        <v>8476000</v>
      </c>
      <c r="H9007">
        <v>8605000</v>
      </c>
    </row>
    <row r="9008" spans="2:8" x14ac:dyDescent="0.25">
      <c r="B9008" t="str">
        <f t="shared" si="140"/>
        <v>SDNPopulation ages 0-14, male</v>
      </c>
      <c r="C9008" t="s">
        <v>233</v>
      </c>
      <c r="D9008" t="s">
        <v>125</v>
      </c>
      <c r="E9008" t="s">
        <v>689</v>
      </c>
      <c r="F9008" t="s">
        <v>690</v>
      </c>
      <c r="G9008">
        <v>8716000</v>
      </c>
      <c r="H9008">
        <v>8847000</v>
      </c>
    </row>
    <row r="9009" spans="2:8" x14ac:dyDescent="0.25">
      <c r="B9009" t="str">
        <f t="shared" si="140"/>
        <v>SDNPopulation ages 00-04, female</v>
      </c>
      <c r="C9009" t="s">
        <v>233</v>
      </c>
      <c r="D9009" t="s">
        <v>125</v>
      </c>
      <c r="E9009" t="s">
        <v>362</v>
      </c>
      <c r="F9009" t="s">
        <v>691</v>
      </c>
      <c r="G9009">
        <v>3077000</v>
      </c>
      <c r="H9009">
        <v>3123000</v>
      </c>
    </row>
    <row r="9010" spans="2:8" x14ac:dyDescent="0.25">
      <c r="B9010" t="str">
        <f t="shared" si="140"/>
        <v>SDNPopulation ages 00-04, male</v>
      </c>
      <c r="C9010" t="s">
        <v>233</v>
      </c>
      <c r="D9010" t="s">
        <v>125</v>
      </c>
      <c r="E9010" t="s">
        <v>363</v>
      </c>
      <c r="F9010" t="s">
        <v>692</v>
      </c>
      <c r="G9010">
        <v>3169000</v>
      </c>
      <c r="H9010">
        <v>3216000</v>
      </c>
    </row>
    <row r="9011" spans="2:8" x14ac:dyDescent="0.25">
      <c r="B9011" t="str">
        <f t="shared" si="140"/>
        <v>SDNPopulation ages 05-09, female</v>
      </c>
      <c r="C9011" t="s">
        <v>233</v>
      </c>
      <c r="D9011" t="s">
        <v>125</v>
      </c>
      <c r="E9011" t="s">
        <v>364</v>
      </c>
      <c r="F9011" t="s">
        <v>693</v>
      </c>
      <c r="G9011">
        <v>2817000</v>
      </c>
      <c r="H9011">
        <v>2855000</v>
      </c>
    </row>
    <row r="9012" spans="2:8" x14ac:dyDescent="0.25">
      <c r="B9012" t="str">
        <f t="shared" si="140"/>
        <v>SDNPopulation ages 05-09, male</v>
      </c>
      <c r="C9012" t="s">
        <v>233</v>
      </c>
      <c r="D9012" t="s">
        <v>125</v>
      </c>
      <c r="E9012" t="s">
        <v>365</v>
      </c>
      <c r="F9012" t="s">
        <v>694</v>
      </c>
      <c r="G9012">
        <v>2895000</v>
      </c>
      <c r="H9012">
        <v>2934000</v>
      </c>
    </row>
    <row r="9013" spans="2:8" x14ac:dyDescent="0.25">
      <c r="B9013" t="str">
        <f t="shared" si="140"/>
        <v>SDNPopulation ages 10-14, female</v>
      </c>
      <c r="C9013" t="s">
        <v>233</v>
      </c>
      <c r="D9013" t="s">
        <v>125</v>
      </c>
      <c r="E9013" t="s">
        <v>366</v>
      </c>
      <c r="F9013" t="s">
        <v>695</v>
      </c>
      <c r="G9013">
        <v>2583000</v>
      </c>
      <c r="H9013">
        <v>2626000</v>
      </c>
    </row>
    <row r="9014" spans="2:8" x14ac:dyDescent="0.25">
      <c r="B9014" t="str">
        <f t="shared" si="140"/>
        <v>SDNPopulation ages 10-14, male</v>
      </c>
      <c r="C9014" t="s">
        <v>233</v>
      </c>
      <c r="D9014" t="s">
        <v>125</v>
      </c>
      <c r="E9014" t="s">
        <v>367</v>
      </c>
      <c r="F9014" t="s">
        <v>696</v>
      </c>
      <c r="G9014">
        <v>2651000</v>
      </c>
      <c r="H9014">
        <v>2696000</v>
      </c>
    </row>
    <row r="9015" spans="2:8" x14ac:dyDescent="0.25">
      <c r="B9015" t="str">
        <f t="shared" si="140"/>
        <v>SDNPopulation ages 15-19, female</v>
      </c>
      <c r="C9015" t="s">
        <v>233</v>
      </c>
      <c r="D9015" t="s">
        <v>125</v>
      </c>
      <c r="E9015" t="s">
        <v>368</v>
      </c>
      <c r="F9015" t="s">
        <v>697</v>
      </c>
      <c r="G9015">
        <v>2318000</v>
      </c>
      <c r="H9015">
        <v>2372000</v>
      </c>
    </row>
    <row r="9016" spans="2:8" x14ac:dyDescent="0.25">
      <c r="B9016" t="str">
        <f t="shared" si="140"/>
        <v>SDNPopulation ages 15-19, male</v>
      </c>
      <c r="C9016" t="s">
        <v>233</v>
      </c>
      <c r="D9016" t="s">
        <v>125</v>
      </c>
      <c r="E9016" t="s">
        <v>369</v>
      </c>
      <c r="F9016" t="s">
        <v>698</v>
      </c>
      <c r="G9016">
        <v>2374000</v>
      </c>
      <c r="H9016">
        <v>2429000</v>
      </c>
    </row>
    <row r="9017" spans="2:8" x14ac:dyDescent="0.25">
      <c r="B9017" t="str">
        <f t="shared" si="140"/>
        <v>SDNPopulation ages 20-24, female</v>
      </c>
      <c r="C9017" t="s">
        <v>233</v>
      </c>
      <c r="D9017" t="s">
        <v>125</v>
      </c>
      <c r="E9017" t="s">
        <v>370</v>
      </c>
      <c r="F9017" t="s">
        <v>699</v>
      </c>
      <c r="G9017">
        <v>1999000</v>
      </c>
      <c r="H9017">
        <v>2058000</v>
      </c>
    </row>
    <row r="9018" spans="2:8" x14ac:dyDescent="0.25">
      <c r="B9018" t="str">
        <f t="shared" si="140"/>
        <v>SDNPopulation ages 20-24, male</v>
      </c>
      <c r="C9018" t="s">
        <v>233</v>
      </c>
      <c r="D9018" t="s">
        <v>125</v>
      </c>
      <c r="E9018" t="s">
        <v>371</v>
      </c>
      <c r="F9018" t="s">
        <v>700</v>
      </c>
      <c r="G9018">
        <v>2040000</v>
      </c>
      <c r="H9018">
        <v>2101000</v>
      </c>
    </row>
    <row r="9019" spans="2:8" x14ac:dyDescent="0.25">
      <c r="B9019" t="str">
        <f t="shared" si="140"/>
        <v>SDNPopulation ages 25-29, female</v>
      </c>
      <c r="C9019" t="s">
        <v>233</v>
      </c>
      <c r="D9019" t="s">
        <v>125</v>
      </c>
      <c r="E9019" t="s">
        <v>372</v>
      </c>
      <c r="F9019" t="s">
        <v>701</v>
      </c>
      <c r="G9019">
        <v>1660000</v>
      </c>
      <c r="H9019">
        <v>1720000</v>
      </c>
    </row>
    <row r="9020" spans="2:8" x14ac:dyDescent="0.25">
      <c r="B9020" t="str">
        <f t="shared" si="140"/>
        <v>SDNPopulation ages 25-29, male</v>
      </c>
      <c r="C9020" t="s">
        <v>233</v>
      </c>
      <c r="D9020" t="s">
        <v>125</v>
      </c>
      <c r="E9020" t="s">
        <v>373</v>
      </c>
      <c r="F9020" t="s">
        <v>702</v>
      </c>
      <c r="G9020">
        <v>1684000</v>
      </c>
      <c r="H9020">
        <v>1748000</v>
      </c>
    </row>
    <row r="9021" spans="2:8" x14ac:dyDescent="0.25">
      <c r="B9021" t="str">
        <f t="shared" si="140"/>
        <v>SDNPopulation ages 30-34, female</v>
      </c>
      <c r="C9021" t="s">
        <v>233</v>
      </c>
      <c r="D9021" t="s">
        <v>125</v>
      </c>
      <c r="E9021" t="s">
        <v>374</v>
      </c>
      <c r="F9021" t="s">
        <v>703</v>
      </c>
      <c r="G9021">
        <v>1368000</v>
      </c>
      <c r="H9021">
        <v>1405000</v>
      </c>
    </row>
    <row r="9022" spans="2:8" x14ac:dyDescent="0.25">
      <c r="B9022" t="str">
        <f t="shared" si="140"/>
        <v>SDNPopulation ages 30-34, male</v>
      </c>
      <c r="C9022" t="s">
        <v>233</v>
      </c>
      <c r="D9022" t="s">
        <v>125</v>
      </c>
      <c r="E9022" t="s">
        <v>375</v>
      </c>
      <c r="F9022" t="s">
        <v>704</v>
      </c>
      <c r="G9022">
        <v>1348000</v>
      </c>
      <c r="H9022">
        <v>1394000</v>
      </c>
    </row>
    <row r="9023" spans="2:8" x14ac:dyDescent="0.25">
      <c r="B9023" t="str">
        <f t="shared" si="140"/>
        <v>SDNPopulation ages 35-39, female</v>
      </c>
      <c r="C9023" t="s">
        <v>233</v>
      </c>
      <c r="D9023" t="s">
        <v>125</v>
      </c>
      <c r="E9023" t="s">
        <v>376</v>
      </c>
      <c r="F9023" t="s">
        <v>705</v>
      </c>
      <c r="G9023">
        <v>1203000</v>
      </c>
      <c r="H9023">
        <v>1231000</v>
      </c>
    </row>
    <row r="9024" spans="2:8" x14ac:dyDescent="0.25">
      <c r="B9024" t="str">
        <f t="shared" si="140"/>
        <v>SDNPopulation ages 35-39, male</v>
      </c>
      <c r="C9024" t="s">
        <v>233</v>
      </c>
      <c r="D9024" t="s">
        <v>125</v>
      </c>
      <c r="E9024" t="s">
        <v>377</v>
      </c>
      <c r="F9024" t="s">
        <v>706</v>
      </c>
      <c r="G9024">
        <v>1141000</v>
      </c>
      <c r="H9024">
        <v>1173000</v>
      </c>
    </row>
    <row r="9025" spans="2:8" x14ac:dyDescent="0.25">
      <c r="B9025" t="str">
        <f t="shared" si="140"/>
        <v>SDNPopulation ages 40-44, female</v>
      </c>
      <c r="C9025" t="s">
        <v>233</v>
      </c>
      <c r="D9025" t="s">
        <v>125</v>
      </c>
      <c r="E9025" t="s">
        <v>378</v>
      </c>
      <c r="F9025" t="s">
        <v>707</v>
      </c>
      <c r="G9025">
        <v>1019000</v>
      </c>
      <c r="H9025">
        <v>1049000</v>
      </c>
    </row>
    <row r="9026" spans="2:8" x14ac:dyDescent="0.25">
      <c r="B9026" t="str">
        <f t="shared" si="140"/>
        <v>SDNPopulation ages 40-44, male</v>
      </c>
      <c r="C9026" t="s">
        <v>233</v>
      </c>
      <c r="D9026" t="s">
        <v>125</v>
      </c>
      <c r="E9026" t="s">
        <v>379</v>
      </c>
      <c r="F9026" t="s">
        <v>708</v>
      </c>
      <c r="G9026">
        <v>951000</v>
      </c>
      <c r="H9026">
        <v>978000</v>
      </c>
    </row>
    <row r="9027" spans="2:8" x14ac:dyDescent="0.25">
      <c r="B9027" t="str">
        <f t="shared" si="140"/>
        <v>SDNPopulation ages 45-49, female</v>
      </c>
      <c r="C9027" t="s">
        <v>233</v>
      </c>
      <c r="D9027" t="s">
        <v>125</v>
      </c>
      <c r="E9027" t="s">
        <v>380</v>
      </c>
      <c r="F9027" t="s">
        <v>709</v>
      </c>
      <c r="G9027">
        <v>848000</v>
      </c>
      <c r="H9027">
        <v>874000</v>
      </c>
    </row>
    <row r="9028" spans="2:8" x14ac:dyDescent="0.25">
      <c r="B9028" t="str">
        <f t="shared" si="140"/>
        <v>SDNPopulation ages 45-49, male</v>
      </c>
      <c r="C9028" t="s">
        <v>233</v>
      </c>
      <c r="D9028" t="s">
        <v>125</v>
      </c>
      <c r="E9028" t="s">
        <v>381</v>
      </c>
      <c r="F9028" t="s">
        <v>710</v>
      </c>
      <c r="G9028">
        <v>807000</v>
      </c>
      <c r="H9028">
        <v>827000</v>
      </c>
    </row>
    <row r="9029" spans="2:8" x14ac:dyDescent="0.25">
      <c r="B9029" t="str">
        <f t="shared" si="140"/>
        <v>SDNPopulation ages 50-54, female</v>
      </c>
      <c r="C9029" t="s">
        <v>233</v>
      </c>
      <c r="D9029" t="s">
        <v>125</v>
      </c>
      <c r="E9029" t="s">
        <v>382</v>
      </c>
      <c r="F9029" t="s">
        <v>711</v>
      </c>
      <c r="G9029">
        <v>704000</v>
      </c>
      <c r="H9029">
        <v>728000</v>
      </c>
    </row>
    <row r="9030" spans="2:8" x14ac:dyDescent="0.25">
      <c r="B9030" t="str">
        <f t="shared" si="140"/>
        <v>SDNPopulation ages 50-54, male</v>
      </c>
      <c r="C9030" t="s">
        <v>233</v>
      </c>
      <c r="D9030" t="s">
        <v>125</v>
      </c>
      <c r="E9030" t="s">
        <v>383</v>
      </c>
      <c r="F9030" t="s">
        <v>712</v>
      </c>
      <c r="G9030">
        <v>675000</v>
      </c>
      <c r="H9030">
        <v>697000</v>
      </c>
    </row>
    <row r="9031" spans="2:8" x14ac:dyDescent="0.25">
      <c r="B9031" t="str">
        <f t="shared" ref="B9031:B9094" si="141">CONCATENATE(D9031,E9031)</f>
        <v>SDNPopulation ages 55-59, male</v>
      </c>
      <c r="C9031" t="s">
        <v>233</v>
      </c>
      <c r="D9031" t="s">
        <v>125</v>
      </c>
      <c r="E9031" t="s">
        <v>385</v>
      </c>
      <c r="F9031" t="s">
        <v>713</v>
      </c>
      <c r="G9031">
        <v>526000</v>
      </c>
      <c r="H9031">
        <v>547000</v>
      </c>
    </row>
    <row r="9032" spans="2:8" x14ac:dyDescent="0.25">
      <c r="B9032" t="str">
        <f t="shared" si="141"/>
        <v>SDNPopulation ages 55-59, female</v>
      </c>
      <c r="C9032" t="s">
        <v>233</v>
      </c>
      <c r="D9032" t="s">
        <v>125</v>
      </c>
      <c r="E9032" t="s">
        <v>384</v>
      </c>
      <c r="F9032" t="s">
        <v>714</v>
      </c>
      <c r="G9032">
        <v>560000</v>
      </c>
      <c r="H9032">
        <v>581000</v>
      </c>
    </row>
    <row r="9033" spans="2:8" x14ac:dyDescent="0.25">
      <c r="B9033" t="str">
        <f t="shared" si="141"/>
        <v>SDNPopulation ages 65-69, male</v>
      </c>
      <c r="C9033" t="s">
        <v>233</v>
      </c>
      <c r="D9033" t="s">
        <v>125</v>
      </c>
      <c r="E9033" t="s">
        <v>389</v>
      </c>
      <c r="F9033" t="s">
        <v>715</v>
      </c>
      <c r="G9033">
        <v>302000</v>
      </c>
      <c r="H9033">
        <v>313000</v>
      </c>
    </row>
    <row r="9034" spans="2:8" x14ac:dyDescent="0.25">
      <c r="B9034" t="str">
        <f t="shared" si="141"/>
        <v>SDNPopulation ages 65-69, female</v>
      </c>
      <c r="C9034" t="s">
        <v>233</v>
      </c>
      <c r="D9034" t="s">
        <v>125</v>
      </c>
      <c r="E9034" t="s">
        <v>388</v>
      </c>
      <c r="F9034" t="s">
        <v>716</v>
      </c>
      <c r="G9034">
        <v>334000</v>
      </c>
      <c r="H9034">
        <v>348000</v>
      </c>
    </row>
    <row r="9035" spans="2:8" x14ac:dyDescent="0.25">
      <c r="B9035" t="str">
        <f t="shared" si="141"/>
        <v>SDNPopulation ages 60-64, female</v>
      </c>
      <c r="C9035" t="s">
        <v>233</v>
      </c>
      <c r="D9035" t="s">
        <v>125</v>
      </c>
      <c r="E9035" t="s">
        <v>386</v>
      </c>
      <c r="F9035" t="s">
        <v>717</v>
      </c>
      <c r="G9035">
        <v>439000</v>
      </c>
      <c r="H9035">
        <v>456000</v>
      </c>
    </row>
    <row r="9036" spans="2:8" x14ac:dyDescent="0.25">
      <c r="B9036" t="str">
        <f t="shared" si="141"/>
        <v>SDNPopulation ages 60-64, male</v>
      </c>
      <c r="C9036" t="s">
        <v>233</v>
      </c>
      <c r="D9036" t="s">
        <v>125</v>
      </c>
      <c r="E9036" t="s">
        <v>387</v>
      </c>
      <c r="F9036" t="s">
        <v>718</v>
      </c>
      <c r="G9036">
        <v>405000</v>
      </c>
      <c r="H9036">
        <v>419000</v>
      </c>
    </row>
    <row r="9037" spans="2:8" x14ac:dyDescent="0.25">
      <c r="B9037" t="str">
        <f t="shared" si="141"/>
        <v>SDNPopulation ages 70-74, female</v>
      </c>
      <c r="C9037" t="s">
        <v>233</v>
      </c>
      <c r="D9037" t="s">
        <v>125</v>
      </c>
      <c r="E9037" t="s">
        <v>390</v>
      </c>
      <c r="F9037" t="s">
        <v>719</v>
      </c>
      <c r="G9037">
        <v>232000</v>
      </c>
      <c r="H9037">
        <v>242000</v>
      </c>
    </row>
    <row r="9038" spans="2:8" x14ac:dyDescent="0.25">
      <c r="B9038" t="str">
        <f t="shared" si="141"/>
        <v>SDNPopulation ages 70-74, male</v>
      </c>
      <c r="C9038" t="s">
        <v>233</v>
      </c>
      <c r="D9038" t="s">
        <v>125</v>
      </c>
      <c r="E9038" t="s">
        <v>391</v>
      </c>
      <c r="F9038" t="s">
        <v>720</v>
      </c>
      <c r="G9038">
        <v>204000</v>
      </c>
      <c r="H9038">
        <v>213000</v>
      </c>
    </row>
    <row r="9039" spans="2:8" x14ac:dyDescent="0.25">
      <c r="B9039" t="str">
        <f t="shared" si="141"/>
        <v>SDNPopulation ages 75-79, female</v>
      </c>
      <c r="C9039" t="s">
        <v>233</v>
      </c>
      <c r="D9039" t="s">
        <v>125</v>
      </c>
      <c r="E9039" t="s">
        <v>392</v>
      </c>
      <c r="F9039" t="s">
        <v>721</v>
      </c>
      <c r="G9039">
        <v>145000</v>
      </c>
      <c r="H9039">
        <v>151000</v>
      </c>
    </row>
    <row r="9040" spans="2:8" x14ac:dyDescent="0.25">
      <c r="B9040" t="str">
        <f t="shared" si="141"/>
        <v>SDNPopulation ages 75-79, male</v>
      </c>
      <c r="C9040" t="s">
        <v>233</v>
      </c>
      <c r="D9040" t="s">
        <v>125</v>
      </c>
      <c r="E9040" t="s">
        <v>393</v>
      </c>
      <c r="F9040" t="s">
        <v>722</v>
      </c>
      <c r="G9040">
        <v>122000</v>
      </c>
      <c r="H9040">
        <v>127000</v>
      </c>
    </row>
    <row r="9041" spans="2:8" x14ac:dyDescent="0.25">
      <c r="B9041" t="str">
        <f t="shared" si="141"/>
        <v>SDNPopulation ages 80 and above, female</v>
      </c>
      <c r="C9041" t="s">
        <v>233</v>
      </c>
      <c r="D9041" t="s">
        <v>125</v>
      </c>
      <c r="E9041" t="s">
        <v>394</v>
      </c>
      <c r="F9041" t="s">
        <v>723</v>
      </c>
      <c r="G9041">
        <v>120000</v>
      </c>
      <c r="H9041">
        <v>122000</v>
      </c>
    </row>
    <row r="9042" spans="2:8" x14ac:dyDescent="0.25">
      <c r="B9042" t="str">
        <f t="shared" si="141"/>
        <v>SDNPopulation ages 80 and above, male</v>
      </c>
      <c r="C9042" t="s">
        <v>233</v>
      </c>
      <c r="D9042" t="s">
        <v>125</v>
      </c>
      <c r="E9042" t="s">
        <v>395</v>
      </c>
      <c r="F9042" t="s">
        <v>724</v>
      </c>
      <c r="G9042">
        <v>94000</v>
      </c>
      <c r="H9042">
        <v>95000</v>
      </c>
    </row>
    <row r="9043" spans="2:8" x14ac:dyDescent="0.25">
      <c r="B9043" t="str">
        <f t="shared" si="141"/>
        <v>SDNPopulation, male</v>
      </c>
      <c r="C9043" t="s">
        <v>233</v>
      </c>
      <c r="D9043" t="s">
        <v>125</v>
      </c>
      <c r="E9043" t="s">
        <v>397</v>
      </c>
      <c r="F9043" t="s">
        <v>725</v>
      </c>
      <c r="G9043">
        <v>21388000</v>
      </c>
      <c r="H9043">
        <v>21907000</v>
      </c>
    </row>
    <row r="9044" spans="2:8" x14ac:dyDescent="0.25">
      <c r="B9044" t="str">
        <f t="shared" si="141"/>
        <v>SDNPopulation, total</v>
      </c>
      <c r="C9044" t="s">
        <v>233</v>
      </c>
      <c r="D9044" t="s">
        <v>125</v>
      </c>
      <c r="E9044" t="s">
        <v>398</v>
      </c>
      <c r="F9044" t="s">
        <v>726</v>
      </c>
      <c r="G9044">
        <v>42813000</v>
      </c>
      <c r="H9044">
        <v>43849000</v>
      </c>
    </row>
    <row r="9045" spans="2:8" x14ac:dyDescent="0.25">
      <c r="B9045" t="str">
        <f t="shared" si="141"/>
        <v>SDNPopulation, female</v>
      </c>
      <c r="C9045" t="s">
        <v>233</v>
      </c>
      <c r="D9045" t="s">
        <v>125</v>
      </c>
      <c r="E9045" t="s">
        <v>396</v>
      </c>
      <c r="F9045" t="s">
        <v>727</v>
      </c>
      <c r="G9045">
        <v>21425000</v>
      </c>
      <c r="H9045">
        <v>21942000</v>
      </c>
    </row>
    <row r="9046" spans="2:8" x14ac:dyDescent="0.25">
      <c r="B9046" t="str">
        <f t="shared" si="141"/>
        <v>SDNPopulation growth (annual %)</v>
      </c>
      <c r="C9046" t="s">
        <v>233</v>
      </c>
      <c r="D9046" t="s">
        <v>125</v>
      </c>
      <c r="E9046" t="s">
        <v>399</v>
      </c>
      <c r="F9046" t="s">
        <v>728</v>
      </c>
      <c r="G9046">
        <v>0</v>
      </c>
      <c r="H9046">
        <v>0</v>
      </c>
    </row>
    <row r="9047" spans="2:8" x14ac:dyDescent="0.25">
      <c r="B9047" t="str">
        <f t="shared" si="141"/>
        <v>SURPopulation ages 0-14, female</v>
      </c>
      <c r="C9047" t="s">
        <v>229</v>
      </c>
      <c r="D9047" t="s">
        <v>170</v>
      </c>
      <c r="E9047" t="s">
        <v>687</v>
      </c>
      <c r="F9047" t="s">
        <v>688</v>
      </c>
      <c r="G9047">
        <v>75000</v>
      </c>
      <c r="H9047">
        <v>75000</v>
      </c>
    </row>
    <row r="9048" spans="2:8" x14ac:dyDescent="0.25">
      <c r="B9048" t="str">
        <f t="shared" si="141"/>
        <v>SURPopulation ages 0-14, male</v>
      </c>
      <c r="C9048" t="s">
        <v>229</v>
      </c>
      <c r="D9048" t="s">
        <v>170</v>
      </c>
      <c r="E9048" t="s">
        <v>689</v>
      </c>
      <c r="F9048" t="s">
        <v>690</v>
      </c>
      <c r="G9048">
        <v>81000</v>
      </c>
      <c r="H9048">
        <v>81000</v>
      </c>
    </row>
    <row r="9049" spans="2:8" x14ac:dyDescent="0.25">
      <c r="B9049" t="str">
        <f t="shared" si="141"/>
        <v>SURPopulation ages 00-04, female</v>
      </c>
      <c r="C9049" t="s">
        <v>229</v>
      </c>
      <c r="D9049" t="s">
        <v>170</v>
      </c>
      <c r="E9049" t="s">
        <v>362</v>
      </c>
      <c r="F9049" t="s">
        <v>691</v>
      </c>
      <c r="G9049">
        <v>25000</v>
      </c>
      <c r="H9049">
        <v>25000</v>
      </c>
    </row>
    <row r="9050" spans="2:8" x14ac:dyDescent="0.25">
      <c r="B9050" t="str">
        <f t="shared" si="141"/>
        <v>SURPopulation ages 00-04, male</v>
      </c>
      <c r="C9050" t="s">
        <v>229</v>
      </c>
      <c r="D9050" t="s">
        <v>170</v>
      </c>
      <c r="E9050" t="s">
        <v>363</v>
      </c>
      <c r="F9050" t="s">
        <v>692</v>
      </c>
      <c r="G9050">
        <v>27000</v>
      </c>
      <c r="H9050">
        <v>27000</v>
      </c>
    </row>
    <row r="9051" spans="2:8" x14ac:dyDescent="0.25">
      <c r="B9051" t="str">
        <f t="shared" si="141"/>
        <v>SURPopulation ages 05-09, female</v>
      </c>
      <c r="C9051" t="s">
        <v>229</v>
      </c>
      <c r="D9051" t="s">
        <v>170</v>
      </c>
      <c r="E9051" t="s">
        <v>364</v>
      </c>
      <c r="F9051" t="s">
        <v>693</v>
      </c>
      <c r="G9051">
        <v>25000</v>
      </c>
      <c r="H9051">
        <v>25000</v>
      </c>
    </row>
    <row r="9052" spans="2:8" x14ac:dyDescent="0.25">
      <c r="B9052" t="str">
        <f t="shared" si="141"/>
        <v>SURPopulation ages 05-09, male</v>
      </c>
      <c r="C9052" t="s">
        <v>229</v>
      </c>
      <c r="D9052" t="s">
        <v>170</v>
      </c>
      <c r="E9052" t="s">
        <v>365</v>
      </c>
      <c r="F9052" t="s">
        <v>694</v>
      </c>
      <c r="G9052">
        <v>27000</v>
      </c>
      <c r="H9052">
        <v>27000</v>
      </c>
    </row>
    <row r="9053" spans="2:8" x14ac:dyDescent="0.25">
      <c r="B9053" t="str">
        <f t="shared" si="141"/>
        <v>SURPopulation ages 10-14, female</v>
      </c>
      <c r="C9053" t="s">
        <v>229</v>
      </c>
      <c r="D9053" t="s">
        <v>170</v>
      </c>
      <c r="E9053" t="s">
        <v>366</v>
      </c>
      <c r="F9053" t="s">
        <v>695</v>
      </c>
      <c r="G9053">
        <v>25000</v>
      </c>
      <c r="H9053">
        <v>25000</v>
      </c>
    </row>
    <row r="9054" spans="2:8" x14ac:dyDescent="0.25">
      <c r="B9054" t="str">
        <f t="shared" si="141"/>
        <v>SURPopulation ages 10-14, male</v>
      </c>
      <c r="C9054" t="s">
        <v>229</v>
      </c>
      <c r="D9054" t="s">
        <v>170</v>
      </c>
      <c r="E9054" t="s">
        <v>367</v>
      </c>
      <c r="F9054" t="s">
        <v>696</v>
      </c>
      <c r="G9054">
        <v>27000</v>
      </c>
      <c r="H9054">
        <v>27000</v>
      </c>
    </row>
    <row r="9055" spans="2:8" x14ac:dyDescent="0.25">
      <c r="B9055" t="str">
        <f t="shared" si="141"/>
        <v>SURPopulation ages 15-19, female</v>
      </c>
      <c r="C9055" t="s">
        <v>229</v>
      </c>
      <c r="D9055" t="s">
        <v>170</v>
      </c>
      <c r="E9055" t="s">
        <v>368</v>
      </c>
      <c r="F9055" t="s">
        <v>697</v>
      </c>
      <c r="G9055">
        <v>24000</v>
      </c>
      <c r="H9055">
        <v>24000</v>
      </c>
    </row>
    <row r="9056" spans="2:8" x14ac:dyDescent="0.25">
      <c r="B9056" t="str">
        <f t="shared" si="141"/>
        <v>SURPopulation ages 15-19, male</v>
      </c>
      <c r="C9056" t="s">
        <v>229</v>
      </c>
      <c r="D9056" t="s">
        <v>170</v>
      </c>
      <c r="E9056" t="s">
        <v>369</v>
      </c>
      <c r="F9056" t="s">
        <v>698</v>
      </c>
      <c r="G9056">
        <v>26000</v>
      </c>
      <c r="H9056">
        <v>26000</v>
      </c>
    </row>
    <row r="9057" spans="2:8" x14ac:dyDescent="0.25">
      <c r="B9057" t="str">
        <f t="shared" si="141"/>
        <v>SURPopulation ages 20-24, female</v>
      </c>
      <c r="C9057" t="s">
        <v>229</v>
      </c>
      <c r="D9057" t="s">
        <v>170</v>
      </c>
      <c r="E9057" t="s">
        <v>370</v>
      </c>
      <c r="F9057" t="s">
        <v>699</v>
      </c>
      <c r="G9057">
        <v>24000</v>
      </c>
      <c r="H9057">
        <v>24000</v>
      </c>
    </row>
    <row r="9058" spans="2:8" x14ac:dyDescent="0.25">
      <c r="B9058" t="str">
        <f t="shared" si="141"/>
        <v>SURPopulation ages 20-24, male</v>
      </c>
      <c r="C9058" t="s">
        <v>229</v>
      </c>
      <c r="D9058" t="s">
        <v>170</v>
      </c>
      <c r="E9058" t="s">
        <v>371</v>
      </c>
      <c r="F9058" t="s">
        <v>700</v>
      </c>
      <c r="G9058">
        <v>25000</v>
      </c>
      <c r="H9058">
        <v>25000</v>
      </c>
    </row>
    <row r="9059" spans="2:8" x14ac:dyDescent="0.25">
      <c r="B9059" t="str">
        <f t="shared" si="141"/>
        <v>SURPopulation ages 25-29, female</v>
      </c>
      <c r="C9059" t="s">
        <v>229</v>
      </c>
      <c r="D9059" t="s">
        <v>170</v>
      </c>
      <c r="E9059" t="s">
        <v>372</v>
      </c>
      <c r="F9059" t="s">
        <v>701</v>
      </c>
      <c r="G9059">
        <v>23000</v>
      </c>
      <c r="H9059">
        <v>23000</v>
      </c>
    </row>
    <row r="9060" spans="2:8" x14ac:dyDescent="0.25">
      <c r="B9060" t="str">
        <f t="shared" si="141"/>
        <v>SURPopulation ages 25-29, male</v>
      </c>
      <c r="C9060" t="s">
        <v>229</v>
      </c>
      <c r="D9060" t="s">
        <v>170</v>
      </c>
      <c r="E9060" t="s">
        <v>373</v>
      </c>
      <c r="F9060" t="s">
        <v>702</v>
      </c>
      <c r="G9060">
        <v>24000</v>
      </c>
      <c r="H9060">
        <v>24000</v>
      </c>
    </row>
    <row r="9061" spans="2:8" x14ac:dyDescent="0.25">
      <c r="B9061" t="str">
        <f t="shared" si="141"/>
        <v>SURPopulation ages 30-34, female</v>
      </c>
      <c r="C9061" t="s">
        <v>229</v>
      </c>
      <c r="D9061" t="s">
        <v>170</v>
      </c>
      <c r="E9061" t="s">
        <v>374</v>
      </c>
      <c r="F9061" t="s">
        <v>703</v>
      </c>
      <c r="G9061">
        <v>21000</v>
      </c>
      <c r="H9061">
        <v>21000</v>
      </c>
    </row>
    <row r="9062" spans="2:8" x14ac:dyDescent="0.25">
      <c r="B9062" t="str">
        <f t="shared" si="141"/>
        <v>SURPopulation ages 30-34, male</v>
      </c>
      <c r="C9062" t="s">
        <v>229</v>
      </c>
      <c r="D9062" t="s">
        <v>170</v>
      </c>
      <c r="E9062" t="s">
        <v>375</v>
      </c>
      <c r="F9062" t="s">
        <v>704</v>
      </c>
      <c r="G9062">
        <v>22000</v>
      </c>
      <c r="H9062">
        <v>22000</v>
      </c>
    </row>
    <row r="9063" spans="2:8" x14ac:dyDescent="0.25">
      <c r="B9063" t="str">
        <f t="shared" si="141"/>
        <v>SURPopulation ages 35-39, female</v>
      </c>
      <c r="C9063" t="s">
        <v>229</v>
      </c>
      <c r="D9063" t="s">
        <v>170</v>
      </c>
      <c r="E9063" t="s">
        <v>376</v>
      </c>
      <c r="F9063" t="s">
        <v>705</v>
      </c>
      <c r="G9063">
        <v>20000</v>
      </c>
      <c r="H9063">
        <v>20000</v>
      </c>
    </row>
    <row r="9064" spans="2:8" x14ac:dyDescent="0.25">
      <c r="B9064" t="str">
        <f t="shared" si="141"/>
        <v>SURPopulation ages 35-39, male</v>
      </c>
      <c r="C9064" t="s">
        <v>229</v>
      </c>
      <c r="D9064" t="s">
        <v>170</v>
      </c>
      <c r="E9064" t="s">
        <v>377</v>
      </c>
      <c r="F9064" t="s">
        <v>706</v>
      </c>
      <c r="G9064">
        <v>19000</v>
      </c>
      <c r="H9064">
        <v>20000</v>
      </c>
    </row>
    <row r="9065" spans="2:8" x14ac:dyDescent="0.25">
      <c r="B9065" t="str">
        <f t="shared" si="141"/>
        <v>SURPopulation ages 40-44, female</v>
      </c>
      <c r="C9065" t="s">
        <v>229</v>
      </c>
      <c r="D9065" t="s">
        <v>170</v>
      </c>
      <c r="E9065" t="s">
        <v>378</v>
      </c>
      <c r="F9065" t="s">
        <v>707</v>
      </c>
      <c r="G9065">
        <v>18000</v>
      </c>
      <c r="H9065">
        <v>18000</v>
      </c>
    </row>
    <row r="9066" spans="2:8" x14ac:dyDescent="0.25">
      <c r="B9066" t="str">
        <f t="shared" si="141"/>
        <v>SURPopulation ages 40-44, male</v>
      </c>
      <c r="C9066" t="s">
        <v>229</v>
      </c>
      <c r="D9066" t="s">
        <v>170</v>
      </c>
      <c r="E9066" t="s">
        <v>379</v>
      </c>
      <c r="F9066" t="s">
        <v>708</v>
      </c>
      <c r="G9066">
        <v>18000</v>
      </c>
      <c r="H9066">
        <v>18000</v>
      </c>
    </row>
    <row r="9067" spans="2:8" x14ac:dyDescent="0.25">
      <c r="B9067" t="str">
        <f t="shared" si="141"/>
        <v>SURPopulation ages 45-49, female</v>
      </c>
      <c r="C9067" t="s">
        <v>229</v>
      </c>
      <c r="D9067" t="s">
        <v>170</v>
      </c>
      <c r="E9067" t="s">
        <v>380</v>
      </c>
      <c r="F9067" t="s">
        <v>709</v>
      </c>
      <c r="G9067">
        <v>19000</v>
      </c>
      <c r="H9067">
        <v>19000</v>
      </c>
    </row>
    <row r="9068" spans="2:8" x14ac:dyDescent="0.25">
      <c r="B9068" t="str">
        <f t="shared" si="141"/>
        <v>SURPopulation ages 45-49, male</v>
      </c>
      <c r="C9068" t="s">
        <v>229</v>
      </c>
      <c r="D9068" t="s">
        <v>170</v>
      </c>
      <c r="E9068" t="s">
        <v>381</v>
      </c>
      <c r="F9068" t="s">
        <v>710</v>
      </c>
      <c r="G9068">
        <v>19000</v>
      </c>
      <c r="H9068">
        <v>19000</v>
      </c>
    </row>
    <row r="9069" spans="2:8" x14ac:dyDescent="0.25">
      <c r="B9069" t="str">
        <f t="shared" si="141"/>
        <v>SURPopulation ages 50-54, female</v>
      </c>
      <c r="C9069" t="s">
        <v>229</v>
      </c>
      <c r="D9069" t="s">
        <v>170</v>
      </c>
      <c r="E9069" t="s">
        <v>382</v>
      </c>
      <c r="F9069" t="s">
        <v>711</v>
      </c>
      <c r="G9069">
        <v>16000</v>
      </c>
      <c r="H9069">
        <v>16000</v>
      </c>
    </row>
    <row r="9070" spans="2:8" x14ac:dyDescent="0.25">
      <c r="B9070" t="str">
        <f t="shared" si="141"/>
        <v>SURPopulation ages 50-54, male</v>
      </c>
      <c r="C9070" t="s">
        <v>229</v>
      </c>
      <c r="D9070" t="s">
        <v>170</v>
      </c>
      <c r="E9070" t="s">
        <v>383</v>
      </c>
      <c r="F9070" t="s">
        <v>712</v>
      </c>
      <c r="G9070">
        <v>17000</v>
      </c>
      <c r="H9070">
        <v>17000</v>
      </c>
    </row>
    <row r="9071" spans="2:8" x14ac:dyDescent="0.25">
      <c r="B9071" t="str">
        <f t="shared" si="141"/>
        <v>SURPopulation ages 55-59, male</v>
      </c>
      <c r="C9071" t="s">
        <v>229</v>
      </c>
      <c r="D9071" t="s">
        <v>170</v>
      </c>
      <c r="E9071" t="s">
        <v>385</v>
      </c>
      <c r="F9071" t="s">
        <v>713</v>
      </c>
      <c r="G9071">
        <v>15000</v>
      </c>
      <c r="H9071">
        <v>16000</v>
      </c>
    </row>
    <row r="9072" spans="2:8" x14ac:dyDescent="0.25">
      <c r="B9072" t="str">
        <f t="shared" si="141"/>
        <v>SURPopulation ages 55-59, female</v>
      </c>
      <c r="C9072" t="s">
        <v>229</v>
      </c>
      <c r="D9072" t="s">
        <v>170</v>
      </c>
      <c r="E9072" t="s">
        <v>384</v>
      </c>
      <c r="F9072" t="s">
        <v>714</v>
      </c>
      <c r="G9072">
        <v>16000</v>
      </c>
      <c r="H9072">
        <v>16000</v>
      </c>
    </row>
    <row r="9073" spans="2:8" x14ac:dyDescent="0.25">
      <c r="B9073" t="str">
        <f t="shared" si="141"/>
        <v>SURPopulation ages 65-69, male</v>
      </c>
      <c r="C9073" t="s">
        <v>229</v>
      </c>
      <c r="D9073" t="s">
        <v>170</v>
      </c>
      <c r="E9073" t="s">
        <v>389</v>
      </c>
      <c r="F9073" t="s">
        <v>715</v>
      </c>
      <c r="G9073">
        <v>6700</v>
      </c>
      <c r="H9073">
        <v>6900</v>
      </c>
    </row>
    <row r="9074" spans="2:8" x14ac:dyDescent="0.25">
      <c r="B9074" t="str">
        <f t="shared" si="141"/>
        <v>SURPopulation ages 65-69, female</v>
      </c>
      <c r="C9074" t="s">
        <v>229</v>
      </c>
      <c r="D9074" t="s">
        <v>170</v>
      </c>
      <c r="E9074" t="s">
        <v>388</v>
      </c>
      <c r="F9074" t="s">
        <v>716</v>
      </c>
      <c r="G9074">
        <v>8200</v>
      </c>
      <c r="H9074">
        <v>8400</v>
      </c>
    </row>
    <row r="9075" spans="2:8" x14ac:dyDescent="0.25">
      <c r="B9075" t="str">
        <f t="shared" si="141"/>
        <v>SURPopulation ages 60-64, female</v>
      </c>
      <c r="C9075" t="s">
        <v>229</v>
      </c>
      <c r="D9075" t="s">
        <v>170</v>
      </c>
      <c r="E9075" t="s">
        <v>386</v>
      </c>
      <c r="F9075" t="s">
        <v>717</v>
      </c>
      <c r="G9075">
        <v>10000</v>
      </c>
      <c r="H9075">
        <v>11000</v>
      </c>
    </row>
    <row r="9076" spans="2:8" x14ac:dyDescent="0.25">
      <c r="B9076" t="str">
        <f t="shared" si="141"/>
        <v>SURPopulation ages 60-64, male</v>
      </c>
      <c r="C9076" t="s">
        <v>229</v>
      </c>
      <c r="D9076" t="s">
        <v>170</v>
      </c>
      <c r="E9076" t="s">
        <v>387</v>
      </c>
      <c r="F9076" t="s">
        <v>718</v>
      </c>
      <c r="G9076">
        <v>9800</v>
      </c>
      <c r="H9076">
        <v>11000</v>
      </c>
    </row>
    <row r="9077" spans="2:8" x14ac:dyDescent="0.25">
      <c r="B9077" t="str">
        <f t="shared" si="141"/>
        <v>SURPopulation ages 70-74, female</v>
      </c>
      <c r="C9077" t="s">
        <v>229</v>
      </c>
      <c r="D9077" t="s">
        <v>170</v>
      </c>
      <c r="E9077" t="s">
        <v>390</v>
      </c>
      <c r="F9077" t="s">
        <v>719</v>
      </c>
      <c r="G9077">
        <v>6200</v>
      </c>
      <c r="H9077">
        <v>6400</v>
      </c>
    </row>
    <row r="9078" spans="2:8" x14ac:dyDescent="0.25">
      <c r="B9078" t="str">
        <f t="shared" si="141"/>
        <v>SURPopulation ages 70-74, male</v>
      </c>
      <c r="C9078" t="s">
        <v>229</v>
      </c>
      <c r="D9078" t="s">
        <v>170</v>
      </c>
      <c r="E9078" t="s">
        <v>391</v>
      </c>
      <c r="F9078" t="s">
        <v>720</v>
      </c>
      <c r="G9078">
        <v>4700</v>
      </c>
      <c r="H9078">
        <v>4900</v>
      </c>
    </row>
    <row r="9079" spans="2:8" x14ac:dyDescent="0.25">
      <c r="B9079" t="str">
        <f t="shared" si="141"/>
        <v>SURPopulation ages 75-79, female</v>
      </c>
      <c r="C9079" t="s">
        <v>229</v>
      </c>
      <c r="D9079" t="s">
        <v>170</v>
      </c>
      <c r="E9079" t="s">
        <v>392</v>
      </c>
      <c r="F9079" t="s">
        <v>721</v>
      </c>
      <c r="G9079">
        <v>4400</v>
      </c>
      <c r="H9079">
        <v>4500</v>
      </c>
    </row>
    <row r="9080" spans="2:8" x14ac:dyDescent="0.25">
      <c r="B9080" t="str">
        <f t="shared" si="141"/>
        <v>SURPopulation ages 75-79, male</v>
      </c>
      <c r="C9080" t="s">
        <v>229</v>
      </c>
      <c r="D9080" t="s">
        <v>170</v>
      </c>
      <c r="E9080" t="s">
        <v>393</v>
      </c>
      <c r="F9080" t="s">
        <v>722</v>
      </c>
      <c r="G9080">
        <v>2800</v>
      </c>
      <c r="H9080">
        <v>2900</v>
      </c>
    </row>
    <row r="9081" spans="2:8" x14ac:dyDescent="0.25">
      <c r="B9081" t="str">
        <f t="shared" si="141"/>
        <v>SURPopulation ages 80 and above, female</v>
      </c>
      <c r="C9081" t="s">
        <v>229</v>
      </c>
      <c r="D9081" t="s">
        <v>170</v>
      </c>
      <c r="E9081" t="s">
        <v>394</v>
      </c>
      <c r="F9081" t="s">
        <v>723</v>
      </c>
      <c r="G9081">
        <v>4900</v>
      </c>
      <c r="H9081">
        <v>5000</v>
      </c>
    </row>
    <row r="9082" spans="2:8" x14ac:dyDescent="0.25">
      <c r="B9082" t="str">
        <f t="shared" si="141"/>
        <v>SURPopulation ages 80 and above, male</v>
      </c>
      <c r="C9082" t="s">
        <v>229</v>
      </c>
      <c r="D9082" t="s">
        <v>170</v>
      </c>
      <c r="E9082" t="s">
        <v>395</v>
      </c>
      <c r="F9082" t="s">
        <v>724</v>
      </c>
      <c r="G9082">
        <v>2900</v>
      </c>
      <c r="H9082">
        <v>2900</v>
      </c>
    </row>
    <row r="9083" spans="2:8" x14ac:dyDescent="0.25">
      <c r="B9083" t="str">
        <f t="shared" si="141"/>
        <v>SURPopulation, male</v>
      </c>
      <c r="C9083" t="s">
        <v>229</v>
      </c>
      <c r="D9083" t="s">
        <v>170</v>
      </c>
      <c r="E9083" t="s">
        <v>397</v>
      </c>
      <c r="F9083" t="s">
        <v>725</v>
      </c>
      <c r="G9083">
        <v>292000</v>
      </c>
      <c r="H9083">
        <v>295000</v>
      </c>
    </row>
    <row r="9084" spans="2:8" x14ac:dyDescent="0.25">
      <c r="B9084" t="str">
        <f t="shared" si="141"/>
        <v>SURPopulation, total</v>
      </c>
      <c r="C9084" t="s">
        <v>229</v>
      </c>
      <c r="D9084" t="s">
        <v>170</v>
      </c>
      <c r="E9084" t="s">
        <v>398</v>
      </c>
      <c r="F9084" t="s">
        <v>726</v>
      </c>
      <c r="G9084">
        <v>581000</v>
      </c>
      <c r="H9084">
        <v>587000</v>
      </c>
    </row>
    <row r="9085" spans="2:8" x14ac:dyDescent="0.25">
      <c r="B9085" t="str">
        <f t="shared" si="141"/>
        <v>SURPopulation, female</v>
      </c>
      <c r="C9085" t="s">
        <v>229</v>
      </c>
      <c r="D9085" t="s">
        <v>170</v>
      </c>
      <c r="E9085" t="s">
        <v>396</v>
      </c>
      <c r="F9085" t="s">
        <v>727</v>
      </c>
      <c r="G9085">
        <v>289000</v>
      </c>
      <c r="H9085">
        <v>292000</v>
      </c>
    </row>
    <row r="9086" spans="2:8" x14ac:dyDescent="0.25">
      <c r="B9086" t="str">
        <f t="shared" si="141"/>
        <v>SURPopulation growth (annual %)</v>
      </c>
      <c r="C9086" t="s">
        <v>229</v>
      </c>
      <c r="D9086" t="s">
        <v>170</v>
      </c>
      <c r="E9086" t="s">
        <v>399</v>
      </c>
      <c r="F9086" t="s">
        <v>728</v>
      </c>
      <c r="G9086">
        <v>0</v>
      </c>
      <c r="H9086">
        <v>0</v>
      </c>
    </row>
    <row r="9087" spans="2:8" x14ac:dyDescent="0.25">
      <c r="B9087" t="str">
        <f t="shared" si="141"/>
        <v>SWEPopulation ages 0-14, female</v>
      </c>
      <c r="C9087" t="s">
        <v>650</v>
      </c>
      <c r="D9087" t="s">
        <v>133</v>
      </c>
      <c r="E9087" t="s">
        <v>687</v>
      </c>
      <c r="F9087" t="s">
        <v>688</v>
      </c>
      <c r="G9087">
        <v>879000</v>
      </c>
      <c r="H9087">
        <v>884000</v>
      </c>
    </row>
    <row r="9088" spans="2:8" x14ac:dyDescent="0.25">
      <c r="B9088" t="str">
        <f t="shared" si="141"/>
        <v>SWEPopulation ages 0-14, male</v>
      </c>
      <c r="C9088" t="s">
        <v>650</v>
      </c>
      <c r="D9088" t="s">
        <v>133</v>
      </c>
      <c r="E9088" t="s">
        <v>689</v>
      </c>
      <c r="F9088" t="s">
        <v>690</v>
      </c>
      <c r="G9088">
        <v>928000</v>
      </c>
      <c r="H9088">
        <v>934000</v>
      </c>
    </row>
    <row r="9089" spans="2:8" x14ac:dyDescent="0.25">
      <c r="B9089" t="str">
        <f t="shared" si="141"/>
        <v>SWEPopulation ages 00-04, female</v>
      </c>
      <c r="C9089" t="s">
        <v>650</v>
      </c>
      <c r="D9089" t="s">
        <v>133</v>
      </c>
      <c r="E9089" t="s">
        <v>362</v>
      </c>
      <c r="F9089" t="s">
        <v>691</v>
      </c>
      <c r="G9089">
        <v>297000</v>
      </c>
      <c r="H9089">
        <v>299000</v>
      </c>
    </row>
    <row r="9090" spans="2:8" x14ac:dyDescent="0.25">
      <c r="B9090" t="str">
        <f t="shared" si="141"/>
        <v>SWEPopulation ages 00-04, male</v>
      </c>
      <c r="C9090" t="s">
        <v>650</v>
      </c>
      <c r="D9090" t="s">
        <v>133</v>
      </c>
      <c r="E9090" t="s">
        <v>363</v>
      </c>
      <c r="F9090" t="s">
        <v>692</v>
      </c>
      <c r="G9090">
        <v>314000</v>
      </c>
      <c r="H9090">
        <v>316000</v>
      </c>
    </row>
    <row r="9091" spans="2:8" x14ac:dyDescent="0.25">
      <c r="B9091" t="str">
        <f t="shared" si="141"/>
        <v>SWEPopulation ages 05-09, female</v>
      </c>
      <c r="C9091" t="s">
        <v>650</v>
      </c>
      <c r="D9091" t="s">
        <v>133</v>
      </c>
      <c r="E9091" t="s">
        <v>364</v>
      </c>
      <c r="F9091" t="s">
        <v>693</v>
      </c>
      <c r="G9091">
        <v>295000</v>
      </c>
      <c r="H9091">
        <v>295000</v>
      </c>
    </row>
    <row r="9092" spans="2:8" x14ac:dyDescent="0.25">
      <c r="B9092" t="str">
        <f t="shared" si="141"/>
        <v>SWEPopulation ages 05-09, male</v>
      </c>
      <c r="C9092" t="s">
        <v>650</v>
      </c>
      <c r="D9092" t="s">
        <v>133</v>
      </c>
      <c r="E9092" t="s">
        <v>365</v>
      </c>
      <c r="F9092" t="s">
        <v>694</v>
      </c>
      <c r="G9092">
        <v>311000</v>
      </c>
      <c r="H9092">
        <v>311000</v>
      </c>
    </row>
    <row r="9093" spans="2:8" x14ac:dyDescent="0.25">
      <c r="B9093" t="str">
        <f t="shared" si="141"/>
        <v>SWEPopulation ages 10-14, female</v>
      </c>
      <c r="C9093" t="s">
        <v>650</v>
      </c>
      <c r="D9093" t="s">
        <v>133</v>
      </c>
      <c r="E9093" t="s">
        <v>366</v>
      </c>
      <c r="F9093" t="s">
        <v>695</v>
      </c>
      <c r="G9093">
        <v>287000</v>
      </c>
      <c r="H9093">
        <v>291000</v>
      </c>
    </row>
    <row r="9094" spans="2:8" x14ac:dyDescent="0.25">
      <c r="B9094" t="str">
        <f t="shared" si="141"/>
        <v>SWEPopulation ages 10-14, male</v>
      </c>
      <c r="C9094" t="s">
        <v>650</v>
      </c>
      <c r="D9094" t="s">
        <v>133</v>
      </c>
      <c r="E9094" t="s">
        <v>367</v>
      </c>
      <c r="F9094" t="s">
        <v>696</v>
      </c>
      <c r="G9094">
        <v>303000</v>
      </c>
      <c r="H9094">
        <v>308000</v>
      </c>
    </row>
    <row r="9095" spans="2:8" x14ac:dyDescent="0.25">
      <c r="B9095" t="str">
        <f t="shared" ref="B9095:B9158" si="142">CONCATENATE(D9095,E9095)</f>
        <v>SWEPopulation ages 15-19, female</v>
      </c>
      <c r="C9095" t="s">
        <v>650</v>
      </c>
      <c r="D9095" t="s">
        <v>133</v>
      </c>
      <c r="E9095" t="s">
        <v>368</v>
      </c>
      <c r="F9095" t="s">
        <v>697</v>
      </c>
      <c r="G9095">
        <v>263000</v>
      </c>
      <c r="H9095">
        <v>270000</v>
      </c>
    </row>
    <row r="9096" spans="2:8" x14ac:dyDescent="0.25">
      <c r="B9096" t="str">
        <f t="shared" si="142"/>
        <v>SWEPopulation ages 15-19, male</v>
      </c>
      <c r="C9096" t="s">
        <v>650</v>
      </c>
      <c r="D9096" t="s">
        <v>133</v>
      </c>
      <c r="E9096" t="s">
        <v>369</v>
      </c>
      <c r="F9096" t="s">
        <v>698</v>
      </c>
      <c r="G9096">
        <v>277000</v>
      </c>
      <c r="H9096">
        <v>283000</v>
      </c>
    </row>
    <row r="9097" spans="2:8" x14ac:dyDescent="0.25">
      <c r="B9097" t="str">
        <f t="shared" si="142"/>
        <v>SWEPopulation ages 20-24, female</v>
      </c>
      <c r="C9097" t="s">
        <v>650</v>
      </c>
      <c r="D9097" t="s">
        <v>133</v>
      </c>
      <c r="E9097" t="s">
        <v>370</v>
      </c>
      <c r="F9097" t="s">
        <v>699</v>
      </c>
      <c r="G9097">
        <v>281000</v>
      </c>
      <c r="H9097">
        <v>269000</v>
      </c>
    </row>
    <row r="9098" spans="2:8" x14ac:dyDescent="0.25">
      <c r="B9098" t="str">
        <f t="shared" si="142"/>
        <v>SWEPopulation ages 20-24, male</v>
      </c>
      <c r="C9098" t="s">
        <v>650</v>
      </c>
      <c r="D9098" t="s">
        <v>133</v>
      </c>
      <c r="E9098" t="s">
        <v>371</v>
      </c>
      <c r="F9098" t="s">
        <v>700</v>
      </c>
      <c r="G9098">
        <v>298000</v>
      </c>
      <c r="H9098">
        <v>286000</v>
      </c>
    </row>
    <row r="9099" spans="2:8" x14ac:dyDescent="0.25">
      <c r="B9099" t="str">
        <f t="shared" si="142"/>
        <v>SWEPopulation ages 25-29, female</v>
      </c>
      <c r="C9099" t="s">
        <v>650</v>
      </c>
      <c r="D9099" t="s">
        <v>133</v>
      </c>
      <c r="E9099" t="s">
        <v>372</v>
      </c>
      <c r="F9099" t="s">
        <v>701</v>
      </c>
      <c r="G9099">
        <v>369000</v>
      </c>
      <c r="H9099">
        <v>367000</v>
      </c>
    </row>
    <row r="9100" spans="2:8" x14ac:dyDescent="0.25">
      <c r="B9100" t="str">
        <f t="shared" si="142"/>
        <v>SWEPopulation ages 25-29, male</v>
      </c>
      <c r="C9100" t="s">
        <v>650</v>
      </c>
      <c r="D9100" t="s">
        <v>133</v>
      </c>
      <c r="E9100" t="s">
        <v>373</v>
      </c>
      <c r="F9100" t="s">
        <v>702</v>
      </c>
      <c r="G9100">
        <v>385000</v>
      </c>
      <c r="H9100">
        <v>383000</v>
      </c>
    </row>
    <row r="9101" spans="2:8" x14ac:dyDescent="0.25">
      <c r="B9101" t="str">
        <f t="shared" si="142"/>
        <v>SWEPopulation ages 30-34, female</v>
      </c>
      <c r="C9101" t="s">
        <v>650</v>
      </c>
      <c r="D9101" t="s">
        <v>133</v>
      </c>
      <c r="E9101" t="s">
        <v>374</v>
      </c>
      <c r="F9101" t="s">
        <v>703</v>
      </c>
      <c r="G9101">
        <v>337000</v>
      </c>
      <c r="H9101">
        <v>347000</v>
      </c>
    </row>
    <row r="9102" spans="2:8" x14ac:dyDescent="0.25">
      <c r="B9102" t="str">
        <f t="shared" si="142"/>
        <v>SWEPopulation ages 30-34, male</v>
      </c>
      <c r="C9102" t="s">
        <v>650</v>
      </c>
      <c r="D9102" t="s">
        <v>133</v>
      </c>
      <c r="E9102" t="s">
        <v>375</v>
      </c>
      <c r="F9102" t="s">
        <v>704</v>
      </c>
      <c r="G9102">
        <v>351000</v>
      </c>
      <c r="H9102">
        <v>361000</v>
      </c>
    </row>
    <row r="9103" spans="2:8" x14ac:dyDescent="0.25">
      <c r="B9103" t="str">
        <f t="shared" si="142"/>
        <v>SWEPopulation ages 35-39, female</v>
      </c>
      <c r="C9103" t="s">
        <v>650</v>
      </c>
      <c r="D9103" t="s">
        <v>133</v>
      </c>
      <c r="E9103" t="s">
        <v>376</v>
      </c>
      <c r="F9103" t="s">
        <v>705</v>
      </c>
      <c r="G9103">
        <v>307000</v>
      </c>
      <c r="H9103">
        <v>313000</v>
      </c>
    </row>
    <row r="9104" spans="2:8" x14ac:dyDescent="0.25">
      <c r="B9104" t="str">
        <f t="shared" si="142"/>
        <v>SWEPopulation ages 35-39, male</v>
      </c>
      <c r="C9104" t="s">
        <v>650</v>
      </c>
      <c r="D9104" t="s">
        <v>133</v>
      </c>
      <c r="E9104" t="s">
        <v>377</v>
      </c>
      <c r="F9104" t="s">
        <v>706</v>
      </c>
      <c r="G9104">
        <v>322000</v>
      </c>
      <c r="H9104">
        <v>328000</v>
      </c>
    </row>
    <row r="9105" spans="2:8" x14ac:dyDescent="0.25">
      <c r="B9105" t="str">
        <f t="shared" si="142"/>
        <v>SWEPopulation ages 40-44, female</v>
      </c>
      <c r="C9105" t="s">
        <v>650</v>
      </c>
      <c r="D9105" t="s">
        <v>133</v>
      </c>
      <c r="E9105" t="s">
        <v>378</v>
      </c>
      <c r="F9105" t="s">
        <v>707</v>
      </c>
      <c r="G9105">
        <v>308000</v>
      </c>
      <c r="H9105">
        <v>305000</v>
      </c>
    </row>
    <row r="9106" spans="2:8" x14ac:dyDescent="0.25">
      <c r="B9106" t="str">
        <f t="shared" si="142"/>
        <v>SWEPopulation ages 40-44, male</v>
      </c>
      <c r="C9106" t="s">
        <v>650</v>
      </c>
      <c r="D9106" t="s">
        <v>133</v>
      </c>
      <c r="E9106" t="s">
        <v>379</v>
      </c>
      <c r="F9106" t="s">
        <v>708</v>
      </c>
      <c r="G9106">
        <v>319000</v>
      </c>
      <c r="H9106">
        <v>317000</v>
      </c>
    </row>
    <row r="9107" spans="2:8" x14ac:dyDescent="0.25">
      <c r="B9107" t="str">
        <f t="shared" si="142"/>
        <v>SWEPopulation ages 45-49, female</v>
      </c>
      <c r="C9107" t="s">
        <v>650</v>
      </c>
      <c r="D9107" t="s">
        <v>133</v>
      </c>
      <c r="E9107" t="s">
        <v>380</v>
      </c>
      <c r="F9107" t="s">
        <v>709</v>
      </c>
      <c r="G9107">
        <v>334000</v>
      </c>
      <c r="H9107">
        <v>330000</v>
      </c>
    </row>
    <row r="9108" spans="2:8" x14ac:dyDescent="0.25">
      <c r="B9108" t="str">
        <f t="shared" si="142"/>
        <v>SWEPopulation ages 45-49, male</v>
      </c>
      <c r="C9108" t="s">
        <v>650</v>
      </c>
      <c r="D9108" t="s">
        <v>133</v>
      </c>
      <c r="E9108" t="s">
        <v>381</v>
      </c>
      <c r="F9108" t="s">
        <v>710</v>
      </c>
      <c r="G9108">
        <v>344000</v>
      </c>
      <c r="H9108">
        <v>339000</v>
      </c>
    </row>
    <row r="9109" spans="2:8" x14ac:dyDescent="0.25">
      <c r="B9109" t="str">
        <f t="shared" si="142"/>
        <v>SWEPopulation ages 50-54, female</v>
      </c>
      <c r="C9109" t="s">
        <v>650</v>
      </c>
      <c r="D9109" t="s">
        <v>133</v>
      </c>
      <c r="E9109" t="s">
        <v>382</v>
      </c>
      <c r="F9109" t="s">
        <v>711</v>
      </c>
      <c r="G9109">
        <v>339000</v>
      </c>
      <c r="H9109">
        <v>342000</v>
      </c>
    </row>
    <row r="9110" spans="2:8" x14ac:dyDescent="0.25">
      <c r="B9110" t="str">
        <f t="shared" si="142"/>
        <v>SWEPopulation ages 50-54, male</v>
      </c>
      <c r="C9110" t="s">
        <v>650</v>
      </c>
      <c r="D9110" t="s">
        <v>133</v>
      </c>
      <c r="E9110" t="s">
        <v>383</v>
      </c>
      <c r="F9110" t="s">
        <v>712</v>
      </c>
      <c r="G9110">
        <v>349000</v>
      </c>
      <c r="H9110">
        <v>352000</v>
      </c>
    </row>
    <row r="9111" spans="2:8" x14ac:dyDescent="0.25">
      <c r="B9111" t="str">
        <f t="shared" si="142"/>
        <v>SWEPopulation ages 55-59, male</v>
      </c>
      <c r="C9111" t="s">
        <v>650</v>
      </c>
      <c r="D9111" t="s">
        <v>133</v>
      </c>
      <c r="E9111" t="s">
        <v>385</v>
      </c>
      <c r="F9111" t="s">
        <v>713</v>
      </c>
      <c r="G9111">
        <v>314000</v>
      </c>
      <c r="H9111">
        <v>319000</v>
      </c>
    </row>
    <row r="9112" spans="2:8" x14ac:dyDescent="0.25">
      <c r="B9112" t="str">
        <f t="shared" si="142"/>
        <v>SWEPopulation ages 55-59, female</v>
      </c>
      <c r="C9112" t="s">
        <v>650</v>
      </c>
      <c r="D9112" t="s">
        <v>133</v>
      </c>
      <c r="E9112" t="s">
        <v>384</v>
      </c>
      <c r="F9112" t="s">
        <v>714</v>
      </c>
      <c r="G9112">
        <v>306000</v>
      </c>
      <c r="H9112">
        <v>311000</v>
      </c>
    </row>
    <row r="9113" spans="2:8" x14ac:dyDescent="0.25">
      <c r="B9113" t="str">
        <f t="shared" si="142"/>
        <v>SWEPopulation ages 65-69, male</v>
      </c>
      <c r="C9113" t="s">
        <v>650</v>
      </c>
      <c r="D9113" t="s">
        <v>133</v>
      </c>
      <c r="E9113" t="s">
        <v>389</v>
      </c>
      <c r="F9113" t="s">
        <v>715</v>
      </c>
      <c r="G9113">
        <v>271000</v>
      </c>
      <c r="H9113">
        <v>266000</v>
      </c>
    </row>
    <row r="9114" spans="2:8" x14ac:dyDescent="0.25">
      <c r="B9114" t="str">
        <f t="shared" si="142"/>
        <v>SWEPopulation ages 65-69, female</v>
      </c>
      <c r="C9114" t="s">
        <v>650</v>
      </c>
      <c r="D9114" t="s">
        <v>133</v>
      </c>
      <c r="E9114" t="s">
        <v>388</v>
      </c>
      <c r="F9114" t="s">
        <v>716</v>
      </c>
      <c r="G9114">
        <v>278000</v>
      </c>
      <c r="H9114">
        <v>272000</v>
      </c>
    </row>
    <row r="9115" spans="2:8" x14ac:dyDescent="0.25">
      <c r="B9115" t="str">
        <f t="shared" si="142"/>
        <v>SWEPopulation ages 60-64, female</v>
      </c>
      <c r="C9115" t="s">
        <v>650</v>
      </c>
      <c r="D9115" t="s">
        <v>133</v>
      </c>
      <c r="E9115" t="s">
        <v>386</v>
      </c>
      <c r="F9115" t="s">
        <v>717</v>
      </c>
      <c r="G9115">
        <v>286000</v>
      </c>
      <c r="H9115">
        <v>290000</v>
      </c>
    </row>
    <row r="9116" spans="2:8" x14ac:dyDescent="0.25">
      <c r="B9116" t="str">
        <f t="shared" si="142"/>
        <v>SWEPopulation ages 60-64, male</v>
      </c>
      <c r="C9116" t="s">
        <v>650</v>
      </c>
      <c r="D9116" t="s">
        <v>133</v>
      </c>
      <c r="E9116" t="s">
        <v>387</v>
      </c>
      <c r="F9116" t="s">
        <v>718</v>
      </c>
      <c r="G9116">
        <v>286000</v>
      </c>
      <c r="H9116">
        <v>290000</v>
      </c>
    </row>
    <row r="9117" spans="2:8" x14ac:dyDescent="0.25">
      <c r="B9117" t="str">
        <f t="shared" si="142"/>
        <v>SWEPopulation ages 70-74, female</v>
      </c>
      <c r="C9117" t="s">
        <v>650</v>
      </c>
      <c r="D9117" t="s">
        <v>133</v>
      </c>
      <c r="E9117" t="s">
        <v>390</v>
      </c>
      <c r="F9117" t="s">
        <v>719</v>
      </c>
      <c r="G9117">
        <v>293000</v>
      </c>
      <c r="H9117">
        <v>296000</v>
      </c>
    </row>
    <row r="9118" spans="2:8" x14ac:dyDescent="0.25">
      <c r="B9118" t="str">
        <f t="shared" si="142"/>
        <v>SWEPopulation ages 70-74, male</v>
      </c>
      <c r="C9118" t="s">
        <v>650</v>
      </c>
      <c r="D9118" t="s">
        <v>133</v>
      </c>
      <c r="E9118" t="s">
        <v>391</v>
      </c>
      <c r="F9118" t="s">
        <v>720</v>
      </c>
      <c r="G9118">
        <v>279000</v>
      </c>
      <c r="H9118">
        <v>281000</v>
      </c>
    </row>
    <row r="9119" spans="2:8" x14ac:dyDescent="0.25">
      <c r="B9119" t="str">
        <f t="shared" si="142"/>
        <v>SWEPopulation ages 75-79, female</v>
      </c>
      <c r="C9119" t="s">
        <v>650</v>
      </c>
      <c r="D9119" t="s">
        <v>133</v>
      </c>
      <c r="E9119" t="s">
        <v>392</v>
      </c>
      <c r="F9119" t="s">
        <v>721</v>
      </c>
      <c r="G9119">
        <v>217000</v>
      </c>
      <c r="H9119">
        <v>229000</v>
      </c>
    </row>
    <row r="9120" spans="2:8" x14ac:dyDescent="0.25">
      <c r="B9120" t="str">
        <f t="shared" si="142"/>
        <v>SWEPopulation ages 75-79, male</v>
      </c>
      <c r="C9120" t="s">
        <v>650</v>
      </c>
      <c r="D9120" t="s">
        <v>133</v>
      </c>
      <c r="E9120" t="s">
        <v>393</v>
      </c>
      <c r="F9120" t="s">
        <v>722</v>
      </c>
      <c r="G9120">
        <v>199000</v>
      </c>
      <c r="H9120">
        <v>211000</v>
      </c>
    </row>
    <row r="9121" spans="2:8" x14ac:dyDescent="0.25">
      <c r="B9121" t="str">
        <f t="shared" si="142"/>
        <v>SWEPopulation ages 80 and above, female</v>
      </c>
      <c r="C9121" t="s">
        <v>650</v>
      </c>
      <c r="D9121" t="s">
        <v>133</v>
      </c>
      <c r="E9121" t="s">
        <v>394</v>
      </c>
      <c r="F9121" t="s">
        <v>723</v>
      </c>
      <c r="G9121">
        <v>321000</v>
      </c>
      <c r="H9121">
        <v>325000</v>
      </c>
    </row>
    <row r="9122" spans="2:8" x14ac:dyDescent="0.25">
      <c r="B9122" t="str">
        <f t="shared" si="142"/>
        <v>SWEPopulation ages 80 and above, male</v>
      </c>
      <c r="C9122" t="s">
        <v>650</v>
      </c>
      <c r="D9122" t="s">
        <v>133</v>
      </c>
      <c r="E9122" t="s">
        <v>395</v>
      </c>
      <c r="F9122" t="s">
        <v>724</v>
      </c>
      <c r="G9122">
        <v>213000</v>
      </c>
      <c r="H9122">
        <v>219000</v>
      </c>
    </row>
    <row r="9123" spans="2:8" x14ac:dyDescent="0.25">
      <c r="B9123" t="str">
        <f t="shared" si="142"/>
        <v>SWEPopulation, male</v>
      </c>
      <c r="C9123" t="s">
        <v>650</v>
      </c>
      <c r="D9123" t="s">
        <v>133</v>
      </c>
      <c r="E9123" t="s">
        <v>397</v>
      </c>
      <c r="F9123" t="s">
        <v>725</v>
      </c>
      <c r="G9123">
        <v>5133000</v>
      </c>
      <c r="H9123">
        <v>5169000</v>
      </c>
    </row>
    <row r="9124" spans="2:8" x14ac:dyDescent="0.25">
      <c r="B9124" t="str">
        <f t="shared" si="142"/>
        <v>SWEPopulation, total</v>
      </c>
      <c r="C9124" t="s">
        <v>650</v>
      </c>
      <c r="D9124" t="s">
        <v>133</v>
      </c>
      <c r="E9124" t="s">
        <v>398</v>
      </c>
      <c r="F9124" t="s">
        <v>726</v>
      </c>
      <c r="G9124">
        <v>10251000</v>
      </c>
      <c r="H9124">
        <v>10319000</v>
      </c>
    </row>
    <row r="9125" spans="2:8" x14ac:dyDescent="0.25">
      <c r="B9125" t="str">
        <f t="shared" si="142"/>
        <v>SWEPopulation, female</v>
      </c>
      <c r="C9125" t="s">
        <v>650</v>
      </c>
      <c r="D9125" t="s">
        <v>133</v>
      </c>
      <c r="E9125" t="s">
        <v>396</v>
      </c>
      <c r="F9125" t="s">
        <v>727</v>
      </c>
      <c r="G9125">
        <v>5118000</v>
      </c>
      <c r="H9125">
        <v>5150000</v>
      </c>
    </row>
    <row r="9126" spans="2:8" x14ac:dyDescent="0.25">
      <c r="B9126" t="str">
        <f t="shared" si="142"/>
        <v>SWEPopulation growth (annual %)</v>
      </c>
      <c r="C9126" t="s">
        <v>650</v>
      </c>
      <c r="D9126" t="s">
        <v>133</v>
      </c>
      <c r="E9126" t="s">
        <v>399</v>
      </c>
      <c r="F9126" t="s">
        <v>728</v>
      </c>
      <c r="G9126">
        <v>0</v>
      </c>
      <c r="H9126">
        <v>0</v>
      </c>
    </row>
    <row r="9127" spans="2:8" x14ac:dyDescent="0.25">
      <c r="B9127" t="str">
        <f t="shared" si="142"/>
        <v>CHEPopulation ages 0-14, female</v>
      </c>
      <c r="C9127" t="s">
        <v>651</v>
      </c>
      <c r="D9127" t="s">
        <v>23</v>
      </c>
      <c r="E9127" t="s">
        <v>687</v>
      </c>
      <c r="F9127" t="s">
        <v>688</v>
      </c>
      <c r="G9127">
        <v>625000</v>
      </c>
      <c r="H9127">
        <v>630000</v>
      </c>
    </row>
    <row r="9128" spans="2:8" x14ac:dyDescent="0.25">
      <c r="B9128" t="str">
        <f t="shared" si="142"/>
        <v>CHEPopulation ages 0-14, male</v>
      </c>
      <c r="C9128" t="s">
        <v>651</v>
      </c>
      <c r="D9128" t="s">
        <v>23</v>
      </c>
      <c r="E9128" t="s">
        <v>689</v>
      </c>
      <c r="F9128" t="s">
        <v>690</v>
      </c>
      <c r="G9128">
        <v>657000</v>
      </c>
      <c r="H9128">
        <v>663000</v>
      </c>
    </row>
    <row r="9129" spans="2:8" x14ac:dyDescent="0.25">
      <c r="B9129" t="str">
        <f t="shared" si="142"/>
        <v>CHEPopulation ages 00-04, female</v>
      </c>
      <c r="C9129" t="s">
        <v>651</v>
      </c>
      <c r="D9129" t="s">
        <v>23</v>
      </c>
      <c r="E9129" t="s">
        <v>362</v>
      </c>
      <c r="F9129" t="s">
        <v>691</v>
      </c>
      <c r="G9129">
        <v>219000</v>
      </c>
      <c r="H9129">
        <v>220000</v>
      </c>
    </row>
    <row r="9130" spans="2:8" x14ac:dyDescent="0.25">
      <c r="B9130" t="str">
        <f t="shared" si="142"/>
        <v>CHEPopulation ages 00-04, male</v>
      </c>
      <c r="C9130" t="s">
        <v>651</v>
      </c>
      <c r="D9130" t="s">
        <v>23</v>
      </c>
      <c r="E9130" t="s">
        <v>363</v>
      </c>
      <c r="F9130" t="s">
        <v>692</v>
      </c>
      <c r="G9130">
        <v>230000</v>
      </c>
      <c r="H9130">
        <v>231000</v>
      </c>
    </row>
    <row r="9131" spans="2:8" x14ac:dyDescent="0.25">
      <c r="B9131" t="str">
        <f t="shared" si="142"/>
        <v>CHEPopulation ages 05-09, female</v>
      </c>
      <c r="C9131" t="s">
        <v>651</v>
      </c>
      <c r="D9131" t="s">
        <v>23</v>
      </c>
      <c r="E9131" t="s">
        <v>364</v>
      </c>
      <c r="F9131" t="s">
        <v>693</v>
      </c>
      <c r="G9131">
        <v>207000</v>
      </c>
      <c r="H9131">
        <v>210000</v>
      </c>
    </row>
    <row r="9132" spans="2:8" x14ac:dyDescent="0.25">
      <c r="B9132" t="str">
        <f t="shared" si="142"/>
        <v>CHEPopulation ages 05-09, male</v>
      </c>
      <c r="C9132" t="s">
        <v>651</v>
      </c>
      <c r="D9132" t="s">
        <v>23</v>
      </c>
      <c r="E9132" t="s">
        <v>365</v>
      </c>
      <c r="F9132" t="s">
        <v>694</v>
      </c>
      <c r="G9132">
        <v>219000</v>
      </c>
      <c r="H9132">
        <v>222000</v>
      </c>
    </row>
    <row r="9133" spans="2:8" x14ac:dyDescent="0.25">
      <c r="B9133" t="str">
        <f t="shared" si="142"/>
        <v>CHEPopulation ages 10-14, female</v>
      </c>
      <c r="C9133" t="s">
        <v>651</v>
      </c>
      <c r="D9133" t="s">
        <v>23</v>
      </c>
      <c r="E9133" t="s">
        <v>366</v>
      </c>
      <c r="F9133" t="s">
        <v>695</v>
      </c>
      <c r="G9133">
        <v>199000</v>
      </c>
      <c r="H9133">
        <v>199000</v>
      </c>
    </row>
    <row r="9134" spans="2:8" x14ac:dyDescent="0.25">
      <c r="B9134" t="str">
        <f t="shared" si="142"/>
        <v>CHEPopulation ages 10-14, male</v>
      </c>
      <c r="C9134" t="s">
        <v>651</v>
      </c>
      <c r="D9134" t="s">
        <v>23</v>
      </c>
      <c r="E9134" t="s">
        <v>367</v>
      </c>
      <c r="F9134" t="s">
        <v>696</v>
      </c>
      <c r="G9134">
        <v>209000</v>
      </c>
      <c r="H9134">
        <v>210000</v>
      </c>
    </row>
    <row r="9135" spans="2:8" x14ac:dyDescent="0.25">
      <c r="B9135" t="str">
        <f t="shared" si="142"/>
        <v>CHEPopulation ages 15-19, female</v>
      </c>
      <c r="C9135" t="s">
        <v>651</v>
      </c>
      <c r="D9135" t="s">
        <v>23</v>
      </c>
      <c r="E9135" t="s">
        <v>368</v>
      </c>
      <c r="F9135" t="s">
        <v>697</v>
      </c>
      <c r="G9135">
        <v>209000</v>
      </c>
      <c r="H9135">
        <v>208000</v>
      </c>
    </row>
    <row r="9136" spans="2:8" x14ac:dyDescent="0.25">
      <c r="B9136" t="str">
        <f t="shared" si="142"/>
        <v>CHEPopulation ages 15-19, male</v>
      </c>
      <c r="C9136" t="s">
        <v>651</v>
      </c>
      <c r="D9136" t="s">
        <v>23</v>
      </c>
      <c r="E9136" t="s">
        <v>369</v>
      </c>
      <c r="F9136" t="s">
        <v>698</v>
      </c>
      <c r="G9136">
        <v>218000</v>
      </c>
      <c r="H9136">
        <v>216000</v>
      </c>
    </row>
    <row r="9137" spans="2:8" x14ac:dyDescent="0.25">
      <c r="B9137" t="str">
        <f t="shared" si="142"/>
        <v>CHEPopulation ages 20-24, female</v>
      </c>
      <c r="C9137" t="s">
        <v>651</v>
      </c>
      <c r="D9137" t="s">
        <v>23</v>
      </c>
      <c r="E9137" t="s">
        <v>370</v>
      </c>
      <c r="F9137" t="s">
        <v>699</v>
      </c>
      <c r="G9137">
        <v>240000</v>
      </c>
      <c r="H9137">
        <v>238000</v>
      </c>
    </row>
    <row r="9138" spans="2:8" x14ac:dyDescent="0.25">
      <c r="B9138" t="str">
        <f t="shared" si="142"/>
        <v>CHEPopulation ages 20-24, male</v>
      </c>
      <c r="C9138" t="s">
        <v>651</v>
      </c>
      <c r="D9138" t="s">
        <v>23</v>
      </c>
      <c r="E9138" t="s">
        <v>371</v>
      </c>
      <c r="F9138" t="s">
        <v>700</v>
      </c>
      <c r="G9138">
        <v>249000</v>
      </c>
      <c r="H9138">
        <v>246000</v>
      </c>
    </row>
    <row r="9139" spans="2:8" x14ac:dyDescent="0.25">
      <c r="B9139" t="str">
        <f t="shared" si="142"/>
        <v>CHEPopulation ages 25-29, female</v>
      </c>
      <c r="C9139" t="s">
        <v>651</v>
      </c>
      <c r="D9139" t="s">
        <v>23</v>
      </c>
      <c r="E9139" t="s">
        <v>372</v>
      </c>
      <c r="F9139" t="s">
        <v>701</v>
      </c>
      <c r="G9139">
        <v>275000</v>
      </c>
      <c r="H9139">
        <v>274000</v>
      </c>
    </row>
    <row r="9140" spans="2:8" x14ac:dyDescent="0.25">
      <c r="B9140" t="str">
        <f t="shared" si="142"/>
        <v>CHEPopulation ages 25-29, male</v>
      </c>
      <c r="C9140" t="s">
        <v>651</v>
      </c>
      <c r="D9140" t="s">
        <v>23</v>
      </c>
      <c r="E9140" t="s">
        <v>373</v>
      </c>
      <c r="F9140" t="s">
        <v>702</v>
      </c>
      <c r="G9140">
        <v>282000</v>
      </c>
      <c r="H9140">
        <v>281000</v>
      </c>
    </row>
    <row r="9141" spans="2:8" x14ac:dyDescent="0.25">
      <c r="B9141" t="str">
        <f t="shared" si="142"/>
        <v>CHEPopulation ages 30-34, female</v>
      </c>
      <c r="C9141" t="s">
        <v>651</v>
      </c>
      <c r="D9141" t="s">
        <v>23</v>
      </c>
      <c r="E9141" t="s">
        <v>374</v>
      </c>
      <c r="F9141" t="s">
        <v>703</v>
      </c>
      <c r="G9141">
        <v>297000</v>
      </c>
      <c r="H9141">
        <v>296000</v>
      </c>
    </row>
    <row r="9142" spans="2:8" x14ac:dyDescent="0.25">
      <c r="B9142" t="str">
        <f t="shared" si="142"/>
        <v>CHEPopulation ages 30-34, male</v>
      </c>
      <c r="C9142" t="s">
        <v>651</v>
      </c>
      <c r="D9142" t="s">
        <v>23</v>
      </c>
      <c r="E9142" t="s">
        <v>375</v>
      </c>
      <c r="F9142" t="s">
        <v>704</v>
      </c>
      <c r="G9142">
        <v>302000</v>
      </c>
      <c r="H9142">
        <v>301000</v>
      </c>
    </row>
    <row r="9143" spans="2:8" x14ac:dyDescent="0.25">
      <c r="B9143" t="str">
        <f t="shared" si="142"/>
        <v>CHEPopulation ages 35-39, female</v>
      </c>
      <c r="C9143" t="s">
        <v>651</v>
      </c>
      <c r="D9143" t="s">
        <v>23</v>
      </c>
      <c r="E9143" t="s">
        <v>376</v>
      </c>
      <c r="F9143" t="s">
        <v>705</v>
      </c>
      <c r="G9143">
        <v>304000</v>
      </c>
      <c r="H9143">
        <v>309000</v>
      </c>
    </row>
    <row r="9144" spans="2:8" x14ac:dyDescent="0.25">
      <c r="B9144" t="str">
        <f t="shared" si="142"/>
        <v>CHEPopulation ages 35-39, male</v>
      </c>
      <c r="C9144" t="s">
        <v>651</v>
      </c>
      <c r="D9144" t="s">
        <v>23</v>
      </c>
      <c r="E9144" t="s">
        <v>377</v>
      </c>
      <c r="F9144" t="s">
        <v>706</v>
      </c>
      <c r="G9144">
        <v>307000</v>
      </c>
      <c r="H9144">
        <v>312000</v>
      </c>
    </row>
    <row r="9145" spans="2:8" x14ac:dyDescent="0.25">
      <c r="B9145" t="str">
        <f t="shared" si="142"/>
        <v>CHEPopulation ages 40-44, female</v>
      </c>
      <c r="C9145" t="s">
        <v>651</v>
      </c>
      <c r="D9145" t="s">
        <v>23</v>
      </c>
      <c r="E9145" t="s">
        <v>378</v>
      </c>
      <c r="F9145" t="s">
        <v>707</v>
      </c>
      <c r="G9145">
        <v>281000</v>
      </c>
      <c r="H9145">
        <v>283000</v>
      </c>
    </row>
    <row r="9146" spans="2:8" x14ac:dyDescent="0.25">
      <c r="B9146" t="str">
        <f t="shared" si="142"/>
        <v>CHEPopulation ages 40-44, male</v>
      </c>
      <c r="C9146" t="s">
        <v>651</v>
      </c>
      <c r="D9146" t="s">
        <v>23</v>
      </c>
      <c r="E9146" t="s">
        <v>379</v>
      </c>
      <c r="F9146" t="s">
        <v>708</v>
      </c>
      <c r="G9146">
        <v>285000</v>
      </c>
      <c r="H9146">
        <v>287000</v>
      </c>
    </row>
    <row r="9147" spans="2:8" x14ac:dyDescent="0.25">
      <c r="B9147" t="str">
        <f t="shared" si="142"/>
        <v>CHEPopulation ages 45-49, female</v>
      </c>
      <c r="C9147" t="s">
        <v>651</v>
      </c>
      <c r="D9147" t="s">
        <v>23</v>
      </c>
      <c r="E9147" t="s">
        <v>380</v>
      </c>
      <c r="F9147" t="s">
        <v>709</v>
      </c>
      <c r="G9147">
        <v>303000</v>
      </c>
      <c r="H9147">
        <v>296000</v>
      </c>
    </row>
    <row r="9148" spans="2:8" x14ac:dyDescent="0.25">
      <c r="B9148" t="str">
        <f t="shared" si="142"/>
        <v>CHEPopulation ages 45-49, male</v>
      </c>
      <c r="C9148" t="s">
        <v>651</v>
      </c>
      <c r="D9148" t="s">
        <v>23</v>
      </c>
      <c r="E9148" t="s">
        <v>381</v>
      </c>
      <c r="F9148" t="s">
        <v>710</v>
      </c>
      <c r="G9148">
        <v>307000</v>
      </c>
      <c r="H9148">
        <v>299000</v>
      </c>
    </row>
    <row r="9149" spans="2:8" x14ac:dyDescent="0.25">
      <c r="B9149" t="str">
        <f t="shared" si="142"/>
        <v>CHEPopulation ages 50-54, female</v>
      </c>
      <c r="C9149" t="s">
        <v>651</v>
      </c>
      <c r="D9149" t="s">
        <v>23</v>
      </c>
      <c r="E9149" t="s">
        <v>382</v>
      </c>
      <c r="F9149" t="s">
        <v>711</v>
      </c>
      <c r="G9149">
        <v>337000</v>
      </c>
      <c r="H9149">
        <v>334000</v>
      </c>
    </row>
    <row r="9150" spans="2:8" x14ac:dyDescent="0.25">
      <c r="B9150" t="str">
        <f t="shared" si="142"/>
        <v>CHEPopulation ages 50-54, male</v>
      </c>
      <c r="C9150" t="s">
        <v>651</v>
      </c>
      <c r="D9150" t="s">
        <v>23</v>
      </c>
      <c r="E9150" t="s">
        <v>383</v>
      </c>
      <c r="F9150" t="s">
        <v>712</v>
      </c>
      <c r="G9150">
        <v>344000</v>
      </c>
      <c r="H9150">
        <v>341000</v>
      </c>
    </row>
    <row r="9151" spans="2:8" x14ac:dyDescent="0.25">
      <c r="B9151" t="str">
        <f t="shared" si="142"/>
        <v>CHEPopulation ages 55-59, male</v>
      </c>
      <c r="C9151" t="s">
        <v>651</v>
      </c>
      <c r="D9151" t="s">
        <v>23</v>
      </c>
      <c r="E9151" t="s">
        <v>385</v>
      </c>
      <c r="F9151" t="s">
        <v>713</v>
      </c>
      <c r="G9151">
        <v>316000</v>
      </c>
      <c r="H9151">
        <v>324000</v>
      </c>
    </row>
    <row r="9152" spans="2:8" x14ac:dyDescent="0.25">
      <c r="B9152" t="str">
        <f t="shared" si="142"/>
        <v>CHEPopulation ages 55-59, female</v>
      </c>
      <c r="C9152" t="s">
        <v>651</v>
      </c>
      <c r="D9152" t="s">
        <v>23</v>
      </c>
      <c r="E9152" t="s">
        <v>384</v>
      </c>
      <c r="F9152" t="s">
        <v>714</v>
      </c>
      <c r="G9152">
        <v>311000</v>
      </c>
      <c r="H9152">
        <v>319000</v>
      </c>
    </row>
    <row r="9153" spans="2:8" x14ac:dyDescent="0.25">
      <c r="B9153" t="str">
        <f t="shared" si="142"/>
        <v>CHEPopulation ages 65-69, male</v>
      </c>
      <c r="C9153" t="s">
        <v>651</v>
      </c>
      <c r="D9153" t="s">
        <v>23</v>
      </c>
      <c r="E9153" t="s">
        <v>389</v>
      </c>
      <c r="F9153" t="s">
        <v>715</v>
      </c>
      <c r="G9153">
        <v>213000</v>
      </c>
      <c r="H9153">
        <v>215000</v>
      </c>
    </row>
    <row r="9154" spans="2:8" x14ac:dyDescent="0.25">
      <c r="B9154" t="str">
        <f t="shared" si="142"/>
        <v>CHEPopulation ages 65-69, female</v>
      </c>
      <c r="C9154" t="s">
        <v>651</v>
      </c>
      <c r="D9154" t="s">
        <v>23</v>
      </c>
      <c r="E9154" t="s">
        <v>388</v>
      </c>
      <c r="F9154" t="s">
        <v>716</v>
      </c>
      <c r="G9154">
        <v>224000</v>
      </c>
      <c r="H9154">
        <v>226000</v>
      </c>
    </row>
    <row r="9155" spans="2:8" x14ac:dyDescent="0.25">
      <c r="B9155" t="str">
        <f t="shared" si="142"/>
        <v>CHEPopulation ages 60-64, female</v>
      </c>
      <c r="C9155" t="s">
        <v>651</v>
      </c>
      <c r="D9155" t="s">
        <v>23</v>
      </c>
      <c r="E9155" t="s">
        <v>386</v>
      </c>
      <c r="F9155" t="s">
        <v>717</v>
      </c>
      <c r="G9155">
        <v>256000</v>
      </c>
      <c r="H9155">
        <v>265000</v>
      </c>
    </row>
    <row r="9156" spans="2:8" x14ac:dyDescent="0.25">
      <c r="B9156" t="str">
        <f t="shared" si="142"/>
        <v>CHEPopulation ages 60-64, male</v>
      </c>
      <c r="C9156" t="s">
        <v>651</v>
      </c>
      <c r="D9156" t="s">
        <v>23</v>
      </c>
      <c r="E9156" t="s">
        <v>387</v>
      </c>
      <c r="F9156" t="s">
        <v>718</v>
      </c>
      <c r="G9156">
        <v>259000</v>
      </c>
      <c r="H9156">
        <v>270000</v>
      </c>
    </row>
    <row r="9157" spans="2:8" x14ac:dyDescent="0.25">
      <c r="B9157" t="str">
        <f t="shared" si="142"/>
        <v>CHEPopulation ages 70-74, female</v>
      </c>
      <c r="C9157" t="s">
        <v>651</v>
      </c>
      <c r="D9157" t="s">
        <v>23</v>
      </c>
      <c r="E9157" t="s">
        <v>390</v>
      </c>
      <c r="F9157" t="s">
        <v>719</v>
      </c>
      <c r="G9157">
        <v>216000</v>
      </c>
      <c r="H9157">
        <v>219000</v>
      </c>
    </row>
    <row r="9158" spans="2:8" x14ac:dyDescent="0.25">
      <c r="B9158" t="str">
        <f t="shared" si="142"/>
        <v>CHEPopulation ages 70-74, male</v>
      </c>
      <c r="C9158" t="s">
        <v>651</v>
      </c>
      <c r="D9158" t="s">
        <v>23</v>
      </c>
      <c r="E9158" t="s">
        <v>391</v>
      </c>
      <c r="F9158" t="s">
        <v>720</v>
      </c>
      <c r="G9158">
        <v>198000</v>
      </c>
      <c r="H9158">
        <v>202000</v>
      </c>
    </row>
    <row r="9159" spans="2:8" x14ac:dyDescent="0.25">
      <c r="B9159" t="str">
        <f t="shared" ref="B9159:B9222" si="143">CONCATENATE(D9159,E9159)</f>
        <v>CHEPopulation ages 75-79, female</v>
      </c>
      <c r="C9159" t="s">
        <v>651</v>
      </c>
      <c r="D9159" t="s">
        <v>23</v>
      </c>
      <c r="E9159" t="s">
        <v>392</v>
      </c>
      <c r="F9159" t="s">
        <v>721</v>
      </c>
      <c r="G9159">
        <v>172000</v>
      </c>
      <c r="H9159">
        <v>178000</v>
      </c>
    </row>
    <row r="9160" spans="2:8" x14ac:dyDescent="0.25">
      <c r="B9160" t="str">
        <f t="shared" si="143"/>
        <v>CHEPopulation ages 75-79, male</v>
      </c>
      <c r="C9160" t="s">
        <v>651</v>
      </c>
      <c r="D9160" t="s">
        <v>23</v>
      </c>
      <c r="E9160" t="s">
        <v>393</v>
      </c>
      <c r="F9160" t="s">
        <v>722</v>
      </c>
      <c r="G9160">
        <v>145000</v>
      </c>
      <c r="H9160">
        <v>152000</v>
      </c>
    </row>
    <row r="9161" spans="2:8" x14ac:dyDescent="0.25">
      <c r="B9161" t="str">
        <f t="shared" si="143"/>
        <v>CHEPopulation ages 80 and above, female</v>
      </c>
      <c r="C9161" t="s">
        <v>651</v>
      </c>
      <c r="D9161" t="s">
        <v>23</v>
      </c>
      <c r="E9161" t="s">
        <v>394</v>
      </c>
      <c r="F9161" t="s">
        <v>723</v>
      </c>
      <c r="G9161">
        <v>275000</v>
      </c>
      <c r="H9161">
        <v>280000</v>
      </c>
    </row>
    <row r="9162" spans="2:8" x14ac:dyDescent="0.25">
      <c r="B9162" t="str">
        <f t="shared" si="143"/>
        <v>CHEPopulation ages 80 and above, male</v>
      </c>
      <c r="C9162" t="s">
        <v>651</v>
      </c>
      <c r="D9162" t="s">
        <v>23</v>
      </c>
      <c r="E9162" t="s">
        <v>395</v>
      </c>
      <c r="F9162" t="s">
        <v>724</v>
      </c>
      <c r="G9162">
        <v>173000</v>
      </c>
      <c r="H9162">
        <v>179000</v>
      </c>
    </row>
    <row r="9163" spans="2:8" x14ac:dyDescent="0.25">
      <c r="B9163" t="str">
        <f t="shared" si="143"/>
        <v>CHEPopulation, male</v>
      </c>
      <c r="C9163" t="s">
        <v>651</v>
      </c>
      <c r="D9163" t="s">
        <v>23</v>
      </c>
      <c r="E9163" t="s">
        <v>397</v>
      </c>
      <c r="F9163" t="s">
        <v>725</v>
      </c>
      <c r="G9163">
        <v>4255000</v>
      </c>
      <c r="H9163">
        <v>4287000</v>
      </c>
    </row>
    <row r="9164" spans="2:8" x14ac:dyDescent="0.25">
      <c r="B9164" t="str">
        <f t="shared" si="143"/>
        <v>CHEPopulation, total</v>
      </c>
      <c r="C9164" t="s">
        <v>651</v>
      </c>
      <c r="D9164" t="s">
        <v>23</v>
      </c>
      <c r="E9164" t="s">
        <v>398</v>
      </c>
      <c r="F9164" t="s">
        <v>726</v>
      </c>
      <c r="G9164">
        <v>8580000</v>
      </c>
      <c r="H9164">
        <v>8641000</v>
      </c>
    </row>
    <row r="9165" spans="2:8" x14ac:dyDescent="0.25">
      <c r="B9165" t="str">
        <f t="shared" si="143"/>
        <v>CHEPopulation, female</v>
      </c>
      <c r="C9165" t="s">
        <v>651</v>
      </c>
      <c r="D9165" t="s">
        <v>23</v>
      </c>
      <c r="E9165" t="s">
        <v>396</v>
      </c>
      <c r="F9165" t="s">
        <v>727</v>
      </c>
      <c r="G9165">
        <v>4325000</v>
      </c>
      <c r="H9165">
        <v>4354000</v>
      </c>
    </row>
    <row r="9166" spans="2:8" x14ac:dyDescent="0.25">
      <c r="B9166" t="str">
        <f t="shared" si="143"/>
        <v>CHEPopulation growth (annual %)</v>
      </c>
      <c r="C9166" t="s">
        <v>651</v>
      </c>
      <c r="D9166" t="s">
        <v>23</v>
      </c>
      <c r="E9166" t="s">
        <v>399</v>
      </c>
      <c r="F9166" t="s">
        <v>728</v>
      </c>
      <c r="G9166">
        <v>0</v>
      </c>
      <c r="H9166">
        <v>0</v>
      </c>
    </row>
    <row r="9167" spans="2:8" x14ac:dyDescent="0.25">
      <c r="B9167" t="str">
        <f t="shared" si="143"/>
        <v>SYRPopulation ages 0-14, female</v>
      </c>
      <c r="C9167" t="s">
        <v>652</v>
      </c>
      <c r="D9167" t="s">
        <v>136</v>
      </c>
      <c r="E9167" t="s">
        <v>687</v>
      </c>
      <c r="F9167" t="s">
        <v>688</v>
      </c>
      <c r="G9167">
        <v>2598000</v>
      </c>
      <c r="H9167">
        <v>2639000</v>
      </c>
    </row>
    <row r="9168" spans="2:8" x14ac:dyDescent="0.25">
      <c r="B9168" t="str">
        <f t="shared" si="143"/>
        <v>SYRPopulation ages 0-14, male</v>
      </c>
      <c r="C9168" t="s">
        <v>652</v>
      </c>
      <c r="D9168" t="s">
        <v>136</v>
      </c>
      <c r="E9168" t="s">
        <v>689</v>
      </c>
      <c r="F9168" t="s">
        <v>690</v>
      </c>
      <c r="G9168">
        <v>2704000</v>
      </c>
      <c r="H9168">
        <v>2747000</v>
      </c>
    </row>
    <row r="9169" spans="2:8" x14ac:dyDescent="0.25">
      <c r="B9169" t="str">
        <f t="shared" si="143"/>
        <v>SYRPopulation ages 00-04, female</v>
      </c>
      <c r="C9169" t="s">
        <v>652</v>
      </c>
      <c r="D9169" t="s">
        <v>136</v>
      </c>
      <c r="E9169" t="s">
        <v>362</v>
      </c>
      <c r="F9169" t="s">
        <v>691</v>
      </c>
      <c r="G9169">
        <v>894000</v>
      </c>
      <c r="H9169">
        <v>940000</v>
      </c>
    </row>
    <row r="9170" spans="2:8" x14ac:dyDescent="0.25">
      <c r="B9170" t="str">
        <f t="shared" si="143"/>
        <v>SYRPopulation ages 00-04, male</v>
      </c>
      <c r="C9170" t="s">
        <v>652</v>
      </c>
      <c r="D9170" t="s">
        <v>136</v>
      </c>
      <c r="E9170" t="s">
        <v>363</v>
      </c>
      <c r="F9170" t="s">
        <v>692</v>
      </c>
      <c r="G9170">
        <v>932000</v>
      </c>
      <c r="H9170">
        <v>980000</v>
      </c>
    </row>
    <row r="9171" spans="2:8" x14ac:dyDescent="0.25">
      <c r="B9171" t="str">
        <f t="shared" si="143"/>
        <v>SYRPopulation ages 05-09, female</v>
      </c>
      <c r="C9171" t="s">
        <v>652</v>
      </c>
      <c r="D9171" t="s">
        <v>136</v>
      </c>
      <c r="E9171" t="s">
        <v>364</v>
      </c>
      <c r="F9171" t="s">
        <v>693</v>
      </c>
      <c r="G9171">
        <v>855000</v>
      </c>
      <c r="H9171">
        <v>841000</v>
      </c>
    </row>
    <row r="9172" spans="2:8" x14ac:dyDescent="0.25">
      <c r="B9172" t="str">
        <f t="shared" si="143"/>
        <v>SYRPopulation ages 05-09, male</v>
      </c>
      <c r="C9172" t="s">
        <v>652</v>
      </c>
      <c r="D9172" t="s">
        <v>136</v>
      </c>
      <c r="E9172" t="s">
        <v>365</v>
      </c>
      <c r="F9172" t="s">
        <v>694</v>
      </c>
      <c r="G9172">
        <v>889000</v>
      </c>
      <c r="H9172">
        <v>875000</v>
      </c>
    </row>
    <row r="9173" spans="2:8" x14ac:dyDescent="0.25">
      <c r="B9173" t="str">
        <f t="shared" si="143"/>
        <v>SYRPopulation ages 10-14, female</v>
      </c>
      <c r="C9173" t="s">
        <v>652</v>
      </c>
      <c r="D9173" t="s">
        <v>136</v>
      </c>
      <c r="E9173" t="s">
        <v>366</v>
      </c>
      <c r="F9173" t="s">
        <v>695</v>
      </c>
      <c r="G9173">
        <v>849000</v>
      </c>
      <c r="H9173">
        <v>858000</v>
      </c>
    </row>
    <row r="9174" spans="2:8" x14ac:dyDescent="0.25">
      <c r="B9174" t="str">
        <f t="shared" si="143"/>
        <v>SYRPopulation ages 10-14, male</v>
      </c>
      <c r="C9174" t="s">
        <v>652</v>
      </c>
      <c r="D9174" t="s">
        <v>136</v>
      </c>
      <c r="E9174" t="s">
        <v>367</v>
      </c>
      <c r="F9174" t="s">
        <v>696</v>
      </c>
      <c r="G9174">
        <v>883000</v>
      </c>
      <c r="H9174">
        <v>892000</v>
      </c>
    </row>
    <row r="9175" spans="2:8" x14ac:dyDescent="0.25">
      <c r="B9175" t="str">
        <f t="shared" si="143"/>
        <v>SYRPopulation ages 15-19, female</v>
      </c>
      <c r="C9175" t="s">
        <v>652</v>
      </c>
      <c r="D9175" t="s">
        <v>136</v>
      </c>
      <c r="E9175" t="s">
        <v>368</v>
      </c>
      <c r="F9175" t="s">
        <v>697</v>
      </c>
      <c r="G9175">
        <v>767000</v>
      </c>
      <c r="H9175">
        <v>772000</v>
      </c>
    </row>
    <row r="9176" spans="2:8" x14ac:dyDescent="0.25">
      <c r="B9176" t="str">
        <f t="shared" si="143"/>
        <v>SYRPopulation ages 15-19, male</v>
      </c>
      <c r="C9176" t="s">
        <v>652</v>
      </c>
      <c r="D9176" t="s">
        <v>136</v>
      </c>
      <c r="E9176" t="s">
        <v>369</v>
      </c>
      <c r="F9176" t="s">
        <v>698</v>
      </c>
      <c r="G9176">
        <v>801000</v>
      </c>
      <c r="H9176">
        <v>804000</v>
      </c>
    </row>
    <row r="9177" spans="2:8" x14ac:dyDescent="0.25">
      <c r="B9177" t="str">
        <f t="shared" si="143"/>
        <v>SYRPopulation ages 20-24, female</v>
      </c>
      <c r="C9177" t="s">
        <v>652</v>
      </c>
      <c r="D9177" t="s">
        <v>136</v>
      </c>
      <c r="E9177" t="s">
        <v>370</v>
      </c>
      <c r="F9177" t="s">
        <v>699</v>
      </c>
      <c r="G9177">
        <v>775000</v>
      </c>
      <c r="H9177">
        <v>785000</v>
      </c>
    </row>
    <row r="9178" spans="2:8" x14ac:dyDescent="0.25">
      <c r="B9178" t="str">
        <f t="shared" si="143"/>
        <v>SYRPopulation ages 20-24, male</v>
      </c>
      <c r="C9178" t="s">
        <v>652</v>
      </c>
      <c r="D9178" t="s">
        <v>136</v>
      </c>
      <c r="E9178" t="s">
        <v>371</v>
      </c>
      <c r="F9178" t="s">
        <v>700</v>
      </c>
      <c r="G9178">
        <v>811000</v>
      </c>
      <c r="H9178">
        <v>818000</v>
      </c>
    </row>
    <row r="9179" spans="2:8" x14ac:dyDescent="0.25">
      <c r="B9179" t="str">
        <f t="shared" si="143"/>
        <v>SYRPopulation ages 25-29, female</v>
      </c>
      <c r="C9179" t="s">
        <v>652</v>
      </c>
      <c r="D9179" t="s">
        <v>136</v>
      </c>
      <c r="E9179" t="s">
        <v>372</v>
      </c>
      <c r="F9179" t="s">
        <v>701</v>
      </c>
      <c r="G9179">
        <v>725000</v>
      </c>
      <c r="H9179">
        <v>730000</v>
      </c>
    </row>
    <row r="9180" spans="2:8" x14ac:dyDescent="0.25">
      <c r="B9180" t="str">
        <f t="shared" si="143"/>
        <v>SYRPopulation ages 25-29, male</v>
      </c>
      <c r="C9180" t="s">
        <v>652</v>
      </c>
      <c r="D9180" t="s">
        <v>136</v>
      </c>
      <c r="E9180" t="s">
        <v>373</v>
      </c>
      <c r="F9180" t="s">
        <v>702</v>
      </c>
      <c r="G9180">
        <v>763000</v>
      </c>
      <c r="H9180">
        <v>766000</v>
      </c>
    </row>
    <row r="9181" spans="2:8" x14ac:dyDescent="0.25">
      <c r="B9181" t="str">
        <f t="shared" si="143"/>
        <v>SYRPopulation ages 30-34, female</v>
      </c>
      <c r="C9181" t="s">
        <v>652</v>
      </c>
      <c r="D9181" t="s">
        <v>136</v>
      </c>
      <c r="E9181" t="s">
        <v>374</v>
      </c>
      <c r="F9181" t="s">
        <v>703</v>
      </c>
      <c r="G9181">
        <v>742000</v>
      </c>
      <c r="H9181">
        <v>749000</v>
      </c>
    </row>
    <row r="9182" spans="2:8" x14ac:dyDescent="0.25">
      <c r="B9182" t="str">
        <f t="shared" si="143"/>
        <v>SYRPopulation ages 30-34, male</v>
      </c>
      <c r="C9182" t="s">
        <v>652</v>
      </c>
      <c r="D9182" t="s">
        <v>136</v>
      </c>
      <c r="E9182" t="s">
        <v>375</v>
      </c>
      <c r="F9182" t="s">
        <v>704</v>
      </c>
      <c r="G9182">
        <v>761000</v>
      </c>
      <c r="H9182">
        <v>771000</v>
      </c>
    </row>
    <row r="9183" spans="2:8" x14ac:dyDescent="0.25">
      <c r="B9183" t="str">
        <f t="shared" si="143"/>
        <v>SYRPopulation ages 35-39, female</v>
      </c>
      <c r="C9183" t="s">
        <v>652</v>
      </c>
      <c r="D9183" t="s">
        <v>136</v>
      </c>
      <c r="E9183" t="s">
        <v>376</v>
      </c>
      <c r="F9183" t="s">
        <v>705</v>
      </c>
      <c r="G9183">
        <v>672000</v>
      </c>
      <c r="H9183">
        <v>700000</v>
      </c>
    </row>
    <row r="9184" spans="2:8" x14ac:dyDescent="0.25">
      <c r="B9184" t="str">
        <f t="shared" si="143"/>
        <v>SYRPopulation ages 35-39, male</v>
      </c>
      <c r="C9184" t="s">
        <v>652</v>
      </c>
      <c r="D9184" t="s">
        <v>136</v>
      </c>
      <c r="E9184" t="s">
        <v>377</v>
      </c>
      <c r="F9184" t="s">
        <v>706</v>
      </c>
      <c r="G9184">
        <v>656000</v>
      </c>
      <c r="H9184">
        <v>686000</v>
      </c>
    </row>
    <row r="9185" spans="2:8" x14ac:dyDescent="0.25">
      <c r="B9185" t="str">
        <f t="shared" si="143"/>
        <v>SYRPopulation ages 40-44, female</v>
      </c>
      <c r="C9185" t="s">
        <v>652</v>
      </c>
      <c r="D9185" t="s">
        <v>136</v>
      </c>
      <c r="E9185" t="s">
        <v>378</v>
      </c>
      <c r="F9185" t="s">
        <v>707</v>
      </c>
      <c r="G9185">
        <v>528000</v>
      </c>
      <c r="H9185">
        <v>562000</v>
      </c>
    </row>
    <row r="9186" spans="2:8" x14ac:dyDescent="0.25">
      <c r="B9186" t="str">
        <f t="shared" si="143"/>
        <v>SYRPopulation ages 40-44, male</v>
      </c>
      <c r="C9186" t="s">
        <v>652</v>
      </c>
      <c r="D9186" t="s">
        <v>136</v>
      </c>
      <c r="E9186" t="s">
        <v>379</v>
      </c>
      <c r="F9186" t="s">
        <v>708</v>
      </c>
      <c r="G9186">
        <v>501000</v>
      </c>
      <c r="H9186">
        <v>533000</v>
      </c>
    </row>
    <row r="9187" spans="2:8" x14ac:dyDescent="0.25">
      <c r="B9187" t="str">
        <f t="shared" si="143"/>
        <v>SYRPopulation ages 45-49, female</v>
      </c>
      <c r="C9187" t="s">
        <v>652</v>
      </c>
      <c r="D9187" t="s">
        <v>136</v>
      </c>
      <c r="E9187" t="s">
        <v>380</v>
      </c>
      <c r="F9187" t="s">
        <v>709</v>
      </c>
      <c r="G9187">
        <v>406000</v>
      </c>
      <c r="H9187">
        <v>429000</v>
      </c>
    </row>
    <row r="9188" spans="2:8" x14ac:dyDescent="0.25">
      <c r="B9188" t="str">
        <f t="shared" si="143"/>
        <v>SYRPopulation ages 45-49, male</v>
      </c>
      <c r="C9188" t="s">
        <v>652</v>
      </c>
      <c r="D9188" t="s">
        <v>136</v>
      </c>
      <c r="E9188" t="s">
        <v>381</v>
      </c>
      <c r="F9188" t="s">
        <v>710</v>
      </c>
      <c r="G9188">
        <v>385000</v>
      </c>
      <c r="H9188">
        <v>405000</v>
      </c>
    </row>
    <row r="9189" spans="2:8" x14ac:dyDescent="0.25">
      <c r="B9189" t="str">
        <f t="shared" si="143"/>
        <v>SYRPopulation ages 50-54, female</v>
      </c>
      <c r="C9189" t="s">
        <v>652</v>
      </c>
      <c r="D9189" t="s">
        <v>136</v>
      </c>
      <c r="E9189" t="s">
        <v>382</v>
      </c>
      <c r="F9189" t="s">
        <v>711</v>
      </c>
      <c r="G9189">
        <v>343000</v>
      </c>
      <c r="H9189">
        <v>356000</v>
      </c>
    </row>
    <row r="9190" spans="2:8" x14ac:dyDescent="0.25">
      <c r="B9190" t="str">
        <f t="shared" si="143"/>
        <v>SYRPopulation ages 50-54, male</v>
      </c>
      <c r="C9190" t="s">
        <v>652</v>
      </c>
      <c r="D9190" t="s">
        <v>136</v>
      </c>
      <c r="E9190" t="s">
        <v>383</v>
      </c>
      <c r="F9190" t="s">
        <v>712</v>
      </c>
      <c r="G9190">
        <v>323000</v>
      </c>
      <c r="H9190">
        <v>334000</v>
      </c>
    </row>
    <row r="9191" spans="2:8" x14ac:dyDescent="0.25">
      <c r="B9191" t="str">
        <f t="shared" si="143"/>
        <v>SYRPopulation ages 55-59, male</v>
      </c>
      <c r="C9191" t="s">
        <v>652</v>
      </c>
      <c r="D9191" t="s">
        <v>136</v>
      </c>
      <c r="E9191" t="s">
        <v>385</v>
      </c>
      <c r="F9191" t="s">
        <v>713</v>
      </c>
      <c r="G9191">
        <v>274000</v>
      </c>
      <c r="H9191">
        <v>286000</v>
      </c>
    </row>
    <row r="9192" spans="2:8" x14ac:dyDescent="0.25">
      <c r="B9192" t="str">
        <f t="shared" si="143"/>
        <v>SYRPopulation ages 55-59, female</v>
      </c>
      <c r="C9192" t="s">
        <v>652</v>
      </c>
      <c r="D9192" t="s">
        <v>136</v>
      </c>
      <c r="E9192" t="s">
        <v>384</v>
      </c>
      <c r="F9192" t="s">
        <v>714</v>
      </c>
      <c r="G9192">
        <v>294000</v>
      </c>
      <c r="H9192">
        <v>309000</v>
      </c>
    </row>
    <row r="9193" spans="2:8" x14ac:dyDescent="0.25">
      <c r="B9193" t="str">
        <f t="shared" si="143"/>
        <v>SYRPopulation ages 65-69, male</v>
      </c>
      <c r="C9193" t="s">
        <v>652</v>
      </c>
      <c r="D9193" t="s">
        <v>136</v>
      </c>
      <c r="E9193" t="s">
        <v>389</v>
      </c>
      <c r="F9193" t="s">
        <v>715</v>
      </c>
      <c r="G9193">
        <v>155000</v>
      </c>
      <c r="H9193">
        <v>167000</v>
      </c>
    </row>
    <row r="9194" spans="2:8" x14ac:dyDescent="0.25">
      <c r="B9194" t="str">
        <f t="shared" si="143"/>
        <v>SYRPopulation ages 65-69, female</v>
      </c>
      <c r="C9194" t="s">
        <v>652</v>
      </c>
      <c r="D9194" t="s">
        <v>136</v>
      </c>
      <c r="E9194" t="s">
        <v>388</v>
      </c>
      <c r="F9194" t="s">
        <v>716</v>
      </c>
      <c r="G9194">
        <v>175000</v>
      </c>
      <c r="H9194">
        <v>191000</v>
      </c>
    </row>
    <row r="9195" spans="2:8" x14ac:dyDescent="0.25">
      <c r="B9195" t="str">
        <f t="shared" si="143"/>
        <v>SYRPopulation ages 60-64, female</v>
      </c>
      <c r="C9195" t="s">
        <v>652</v>
      </c>
      <c r="D9195" t="s">
        <v>136</v>
      </c>
      <c r="E9195" t="s">
        <v>386</v>
      </c>
      <c r="F9195" t="s">
        <v>717</v>
      </c>
      <c r="G9195">
        <v>230000</v>
      </c>
      <c r="H9195">
        <v>243000</v>
      </c>
    </row>
    <row r="9196" spans="2:8" x14ac:dyDescent="0.25">
      <c r="B9196" t="str">
        <f t="shared" si="143"/>
        <v>SYRPopulation ages 60-64, male</v>
      </c>
      <c r="C9196" t="s">
        <v>652</v>
      </c>
      <c r="D9196" t="s">
        <v>136</v>
      </c>
      <c r="E9196" t="s">
        <v>387</v>
      </c>
      <c r="F9196" t="s">
        <v>718</v>
      </c>
      <c r="G9196">
        <v>211000</v>
      </c>
      <c r="H9196">
        <v>222000</v>
      </c>
    </row>
    <row r="9197" spans="2:8" x14ac:dyDescent="0.25">
      <c r="B9197" t="str">
        <f t="shared" si="143"/>
        <v>SYRPopulation ages 70-74, female</v>
      </c>
      <c r="C9197" t="s">
        <v>652</v>
      </c>
      <c r="D9197" t="s">
        <v>136</v>
      </c>
      <c r="E9197" t="s">
        <v>390</v>
      </c>
      <c r="F9197" t="s">
        <v>719</v>
      </c>
      <c r="G9197">
        <v>102000</v>
      </c>
      <c r="H9197">
        <v>111000</v>
      </c>
    </row>
    <row r="9198" spans="2:8" x14ac:dyDescent="0.25">
      <c r="B9198" t="str">
        <f t="shared" si="143"/>
        <v>SYRPopulation ages 70-74, male</v>
      </c>
      <c r="C9198" t="s">
        <v>652</v>
      </c>
      <c r="D9198" t="s">
        <v>136</v>
      </c>
      <c r="E9198" t="s">
        <v>391</v>
      </c>
      <c r="F9198" t="s">
        <v>720</v>
      </c>
      <c r="G9198">
        <v>92000</v>
      </c>
      <c r="H9198">
        <v>98000</v>
      </c>
    </row>
    <row r="9199" spans="2:8" x14ac:dyDescent="0.25">
      <c r="B9199" t="str">
        <f t="shared" si="143"/>
        <v>SYRPopulation ages 75-79, female</v>
      </c>
      <c r="C9199" t="s">
        <v>652</v>
      </c>
      <c r="D9199" t="s">
        <v>136</v>
      </c>
      <c r="E9199" t="s">
        <v>392</v>
      </c>
      <c r="F9199" t="s">
        <v>721</v>
      </c>
      <c r="G9199">
        <v>79000</v>
      </c>
      <c r="H9199">
        <v>83000</v>
      </c>
    </row>
    <row r="9200" spans="2:8" x14ac:dyDescent="0.25">
      <c r="B9200" t="str">
        <f t="shared" si="143"/>
        <v>SYRPopulation ages 75-79, male</v>
      </c>
      <c r="C9200" t="s">
        <v>652</v>
      </c>
      <c r="D9200" t="s">
        <v>136</v>
      </c>
      <c r="E9200" t="s">
        <v>393</v>
      </c>
      <c r="F9200" t="s">
        <v>722</v>
      </c>
      <c r="G9200">
        <v>61000</v>
      </c>
      <c r="H9200">
        <v>63000</v>
      </c>
    </row>
    <row r="9201" spans="2:8" x14ac:dyDescent="0.25">
      <c r="B9201" t="str">
        <f t="shared" si="143"/>
        <v>SYRPopulation ages 80 and above, female</v>
      </c>
      <c r="C9201" t="s">
        <v>652</v>
      </c>
      <c r="D9201" t="s">
        <v>136</v>
      </c>
      <c r="E9201" t="s">
        <v>394</v>
      </c>
      <c r="F9201" t="s">
        <v>723</v>
      </c>
      <c r="G9201">
        <v>79000</v>
      </c>
      <c r="H9201">
        <v>82000</v>
      </c>
    </row>
    <row r="9202" spans="2:8" x14ac:dyDescent="0.25">
      <c r="B9202" t="str">
        <f t="shared" si="143"/>
        <v>SYRPopulation ages 80 and above, male</v>
      </c>
      <c r="C9202" t="s">
        <v>652</v>
      </c>
      <c r="D9202" t="s">
        <v>136</v>
      </c>
      <c r="E9202" t="s">
        <v>395</v>
      </c>
      <c r="F9202" t="s">
        <v>724</v>
      </c>
      <c r="G9202">
        <v>58000</v>
      </c>
      <c r="H9202">
        <v>58000</v>
      </c>
    </row>
    <row r="9203" spans="2:8" x14ac:dyDescent="0.25">
      <c r="B9203" t="str">
        <f t="shared" si="143"/>
        <v>SYRPopulation, male</v>
      </c>
      <c r="C9203" t="s">
        <v>652</v>
      </c>
      <c r="D9203" t="s">
        <v>136</v>
      </c>
      <c r="E9203" t="s">
        <v>397</v>
      </c>
      <c r="F9203" t="s">
        <v>725</v>
      </c>
      <c r="G9203">
        <v>8555000</v>
      </c>
      <c r="H9203">
        <v>8760000</v>
      </c>
    </row>
    <row r="9204" spans="2:8" x14ac:dyDescent="0.25">
      <c r="B9204" t="str">
        <f t="shared" si="143"/>
        <v>SYRPopulation, total</v>
      </c>
      <c r="C9204" t="s">
        <v>652</v>
      </c>
      <c r="D9204" t="s">
        <v>136</v>
      </c>
      <c r="E9204" t="s">
        <v>398</v>
      </c>
      <c r="F9204" t="s">
        <v>726</v>
      </c>
      <c r="G9204">
        <v>17070000</v>
      </c>
      <c r="H9204">
        <v>17501000</v>
      </c>
    </row>
    <row r="9205" spans="2:8" x14ac:dyDescent="0.25">
      <c r="B9205" t="str">
        <f t="shared" si="143"/>
        <v>SYRPopulation, female</v>
      </c>
      <c r="C9205" t="s">
        <v>652</v>
      </c>
      <c r="D9205" t="s">
        <v>136</v>
      </c>
      <c r="E9205" t="s">
        <v>396</v>
      </c>
      <c r="F9205" t="s">
        <v>727</v>
      </c>
      <c r="G9205">
        <v>8516000</v>
      </c>
      <c r="H9205">
        <v>8741000</v>
      </c>
    </row>
    <row r="9206" spans="2:8" x14ac:dyDescent="0.25">
      <c r="B9206" t="str">
        <f t="shared" si="143"/>
        <v>SYRPopulation growth (annual %)</v>
      </c>
      <c r="C9206" t="s">
        <v>652</v>
      </c>
      <c r="D9206" t="s">
        <v>136</v>
      </c>
      <c r="E9206" t="s">
        <v>399</v>
      </c>
      <c r="F9206" t="s">
        <v>728</v>
      </c>
      <c r="G9206">
        <v>0</v>
      </c>
      <c r="H9206">
        <v>0</v>
      </c>
    </row>
    <row r="9207" spans="2:8" x14ac:dyDescent="0.25">
      <c r="B9207" t="str">
        <f t="shared" si="143"/>
        <v>TJKPopulation ages 0-14, female</v>
      </c>
      <c r="C9207" t="s">
        <v>238</v>
      </c>
      <c r="D9207" t="s">
        <v>163</v>
      </c>
      <c r="E9207" t="s">
        <v>687</v>
      </c>
      <c r="F9207" t="s">
        <v>688</v>
      </c>
      <c r="G9207">
        <v>1680000</v>
      </c>
      <c r="H9207">
        <v>1728000</v>
      </c>
    </row>
    <row r="9208" spans="2:8" x14ac:dyDescent="0.25">
      <c r="B9208" t="str">
        <f t="shared" si="143"/>
        <v>TJKPopulation ages 0-14, male</v>
      </c>
      <c r="C9208" t="s">
        <v>238</v>
      </c>
      <c r="D9208" t="s">
        <v>163</v>
      </c>
      <c r="E9208" t="s">
        <v>689</v>
      </c>
      <c r="F9208" t="s">
        <v>690</v>
      </c>
      <c r="G9208">
        <v>1776000</v>
      </c>
      <c r="H9208">
        <v>1827000</v>
      </c>
    </row>
    <row r="9209" spans="2:8" x14ac:dyDescent="0.25">
      <c r="B9209" t="str">
        <f t="shared" si="143"/>
        <v>TJKPopulation ages 00-04, female</v>
      </c>
      <c r="C9209" t="s">
        <v>238</v>
      </c>
      <c r="D9209" t="s">
        <v>163</v>
      </c>
      <c r="E9209" t="s">
        <v>362</v>
      </c>
      <c r="F9209" t="s">
        <v>691</v>
      </c>
      <c r="G9209">
        <v>655000</v>
      </c>
      <c r="H9209">
        <v>659000</v>
      </c>
    </row>
    <row r="9210" spans="2:8" x14ac:dyDescent="0.25">
      <c r="B9210" t="str">
        <f t="shared" si="143"/>
        <v>TJKPopulation ages 00-04, male</v>
      </c>
      <c r="C9210" t="s">
        <v>238</v>
      </c>
      <c r="D9210" t="s">
        <v>163</v>
      </c>
      <c r="E9210" t="s">
        <v>363</v>
      </c>
      <c r="F9210" t="s">
        <v>692</v>
      </c>
      <c r="G9210">
        <v>692000</v>
      </c>
      <c r="H9210">
        <v>698000</v>
      </c>
    </row>
    <row r="9211" spans="2:8" x14ac:dyDescent="0.25">
      <c r="B9211" t="str">
        <f t="shared" si="143"/>
        <v>TJKPopulation ages 05-09, female</v>
      </c>
      <c r="C9211" t="s">
        <v>238</v>
      </c>
      <c r="D9211" t="s">
        <v>163</v>
      </c>
      <c r="E9211" t="s">
        <v>364</v>
      </c>
      <c r="F9211" t="s">
        <v>693</v>
      </c>
      <c r="G9211">
        <v>572000</v>
      </c>
      <c r="H9211">
        <v>594000</v>
      </c>
    </row>
    <row r="9212" spans="2:8" x14ac:dyDescent="0.25">
      <c r="B9212" t="str">
        <f t="shared" si="143"/>
        <v>TJKPopulation ages 05-09, male</v>
      </c>
      <c r="C9212" t="s">
        <v>238</v>
      </c>
      <c r="D9212" t="s">
        <v>163</v>
      </c>
      <c r="E9212" t="s">
        <v>365</v>
      </c>
      <c r="F9212" t="s">
        <v>694</v>
      </c>
      <c r="G9212">
        <v>603000</v>
      </c>
      <c r="H9212">
        <v>627000</v>
      </c>
    </row>
    <row r="9213" spans="2:8" x14ac:dyDescent="0.25">
      <c r="B9213" t="str">
        <f t="shared" si="143"/>
        <v>TJKPopulation ages 10-14, female</v>
      </c>
      <c r="C9213" t="s">
        <v>238</v>
      </c>
      <c r="D9213" t="s">
        <v>163</v>
      </c>
      <c r="E9213" t="s">
        <v>366</v>
      </c>
      <c r="F9213" t="s">
        <v>695</v>
      </c>
      <c r="G9213">
        <v>454000</v>
      </c>
      <c r="H9213">
        <v>475000</v>
      </c>
    </row>
    <row r="9214" spans="2:8" x14ac:dyDescent="0.25">
      <c r="B9214" t="str">
        <f t="shared" si="143"/>
        <v>TJKPopulation ages 10-14, male</v>
      </c>
      <c r="C9214" t="s">
        <v>238</v>
      </c>
      <c r="D9214" t="s">
        <v>163</v>
      </c>
      <c r="E9214" t="s">
        <v>367</v>
      </c>
      <c r="F9214" t="s">
        <v>696</v>
      </c>
      <c r="G9214">
        <v>480000</v>
      </c>
      <c r="H9214">
        <v>502000</v>
      </c>
    </row>
    <row r="9215" spans="2:8" x14ac:dyDescent="0.25">
      <c r="B9215" t="str">
        <f t="shared" si="143"/>
        <v>TJKPopulation ages 15-19, female</v>
      </c>
      <c r="C9215" t="s">
        <v>238</v>
      </c>
      <c r="D9215" t="s">
        <v>163</v>
      </c>
      <c r="E9215" t="s">
        <v>368</v>
      </c>
      <c r="F9215" t="s">
        <v>697</v>
      </c>
      <c r="G9215">
        <v>393000</v>
      </c>
      <c r="H9215">
        <v>395000</v>
      </c>
    </row>
    <row r="9216" spans="2:8" x14ac:dyDescent="0.25">
      <c r="B9216" t="str">
        <f t="shared" si="143"/>
        <v>TJKPopulation ages 15-19, male</v>
      </c>
      <c r="C9216" t="s">
        <v>238</v>
      </c>
      <c r="D9216" t="s">
        <v>163</v>
      </c>
      <c r="E9216" t="s">
        <v>369</v>
      </c>
      <c r="F9216" t="s">
        <v>698</v>
      </c>
      <c r="G9216">
        <v>414000</v>
      </c>
      <c r="H9216">
        <v>416000</v>
      </c>
    </row>
    <row r="9217" spans="2:8" x14ac:dyDescent="0.25">
      <c r="B9217" t="str">
        <f t="shared" si="143"/>
        <v>TJKPopulation ages 20-24, female</v>
      </c>
      <c r="C9217" t="s">
        <v>238</v>
      </c>
      <c r="D9217" t="s">
        <v>163</v>
      </c>
      <c r="E9217" t="s">
        <v>370</v>
      </c>
      <c r="F9217" t="s">
        <v>699</v>
      </c>
      <c r="G9217">
        <v>411000</v>
      </c>
      <c r="H9217">
        <v>408000</v>
      </c>
    </row>
    <row r="9218" spans="2:8" x14ac:dyDescent="0.25">
      <c r="B9218" t="str">
        <f t="shared" si="143"/>
        <v>TJKPopulation ages 20-24, male</v>
      </c>
      <c r="C9218" t="s">
        <v>238</v>
      </c>
      <c r="D9218" t="s">
        <v>163</v>
      </c>
      <c r="E9218" t="s">
        <v>371</v>
      </c>
      <c r="F9218" t="s">
        <v>700</v>
      </c>
      <c r="G9218">
        <v>428000</v>
      </c>
      <c r="H9218">
        <v>425000</v>
      </c>
    </row>
    <row r="9219" spans="2:8" x14ac:dyDescent="0.25">
      <c r="B9219" t="str">
        <f t="shared" si="143"/>
        <v>TJKPopulation ages 25-29, female</v>
      </c>
      <c r="C9219" t="s">
        <v>238</v>
      </c>
      <c r="D9219" t="s">
        <v>163</v>
      </c>
      <c r="E9219" t="s">
        <v>372</v>
      </c>
      <c r="F9219" t="s">
        <v>701</v>
      </c>
      <c r="G9219">
        <v>404000</v>
      </c>
      <c r="H9219">
        <v>402000</v>
      </c>
    </row>
    <row r="9220" spans="2:8" x14ac:dyDescent="0.25">
      <c r="B9220" t="str">
        <f t="shared" si="143"/>
        <v>TJKPopulation ages 25-29, male</v>
      </c>
      <c r="C9220" t="s">
        <v>238</v>
      </c>
      <c r="D9220" t="s">
        <v>163</v>
      </c>
      <c r="E9220" t="s">
        <v>373</v>
      </c>
      <c r="F9220" t="s">
        <v>702</v>
      </c>
      <c r="G9220">
        <v>413000</v>
      </c>
      <c r="H9220">
        <v>413000</v>
      </c>
    </row>
    <row r="9221" spans="2:8" x14ac:dyDescent="0.25">
      <c r="B9221" t="str">
        <f t="shared" si="143"/>
        <v>TJKPopulation ages 30-34, female</v>
      </c>
      <c r="C9221" t="s">
        <v>238</v>
      </c>
      <c r="D9221" t="s">
        <v>163</v>
      </c>
      <c r="E9221" t="s">
        <v>374</v>
      </c>
      <c r="F9221" t="s">
        <v>703</v>
      </c>
      <c r="G9221">
        <v>383000</v>
      </c>
      <c r="H9221">
        <v>395000</v>
      </c>
    </row>
    <row r="9222" spans="2:8" x14ac:dyDescent="0.25">
      <c r="B9222" t="str">
        <f t="shared" si="143"/>
        <v>TJKPopulation ages 30-34, male</v>
      </c>
      <c r="C9222" t="s">
        <v>238</v>
      </c>
      <c r="D9222" t="s">
        <v>163</v>
      </c>
      <c r="E9222" t="s">
        <v>375</v>
      </c>
      <c r="F9222" t="s">
        <v>704</v>
      </c>
      <c r="G9222">
        <v>380000</v>
      </c>
      <c r="H9222">
        <v>392000</v>
      </c>
    </row>
    <row r="9223" spans="2:8" x14ac:dyDescent="0.25">
      <c r="B9223" t="str">
        <f t="shared" ref="B9223:B9286" si="144">CONCATENATE(D9223,E9223)</f>
        <v>TJKPopulation ages 35-39, female</v>
      </c>
      <c r="C9223" t="s">
        <v>238</v>
      </c>
      <c r="D9223" t="s">
        <v>163</v>
      </c>
      <c r="E9223" t="s">
        <v>376</v>
      </c>
      <c r="F9223" t="s">
        <v>705</v>
      </c>
      <c r="G9223">
        <v>286000</v>
      </c>
      <c r="H9223">
        <v>302000</v>
      </c>
    </row>
    <row r="9224" spans="2:8" x14ac:dyDescent="0.25">
      <c r="B9224" t="str">
        <f t="shared" si="144"/>
        <v>TJKPopulation ages 35-39, male</v>
      </c>
      <c r="C9224" t="s">
        <v>238</v>
      </c>
      <c r="D9224" t="s">
        <v>163</v>
      </c>
      <c r="E9224" t="s">
        <v>377</v>
      </c>
      <c r="F9224" t="s">
        <v>706</v>
      </c>
      <c r="G9224">
        <v>288000</v>
      </c>
      <c r="H9224">
        <v>302000</v>
      </c>
    </row>
    <row r="9225" spans="2:8" x14ac:dyDescent="0.25">
      <c r="B9225" t="str">
        <f t="shared" si="144"/>
        <v>TJKPopulation ages 40-44, female</v>
      </c>
      <c r="C9225" t="s">
        <v>238</v>
      </c>
      <c r="D9225" t="s">
        <v>163</v>
      </c>
      <c r="E9225" t="s">
        <v>378</v>
      </c>
      <c r="F9225" t="s">
        <v>707</v>
      </c>
      <c r="G9225">
        <v>231000</v>
      </c>
      <c r="H9225">
        <v>238000</v>
      </c>
    </row>
    <row r="9226" spans="2:8" x14ac:dyDescent="0.25">
      <c r="B9226" t="str">
        <f t="shared" si="144"/>
        <v>TJKPopulation ages 40-44, male</v>
      </c>
      <c r="C9226" t="s">
        <v>238</v>
      </c>
      <c r="D9226" t="s">
        <v>163</v>
      </c>
      <c r="E9226" t="s">
        <v>379</v>
      </c>
      <c r="F9226" t="s">
        <v>708</v>
      </c>
      <c r="G9226">
        <v>227000</v>
      </c>
      <c r="H9226">
        <v>235000</v>
      </c>
    </row>
    <row r="9227" spans="2:8" x14ac:dyDescent="0.25">
      <c r="B9227" t="str">
        <f t="shared" si="144"/>
        <v>TJKPopulation ages 45-49, female</v>
      </c>
      <c r="C9227" t="s">
        <v>238</v>
      </c>
      <c r="D9227" t="s">
        <v>163</v>
      </c>
      <c r="E9227" t="s">
        <v>380</v>
      </c>
      <c r="F9227" t="s">
        <v>709</v>
      </c>
      <c r="G9227">
        <v>207000</v>
      </c>
      <c r="H9227">
        <v>210000</v>
      </c>
    </row>
    <row r="9228" spans="2:8" x14ac:dyDescent="0.25">
      <c r="B9228" t="str">
        <f t="shared" si="144"/>
        <v>TJKPopulation ages 45-49, male</v>
      </c>
      <c r="C9228" t="s">
        <v>238</v>
      </c>
      <c r="D9228" t="s">
        <v>163</v>
      </c>
      <c r="E9228" t="s">
        <v>381</v>
      </c>
      <c r="F9228" t="s">
        <v>710</v>
      </c>
      <c r="G9228">
        <v>197000</v>
      </c>
      <c r="H9228">
        <v>200000</v>
      </c>
    </row>
    <row r="9229" spans="2:8" x14ac:dyDescent="0.25">
      <c r="B9229" t="str">
        <f t="shared" si="144"/>
        <v>TJKPopulation ages 50-54, female</v>
      </c>
      <c r="C9229" t="s">
        <v>238</v>
      </c>
      <c r="D9229" t="s">
        <v>163</v>
      </c>
      <c r="E9229" t="s">
        <v>382</v>
      </c>
      <c r="F9229" t="s">
        <v>711</v>
      </c>
      <c r="G9229">
        <v>189000</v>
      </c>
      <c r="H9229">
        <v>192000</v>
      </c>
    </row>
    <row r="9230" spans="2:8" x14ac:dyDescent="0.25">
      <c r="B9230" t="str">
        <f t="shared" si="144"/>
        <v>TJKPopulation ages 50-54, male</v>
      </c>
      <c r="C9230" t="s">
        <v>238</v>
      </c>
      <c r="D9230" t="s">
        <v>163</v>
      </c>
      <c r="E9230" t="s">
        <v>383</v>
      </c>
      <c r="F9230" t="s">
        <v>712</v>
      </c>
      <c r="G9230">
        <v>178000</v>
      </c>
      <c r="H9230">
        <v>180000</v>
      </c>
    </row>
    <row r="9231" spans="2:8" x14ac:dyDescent="0.25">
      <c r="B9231" t="str">
        <f t="shared" si="144"/>
        <v>TJKPopulation ages 55-59, male</v>
      </c>
      <c r="C9231" t="s">
        <v>238</v>
      </c>
      <c r="D9231" t="s">
        <v>163</v>
      </c>
      <c r="E9231" t="s">
        <v>385</v>
      </c>
      <c r="F9231" t="s">
        <v>713</v>
      </c>
      <c r="G9231">
        <v>154000</v>
      </c>
      <c r="H9231">
        <v>158000</v>
      </c>
    </row>
    <row r="9232" spans="2:8" x14ac:dyDescent="0.25">
      <c r="B9232" t="str">
        <f t="shared" si="144"/>
        <v>TJKPopulation ages 55-59, female</v>
      </c>
      <c r="C9232" t="s">
        <v>238</v>
      </c>
      <c r="D9232" t="s">
        <v>163</v>
      </c>
      <c r="E9232" t="s">
        <v>384</v>
      </c>
      <c r="F9232" t="s">
        <v>714</v>
      </c>
      <c r="G9232">
        <v>165000</v>
      </c>
      <c r="H9232">
        <v>170000</v>
      </c>
    </row>
    <row r="9233" spans="2:8" x14ac:dyDescent="0.25">
      <c r="B9233" t="str">
        <f t="shared" si="144"/>
        <v>TJKPopulation ages 65-69, male</v>
      </c>
      <c r="C9233" t="s">
        <v>238</v>
      </c>
      <c r="D9233" t="s">
        <v>163</v>
      </c>
      <c r="E9233" t="s">
        <v>389</v>
      </c>
      <c r="F9233" t="s">
        <v>715</v>
      </c>
      <c r="G9233">
        <v>60000</v>
      </c>
      <c r="H9233">
        <v>66000</v>
      </c>
    </row>
    <row r="9234" spans="2:8" x14ac:dyDescent="0.25">
      <c r="B9234" t="str">
        <f t="shared" si="144"/>
        <v>TJKPopulation ages 65-69, female</v>
      </c>
      <c r="C9234" t="s">
        <v>238</v>
      </c>
      <c r="D9234" t="s">
        <v>163</v>
      </c>
      <c r="E9234" t="s">
        <v>388</v>
      </c>
      <c r="F9234" t="s">
        <v>716</v>
      </c>
      <c r="G9234">
        <v>69000</v>
      </c>
      <c r="H9234">
        <v>75000</v>
      </c>
    </row>
    <row r="9235" spans="2:8" x14ac:dyDescent="0.25">
      <c r="B9235" t="str">
        <f t="shared" si="144"/>
        <v>TJKPopulation ages 60-64, female</v>
      </c>
      <c r="C9235" t="s">
        <v>238</v>
      </c>
      <c r="D9235" t="s">
        <v>163</v>
      </c>
      <c r="E9235" t="s">
        <v>386</v>
      </c>
      <c r="F9235" t="s">
        <v>717</v>
      </c>
      <c r="G9235">
        <v>119000</v>
      </c>
      <c r="H9235">
        <v>128000</v>
      </c>
    </row>
    <row r="9236" spans="2:8" x14ac:dyDescent="0.25">
      <c r="B9236" t="str">
        <f t="shared" si="144"/>
        <v>TJKPopulation ages 60-64, male</v>
      </c>
      <c r="C9236" t="s">
        <v>238</v>
      </c>
      <c r="D9236" t="s">
        <v>163</v>
      </c>
      <c r="E9236" t="s">
        <v>387</v>
      </c>
      <c r="F9236" t="s">
        <v>718</v>
      </c>
      <c r="G9236">
        <v>110000</v>
      </c>
      <c r="H9236">
        <v>118000</v>
      </c>
    </row>
    <row r="9237" spans="2:8" x14ac:dyDescent="0.25">
      <c r="B9237" t="str">
        <f t="shared" si="144"/>
        <v>TJKPopulation ages 70-74, female</v>
      </c>
      <c r="C9237" t="s">
        <v>238</v>
      </c>
      <c r="D9237" t="s">
        <v>163</v>
      </c>
      <c r="E9237" t="s">
        <v>390</v>
      </c>
      <c r="F9237" t="s">
        <v>719</v>
      </c>
      <c r="G9237">
        <v>38000</v>
      </c>
      <c r="H9237">
        <v>42000</v>
      </c>
    </row>
    <row r="9238" spans="2:8" x14ac:dyDescent="0.25">
      <c r="B9238" t="str">
        <f t="shared" si="144"/>
        <v>TJKPopulation ages 70-74, male</v>
      </c>
      <c r="C9238" t="s">
        <v>238</v>
      </c>
      <c r="D9238" t="s">
        <v>163</v>
      </c>
      <c r="E9238" t="s">
        <v>391</v>
      </c>
      <c r="F9238" t="s">
        <v>720</v>
      </c>
      <c r="G9238">
        <v>34000</v>
      </c>
      <c r="H9238">
        <v>36000</v>
      </c>
    </row>
    <row r="9239" spans="2:8" x14ac:dyDescent="0.25">
      <c r="B9239" t="str">
        <f t="shared" si="144"/>
        <v>TJKPopulation ages 75-79, female</v>
      </c>
      <c r="C9239" t="s">
        <v>238</v>
      </c>
      <c r="D9239" t="s">
        <v>163</v>
      </c>
      <c r="E9239" t="s">
        <v>392</v>
      </c>
      <c r="F9239" t="s">
        <v>721</v>
      </c>
      <c r="G9239">
        <v>21000</v>
      </c>
      <c r="H9239">
        <v>21000</v>
      </c>
    </row>
    <row r="9240" spans="2:8" x14ac:dyDescent="0.25">
      <c r="B9240" t="str">
        <f t="shared" si="144"/>
        <v>TJKPopulation ages 75-79, male</v>
      </c>
      <c r="C9240" t="s">
        <v>238</v>
      </c>
      <c r="D9240" t="s">
        <v>163</v>
      </c>
      <c r="E9240" t="s">
        <v>393</v>
      </c>
      <c r="F9240" t="s">
        <v>722</v>
      </c>
      <c r="G9240">
        <v>19000</v>
      </c>
      <c r="H9240">
        <v>19000</v>
      </c>
    </row>
    <row r="9241" spans="2:8" x14ac:dyDescent="0.25">
      <c r="B9241" t="str">
        <f t="shared" si="144"/>
        <v>TJKPopulation ages 80 and above, female</v>
      </c>
      <c r="C9241" t="s">
        <v>238</v>
      </c>
      <c r="D9241" t="s">
        <v>163</v>
      </c>
      <c r="E9241" t="s">
        <v>394</v>
      </c>
      <c r="F9241" t="s">
        <v>723</v>
      </c>
      <c r="G9241">
        <v>27000</v>
      </c>
      <c r="H9241">
        <v>25000</v>
      </c>
    </row>
    <row r="9242" spans="2:8" x14ac:dyDescent="0.25">
      <c r="B9242" t="str">
        <f t="shared" si="144"/>
        <v>TJKPopulation ages 80 and above, male</v>
      </c>
      <c r="C9242" t="s">
        <v>238</v>
      </c>
      <c r="D9242" t="s">
        <v>163</v>
      </c>
      <c r="E9242" t="s">
        <v>395</v>
      </c>
      <c r="F9242" t="s">
        <v>724</v>
      </c>
      <c r="G9242">
        <v>20000</v>
      </c>
      <c r="H9242">
        <v>19000</v>
      </c>
    </row>
    <row r="9243" spans="2:8" x14ac:dyDescent="0.25">
      <c r="B9243" t="str">
        <f t="shared" si="144"/>
        <v>TJKPopulation, male</v>
      </c>
      <c r="C9243" t="s">
        <v>238</v>
      </c>
      <c r="D9243" t="s">
        <v>163</v>
      </c>
      <c r="E9243" t="s">
        <v>397</v>
      </c>
      <c r="F9243" t="s">
        <v>725</v>
      </c>
      <c r="G9243">
        <v>4698000</v>
      </c>
      <c r="H9243">
        <v>4806000</v>
      </c>
    </row>
    <row r="9244" spans="2:8" x14ac:dyDescent="0.25">
      <c r="B9244" t="str">
        <f t="shared" si="144"/>
        <v>TJKPopulation, total</v>
      </c>
      <c r="C9244" t="s">
        <v>238</v>
      </c>
      <c r="D9244" t="s">
        <v>163</v>
      </c>
      <c r="E9244" t="s">
        <v>398</v>
      </c>
      <c r="F9244" t="s">
        <v>726</v>
      </c>
      <c r="G9244">
        <v>9321000</v>
      </c>
      <c r="H9244">
        <v>9538000</v>
      </c>
    </row>
    <row r="9245" spans="2:8" x14ac:dyDescent="0.25">
      <c r="B9245" t="str">
        <f t="shared" si="144"/>
        <v>TJKPopulation, female</v>
      </c>
      <c r="C9245" t="s">
        <v>238</v>
      </c>
      <c r="D9245" t="s">
        <v>163</v>
      </c>
      <c r="E9245" t="s">
        <v>396</v>
      </c>
      <c r="F9245" t="s">
        <v>727</v>
      </c>
      <c r="G9245">
        <v>4623000</v>
      </c>
      <c r="H9245">
        <v>4732000</v>
      </c>
    </row>
    <row r="9246" spans="2:8" x14ac:dyDescent="0.25">
      <c r="B9246" t="str">
        <f t="shared" si="144"/>
        <v>TJKPopulation growth (annual %)</v>
      </c>
      <c r="C9246" t="s">
        <v>238</v>
      </c>
      <c r="D9246" t="s">
        <v>163</v>
      </c>
      <c r="E9246" t="s">
        <v>399</v>
      </c>
      <c r="F9246" t="s">
        <v>728</v>
      </c>
      <c r="G9246">
        <v>0</v>
      </c>
      <c r="H9246">
        <v>0</v>
      </c>
    </row>
    <row r="9247" spans="2:8" x14ac:dyDescent="0.25">
      <c r="B9247" t="str">
        <f t="shared" si="144"/>
        <v>TZAPopulation ages 0-14, female</v>
      </c>
      <c r="C9247" t="s">
        <v>653</v>
      </c>
      <c r="D9247" t="s">
        <v>146</v>
      </c>
      <c r="E9247" t="s">
        <v>687</v>
      </c>
      <c r="F9247" t="s">
        <v>688</v>
      </c>
      <c r="G9247">
        <v>12572000</v>
      </c>
      <c r="H9247">
        <v>12861000</v>
      </c>
    </row>
    <row r="9248" spans="2:8" x14ac:dyDescent="0.25">
      <c r="B9248" t="str">
        <f t="shared" si="144"/>
        <v>TZAPopulation ages 0-14, male</v>
      </c>
      <c r="C9248" t="s">
        <v>653</v>
      </c>
      <c r="D9248" t="s">
        <v>146</v>
      </c>
      <c r="E9248" t="s">
        <v>689</v>
      </c>
      <c r="F9248" t="s">
        <v>690</v>
      </c>
      <c r="G9248">
        <v>12859000</v>
      </c>
      <c r="H9248">
        <v>13155000</v>
      </c>
    </row>
    <row r="9249" spans="2:8" x14ac:dyDescent="0.25">
      <c r="B9249" t="str">
        <f t="shared" si="144"/>
        <v>TZAPopulation ages 00-04, female</v>
      </c>
      <c r="C9249" t="s">
        <v>653</v>
      </c>
      <c r="D9249" t="s">
        <v>146</v>
      </c>
      <c r="E9249" t="s">
        <v>362</v>
      </c>
      <c r="F9249" t="s">
        <v>691</v>
      </c>
      <c r="G9249">
        <v>4709000</v>
      </c>
      <c r="H9249">
        <v>4814000</v>
      </c>
    </row>
    <row r="9250" spans="2:8" x14ac:dyDescent="0.25">
      <c r="B9250" t="str">
        <f t="shared" si="144"/>
        <v>TZAPopulation ages 00-04, male</v>
      </c>
      <c r="C9250" t="s">
        <v>653</v>
      </c>
      <c r="D9250" t="s">
        <v>146</v>
      </c>
      <c r="E9250" t="s">
        <v>363</v>
      </c>
      <c r="F9250" t="s">
        <v>692</v>
      </c>
      <c r="G9250">
        <v>4819000</v>
      </c>
      <c r="H9250">
        <v>4925000</v>
      </c>
    </row>
    <row r="9251" spans="2:8" x14ac:dyDescent="0.25">
      <c r="B9251" t="str">
        <f t="shared" si="144"/>
        <v>TZAPopulation ages 05-09, female</v>
      </c>
      <c r="C9251" t="s">
        <v>653</v>
      </c>
      <c r="D9251" t="s">
        <v>146</v>
      </c>
      <c r="E9251" t="s">
        <v>364</v>
      </c>
      <c r="F9251" t="s">
        <v>693</v>
      </c>
      <c r="G9251">
        <v>4182000</v>
      </c>
      <c r="H9251">
        <v>4262000</v>
      </c>
    </row>
    <row r="9252" spans="2:8" x14ac:dyDescent="0.25">
      <c r="B9252" t="str">
        <f t="shared" si="144"/>
        <v>TZAPopulation ages 05-09, male</v>
      </c>
      <c r="C9252" t="s">
        <v>653</v>
      </c>
      <c r="D9252" t="s">
        <v>146</v>
      </c>
      <c r="E9252" t="s">
        <v>365</v>
      </c>
      <c r="F9252" t="s">
        <v>694</v>
      </c>
      <c r="G9252">
        <v>4281000</v>
      </c>
      <c r="H9252">
        <v>4362000</v>
      </c>
    </row>
    <row r="9253" spans="2:8" x14ac:dyDescent="0.25">
      <c r="B9253" t="str">
        <f t="shared" si="144"/>
        <v>TZAPopulation ages 10-14, female</v>
      </c>
      <c r="C9253" t="s">
        <v>653</v>
      </c>
      <c r="D9253" t="s">
        <v>146</v>
      </c>
      <c r="E9253" t="s">
        <v>366</v>
      </c>
      <c r="F9253" t="s">
        <v>695</v>
      </c>
      <c r="G9253">
        <v>3681000</v>
      </c>
      <c r="H9253">
        <v>3785000</v>
      </c>
    </row>
    <row r="9254" spans="2:8" x14ac:dyDescent="0.25">
      <c r="B9254" t="str">
        <f t="shared" si="144"/>
        <v>TZAPopulation ages 10-14, male</v>
      </c>
      <c r="C9254" t="s">
        <v>653</v>
      </c>
      <c r="D9254" t="s">
        <v>146</v>
      </c>
      <c r="E9254" t="s">
        <v>367</v>
      </c>
      <c r="F9254" t="s">
        <v>696</v>
      </c>
      <c r="G9254">
        <v>3760000</v>
      </c>
      <c r="H9254">
        <v>3869000</v>
      </c>
    </row>
    <row r="9255" spans="2:8" x14ac:dyDescent="0.25">
      <c r="B9255" t="str">
        <f t="shared" si="144"/>
        <v>TZAPopulation ages 15-19, female</v>
      </c>
      <c r="C9255" t="s">
        <v>653</v>
      </c>
      <c r="D9255" t="s">
        <v>146</v>
      </c>
      <c r="E9255" t="s">
        <v>368</v>
      </c>
      <c r="F9255" t="s">
        <v>697</v>
      </c>
      <c r="G9255">
        <v>3075000</v>
      </c>
      <c r="H9255">
        <v>3192000</v>
      </c>
    </row>
    <row r="9256" spans="2:8" x14ac:dyDescent="0.25">
      <c r="B9256" t="str">
        <f t="shared" si="144"/>
        <v>TZAPopulation ages 15-19, male</v>
      </c>
      <c r="C9256" t="s">
        <v>653</v>
      </c>
      <c r="D9256" t="s">
        <v>146</v>
      </c>
      <c r="E9256" t="s">
        <v>369</v>
      </c>
      <c r="F9256" t="s">
        <v>698</v>
      </c>
      <c r="G9256">
        <v>3119000</v>
      </c>
      <c r="H9256">
        <v>3242000</v>
      </c>
    </row>
    <row r="9257" spans="2:8" x14ac:dyDescent="0.25">
      <c r="B9257" t="str">
        <f t="shared" si="144"/>
        <v>TZAPopulation ages 20-24, female</v>
      </c>
      <c r="C9257" t="s">
        <v>653</v>
      </c>
      <c r="D9257" t="s">
        <v>146</v>
      </c>
      <c r="E9257" t="s">
        <v>370</v>
      </c>
      <c r="F9257" t="s">
        <v>699</v>
      </c>
      <c r="G9257">
        <v>2545000</v>
      </c>
      <c r="H9257">
        <v>2622000</v>
      </c>
    </row>
    <row r="9258" spans="2:8" x14ac:dyDescent="0.25">
      <c r="B9258" t="str">
        <f t="shared" si="144"/>
        <v>TZAPopulation ages 20-24, male</v>
      </c>
      <c r="C9258" t="s">
        <v>653</v>
      </c>
      <c r="D9258" t="s">
        <v>146</v>
      </c>
      <c r="E9258" t="s">
        <v>371</v>
      </c>
      <c r="F9258" t="s">
        <v>700</v>
      </c>
      <c r="G9258">
        <v>2562000</v>
      </c>
      <c r="H9258">
        <v>2641000</v>
      </c>
    </row>
    <row r="9259" spans="2:8" x14ac:dyDescent="0.25">
      <c r="B9259" t="str">
        <f t="shared" si="144"/>
        <v>TZAPopulation ages 25-29, female</v>
      </c>
      <c r="C9259" t="s">
        <v>653</v>
      </c>
      <c r="D9259" t="s">
        <v>146</v>
      </c>
      <c r="E9259" t="s">
        <v>372</v>
      </c>
      <c r="F9259" t="s">
        <v>701</v>
      </c>
      <c r="G9259">
        <v>2232000</v>
      </c>
      <c r="H9259">
        <v>2289000</v>
      </c>
    </row>
    <row r="9260" spans="2:8" x14ac:dyDescent="0.25">
      <c r="B9260" t="str">
        <f t="shared" si="144"/>
        <v>TZAPopulation ages 25-29, male</v>
      </c>
      <c r="C9260" t="s">
        <v>653</v>
      </c>
      <c r="D9260" t="s">
        <v>146</v>
      </c>
      <c r="E9260" t="s">
        <v>373</v>
      </c>
      <c r="F9260" t="s">
        <v>702</v>
      </c>
      <c r="G9260">
        <v>2237000</v>
      </c>
      <c r="H9260">
        <v>2295000</v>
      </c>
    </row>
    <row r="9261" spans="2:8" x14ac:dyDescent="0.25">
      <c r="B9261" t="str">
        <f t="shared" si="144"/>
        <v>TZAPopulation ages 30-34, female</v>
      </c>
      <c r="C9261" t="s">
        <v>653</v>
      </c>
      <c r="D9261" t="s">
        <v>146</v>
      </c>
      <c r="E9261" t="s">
        <v>374</v>
      </c>
      <c r="F9261" t="s">
        <v>703</v>
      </c>
      <c r="G9261">
        <v>1897000</v>
      </c>
      <c r="H9261">
        <v>1956000</v>
      </c>
    </row>
    <row r="9262" spans="2:8" x14ac:dyDescent="0.25">
      <c r="B9262" t="str">
        <f t="shared" si="144"/>
        <v>TZAPopulation ages 30-34, male</v>
      </c>
      <c r="C9262" t="s">
        <v>653</v>
      </c>
      <c r="D9262" t="s">
        <v>146</v>
      </c>
      <c r="E9262" t="s">
        <v>375</v>
      </c>
      <c r="F9262" t="s">
        <v>704</v>
      </c>
      <c r="G9262">
        <v>1887000</v>
      </c>
      <c r="H9262">
        <v>1947000</v>
      </c>
    </row>
    <row r="9263" spans="2:8" x14ac:dyDescent="0.25">
      <c r="B9263" t="str">
        <f t="shared" si="144"/>
        <v>TZAPopulation ages 35-39, female</v>
      </c>
      <c r="C9263" t="s">
        <v>653</v>
      </c>
      <c r="D9263" t="s">
        <v>146</v>
      </c>
      <c r="E9263" t="s">
        <v>376</v>
      </c>
      <c r="F9263" t="s">
        <v>705</v>
      </c>
      <c r="G9263">
        <v>1581000</v>
      </c>
      <c r="H9263">
        <v>1635000</v>
      </c>
    </row>
    <row r="9264" spans="2:8" x14ac:dyDescent="0.25">
      <c r="B9264" t="str">
        <f t="shared" si="144"/>
        <v>TZAPopulation ages 35-39, male</v>
      </c>
      <c r="C9264" t="s">
        <v>653</v>
      </c>
      <c r="D9264" t="s">
        <v>146</v>
      </c>
      <c r="E9264" t="s">
        <v>377</v>
      </c>
      <c r="F9264" t="s">
        <v>706</v>
      </c>
      <c r="G9264">
        <v>1573000</v>
      </c>
      <c r="H9264">
        <v>1624000</v>
      </c>
    </row>
    <row r="9265" spans="2:8" x14ac:dyDescent="0.25">
      <c r="B9265" t="str">
        <f t="shared" si="144"/>
        <v>TZAPopulation ages 40-44, female</v>
      </c>
      <c r="C9265" t="s">
        <v>653</v>
      </c>
      <c r="D9265" t="s">
        <v>146</v>
      </c>
      <c r="E9265" t="s">
        <v>378</v>
      </c>
      <c r="F9265" t="s">
        <v>707</v>
      </c>
      <c r="G9265">
        <v>1296000</v>
      </c>
      <c r="H9265">
        <v>1345000</v>
      </c>
    </row>
    <row r="9266" spans="2:8" x14ac:dyDescent="0.25">
      <c r="B9266" t="str">
        <f t="shared" si="144"/>
        <v>TZAPopulation ages 40-44, male</v>
      </c>
      <c r="C9266" t="s">
        <v>653</v>
      </c>
      <c r="D9266" t="s">
        <v>146</v>
      </c>
      <c r="E9266" t="s">
        <v>379</v>
      </c>
      <c r="F9266" t="s">
        <v>708</v>
      </c>
      <c r="G9266">
        <v>1291000</v>
      </c>
      <c r="H9266">
        <v>1339000</v>
      </c>
    </row>
    <row r="9267" spans="2:8" x14ac:dyDescent="0.25">
      <c r="B9267" t="str">
        <f t="shared" si="144"/>
        <v>TZAPopulation ages 45-49, female</v>
      </c>
      <c r="C9267" t="s">
        <v>653</v>
      </c>
      <c r="D9267" t="s">
        <v>146</v>
      </c>
      <c r="E9267" t="s">
        <v>380</v>
      </c>
      <c r="F9267" t="s">
        <v>709</v>
      </c>
      <c r="G9267">
        <v>1029000</v>
      </c>
      <c r="H9267">
        <v>1073000</v>
      </c>
    </row>
    <row r="9268" spans="2:8" x14ac:dyDescent="0.25">
      <c r="B9268" t="str">
        <f t="shared" si="144"/>
        <v>TZAPopulation ages 45-49, male</v>
      </c>
      <c r="C9268" t="s">
        <v>653</v>
      </c>
      <c r="D9268" t="s">
        <v>146</v>
      </c>
      <c r="E9268" t="s">
        <v>381</v>
      </c>
      <c r="F9268" t="s">
        <v>710</v>
      </c>
      <c r="G9268">
        <v>1019000</v>
      </c>
      <c r="H9268">
        <v>1063000</v>
      </c>
    </row>
    <row r="9269" spans="2:8" x14ac:dyDescent="0.25">
      <c r="B9269" t="str">
        <f t="shared" si="144"/>
        <v>TZAPopulation ages 50-54, female</v>
      </c>
      <c r="C9269" t="s">
        <v>653</v>
      </c>
      <c r="D9269" t="s">
        <v>146</v>
      </c>
      <c r="E9269" t="s">
        <v>382</v>
      </c>
      <c r="F9269" t="s">
        <v>711</v>
      </c>
      <c r="G9269">
        <v>808000</v>
      </c>
      <c r="H9269">
        <v>842000</v>
      </c>
    </row>
    <row r="9270" spans="2:8" x14ac:dyDescent="0.25">
      <c r="B9270" t="str">
        <f t="shared" si="144"/>
        <v>TZAPopulation ages 50-54, male</v>
      </c>
      <c r="C9270" t="s">
        <v>653</v>
      </c>
      <c r="D9270" t="s">
        <v>146</v>
      </c>
      <c r="E9270" t="s">
        <v>383</v>
      </c>
      <c r="F9270" t="s">
        <v>712</v>
      </c>
      <c r="G9270">
        <v>783000</v>
      </c>
      <c r="H9270">
        <v>819000</v>
      </c>
    </row>
    <row r="9271" spans="2:8" x14ac:dyDescent="0.25">
      <c r="B9271" t="str">
        <f t="shared" si="144"/>
        <v>TZAPopulation ages 55-59, male</v>
      </c>
      <c r="C9271" t="s">
        <v>653</v>
      </c>
      <c r="D9271" t="s">
        <v>146</v>
      </c>
      <c r="E9271" t="s">
        <v>385</v>
      </c>
      <c r="F9271" t="s">
        <v>713</v>
      </c>
      <c r="G9271">
        <v>584000</v>
      </c>
      <c r="H9271">
        <v>611000</v>
      </c>
    </row>
    <row r="9272" spans="2:8" x14ac:dyDescent="0.25">
      <c r="B9272" t="str">
        <f t="shared" si="144"/>
        <v>TZAPopulation ages 55-59, female</v>
      </c>
      <c r="C9272" t="s">
        <v>653</v>
      </c>
      <c r="D9272" t="s">
        <v>146</v>
      </c>
      <c r="E9272" t="s">
        <v>384</v>
      </c>
      <c r="F9272" t="s">
        <v>714</v>
      </c>
      <c r="G9272">
        <v>629000</v>
      </c>
      <c r="H9272">
        <v>655000</v>
      </c>
    </row>
    <row r="9273" spans="2:8" x14ac:dyDescent="0.25">
      <c r="B9273" t="str">
        <f t="shared" si="144"/>
        <v>TZAPopulation ages 65-69, male</v>
      </c>
      <c r="C9273" t="s">
        <v>653</v>
      </c>
      <c r="D9273" t="s">
        <v>146</v>
      </c>
      <c r="E9273" t="s">
        <v>389</v>
      </c>
      <c r="F9273" t="s">
        <v>715</v>
      </c>
      <c r="G9273">
        <v>292000</v>
      </c>
      <c r="H9273">
        <v>305000</v>
      </c>
    </row>
    <row r="9274" spans="2:8" x14ac:dyDescent="0.25">
      <c r="B9274" t="str">
        <f t="shared" si="144"/>
        <v>TZAPopulation ages 65-69, female</v>
      </c>
      <c r="C9274" t="s">
        <v>653</v>
      </c>
      <c r="D9274" t="s">
        <v>146</v>
      </c>
      <c r="E9274" t="s">
        <v>388</v>
      </c>
      <c r="F9274" t="s">
        <v>716</v>
      </c>
      <c r="G9274">
        <v>357000</v>
      </c>
      <c r="H9274">
        <v>370000</v>
      </c>
    </row>
    <row r="9275" spans="2:8" x14ac:dyDescent="0.25">
      <c r="B9275" t="str">
        <f t="shared" si="144"/>
        <v>TZAPopulation ages 60-64, female</v>
      </c>
      <c r="C9275" t="s">
        <v>653</v>
      </c>
      <c r="D9275" t="s">
        <v>146</v>
      </c>
      <c r="E9275" t="s">
        <v>386</v>
      </c>
      <c r="F9275" t="s">
        <v>717</v>
      </c>
      <c r="G9275">
        <v>483000</v>
      </c>
      <c r="H9275">
        <v>503000</v>
      </c>
    </row>
    <row r="9276" spans="2:8" x14ac:dyDescent="0.25">
      <c r="B9276" t="str">
        <f t="shared" si="144"/>
        <v>TZAPopulation ages 60-64, male</v>
      </c>
      <c r="C9276" t="s">
        <v>653</v>
      </c>
      <c r="D9276" t="s">
        <v>146</v>
      </c>
      <c r="E9276" t="s">
        <v>387</v>
      </c>
      <c r="F9276" t="s">
        <v>718</v>
      </c>
      <c r="G9276">
        <v>424000</v>
      </c>
      <c r="H9276">
        <v>445000</v>
      </c>
    </row>
    <row r="9277" spans="2:8" x14ac:dyDescent="0.25">
      <c r="B9277" t="str">
        <f t="shared" si="144"/>
        <v>TZAPopulation ages 70-74, female</v>
      </c>
      <c r="C9277" t="s">
        <v>653</v>
      </c>
      <c r="D9277" t="s">
        <v>146</v>
      </c>
      <c r="E9277" t="s">
        <v>390</v>
      </c>
      <c r="F9277" t="s">
        <v>719</v>
      </c>
      <c r="G9277">
        <v>262000</v>
      </c>
      <c r="H9277">
        <v>272000</v>
      </c>
    </row>
    <row r="9278" spans="2:8" x14ac:dyDescent="0.25">
      <c r="B9278" t="str">
        <f t="shared" si="144"/>
        <v>TZAPopulation ages 70-74, male</v>
      </c>
      <c r="C9278" t="s">
        <v>653</v>
      </c>
      <c r="D9278" t="s">
        <v>146</v>
      </c>
      <c r="E9278" t="s">
        <v>391</v>
      </c>
      <c r="F9278" t="s">
        <v>720</v>
      </c>
      <c r="G9278">
        <v>192000</v>
      </c>
      <c r="H9278">
        <v>200000</v>
      </c>
    </row>
    <row r="9279" spans="2:8" x14ac:dyDescent="0.25">
      <c r="B9279" t="str">
        <f t="shared" si="144"/>
        <v>TZAPopulation ages 75-79, female</v>
      </c>
      <c r="C9279" t="s">
        <v>653</v>
      </c>
      <c r="D9279" t="s">
        <v>146</v>
      </c>
      <c r="E9279" t="s">
        <v>392</v>
      </c>
      <c r="F9279" t="s">
        <v>721</v>
      </c>
      <c r="G9279">
        <v>155000</v>
      </c>
      <c r="H9279">
        <v>162000</v>
      </c>
    </row>
    <row r="9280" spans="2:8" x14ac:dyDescent="0.25">
      <c r="B9280" t="str">
        <f t="shared" si="144"/>
        <v>TZAPopulation ages 75-79, male</v>
      </c>
      <c r="C9280" t="s">
        <v>653</v>
      </c>
      <c r="D9280" t="s">
        <v>146</v>
      </c>
      <c r="E9280" t="s">
        <v>393</v>
      </c>
      <c r="F9280" t="s">
        <v>722</v>
      </c>
      <c r="G9280">
        <v>102000</v>
      </c>
      <c r="H9280">
        <v>107000</v>
      </c>
    </row>
    <row r="9281" spans="2:8" x14ac:dyDescent="0.25">
      <c r="B9281" t="str">
        <f t="shared" si="144"/>
        <v>TZAPopulation ages 80 and above, female</v>
      </c>
      <c r="C9281" t="s">
        <v>653</v>
      </c>
      <c r="D9281" t="s">
        <v>146</v>
      </c>
      <c r="E9281" t="s">
        <v>394</v>
      </c>
      <c r="F9281" t="s">
        <v>723</v>
      </c>
      <c r="G9281">
        <v>104000</v>
      </c>
      <c r="H9281">
        <v>105000</v>
      </c>
    </row>
    <row r="9282" spans="2:8" x14ac:dyDescent="0.25">
      <c r="B9282" t="str">
        <f t="shared" si="144"/>
        <v>TZAPopulation ages 80 and above, male</v>
      </c>
      <c r="C9282" t="s">
        <v>653</v>
      </c>
      <c r="D9282" t="s">
        <v>146</v>
      </c>
      <c r="E9282" t="s">
        <v>395</v>
      </c>
      <c r="F9282" t="s">
        <v>724</v>
      </c>
      <c r="G9282">
        <v>57000</v>
      </c>
      <c r="H9282">
        <v>58000</v>
      </c>
    </row>
    <row r="9283" spans="2:8" x14ac:dyDescent="0.25">
      <c r="B9283" t="str">
        <f t="shared" si="144"/>
        <v>TZAPopulation, male</v>
      </c>
      <c r="C9283" t="s">
        <v>653</v>
      </c>
      <c r="D9283" t="s">
        <v>146</v>
      </c>
      <c r="E9283" t="s">
        <v>397</v>
      </c>
      <c r="F9283" t="s">
        <v>725</v>
      </c>
      <c r="G9283">
        <v>28981000</v>
      </c>
      <c r="H9283">
        <v>29851000</v>
      </c>
    </row>
    <row r="9284" spans="2:8" x14ac:dyDescent="0.25">
      <c r="B9284" t="str">
        <f t="shared" si="144"/>
        <v>TZAPopulation, total</v>
      </c>
      <c r="C9284" t="s">
        <v>653</v>
      </c>
      <c r="D9284" t="s">
        <v>146</v>
      </c>
      <c r="E9284" t="s">
        <v>398</v>
      </c>
      <c r="F9284" t="s">
        <v>726</v>
      </c>
      <c r="G9284">
        <v>58005000</v>
      </c>
      <c r="H9284">
        <v>59734000</v>
      </c>
    </row>
    <row r="9285" spans="2:8" x14ac:dyDescent="0.25">
      <c r="B9285" t="str">
        <f t="shared" si="144"/>
        <v>TZAPopulation, female</v>
      </c>
      <c r="C9285" t="s">
        <v>653</v>
      </c>
      <c r="D9285" t="s">
        <v>146</v>
      </c>
      <c r="E9285" t="s">
        <v>396</v>
      </c>
      <c r="F9285" t="s">
        <v>727</v>
      </c>
      <c r="G9285">
        <v>29025000</v>
      </c>
      <c r="H9285">
        <v>29883000</v>
      </c>
    </row>
    <row r="9286" spans="2:8" x14ac:dyDescent="0.25">
      <c r="B9286" t="str">
        <f t="shared" si="144"/>
        <v>TZAPopulation growth (annual %)</v>
      </c>
      <c r="C9286" t="s">
        <v>653</v>
      </c>
      <c r="D9286" t="s">
        <v>146</v>
      </c>
      <c r="E9286" t="s">
        <v>399</v>
      </c>
      <c r="F9286" t="s">
        <v>728</v>
      </c>
      <c r="G9286">
        <v>0</v>
      </c>
      <c r="H9286">
        <v>0</v>
      </c>
    </row>
    <row r="9287" spans="2:8" x14ac:dyDescent="0.25">
      <c r="B9287" t="str">
        <f t="shared" ref="B9287:B9350" si="145">CONCATENATE(D9287,E9287)</f>
        <v>THAPopulation ages 0-14, female</v>
      </c>
      <c r="C9287" t="s">
        <v>654</v>
      </c>
      <c r="D9287" t="s">
        <v>138</v>
      </c>
      <c r="E9287" t="s">
        <v>687</v>
      </c>
      <c r="F9287" t="s">
        <v>688</v>
      </c>
      <c r="G9287">
        <v>5687000</v>
      </c>
      <c r="H9287">
        <v>5609000</v>
      </c>
    </row>
    <row r="9288" spans="2:8" x14ac:dyDescent="0.25">
      <c r="B9288" t="str">
        <f t="shared" si="145"/>
        <v>THAPopulation ages 0-14, male</v>
      </c>
      <c r="C9288" t="s">
        <v>654</v>
      </c>
      <c r="D9288" t="s">
        <v>138</v>
      </c>
      <c r="E9288" t="s">
        <v>689</v>
      </c>
      <c r="F9288" t="s">
        <v>690</v>
      </c>
      <c r="G9288">
        <v>6026000</v>
      </c>
      <c r="H9288">
        <v>5944000</v>
      </c>
    </row>
    <row r="9289" spans="2:8" x14ac:dyDescent="0.25">
      <c r="B9289" t="str">
        <f t="shared" si="145"/>
        <v>THAPopulation ages 00-04, female</v>
      </c>
      <c r="C9289" t="s">
        <v>654</v>
      </c>
      <c r="D9289" t="s">
        <v>138</v>
      </c>
      <c r="E9289" t="s">
        <v>362</v>
      </c>
      <c r="F9289" t="s">
        <v>691</v>
      </c>
      <c r="G9289">
        <v>1771000</v>
      </c>
      <c r="H9289">
        <v>1746000</v>
      </c>
    </row>
    <row r="9290" spans="2:8" x14ac:dyDescent="0.25">
      <c r="B9290" t="str">
        <f t="shared" si="145"/>
        <v>THAPopulation ages 00-04, male</v>
      </c>
      <c r="C9290" t="s">
        <v>654</v>
      </c>
      <c r="D9290" t="s">
        <v>138</v>
      </c>
      <c r="E9290" t="s">
        <v>363</v>
      </c>
      <c r="F9290" t="s">
        <v>692</v>
      </c>
      <c r="G9290">
        <v>1877000</v>
      </c>
      <c r="H9290">
        <v>1850000</v>
      </c>
    </row>
    <row r="9291" spans="2:8" x14ac:dyDescent="0.25">
      <c r="B9291" t="str">
        <f t="shared" si="145"/>
        <v>THAPopulation ages 05-09, female</v>
      </c>
      <c r="C9291" t="s">
        <v>654</v>
      </c>
      <c r="D9291" t="s">
        <v>138</v>
      </c>
      <c r="E9291" t="s">
        <v>364</v>
      </c>
      <c r="F9291" t="s">
        <v>693</v>
      </c>
      <c r="G9291">
        <v>1894000</v>
      </c>
      <c r="H9291">
        <v>1867000</v>
      </c>
    </row>
    <row r="9292" spans="2:8" x14ac:dyDescent="0.25">
      <c r="B9292" t="str">
        <f t="shared" si="145"/>
        <v>THAPopulation ages 05-09, male</v>
      </c>
      <c r="C9292" t="s">
        <v>654</v>
      </c>
      <c r="D9292" t="s">
        <v>138</v>
      </c>
      <c r="E9292" t="s">
        <v>365</v>
      </c>
      <c r="F9292" t="s">
        <v>694</v>
      </c>
      <c r="G9292">
        <v>2007000</v>
      </c>
      <c r="H9292">
        <v>1977000</v>
      </c>
    </row>
    <row r="9293" spans="2:8" x14ac:dyDescent="0.25">
      <c r="B9293" t="str">
        <f t="shared" si="145"/>
        <v>THAPopulation ages 10-14, female</v>
      </c>
      <c r="C9293" t="s">
        <v>654</v>
      </c>
      <c r="D9293" t="s">
        <v>138</v>
      </c>
      <c r="E9293" t="s">
        <v>366</v>
      </c>
      <c r="F9293" t="s">
        <v>695</v>
      </c>
      <c r="G9293">
        <v>2022000</v>
      </c>
      <c r="H9293">
        <v>1997000</v>
      </c>
    </row>
    <row r="9294" spans="2:8" x14ac:dyDescent="0.25">
      <c r="B9294" t="str">
        <f t="shared" si="145"/>
        <v>THAPopulation ages 10-14, male</v>
      </c>
      <c r="C9294" t="s">
        <v>654</v>
      </c>
      <c r="D9294" t="s">
        <v>138</v>
      </c>
      <c r="E9294" t="s">
        <v>367</v>
      </c>
      <c r="F9294" t="s">
        <v>696</v>
      </c>
      <c r="G9294">
        <v>2143000</v>
      </c>
      <c r="H9294">
        <v>2117000</v>
      </c>
    </row>
    <row r="9295" spans="2:8" x14ac:dyDescent="0.25">
      <c r="B9295" t="str">
        <f t="shared" si="145"/>
        <v>THAPopulation ages 15-19, female</v>
      </c>
      <c r="C9295" t="s">
        <v>654</v>
      </c>
      <c r="D9295" t="s">
        <v>138</v>
      </c>
      <c r="E9295" t="s">
        <v>368</v>
      </c>
      <c r="F9295" t="s">
        <v>697</v>
      </c>
      <c r="G9295">
        <v>2177000</v>
      </c>
      <c r="H9295">
        <v>2134000</v>
      </c>
    </row>
    <row r="9296" spans="2:8" x14ac:dyDescent="0.25">
      <c r="B9296" t="str">
        <f t="shared" si="145"/>
        <v>THAPopulation ages 15-19, male</v>
      </c>
      <c r="C9296" t="s">
        <v>654</v>
      </c>
      <c r="D9296" t="s">
        <v>138</v>
      </c>
      <c r="E9296" t="s">
        <v>369</v>
      </c>
      <c r="F9296" t="s">
        <v>698</v>
      </c>
      <c r="G9296">
        <v>2287000</v>
      </c>
      <c r="H9296">
        <v>2245000</v>
      </c>
    </row>
    <row r="9297" spans="2:8" x14ac:dyDescent="0.25">
      <c r="B9297" t="str">
        <f t="shared" si="145"/>
        <v>THAPopulation ages 20-24, female</v>
      </c>
      <c r="C9297" t="s">
        <v>654</v>
      </c>
      <c r="D9297" t="s">
        <v>138</v>
      </c>
      <c r="E9297" t="s">
        <v>370</v>
      </c>
      <c r="F9297" t="s">
        <v>699</v>
      </c>
      <c r="G9297">
        <v>2385000</v>
      </c>
      <c r="H9297">
        <v>2358000</v>
      </c>
    </row>
    <row r="9298" spans="2:8" x14ac:dyDescent="0.25">
      <c r="B9298" t="str">
        <f t="shared" si="145"/>
        <v>THAPopulation ages 20-24, male</v>
      </c>
      <c r="C9298" t="s">
        <v>654</v>
      </c>
      <c r="D9298" t="s">
        <v>138</v>
      </c>
      <c r="E9298" t="s">
        <v>371</v>
      </c>
      <c r="F9298" t="s">
        <v>700</v>
      </c>
      <c r="G9298">
        <v>2470000</v>
      </c>
      <c r="H9298">
        <v>2450000</v>
      </c>
    </row>
    <row r="9299" spans="2:8" x14ac:dyDescent="0.25">
      <c r="B9299" t="str">
        <f t="shared" si="145"/>
        <v>THAPopulation ages 25-29, female</v>
      </c>
      <c r="C9299" t="s">
        <v>654</v>
      </c>
      <c r="D9299" t="s">
        <v>138</v>
      </c>
      <c r="E9299" t="s">
        <v>372</v>
      </c>
      <c r="F9299" t="s">
        <v>701</v>
      </c>
      <c r="G9299">
        <v>2368000</v>
      </c>
      <c r="H9299">
        <v>2395000</v>
      </c>
    </row>
    <row r="9300" spans="2:8" x14ac:dyDescent="0.25">
      <c r="B9300" t="str">
        <f t="shared" si="145"/>
        <v>THAPopulation ages 25-29, male</v>
      </c>
      <c r="C9300" t="s">
        <v>654</v>
      </c>
      <c r="D9300" t="s">
        <v>138</v>
      </c>
      <c r="E9300" t="s">
        <v>373</v>
      </c>
      <c r="F9300" t="s">
        <v>702</v>
      </c>
      <c r="G9300">
        <v>2393000</v>
      </c>
      <c r="H9300">
        <v>2427000</v>
      </c>
    </row>
    <row r="9301" spans="2:8" x14ac:dyDescent="0.25">
      <c r="B9301" t="str">
        <f t="shared" si="145"/>
        <v>THAPopulation ages 30-34, female</v>
      </c>
      <c r="C9301" t="s">
        <v>654</v>
      </c>
      <c r="D9301" t="s">
        <v>138</v>
      </c>
      <c r="E9301" t="s">
        <v>374</v>
      </c>
      <c r="F9301" t="s">
        <v>703</v>
      </c>
      <c r="G9301">
        <v>2239000</v>
      </c>
      <c r="H9301">
        <v>2235000</v>
      </c>
    </row>
    <row r="9302" spans="2:8" x14ac:dyDescent="0.25">
      <c r="B9302" t="str">
        <f t="shared" si="145"/>
        <v>THAPopulation ages 30-34, male</v>
      </c>
      <c r="C9302" t="s">
        <v>654</v>
      </c>
      <c r="D9302" t="s">
        <v>138</v>
      </c>
      <c r="E9302" t="s">
        <v>375</v>
      </c>
      <c r="F9302" t="s">
        <v>704</v>
      </c>
      <c r="G9302">
        <v>2234000</v>
      </c>
      <c r="H9302">
        <v>2232000</v>
      </c>
    </row>
    <row r="9303" spans="2:8" x14ac:dyDescent="0.25">
      <c r="B9303" t="str">
        <f t="shared" si="145"/>
        <v>THAPopulation ages 35-39, female</v>
      </c>
      <c r="C9303" t="s">
        <v>654</v>
      </c>
      <c r="D9303" t="s">
        <v>138</v>
      </c>
      <c r="E9303" t="s">
        <v>376</v>
      </c>
      <c r="F9303" t="s">
        <v>705</v>
      </c>
      <c r="G9303">
        <v>2465000</v>
      </c>
      <c r="H9303">
        <v>2401000</v>
      </c>
    </row>
    <row r="9304" spans="2:8" x14ac:dyDescent="0.25">
      <c r="B9304" t="str">
        <f t="shared" si="145"/>
        <v>THAPopulation ages 35-39, male</v>
      </c>
      <c r="C9304" t="s">
        <v>654</v>
      </c>
      <c r="D9304" t="s">
        <v>138</v>
      </c>
      <c r="E9304" t="s">
        <v>377</v>
      </c>
      <c r="F9304" t="s">
        <v>706</v>
      </c>
      <c r="G9304">
        <v>2413000</v>
      </c>
      <c r="H9304">
        <v>2362000</v>
      </c>
    </row>
    <row r="9305" spans="2:8" x14ac:dyDescent="0.25">
      <c r="B9305" t="str">
        <f t="shared" si="145"/>
        <v>THAPopulation ages 40-44, female</v>
      </c>
      <c r="C9305" t="s">
        <v>654</v>
      </c>
      <c r="D9305" t="s">
        <v>138</v>
      </c>
      <c r="E9305" t="s">
        <v>378</v>
      </c>
      <c r="F9305" t="s">
        <v>707</v>
      </c>
      <c r="G9305">
        <v>2788000</v>
      </c>
      <c r="H9305">
        <v>2728000</v>
      </c>
    </row>
    <row r="9306" spans="2:8" x14ac:dyDescent="0.25">
      <c r="B9306" t="str">
        <f t="shared" si="145"/>
        <v>THAPopulation ages 40-44, male</v>
      </c>
      <c r="C9306" t="s">
        <v>654</v>
      </c>
      <c r="D9306" t="s">
        <v>138</v>
      </c>
      <c r="E9306" t="s">
        <v>379</v>
      </c>
      <c r="F9306" t="s">
        <v>708</v>
      </c>
      <c r="G9306">
        <v>2625000</v>
      </c>
      <c r="H9306">
        <v>2580000</v>
      </c>
    </row>
    <row r="9307" spans="2:8" x14ac:dyDescent="0.25">
      <c r="B9307" t="str">
        <f t="shared" si="145"/>
        <v>THAPopulation ages 45-49, female</v>
      </c>
      <c r="C9307" t="s">
        <v>654</v>
      </c>
      <c r="D9307" t="s">
        <v>138</v>
      </c>
      <c r="E9307" t="s">
        <v>380</v>
      </c>
      <c r="F9307" t="s">
        <v>709</v>
      </c>
      <c r="G9307">
        <v>2953000</v>
      </c>
      <c r="H9307">
        <v>2925000</v>
      </c>
    </row>
    <row r="9308" spans="2:8" x14ac:dyDescent="0.25">
      <c r="B9308" t="str">
        <f t="shared" si="145"/>
        <v>THAPopulation ages 45-49, male</v>
      </c>
      <c r="C9308" t="s">
        <v>654</v>
      </c>
      <c r="D9308" t="s">
        <v>138</v>
      </c>
      <c r="E9308" t="s">
        <v>381</v>
      </c>
      <c r="F9308" t="s">
        <v>710</v>
      </c>
      <c r="G9308">
        <v>2705000</v>
      </c>
      <c r="H9308">
        <v>2680000</v>
      </c>
    </row>
    <row r="9309" spans="2:8" x14ac:dyDescent="0.25">
      <c r="B9309" t="str">
        <f t="shared" si="145"/>
        <v>THAPopulation ages 50-54, female</v>
      </c>
      <c r="C9309" t="s">
        <v>654</v>
      </c>
      <c r="D9309" t="s">
        <v>138</v>
      </c>
      <c r="E9309" t="s">
        <v>382</v>
      </c>
      <c r="F9309" t="s">
        <v>711</v>
      </c>
      <c r="G9309">
        <v>2917000</v>
      </c>
      <c r="H9309">
        <v>2940000</v>
      </c>
    </row>
    <row r="9310" spans="2:8" x14ac:dyDescent="0.25">
      <c r="B9310" t="str">
        <f t="shared" si="145"/>
        <v>THAPopulation ages 50-54, male</v>
      </c>
      <c r="C9310" t="s">
        <v>654</v>
      </c>
      <c r="D9310" t="s">
        <v>138</v>
      </c>
      <c r="E9310" t="s">
        <v>383</v>
      </c>
      <c r="F9310" t="s">
        <v>712</v>
      </c>
      <c r="G9310">
        <v>2646000</v>
      </c>
      <c r="H9310">
        <v>2659000</v>
      </c>
    </row>
    <row r="9311" spans="2:8" x14ac:dyDescent="0.25">
      <c r="B9311" t="str">
        <f t="shared" si="145"/>
        <v>THAPopulation ages 55-59, male</v>
      </c>
      <c r="C9311" t="s">
        <v>654</v>
      </c>
      <c r="D9311" t="s">
        <v>138</v>
      </c>
      <c r="E9311" t="s">
        <v>385</v>
      </c>
      <c r="F9311" t="s">
        <v>713</v>
      </c>
      <c r="G9311">
        <v>2367000</v>
      </c>
      <c r="H9311">
        <v>2406000</v>
      </c>
    </row>
    <row r="9312" spans="2:8" x14ac:dyDescent="0.25">
      <c r="B9312" t="str">
        <f t="shared" si="145"/>
        <v>THAPopulation ages 55-59, female</v>
      </c>
      <c r="C9312" t="s">
        <v>654</v>
      </c>
      <c r="D9312" t="s">
        <v>138</v>
      </c>
      <c r="E9312" t="s">
        <v>384</v>
      </c>
      <c r="F9312" t="s">
        <v>714</v>
      </c>
      <c r="G9312">
        <v>2627000</v>
      </c>
      <c r="H9312">
        <v>2677000</v>
      </c>
    </row>
    <row r="9313" spans="2:8" x14ac:dyDescent="0.25">
      <c r="B9313" t="str">
        <f t="shared" si="145"/>
        <v>THAPopulation ages 65-69, male</v>
      </c>
      <c r="C9313" t="s">
        <v>654</v>
      </c>
      <c r="D9313" t="s">
        <v>138</v>
      </c>
      <c r="E9313" t="s">
        <v>389</v>
      </c>
      <c r="F9313" t="s">
        <v>715</v>
      </c>
      <c r="G9313">
        <v>1415000</v>
      </c>
      <c r="H9313">
        <v>1493000</v>
      </c>
    </row>
    <row r="9314" spans="2:8" x14ac:dyDescent="0.25">
      <c r="B9314" t="str">
        <f t="shared" si="145"/>
        <v>THAPopulation ages 65-69, female</v>
      </c>
      <c r="C9314" t="s">
        <v>654</v>
      </c>
      <c r="D9314" t="s">
        <v>138</v>
      </c>
      <c r="E9314" t="s">
        <v>388</v>
      </c>
      <c r="F9314" t="s">
        <v>716</v>
      </c>
      <c r="G9314">
        <v>1673000</v>
      </c>
      <c r="H9314">
        <v>1764000</v>
      </c>
    </row>
    <row r="9315" spans="2:8" x14ac:dyDescent="0.25">
      <c r="B9315" t="str">
        <f t="shared" si="145"/>
        <v>THAPopulation ages 60-64, female</v>
      </c>
      <c r="C9315" t="s">
        <v>654</v>
      </c>
      <c r="D9315" t="s">
        <v>138</v>
      </c>
      <c r="E9315" t="s">
        <v>386</v>
      </c>
      <c r="F9315" t="s">
        <v>717</v>
      </c>
      <c r="G9315">
        <v>2245000</v>
      </c>
      <c r="H9315">
        <v>2329000</v>
      </c>
    </row>
    <row r="9316" spans="2:8" x14ac:dyDescent="0.25">
      <c r="B9316" t="str">
        <f t="shared" si="145"/>
        <v>THAPopulation ages 60-64, male</v>
      </c>
      <c r="C9316" t="s">
        <v>654</v>
      </c>
      <c r="D9316" t="s">
        <v>138</v>
      </c>
      <c r="E9316" t="s">
        <v>387</v>
      </c>
      <c r="F9316" t="s">
        <v>718</v>
      </c>
      <c r="G9316">
        <v>1968000</v>
      </c>
      <c r="H9316">
        <v>2039000</v>
      </c>
    </row>
    <row r="9317" spans="2:8" x14ac:dyDescent="0.25">
      <c r="B9317" t="str">
        <f t="shared" si="145"/>
        <v>THAPopulation ages 70-74, female</v>
      </c>
      <c r="C9317" t="s">
        <v>654</v>
      </c>
      <c r="D9317" t="s">
        <v>138</v>
      </c>
      <c r="E9317" t="s">
        <v>390</v>
      </c>
      <c r="F9317" t="s">
        <v>719</v>
      </c>
      <c r="G9317">
        <v>1207000</v>
      </c>
      <c r="H9317">
        <v>1269000</v>
      </c>
    </row>
    <row r="9318" spans="2:8" x14ac:dyDescent="0.25">
      <c r="B9318" t="str">
        <f t="shared" si="145"/>
        <v>THAPopulation ages 70-74, male</v>
      </c>
      <c r="C9318" t="s">
        <v>654</v>
      </c>
      <c r="D9318" t="s">
        <v>138</v>
      </c>
      <c r="E9318" t="s">
        <v>391</v>
      </c>
      <c r="F9318" t="s">
        <v>720</v>
      </c>
      <c r="G9318">
        <v>964000</v>
      </c>
      <c r="H9318">
        <v>1013000</v>
      </c>
    </row>
    <row r="9319" spans="2:8" x14ac:dyDescent="0.25">
      <c r="B9319" t="str">
        <f t="shared" si="145"/>
        <v>THAPopulation ages 75-79, female</v>
      </c>
      <c r="C9319" t="s">
        <v>654</v>
      </c>
      <c r="D9319" t="s">
        <v>138</v>
      </c>
      <c r="E9319" t="s">
        <v>392</v>
      </c>
      <c r="F9319" t="s">
        <v>721</v>
      </c>
      <c r="G9319">
        <v>871000</v>
      </c>
      <c r="H9319">
        <v>901000</v>
      </c>
    </row>
    <row r="9320" spans="2:8" x14ac:dyDescent="0.25">
      <c r="B9320" t="str">
        <f t="shared" si="145"/>
        <v>THAPopulation ages 75-79, male</v>
      </c>
      <c r="C9320" t="s">
        <v>654</v>
      </c>
      <c r="D9320" t="s">
        <v>138</v>
      </c>
      <c r="E9320" t="s">
        <v>393</v>
      </c>
      <c r="F9320" t="s">
        <v>722</v>
      </c>
      <c r="G9320">
        <v>661000</v>
      </c>
      <c r="H9320">
        <v>683000</v>
      </c>
    </row>
    <row r="9321" spans="2:8" x14ac:dyDescent="0.25">
      <c r="B9321" t="str">
        <f t="shared" si="145"/>
        <v>THAPopulation ages 80 and above, female</v>
      </c>
      <c r="C9321" t="s">
        <v>654</v>
      </c>
      <c r="D9321" t="s">
        <v>138</v>
      </c>
      <c r="E9321" t="s">
        <v>394</v>
      </c>
      <c r="F9321" t="s">
        <v>723</v>
      </c>
      <c r="G9321">
        <v>1117000</v>
      </c>
      <c r="H9321">
        <v>1168000</v>
      </c>
    </row>
    <row r="9322" spans="2:8" x14ac:dyDescent="0.25">
      <c r="B9322" t="str">
        <f t="shared" si="145"/>
        <v>THAPopulation ages 80 and above, male</v>
      </c>
      <c r="C9322" t="s">
        <v>654</v>
      </c>
      <c r="D9322" t="s">
        <v>138</v>
      </c>
      <c r="E9322" t="s">
        <v>395</v>
      </c>
      <c r="F9322" t="s">
        <v>724</v>
      </c>
      <c r="G9322">
        <v>730000</v>
      </c>
      <c r="H9322">
        <v>753000</v>
      </c>
    </row>
    <row r="9323" spans="2:8" x14ac:dyDescent="0.25">
      <c r="B9323" t="str">
        <f t="shared" si="145"/>
        <v>THAPopulation, male</v>
      </c>
      <c r="C9323" t="s">
        <v>654</v>
      </c>
      <c r="D9323" t="s">
        <v>138</v>
      </c>
      <c r="E9323" t="s">
        <v>397</v>
      </c>
      <c r="F9323" t="s">
        <v>725</v>
      </c>
      <c r="G9323">
        <v>33905000</v>
      </c>
      <c r="H9323">
        <v>33966000</v>
      </c>
    </row>
    <row r="9324" spans="2:8" x14ac:dyDescent="0.25">
      <c r="B9324" t="str">
        <f t="shared" si="145"/>
        <v>THAPopulation, total</v>
      </c>
      <c r="C9324" t="s">
        <v>654</v>
      </c>
      <c r="D9324" t="s">
        <v>138</v>
      </c>
      <c r="E9324" t="s">
        <v>398</v>
      </c>
      <c r="F9324" t="s">
        <v>726</v>
      </c>
      <c r="G9324">
        <v>69626000</v>
      </c>
      <c r="H9324">
        <v>69800000</v>
      </c>
    </row>
    <row r="9325" spans="2:8" x14ac:dyDescent="0.25">
      <c r="B9325" t="str">
        <f t="shared" si="145"/>
        <v>THAPopulation, female</v>
      </c>
      <c r="C9325" t="s">
        <v>654</v>
      </c>
      <c r="D9325" t="s">
        <v>138</v>
      </c>
      <c r="E9325" t="s">
        <v>396</v>
      </c>
      <c r="F9325" t="s">
        <v>727</v>
      </c>
      <c r="G9325">
        <v>35721000</v>
      </c>
      <c r="H9325">
        <v>35834000</v>
      </c>
    </row>
    <row r="9326" spans="2:8" x14ac:dyDescent="0.25">
      <c r="B9326" t="str">
        <f t="shared" si="145"/>
        <v>THAPopulation growth (annual %)</v>
      </c>
      <c r="C9326" t="s">
        <v>654</v>
      </c>
      <c r="D9326" t="s">
        <v>138</v>
      </c>
      <c r="E9326" t="s">
        <v>399</v>
      </c>
      <c r="F9326" t="s">
        <v>728</v>
      </c>
      <c r="G9326">
        <v>0</v>
      </c>
      <c r="H9326">
        <v>0</v>
      </c>
    </row>
    <row r="9327" spans="2:8" x14ac:dyDescent="0.25">
      <c r="B9327" t="str">
        <f t="shared" si="145"/>
        <v>TLSPopulation ages 0-14, female</v>
      </c>
      <c r="C9327" t="s">
        <v>246</v>
      </c>
      <c r="D9327" t="s">
        <v>140</v>
      </c>
      <c r="E9327" t="s">
        <v>687</v>
      </c>
      <c r="F9327" t="s">
        <v>688</v>
      </c>
      <c r="G9327">
        <v>237000</v>
      </c>
      <c r="H9327">
        <v>239000</v>
      </c>
    </row>
    <row r="9328" spans="2:8" x14ac:dyDescent="0.25">
      <c r="B9328" t="str">
        <f t="shared" si="145"/>
        <v>TLSPopulation ages 0-14, male</v>
      </c>
      <c r="C9328" t="s">
        <v>246</v>
      </c>
      <c r="D9328" t="s">
        <v>140</v>
      </c>
      <c r="E9328" t="s">
        <v>689</v>
      </c>
      <c r="F9328" t="s">
        <v>690</v>
      </c>
      <c r="G9328">
        <v>245000</v>
      </c>
      <c r="H9328">
        <v>247000</v>
      </c>
    </row>
    <row r="9329" spans="2:8" x14ac:dyDescent="0.25">
      <c r="B9329" t="str">
        <f t="shared" si="145"/>
        <v>TLSPopulation ages 00-04, female</v>
      </c>
      <c r="C9329" t="s">
        <v>246</v>
      </c>
      <c r="D9329" t="s">
        <v>140</v>
      </c>
      <c r="E9329" t="s">
        <v>362</v>
      </c>
      <c r="F9329" t="s">
        <v>691</v>
      </c>
      <c r="G9329">
        <v>85000</v>
      </c>
      <c r="H9329">
        <v>87000</v>
      </c>
    </row>
    <row r="9330" spans="2:8" x14ac:dyDescent="0.25">
      <c r="B9330" t="str">
        <f t="shared" si="145"/>
        <v>TLSPopulation ages 00-04, male</v>
      </c>
      <c r="C9330" t="s">
        <v>246</v>
      </c>
      <c r="D9330" t="s">
        <v>140</v>
      </c>
      <c r="E9330" t="s">
        <v>363</v>
      </c>
      <c r="F9330" t="s">
        <v>692</v>
      </c>
      <c r="G9330">
        <v>89000</v>
      </c>
      <c r="H9330">
        <v>91000</v>
      </c>
    </row>
    <row r="9331" spans="2:8" x14ac:dyDescent="0.25">
      <c r="B9331" t="str">
        <f t="shared" si="145"/>
        <v>TLSPopulation ages 05-09, female</v>
      </c>
      <c r="C9331" t="s">
        <v>246</v>
      </c>
      <c r="D9331" t="s">
        <v>140</v>
      </c>
      <c r="E9331" t="s">
        <v>364</v>
      </c>
      <c r="F9331" t="s">
        <v>693</v>
      </c>
      <c r="G9331">
        <v>75000</v>
      </c>
      <c r="H9331">
        <v>75000</v>
      </c>
    </row>
    <row r="9332" spans="2:8" x14ac:dyDescent="0.25">
      <c r="B9332" t="str">
        <f t="shared" si="145"/>
        <v>TLSPopulation ages 05-09, male</v>
      </c>
      <c r="C9332" t="s">
        <v>246</v>
      </c>
      <c r="D9332" t="s">
        <v>140</v>
      </c>
      <c r="E9332" t="s">
        <v>365</v>
      </c>
      <c r="F9332" t="s">
        <v>694</v>
      </c>
      <c r="G9332">
        <v>78000</v>
      </c>
      <c r="H9332">
        <v>78000</v>
      </c>
    </row>
    <row r="9333" spans="2:8" x14ac:dyDescent="0.25">
      <c r="B9333" t="str">
        <f t="shared" si="145"/>
        <v>TLSPopulation ages 10-14, female</v>
      </c>
      <c r="C9333" t="s">
        <v>246</v>
      </c>
      <c r="D9333" t="s">
        <v>140</v>
      </c>
      <c r="E9333" t="s">
        <v>366</v>
      </c>
      <c r="F9333" t="s">
        <v>695</v>
      </c>
      <c r="G9333">
        <v>76000</v>
      </c>
      <c r="H9333">
        <v>76000</v>
      </c>
    </row>
    <row r="9334" spans="2:8" x14ac:dyDescent="0.25">
      <c r="B9334" t="str">
        <f t="shared" si="145"/>
        <v>TLSPopulation ages 10-14, male</v>
      </c>
      <c r="C9334" t="s">
        <v>246</v>
      </c>
      <c r="D9334" t="s">
        <v>140</v>
      </c>
      <c r="E9334" t="s">
        <v>367</v>
      </c>
      <c r="F9334" t="s">
        <v>696</v>
      </c>
      <c r="G9334">
        <v>79000</v>
      </c>
      <c r="H9334">
        <v>78000</v>
      </c>
    </row>
    <row r="9335" spans="2:8" x14ac:dyDescent="0.25">
      <c r="B9335" t="str">
        <f t="shared" si="145"/>
        <v>TLSPopulation ages 15-19, female</v>
      </c>
      <c r="C9335" t="s">
        <v>246</v>
      </c>
      <c r="D9335" t="s">
        <v>140</v>
      </c>
      <c r="E9335" t="s">
        <v>368</v>
      </c>
      <c r="F9335" t="s">
        <v>697</v>
      </c>
      <c r="G9335">
        <v>74000</v>
      </c>
      <c r="H9335">
        <v>75000</v>
      </c>
    </row>
    <row r="9336" spans="2:8" x14ac:dyDescent="0.25">
      <c r="B9336" t="str">
        <f t="shared" si="145"/>
        <v>TLSPopulation ages 15-19, male</v>
      </c>
      <c r="C9336" t="s">
        <v>246</v>
      </c>
      <c r="D9336" t="s">
        <v>140</v>
      </c>
      <c r="E9336" t="s">
        <v>369</v>
      </c>
      <c r="F9336" t="s">
        <v>698</v>
      </c>
      <c r="G9336">
        <v>76000</v>
      </c>
      <c r="H9336">
        <v>78000</v>
      </c>
    </row>
    <row r="9337" spans="2:8" x14ac:dyDescent="0.25">
      <c r="B9337" t="str">
        <f t="shared" si="145"/>
        <v>TLSPopulation ages 20-24, female</v>
      </c>
      <c r="C9337" t="s">
        <v>246</v>
      </c>
      <c r="D9337" t="s">
        <v>140</v>
      </c>
      <c r="E9337" t="s">
        <v>370</v>
      </c>
      <c r="F9337" t="s">
        <v>699</v>
      </c>
      <c r="G9337">
        <v>63000</v>
      </c>
      <c r="H9337">
        <v>64000</v>
      </c>
    </row>
    <row r="9338" spans="2:8" x14ac:dyDescent="0.25">
      <c r="B9338" t="str">
        <f t="shared" si="145"/>
        <v>TLSPopulation ages 20-24, male</v>
      </c>
      <c r="C9338" t="s">
        <v>246</v>
      </c>
      <c r="D9338" t="s">
        <v>140</v>
      </c>
      <c r="E9338" t="s">
        <v>371</v>
      </c>
      <c r="F9338" t="s">
        <v>700</v>
      </c>
      <c r="G9338">
        <v>65000</v>
      </c>
      <c r="H9338">
        <v>66000</v>
      </c>
    </row>
    <row r="9339" spans="2:8" x14ac:dyDescent="0.25">
      <c r="B9339" t="str">
        <f t="shared" si="145"/>
        <v>TLSPopulation ages 25-29, female</v>
      </c>
      <c r="C9339" t="s">
        <v>246</v>
      </c>
      <c r="D9339" t="s">
        <v>140</v>
      </c>
      <c r="E9339" t="s">
        <v>372</v>
      </c>
      <c r="F9339" t="s">
        <v>701</v>
      </c>
      <c r="G9339">
        <v>55000</v>
      </c>
      <c r="H9339">
        <v>57000</v>
      </c>
    </row>
    <row r="9340" spans="2:8" x14ac:dyDescent="0.25">
      <c r="B9340" t="str">
        <f t="shared" si="145"/>
        <v>TLSPopulation ages 25-29, male</v>
      </c>
      <c r="C9340" t="s">
        <v>246</v>
      </c>
      <c r="D9340" t="s">
        <v>140</v>
      </c>
      <c r="E9340" t="s">
        <v>373</v>
      </c>
      <c r="F9340" t="s">
        <v>702</v>
      </c>
      <c r="G9340">
        <v>56000</v>
      </c>
      <c r="H9340">
        <v>58000</v>
      </c>
    </row>
    <row r="9341" spans="2:8" x14ac:dyDescent="0.25">
      <c r="B9341" t="str">
        <f t="shared" si="145"/>
        <v>TLSPopulation ages 30-34, female</v>
      </c>
      <c r="C9341" t="s">
        <v>246</v>
      </c>
      <c r="D9341" t="s">
        <v>140</v>
      </c>
      <c r="E9341" t="s">
        <v>374</v>
      </c>
      <c r="F9341" t="s">
        <v>703</v>
      </c>
      <c r="G9341">
        <v>42000</v>
      </c>
      <c r="H9341">
        <v>45000</v>
      </c>
    </row>
    <row r="9342" spans="2:8" x14ac:dyDescent="0.25">
      <c r="B9342" t="str">
        <f t="shared" si="145"/>
        <v>TLSPopulation ages 30-34, male</v>
      </c>
      <c r="C9342" t="s">
        <v>246</v>
      </c>
      <c r="D9342" t="s">
        <v>140</v>
      </c>
      <c r="E9342" t="s">
        <v>375</v>
      </c>
      <c r="F9342" t="s">
        <v>704</v>
      </c>
      <c r="G9342">
        <v>43000</v>
      </c>
      <c r="H9342">
        <v>45000</v>
      </c>
    </row>
    <row r="9343" spans="2:8" x14ac:dyDescent="0.25">
      <c r="B9343" t="str">
        <f t="shared" si="145"/>
        <v>TLSPopulation ages 35-39, female</v>
      </c>
      <c r="C9343" t="s">
        <v>246</v>
      </c>
      <c r="D9343" t="s">
        <v>140</v>
      </c>
      <c r="E9343" t="s">
        <v>376</v>
      </c>
      <c r="F9343" t="s">
        <v>705</v>
      </c>
      <c r="G9343">
        <v>32000</v>
      </c>
      <c r="H9343">
        <v>34000</v>
      </c>
    </row>
    <row r="9344" spans="2:8" x14ac:dyDescent="0.25">
      <c r="B9344" t="str">
        <f t="shared" si="145"/>
        <v>TLSPopulation ages 35-39, male</v>
      </c>
      <c r="C9344" t="s">
        <v>246</v>
      </c>
      <c r="D9344" t="s">
        <v>140</v>
      </c>
      <c r="E9344" t="s">
        <v>377</v>
      </c>
      <c r="F9344" t="s">
        <v>706</v>
      </c>
      <c r="G9344">
        <v>33000</v>
      </c>
      <c r="H9344">
        <v>35000</v>
      </c>
    </row>
    <row r="9345" spans="2:8" x14ac:dyDescent="0.25">
      <c r="B9345" t="str">
        <f t="shared" si="145"/>
        <v>TLSPopulation ages 40-44, female</v>
      </c>
      <c r="C9345" t="s">
        <v>246</v>
      </c>
      <c r="D9345" t="s">
        <v>140</v>
      </c>
      <c r="E9345" t="s">
        <v>378</v>
      </c>
      <c r="F9345" t="s">
        <v>707</v>
      </c>
      <c r="G9345">
        <v>23000</v>
      </c>
      <c r="H9345">
        <v>23000</v>
      </c>
    </row>
    <row r="9346" spans="2:8" x14ac:dyDescent="0.25">
      <c r="B9346" t="str">
        <f t="shared" si="145"/>
        <v>TLSPopulation ages 40-44, male</v>
      </c>
      <c r="C9346" t="s">
        <v>246</v>
      </c>
      <c r="D9346" t="s">
        <v>140</v>
      </c>
      <c r="E9346" t="s">
        <v>379</v>
      </c>
      <c r="F9346" t="s">
        <v>708</v>
      </c>
      <c r="G9346">
        <v>23000</v>
      </c>
      <c r="H9346">
        <v>23000</v>
      </c>
    </row>
    <row r="9347" spans="2:8" x14ac:dyDescent="0.25">
      <c r="B9347" t="str">
        <f t="shared" si="145"/>
        <v>TLSPopulation ages 45-49, female</v>
      </c>
      <c r="C9347" t="s">
        <v>246</v>
      </c>
      <c r="D9347" t="s">
        <v>140</v>
      </c>
      <c r="E9347" t="s">
        <v>380</v>
      </c>
      <c r="F9347" t="s">
        <v>709</v>
      </c>
      <c r="G9347">
        <v>27000</v>
      </c>
      <c r="H9347">
        <v>27000</v>
      </c>
    </row>
    <row r="9348" spans="2:8" x14ac:dyDescent="0.25">
      <c r="B9348" t="str">
        <f t="shared" si="145"/>
        <v>TLSPopulation ages 45-49, male</v>
      </c>
      <c r="C9348" t="s">
        <v>246</v>
      </c>
      <c r="D9348" t="s">
        <v>140</v>
      </c>
      <c r="E9348" t="s">
        <v>381</v>
      </c>
      <c r="F9348" t="s">
        <v>710</v>
      </c>
      <c r="G9348">
        <v>28000</v>
      </c>
      <c r="H9348">
        <v>28000</v>
      </c>
    </row>
    <row r="9349" spans="2:8" x14ac:dyDescent="0.25">
      <c r="B9349" t="str">
        <f t="shared" si="145"/>
        <v>TLSPopulation ages 50-54, female</v>
      </c>
      <c r="C9349" t="s">
        <v>246</v>
      </c>
      <c r="D9349" t="s">
        <v>140</v>
      </c>
      <c r="E9349" t="s">
        <v>382</v>
      </c>
      <c r="F9349" t="s">
        <v>711</v>
      </c>
      <c r="G9349">
        <v>23000</v>
      </c>
      <c r="H9349">
        <v>24000</v>
      </c>
    </row>
    <row r="9350" spans="2:8" x14ac:dyDescent="0.25">
      <c r="B9350" t="str">
        <f t="shared" si="145"/>
        <v>TLSPopulation ages 50-54, male</v>
      </c>
      <c r="C9350" t="s">
        <v>246</v>
      </c>
      <c r="D9350" t="s">
        <v>140</v>
      </c>
      <c r="E9350" t="s">
        <v>383</v>
      </c>
      <c r="F9350" t="s">
        <v>712</v>
      </c>
      <c r="G9350">
        <v>24000</v>
      </c>
      <c r="H9350">
        <v>25000</v>
      </c>
    </row>
    <row r="9351" spans="2:8" x14ac:dyDescent="0.25">
      <c r="B9351" t="str">
        <f t="shared" ref="B9351:B9414" si="146">CONCATENATE(D9351,E9351)</f>
        <v>TLSPopulation ages 55-59, male</v>
      </c>
      <c r="C9351" t="s">
        <v>246</v>
      </c>
      <c r="D9351" t="s">
        <v>140</v>
      </c>
      <c r="E9351" t="s">
        <v>385</v>
      </c>
      <c r="F9351" t="s">
        <v>713</v>
      </c>
      <c r="G9351">
        <v>20000</v>
      </c>
      <c r="H9351">
        <v>20000</v>
      </c>
    </row>
    <row r="9352" spans="2:8" x14ac:dyDescent="0.25">
      <c r="B9352" t="str">
        <f t="shared" si="146"/>
        <v>TLSPopulation ages 55-59, female</v>
      </c>
      <c r="C9352" t="s">
        <v>246</v>
      </c>
      <c r="D9352" t="s">
        <v>140</v>
      </c>
      <c r="E9352" t="s">
        <v>384</v>
      </c>
      <c r="F9352" t="s">
        <v>714</v>
      </c>
      <c r="G9352">
        <v>19000</v>
      </c>
      <c r="H9352">
        <v>20000</v>
      </c>
    </row>
    <row r="9353" spans="2:8" x14ac:dyDescent="0.25">
      <c r="B9353" t="str">
        <f t="shared" si="146"/>
        <v>TLSPopulation ages 65-69, male</v>
      </c>
      <c r="C9353" t="s">
        <v>246</v>
      </c>
      <c r="D9353" t="s">
        <v>140</v>
      </c>
      <c r="E9353" t="s">
        <v>389</v>
      </c>
      <c r="F9353" t="s">
        <v>715</v>
      </c>
      <c r="G9353">
        <v>9600</v>
      </c>
      <c r="H9353">
        <v>9800</v>
      </c>
    </row>
    <row r="9354" spans="2:8" x14ac:dyDescent="0.25">
      <c r="B9354" t="str">
        <f t="shared" si="146"/>
        <v>TLSPopulation ages 65-69, female</v>
      </c>
      <c r="C9354" t="s">
        <v>246</v>
      </c>
      <c r="D9354" t="s">
        <v>140</v>
      </c>
      <c r="E9354" t="s">
        <v>388</v>
      </c>
      <c r="F9354" t="s">
        <v>716</v>
      </c>
      <c r="G9354">
        <v>10000</v>
      </c>
      <c r="H9354">
        <v>10000</v>
      </c>
    </row>
    <row r="9355" spans="2:8" x14ac:dyDescent="0.25">
      <c r="B9355" t="str">
        <f t="shared" si="146"/>
        <v>TLSPopulation ages 60-64, female</v>
      </c>
      <c r="C9355" t="s">
        <v>246</v>
      </c>
      <c r="D9355" t="s">
        <v>140</v>
      </c>
      <c r="E9355" t="s">
        <v>386</v>
      </c>
      <c r="F9355" t="s">
        <v>717</v>
      </c>
      <c r="G9355">
        <v>14000</v>
      </c>
      <c r="H9355">
        <v>15000</v>
      </c>
    </row>
    <row r="9356" spans="2:8" x14ac:dyDescent="0.25">
      <c r="B9356" t="str">
        <f t="shared" si="146"/>
        <v>TLSPopulation ages 60-64, male</v>
      </c>
      <c r="C9356" t="s">
        <v>246</v>
      </c>
      <c r="D9356" t="s">
        <v>140</v>
      </c>
      <c r="E9356" t="s">
        <v>387</v>
      </c>
      <c r="F9356" t="s">
        <v>718</v>
      </c>
      <c r="G9356">
        <v>14000</v>
      </c>
      <c r="H9356">
        <v>15000</v>
      </c>
    </row>
    <row r="9357" spans="2:8" x14ac:dyDescent="0.25">
      <c r="B9357" t="str">
        <f t="shared" si="146"/>
        <v>TLSPopulation ages 70-74, female</v>
      </c>
      <c r="C9357" t="s">
        <v>246</v>
      </c>
      <c r="D9357" t="s">
        <v>140</v>
      </c>
      <c r="E9357" t="s">
        <v>390</v>
      </c>
      <c r="F9357" t="s">
        <v>719</v>
      </c>
      <c r="G9357">
        <v>9400</v>
      </c>
      <c r="H9357">
        <v>9500</v>
      </c>
    </row>
    <row r="9358" spans="2:8" x14ac:dyDescent="0.25">
      <c r="B9358" t="str">
        <f t="shared" si="146"/>
        <v>TLSPopulation ages 70-74, male</v>
      </c>
      <c r="C9358" t="s">
        <v>246</v>
      </c>
      <c r="D9358" t="s">
        <v>140</v>
      </c>
      <c r="E9358" t="s">
        <v>391</v>
      </c>
      <c r="F9358" t="s">
        <v>720</v>
      </c>
      <c r="G9358">
        <v>8400</v>
      </c>
      <c r="H9358">
        <v>8500</v>
      </c>
    </row>
    <row r="9359" spans="2:8" x14ac:dyDescent="0.25">
      <c r="B9359" t="str">
        <f t="shared" si="146"/>
        <v>TLSPopulation ages 75-79, female</v>
      </c>
      <c r="C9359" t="s">
        <v>246</v>
      </c>
      <c r="D9359" t="s">
        <v>140</v>
      </c>
      <c r="E9359" t="s">
        <v>392</v>
      </c>
      <c r="F9359" t="s">
        <v>721</v>
      </c>
      <c r="G9359">
        <v>5800</v>
      </c>
      <c r="H9359">
        <v>6100</v>
      </c>
    </row>
    <row r="9360" spans="2:8" x14ac:dyDescent="0.25">
      <c r="B9360" t="str">
        <f t="shared" si="146"/>
        <v>TLSPopulation ages 75-79, male</v>
      </c>
      <c r="C9360" t="s">
        <v>246</v>
      </c>
      <c r="D9360" t="s">
        <v>140</v>
      </c>
      <c r="E9360" t="s">
        <v>393</v>
      </c>
      <c r="F9360" t="s">
        <v>722</v>
      </c>
      <c r="G9360">
        <v>4700</v>
      </c>
      <c r="H9360">
        <v>4900</v>
      </c>
    </row>
    <row r="9361" spans="2:8" x14ac:dyDescent="0.25">
      <c r="B9361" t="str">
        <f t="shared" si="146"/>
        <v>TLSPopulation ages 80 and above, female</v>
      </c>
      <c r="C9361" t="s">
        <v>246</v>
      </c>
      <c r="D9361" t="s">
        <v>140</v>
      </c>
      <c r="E9361" t="s">
        <v>394</v>
      </c>
      <c r="F9361" t="s">
        <v>723</v>
      </c>
      <c r="G9361">
        <v>4400</v>
      </c>
      <c r="H9361">
        <v>4500</v>
      </c>
    </row>
    <row r="9362" spans="2:8" x14ac:dyDescent="0.25">
      <c r="B9362" t="str">
        <f t="shared" si="146"/>
        <v>TLSPopulation ages 80 and above, male</v>
      </c>
      <c r="C9362" t="s">
        <v>246</v>
      </c>
      <c r="D9362" t="s">
        <v>140</v>
      </c>
      <c r="E9362" t="s">
        <v>395</v>
      </c>
      <c r="F9362" t="s">
        <v>724</v>
      </c>
      <c r="G9362">
        <v>3000</v>
      </c>
      <c r="H9362">
        <v>3100</v>
      </c>
    </row>
    <row r="9363" spans="2:8" x14ac:dyDescent="0.25">
      <c r="B9363" t="str">
        <f t="shared" si="146"/>
        <v>TLSPopulation, male</v>
      </c>
      <c r="C9363" t="s">
        <v>246</v>
      </c>
      <c r="D9363" t="s">
        <v>140</v>
      </c>
      <c r="E9363" t="s">
        <v>397</v>
      </c>
      <c r="F9363" t="s">
        <v>725</v>
      </c>
      <c r="G9363">
        <v>654000</v>
      </c>
      <c r="H9363">
        <v>666000</v>
      </c>
    </row>
    <row r="9364" spans="2:8" x14ac:dyDescent="0.25">
      <c r="B9364" t="str">
        <f t="shared" si="146"/>
        <v>TLSPopulation, total</v>
      </c>
      <c r="C9364" t="s">
        <v>246</v>
      </c>
      <c r="D9364" t="s">
        <v>140</v>
      </c>
      <c r="E9364" t="s">
        <v>398</v>
      </c>
      <c r="F9364" t="s">
        <v>726</v>
      </c>
      <c r="G9364">
        <v>1293000</v>
      </c>
      <c r="H9364">
        <v>1318000</v>
      </c>
    </row>
    <row r="9365" spans="2:8" x14ac:dyDescent="0.25">
      <c r="B9365" t="str">
        <f t="shared" si="146"/>
        <v>TLSPopulation, female</v>
      </c>
      <c r="C9365" t="s">
        <v>246</v>
      </c>
      <c r="D9365" t="s">
        <v>140</v>
      </c>
      <c r="E9365" t="s">
        <v>396</v>
      </c>
      <c r="F9365" t="s">
        <v>727</v>
      </c>
      <c r="G9365">
        <v>640000</v>
      </c>
      <c r="H9365">
        <v>652000</v>
      </c>
    </row>
    <row r="9366" spans="2:8" x14ac:dyDescent="0.25">
      <c r="B9366" t="str">
        <f t="shared" si="146"/>
        <v>TLSPopulation growth (annual %)</v>
      </c>
      <c r="C9366" t="s">
        <v>246</v>
      </c>
      <c r="D9366" t="s">
        <v>140</v>
      </c>
      <c r="E9366" t="s">
        <v>399</v>
      </c>
      <c r="F9366" t="s">
        <v>728</v>
      </c>
      <c r="G9366">
        <v>0</v>
      </c>
      <c r="H9366">
        <v>0</v>
      </c>
    </row>
    <row r="9367" spans="2:8" x14ac:dyDescent="0.25">
      <c r="B9367" t="str">
        <f t="shared" si="146"/>
        <v>TGOPopulation ages 0-14, female</v>
      </c>
      <c r="C9367" t="s">
        <v>215</v>
      </c>
      <c r="D9367" t="s">
        <v>137</v>
      </c>
      <c r="E9367" t="s">
        <v>687</v>
      </c>
      <c r="F9367" t="s">
        <v>688</v>
      </c>
      <c r="G9367">
        <v>1652000</v>
      </c>
      <c r="H9367">
        <v>1677000</v>
      </c>
    </row>
    <row r="9368" spans="2:8" x14ac:dyDescent="0.25">
      <c r="B9368" t="str">
        <f t="shared" si="146"/>
        <v>TGOPopulation ages 0-14, male</v>
      </c>
      <c r="C9368" t="s">
        <v>215</v>
      </c>
      <c r="D9368" t="s">
        <v>137</v>
      </c>
      <c r="E9368" t="s">
        <v>689</v>
      </c>
      <c r="F9368" t="s">
        <v>690</v>
      </c>
      <c r="G9368">
        <v>1662000</v>
      </c>
      <c r="H9368">
        <v>1687000</v>
      </c>
    </row>
    <row r="9369" spans="2:8" x14ac:dyDescent="0.25">
      <c r="B9369" t="str">
        <f t="shared" si="146"/>
        <v>TGOPopulation ages 00-04, female</v>
      </c>
      <c r="C9369" t="s">
        <v>215</v>
      </c>
      <c r="D9369" t="s">
        <v>137</v>
      </c>
      <c r="E9369" t="s">
        <v>362</v>
      </c>
      <c r="F9369" t="s">
        <v>691</v>
      </c>
      <c r="G9369">
        <v>600000</v>
      </c>
      <c r="H9369">
        <v>608000</v>
      </c>
    </row>
    <row r="9370" spans="2:8" x14ac:dyDescent="0.25">
      <c r="B9370" t="str">
        <f t="shared" si="146"/>
        <v>TGOPopulation ages 00-04, male</v>
      </c>
      <c r="C9370" t="s">
        <v>215</v>
      </c>
      <c r="D9370" t="s">
        <v>137</v>
      </c>
      <c r="E9370" t="s">
        <v>363</v>
      </c>
      <c r="F9370" t="s">
        <v>692</v>
      </c>
      <c r="G9370">
        <v>604000</v>
      </c>
      <c r="H9370">
        <v>612000</v>
      </c>
    </row>
    <row r="9371" spans="2:8" x14ac:dyDescent="0.25">
      <c r="B9371" t="str">
        <f t="shared" si="146"/>
        <v>TGOPopulation ages 05-09, female</v>
      </c>
      <c r="C9371" t="s">
        <v>215</v>
      </c>
      <c r="D9371" t="s">
        <v>137</v>
      </c>
      <c r="E9371" t="s">
        <v>364</v>
      </c>
      <c r="F9371" t="s">
        <v>693</v>
      </c>
      <c r="G9371">
        <v>552000</v>
      </c>
      <c r="H9371">
        <v>558000</v>
      </c>
    </row>
    <row r="9372" spans="2:8" x14ac:dyDescent="0.25">
      <c r="B9372" t="str">
        <f t="shared" si="146"/>
        <v>TGOPopulation ages 05-09, male</v>
      </c>
      <c r="C9372" t="s">
        <v>215</v>
      </c>
      <c r="D9372" t="s">
        <v>137</v>
      </c>
      <c r="E9372" t="s">
        <v>365</v>
      </c>
      <c r="F9372" t="s">
        <v>694</v>
      </c>
      <c r="G9372">
        <v>555000</v>
      </c>
      <c r="H9372">
        <v>562000</v>
      </c>
    </row>
    <row r="9373" spans="2:8" x14ac:dyDescent="0.25">
      <c r="B9373" t="str">
        <f t="shared" si="146"/>
        <v>TGOPopulation ages 10-14, female</v>
      </c>
      <c r="C9373" t="s">
        <v>215</v>
      </c>
      <c r="D9373" t="s">
        <v>137</v>
      </c>
      <c r="E9373" t="s">
        <v>366</v>
      </c>
      <c r="F9373" t="s">
        <v>695</v>
      </c>
      <c r="G9373">
        <v>500000</v>
      </c>
      <c r="H9373">
        <v>510000</v>
      </c>
    </row>
    <row r="9374" spans="2:8" x14ac:dyDescent="0.25">
      <c r="B9374" t="str">
        <f t="shared" si="146"/>
        <v>TGOPopulation ages 10-14, male</v>
      </c>
      <c r="C9374" t="s">
        <v>215</v>
      </c>
      <c r="D9374" t="s">
        <v>137</v>
      </c>
      <c r="E9374" t="s">
        <v>367</v>
      </c>
      <c r="F9374" t="s">
        <v>696</v>
      </c>
      <c r="G9374">
        <v>503000</v>
      </c>
      <c r="H9374">
        <v>514000</v>
      </c>
    </row>
    <row r="9375" spans="2:8" x14ac:dyDescent="0.25">
      <c r="B9375" t="str">
        <f t="shared" si="146"/>
        <v>TGOPopulation ages 15-19, female</v>
      </c>
      <c r="C9375" t="s">
        <v>215</v>
      </c>
      <c r="D9375" t="s">
        <v>137</v>
      </c>
      <c r="E9375" t="s">
        <v>368</v>
      </c>
      <c r="F9375" t="s">
        <v>697</v>
      </c>
      <c r="G9375">
        <v>430000</v>
      </c>
      <c r="H9375">
        <v>444000</v>
      </c>
    </row>
    <row r="9376" spans="2:8" x14ac:dyDescent="0.25">
      <c r="B9376" t="str">
        <f t="shared" si="146"/>
        <v>TGOPopulation ages 15-19, male</v>
      </c>
      <c r="C9376" t="s">
        <v>215</v>
      </c>
      <c r="D9376" t="s">
        <v>137</v>
      </c>
      <c r="E9376" t="s">
        <v>369</v>
      </c>
      <c r="F9376" t="s">
        <v>698</v>
      </c>
      <c r="G9376">
        <v>433000</v>
      </c>
      <c r="H9376">
        <v>447000</v>
      </c>
    </row>
    <row r="9377" spans="2:8" x14ac:dyDescent="0.25">
      <c r="B9377" t="str">
        <f t="shared" si="146"/>
        <v>TGOPopulation ages 20-24, female</v>
      </c>
      <c r="C9377" t="s">
        <v>215</v>
      </c>
      <c r="D9377" t="s">
        <v>137</v>
      </c>
      <c r="E9377" t="s">
        <v>370</v>
      </c>
      <c r="F9377" t="s">
        <v>699</v>
      </c>
      <c r="G9377">
        <v>359000</v>
      </c>
      <c r="H9377">
        <v>371000</v>
      </c>
    </row>
    <row r="9378" spans="2:8" x14ac:dyDescent="0.25">
      <c r="B9378" t="str">
        <f t="shared" si="146"/>
        <v>TGOPopulation ages 20-24, male</v>
      </c>
      <c r="C9378" t="s">
        <v>215</v>
      </c>
      <c r="D9378" t="s">
        <v>137</v>
      </c>
      <c r="E9378" t="s">
        <v>371</v>
      </c>
      <c r="F9378" t="s">
        <v>700</v>
      </c>
      <c r="G9378">
        <v>361000</v>
      </c>
      <c r="H9378">
        <v>373000</v>
      </c>
    </row>
    <row r="9379" spans="2:8" x14ac:dyDescent="0.25">
      <c r="B9379" t="str">
        <f t="shared" si="146"/>
        <v>TGOPopulation ages 25-29, female</v>
      </c>
      <c r="C9379" t="s">
        <v>215</v>
      </c>
      <c r="D9379" t="s">
        <v>137</v>
      </c>
      <c r="E9379" t="s">
        <v>372</v>
      </c>
      <c r="F9379" t="s">
        <v>701</v>
      </c>
      <c r="G9379">
        <v>309000</v>
      </c>
      <c r="H9379">
        <v>315000</v>
      </c>
    </row>
    <row r="9380" spans="2:8" x14ac:dyDescent="0.25">
      <c r="B9380" t="str">
        <f t="shared" si="146"/>
        <v>TGOPopulation ages 25-29, male</v>
      </c>
      <c r="C9380" t="s">
        <v>215</v>
      </c>
      <c r="D9380" t="s">
        <v>137</v>
      </c>
      <c r="E9380" t="s">
        <v>373</v>
      </c>
      <c r="F9380" t="s">
        <v>702</v>
      </c>
      <c r="G9380">
        <v>310000</v>
      </c>
      <c r="H9380">
        <v>316000</v>
      </c>
    </row>
    <row r="9381" spans="2:8" x14ac:dyDescent="0.25">
      <c r="B9381" t="str">
        <f t="shared" si="146"/>
        <v>TGOPopulation ages 30-34, female</v>
      </c>
      <c r="C9381" t="s">
        <v>215</v>
      </c>
      <c r="D9381" t="s">
        <v>137</v>
      </c>
      <c r="E9381" t="s">
        <v>374</v>
      </c>
      <c r="F9381" t="s">
        <v>703</v>
      </c>
      <c r="G9381">
        <v>279000</v>
      </c>
      <c r="H9381">
        <v>284000</v>
      </c>
    </row>
    <row r="9382" spans="2:8" x14ac:dyDescent="0.25">
      <c r="B9382" t="str">
        <f t="shared" si="146"/>
        <v>TGOPopulation ages 30-34, male</v>
      </c>
      <c r="C9382" t="s">
        <v>215</v>
      </c>
      <c r="D9382" t="s">
        <v>137</v>
      </c>
      <c r="E9382" t="s">
        <v>375</v>
      </c>
      <c r="F9382" t="s">
        <v>704</v>
      </c>
      <c r="G9382">
        <v>278000</v>
      </c>
      <c r="H9382">
        <v>284000</v>
      </c>
    </row>
    <row r="9383" spans="2:8" x14ac:dyDescent="0.25">
      <c r="B9383" t="str">
        <f t="shared" si="146"/>
        <v>TGOPopulation ages 35-39, female</v>
      </c>
      <c r="C9383" t="s">
        <v>215</v>
      </c>
      <c r="D9383" t="s">
        <v>137</v>
      </c>
      <c r="E9383" t="s">
        <v>376</v>
      </c>
      <c r="F9383" t="s">
        <v>705</v>
      </c>
      <c r="G9383">
        <v>243000</v>
      </c>
      <c r="H9383">
        <v>249000</v>
      </c>
    </row>
    <row r="9384" spans="2:8" x14ac:dyDescent="0.25">
      <c r="B9384" t="str">
        <f t="shared" si="146"/>
        <v>TGOPopulation ages 35-39, male</v>
      </c>
      <c r="C9384" t="s">
        <v>215</v>
      </c>
      <c r="D9384" t="s">
        <v>137</v>
      </c>
      <c r="E9384" t="s">
        <v>377</v>
      </c>
      <c r="F9384" t="s">
        <v>706</v>
      </c>
      <c r="G9384">
        <v>241000</v>
      </c>
      <c r="H9384">
        <v>248000</v>
      </c>
    </row>
    <row r="9385" spans="2:8" x14ac:dyDescent="0.25">
      <c r="B9385" t="str">
        <f t="shared" si="146"/>
        <v>TGOPopulation ages 40-44, female</v>
      </c>
      <c r="C9385" t="s">
        <v>215</v>
      </c>
      <c r="D9385" t="s">
        <v>137</v>
      </c>
      <c r="E9385" t="s">
        <v>378</v>
      </c>
      <c r="F9385" t="s">
        <v>707</v>
      </c>
      <c r="G9385">
        <v>202000</v>
      </c>
      <c r="H9385">
        <v>209000</v>
      </c>
    </row>
    <row r="9386" spans="2:8" x14ac:dyDescent="0.25">
      <c r="B9386" t="str">
        <f t="shared" si="146"/>
        <v>TGOPopulation ages 40-44, male</v>
      </c>
      <c r="C9386" t="s">
        <v>215</v>
      </c>
      <c r="D9386" t="s">
        <v>137</v>
      </c>
      <c r="E9386" t="s">
        <v>379</v>
      </c>
      <c r="F9386" t="s">
        <v>708</v>
      </c>
      <c r="G9386">
        <v>198000</v>
      </c>
      <c r="H9386">
        <v>205000</v>
      </c>
    </row>
    <row r="9387" spans="2:8" x14ac:dyDescent="0.25">
      <c r="B9387" t="str">
        <f t="shared" si="146"/>
        <v>TGOPopulation ages 45-49, female</v>
      </c>
      <c r="C9387" t="s">
        <v>215</v>
      </c>
      <c r="D9387" t="s">
        <v>137</v>
      </c>
      <c r="E9387" t="s">
        <v>380</v>
      </c>
      <c r="F9387" t="s">
        <v>709</v>
      </c>
      <c r="G9387">
        <v>161000</v>
      </c>
      <c r="H9387">
        <v>168000</v>
      </c>
    </row>
    <row r="9388" spans="2:8" x14ac:dyDescent="0.25">
      <c r="B9388" t="str">
        <f t="shared" si="146"/>
        <v>TGOPopulation ages 45-49, male</v>
      </c>
      <c r="C9388" t="s">
        <v>215</v>
      </c>
      <c r="D9388" t="s">
        <v>137</v>
      </c>
      <c r="E9388" t="s">
        <v>381</v>
      </c>
      <c r="F9388" t="s">
        <v>710</v>
      </c>
      <c r="G9388">
        <v>155000</v>
      </c>
      <c r="H9388">
        <v>162000</v>
      </c>
    </row>
    <row r="9389" spans="2:8" x14ac:dyDescent="0.25">
      <c r="B9389" t="str">
        <f t="shared" si="146"/>
        <v>TGOPopulation ages 50-54, female</v>
      </c>
      <c r="C9389" t="s">
        <v>215</v>
      </c>
      <c r="D9389" t="s">
        <v>137</v>
      </c>
      <c r="E9389" t="s">
        <v>382</v>
      </c>
      <c r="F9389" t="s">
        <v>711</v>
      </c>
      <c r="G9389">
        <v>126000</v>
      </c>
      <c r="H9389">
        <v>131000</v>
      </c>
    </row>
    <row r="9390" spans="2:8" x14ac:dyDescent="0.25">
      <c r="B9390" t="str">
        <f t="shared" si="146"/>
        <v>TGOPopulation ages 50-54, male</v>
      </c>
      <c r="C9390" t="s">
        <v>215</v>
      </c>
      <c r="D9390" t="s">
        <v>137</v>
      </c>
      <c r="E9390" t="s">
        <v>383</v>
      </c>
      <c r="F9390" t="s">
        <v>712</v>
      </c>
      <c r="G9390">
        <v>118000</v>
      </c>
      <c r="H9390">
        <v>124000</v>
      </c>
    </row>
    <row r="9391" spans="2:8" x14ac:dyDescent="0.25">
      <c r="B9391" t="str">
        <f t="shared" si="146"/>
        <v>TGOPopulation ages 55-59, male</v>
      </c>
      <c r="C9391" t="s">
        <v>215</v>
      </c>
      <c r="D9391" t="s">
        <v>137</v>
      </c>
      <c r="E9391" t="s">
        <v>385</v>
      </c>
      <c r="F9391" t="s">
        <v>713</v>
      </c>
      <c r="G9391">
        <v>90000</v>
      </c>
      <c r="H9391">
        <v>94000</v>
      </c>
    </row>
    <row r="9392" spans="2:8" x14ac:dyDescent="0.25">
      <c r="B9392" t="str">
        <f t="shared" si="146"/>
        <v>TGOPopulation ages 55-59, female</v>
      </c>
      <c r="C9392" t="s">
        <v>215</v>
      </c>
      <c r="D9392" t="s">
        <v>137</v>
      </c>
      <c r="E9392" t="s">
        <v>384</v>
      </c>
      <c r="F9392" t="s">
        <v>714</v>
      </c>
      <c r="G9392">
        <v>98000</v>
      </c>
      <c r="H9392">
        <v>102000</v>
      </c>
    </row>
    <row r="9393" spans="2:8" x14ac:dyDescent="0.25">
      <c r="B9393" t="str">
        <f t="shared" si="146"/>
        <v>TGOPopulation ages 65-69, male</v>
      </c>
      <c r="C9393" t="s">
        <v>215</v>
      </c>
      <c r="D9393" t="s">
        <v>137</v>
      </c>
      <c r="E9393" t="s">
        <v>389</v>
      </c>
      <c r="F9393" t="s">
        <v>715</v>
      </c>
      <c r="G9393">
        <v>48000</v>
      </c>
      <c r="H9393">
        <v>50000</v>
      </c>
    </row>
    <row r="9394" spans="2:8" x14ac:dyDescent="0.25">
      <c r="B9394" t="str">
        <f t="shared" si="146"/>
        <v>TGOPopulation ages 65-69, female</v>
      </c>
      <c r="C9394" t="s">
        <v>215</v>
      </c>
      <c r="D9394" t="s">
        <v>137</v>
      </c>
      <c r="E9394" t="s">
        <v>388</v>
      </c>
      <c r="F9394" t="s">
        <v>716</v>
      </c>
      <c r="G9394">
        <v>56000</v>
      </c>
      <c r="H9394">
        <v>58000</v>
      </c>
    </row>
    <row r="9395" spans="2:8" x14ac:dyDescent="0.25">
      <c r="B9395" t="str">
        <f t="shared" si="146"/>
        <v>TGOPopulation ages 60-64, female</v>
      </c>
      <c r="C9395" t="s">
        <v>215</v>
      </c>
      <c r="D9395" t="s">
        <v>137</v>
      </c>
      <c r="E9395" t="s">
        <v>386</v>
      </c>
      <c r="F9395" t="s">
        <v>717</v>
      </c>
      <c r="G9395">
        <v>76000</v>
      </c>
      <c r="H9395">
        <v>78000</v>
      </c>
    </row>
    <row r="9396" spans="2:8" x14ac:dyDescent="0.25">
      <c r="B9396" t="str">
        <f t="shared" si="146"/>
        <v>TGOPopulation ages 60-64, male</v>
      </c>
      <c r="C9396" t="s">
        <v>215</v>
      </c>
      <c r="D9396" t="s">
        <v>137</v>
      </c>
      <c r="E9396" t="s">
        <v>387</v>
      </c>
      <c r="F9396" t="s">
        <v>718</v>
      </c>
      <c r="G9396">
        <v>67000</v>
      </c>
      <c r="H9396">
        <v>70000</v>
      </c>
    </row>
    <row r="9397" spans="2:8" x14ac:dyDescent="0.25">
      <c r="B9397" t="str">
        <f t="shared" si="146"/>
        <v>TGOPopulation ages 70-74, female</v>
      </c>
      <c r="C9397" t="s">
        <v>215</v>
      </c>
      <c r="D9397" t="s">
        <v>137</v>
      </c>
      <c r="E9397" t="s">
        <v>390</v>
      </c>
      <c r="F9397" t="s">
        <v>719</v>
      </c>
      <c r="G9397">
        <v>38000</v>
      </c>
      <c r="H9397">
        <v>39000</v>
      </c>
    </row>
    <row r="9398" spans="2:8" x14ac:dyDescent="0.25">
      <c r="B9398" t="str">
        <f t="shared" si="146"/>
        <v>TGOPopulation ages 70-74, male</v>
      </c>
      <c r="C9398" t="s">
        <v>215</v>
      </c>
      <c r="D9398" t="s">
        <v>137</v>
      </c>
      <c r="E9398" t="s">
        <v>391</v>
      </c>
      <c r="F9398" t="s">
        <v>720</v>
      </c>
      <c r="G9398">
        <v>32000</v>
      </c>
      <c r="H9398">
        <v>33000</v>
      </c>
    </row>
    <row r="9399" spans="2:8" x14ac:dyDescent="0.25">
      <c r="B9399" t="str">
        <f t="shared" si="146"/>
        <v>TGOPopulation ages 75-79, female</v>
      </c>
      <c r="C9399" t="s">
        <v>215</v>
      </c>
      <c r="D9399" t="s">
        <v>137</v>
      </c>
      <c r="E9399" t="s">
        <v>392</v>
      </c>
      <c r="F9399" t="s">
        <v>721</v>
      </c>
      <c r="G9399">
        <v>21000</v>
      </c>
      <c r="H9399">
        <v>22000</v>
      </c>
    </row>
    <row r="9400" spans="2:8" x14ac:dyDescent="0.25">
      <c r="B9400" t="str">
        <f t="shared" si="146"/>
        <v>TGOPopulation ages 75-79, male</v>
      </c>
      <c r="C9400" t="s">
        <v>215</v>
      </c>
      <c r="D9400" t="s">
        <v>137</v>
      </c>
      <c r="E9400" t="s">
        <v>393</v>
      </c>
      <c r="F9400" t="s">
        <v>722</v>
      </c>
      <c r="G9400">
        <v>17000</v>
      </c>
      <c r="H9400">
        <v>18000</v>
      </c>
    </row>
    <row r="9401" spans="2:8" x14ac:dyDescent="0.25">
      <c r="B9401" t="str">
        <f t="shared" si="146"/>
        <v>TGOPopulation ages 80 and above, female</v>
      </c>
      <c r="C9401" t="s">
        <v>215</v>
      </c>
      <c r="D9401" t="s">
        <v>137</v>
      </c>
      <c r="E9401" t="s">
        <v>394</v>
      </c>
      <c r="F9401" t="s">
        <v>723</v>
      </c>
      <c r="G9401">
        <v>12000</v>
      </c>
      <c r="H9401">
        <v>12000</v>
      </c>
    </row>
    <row r="9402" spans="2:8" x14ac:dyDescent="0.25">
      <c r="B9402" t="str">
        <f t="shared" si="146"/>
        <v>TGOPopulation ages 80 and above, male</v>
      </c>
      <c r="C9402" t="s">
        <v>215</v>
      </c>
      <c r="D9402" t="s">
        <v>137</v>
      </c>
      <c r="E9402" t="s">
        <v>395</v>
      </c>
      <c r="F9402" t="s">
        <v>724</v>
      </c>
      <c r="G9402">
        <v>9300</v>
      </c>
      <c r="H9402">
        <v>9100</v>
      </c>
    </row>
    <row r="9403" spans="2:8" x14ac:dyDescent="0.25">
      <c r="B9403" t="str">
        <f t="shared" si="146"/>
        <v>TGOPopulation, male</v>
      </c>
      <c r="C9403" t="s">
        <v>215</v>
      </c>
      <c r="D9403" t="s">
        <v>137</v>
      </c>
      <c r="E9403" t="s">
        <v>397</v>
      </c>
      <c r="F9403" t="s">
        <v>725</v>
      </c>
      <c r="G9403">
        <v>4021000</v>
      </c>
      <c r="H9403">
        <v>4119000</v>
      </c>
    </row>
    <row r="9404" spans="2:8" x14ac:dyDescent="0.25">
      <c r="B9404" t="str">
        <f t="shared" si="146"/>
        <v>TGOPopulation, total</v>
      </c>
      <c r="C9404" t="s">
        <v>215</v>
      </c>
      <c r="D9404" t="s">
        <v>137</v>
      </c>
      <c r="E9404" t="s">
        <v>398</v>
      </c>
      <c r="F9404" t="s">
        <v>726</v>
      </c>
      <c r="G9404">
        <v>8082000</v>
      </c>
      <c r="H9404">
        <v>8279000</v>
      </c>
    </row>
    <row r="9405" spans="2:8" x14ac:dyDescent="0.25">
      <c r="B9405" t="str">
        <f t="shared" si="146"/>
        <v>TGOPopulation, female</v>
      </c>
      <c r="C9405" t="s">
        <v>215</v>
      </c>
      <c r="D9405" t="s">
        <v>137</v>
      </c>
      <c r="E9405" t="s">
        <v>396</v>
      </c>
      <c r="F9405" t="s">
        <v>727</v>
      </c>
      <c r="G9405">
        <v>4062000</v>
      </c>
      <c r="H9405">
        <v>4159000</v>
      </c>
    </row>
    <row r="9406" spans="2:8" x14ac:dyDescent="0.25">
      <c r="B9406" t="str">
        <f t="shared" si="146"/>
        <v>TGOPopulation growth (annual %)</v>
      </c>
      <c r="C9406" t="s">
        <v>215</v>
      </c>
      <c r="D9406" t="s">
        <v>137</v>
      </c>
      <c r="E9406" t="s">
        <v>399</v>
      </c>
      <c r="F9406" t="s">
        <v>728</v>
      </c>
      <c r="G9406">
        <v>0</v>
      </c>
      <c r="H9406">
        <v>0</v>
      </c>
    </row>
    <row r="9407" spans="2:8" x14ac:dyDescent="0.25">
      <c r="B9407" t="str">
        <f t="shared" si="146"/>
        <v>TONPopulation ages 0-14, female</v>
      </c>
      <c r="C9407" t="s">
        <v>256</v>
      </c>
      <c r="D9407" t="s">
        <v>141</v>
      </c>
      <c r="E9407" t="s">
        <v>687</v>
      </c>
      <c r="F9407" t="s">
        <v>688</v>
      </c>
      <c r="G9407">
        <v>18000</v>
      </c>
      <c r="H9407">
        <v>18000</v>
      </c>
    </row>
    <row r="9408" spans="2:8" x14ac:dyDescent="0.25">
      <c r="B9408" t="str">
        <f t="shared" si="146"/>
        <v>TONPopulation ages 0-14, male</v>
      </c>
      <c r="C9408" t="s">
        <v>256</v>
      </c>
      <c r="D9408" t="s">
        <v>141</v>
      </c>
      <c r="E9408" t="s">
        <v>689</v>
      </c>
      <c r="F9408" t="s">
        <v>690</v>
      </c>
      <c r="G9408">
        <v>19000</v>
      </c>
      <c r="H9408">
        <v>19000</v>
      </c>
    </row>
    <row r="9409" spans="2:8" x14ac:dyDescent="0.25">
      <c r="B9409" t="str">
        <f t="shared" si="146"/>
        <v>TONPopulation ages 00-04, female</v>
      </c>
      <c r="C9409" t="s">
        <v>256</v>
      </c>
      <c r="D9409" t="s">
        <v>141</v>
      </c>
      <c r="E9409" t="s">
        <v>362</v>
      </c>
      <c r="F9409" t="s">
        <v>691</v>
      </c>
      <c r="G9409">
        <v>6000</v>
      </c>
      <c r="H9409">
        <v>5900</v>
      </c>
    </row>
    <row r="9410" spans="2:8" x14ac:dyDescent="0.25">
      <c r="B9410" t="str">
        <f t="shared" si="146"/>
        <v>TONPopulation ages 00-04, male</v>
      </c>
      <c r="C9410" t="s">
        <v>256</v>
      </c>
      <c r="D9410" t="s">
        <v>141</v>
      </c>
      <c r="E9410" t="s">
        <v>363</v>
      </c>
      <c r="F9410" t="s">
        <v>692</v>
      </c>
      <c r="G9410">
        <v>6300</v>
      </c>
      <c r="H9410">
        <v>6300</v>
      </c>
    </row>
    <row r="9411" spans="2:8" x14ac:dyDescent="0.25">
      <c r="B9411" t="str">
        <f t="shared" si="146"/>
        <v>TONPopulation ages 05-09, female</v>
      </c>
      <c r="C9411" t="s">
        <v>256</v>
      </c>
      <c r="D9411" t="s">
        <v>141</v>
      </c>
      <c r="E9411" t="s">
        <v>364</v>
      </c>
      <c r="F9411" t="s">
        <v>693</v>
      </c>
      <c r="G9411">
        <v>6000</v>
      </c>
      <c r="H9411">
        <v>6000</v>
      </c>
    </row>
    <row r="9412" spans="2:8" x14ac:dyDescent="0.25">
      <c r="B9412" t="str">
        <f t="shared" si="146"/>
        <v>TONPopulation ages 05-09, male</v>
      </c>
      <c r="C9412" t="s">
        <v>256</v>
      </c>
      <c r="D9412" t="s">
        <v>141</v>
      </c>
      <c r="E9412" t="s">
        <v>365</v>
      </c>
      <c r="F9412" t="s">
        <v>694</v>
      </c>
      <c r="G9412">
        <v>6400</v>
      </c>
      <c r="H9412">
        <v>6400</v>
      </c>
    </row>
    <row r="9413" spans="2:8" x14ac:dyDescent="0.25">
      <c r="B9413" t="str">
        <f t="shared" si="146"/>
        <v>TONPopulation ages 10-14, female</v>
      </c>
      <c r="C9413" t="s">
        <v>256</v>
      </c>
      <c r="D9413" t="s">
        <v>141</v>
      </c>
      <c r="E9413" t="s">
        <v>366</v>
      </c>
      <c r="F9413" t="s">
        <v>695</v>
      </c>
      <c r="G9413">
        <v>5700</v>
      </c>
      <c r="H9413">
        <v>5700</v>
      </c>
    </row>
    <row r="9414" spans="2:8" x14ac:dyDescent="0.25">
      <c r="B9414" t="str">
        <f t="shared" si="146"/>
        <v>TONPopulation ages 10-14, male</v>
      </c>
      <c r="C9414" t="s">
        <v>256</v>
      </c>
      <c r="D9414" t="s">
        <v>141</v>
      </c>
      <c r="E9414" t="s">
        <v>367</v>
      </c>
      <c r="F9414" t="s">
        <v>696</v>
      </c>
      <c r="G9414">
        <v>6300</v>
      </c>
      <c r="H9414">
        <v>6400</v>
      </c>
    </row>
    <row r="9415" spans="2:8" x14ac:dyDescent="0.25">
      <c r="B9415" t="str">
        <f t="shared" ref="B9415:B9478" si="147">CONCATENATE(D9415,E9415)</f>
        <v>TONPopulation ages 15-19, female</v>
      </c>
      <c r="C9415" t="s">
        <v>256</v>
      </c>
      <c r="D9415" t="s">
        <v>141</v>
      </c>
      <c r="E9415" t="s">
        <v>368</v>
      </c>
      <c r="F9415" t="s">
        <v>697</v>
      </c>
      <c r="G9415">
        <v>5400</v>
      </c>
      <c r="H9415">
        <v>5500</v>
      </c>
    </row>
    <row r="9416" spans="2:8" x14ac:dyDescent="0.25">
      <c r="B9416" t="str">
        <f t="shared" si="147"/>
        <v>TONPopulation ages 15-19, male</v>
      </c>
      <c r="C9416" t="s">
        <v>256</v>
      </c>
      <c r="D9416" t="s">
        <v>141</v>
      </c>
      <c r="E9416" t="s">
        <v>369</v>
      </c>
      <c r="F9416" t="s">
        <v>698</v>
      </c>
      <c r="G9416">
        <v>5800</v>
      </c>
      <c r="H9416">
        <v>5900</v>
      </c>
    </row>
    <row r="9417" spans="2:8" x14ac:dyDescent="0.25">
      <c r="B9417" t="str">
        <f t="shared" si="147"/>
        <v>TONPopulation ages 20-24, female</v>
      </c>
      <c r="C9417" t="s">
        <v>256</v>
      </c>
      <c r="D9417" t="s">
        <v>141</v>
      </c>
      <c r="E9417" t="s">
        <v>370</v>
      </c>
      <c r="F9417" t="s">
        <v>699</v>
      </c>
      <c r="G9417">
        <v>4500</v>
      </c>
      <c r="H9417">
        <v>4700</v>
      </c>
    </row>
    <row r="9418" spans="2:8" x14ac:dyDescent="0.25">
      <c r="B9418" t="str">
        <f t="shared" si="147"/>
        <v>TONPopulation ages 20-24, male</v>
      </c>
      <c r="C9418" t="s">
        <v>256</v>
      </c>
      <c r="D9418" t="s">
        <v>141</v>
      </c>
      <c r="E9418" t="s">
        <v>371</v>
      </c>
      <c r="F9418" t="s">
        <v>700</v>
      </c>
      <c r="G9418">
        <v>4900</v>
      </c>
      <c r="H9418">
        <v>5000</v>
      </c>
    </row>
    <row r="9419" spans="2:8" x14ac:dyDescent="0.25">
      <c r="B9419" t="str">
        <f t="shared" si="147"/>
        <v>TONPopulation ages 25-29, female</v>
      </c>
      <c r="C9419" t="s">
        <v>256</v>
      </c>
      <c r="D9419" t="s">
        <v>141</v>
      </c>
      <c r="E9419" t="s">
        <v>372</v>
      </c>
      <c r="F9419" t="s">
        <v>701</v>
      </c>
      <c r="G9419">
        <v>3700</v>
      </c>
      <c r="H9419">
        <v>3700</v>
      </c>
    </row>
    <row r="9420" spans="2:8" x14ac:dyDescent="0.25">
      <c r="B9420" t="str">
        <f t="shared" si="147"/>
        <v>TONPopulation ages 25-29, male</v>
      </c>
      <c r="C9420" t="s">
        <v>256</v>
      </c>
      <c r="D9420" t="s">
        <v>141</v>
      </c>
      <c r="E9420" t="s">
        <v>373</v>
      </c>
      <c r="F9420" t="s">
        <v>702</v>
      </c>
      <c r="G9420">
        <v>3600</v>
      </c>
      <c r="H9420">
        <v>3700</v>
      </c>
    </row>
    <row r="9421" spans="2:8" x14ac:dyDescent="0.25">
      <c r="B9421" t="str">
        <f t="shared" si="147"/>
        <v>TONPopulation ages 30-34, female</v>
      </c>
      <c r="C9421" t="s">
        <v>256</v>
      </c>
      <c r="D9421" t="s">
        <v>141</v>
      </c>
      <c r="E9421" t="s">
        <v>374</v>
      </c>
      <c r="F9421" t="s">
        <v>703</v>
      </c>
      <c r="G9421">
        <v>3300</v>
      </c>
      <c r="H9421">
        <v>3200</v>
      </c>
    </row>
    <row r="9422" spans="2:8" x14ac:dyDescent="0.25">
      <c r="B9422" t="str">
        <f t="shared" si="147"/>
        <v>TONPopulation ages 30-34, male</v>
      </c>
      <c r="C9422" t="s">
        <v>256</v>
      </c>
      <c r="D9422" t="s">
        <v>141</v>
      </c>
      <c r="E9422" t="s">
        <v>375</v>
      </c>
      <c r="F9422" t="s">
        <v>704</v>
      </c>
      <c r="G9422">
        <v>2900</v>
      </c>
      <c r="H9422">
        <v>2900</v>
      </c>
    </row>
    <row r="9423" spans="2:8" x14ac:dyDescent="0.25">
      <c r="B9423" t="str">
        <f t="shared" si="147"/>
        <v>TONPopulation ages 35-39, female</v>
      </c>
      <c r="C9423" t="s">
        <v>256</v>
      </c>
      <c r="D9423" t="s">
        <v>141</v>
      </c>
      <c r="E9423" t="s">
        <v>376</v>
      </c>
      <c r="F9423" t="s">
        <v>705</v>
      </c>
      <c r="G9423">
        <v>3300</v>
      </c>
      <c r="H9423">
        <v>3300</v>
      </c>
    </row>
    <row r="9424" spans="2:8" x14ac:dyDescent="0.25">
      <c r="B9424" t="str">
        <f t="shared" si="147"/>
        <v>TONPopulation ages 35-39, male</v>
      </c>
      <c r="C9424" t="s">
        <v>256</v>
      </c>
      <c r="D9424" t="s">
        <v>141</v>
      </c>
      <c r="E9424" t="s">
        <v>377</v>
      </c>
      <c r="F9424" t="s">
        <v>706</v>
      </c>
      <c r="G9424">
        <v>2800</v>
      </c>
      <c r="H9424">
        <v>2800</v>
      </c>
    </row>
    <row r="9425" spans="2:8" x14ac:dyDescent="0.25">
      <c r="B9425" t="str">
        <f t="shared" si="147"/>
        <v>TONPopulation ages 40-44, female</v>
      </c>
      <c r="C9425" t="s">
        <v>256</v>
      </c>
      <c r="D9425" t="s">
        <v>141</v>
      </c>
      <c r="E9425" t="s">
        <v>378</v>
      </c>
      <c r="F9425" t="s">
        <v>707</v>
      </c>
      <c r="G9425">
        <v>2800</v>
      </c>
      <c r="H9425">
        <v>2800</v>
      </c>
    </row>
    <row r="9426" spans="2:8" x14ac:dyDescent="0.25">
      <c r="B9426" t="str">
        <f t="shared" si="147"/>
        <v>TONPopulation ages 40-44, male</v>
      </c>
      <c r="C9426" t="s">
        <v>256</v>
      </c>
      <c r="D9426" t="s">
        <v>141</v>
      </c>
      <c r="E9426" t="s">
        <v>379</v>
      </c>
      <c r="F9426" t="s">
        <v>708</v>
      </c>
      <c r="G9426">
        <v>2500</v>
      </c>
      <c r="H9426">
        <v>2500</v>
      </c>
    </row>
    <row r="9427" spans="2:8" x14ac:dyDescent="0.25">
      <c r="B9427" t="str">
        <f t="shared" si="147"/>
        <v>TONPopulation ages 45-49, female</v>
      </c>
      <c r="C9427" t="s">
        <v>256</v>
      </c>
      <c r="D9427" t="s">
        <v>141</v>
      </c>
      <c r="E9427" t="s">
        <v>380</v>
      </c>
      <c r="F9427" t="s">
        <v>709</v>
      </c>
      <c r="G9427">
        <v>2600</v>
      </c>
      <c r="H9427">
        <v>2600</v>
      </c>
    </row>
    <row r="9428" spans="2:8" x14ac:dyDescent="0.25">
      <c r="B9428" t="str">
        <f t="shared" si="147"/>
        <v>TONPopulation ages 45-49, male</v>
      </c>
      <c r="C9428" t="s">
        <v>256</v>
      </c>
      <c r="D9428" t="s">
        <v>141</v>
      </c>
      <c r="E9428" t="s">
        <v>381</v>
      </c>
      <c r="F9428" t="s">
        <v>710</v>
      </c>
      <c r="G9428">
        <v>2400</v>
      </c>
      <c r="H9428">
        <v>2400</v>
      </c>
    </row>
    <row r="9429" spans="2:8" x14ac:dyDescent="0.25">
      <c r="B9429" t="str">
        <f t="shared" si="147"/>
        <v>TONPopulation ages 50-54, female</v>
      </c>
      <c r="C9429" t="s">
        <v>256</v>
      </c>
      <c r="D9429" t="s">
        <v>141</v>
      </c>
      <c r="E9429" t="s">
        <v>382</v>
      </c>
      <c r="F9429" t="s">
        <v>711</v>
      </c>
      <c r="G9429">
        <v>2400</v>
      </c>
      <c r="H9429">
        <v>2400</v>
      </c>
    </row>
    <row r="9430" spans="2:8" x14ac:dyDescent="0.25">
      <c r="B9430" t="str">
        <f t="shared" si="147"/>
        <v>TONPopulation ages 50-54, male</v>
      </c>
      <c r="C9430" t="s">
        <v>256</v>
      </c>
      <c r="D9430" t="s">
        <v>141</v>
      </c>
      <c r="E9430" t="s">
        <v>383</v>
      </c>
      <c r="F9430" t="s">
        <v>712</v>
      </c>
      <c r="G9430">
        <v>2400</v>
      </c>
      <c r="H9430">
        <v>2400</v>
      </c>
    </row>
    <row r="9431" spans="2:8" x14ac:dyDescent="0.25">
      <c r="B9431" t="str">
        <f t="shared" si="147"/>
        <v>TONPopulation ages 55-59, male</v>
      </c>
      <c r="C9431" t="s">
        <v>256</v>
      </c>
      <c r="D9431" t="s">
        <v>141</v>
      </c>
      <c r="E9431" t="s">
        <v>385</v>
      </c>
      <c r="F9431" t="s">
        <v>713</v>
      </c>
      <c r="G9431">
        <v>1800</v>
      </c>
      <c r="H9431">
        <v>1900</v>
      </c>
    </row>
    <row r="9432" spans="2:8" x14ac:dyDescent="0.25">
      <c r="B9432" t="str">
        <f t="shared" si="147"/>
        <v>TONPopulation ages 55-59, female</v>
      </c>
      <c r="C9432" t="s">
        <v>256</v>
      </c>
      <c r="D9432" t="s">
        <v>141</v>
      </c>
      <c r="E9432" t="s">
        <v>384</v>
      </c>
      <c r="F9432" t="s">
        <v>714</v>
      </c>
      <c r="G9432">
        <v>1800</v>
      </c>
      <c r="H9432">
        <v>1900</v>
      </c>
    </row>
    <row r="9433" spans="2:8" x14ac:dyDescent="0.25">
      <c r="B9433" t="str">
        <f t="shared" si="147"/>
        <v>TONPopulation ages 65-69, male</v>
      </c>
      <c r="C9433" t="s">
        <v>256</v>
      </c>
      <c r="D9433" t="s">
        <v>141</v>
      </c>
      <c r="E9433" t="s">
        <v>389</v>
      </c>
      <c r="F9433" t="s">
        <v>715</v>
      </c>
      <c r="G9433">
        <v>1100</v>
      </c>
      <c r="H9433">
        <v>1100</v>
      </c>
    </row>
    <row r="9434" spans="2:8" x14ac:dyDescent="0.25">
      <c r="B9434" t="str">
        <f t="shared" si="147"/>
        <v>TONPopulation ages 65-69, female</v>
      </c>
      <c r="C9434" t="s">
        <v>256</v>
      </c>
      <c r="D9434" t="s">
        <v>141</v>
      </c>
      <c r="E9434" t="s">
        <v>388</v>
      </c>
      <c r="F9434" t="s">
        <v>716</v>
      </c>
      <c r="G9434">
        <v>1200</v>
      </c>
      <c r="H9434">
        <v>1200</v>
      </c>
    </row>
    <row r="9435" spans="2:8" x14ac:dyDescent="0.25">
      <c r="B9435" t="str">
        <f t="shared" si="147"/>
        <v>TONPopulation ages 60-64, female</v>
      </c>
      <c r="C9435" t="s">
        <v>256</v>
      </c>
      <c r="D9435" t="s">
        <v>141</v>
      </c>
      <c r="E9435" t="s">
        <v>386</v>
      </c>
      <c r="F9435" t="s">
        <v>717</v>
      </c>
      <c r="G9435">
        <v>1500</v>
      </c>
      <c r="H9435">
        <v>1600</v>
      </c>
    </row>
    <row r="9436" spans="2:8" x14ac:dyDescent="0.25">
      <c r="B9436" t="str">
        <f t="shared" si="147"/>
        <v>TONPopulation ages 60-64, male</v>
      </c>
      <c r="C9436" t="s">
        <v>256</v>
      </c>
      <c r="D9436" t="s">
        <v>141</v>
      </c>
      <c r="E9436" t="s">
        <v>387</v>
      </c>
      <c r="F9436" t="s">
        <v>718</v>
      </c>
      <c r="G9436">
        <v>1400</v>
      </c>
      <c r="H9436">
        <v>1400</v>
      </c>
    </row>
    <row r="9437" spans="2:8" x14ac:dyDescent="0.25">
      <c r="B9437" t="str">
        <f t="shared" si="147"/>
        <v>TONPopulation ages 70-74, female</v>
      </c>
      <c r="C9437" t="s">
        <v>256</v>
      </c>
      <c r="D9437" t="s">
        <v>141</v>
      </c>
      <c r="E9437" t="s">
        <v>390</v>
      </c>
      <c r="F9437" t="s">
        <v>719</v>
      </c>
      <c r="G9437">
        <v>900</v>
      </c>
      <c r="H9437">
        <v>900</v>
      </c>
    </row>
    <row r="9438" spans="2:8" x14ac:dyDescent="0.25">
      <c r="B9438" t="str">
        <f t="shared" si="147"/>
        <v>TONPopulation ages 70-74, male</v>
      </c>
      <c r="C9438" t="s">
        <v>256</v>
      </c>
      <c r="D9438" t="s">
        <v>141</v>
      </c>
      <c r="E9438" t="s">
        <v>391</v>
      </c>
      <c r="F9438" t="s">
        <v>720</v>
      </c>
      <c r="G9438">
        <v>700</v>
      </c>
      <c r="H9438">
        <v>800</v>
      </c>
    </row>
    <row r="9439" spans="2:8" x14ac:dyDescent="0.25">
      <c r="B9439" t="str">
        <f t="shared" si="147"/>
        <v>TONPopulation ages 75-79, female</v>
      </c>
      <c r="C9439" t="s">
        <v>256</v>
      </c>
      <c r="D9439" t="s">
        <v>141</v>
      </c>
      <c r="E9439" t="s">
        <v>392</v>
      </c>
      <c r="F9439" t="s">
        <v>721</v>
      </c>
      <c r="G9439">
        <v>600</v>
      </c>
      <c r="H9439">
        <v>600</v>
      </c>
    </row>
    <row r="9440" spans="2:8" x14ac:dyDescent="0.25">
      <c r="B9440" t="str">
        <f t="shared" si="147"/>
        <v>TONPopulation ages 75-79, male</v>
      </c>
      <c r="C9440" t="s">
        <v>256</v>
      </c>
      <c r="D9440" t="s">
        <v>141</v>
      </c>
      <c r="E9440" t="s">
        <v>393</v>
      </c>
      <c r="F9440" t="s">
        <v>722</v>
      </c>
      <c r="G9440">
        <v>500</v>
      </c>
      <c r="H9440">
        <v>500</v>
      </c>
    </row>
    <row r="9441" spans="2:8" x14ac:dyDescent="0.25">
      <c r="B9441" t="str">
        <f t="shared" si="147"/>
        <v>TONPopulation ages 80 and above, female</v>
      </c>
      <c r="C9441" t="s">
        <v>256</v>
      </c>
      <c r="D9441" t="s">
        <v>141</v>
      </c>
      <c r="E9441" t="s">
        <v>394</v>
      </c>
      <c r="F9441" t="s">
        <v>723</v>
      </c>
      <c r="G9441">
        <v>700</v>
      </c>
      <c r="H9441">
        <v>600</v>
      </c>
    </row>
    <row r="9442" spans="2:8" x14ac:dyDescent="0.25">
      <c r="B9442" t="str">
        <f t="shared" si="147"/>
        <v>TONPopulation ages 80 and above, male</v>
      </c>
      <c r="C9442" t="s">
        <v>256</v>
      </c>
      <c r="D9442" t="s">
        <v>141</v>
      </c>
      <c r="E9442" t="s">
        <v>395</v>
      </c>
      <c r="F9442" t="s">
        <v>724</v>
      </c>
      <c r="G9442">
        <v>500</v>
      </c>
      <c r="H9442">
        <v>500</v>
      </c>
    </row>
    <row r="9443" spans="2:8" x14ac:dyDescent="0.25">
      <c r="B9443" t="str">
        <f t="shared" si="147"/>
        <v>TONPopulation, male</v>
      </c>
      <c r="C9443" t="s">
        <v>256</v>
      </c>
      <c r="D9443" t="s">
        <v>141</v>
      </c>
      <c r="E9443" t="s">
        <v>397</v>
      </c>
      <c r="F9443" t="s">
        <v>725</v>
      </c>
      <c r="G9443">
        <v>52000</v>
      </c>
      <c r="H9443">
        <v>53000</v>
      </c>
    </row>
    <row r="9444" spans="2:8" x14ac:dyDescent="0.25">
      <c r="B9444" t="str">
        <f t="shared" si="147"/>
        <v>TONPopulation, total</v>
      </c>
      <c r="C9444" t="s">
        <v>256</v>
      </c>
      <c r="D9444" t="s">
        <v>141</v>
      </c>
      <c r="E9444" t="s">
        <v>398</v>
      </c>
      <c r="F9444" t="s">
        <v>726</v>
      </c>
      <c r="G9444">
        <v>104000</v>
      </c>
      <c r="H9444">
        <v>106000</v>
      </c>
    </row>
    <row r="9445" spans="2:8" x14ac:dyDescent="0.25">
      <c r="B9445" t="str">
        <f t="shared" si="147"/>
        <v>TONPopulation, female</v>
      </c>
      <c r="C9445" t="s">
        <v>256</v>
      </c>
      <c r="D9445" t="s">
        <v>141</v>
      </c>
      <c r="E9445" t="s">
        <v>396</v>
      </c>
      <c r="F9445" t="s">
        <v>727</v>
      </c>
      <c r="G9445">
        <v>52000</v>
      </c>
      <c r="H9445">
        <v>53000</v>
      </c>
    </row>
    <row r="9446" spans="2:8" x14ac:dyDescent="0.25">
      <c r="B9446" t="str">
        <f t="shared" si="147"/>
        <v>TONPopulation growth (annual %)</v>
      </c>
      <c r="C9446" t="s">
        <v>256</v>
      </c>
      <c r="D9446" t="s">
        <v>141</v>
      </c>
      <c r="E9446" t="s">
        <v>399</v>
      </c>
      <c r="F9446" t="s">
        <v>728</v>
      </c>
      <c r="G9446">
        <v>0</v>
      </c>
      <c r="H9446">
        <v>0</v>
      </c>
    </row>
    <row r="9447" spans="2:8" x14ac:dyDescent="0.25">
      <c r="B9447" t="str">
        <f t="shared" si="147"/>
        <v>TTOPopulation ages 0-14, female</v>
      </c>
      <c r="C9447" t="s">
        <v>655</v>
      </c>
      <c r="D9447" t="s">
        <v>142</v>
      </c>
      <c r="E9447" t="s">
        <v>687</v>
      </c>
      <c r="F9447" t="s">
        <v>688</v>
      </c>
      <c r="G9447">
        <v>139000</v>
      </c>
      <c r="H9447">
        <v>138000</v>
      </c>
    </row>
    <row r="9448" spans="2:8" x14ac:dyDescent="0.25">
      <c r="B9448" t="str">
        <f t="shared" si="147"/>
        <v>TTOPopulation ages 0-14, male</v>
      </c>
      <c r="C9448" t="s">
        <v>655</v>
      </c>
      <c r="D9448" t="s">
        <v>142</v>
      </c>
      <c r="E9448" t="s">
        <v>689</v>
      </c>
      <c r="F9448" t="s">
        <v>690</v>
      </c>
      <c r="G9448">
        <v>143000</v>
      </c>
      <c r="H9448">
        <v>143000</v>
      </c>
    </row>
    <row r="9449" spans="2:8" x14ac:dyDescent="0.25">
      <c r="B9449" t="str">
        <f t="shared" si="147"/>
        <v>TTOPopulation ages 00-04, female</v>
      </c>
      <c r="C9449" t="s">
        <v>655</v>
      </c>
      <c r="D9449" t="s">
        <v>142</v>
      </c>
      <c r="E9449" t="s">
        <v>362</v>
      </c>
      <c r="F9449" t="s">
        <v>691</v>
      </c>
      <c r="G9449">
        <v>44000</v>
      </c>
      <c r="H9449">
        <v>43000</v>
      </c>
    </row>
    <row r="9450" spans="2:8" x14ac:dyDescent="0.25">
      <c r="B9450" t="str">
        <f t="shared" si="147"/>
        <v>TTOPopulation ages 00-04, male</v>
      </c>
      <c r="C9450" t="s">
        <v>655</v>
      </c>
      <c r="D9450" t="s">
        <v>142</v>
      </c>
      <c r="E9450" t="s">
        <v>363</v>
      </c>
      <c r="F9450" t="s">
        <v>692</v>
      </c>
      <c r="G9450">
        <v>46000</v>
      </c>
      <c r="H9450">
        <v>45000</v>
      </c>
    </row>
    <row r="9451" spans="2:8" x14ac:dyDescent="0.25">
      <c r="B9451" t="str">
        <f t="shared" si="147"/>
        <v>TTOPopulation ages 05-09, female</v>
      </c>
      <c r="C9451" t="s">
        <v>655</v>
      </c>
      <c r="D9451" t="s">
        <v>142</v>
      </c>
      <c r="E9451" t="s">
        <v>364</v>
      </c>
      <c r="F9451" t="s">
        <v>693</v>
      </c>
      <c r="G9451">
        <v>48000</v>
      </c>
      <c r="H9451">
        <v>47000</v>
      </c>
    </row>
    <row r="9452" spans="2:8" x14ac:dyDescent="0.25">
      <c r="B9452" t="str">
        <f t="shared" si="147"/>
        <v>TTOPopulation ages 05-09, male</v>
      </c>
      <c r="C9452" t="s">
        <v>655</v>
      </c>
      <c r="D9452" t="s">
        <v>142</v>
      </c>
      <c r="E9452" t="s">
        <v>365</v>
      </c>
      <c r="F9452" t="s">
        <v>694</v>
      </c>
      <c r="G9452">
        <v>49000</v>
      </c>
      <c r="H9452">
        <v>49000</v>
      </c>
    </row>
    <row r="9453" spans="2:8" x14ac:dyDescent="0.25">
      <c r="B9453" t="str">
        <f t="shared" si="147"/>
        <v>TTOPopulation ages 10-14, female</v>
      </c>
      <c r="C9453" t="s">
        <v>655</v>
      </c>
      <c r="D9453" t="s">
        <v>142</v>
      </c>
      <c r="E9453" t="s">
        <v>366</v>
      </c>
      <c r="F9453" t="s">
        <v>695</v>
      </c>
      <c r="G9453">
        <v>47000</v>
      </c>
      <c r="H9453">
        <v>47000</v>
      </c>
    </row>
    <row r="9454" spans="2:8" x14ac:dyDescent="0.25">
      <c r="B9454" t="str">
        <f t="shared" si="147"/>
        <v>TTOPopulation ages 10-14, male</v>
      </c>
      <c r="C9454" t="s">
        <v>655</v>
      </c>
      <c r="D9454" t="s">
        <v>142</v>
      </c>
      <c r="E9454" t="s">
        <v>367</v>
      </c>
      <c r="F9454" t="s">
        <v>696</v>
      </c>
      <c r="G9454">
        <v>48000</v>
      </c>
      <c r="H9454">
        <v>49000</v>
      </c>
    </row>
    <row r="9455" spans="2:8" x14ac:dyDescent="0.25">
      <c r="B9455" t="str">
        <f t="shared" si="147"/>
        <v>TTOPopulation ages 15-19, female</v>
      </c>
      <c r="C9455" t="s">
        <v>655</v>
      </c>
      <c r="D9455" t="s">
        <v>142</v>
      </c>
      <c r="E9455" t="s">
        <v>368</v>
      </c>
      <c r="F9455" t="s">
        <v>697</v>
      </c>
      <c r="G9455">
        <v>44000</v>
      </c>
      <c r="H9455">
        <v>44000</v>
      </c>
    </row>
    <row r="9456" spans="2:8" x14ac:dyDescent="0.25">
      <c r="B9456" t="str">
        <f t="shared" si="147"/>
        <v>TTOPopulation ages 15-19, male</v>
      </c>
      <c r="C9456" t="s">
        <v>655</v>
      </c>
      <c r="D9456" t="s">
        <v>142</v>
      </c>
      <c r="E9456" t="s">
        <v>369</v>
      </c>
      <c r="F9456" t="s">
        <v>698</v>
      </c>
      <c r="G9456">
        <v>45000</v>
      </c>
      <c r="H9456">
        <v>45000</v>
      </c>
    </row>
    <row r="9457" spans="2:8" x14ac:dyDescent="0.25">
      <c r="B9457" t="str">
        <f t="shared" si="147"/>
        <v>TTOPopulation ages 20-24, female</v>
      </c>
      <c r="C9457" t="s">
        <v>655</v>
      </c>
      <c r="D9457" t="s">
        <v>142</v>
      </c>
      <c r="E9457" t="s">
        <v>370</v>
      </c>
      <c r="F9457" t="s">
        <v>699</v>
      </c>
      <c r="G9457">
        <v>43000</v>
      </c>
      <c r="H9457">
        <v>42000</v>
      </c>
    </row>
    <row r="9458" spans="2:8" x14ac:dyDescent="0.25">
      <c r="B9458" t="str">
        <f t="shared" si="147"/>
        <v>TTOPopulation ages 20-24, male</v>
      </c>
      <c r="C9458" t="s">
        <v>655</v>
      </c>
      <c r="D9458" t="s">
        <v>142</v>
      </c>
      <c r="E9458" t="s">
        <v>371</v>
      </c>
      <c r="F9458" t="s">
        <v>700</v>
      </c>
      <c r="G9458">
        <v>44000</v>
      </c>
      <c r="H9458">
        <v>43000</v>
      </c>
    </row>
    <row r="9459" spans="2:8" x14ac:dyDescent="0.25">
      <c r="B9459" t="str">
        <f t="shared" si="147"/>
        <v>TTOPopulation ages 25-29, female</v>
      </c>
      <c r="C9459" t="s">
        <v>655</v>
      </c>
      <c r="D9459" t="s">
        <v>142</v>
      </c>
      <c r="E9459" t="s">
        <v>372</v>
      </c>
      <c r="F9459" t="s">
        <v>701</v>
      </c>
      <c r="G9459">
        <v>50000</v>
      </c>
      <c r="H9459">
        <v>48000</v>
      </c>
    </row>
    <row r="9460" spans="2:8" x14ac:dyDescent="0.25">
      <c r="B9460" t="str">
        <f t="shared" si="147"/>
        <v>TTOPopulation ages 25-29, male</v>
      </c>
      <c r="C9460" t="s">
        <v>655</v>
      </c>
      <c r="D9460" t="s">
        <v>142</v>
      </c>
      <c r="E9460" t="s">
        <v>373</v>
      </c>
      <c r="F9460" t="s">
        <v>702</v>
      </c>
      <c r="G9460">
        <v>51000</v>
      </c>
      <c r="H9460">
        <v>49000</v>
      </c>
    </row>
    <row r="9461" spans="2:8" x14ac:dyDescent="0.25">
      <c r="B9461" t="str">
        <f t="shared" si="147"/>
        <v>TTOPopulation ages 30-34, female</v>
      </c>
      <c r="C9461" t="s">
        <v>655</v>
      </c>
      <c r="D9461" t="s">
        <v>142</v>
      </c>
      <c r="E9461" t="s">
        <v>374</v>
      </c>
      <c r="F9461" t="s">
        <v>703</v>
      </c>
      <c r="G9461">
        <v>60000</v>
      </c>
      <c r="H9461">
        <v>58000</v>
      </c>
    </row>
    <row r="9462" spans="2:8" x14ac:dyDescent="0.25">
      <c r="B9462" t="str">
        <f t="shared" si="147"/>
        <v>TTOPopulation ages 30-34, male</v>
      </c>
      <c r="C9462" t="s">
        <v>655</v>
      </c>
      <c r="D9462" t="s">
        <v>142</v>
      </c>
      <c r="E9462" t="s">
        <v>375</v>
      </c>
      <c r="F9462" t="s">
        <v>704</v>
      </c>
      <c r="G9462">
        <v>61000</v>
      </c>
      <c r="H9462">
        <v>59000</v>
      </c>
    </row>
    <row r="9463" spans="2:8" x14ac:dyDescent="0.25">
      <c r="B9463" t="str">
        <f t="shared" si="147"/>
        <v>TTOPopulation ages 35-39, female</v>
      </c>
      <c r="C9463" t="s">
        <v>655</v>
      </c>
      <c r="D9463" t="s">
        <v>142</v>
      </c>
      <c r="E9463" t="s">
        <v>376</v>
      </c>
      <c r="F9463" t="s">
        <v>705</v>
      </c>
      <c r="G9463">
        <v>62000</v>
      </c>
      <c r="H9463">
        <v>63000</v>
      </c>
    </row>
    <row r="9464" spans="2:8" x14ac:dyDescent="0.25">
      <c r="B9464" t="str">
        <f t="shared" si="147"/>
        <v>TTOPopulation ages 35-39, male</v>
      </c>
      <c r="C9464" t="s">
        <v>655</v>
      </c>
      <c r="D9464" t="s">
        <v>142</v>
      </c>
      <c r="E9464" t="s">
        <v>377</v>
      </c>
      <c r="F9464" t="s">
        <v>706</v>
      </c>
      <c r="G9464">
        <v>62000</v>
      </c>
      <c r="H9464">
        <v>63000</v>
      </c>
    </row>
    <row r="9465" spans="2:8" x14ac:dyDescent="0.25">
      <c r="B9465" t="str">
        <f t="shared" si="147"/>
        <v>TTOPopulation ages 40-44, female</v>
      </c>
      <c r="C9465" t="s">
        <v>655</v>
      </c>
      <c r="D9465" t="s">
        <v>142</v>
      </c>
      <c r="E9465" t="s">
        <v>378</v>
      </c>
      <c r="F9465" t="s">
        <v>707</v>
      </c>
      <c r="G9465">
        <v>49000</v>
      </c>
      <c r="H9465">
        <v>51000</v>
      </c>
    </row>
    <row r="9466" spans="2:8" x14ac:dyDescent="0.25">
      <c r="B9466" t="str">
        <f t="shared" si="147"/>
        <v>TTOPopulation ages 40-44, male</v>
      </c>
      <c r="C9466" t="s">
        <v>655</v>
      </c>
      <c r="D9466" t="s">
        <v>142</v>
      </c>
      <c r="E9466" t="s">
        <v>379</v>
      </c>
      <c r="F9466" t="s">
        <v>708</v>
      </c>
      <c r="G9466">
        <v>49000</v>
      </c>
      <c r="H9466">
        <v>50000</v>
      </c>
    </row>
    <row r="9467" spans="2:8" x14ac:dyDescent="0.25">
      <c r="B9467" t="str">
        <f t="shared" si="147"/>
        <v>TTOPopulation ages 45-49, female</v>
      </c>
      <c r="C9467" t="s">
        <v>655</v>
      </c>
      <c r="D9467" t="s">
        <v>142</v>
      </c>
      <c r="E9467" t="s">
        <v>380</v>
      </c>
      <c r="F9467" t="s">
        <v>709</v>
      </c>
      <c r="G9467">
        <v>45000</v>
      </c>
      <c r="H9467">
        <v>46000</v>
      </c>
    </row>
    <row r="9468" spans="2:8" x14ac:dyDescent="0.25">
      <c r="B9468" t="str">
        <f t="shared" si="147"/>
        <v>TTOPopulation ages 45-49, male</v>
      </c>
      <c r="C9468" t="s">
        <v>655</v>
      </c>
      <c r="D9468" t="s">
        <v>142</v>
      </c>
      <c r="E9468" t="s">
        <v>381</v>
      </c>
      <c r="F9468" t="s">
        <v>710</v>
      </c>
      <c r="G9468">
        <v>44000</v>
      </c>
      <c r="H9468">
        <v>45000</v>
      </c>
    </row>
    <row r="9469" spans="2:8" x14ac:dyDescent="0.25">
      <c r="B9469" t="str">
        <f t="shared" si="147"/>
        <v>TTOPopulation ages 50-54, female</v>
      </c>
      <c r="C9469" t="s">
        <v>655</v>
      </c>
      <c r="D9469" t="s">
        <v>142</v>
      </c>
      <c r="E9469" t="s">
        <v>382</v>
      </c>
      <c r="F9469" t="s">
        <v>711</v>
      </c>
      <c r="G9469">
        <v>43000</v>
      </c>
      <c r="H9469">
        <v>42000</v>
      </c>
    </row>
    <row r="9470" spans="2:8" x14ac:dyDescent="0.25">
      <c r="B9470" t="str">
        <f t="shared" si="147"/>
        <v>TTOPopulation ages 50-54, male</v>
      </c>
      <c r="C9470" t="s">
        <v>655</v>
      </c>
      <c r="D9470" t="s">
        <v>142</v>
      </c>
      <c r="E9470" t="s">
        <v>383</v>
      </c>
      <c r="F9470" t="s">
        <v>712</v>
      </c>
      <c r="G9470">
        <v>41000</v>
      </c>
      <c r="H9470">
        <v>40000</v>
      </c>
    </row>
    <row r="9471" spans="2:8" x14ac:dyDescent="0.25">
      <c r="B9471" t="str">
        <f t="shared" si="147"/>
        <v>TTOPopulation ages 55-59, male</v>
      </c>
      <c r="C9471" t="s">
        <v>655</v>
      </c>
      <c r="D9471" t="s">
        <v>142</v>
      </c>
      <c r="E9471" t="s">
        <v>385</v>
      </c>
      <c r="F9471" t="s">
        <v>713</v>
      </c>
      <c r="G9471">
        <v>45000</v>
      </c>
      <c r="H9471">
        <v>45000</v>
      </c>
    </row>
    <row r="9472" spans="2:8" x14ac:dyDescent="0.25">
      <c r="B9472" t="str">
        <f t="shared" si="147"/>
        <v>TTOPopulation ages 55-59, female</v>
      </c>
      <c r="C9472" t="s">
        <v>655</v>
      </c>
      <c r="D9472" t="s">
        <v>142</v>
      </c>
      <c r="E9472" t="s">
        <v>384</v>
      </c>
      <c r="F9472" t="s">
        <v>714</v>
      </c>
      <c r="G9472">
        <v>47000</v>
      </c>
      <c r="H9472">
        <v>48000</v>
      </c>
    </row>
    <row r="9473" spans="2:8" x14ac:dyDescent="0.25">
      <c r="B9473" t="str">
        <f t="shared" si="147"/>
        <v>TTOPopulation ages 65-69, male</v>
      </c>
      <c r="C9473" t="s">
        <v>655</v>
      </c>
      <c r="D9473" t="s">
        <v>142</v>
      </c>
      <c r="E9473" t="s">
        <v>389</v>
      </c>
      <c r="F9473" t="s">
        <v>715</v>
      </c>
      <c r="G9473">
        <v>28000</v>
      </c>
      <c r="H9473">
        <v>29000</v>
      </c>
    </row>
    <row r="9474" spans="2:8" x14ac:dyDescent="0.25">
      <c r="B9474" t="str">
        <f t="shared" si="147"/>
        <v>TTOPopulation ages 65-69, female</v>
      </c>
      <c r="C9474" t="s">
        <v>655</v>
      </c>
      <c r="D9474" t="s">
        <v>142</v>
      </c>
      <c r="E9474" t="s">
        <v>388</v>
      </c>
      <c r="F9474" t="s">
        <v>716</v>
      </c>
      <c r="G9474">
        <v>30000</v>
      </c>
      <c r="H9474">
        <v>32000</v>
      </c>
    </row>
    <row r="9475" spans="2:8" x14ac:dyDescent="0.25">
      <c r="B9475" t="str">
        <f t="shared" si="147"/>
        <v>TTOPopulation ages 60-64, female</v>
      </c>
      <c r="C9475" t="s">
        <v>655</v>
      </c>
      <c r="D9475" t="s">
        <v>142</v>
      </c>
      <c r="E9475" t="s">
        <v>386</v>
      </c>
      <c r="F9475" t="s">
        <v>717</v>
      </c>
      <c r="G9475">
        <v>38000</v>
      </c>
      <c r="H9475">
        <v>39000</v>
      </c>
    </row>
    <row r="9476" spans="2:8" x14ac:dyDescent="0.25">
      <c r="B9476" t="str">
        <f t="shared" si="147"/>
        <v>TTOPopulation ages 60-64, male</v>
      </c>
      <c r="C9476" t="s">
        <v>655</v>
      </c>
      <c r="D9476" t="s">
        <v>142</v>
      </c>
      <c r="E9476" t="s">
        <v>387</v>
      </c>
      <c r="F9476" t="s">
        <v>718</v>
      </c>
      <c r="G9476">
        <v>36000</v>
      </c>
      <c r="H9476">
        <v>37000</v>
      </c>
    </row>
    <row r="9477" spans="2:8" x14ac:dyDescent="0.25">
      <c r="B9477" t="str">
        <f t="shared" si="147"/>
        <v>TTOPopulation ages 70-74, female</v>
      </c>
      <c r="C9477" t="s">
        <v>655</v>
      </c>
      <c r="D9477" t="s">
        <v>142</v>
      </c>
      <c r="E9477" t="s">
        <v>390</v>
      </c>
      <c r="F9477" t="s">
        <v>719</v>
      </c>
      <c r="G9477">
        <v>23000</v>
      </c>
      <c r="H9477">
        <v>24000</v>
      </c>
    </row>
    <row r="9478" spans="2:8" x14ac:dyDescent="0.25">
      <c r="B9478" t="str">
        <f t="shared" si="147"/>
        <v>TTOPopulation ages 70-74, male</v>
      </c>
      <c r="C9478" t="s">
        <v>655</v>
      </c>
      <c r="D9478" t="s">
        <v>142</v>
      </c>
      <c r="E9478" t="s">
        <v>391</v>
      </c>
      <c r="F9478" t="s">
        <v>720</v>
      </c>
      <c r="G9478">
        <v>19000</v>
      </c>
      <c r="H9478">
        <v>20000</v>
      </c>
    </row>
    <row r="9479" spans="2:8" x14ac:dyDescent="0.25">
      <c r="B9479" t="str">
        <f t="shared" ref="B9479:B9542" si="148">CONCATENATE(D9479,E9479)</f>
        <v>TTOPopulation ages 75-79, female</v>
      </c>
      <c r="C9479" t="s">
        <v>655</v>
      </c>
      <c r="D9479" t="s">
        <v>142</v>
      </c>
      <c r="E9479" t="s">
        <v>392</v>
      </c>
      <c r="F9479" t="s">
        <v>721</v>
      </c>
      <c r="G9479">
        <v>16000</v>
      </c>
      <c r="H9479">
        <v>17000</v>
      </c>
    </row>
    <row r="9480" spans="2:8" x14ac:dyDescent="0.25">
      <c r="B9480" t="str">
        <f t="shared" si="148"/>
        <v>TTOPopulation ages 75-79, male</v>
      </c>
      <c r="C9480" t="s">
        <v>655</v>
      </c>
      <c r="D9480" t="s">
        <v>142</v>
      </c>
      <c r="E9480" t="s">
        <v>393</v>
      </c>
      <c r="F9480" t="s">
        <v>722</v>
      </c>
      <c r="G9480">
        <v>12000</v>
      </c>
      <c r="H9480">
        <v>13000</v>
      </c>
    </row>
    <row r="9481" spans="2:8" x14ac:dyDescent="0.25">
      <c r="B9481" t="str">
        <f t="shared" si="148"/>
        <v>TTOPopulation ages 80 and above, female</v>
      </c>
      <c r="C9481" t="s">
        <v>655</v>
      </c>
      <c r="D9481" t="s">
        <v>142</v>
      </c>
      <c r="E9481" t="s">
        <v>394</v>
      </c>
      <c r="F9481" t="s">
        <v>723</v>
      </c>
      <c r="G9481">
        <v>16000</v>
      </c>
      <c r="H9481">
        <v>17000</v>
      </c>
    </row>
    <row r="9482" spans="2:8" x14ac:dyDescent="0.25">
      <c r="B9482" t="str">
        <f t="shared" si="148"/>
        <v>TTOPopulation ages 80 and above, male</v>
      </c>
      <c r="C9482" t="s">
        <v>655</v>
      </c>
      <c r="D9482" t="s">
        <v>142</v>
      </c>
      <c r="E9482" t="s">
        <v>395</v>
      </c>
      <c r="F9482" t="s">
        <v>724</v>
      </c>
      <c r="G9482">
        <v>10000</v>
      </c>
      <c r="H9482">
        <v>11000</v>
      </c>
    </row>
    <row r="9483" spans="2:8" x14ac:dyDescent="0.25">
      <c r="B9483" t="str">
        <f t="shared" si="148"/>
        <v>TTOPopulation, male</v>
      </c>
      <c r="C9483" t="s">
        <v>655</v>
      </c>
      <c r="D9483" t="s">
        <v>142</v>
      </c>
      <c r="E9483" t="s">
        <v>397</v>
      </c>
      <c r="F9483" t="s">
        <v>725</v>
      </c>
      <c r="G9483">
        <v>689000</v>
      </c>
      <c r="H9483">
        <v>691000</v>
      </c>
    </row>
    <row r="9484" spans="2:8" x14ac:dyDescent="0.25">
      <c r="B9484" t="str">
        <f t="shared" si="148"/>
        <v>TTOPopulation, total</v>
      </c>
      <c r="C9484" t="s">
        <v>655</v>
      </c>
      <c r="D9484" t="s">
        <v>142</v>
      </c>
      <c r="E9484" t="s">
        <v>398</v>
      </c>
      <c r="F9484" t="s">
        <v>726</v>
      </c>
      <c r="G9484">
        <v>1395000</v>
      </c>
      <c r="H9484">
        <v>1399000</v>
      </c>
    </row>
    <row r="9485" spans="2:8" x14ac:dyDescent="0.25">
      <c r="B9485" t="str">
        <f t="shared" si="148"/>
        <v>TTOPopulation, female</v>
      </c>
      <c r="C9485" t="s">
        <v>655</v>
      </c>
      <c r="D9485" t="s">
        <v>142</v>
      </c>
      <c r="E9485" t="s">
        <v>396</v>
      </c>
      <c r="F9485" t="s">
        <v>727</v>
      </c>
      <c r="G9485">
        <v>706000</v>
      </c>
      <c r="H9485">
        <v>709000</v>
      </c>
    </row>
    <row r="9486" spans="2:8" x14ac:dyDescent="0.25">
      <c r="B9486" t="str">
        <f t="shared" si="148"/>
        <v>TTOPopulation growth (annual %)</v>
      </c>
      <c r="C9486" t="s">
        <v>655</v>
      </c>
      <c r="D9486" t="s">
        <v>142</v>
      </c>
      <c r="E9486" t="s">
        <v>399</v>
      </c>
      <c r="F9486" t="s">
        <v>728</v>
      </c>
      <c r="G9486">
        <v>0</v>
      </c>
      <c r="H9486">
        <v>0</v>
      </c>
    </row>
    <row r="9487" spans="2:8" x14ac:dyDescent="0.25">
      <c r="B9487" t="str">
        <f t="shared" si="148"/>
        <v>TUNPopulation ages 0-14, female</v>
      </c>
      <c r="C9487" t="s">
        <v>656</v>
      </c>
      <c r="D9487" t="s">
        <v>143</v>
      </c>
      <c r="E9487" t="s">
        <v>687</v>
      </c>
      <c r="F9487" t="s">
        <v>688</v>
      </c>
      <c r="G9487">
        <v>1373000</v>
      </c>
      <c r="H9487">
        <v>1392000</v>
      </c>
    </row>
    <row r="9488" spans="2:8" x14ac:dyDescent="0.25">
      <c r="B9488" t="str">
        <f t="shared" si="148"/>
        <v>TUNPopulation ages 0-14, male</v>
      </c>
      <c r="C9488" t="s">
        <v>656</v>
      </c>
      <c r="D9488" t="s">
        <v>143</v>
      </c>
      <c r="E9488" t="s">
        <v>689</v>
      </c>
      <c r="F9488" t="s">
        <v>690</v>
      </c>
      <c r="G9488">
        <v>1461000</v>
      </c>
      <c r="H9488">
        <v>1479000</v>
      </c>
    </row>
    <row r="9489" spans="2:8" x14ac:dyDescent="0.25">
      <c r="B9489" t="str">
        <f t="shared" si="148"/>
        <v>TUNPopulation ages 00-04, female</v>
      </c>
      <c r="C9489" t="s">
        <v>656</v>
      </c>
      <c r="D9489" t="s">
        <v>143</v>
      </c>
      <c r="E9489" t="s">
        <v>362</v>
      </c>
      <c r="F9489" t="s">
        <v>691</v>
      </c>
      <c r="G9489">
        <v>496000</v>
      </c>
      <c r="H9489">
        <v>489000</v>
      </c>
    </row>
    <row r="9490" spans="2:8" x14ac:dyDescent="0.25">
      <c r="B9490" t="str">
        <f t="shared" si="148"/>
        <v>TUNPopulation ages 00-04, male</v>
      </c>
      <c r="C9490" t="s">
        <v>656</v>
      </c>
      <c r="D9490" t="s">
        <v>143</v>
      </c>
      <c r="E9490" t="s">
        <v>363</v>
      </c>
      <c r="F9490" t="s">
        <v>692</v>
      </c>
      <c r="G9490">
        <v>523000</v>
      </c>
      <c r="H9490">
        <v>515000</v>
      </c>
    </row>
    <row r="9491" spans="2:8" x14ac:dyDescent="0.25">
      <c r="B9491" t="str">
        <f t="shared" si="148"/>
        <v>TUNPopulation ages 05-09, female</v>
      </c>
      <c r="C9491" t="s">
        <v>656</v>
      </c>
      <c r="D9491" t="s">
        <v>143</v>
      </c>
      <c r="E9491" t="s">
        <v>364</v>
      </c>
      <c r="F9491" t="s">
        <v>693</v>
      </c>
      <c r="G9491">
        <v>477000</v>
      </c>
      <c r="H9491">
        <v>492000</v>
      </c>
    </row>
    <row r="9492" spans="2:8" x14ac:dyDescent="0.25">
      <c r="B9492" t="str">
        <f t="shared" si="148"/>
        <v>TUNPopulation ages 05-09, male</v>
      </c>
      <c r="C9492" t="s">
        <v>656</v>
      </c>
      <c r="D9492" t="s">
        <v>143</v>
      </c>
      <c r="E9492" t="s">
        <v>365</v>
      </c>
      <c r="F9492" t="s">
        <v>694</v>
      </c>
      <c r="G9492">
        <v>507000</v>
      </c>
      <c r="H9492">
        <v>522000</v>
      </c>
    </row>
    <row r="9493" spans="2:8" x14ac:dyDescent="0.25">
      <c r="B9493" t="str">
        <f t="shared" si="148"/>
        <v>TUNPopulation ages 10-14, female</v>
      </c>
      <c r="C9493" t="s">
        <v>656</v>
      </c>
      <c r="D9493" t="s">
        <v>143</v>
      </c>
      <c r="E9493" t="s">
        <v>366</v>
      </c>
      <c r="F9493" t="s">
        <v>695</v>
      </c>
      <c r="G9493">
        <v>400000</v>
      </c>
      <c r="H9493">
        <v>411000</v>
      </c>
    </row>
    <row r="9494" spans="2:8" x14ac:dyDescent="0.25">
      <c r="B9494" t="str">
        <f t="shared" si="148"/>
        <v>TUNPopulation ages 10-14, male</v>
      </c>
      <c r="C9494" t="s">
        <v>656</v>
      </c>
      <c r="D9494" t="s">
        <v>143</v>
      </c>
      <c r="E9494" t="s">
        <v>367</v>
      </c>
      <c r="F9494" t="s">
        <v>696</v>
      </c>
      <c r="G9494">
        <v>430000</v>
      </c>
      <c r="H9494">
        <v>442000</v>
      </c>
    </row>
    <row r="9495" spans="2:8" x14ac:dyDescent="0.25">
      <c r="B9495" t="str">
        <f t="shared" si="148"/>
        <v>TUNPopulation ages 15-19, female</v>
      </c>
      <c r="C9495" t="s">
        <v>656</v>
      </c>
      <c r="D9495" t="s">
        <v>143</v>
      </c>
      <c r="E9495" t="s">
        <v>368</v>
      </c>
      <c r="F9495" t="s">
        <v>697</v>
      </c>
      <c r="G9495">
        <v>378000</v>
      </c>
      <c r="H9495">
        <v>378000</v>
      </c>
    </row>
    <row r="9496" spans="2:8" x14ac:dyDescent="0.25">
      <c r="B9496" t="str">
        <f t="shared" si="148"/>
        <v>TUNPopulation ages 15-19, male</v>
      </c>
      <c r="C9496" t="s">
        <v>656</v>
      </c>
      <c r="D9496" t="s">
        <v>143</v>
      </c>
      <c r="E9496" t="s">
        <v>369</v>
      </c>
      <c r="F9496" t="s">
        <v>698</v>
      </c>
      <c r="G9496">
        <v>409000</v>
      </c>
      <c r="H9496">
        <v>409000</v>
      </c>
    </row>
    <row r="9497" spans="2:8" x14ac:dyDescent="0.25">
      <c r="B9497" t="str">
        <f t="shared" si="148"/>
        <v>TUNPopulation ages 20-24, female</v>
      </c>
      <c r="C9497" t="s">
        <v>656</v>
      </c>
      <c r="D9497" t="s">
        <v>143</v>
      </c>
      <c r="E9497" t="s">
        <v>370</v>
      </c>
      <c r="F9497" t="s">
        <v>699</v>
      </c>
      <c r="G9497">
        <v>405000</v>
      </c>
      <c r="H9497">
        <v>395000</v>
      </c>
    </row>
    <row r="9498" spans="2:8" x14ac:dyDescent="0.25">
      <c r="B9498" t="str">
        <f t="shared" si="148"/>
        <v>TUNPopulation ages 20-24, male</v>
      </c>
      <c r="C9498" t="s">
        <v>656</v>
      </c>
      <c r="D9498" t="s">
        <v>143</v>
      </c>
      <c r="E9498" t="s">
        <v>371</v>
      </c>
      <c r="F9498" t="s">
        <v>700</v>
      </c>
      <c r="G9498">
        <v>433000</v>
      </c>
      <c r="H9498">
        <v>426000</v>
      </c>
    </row>
    <row r="9499" spans="2:8" x14ac:dyDescent="0.25">
      <c r="B9499" t="str">
        <f t="shared" si="148"/>
        <v>TUNPopulation ages 25-29, female</v>
      </c>
      <c r="C9499" t="s">
        <v>656</v>
      </c>
      <c r="D9499" t="s">
        <v>143</v>
      </c>
      <c r="E9499" t="s">
        <v>372</v>
      </c>
      <c r="F9499" t="s">
        <v>701</v>
      </c>
      <c r="G9499">
        <v>456000</v>
      </c>
      <c r="H9499">
        <v>447000</v>
      </c>
    </row>
    <row r="9500" spans="2:8" x14ac:dyDescent="0.25">
      <c r="B9500" t="str">
        <f t="shared" si="148"/>
        <v>TUNPopulation ages 25-29, male</v>
      </c>
      <c r="C9500" t="s">
        <v>656</v>
      </c>
      <c r="D9500" t="s">
        <v>143</v>
      </c>
      <c r="E9500" t="s">
        <v>373</v>
      </c>
      <c r="F9500" t="s">
        <v>702</v>
      </c>
      <c r="G9500">
        <v>458000</v>
      </c>
      <c r="H9500">
        <v>457000</v>
      </c>
    </row>
    <row r="9501" spans="2:8" x14ac:dyDescent="0.25">
      <c r="B9501" t="str">
        <f t="shared" si="148"/>
        <v>TUNPopulation ages 30-34, female</v>
      </c>
      <c r="C9501" t="s">
        <v>656</v>
      </c>
      <c r="D9501" t="s">
        <v>143</v>
      </c>
      <c r="E9501" t="s">
        <v>374</v>
      </c>
      <c r="F9501" t="s">
        <v>703</v>
      </c>
      <c r="G9501">
        <v>486000</v>
      </c>
      <c r="H9501">
        <v>479000</v>
      </c>
    </row>
    <row r="9502" spans="2:8" x14ac:dyDescent="0.25">
      <c r="B9502" t="str">
        <f t="shared" si="148"/>
        <v>TUNPopulation ages 30-34, male</v>
      </c>
      <c r="C9502" t="s">
        <v>656</v>
      </c>
      <c r="D9502" t="s">
        <v>143</v>
      </c>
      <c r="E9502" t="s">
        <v>375</v>
      </c>
      <c r="F9502" t="s">
        <v>704</v>
      </c>
      <c r="G9502">
        <v>456000</v>
      </c>
      <c r="H9502">
        <v>449000</v>
      </c>
    </row>
    <row r="9503" spans="2:8" x14ac:dyDescent="0.25">
      <c r="B9503" t="str">
        <f t="shared" si="148"/>
        <v>TUNPopulation ages 35-39, female</v>
      </c>
      <c r="C9503" t="s">
        <v>656</v>
      </c>
      <c r="D9503" t="s">
        <v>143</v>
      </c>
      <c r="E9503" t="s">
        <v>376</v>
      </c>
      <c r="F9503" t="s">
        <v>705</v>
      </c>
      <c r="G9503">
        <v>495000</v>
      </c>
      <c r="H9503">
        <v>501000</v>
      </c>
    </row>
    <row r="9504" spans="2:8" x14ac:dyDescent="0.25">
      <c r="B9504" t="str">
        <f t="shared" si="148"/>
        <v>TUNPopulation ages 35-39, male</v>
      </c>
      <c r="C9504" t="s">
        <v>656</v>
      </c>
      <c r="D9504" t="s">
        <v>143</v>
      </c>
      <c r="E9504" t="s">
        <v>377</v>
      </c>
      <c r="F9504" t="s">
        <v>706</v>
      </c>
      <c r="G9504">
        <v>479000</v>
      </c>
      <c r="H9504">
        <v>485000</v>
      </c>
    </row>
    <row r="9505" spans="2:8" x14ac:dyDescent="0.25">
      <c r="B9505" t="str">
        <f t="shared" si="148"/>
        <v>TUNPopulation ages 40-44, female</v>
      </c>
      <c r="C9505" t="s">
        <v>656</v>
      </c>
      <c r="D9505" t="s">
        <v>143</v>
      </c>
      <c r="E9505" t="s">
        <v>378</v>
      </c>
      <c r="F9505" t="s">
        <v>707</v>
      </c>
      <c r="G9505">
        <v>424000</v>
      </c>
      <c r="H9505">
        <v>439000</v>
      </c>
    </row>
    <row r="9506" spans="2:8" x14ac:dyDescent="0.25">
      <c r="B9506" t="str">
        <f t="shared" si="148"/>
        <v>TUNPopulation ages 40-44, male</v>
      </c>
      <c r="C9506" t="s">
        <v>656</v>
      </c>
      <c r="D9506" t="s">
        <v>143</v>
      </c>
      <c r="E9506" t="s">
        <v>379</v>
      </c>
      <c r="F9506" t="s">
        <v>708</v>
      </c>
      <c r="G9506">
        <v>393000</v>
      </c>
      <c r="H9506">
        <v>408000</v>
      </c>
    </row>
    <row r="9507" spans="2:8" x14ac:dyDescent="0.25">
      <c r="B9507" t="str">
        <f t="shared" si="148"/>
        <v>TUNPopulation ages 45-49, female</v>
      </c>
      <c r="C9507" t="s">
        <v>656</v>
      </c>
      <c r="D9507" t="s">
        <v>143</v>
      </c>
      <c r="E9507" t="s">
        <v>380</v>
      </c>
      <c r="F9507" t="s">
        <v>709</v>
      </c>
      <c r="G9507">
        <v>370000</v>
      </c>
      <c r="H9507">
        <v>373000</v>
      </c>
    </row>
    <row r="9508" spans="2:8" x14ac:dyDescent="0.25">
      <c r="B9508" t="str">
        <f t="shared" si="148"/>
        <v>TUNPopulation ages 45-49, male</v>
      </c>
      <c r="C9508" t="s">
        <v>656</v>
      </c>
      <c r="D9508" t="s">
        <v>143</v>
      </c>
      <c r="E9508" t="s">
        <v>381</v>
      </c>
      <c r="F9508" t="s">
        <v>710</v>
      </c>
      <c r="G9508">
        <v>348000</v>
      </c>
      <c r="H9508">
        <v>352000</v>
      </c>
    </row>
    <row r="9509" spans="2:8" x14ac:dyDescent="0.25">
      <c r="B9509" t="str">
        <f t="shared" si="148"/>
        <v>TUNPopulation ages 50-54, female</v>
      </c>
      <c r="C9509" t="s">
        <v>656</v>
      </c>
      <c r="D9509" t="s">
        <v>143</v>
      </c>
      <c r="E9509" t="s">
        <v>382</v>
      </c>
      <c r="F9509" t="s">
        <v>711</v>
      </c>
      <c r="G9509">
        <v>368000</v>
      </c>
      <c r="H9509">
        <v>372000</v>
      </c>
    </row>
    <row r="9510" spans="2:8" x14ac:dyDescent="0.25">
      <c r="B9510" t="str">
        <f t="shared" si="148"/>
        <v>TUNPopulation ages 50-54, male</v>
      </c>
      <c r="C9510" t="s">
        <v>656</v>
      </c>
      <c r="D9510" t="s">
        <v>143</v>
      </c>
      <c r="E9510" t="s">
        <v>383</v>
      </c>
      <c r="F9510" t="s">
        <v>712</v>
      </c>
      <c r="G9510">
        <v>339000</v>
      </c>
      <c r="H9510">
        <v>340000</v>
      </c>
    </row>
    <row r="9511" spans="2:8" x14ac:dyDescent="0.25">
      <c r="B9511" t="str">
        <f t="shared" si="148"/>
        <v>TUNPopulation ages 55-59, male</v>
      </c>
      <c r="C9511" t="s">
        <v>656</v>
      </c>
      <c r="D9511" t="s">
        <v>143</v>
      </c>
      <c r="E9511" t="s">
        <v>385</v>
      </c>
      <c r="F9511" t="s">
        <v>713</v>
      </c>
      <c r="G9511">
        <v>315000</v>
      </c>
      <c r="H9511">
        <v>321000</v>
      </c>
    </row>
    <row r="9512" spans="2:8" x14ac:dyDescent="0.25">
      <c r="B9512" t="str">
        <f t="shared" si="148"/>
        <v>TUNPopulation ages 55-59, female</v>
      </c>
      <c r="C9512" t="s">
        <v>656</v>
      </c>
      <c r="D9512" t="s">
        <v>143</v>
      </c>
      <c r="E9512" t="s">
        <v>384</v>
      </c>
      <c r="F9512" t="s">
        <v>714</v>
      </c>
      <c r="G9512">
        <v>320000</v>
      </c>
      <c r="H9512">
        <v>329000</v>
      </c>
    </row>
    <row r="9513" spans="2:8" x14ac:dyDescent="0.25">
      <c r="B9513" t="str">
        <f t="shared" si="148"/>
        <v>TUNPopulation ages 65-69, male</v>
      </c>
      <c r="C9513" t="s">
        <v>656</v>
      </c>
      <c r="D9513" t="s">
        <v>143</v>
      </c>
      <c r="E9513" t="s">
        <v>389</v>
      </c>
      <c r="F9513" t="s">
        <v>715</v>
      </c>
      <c r="G9513">
        <v>189000</v>
      </c>
      <c r="H9513">
        <v>202000</v>
      </c>
    </row>
    <row r="9514" spans="2:8" x14ac:dyDescent="0.25">
      <c r="B9514" t="str">
        <f t="shared" si="148"/>
        <v>TUNPopulation ages 65-69, female</v>
      </c>
      <c r="C9514" t="s">
        <v>656</v>
      </c>
      <c r="D9514" t="s">
        <v>143</v>
      </c>
      <c r="E9514" t="s">
        <v>388</v>
      </c>
      <c r="F9514" t="s">
        <v>716</v>
      </c>
      <c r="G9514">
        <v>209000</v>
      </c>
      <c r="H9514">
        <v>222000</v>
      </c>
    </row>
    <row r="9515" spans="2:8" x14ac:dyDescent="0.25">
      <c r="B9515" t="str">
        <f t="shared" si="148"/>
        <v>TUNPopulation ages 60-64, female</v>
      </c>
      <c r="C9515" t="s">
        <v>656</v>
      </c>
      <c r="D9515" t="s">
        <v>143</v>
      </c>
      <c r="E9515" t="s">
        <v>386</v>
      </c>
      <c r="F9515" t="s">
        <v>717</v>
      </c>
      <c r="G9515">
        <v>267000</v>
      </c>
      <c r="H9515">
        <v>275000</v>
      </c>
    </row>
    <row r="9516" spans="2:8" x14ac:dyDescent="0.25">
      <c r="B9516" t="str">
        <f t="shared" si="148"/>
        <v>TUNPopulation ages 60-64, male</v>
      </c>
      <c r="C9516" t="s">
        <v>656</v>
      </c>
      <c r="D9516" t="s">
        <v>143</v>
      </c>
      <c r="E9516" t="s">
        <v>387</v>
      </c>
      <c r="F9516" t="s">
        <v>718</v>
      </c>
      <c r="G9516">
        <v>256000</v>
      </c>
      <c r="H9516">
        <v>264000</v>
      </c>
    </row>
    <row r="9517" spans="2:8" x14ac:dyDescent="0.25">
      <c r="B9517" t="str">
        <f t="shared" si="148"/>
        <v>TUNPopulation ages 70-74, female</v>
      </c>
      <c r="C9517" t="s">
        <v>656</v>
      </c>
      <c r="D9517" t="s">
        <v>143</v>
      </c>
      <c r="E9517" t="s">
        <v>390</v>
      </c>
      <c r="F9517" t="s">
        <v>719</v>
      </c>
      <c r="G9517">
        <v>129000</v>
      </c>
      <c r="H9517">
        <v>138000</v>
      </c>
    </row>
    <row r="9518" spans="2:8" x14ac:dyDescent="0.25">
      <c r="B9518" t="str">
        <f t="shared" si="148"/>
        <v>TUNPopulation ages 70-74, male</v>
      </c>
      <c r="C9518" t="s">
        <v>656</v>
      </c>
      <c r="D9518" t="s">
        <v>143</v>
      </c>
      <c r="E9518" t="s">
        <v>391</v>
      </c>
      <c r="F9518" t="s">
        <v>720</v>
      </c>
      <c r="G9518">
        <v>105000</v>
      </c>
      <c r="H9518">
        <v>112000</v>
      </c>
    </row>
    <row r="9519" spans="2:8" x14ac:dyDescent="0.25">
      <c r="B9519" t="str">
        <f t="shared" si="148"/>
        <v>TUNPopulation ages 75-79, female</v>
      </c>
      <c r="C9519" t="s">
        <v>656</v>
      </c>
      <c r="D9519" t="s">
        <v>143</v>
      </c>
      <c r="E9519" t="s">
        <v>392</v>
      </c>
      <c r="F9519" t="s">
        <v>721</v>
      </c>
      <c r="G9519">
        <v>96000</v>
      </c>
      <c r="H9519">
        <v>97000</v>
      </c>
    </row>
    <row r="9520" spans="2:8" x14ac:dyDescent="0.25">
      <c r="B9520" t="str">
        <f t="shared" si="148"/>
        <v>TUNPopulation ages 75-79, male</v>
      </c>
      <c r="C9520" t="s">
        <v>656</v>
      </c>
      <c r="D9520" t="s">
        <v>143</v>
      </c>
      <c r="E9520" t="s">
        <v>393</v>
      </c>
      <c r="F9520" t="s">
        <v>722</v>
      </c>
      <c r="G9520">
        <v>76000</v>
      </c>
      <c r="H9520">
        <v>77000</v>
      </c>
    </row>
    <row r="9521" spans="2:8" x14ac:dyDescent="0.25">
      <c r="B9521" t="str">
        <f t="shared" si="148"/>
        <v>TUNPopulation ages 80 and above, female</v>
      </c>
      <c r="C9521" t="s">
        <v>656</v>
      </c>
      <c r="D9521" t="s">
        <v>143</v>
      </c>
      <c r="E9521" t="s">
        <v>394</v>
      </c>
      <c r="F9521" t="s">
        <v>723</v>
      </c>
      <c r="G9521">
        <v>119000</v>
      </c>
      <c r="H9521">
        <v>120000</v>
      </c>
    </row>
    <row r="9522" spans="2:8" x14ac:dyDescent="0.25">
      <c r="B9522" t="str">
        <f t="shared" si="148"/>
        <v>TUNPopulation ages 80 and above, male</v>
      </c>
      <c r="C9522" t="s">
        <v>656</v>
      </c>
      <c r="D9522" t="s">
        <v>143</v>
      </c>
      <c r="E9522" t="s">
        <v>395</v>
      </c>
      <c r="F9522" t="s">
        <v>724</v>
      </c>
      <c r="G9522">
        <v>82000</v>
      </c>
      <c r="H9522">
        <v>80000</v>
      </c>
    </row>
    <row r="9523" spans="2:8" x14ac:dyDescent="0.25">
      <c r="B9523" t="str">
        <f t="shared" si="148"/>
        <v>TUNPopulation, male</v>
      </c>
      <c r="C9523" t="s">
        <v>656</v>
      </c>
      <c r="D9523" t="s">
        <v>143</v>
      </c>
      <c r="E9523" t="s">
        <v>397</v>
      </c>
      <c r="F9523" t="s">
        <v>725</v>
      </c>
      <c r="G9523">
        <v>5798000</v>
      </c>
      <c r="H9523">
        <v>5861000</v>
      </c>
    </row>
    <row r="9524" spans="2:8" x14ac:dyDescent="0.25">
      <c r="B9524" t="str">
        <f t="shared" si="148"/>
        <v>TUNPopulation, total</v>
      </c>
      <c r="C9524" t="s">
        <v>656</v>
      </c>
      <c r="D9524" t="s">
        <v>143</v>
      </c>
      <c r="E9524" t="s">
        <v>398</v>
      </c>
      <c r="F9524" t="s">
        <v>726</v>
      </c>
      <c r="G9524">
        <v>11695000</v>
      </c>
      <c r="H9524">
        <v>11819000</v>
      </c>
    </row>
    <row r="9525" spans="2:8" x14ac:dyDescent="0.25">
      <c r="B9525" t="str">
        <f t="shared" si="148"/>
        <v>TUNPopulation, female</v>
      </c>
      <c r="C9525" t="s">
        <v>656</v>
      </c>
      <c r="D9525" t="s">
        <v>143</v>
      </c>
      <c r="E9525" t="s">
        <v>396</v>
      </c>
      <c r="F9525" t="s">
        <v>727</v>
      </c>
      <c r="G9525">
        <v>5897000</v>
      </c>
      <c r="H9525">
        <v>5958000</v>
      </c>
    </row>
    <row r="9526" spans="2:8" x14ac:dyDescent="0.25">
      <c r="B9526" t="str">
        <f t="shared" si="148"/>
        <v>TUNPopulation growth (annual %)</v>
      </c>
      <c r="C9526" t="s">
        <v>656</v>
      </c>
      <c r="D9526" t="s">
        <v>143</v>
      </c>
      <c r="E9526" t="s">
        <v>399</v>
      </c>
      <c r="F9526" t="s">
        <v>728</v>
      </c>
      <c r="G9526">
        <v>0</v>
      </c>
      <c r="H9526">
        <v>0</v>
      </c>
    </row>
    <row r="9527" spans="2:8" x14ac:dyDescent="0.25">
      <c r="B9527" t="str">
        <f t="shared" si="148"/>
        <v>TURPopulation ages 0-14, female</v>
      </c>
      <c r="C9527" t="s">
        <v>657</v>
      </c>
      <c r="D9527" t="s">
        <v>144</v>
      </c>
      <c r="E9527" t="s">
        <v>687</v>
      </c>
      <c r="F9527" t="s">
        <v>688</v>
      </c>
      <c r="G9527">
        <v>9904000</v>
      </c>
      <c r="H9527">
        <v>9871000</v>
      </c>
    </row>
    <row r="9528" spans="2:8" x14ac:dyDescent="0.25">
      <c r="B9528" t="str">
        <f t="shared" si="148"/>
        <v>TURPopulation ages 0-14, male</v>
      </c>
      <c r="C9528" t="s">
        <v>657</v>
      </c>
      <c r="D9528" t="s">
        <v>144</v>
      </c>
      <c r="E9528" t="s">
        <v>689</v>
      </c>
      <c r="F9528" t="s">
        <v>690</v>
      </c>
      <c r="G9528">
        <v>10362000</v>
      </c>
      <c r="H9528">
        <v>10322000</v>
      </c>
    </row>
    <row r="9529" spans="2:8" x14ac:dyDescent="0.25">
      <c r="B9529" t="str">
        <f t="shared" si="148"/>
        <v>TURPopulation ages 00-04, female</v>
      </c>
      <c r="C9529" t="s">
        <v>657</v>
      </c>
      <c r="D9529" t="s">
        <v>144</v>
      </c>
      <c r="E9529" t="s">
        <v>362</v>
      </c>
      <c r="F9529" t="s">
        <v>691</v>
      </c>
      <c r="G9529">
        <v>3253000</v>
      </c>
      <c r="H9529">
        <v>3210000</v>
      </c>
    </row>
    <row r="9530" spans="2:8" x14ac:dyDescent="0.25">
      <c r="B9530" t="str">
        <f t="shared" si="148"/>
        <v>TURPopulation ages 00-04, male</v>
      </c>
      <c r="C9530" t="s">
        <v>657</v>
      </c>
      <c r="D9530" t="s">
        <v>144</v>
      </c>
      <c r="E9530" t="s">
        <v>363</v>
      </c>
      <c r="F9530" t="s">
        <v>692</v>
      </c>
      <c r="G9530">
        <v>3405000</v>
      </c>
      <c r="H9530">
        <v>3357000</v>
      </c>
    </row>
    <row r="9531" spans="2:8" x14ac:dyDescent="0.25">
      <c r="B9531" t="str">
        <f t="shared" si="148"/>
        <v>TURPopulation ages 05-09, female</v>
      </c>
      <c r="C9531" t="s">
        <v>657</v>
      </c>
      <c r="D9531" t="s">
        <v>144</v>
      </c>
      <c r="E9531" t="s">
        <v>364</v>
      </c>
      <c r="F9531" t="s">
        <v>693</v>
      </c>
      <c r="G9531">
        <v>3344000</v>
      </c>
      <c r="H9531">
        <v>3349000</v>
      </c>
    </row>
    <row r="9532" spans="2:8" x14ac:dyDescent="0.25">
      <c r="B9532" t="str">
        <f t="shared" si="148"/>
        <v>TURPopulation ages 05-09, male</v>
      </c>
      <c r="C9532" t="s">
        <v>657</v>
      </c>
      <c r="D9532" t="s">
        <v>144</v>
      </c>
      <c r="E9532" t="s">
        <v>365</v>
      </c>
      <c r="F9532" t="s">
        <v>694</v>
      </c>
      <c r="G9532">
        <v>3499000</v>
      </c>
      <c r="H9532">
        <v>3503000</v>
      </c>
    </row>
    <row r="9533" spans="2:8" x14ac:dyDescent="0.25">
      <c r="B9533" t="str">
        <f t="shared" si="148"/>
        <v>TURPopulation ages 10-14, female</v>
      </c>
      <c r="C9533" t="s">
        <v>657</v>
      </c>
      <c r="D9533" t="s">
        <v>144</v>
      </c>
      <c r="E9533" t="s">
        <v>366</v>
      </c>
      <c r="F9533" t="s">
        <v>695</v>
      </c>
      <c r="G9533">
        <v>3307000</v>
      </c>
      <c r="H9533">
        <v>3311000</v>
      </c>
    </row>
    <row r="9534" spans="2:8" x14ac:dyDescent="0.25">
      <c r="B9534" t="str">
        <f t="shared" si="148"/>
        <v>TURPopulation ages 10-14, male</v>
      </c>
      <c r="C9534" t="s">
        <v>657</v>
      </c>
      <c r="D9534" t="s">
        <v>144</v>
      </c>
      <c r="E9534" t="s">
        <v>367</v>
      </c>
      <c r="F9534" t="s">
        <v>696</v>
      </c>
      <c r="G9534">
        <v>3458000</v>
      </c>
      <c r="H9534">
        <v>3462000</v>
      </c>
    </row>
    <row r="9535" spans="2:8" x14ac:dyDescent="0.25">
      <c r="B9535" t="str">
        <f t="shared" si="148"/>
        <v>TURPopulation ages 15-19, female</v>
      </c>
      <c r="C9535" t="s">
        <v>657</v>
      </c>
      <c r="D9535" t="s">
        <v>144</v>
      </c>
      <c r="E9535" t="s">
        <v>368</v>
      </c>
      <c r="F9535" t="s">
        <v>697</v>
      </c>
      <c r="G9535">
        <v>3335000</v>
      </c>
      <c r="H9535">
        <v>3333000</v>
      </c>
    </row>
    <row r="9536" spans="2:8" x14ac:dyDescent="0.25">
      <c r="B9536" t="str">
        <f t="shared" si="148"/>
        <v>TURPopulation ages 15-19, male</v>
      </c>
      <c r="C9536" t="s">
        <v>657</v>
      </c>
      <c r="D9536" t="s">
        <v>144</v>
      </c>
      <c r="E9536" t="s">
        <v>369</v>
      </c>
      <c r="F9536" t="s">
        <v>698</v>
      </c>
      <c r="G9536">
        <v>3486000</v>
      </c>
      <c r="H9536">
        <v>3489000</v>
      </c>
    </row>
    <row r="9537" spans="2:8" x14ac:dyDescent="0.25">
      <c r="B9537" t="str">
        <f t="shared" si="148"/>
        <v>TURPopulation ages 20-24, female</v>
      </c>
      <c r="C9537" t="s">
        <v>657</v>
      </c>
      <c r="D9537" t="s">
        <v>144</v>
      </c>
      <c r="E9537" t="s">
        <v>370</v>
      </c>
      <c r="F9537" t="s">
        <v>699</v>
      </c>
      <c r="G9537">
        <v>3296000</v>
      </c>
      <c r="H9537">
        <v>3321000</v>
      </c>
    </row>
    <row r="9538" spans="2:8" x14ac:dyDescent="0.25">
      <c r="B9538" t="str">
        <f t="shared" si="148"/>
        <v>TURPopulation ages 20-24, male</v>
      </c>
      <c r="C9538" t="s">
        <v>657</v>
      </c>
      <c r="D9538" t="s">
        <v>144</v>
      </c>
      <c r="E9538" t="s">
        <v>371</v>
      </c>
      <c r="F9538" t="s">
        <v>700</v>
      </c>
      <c r="G9538">
        <v>3417000</v>
      </c>
      <c r="H9538">
        <v>3449000</v>
      </c>
    </row>
    <row r="9539" spans="2:8" x14ac:dyDescent="0.25">
      <c r="B9539" t="str">
        <f t="shared" si="148"/>
        <v>TURPopulation ages 25-29, female</v>
      </c>
      <c r="C9539" t="s">
        <v>657</v>
      </c>
      <c r="D9539" t="s">
        <v>144</v>
      </c>
      <c r="E9539" t="s">
        <v>372</v>
      </c>
      <c r="F9539" t="s">
        <v>701</v>
      </c>
      <c r="G9539">
        <v>3149000</v>
      </c>
      <c r="H9539">
        <v>3159000</v>
      </c>
    </row>
    <row r="9540" spans="2:8" x14ac:dyDescent="0.25">
      <c r="B9540" t="str">
        <f t="shared" si="148"/>
        <v>TURPopulation ages 25-29, male</v>
      </c>
      <c r="C9540" t="s">
        <v>657</v>
      </c>
      <c r="D9540" t="s">
        <v>144</v>
      </c>
      <c r="E9540" t="s">
        <v>373</v>
      </c>
      <c r="F9540" t="s">
        <v>702</v>
      </c>
      <c r="G9540">
        <v>3225000</v>
      </c>
      <c r="H9540">
        <v>3245000</v>
      </c>
    </row>
    <row r="9541" spans="2:8" x14ac:dyDescent="0.25">
      <c r="B9541" t="str">
        <f t="shared" si="148"/>
        <v>TURPopulation ages 30-34, female</v>
      </c>
      <c r="C9541" t="s">
        <v>657</v>
      </c>
      <c r="D9541" t="s">
        <v>144</v>
      </c>
      <c r="E9541" t="s">
        <v>374</v>
      </c>
      <c r="F9541" t="s">
        <v>703</v>
      </c>
      <c r="G9541">
        <v>3187000</v>
      </c>
      <c r="H9541">
        <v>3176000</v>
      </c>
    </row>
    <row r="9542" spans="2:8" x14ac:dyDescent="0.25">
      <c r="B9542" t="str">
        <f t="shared" si="148"/>
        <v>TURPopulation ages 30-34, male</v>
      </c>
      <c r="C9542" t="s">
        <v>657</v>
      </c>
      <c r="D9542" t="s">
        <v>144</v>
      </c>
      <c r="E9542" t="s">
        <v>375</v>
      </c>
      <c r="F9542" t="s">
        <v>704</v>
      </c>
      <c r="G9542">
        <v>3221000</v>
      </c>
      <c r="H9542">
        <v>3219000</v>
      </c>
    </row>
    <row r="9543" spans="2:8" x14ac:dyDescent="0.25">
      <c r="B9543" t="str">
        <f t="shared" ref="B9543:B9606" si="149">CONCATENATE(D9543,E9543)</f>
        <v>TURPopulation ages 35-39, female</v>
      </c>
      <c r="C9543" t="s">
        <v>657</v>
      </c>
      <c r="D9543" t="s">
        <v>144</v>
      </c>
      <c r="E9543" t="s">
        <v>376</v>
      </c>
      <c r="F9543" t="s">
        <v>705</v>
      </c>
      <c r="G9543">
        <v>3176000</v>
      </c>
      <c r="H9543">
        <v>3192000</v>
      </c>
    </row>
    <row r="9544" spans="2:8" x14ac:dyDescent="0.25">
      <c r="B9544" t="str">
        <f t="shared" si="149"/>
        <v>TURPopulation ages 35-39, male</v>
      </c>
      <c r="C9544" t="s">
        <v>657</v>
      </c>
      <c r="D9544" t="s">
        <v>144</v>
      </c>
      <c r="E9544" t="s">
        <v>377</v>
      </c>
      <c r="F9544" t="s">
        <v>706</v>
      </c>
      <c r="G9544">
        <v>3164000</v>
      </c>
      <c r="H9544">
        <v>3188000</v>
      </c>
    </row>
    <row r="9545" spans="2:8" x14ac:dyDescent="0.25">
      <c r="B9545" t="str">
        <f t="shared" si="149"/>
        <v>TURPopulation ages 40-44, female</v>
      </c>
      <c r="C9545" t="s">
        <v>657</v>
      </c>
      <c r="D9545" t="s">
        <v>144</v>
      </c>
      <c r="E9545" t="s">
        <v>378</v>
      </c>
      <c r="F9545" t="s">
        <v>707</v>
      </c>
      <c r="G9545">
        <v>2989000</v>
      </c>
      <c r="H9545">
        <v>3031000</v>
      </c>
    </row>
    <row r="9546" spans="2:8" x14ac:dyDescent="0.25">
      <c r="B9546" t="str">
        <f t="shared" si="149"/>
        <v>TURPopulation ages 40-44, male</v>
      </c>
      <c r="C9546" t="s">
        <v>657</v>
      </c>
      <c r="D9546" t="s">
        <v>144</v>
      </c>
      <c r="E9546" t="s">
        <v>379</v>
      </c>
      <c r="F9546" t="s">
        <v>708</v>
      </c>
      <c r="G9546">
        <v>2923000</v>
      </c>
      <c r="H9546">
        <v>2977000</v>
      </c>
    </row>
    <row r="9547" spans="2:8" x14ac:dyDescent="0.25">
      <c r="B9547" t="str">
        <f t="shared" si="149"/>
        <v>TURPopulation ages 45-49, female</v>
      </c>
      <c r="C9547" t="s">
        <v>657</v>
      </c>
      <c r="D9547" t="s">
        <v>144</v>
      </c>
      <c r="E9547" t="s">
        <v>380</v>
      </c>
      <c r="F9547" t="s">
        <v>709</v>
      </c>
      <c r="G9547">
        <v>2715000</v>
      </c>
      <c r="H9547">
        <v>2777000</v>
      </c>
    </row>
    <row r="9548" spans="2:8" x14ac:dyDescent="0.25">
      <c r="B9548" t="str">
        <f t="shared" si="149"/>
        <v>TURPopulation ages 45-49, male</v>
      </c>
      <c r="C9548" t="s">
        <v>657</v>
      </c>
      <c r="D9548" t="s">
        <v>144</v>
      </c>
      <c r="E9548" t="s">
        <v>381</v>
      </c>
      <c r="F9548" t="s">
        <v>710</v>
      </c>
      <c r="G9548">
        <v>2596000</v>
      </c>
      <c r="H9548">
        <v>2662000</v>
      </c>
    </row>
    <row r="9549" spans="2:8" x14ac:dyDescent="0.25">
      <c r="B9549" t="str">
        <f t="shared" si="149"/>
        <v>TURPopulation ages 50-54, female</v>
      </c>
      <c r="C9549" t="s">
        <v>657</v>
      </c>
      <c r="D9549" t="s">
        <v>144</v>
      </c>
      <c r="E9549" t="s">
        <v>382</v>
      </c>
      <c r="F9549" t="s">
        <v>711</v>
      </c>
      <c r="G9549">
        <v>2381000</v>
      </c>
      <c r="H9549">
        <v>2439000</v>
      </c>
    </row>
    <row r="9550" spans="2:8" x14ac:dyDescent="0.25">
      <c r="B9550" t="str">
        <f t="shared" si="149"/>
        <v>TURPopulation ages 50-54, male</v>
      </c>
      <c r="C9550" t="s">
        <v>657</v>
      </c>
      <c r="D9550" t="s">
        <v>144</v>
      </c>
      <c r="E9550" t="s">
        <v>383</v>
      </c>
      <c r="F9550" t="s">
        <v>712</v>
      </c>
      <c r="G9550">
        <v>2253000</v>
      </c>
      <c r="H9550">
        <v>2316000</v>
      </c>
    </row>
    <row r="9551" spans="2:8" x14ac:dyDescent="0.25">
      <c r="B9551" t="str">
        <f t="shared" si="149"/>
        <v>TURPopulation ages 55-59, male</v>
      </c>
      <c r="C9551" t="s">
        <v>657</v>
      </c>
      <c r="D9551" t="s">
        <v>144</v>
      </c>
      <c r="E9551" t="s">
        <v>385</v>
      </c>
      <c r="F9551" t="s">
        <v>713</v>
      </c>
      <c r="G9551">
        <v>1919000</v>
      </c>
      <c r="H9551">
        <v>1989000</v>
      </c>
    </row>
    <row r="9552" spans="2:8" x14ac:dyDescent="0.25">
      <c r="B9552" t="str">
        <f t="shared" si="149"/>
        <v>TURPopulation ages 55-59, female</v>
      </c>
      <c r="C9552" t="s">
        <v>657</v>
      </c>
      <c r="D9552" t="s">
        <v>144</v>
      </c>
      <c r="E9552" t="s">
        <v>384</v>
      </c>
      <c r="F9552" t="s">
        <v>714</v>
      </c>
      <c r="G9552">
        <v>2111000</v>
      </c>
      <c r="H9552">
        <v>2164000</v>
      </c>
    </row>
    <row r="9553" spans="2:8" x14ac:dyDescent="0.25">
      <c r="B9553" t="str">
        <f t="shared" si="149"/>
        <v>TURPopulation ages 65-69, male</v>
      </c>
      <c r="C9553" t="s">
        <v>657</v>
      </c>
      <c r="D9553" t="s">
        <v>144</v>
      </c>
      <c r="E9553" t="s">
        <v>389</v>
      </c>
      <c r="F9553" t="s">
        <v>715</v>
      </c>
      <c r="G9553">
        <v>1162000</v>
      </c>
      <c r="H9553">
        <v>1213000</v>
      </c>
    </row>
    <row r="9554" spans="2:8" x14ac:dyDescent="0.25">
      <c r="B9554" t="str">
        <f t="shared" si="149"/>
        <v>TURPopulation ages 65-69, female</v>
      </c>
      <c r="C9554" t="s">
        <v>657</v>
      </c>
      <c r="D9554" t="s">
        <v>144</v>
      </c>
      <c r="E9554" t="s">
        <v>388</v>
      </c>
      <c r="F9554" t="s">
        <v>716</v>
      </c>
      <c r="G9554">
        <v>1468000</v>
      </c>
      <c r="H9554">
        <v>1534000</v>
      </c>
    </row>
    <row r="9555" spans="2:8" x14ac:dyDescent="0.25">
      <c r="B9555" t="str">
        <f t="shared" si="149"/>
        <v>TURPopulation ages 60-64, female</v>
      </c>
      <c r="C9555" t="s">
        <v>657</v>
      </c>
      <c r="D9555" t="s">
        <v>144</v>
      </c>
      <c r="E9555" t="s">
        <v>386</v>
      </c>
      <c r="F9555" t="s">
        <v>717</v>
      </c>
      <c r="G9555">
        <v>1817000</v>
      </c>
      <c r="H9555">
        <v>1865000</v>
      </c>
    </row>
    <row r="9556" spans="2:8" x14ac:dyDescent="0.25">
      <c r="B9556" t="str">
        <f t="shared" si="149"/>
        <v>TURPopulation ages 60-64, male</v>
      </c>
      <c r="C9556" t="s">
        <v>657</v>
      </c>
      <c r="D9556" t="s">
        <v>144</v>
      </c>
      <c r="E9556" t="s">
        <v>387</v>
      </c>
      <c r="F9556" t="s">
        <v>718</v>
      </c>
      <c r="G9556">
        <v>1523000</v>
      </c>
      <c r="H9556">
        <v>1581000</v>
      </c>
    </row>
    <row r="9557" spans="2:8" x14ac:dyDescent="0.25">
      <c r="B9557" t="str">
        <f t="shared" si="149"/>
        <v>TURPopulation ages 70-74, female</v>
      </c>
      <c r="C9557" t="s">
        <v>657</v>
      </c>
      <c r="D9557" t="s">
        <v>144</v>
      </c>
      <c r="E9557" t="s">
        <v>390</v>
      </c>
      <c r="F9557" t="s">
        <v>719</v>
      </c>
      <c r="G9557">
        <v>1055000</v>
      </c>
      <c r="H9557">
        <v>1109000</v>
      </c>
    </row>
    <row r="9558" spans="2:8" x14ac:dyDescent="0.25">
      <c r="B9558" t="str">
        <f t="shared" si="149"/>
        <v>TURPopulation ages 70-74, male</v>
      </c>
      <c r="C9558" t="s">
        <v>657</v>
      </c>
      <c r="D9558" t="s">
        <v>144</v>
      </c>
      <c r="E9558" t="s">
        <v>391</v>
      </c>
      <c r="F9558" t="s">
        <v>720</v>
      </c>
      <c r="G9558">
        <v>826000</v>
      </c>
      <c r="H9558">
        <v>862000</v>
      </c>
    </row>
    <row r="9559" spans="2:8" x14ac:dyDescent="0.25">
      <c r="B9559" t="str">
        <f t="shared" si="149"/>
        <v>TURPopulation ages 75-79, female</v>
      </c>
      <c r="C9559" t="s">
        <v>657</v>
      </c>
      <c r="D9559" t="s">
        <v>144</v>
      </c>
      <c r="E9559" t="s">
        <v>392</v>
      </c>
      <c r="F9559" t="s">
        <v>721</v>
      </c>
      <c r="G9559">
        <v>767000</v>
      </c>
      <c r="H9559">
        <v>799000</v>
      </c>
    </row>
    <row r="9560" spans="2:8" x14ac:dyDescent="0.25">
      <c r="B9560" t="str">
        <f t="shared" si="149"/>
        <v>TURPopulation ages 75-79, male</v>
      </c>
      <c r="C9560" t="s">
        <v>657</v>
      </c>
      <c r="D9560" t="s">
        <v>144</v>
      </c>
      <c r="E9560" t="s">
        <v>393</v>
      </c>
      <c r="F9560" t="s">
        <v>722</v>
      </c>
      <c r="G9560">
        <v>568000</v>
      </c>
      <c r="H9560">
        <v>584000</v>
      </c>
    </row>
    <row r="9561" spans="2:8" x14ac:dyDescent="0.25">
      <c r="B9561" t="str">
        <f t="shared" si="149"/>
        <v>TURPopulation ages 80 and above, female</v>
      </c>
      <c r="C9561" t="s">
        <v>657</v>
      </c>
      <c r="D9561" t="s">
        <v>144</v>
      </c>
      <c r="E9561" t="s">
        <v>394</v>
      </c>
      <c r="F9561" t="s">
        <v>723</v>
      </c>
      <c r="G9561">
        <v>905000</v>
      </c>
      <c r="H9561">
        <v>934000</v>
      </c>
    </row>
    <row r="9562" spans="2:8" x14ac:dyDescent="0.25">
      <c r="B9562" t="str">
        <f t="shared" si="149"/>
        <v>TURPopulation ages 80 and above, male</v>
      </c>
      <c r="C9562" t="s">
        <v>657</v>
      </c>
      <c r="D9562" t="s">
        <v>144</v>
      </c>
      <c r="E9562" t="s">
        <v>395</v>
      </c>
      <c r="F9562" t="s">
        <v>724</v>
      </c>
      <c r="G9562">
        <v>530000</v>
      </c>
      <c r="H9562">
        <v>541000</v>
      </c>
    </row>
    <row r="9563" spans="2:8" x14ac:dyDescent="0.25">
      <c r="B9563" t="str">
        <f t="shared" si="149"/>
        <v>TURPopulation, male</v>
      </c>
      <c r="C9563" t="s">
        <v>657</v>
      </c>
      <c r="D9563" t="s">
        <v>144</v>
      </c>
      <c r="E9563" t="s">
        <v>397</v>
      </c>
      <c r="F9563" t="s">
        <v>725</v>
      </c>
      <c r="G9563">
        <v>41174000</v>
      </c>
      <c r="H9563">
        <v>41636000</v>
      </c>
    </row>
    <row r="9564" spans="2:8" x14ac:dyDescent="0.25">
      <c r="B9564" t="str">
        <f t="shared" si="149"/>
        <v>TURPopulation, total</v>
      </c>
      <c r="C9564" t="s">
        <v>657</v>
      </c>
      <c r="D9564" t="s">
        <v>144</v>
      </c>
      <c r="E9564" t="s">
        <v>398</v>
      </c>
      <c r="F9564" t="s">
        <v>726</v>
      </c>
      <c r="G9564">
        <v>83430000</v>
      </c>
      <c r="H9564">
        <v>84339000</v>
      </c>
    </row>
    <row r="9565" spans="2:8" x14ac:dyDescent="0.25">
      <c r="B9565" t="str">
        <f t="shared" si="149"/>
        <v>TURPopulation, female</v>
      </c>
      <c r="C9565" t="s">
        <v>657</v>
      </c>
      <c r="D9565" t="s">
        <v>144</v>
      </c>
      <c r="E9565" t="s">
        <v>396</v>
      </c>
      <c r="F9565" t="s">
        <v>727</v>
      </c>
      <c r="G9565">
        <v>42256000</v>
      </c>
      <c r="H9565">
        <v>42703000</v>
      </c>
    </row>
    <row r="9566" spans="2:8" x14ac:dyDescent="0.25">
      <c r="B9566" t="str">
        <f t="shared" si="149"/>
        <v>TURPopulation growth (annual %)</v>
      </c>
      <c r="C9566" t="s">
        <v>657</v>
      </c>
      <c r="D9566" t="s">
        <v>144</v>
      </c>
      <c r="E9566" t="s">
        <v>399</v>
      </c>
      <c r="F9566" t="s">
        <v>728</v>
      </c>
      <c r="G9566">
        <v>0</v>
      </c>
      <c r="H9566">
        <v>0</v>
      </c>
    </row>
    <row r="9567" spans="2:8" x14ac:dyDescent="0.25">
      <c r="B9567" t="str">
        <f t="shared" si="149"/>
        <v>TKMPopulation ages 0-14, female</v>
      </c>
      <c r="C9567" t="s">
        <v>658</v>
      </c>
      <c r="D9567" t="s">
        <v>139</v>
      </c>
      <c r="E9567" t="s">
        <v>687</v>
      </c>
      <c r="F9567" t="s">
        <v>688</v>
      </c>
      <c r="G9567">
        <v>901000</v>
      </c>
      <c r="H9567">
        <v>916000</v>
      </c>
    </row>
    <row r="9568" spans="2:8" x14ac:dyDescent="0.25">
      <c r="B9568" t="str">
        <f t="shared" si="149"/>
        <v>TKMPopulation ages 0-14, male</v>
      </c>
      <c r="C9568" t="s">
        <v>658</v>
      </c>
      <c r="D9568" t="s">
        <v>139</v>
      </c>
      <c r="E9568" t="s">
        <v>689</v>
      </c>
      <c r="F9568" t="s">
        <v>690</v>
      </c>
      <c r="G9568">
        <v>926000</v>
      </c>
      <c r="H9568">
        <v>941000</v>
      </c>
    </row>
    <row r="9569" spans="2:8" x14ac:dyDescent="0.25">
      <c r="B9569" t="str">
        <f t="shared" si="149"/>
        <v>TKMPopulation ages 00-04, female</v>
      </c>
      <c r="C9569" t="s">
        <v>658</v>
      </c>
      <c r="D9569" t="s">
        <v>139</v>
      </c>
      <c r="E9569" t="s">
        <v>362</v>
      </c>
      <c r="F9569" t="s">
        <v>691</v>
      </c>
      <c r="G9569">
        <v>333000</v>
      </c>
      <c r="H9569">
        <v>326000</v>
      </c>
    </row>
    <row r="9570" spans="2:8" x14ac:dyDescent="0.25">
      <c r="B9570" t="str">
        <f t="shared" si="149"/>
        <v>TKMPopulation ages 00-04, male</v>
      </c>
      <c r="C9570" t="s">
        <v>658</v>
      </c>
      <c r="D9570" t="s">
        <v>139</v>
      </c>
      <c r="E9570" t="s">
        <v>363</v>
      </c>
      <c r="F9570" t="s">
        <v>692</v>
      </c>
      <c r="G9570">
        <v>343000</v>
      </c>
      <c r="H9570">
        <v>335000</v>
      </c>
    </row>
    <row r="9571" spans="2:8" x14ac:dyDescent="0.25">
      <c r="B9571" t="str">
        <f t="shared" si="149"/>
        <v>TKMPopulation ages 05-09, female</v>
      </c>
      <c r="C9571" t="s">
        <v>658</v>
      </c>
      <c r="D9571" t="s">
        <v>139</v>
      </c>
      <c r="E9571" t="s">
        <v>364</v>
      </c>
      <c r="F9571" t="s">
        <v>693</v>
      </c>
      <c r="G9571">
        <v>318000</v>
      </c>
      <c r="H9571">
        <v>331000</v>
      </c>
    </row>
    <row r="9572" spans="2:8" x14ac:dyDescent="0.25">
      <c r="B9572" t="str">
        <f t="shared" si="149"/>
        <v>TKMPopulation ages 05-09, male</v>
      </c>
      <c r="C9572" t="s">
        <v>658</v>
      </c>
      <c r="D9572" t="s">
        <v>139</v>
      </c>
      <c r="E9572" t="s">
        <v>365</v>
      </c>
      <c r="F9572" t="s">
        <v>694</v>
      </c>
      <c r="G9572">
        <v>326000</v>
      </c>
      <c r="H9572">
        <v>341000</v>
      </c>
    </row>
    <row r="9573" spans="2:8" x14ac:dyDescent="0.25">
      <c r="B9573" t="str">
        <f t="shared" si="149"/>
        <v>TKMPopulation ages 10-14, female</v>
      </c>
      <c r="C9573" t="s">
        <v>658</v>
      </c>
      <c r="D9573" t="s">
        <v>139</v>
      </c>
      <c r="E9573" t="s">
        <v>366</v>
      </c>
      <c r="F9573" t="s">
        <v>695</v>
      </c>
      <c r="G9573">
        <v>251000</v>
      </c>
      <c r="H9573">
        <v>259000</v>
      </c>
    </row>
    <row r="9574" spans="2:8" x14ac:dyDescent="0.25">
      <c r="B9574" t="str">
        <f t="shared" si="149"/>
        <v>TKMPopulation ages 10-14, male</v>
      </c>
      <c r="C9574" t="s">
        <v>658</v>
      </c>
      <c r="D9574" t="s">
        <v>139</v>
      </c>
      <c r="E9574" t="s">
        <v>367</v>
      </c>
      <c r="F9574" t="s">
        <v>696</v>
      </c>
      <c r="G9574">
        <v>257000</v>
      </c>
      <c r="H9574">
        <v>265000</v>
      </c>
    </row>
    <row r="9575" spans="2:8" x14ac:dyDescent="0.25">
      <c r="B9575" t="str">
        <f t="shared" si="149"/>
        <v>TKMPopulation ages 15-19, female</v>
      </c>
      <c r="C9575" t="s">
        <v>658</v>
      </c>
      <c r="D9575" t="s">
        <v>139</v>
      </c>
      <c r="E9575" t="s">
        <v>368</v>
      </c>
      <c r="F9575" t="s">
        <v>697</v>
      </c>
      <c r="G9575">
        <v>237000</v>
      </c>
      <c r="H9575">
        <v>240000</v>
      </c>
    </row>
    <row r="9576" spans="2:8" x14ac:dyDescent="0.25">
      <c r="B9576" t="str">
        <f t="shared" si="149"/>
        <v>TKMPopulation ages 15-19, male</v>
      </c>
      <c r="C9576" t="s">
        <v>658</v>
      </c>
      <c r="D9576" t="s">
        <v>139</v>
      </c>
      <c r="E9576" t="s">
        <v>369</v>
      </c>
      <c r="F9576" t="s">
        <v>698</v>
      </c>
      <c r="G9576">
        <v>242000</v>
      </c>
      <c r="H9576">
        <v>245000</v>
      </c>
    </row>
    <row r="9577" spans="2:8" x14ac:dyDescent="0.25">
      <c r="B9577" t="str">
        <f t="shared" si="149"/>
        <v>TKMPopulation ages 20-24, female</v>
      </c>
      <c r="C9577" t="s">
        <v>658</v>
      </c>
      <c r="D9577" t="s">
        <v>139</v>
      </c>
      <c r="E9577" t="s">
        <v>370</v>
      </c>
      <c r="F9577" t="s">
        <v>699</v>
      </c>
      <c r="G9577">
        <v>235000</v>
      </c>
      <c r="H9577">
        <v>228000</v>
      </c>
    </row>
    <row r="9578" spans="2:8" x14ac:dyDescent="0.25">
      <c r="B9578" t="str">
        <f t="shared" si="149"/>
        <v>TKMPopulation ages 20-24, male</v>
      </c>
      <c r="C9578" t="s">
        <v>658</v>
      </c>
      <c r="D9578" t="s">
        <v>139</v>
      </c>
      <c r="E9578" t="s">
        <v>371</v>
      </c>
      <c r="F9578" t="s">
        <v>700</v>
      </c>
      <c r="G9578">
        <v>240000</v>
      </c>
      <c r="H9578">
        <v>233000</v>
      </c>
    </row>
    <row r="9579" spans="2:8" x14ac:dyDescent="0.25">
      <c r="B9579" t="str">
        <f t="shared" si="149"/>
        <v>TKMPopulation ages 25-29, female</v>
      </c>
      <c r="C9579" t="s">
        <v>658</v>
      </c>
      <c r="D9579" t="s">
        <v>139</v>
      </c>
      <c r="E9579" t="s">
        <v>372</v>
      </c>
      <c r="F9579" t="s">
        <v>701</v>
      </c>
      <c r="G9579">
        <v>276000</v>
      </c>
      <c r="H9579">
        <v>272000</v>
      </c>
    </row>
    <row r="9580" spans="2:8" x14ac:dyDescent="0.25">
      <c r="B9580" t="str">
        <f t="shared" si="149"/>
        <v>TKMPopulation ages 25-29, male</v>
      </c>
      <c r="C9580" t="s">
        <v>658</v>
      </c>
      <c r="D9580" t="s">
        <v>139</v>
      </c>
      <c r="E9580" t="s">
        <v>373</v>
      </c>
      <c r="F9580" t="s">
        <v>702</v>
      </c>
      <c r="G9580">
        <v>280000</v>
      </c>
      <c r="H9580">
        <v>276000</v>
      </c>
    </row>
    <row r="9581" spans="2:8" x14ac:dyDescent="0.25">
      <c r="B9581" t="str">
        <f t="shared" si="149"/>
        <v>TKMPopulation ages 30-34, female</v>
      </c>
      <c r="C9581" t="s">
        <v>658</v>
      </c>
      <c r="D9581" t="s">
        <v>139</v>
      </c>
      <c r="E9581" t="s">
        <v>374</v>
      </c>
      <c r="F9581" t="s">
        <v>703</v>
      </c>
      <c r="G9581">
        <v>256000</v>
      </c>
      <c r="H9581">
        <v>263000</v>
      </c>
    </row>
    <row r="9582" spans="2:8" x14ac:dyDescent="0.25">
      <c r="B9582" t="str">
        <f t="shared" si="149"/>
        <v>TKMPopulation ages 30-34, male</v>
      </c>
      <c r="C9582" t="s">
        <v>658</v>
      </c>
      <c r="D9582" t="s">
        <v>139</v>
      </c>
      <c r="E9582" t="s">
        <v>375</v>
      </c>
      <c r="F9582" t="s">
        <v>704</v>
      </c>
      <c r="G9582">
        <v>255000</v>
      </c>
      <c r="H9582">
        <v>262000</v>
      </c>
    </row>
    <row r="9583" spans="2:8" x14ac:dyDescent="0.25">
      <c r="B9583" t="str">
        <f t="shared" si="149"/>
        <v>TKMPopulation ages 35-39, female</v>
      </c>
      <c r="C9583" t="s">
        <v>658</v>
      </c>
      <c r="D9583" t="s">
        <v>139</v>
      </c>
      <c r="E9583" t="s">
        <v>376</v>
      </c>
      <c r="F9583" t="s">
        <v>705</v>
      </c>
      <c r="G9583">
        <v>213000</v>
      </c>
      <c r="H9583">
        <v>219000</v>
      </c>
    </row>
    <row r="9584" spans="2:8" x14ac:dyDescent="0.25">
      <c r="B9584" t="str">
        <f t="shared" si="149"/>
        <v>TKMPopulation ages 35-39, male</v>
      </c>
      <c r="C9584" t="s">
        <v>658</v>
      </c>
      <c r="D9584" t="s">
        <v>139</v>
      </c>
      <c r="E9584" t="s">
        <v>377</v>
      </c>
      <c r="F9584" t="s">
        <v>706</v>
      </c>
      <c r="G9584">
        <v>207000</v>
      </c>
      <c r="H9584">
        <v>213000</v>
      </c>
    </row>
    <row r="9585" spans="2:8" x14ac:dyDescent="0.25">
      <c r="B9585" t="str">
        <f t="shared" si="149"/>
        <v>TKMPopulation ages 40-44, female</v>
      </c>
      <c r="C9585" t="s">
        <v>658</v>
      </c>
      <c r="D9585" t="s">
        <v>139</v>
      </c>
      <c r="E9585" t="s">
        <v>378</v>
      </c>
      <c r="F9585" t="s">
        <v>707</v>
      </c>
      <c r="G9585">
        <v>188000</v>
      </c>
      <c r="H9585">
        <v>192000</v>
      </c>
    </row>
    <row r="9586" spans="2:8" x14ac:dyDescent="0.25">
      <c r="B9586" t="str">
        <f t="shared" si="149"/>
        <v>TKMPopulation ages 40-44, male</v>
      </c>
      <c r="C9586" t="s">
        <v>658</v>
      </c>
      <c r="D9586" t="s">
        <v>139</v>
      </c>
      <c r="E9586" t="s">
        <v>379</v>
      </c>
      <c r="F9586" t="s">
        <v>708</v>
      </c>
      <c r="G9586">
        <v>181000</v>
      </c>
      <c r="H9586">
        <v>186000</v>
      </c>
    </row>
    <row r="9587" spans="2:8" x14ac:dyDescent="0.25">
      <c r="B9587" t="str">
        <f t="shared" si="149"/>
        <v>TKMPopulation ages 45-49, female</v>
      </c>
      <c r="C9587" t="s">
        <v>658</v>
      </c>
      <c r="D9587" t="s">
        <v>139</v>
      </c>
      <c r="E9587" t="s">
        <v>380</v>
      </c>
      <c r="F9587" t="s">
        <v>709</v>
      </c>
      <c r="G9587">
        <v>160000</v>
      </c>
      <c r="H9587">
        <v>164000</v>
      </c>
    </row>
    <row r="9588" spans="2:8" x14ac:dyDescent="0.25">
      <c r="B9588" t="str">
        <f t="shared" si="149"/>
        <v>TKMPopulation ages 45-49, male</v>
      </c>
      <c r="C9588" t="s">
        <v>658</v>
      </c>
      <c r="D9588" t="s">
        <v>139</v>
      </c>
      <c r="E9588" t="s">
        <v>381</v>
      </c>
      <c r="F9588" t="s">
        <v>710</v>
      </c>
      <c r="G9588">
        <v>152000</v>
      </c>
      <c r="H9588">
        <v>155000</v>
      </c>
    </row>
    <row r="9589" spans="2:8" x14ac:dyDescent="0.25">
      <c r="B9589" t="str">
        <f t="shared" si="149"/>
        <v>TKMPopulation ages 50-54, female</v>
      </c>
      <c r="C9589" t="s">
        <v>658</v>
      </c>
      <c r="D9589" t="s">
        <v>139</v>
      </c>
      <c r="E9589" t="s">
        <v>382</v>
      </c>
      <c r="F9589" t="s">
        <v>711</v>
      </c>
      <c r="G9589">
        <v>145000</v>
      </c>
      <c r="H9589">
        <v>146000</v>
      </c>
    </row>
    <row r="9590" spans="2:8" x14ac:dyDescent="0.25">
      <c r="B9590" t="str">
        <f t="shared" si="149"/>
        <v>TKMPopulation ages 50-54, male</v>
      </c>
      <c r="C9590" t="s">
        <v>658</v>
      </c>
      <c r="D9590" t="s">
        <v>139</v>
      </c>
      <c r="E9590" t="s">
        <v>383</v>
      </c>
      <c r="F9590" t="s">
        <v>712</v>
      </c>
      <c r="G9590">
        <v>135000</v>
      </c>
      <c r="H9590">
        <v>138000</v>
      </c>
    </row>
    <row r="9591" spans="2:8" x14ac:dyDescent="0.25">
      <c r="B9591" t="str">
        <f t="shared" si="149"/>
        <v>TKMPopulation ages 55-59, male</v>
      </c>
      <c r="C9591" t="s">
        <v>658</v>
      </c>
      <c r="D9591" t="s">
        <v>139</v>
      </c>
      <c r="E9591" t="s">
        <v>385</v>
      </c>
      <c r="F9591" t="s">
        <v>713</v>
      </c>
      <c r="G9591">
        <v>111000</v>
      </c>
      <c r="H9591">
        <v>113000</v>
      </c>
    </row>
    <row r="9592" spans="2:8" x14ac:dyDescent="0.25">
      <c r="B9592" t="str">
        <f t="shared" si="149"/>
        <v>TKMPopulation ages 55-59, female</v>
      </c>
      <c r="C9592" t="s">
        <v>658</v>
      </c>
      <c r="D9592" t="s">
        <v>139</v>
      </c>
      <c r="E9592" t="s">
        <v>384</v>
      </c>
      <c r="F9592" t="s">
        <v>714</v>
      </c>
      <c r="G9592">
        <v>136000</v>
      </c>
      <c r="H9592">
        <v>138000</v>
      </c>
    </row>
    <row r="9593" spans="2:8" x14ac:dyDescent="0.25">
      <c r="B9593" t="str">
        <f t="shared" si="149"/>
        <v>TKMPopulation ages 65-69, male</v>
      </c>
      <c r="C9593" t="s">
        <v>658</v>
      </c>
      <c r="D9593" t="s">
        <v>139</v>
      </c>
      <c r="E9593" t="s">
        <v>389</v>
      </c>
      <c r="F9593" t="s">
        <v>715</v>
      </c>
      <c r="G9593">
        <v>52000</v>
      </c>
      <c r="H9593">
        <v>56000</v>
      </c>
    </row>
    <row r="9594" spans="2:8" x14ac:dyDescent="0.25">
      <c r="B9594" t="str">
        <f t="shared" si="149"/>
        <v>TKMPopulation ages 65-69, female</v>
      </c>
      <c r="C9594" t="s">
        <v>658</v>
      </c>
      <c r="D9594" t="s">
        <v>139</v>
      </c>
      <c r="E9594" t="s">
        <v>388</v>
      </c>
      <c r="F9594" t="s">
        <v>716</v>
      </c>
      <c r="G9594">
        <v>71000</v>
      </c>
      <c r="H9594">
        <v>77000</v>
      </c>
    </row>
    <row r="9595" spans="2:8" x14ac:dyDescent="0.25">
      <c r="B9595" t="str">
        <f t="shared" si="149"/>
        <v>TKMPopulation ages 60-64, female</v>
      </c>
      <c r="C9595" t="s">
        <v>658</v>
      </c>
      <c r="D9595" t="s">
        <v>139</v>
      </c>
      <c r="E9595" t="s">
        <v>386</v>
      </c>
      <c r="F9595" t="s">
        <v>717</v>
      </c>
      <c r="G9595">
        <v>108000</v>
      </c>
      <c r="H9595">
        <v>113000</v>
      </c>
    </row>
    <row r="9596" spans="2:8" x14ac:dyDescent="0.25">
      <c r="B9596" t="str">
        <f t="shared" si="149"/>
        <v>TKMPopulation ages 60-64, male</v>
      </c>
      <c r="C9596" t="s">
        <v>658</v>
      </c>
      <c r="D9596" t="s">
        <v>139</v>
      </c>
      <c r="E9596" t="s">
        <v>387</v>
      </c>
      <c r="F9596" t="s">
        <v>718</v>
      </c>
      <c r="G9596">
        <v>85000</v>
      </c>
      <c r="H9596">
        <v>88000</v>
      </c>
    </row>
    <row r="9597" spans="2:8" x14ac:dyDescent="0.25">
      <c r="B9597" t="str">
        <f t="shared" si="149"/>
        <v>TKMPopulation ages 70-74, female</v>
      </c>
      <c r="C9597" t="s">
        <v>658</v>
      </c>
      <c r="D9597" t="s">
        <v>139</v>
      </c>
      <c r="E9597" t="s">
        <v>390</v>
      </c>
      <c r="F9597" t="s">
        <v>719</v>
      </c>
      <c r="G9597">
        <v>35000</v>
      </c>
      <c r="H9597">
        <v>40000</v>
      </c>
    </row>
    <row r="9598" spans="2:8" x14ac:dyDescent="0.25">
      <c r="B9598" t="str">
        <f t="shared" si="149"/>
        <v>TKMPopulation ages 70-74, male</v>
      </c>
      <c r="C9598" t="s">
        <v>658</v>
      </c>
      <c r="D9598" t="s">
        <v>139</v>
      </c>
      <c r="E9598" t="s">
        <v>391</v>
      </c>
      <c r="F9598" t="s">
        <v>720</v>
      </c>
      <c r="G9598">
        <v>27000</v>
      </c>
      <c r="H9598">
        <v>29000</v>
      </c>
    </row>
    <row r="9599" spans="2:8" x14ac:dyDescent="0.25">
      <c r="B9599" t="str">
        <f t="shared" si="149"/>
        <v>TKMPopulation ages 75-79, female</v>
      </c>
      <c r="C9599" t="s">
        <v>658</v>
      </c>
      <c r="D9599" t="s">
        <v>139</v>
      </c>
      <c r="E9599" t="s">
        <v>392</v>
      </c>
      <c r="F9599" t="s">
        <v>721</v>
      </c>
      <c r="G9599">
        <v>21000</v>
      </c>
      <c r="H9599">
        <v>20000</v>
      </c>
    </row>
    <row r="9600" spans="2:8" x14ac:dyDescent="0.25">
      <c r="B9600" t="str">
        <f t="shared" si="149"/>
        <v>TKMPopulation ages 75-79, male</v>
      </c>
      <c r="C9600" t="s">
        <v>658</v>
      </c>
      <c r="D9600" t="s">
        <v>139</v>
      </c>
      <c r="E9600" t="s">
        <v>393</v>
      </c>
      <c r="F9600" t="s">
        <v>722</v>
      </c>
      <c r="G9600">
        <v>15000</v>
      </c>
      <c r="H9600">
        <v>14000</v>
      </c>
    </row>
    <row r="9601" spans="2:8" x14ac:dyDescent="0.25">
      <c r="B9601" t="str">
        <f t="shared" si="149"/>
        <v>TKMPopulation ages 80 and above, female</v>
      </c>
      <c r="C9601" t="s">
        <v>658</v>
      </c>
      <c r="D9601" t="s">
        <v>139</v>
      </c>
      <c r="E9601" t="s">
        <v>394</v>
      </c>
      <c r="F9601" t="s">
        <v>723</v>
      </c>
      <c r="G9601">
        <v>34000</v>
      </c>
      <c r="H9601">
        <v>33000</v>
      </c>
    </row>
    <row r="9602" spans="2:8" x14ac:dyDescent="0.25">
      <c r="B9602" t="str">
        <f t="shared" si="149"/>
        <v>TKMPopulation ages 80 and above, male</v>
      </c>
      <c r="C9602" t="s">
        <v>658</v>
      </c>
      <c r="D9602" t="s">
        <v>139</v>
      </c>
      <c r="E9602" t="s">
        <v>395</v>
      </c>
      <c r="F9602" t="s">
        <v>724</v>
      </c>
      <c r="G9602">
        <v>18000</v>
      </c>
      <c r="H9602">
        <v>18000</v>
      </c>
    </row>
    <row r="9603" spans="2:8" x14ac:dyDescent="0.25">
      <c r="B9603" t="str">
        <f t="shared" si="149"/>
        <v>TKMPopulation, male</v>
      </c>
      <c r="C9603" t="s">
        <v>658</v>
      </c>
      <c r="D9603" t="s">
        <v>139</v>
      </c>
      <c r="E9603" t="s">
        <v>397</v>
      </c>
      <c r="F9603" t="s">
        <v>725</v>
      </c>
      <c r="G9603">
        <v>2926000</v>
      </c>
      <c r="H9603">
        <v>2969000</v>
      </c>
    </row>
    <row r="9604" spans="2:8" x14ac:dyDescent="0.25">
      <c r="B9604" t="str">
        <f t="shared" si="149"/>
        <v>TKMPopulation, total</v>
      </c>
      <c r="C9604" t="s">
        <v>658</v>
      </c>
      <c r="D9604" t="s">
        <v>139</v>
      </c>
      <c r="E9604" t="s">
        <v>398</v>
      </c>
      <c r="F9604" t="s">
        <v>726</v>
      </c>
      <c r="G9604">
        <v>5942000</v>
      </c>
      <c r="H9604">
        <v>6031000</v>
      </c>
    </row>
    <row r="9605" spans="2:8" x14ac:dyDescent="0.25">
      <c r="B9605" t="str">
        <f t="shared" si="149"/>
        <v>TKMPopulation, female</v>
      </c>
      <c r="C9605" t="s">
        <v>658</v>
      </c>
      <c r="D9605" t="s">
        <v>139</v>
      </c>
      <c r="E9605" t="s">
        <v>396</v>
      </c>
      <c r="F9605" t="s">
        <v>727</v>
      </c>
      <c r="G9605">
        <v>3016000</v>
      </c>
      <c r="H9605">
        <v>3062000</v>
      </c>
    </row>
    <row r="9606" spans="2:8" x14ac:dyDescent="0.25">
      <c r="B9606" t="str">
        <f t="shared" si="149"/>
        <v>TKMPopulation growth (annual %)</v>
      </c>
      <c r="C9606" t="s">
        <v>658</v>
      </c>
      <c r="D9606" t="s">
        <v>139</v>
      </c>
      <c r="E9606" t="s">
        <v>399</v>
      </c>
      <c r="F9606" t="s">
        <v>728</v>
      </c>
      <c r="G9606">
        <v>0</v>
      </c>
      <c r="H9606">
        <v>0</v>
      </c>
    </row>
    <row r="9607" spans="2:8" x14ac:dyDescent="0.25">
      <c r="B9607" t="str">
        <f t="shared" ref="B9607:B9670" si="150">CONCATENATE(D9607,E9607)</f>
        <v>TCAPopulation ages 0-14, female</v>
      </c>
      <c r="C9607" t="s">
        <v>659</v>
      </c>
      <c r="D9607" t="s">
        <v>660</v>
      </c>
      <c r="E9607" t="s">
        <v>687</v>
      </c>
      <c r="F9607" t="s">
        <v>688</v>
      </c>
      <c r="G9607">
        <v>0</v>
      </c>
      <c r="H9607">
        <v>0</v>
      </c>
    </row>
    <row r="9608" spans="2:8" x14ac:dyDescent="0.25">
      <c r="B9608" t="str">
        <f t="shared" si="150"/>
        <v>TCAPopulation ages 0-14, male</v>
      </c>
      <c r="C9608" t="s">
        <v>659</v>
      </c>
      <c r="D9608" t="s">
        <v>660</v>
      </c>
      <c r="E9608" t="s">
        <v>689</v>
      </c>
      <c r="F9608" t="s">
        <v>690</v>
      </c>
      <c r="G9608">
        <v>0</v>
      </c>
      <c r="H9608">
        <v>0</v>
      </c>
    </row>
    <row r="9609" spans="2:8" x14ac:dyDescent="0.25">
      <c r="B9609" t="str">
        <f t="shared" si="150"/>
        <v>TCAPopulation ages 00-04, female</v>
      </c>
      <c r="C9609" t="s">
        <v>659</v>
      </c>
      <c r="D9609" t="s">
        <v>660</v>
      </c>
      <c r="E9609" t="s">
        <v>362</v>
      </c>
      <c r="F9609" t="s">
        <v>691</v>
      </c>
      <c r="G9609">
        <v>0</v>
      </c>
      <c r="H9609">
        <v>0</v>
      </c>
    </row>
    <row r="9610" spans="2:8" x14ac:dyDescent="0.25">
      <c r="B9610" t="str">
        <f t="shared" si="150"/>
        <v>TCAPopulation ages 00-04, male</v>
      </c>
      <c r="C9610" t="s">
        <v>659</v>
      </c>
      <c r="D9610" t="s">
        <v>660</v>
      </c>
      <c r="E9610" t="s">
        <v>363</v>
      </c>
      <c r="F9610" t="s">
        <v>692</v>
      </c>
      <c r="G9610">
        <v>0</v>
      </c>
      <c r="H9610">
        <v>0</v>
      </c>
    </row>
    <row r="9611" spans="2:8" x14ac:dyDescent="0.25">
      <c r="B9611" t="str">
        <f t="shared" si="150"/>
        <v>TCAPopulation ages 05-09, female</v>
      </c>
      <c r="C9611" t="s">
        <v>659</v>
      </c>
      <c r="D9611" t="s">
        <v>660</v>
      </c>
      <c r="E9611" t="s">
        <v>364</v>
      </c>
      <c r="F9611" t="s">
        <v>693</v>
      </c>
      <c r="G9611">
        <v>0</v>
      </c>
      <c r="H9611">
        <v>0</v>
      </c>
    </row>
    <row r="9612" spans="2:8" x14ac:dyDescent="0.25">
      <c r="B9612" t="str">
        <f t="shared" si="150"/>
        <v>TCAPopulation ages 05-09, male</v>
      </c>
      <c r="C9612" t="s">
        <v>659</v>
      </c>
      <c r="D9612" t="s">
        <v>660</v>
      </c>
      <c r="E9612" t="s">
        <v>365</v>
      </c>
      <c r="F9612" t="s">
        <v>694</v>
      </c>
      <c r="G9612">
        <v>0</v>
      </c>
      <c r="H9612">
        <v>0</v>
      </c>
    </row>
    <row r="9613" spans="2:8" x14ac:dyDescent="0.25">
      <c r="B9613" t="str">
        <f t="shared" si="150"/>
        <v>TCAPopulation ages 10-14, female</v>
      </c>
      <c r="C9613" t="s">
        <v>659</v>
      </c>
      <c r="D9613" t="s">
        <v>660</v>
      </c>
      <c r="E9613" t="s">
        <v>366</v>
      </c>
      <c r="F9613" t="s">
        <v>695</v>
      </c>
      <c r="G9613">
        <v>0</v>
      </c>
      <c r="H9613">
        <v>0</v>
      </c>
    </row>
    <row r="9614" spans="2:8" x14ac:dyDescent="0.25">
      <c r="B9614" t="str">
        <f t="shared" si="150"/>
        <v>TCAPopulation ages 10-14, male</v>
      </c>
      <c r="C9614" t="s">
        <v>659</v>
      </c>
      <c r="D9614" t="s">
        <v>660</v>
      </c>
      <c r="E9614" t="s">
        <v>367</v>
      </c>
      <c r="F9614" t="s">
        <v>696</v>
      </c>
      <c r="G9614">
        <v>0</v>
      </c>
      <c r="H9614">
        <v>0</v>
      </c>
    </row>
    <row r="9615" spans="2:8" x14ac:dyDescent="0.25">
      <c r="B9615" t="str">
        <f t="shared" si="150"/>
        <v>TCAPopulation ages 15-19, female</v>
      </c>
      <c r="C9615" t="s">
        <v>659</v>
      </c>
      <c r="D9615" t="s">
        <v>660</v>
      </c>
      <c r="E9615" t="s">
        <v>368</v>
      </c>
      <c r="F9615" t="s">
        <v>697</v>
      </c>
      <c r="G9615">
        <v>0</v>
      </c>
      <c r="H9615">
        <v>0</v>
      </c>
    </row>
    <row r="9616" spans="2:8" x14ac:dyDescent="0.25">
      <c r="B9616" t="str">
        <f t="shared" si="150"/>
        <v>TCAPopulation ages 15-19, male</v>
      </c>
      <c r="C9616" t="s">
        <v>659</v>
      </c>
      <c r="D9616" t="s">
        <v>660</v>
      </c>
      <c r="E9616" t="s">
        <v>369</v>
      </c>
      <c r="F9616" t="s">
        <v>698</v>
      </c>
      <c r="G9616">
        <v>0</v>
      </c>
      <c r="H9616">
        <v>0</v>
      </c>
    </row>
    <row r="9617" spans="2:8" x14ac:dyDescent="0.25">
      <c r="B9617" t="str">
        <f t="shared" si="150"/>
        <v>TCAPopulation ages 20-24, female</v>
      </c>
      <c r="C9617" t="s">
        <v>659</v>
      </c>
      <c r="D9617" t="s">
        <v>660</v>
      </c>
      <c r="E9617" t="s">
        <v>370</v>
      </c>
      <c r="F9617" t="s">
        <v>699</v>
      </c>
      <c r="G9617">
        <v>0</v>
      </c>
      <c r="H9617">
        <v>0</v>
      </c>
    </row>
    <row r="9618" spans="2:8" x14ac:dyDescent="0.25">
      <c r="B9618" t="str">
        <f t="shared" si="150"/>
        <v>TCAPopulation ages 20-24, male</v>
      </c>
      <c r="C9618" t="s">
        <v>659</v>
      </c>
      <c r="D9618" t="s">
        <v>660</v>
      </c>
      <c r="E9618" t="s">
        <v>371</v>
      </c>
      <c r="F9618" t="s">
        <v>700</v>
      </c>
      <c r="G9618">
        <v>0</v>
      </c>
      <c r="H9618">
        <v>0</v>
      </c>
    </row>
    <row r="9619" spans="2:8" x14ac:dyDescent="0.25">
      <c r="B9619" t="str">
        <f t="shared" si="150"/>
        <v>TCAPopulation ages 25-29, female</v>
      </c>
      <c r="C9619" t="s">
        <v>659</v>
      </c>
      <c r="D9619" t="s">
        <v>660</v>
      </c>
      <c r="E9619" t="s">
        <v>372</v>
      </c>
      <c r="F9619" t="s">
        <v>701</v>
      </c>
      <c r="G9619">
        <v>0</v>
      </c>
      <c r="H9619">
        <v>0</v>
      </c>
    </row>
    <row r="9620" spans="2:8" x14ac:dyDescent="0.25">
      <c r="B9620" t="str">
        <f t="shared" si="150"/>
        <v>TCAPopulation ages 25-29, male</v>
      </c>
      <c r="C9620" t="s">
        <v>659</v>
      </c>
      <c r="D9620" t="s">
        <v>660</v>
      </c>
      <c r="E9620" t="s">
        <v>373</v>
      </c>
      <c r="F9620" t="s">
        <v>702</v>
      </c>
      <c r="G9620">
        <v>0</v>
      </c>
      <c r="H9620">
        <v>0</v>
      </c>
    </row>
    <row r="9621" spans="2:8" x14ac:dyDescent="0.25">
      <c r="B9621" t="str">
        <f t="shared" si="150"/>
        <v>TCAPopulation ages 30-34, female</v>
      </c>
      <c r="C9621" t="s">
        <v>659</v>
      </c>
      <c r="D9621" t="s">
        <v>660</v>
      </c>
      <c r="E9621" t="s">
        <v>374</v>
      </c>
      <c r="F9621" t="s">
        <v>703</v>
      </c>
      <c r="G9621">
        <v>0</v>
      </c>
      <c r="H9621">
        <v>0</v>
      </c>
    </row>
    <row r="9622" spans="2:8" x14ac:dyDescent="0.25">
      <c r="B9622" t="str">
        <f t="shared" si="150"/>
        <v>TCAPopulation ages 30-34, male</v>
      </c>
      <c r="C9622" t="s">
        <v>659</v>
      </c>
      <c r="D9622" t="s">
        <v>660</v>
      </c>
      <c r="E9622" t="s">
        <v>375</v>
      </c>
      <c r="F9622" t="s">
        <v>704</v>
      </c>
      <c r="G9622">
        <v>0</v>
      </c>
      <c r="H9622">
        <v>0</v>
      </c>
    </row>
    <row r="9623" spans="2:8" x14ac:dyDescent="0.25">
      <c r="B9623" t="str">
        <f t="shared" si="150"/>
        <v>TCAPopulation ages 35-39, female</v>
      </c>
      <c r="C9623" t="s">
        <v>659</v>
      </c>
      <c r="D9623" t="s">
        <v>660</v>
      </c>
      <c r="E9623" t="s">
        <v>376</v>
      </c>
      <c r="F9623" t="s">
        <v>705</v>
      </c>
      <c r="G9623">
        <v>0</v>
      </c>
      <c r="H9623">
        <v>0</v>
      </c>
    </row>
    <row r="9624" spans="2:8" x14ac:dyDescent="0.25">
      <c r="B9624" t="str">
        <f t="shared" si="150"/>
        <v>TCAPopulation ages 35-39, male</v>
      </c>
      <c r="C9624" t="s">
        <v>659</v>
      </c>
      <c r="D9624" t="s">
        <v>660</v>
      </c>
      <c r="E9624" t="s">
        <v>377</v>
      </c>
      <c r="F9624" t="s">
        <v>706</v>
      </c>
      <c r="G9624">
        <v>0</v>
      </c>
      <c r="H9624">
        <v>0</v>
      </c>
    </row>
    <row r="9625" spans="2:8" x14ac:dyDescent="0.25">
      <c r="B9625" t="str">
        <f t="shared" si="150"/>
        <v>TCAPopulation ages 40-44, female</v>
      </c>
      <c r="C9625" t="s">
        <v>659</v>
      </c>
      <c r="D9625" t="s">
        <v>660</v>
      </c>
      <c r="E9625" t="s">
        <v>378</v>
      </c>
      <c r="F9625" t="s">
        <v>707</v>
      </c>
      <c r="G9625">
        <v>0</v>
      </c>
      <c r="H9625">
        <v>0</v>
      </c>
    </row>
    <row r="9626" spans="2:8" x14ac:dyDescent="0.25">
      <c r="B9626" t="str">
        <f t="shared" si="150"/>
        <v>TCAPopulation ages 40-44, male</v>
      </c>
      <c r="C9626" t="s">
        <v>659</v>
      </c>
      <c r="D9626" t="s">
        <v>660</v>
      </c>
      <c r="E9626" t="s">
        <v>379</v>
      </c>
      <c r="F9626" t="s">
        <v>708</v>
      </c>
      <c r="G9626">
        <v>0</v>
      </c>
      <c r="H9626">
        <v>0</v>
      </c>
    </row>
    <row r="9627" spans="2:8" x14ac:dyDescent="0.25">
      <c r="B9627" t="str">
        <f t="shared" si="150"/>
        <v>TCAPopulation ages 45-49, female</v>
      </c>
      <c r="C9627" t="s">
        <v>659</v>
      </c>
      <c r="D9627" t="s">
        <v>660</v>
      </c>
      <c r="E9627" t="s">
        <v>380</v>
      </c>
      <c r="F9627" t="s">
        <v>709</v>
      </c>
      <c r="G9627">
        <v>0</v>
      </c>
      <c r="H9627">
        <v>0</v>
      </c>
    </row>
    <row r="9628" spans="2:8" x14ac:dyDescent="0.25">
      <c r="B9628" t="str">
        <f t="shared" si="150"/>
        <v>TCAPopulation ages 45-49, male</v>
      </c>
      <c r="C9628" t="s">
        <v>659</v>
      </c>
      <c r="D9628" t="s">
        <v>660</v>
      </c>
      <c r="E9628" t="s">
        <v>381</v>
      </c>
      <c r="F9628" t="s">
        <v>710</v>
      </c>
      <c r="G9628">
        <v>0</v>
      </c>
      <c r="H9628">
        <v>0</v>
      </c>
    </row>
    <row r="9629" spans="2:8" x14ac:dyDescent="0.25">
      <c r="B9629" t="str">
        <f t="shared" si="150"/>
        <v>TCAPopulation ages 50-54, female</v>
      </c>
      <c r="C9629" t="s">
        <v>659</v>
      </c>
      <c r="D9629" t="s">
        <v>660</v>
      </c>
      <c r="E9629" t="s">
        <v>382</v>
      </c>
      <c r="F9629" t="s">
        <v>711</v>
      </c>
      <c r="G9629">
        <v>0</v>
      </c>
      <c r="H9629">
        <v>0</v>
      </c>
    </row>
    <row r="9630" spans="2:8" x14ac:dyDescent="0.25">
      <c r="B9630" t="str">
        <f t="shared" si="150"/>
        <v>TCAPopulation ages 50-54, male</v>
      </c>
      <c r="C9630" t="s">
        <v>659</v>
      </c>
      <c r="D9630" t="s">
        <v>660</v>
      </c>
      <c r="E9630" t="s">
        <v>383</v>
      </c>
      <c r="F9630" t="s">
        <v>712</v>
      </c>
      <c r="G9630">
        <v>0</v>
      </c>
      <c r="H9630">
        <v>0</v>
      </c>
    </row>
    <row r="9631" spans="2:8" x14ac:dyDescent="0.25">
      <c r="B9631" t="str">
        <f t="shared" si="150"/>
        <v>TCAPopulation ages 55-59, male</v>
      </c>
      <c r="C9631" t="s">
        <v>659</v>
      </c>
      <c r="D9631" t="s">
        <v>660</v>
      </c>
      <c r="E9631" t="s">
        <v>385</v>
      </c>
      <c r="F9631" t="s">
        <v>713</v>
      </c>
      <c r="G9631">
        <v>0</v>
      </c>
      <c r="H9631">
        <v>0</v>
      </c>
    </row>
    <row r="9632" spans="2:8" x14ac:dyDescent="0.25">
      <c r="B9632" t="str">
        <f t="shared" si="150"/>
        <v>TCAPopulation ages 55-59, female</v>
      </c>
      <c r="C9632" t="s">
        <v>659</v>
      </c>
      <c r="D9632" t="s">
        <v>660</v>
      </c>
      <c r="E9632" t="s">
        <v>384</v>
      </c>
      <c r="F9632" t="s">
        <v>714</v>
      </c>
      <c r="G9632">
        <v>0</v>
      </c>
      <c r="H9632">
        <v>0</v>
      </c>
    </row>
    <row r="9633" spans="2:8" x14ac:dyDescent="0.25">
      <c r="B9633" t="str">
        <f t="shared" si="150"/>
        <v>TCAPopulation ages 65-69, male</v>
      </c>
      <c r="C9633" t="s">
        <v>659</v>
      </c>
      <c r="D9633" t="s">
        <v>660</v>
      </c>
      <c r="E9633" t="s">
        <v>389</v>
      </c>
      <c r="F9633" t="s">
        <v>715</v>
      </c>
      <c r="G9633">
        <v>0</v>
      </c>
      <c r="H9633">
        <v>0</v>
      </c>
    </row>
    <row r="9634" spans="2:8" x14ac:dyDescent="0.25">
      <c r="B9634" t="str">
        <f t="shared" si="150"/>
        <v>TCAPopulation ages 65-69, female</v>
      </c>
      <c r="C9634" t="s">
        <v>659</v>
      </c>
      <c r="D9634" t="s">
        <v>660</v>
      </c>
      <c r="E9634" t="s">
        <v>388</v>
      </c>
      <c r="F9634" t="s">
        <v>716</v>
      </c>
      <c r="G9634">
        <v>0</v>
      </c>
      <c r="H9634">
        <v>0</v>
      </c>
    </row>
    <row r="9635" spans="2:8" x14ac:dyDescent="0.25">
      <c r="B9635" t="str">
        <f t="shared" si="150"/>
        <v>TCAPopulation ages 60-64, female</v>
      </c>
      <c r="C9635" t="s">
        <v>659</v>
      </c>
      <c r="D9635" t="s">
        <v>660</v>
      </c>
      <c r="E9635" t="s">
        <v>386</v>
      </c>
      <c r="F9635" t="s">
        <v>717</v>
      </c>
      <c r="G9635">
        <v>0</v>
      </c>
      <c r="H9635">
        <v>0</v>
      </c>
    </row>
    <row r="9636" spans="2:8" x14ac:dyDescent="0.25">
      <c r="B9636" t="str">
        <f t="shared" si="150"/>
        <v>TCAPopulation ages 60-64, male</v>
      </c>
      <c r="C9636" t="s">
        <v>659</v>
      </c>
      <c r="D9636" t="s">
        <v>660</v>
      </c>
      <c r="E9636" t="s">
        <v>387</v>
      </c>
      <c r="F9636" t="s">
        <v>718</v>
      </c>
      <c r="G9636">
        <v>0</v>
      </c>
      <c r="H9636">
        <v>0</v>
      </c>
    </row>
    <row r="9637" spans="2:8" x14ac:dyDescent="0.25">
      <c r="B9637" t="str">
        <f t="shared" si="150"/>
        <v>TCAPopulation ages 70-74, female</v>
      </c>
      <c r="C9637" t="s">
        <v>659</v>
      </c>
      <c r="D9637" t="s">
        <v>660</v>
      </c>
      <c r="E9637" t="s">
        <v>390</v>
      </c>
      <c r="F9637" t="s">
        <v>719</v>
      </c>
      <c r="G9637">
        <v>0</v>
      </c>
      <c r="H9637">
        <v>0</v>
      </c>
    </row>
    <row r="9638" spans="2:8" x14ac:dyDescent="0.25">
      <c r="B9638" t="str">
        <f t="shared" si="150"/>
        <v>TCAPopulation ages 70-74, male</v>
      </c>
      <c r="C9638" t="s">
        <v>659</v>
      </c>
      <c r="D9638" t="s">
        <v>660</v>
      </c>
      <c r="E9638" t="s">
        <v>391</v>
      </c>
      <c r="F9638" t="s">
        <v>720</v>
      </c>
      <c r="G9638">
        <v>0</v>
      </c>
      <c r="H9638">
        <v>0</v>
      </c>
    </row>
    <row r="9639" spans="2:8" x14ac:dyDescent="0.25">
      <c r="B9639" t="str">
        <f t="shared" si="150"/>
        <v>TCAPopulation ages 75-79, female</v>
      </c>
      <c r="C9639" t="s">
        <v>659</v>
      </c>
      <c r="D9639" t="s">
        <v>660</v>
      </c>
      <c r="E9639" t="s">
        <v>392</v>
      </c>
      <c r="F9639" t="s">
        <v>721</v>
      </c>
      <c r="G9639">
        <v>0</v>
      </c>
      <c r="H9639">
        <v>0</v>
      </c>
    </row>
    <row r="9640" spans="2:8" x14ac:dyDescent="0.25">
      <c r="B9640" t="str">
        <f t="shared" si="150"/>
        <v>TCAPopulation ages 75-79, male</v>
      </c>
      <c r="C9640" t="s">
        <v>659</v>
      </c>
      <c r="D9640" t="s">
        <v>660</v>
      </c>
      <c r="E9640" t="s">
        <v>393</v>
      </c>
      <c r="F9640" t="s">
        <v>722</v>
      </c>
      <c r="G9640">
        <v>0</v>
      </c>
      <c r="H9640">
        <v>0</v>
      </c>
    </row>
    <row r="9641" spans="2:8" x14ac:dyDescent="0.25">
      <c r="B9641" t="str">
        <f t="shared" si="150"/>
        <v>TCAPopulation ages 80 and above, female</v>
      </c>
      <c r="C9641" t="s">
        <v>659</v>
      </c>
      <c r="D9641" t="s">
        <v>660</v>
      </c>
      <c r="E9641" t="s">
        <v>394</v>
      </c>
      <c r="F9641" t="s">
        <v>723</v>
      </c>
      <c r="G9641">
        <v>0</v>
      </c>
      <c r="H9641">
        <v>0</v>
      </c>
    </row>
    <row r="9642" spans="2:8" x14ac:dyDescent="0.25">
      <c r="B9642" t="str">
        <f t="shared" si="150"/>
        <v>TCAPopulation ages 80 and above, male</v>
      </c>
      <c r="C9642" t="s">
        <v>659</v>
      </c>
      <c r="D9642" t="s">
        <v>660</v>
      </c>
      <c r="E9642" t="s">
        <v>395</v>
      </c>
      <c r="F9642" t="s">
        <v>724</v>
      </c>
      <c r="G9642">
        <v>0</v>
      </c>
      <c r="H9642">
        <v>0</v>
      </c>
    </row>
    <row r="9643" spans="2:8" x14ac:dyDescent="0.25">
      <c r="B9643" t="str">
        <f t="shared" si="150"/>
        <v>TCAPopulation, male</v>
      </c>
      <c r="C9643" t="s">
        <v>659</v>
      </c>
      <c r="D9643" t="s">
        <v>660</v>
      </c>
      <c r="E9643" t="s">
        <v>397</v>
      </c>
      <c r="F9643" t="s">
        <v>725</v>
      </c>
      <c r="G9643">
        <v>0</v>
      </c>
      <c r="H9643">
        <v>0</v>
      </c>
    </row>
    <row r="9644" spans="2:8" x14ac:dyDescent="0.25">
      <c r="B9644" t="str">
        <f t="shared" si="150"/>
        <v>TCAPopulation, total</v>
      </c>
      <c r="C9644" t="s">
        <v>659</v>
      </c>
      <c r="D9644" t="s">
        <v>660</v>
      </c>
      <c r="E9644" t="s">
        <v>398</v>
      </c>
      <c r="F9644" t="s">
        <v>726</v>
      </c>
      <c r="G9644">
        <v>38000</v>
      </c>
      <c r="H9644">
        <v>39000</v>
      </c>
    </row>
    <row r="9645" spans="2:8" x14ac:dyDescent="0.25">
      <c r="B9645" t="str">
        <f t="shared" si="150"/>
        <v>TCAPopulation, female</v>
      </c>
      <c r="C9645" t="s">
        <v>659</v>
      </c>
      <c r="D9645" t="s">
        <v>660</v>
      </c>
      <c r="E9645" t="s">
        <v>396</v>
      </c>
      <c r="F9645" t="s">
        <v>727</v>
      </c>
      <c r="G9645">
        <v>0</v>
      </c>
      <c r="H9645">
        <v>0</v>
      </c>
    </row>
    <row r="9646" spans="2:8" x14ac:dyDescent="0.25">
      <c r="B9646" t="str">
        <f t="shared" si="150"/>
        <v>TCAPopulation growth (annual %)</v>
      </c>
      <c r="C9646" t="s">
        <v>659</v>
      </c>
      <c r="D9646" t="s">
        <v>660</v>
      </c>
      <c r="E9646" t="s">
        <v>399</v>
      </c>
      <c r="F9646" t="s">
        <v>728</v>
      </c>
      <c r="G9646">
        <v>0</v>
      </c>
      <c r="H9646">
        <v>0</v>
      </c>
    </row>
    <row r="9647" spans="2:8" x14ac:dyDescent="0.25">
      <c r="B9647" t="str">
        <f t="shared" si="150"/>
        <v>TUVPopulation ages 0-14, female</v>
      </c>
      <c r="C9647" t="s">
        <v>257</v>
      </c>
      <c r="D9647" t="s">
        <v>145</v>
      </c>
      <c r="E9647" t="s">
        <v>687</v>
      </c>
      <c r="F9647" t="s">
        <v>688</v>
      </c>
      <c r="G9647">
        <v>0</v>
      </c>
      <c r="H9647">
        <v>0</v>
      </c>
    </row>
    <row r="9648" spans="2:8" x14ac:dyDescent="0.25">
      <c r="B9648" t="str">
        <f t="shared" si="150"/>
        <v>TUVPopulation ages 0-14, male</v>
      </c>
      <c r="C9648" t="s">
        <v>257</v>
      </c>
      <c r="D9648" t="s">
        <v>145</v>
      </c>
      <c r="E9648" t="s">
        <v>689</v>
      </c>
      <c r="F9648" t="s">
        <v>690</v>
      </c>
      <c r="G9648">
        <v>0</v>
      </c>
      <c r="H9648">
        <v>0</v>
      </c>
    </row>
    <row r="9649" spans="2:8" x14ac:dyDescent="0.25">
      <c r="B9649" t="str">
        <f t="shared" si="150"/>
        <v>TUVPopulation ages 00-04, female</v>
      </c>
      <c r="C9649" t="s">
        <v>257</v>
      </c>
      <c r="D9649" t="s">
        <v>145</v>
      </c>
      <c r="E9649" t="s">
        <v>362</v>
      </c>
      <c r="F9649" t="s">
        <v>691</v>
      </c>
      <c r="G9649">
        <v>0</v>
      </c>
      <c r="H9649">
        <v>0</v>
      </c>
    </row>
    <row r="9650" spans="2:8" x14ac:dyDescent="0.25">
      <c r="B9650" t="str">
        <f t="shared" si="150"/>
        <v>TUVPopulation ages 00-04, male</v>
      </c>
      <c r="C9650" t="s">
        <v>257</v>
      </c>
      <c r="D9650" t="s">
        <v>145</v>
      </c>
      <c r="E9650" t="s">
        <v>363</v>
      </c>
      <c r="F9650" t="s">
        <v>692</v>
      </c>
      <c r="G9650">
        <v>0</v>
      </c>
      <c r="H9650">
        <v>0</v>
      </c>
    </row>
    <row r="9651" spans="2:8" x14ac:dyDescent="0.25">
      <c r="B9651" t="str">
        <f t="shared" si="150"/>
        <v>TUVPopulation ages 05-09, female</v>
      </c>
      <c r="C9651" t="s">
        <v>257</v>
      </c>
      <c r="D9651" t="s">
        <v>145</v>
      </c>
      <c r="E9651" t="s">
        <v>364</v>
      </c>
      <c r="F9651" t="s">
        <v>693</v>
      </c>
      <c r="G9651">
        <v>0</v>
      </c>
      <c r="H9651">
        <v>0</v>
      </c>
    </row>
    <row r="9652" spans="2:8" x14ac:dyDescent="0.25">
      <c r="B9652" t="str">
        <f t="shared" si="150"/>
        <v>TUVPopulation ages 05-09, male</v>
      </c>
      <c r="C9652" t="s">
        <v>257</v>
      </c>
      <c r="D9652" t="s">
        <v>145</v>
      </c>
      <c r="E9652" t="s">
        <v>365</v>
      </c>
      <c r="F9652" t="s">
        <v>694</v>
      </c>
      <c r="G9652">
        <v>0</v>
      </c>
      <c r="H9652">
        <v>0</v>
      </c>
    </row>
    <row r="9653" spans="2:8" x14ac:dyDescent="0.25">
      <c r="B9653" t="str">
        <f t="shared" si="150"/>
        <v>TUVPopulation ages 10-14, female</v>
      </c>
      <c r="C9653" t="s">
        <v>257</v>
      </c>
      <c r="D9653" t="s">
        <v>145</v>
      </c>
      <c r="E9653" t="s">
        <v>366</v>
      </c>
      <c r="F9653" t="s">
        <v>695</v>
      </c>
      <c r="G9653">
        <v>0</v>
      </c>
      <c r="H9653">
        <v>0</v>
      </c>
    </row>
    <row r="9654" spans="2:8" x14ac:dyDescent="0.25">
      <c r="B9654" t="str">
        <f t="shared" si="150"/>
        <v>TUVPopulation ages 10-14, male</v>
      </c>
      <c r="C9654" t="s">
        <v>257</v>
      </c>
      <c r="D9654" t="s">
        <v>145</v>
      </c>
      <c r="E9654" t="s">
        <v>367</v>
      </c>
      <c r="F9654" t="s">
        <v>696</v>
      </c>
      <c r="G9654">
        <v>0</v>
      </c>
      <c r="H9654">
        <v>0</v>
      </c>
    </row>
    <row r="9655" spans="2:8" x14ac:dyDescent="0.25">
      <c r="B9655" t="str">
        <f t="shared" si="150"/>
        <v>TUVPopulation ages 15-19, female</v>
      </c>
      <c r="C9655" t="s">
        <v>257</v>
      </c>
      <c r="D9655" t="s">
        <v>145</v>
      </c>
      <c r="E9655" t="s">
        <v>368</v>
      </c>
      <c r="F9655" t="s">
        <v>697</v>
      </c>
      <c r="G9655">
        <v>0</v>
      </c>
      <c r="H9655">
        <v>0</v>
      </c>
    </row>
    <row r="9656" spans="2:8" x14ac:dyDescent="0.25">
      <c r="B9656" t="str">
        <f t="shared" si="150"/>
        <v>TUVPopulation ages 15-19, male</v>
      </c>
      <c r="C9656" t="s">
        <v>257</v>
      </c>
      <c r="D9656" t="s">
        <v>145</v>
      </c>
      <c r="E9656" t="s">
        <v>369</v>
      </c>
      <c r="F9656" t="s">
        <v>698</v>
      </c>
      <c r="G9656">
        <v>0</v>
      </c>
      <c r="H9656">
        <v>0</v>
      </c>
    </row>
    <row r="9657" spans="2:8" x14ac:dyDescent="0.25">
      <c r="B9657" t="str">
        <f t="shared" si="150"/>
        <v>TUVPopulation ages 20-24, female</v>
      </c>
      <c r="C9657" t="s">
        <v>257</v>
      </c>
      <c r="D9657" t="s">
        <v>145</v>
      </c>
      <c r="E9657" t="s">
        <v>370</v>
      </c>
      <c r="F9657" t="s">
        <v>699</v>
      </c>
      <c r="G9657">
        <v>0</v>
      </c>
      <c r="H9657">
        <v>0</v>
      </c>
    </row>
    <row r="9658" spans="2:8" x14ac:dyDescent="0.25">
      <c r="B9658" t="str">
        <f t="shared" si="150"/>
        <v>TUVPopulation ages 20-24, male</v>
      </c>
      <c r="C9658" t="s">
        <v>257</v>
      </c>
      <c r="D9658" t="s">
        <v>145</v>
      </c>
      <c r="E9658" t="s">
        <v>371</v>
      </c>
      <c r="F9658" t="s">
        <v>700</v>
      </c>
      <c r="G9658">
        <v>0</v>
      </c>
      <c r="H9658">
        <v>0</v>
      </c>
    </row>
    <row r="9659" spans="2:8" x14ac:dyDescent="0.25">
      <c r="B9659" t="str">
        <f t="shared" si="150"/>
        <v>TUVPopulation ages 25-29, female</v>
      </c>
      <c r="C9659" t="s">
        <v>257</v>
      </c>
      <c r="D9659" t="s">
        <v>145</v>
      </c>
      <c r="E9659" t="s">
        <v>372</v>
      </c>
      <c r="F9659" t="s">
        <v>701</v>
      </c>
      <c r="G9659">
        <v>0</v>
      </c>
      <c r="H9659">
        <v>0</v>
      </c>
    </row>
    <row r="9660" spans="2:8" x14ac:dyDescent="0.25">
      <c r="B9660" t="str">
        <f t="shared" si="150"/>
        <v>TUVPopulation ages 25-29, male</v>
      </c>
      <c r="C9660" t="s">
        <v>257</v>
      </c>
      <c r="D9660" t="s">
        <v>145</v>
      </c>
      <c r="E9660" t="s">
        <v>373</v>
      </c>
      <c r="F9660" t="s">
        <v>702</v>
      </c>
      <c r="G9660">
        <v>0</v>
      </c>
      <c r="H9660">
        <v>0</v>
      </c>
    </row>
    <row r="9661" spans="2:8" x14ac:dyDescent="0.25">
      <c r="B9661" t="str">
        <f t="shared" si="150"/>
        <v>TUVPopulation ages 30-34, female</v>
      </c>
      <c r="C9661" t="s">
        <v>257</v>
      </c>
      <c r="D9661" t="s">
        <v>145</v>
      </c>
      <c r="E9661" t="s">
        <v>374</v>
      </c>
      <c r="F9661" t="s">
        <v>703</v>
      </c>
      <c r="G9661">
        <v>0</v>
      </c>
      <c r="H9661">
        <v>0</v>
      </c>
    </row>
    <row r="9662" spans="2:8" x14ac:dyDescent="0.25">
      <c r="B9662" t="str">
        <f t="shared" si="150"/>
        <v>TUVPopulation ages 30-34, male</v>
      </c>
      <c r="C9662" t="s">
        <v>257</v>
      </c>
      <c r="D9662" t="s">
        <v>145</v>
      </c>
      <c r="E9662" t="s">
        <v>375</v>
      </c>
      <c r="F9662" t="s">
        <v>704</v>
      </c>
      <c r="G9662">
        <v>0</v>
      </c>
      <c r="H9662">
        <v>0</v>
      </c>
    </row>
    <row r="9663" spans="2:8" x14ac:dyDescent="0.25">
      <c r="B9663" t="str">
        <f t="shared" si="150"/>
        <v>TUVPopulation ages 35-39, female</v>
      </c>
      <c r="C9663" t="s">
        <v>257</v>
      </c>
      <c r="D9663" t="s">
        <v>145</v>
      </c>
      <c r="E9663" t="s">
        <v>376</v>
      </c>
      <c r="F9663" t="s">
        <v>705</v>
      </c>
      <c r="G9663">
        <v>0</v>
      </c>
      <c r="H9663">
        <v>0</v>
      </c>
    </row>
    <row r="9664" spans="2:8" x14ac:dyDescent="0.25">
      <c r="B9664" t="str">
        <f t="shared" si="150"/>
        <v>TUVPopulation ages 35-39, male</v>
      </c>
      <c r="C9664" t="s">
        <v>257</v>
      </c>
      <c r="D9664" t="s">
        <v>145</v>
      </c>
      <c r="E9664" t="s">
        <v>377</v>
      </c>
      <c r="F9664" t="s">
        <v>706</v>
      </c>
      <c r="G9664">
        <v>0</v>
      </c>
      <c r="H9664">
        <v>0</v>
      </c>
    </row>
    <row r="9665" spans="2:8" x14ac:dyDescent="0.25">
      <c r="B9665" t="str">
        <f t="shared" si="150"/>
        <v>TUVPopulation ages 40-44, female</v>
      </c>
      <c r="C9665" t="s">
        <v>257</v>
      </c>
      <c r="D9665" t="s">
        <v>145</v>
      </c>
      <c r="E9665" t="s">
        <v>378</v>
      </c>
      <c r="F9665" t="s">
        <v>707</v>
      </c>
      <c r="G9665">
        <v>0</v>
      </c>
      <c r="H9665">
        <v>0</v>
      </c>
    </row>
    <row r="9666" spans="2:8" x14ac:dyDescent="0.25">
      <c r="B9666" t="str">
        <f t="shared" si="150"/>
        <v>TUVPopulation ages 40-44, male</v>
      </c>
      <c r="C9666" t="s">
        <v>257</v>
      </c>
      <c r="D9666" t="s">
        <v>145</v>
      </c>
      <c r="E9666" t="s">
        <v>379</v>
      </c>
      <c r="F9666" t="s">
        <v>708</v>
      </c>
      <c r="G9666">
        <v>0</v>
      </c>
      <c r="H9666">
        <v>0</v>
      </c>
    </row>
    <row r="9667" spans="2:8" x14ac:dyDescent="0.25">
      <c r="B9667" t="str">
        <f t="shared" si="150"/>
        <v>TUVPopulation ages 45-49, female</v>
      </c>
      <c r="C9667" t="s">
        <v>257</v>
      </c>
      <c r="D9667" t="s">
        <v>145</v>
      </c>
      <c r="E9667" t="s">
        <v>380</v>
      </c>
      <c r="F9667" t="s">
        <v>709</v>
      </c>
      <c r="G9667">
        <v>0</v>
      </c>
      <c r="H9667">
        <v>0</v>
      </c>
    </row>
    <row r="9668" spans="2:8" x14ac:dyDescent="0.25">
      <c r="B9668" t="str">
        <f t="shared" si="150"/>
        <v>TUVPopulation ages 45-49, male</v>
      </c>
      <c r="C9668" t="s">
        <v>257</v>
      </c>
      <c r="D9668" t="s">
        <v>145</v>
      </c>
      <c r="E9668" t="s">
        <v>381</v>
      </c>
      <c r="F9668" t="s">
        <v>710</v>
      </c>
      <c r="G9668">
        <v>0</v>
      </c>
      <c r="H9668">
        <v>0</v>
      </c>
    </row>
    <row r="9669" spans="2:8" x14ac:dyDescent="0.25">
      <c r="B9669" t="str">
        <f t="shared" si="150"/>
        <v>TUVPopulation ages 50-54, female</v>
      </c>
      <c r="C9669" t="s">
        <v>257</v>
      </c>
      <c r="D9669" t="s">
        <v>145</v>
      </c>
      <c r="E9669" t="s">
        <v>382</v>
      </c>
      <c r="F9669" t="s">
        <v>711</v>
      </c>
      <c r="G9669">
        <v>0</v>
      </c>
      <c r="H9669">
        <v>0</v>
      </c>
    </row>
    <row r="9670" spans="2:8" x14ac:dyDescent="0.25">
      <c r="B9670" t="str">
        <f t="shared" si="150"/>
        <v>TUVPopulation ages 50-54, male</v>
      </c>
      <c r="C9670" t="s">
        <v>257</v>
      </c>
      <c r="D9670" t="s">
        <v>145</v>
      </c>
      <c r="E9670" t="s">
        <v>383</v>
      </c>
      <c r="F9670" t="s">
        <v>712</v>
      </c>
      <c r="G9670">
        <v>0</v>
      </c>
      <c r="H9670">
        <v>0</v>
      </c>
    </row>
    <row r="9671" spans="2:8" x14ac:dyDescent="0.25">
      <c r="B9671" t="str">
        <f t="shared" ref="B9671:B9734" si="151">CONCATENATE(D9671,E9671)</f>
        <v>TUVPopulation ages 55-59, male</v>
      </c>
      <c r="C9671" t="s">
        <v>257</v>
      </c>
      <c r="D9671" t="s">
        <v>145</v>
      </c>
      <c r="E9671" t="s">
        <v>385</v>
      </c>
      <c r="F9671" t="s">
        <v>713</v>
      </c>
      <c r="G9671">
        <v>0</v>
      </c>
      <c r="H9671">
        <v>0</v>
      </c>
    </row>
    <row r="9672" spans="2:8" x14ac:dyDescent="0.25">
      <c r="B9672" t="str">
        <f t="shared" si="151"/>
        <v>TUVPopulation ages 55-59, female</v>
      </c>
      <c r="C9672" t="s">
        <v>257</v>
      </c>
      <c r="D9672" t="s">
        <v>145</v>
      </c>
      <c r="E9672" t="s">
        <v>384</v>
      </c>
      <c r="F9672" t="s">
        <v>714</v>
      </c>
      <c r="G9672">
        <v>0</v>
      </c>
      <c r="H9672">
        <v>0</v>
      </c>
    </row>
    <row r="9673" spans="2:8" x14ac:dyDescent="0.25">
      <c r="B9673" t="str">
        <f t="shared" si="151"/>
        <v>TUVPopulation ages 65-69, male</v>
      </c>
      <c r="C9673" t="s">
        <v>257</v>
      </c>
      <c r="D9673" t="s">
        <v>145</v>
      </c>
      <c r="E9673" t="s">
        <v>389</v>
      </c>
      <c r="F9673" t="s">
        <v>715</v>
      </c>
      <c r="G9673">
        <v>0</v>
      </c>
      <c r="H9673">
        <v>0</v>
      </c>
    </row>
    <row r="9674" spans="2:8" x14ac:dyDescent="0.25">
      <c r="B9674" t="str">
        <f t="shared" si="151"/>
        <v>TUVPopulation ages 65-69, female</v>
      </c>
      <c r="C9674" t="s">
        <v>257</v>
      </c>
      <c r="D9674" t="s">
        <v>145</v>
      </c>
      <c r="E9674" t="s">
        <v>388</v>
      </c>
      <c r="F9674" t="s">
        <v>716</v>
      </c>
      <c r="G9674">
        <v>0</v>
      </c>
      <c r="H9674">
        <v>0</v>
      </c>
    </row>
    <row r="9675" spans="2:8" x14ac:dyDescent="0.25">
      <c r="B9675" t="str">
        <f t="shared" si="151"/>
        <v>TUVPopulation ages 60-64, female</v>
      </c>
      <c r="C9675" t="s">
        <v>257</v>
      </c>
      <c r="D9675" t="s">
        <v>145</v>
      </c>
      <c r="E9675" t="s">
        <v>386</v>
      </c>
      <c r="F9675" t="s">
        <v>717</v>
      </c>
      <c r="G9675">
        <v>0</v>
      </c>
      <c r="H9675">
        <v>0</v>
      </c>
    </row>
    <row r="9676" spans="2:8" x14ac:dyDescent="0.25">
      <c r="B9676" t="str">
        <f t="shared" si="151"/>
        <v>TUVPopulation ages 60-64, male</v>
      </c>
      <c r="C9676" t="s">
        <v>257</v>
      </c>
      <c r="D9676" t="s">
        <v>145</v>
      </c>
      <c r="E9676" t="s">
        <v>387</v>
      </c>
      <c r="F9676" t="s">
        <v>718</v>
      </c>
      <c r="G9676">
        <v>0</v>
      </c>
      <c r="H9676">
        <v>0</v>
      </c>
    </row>
    <row r="9677" spans="2:8" x14ac:dyDescent="0.25">
      <c r="B9677" t="str">
        <f t="shared" si="151"/>
        <v>TUVPopulation ages 70-74, female</v>
      </c>
      <c r="C9677" t="s">
        <v>257</v>
      </c>
      <c r="D9677" t="s">
        <v>145</v>
      </c>
      <c r="E9677" t="s">
        <v>390</v>
      </c>
      <c r="F9677" t="s">
        <v>719</v>
      </c>
      <c r="G9677">
        <v>0</v>
      </c>
      <c r="H9677">
        <v>0</v>
      </c>
    </row>
    <row r="9678" spans="2:8" x14ac:dyDescent="0.25">
      <c r="B9678" t="str">
        <f t="shared" si="151"/>
        <v>TUVPopulation ages 70-74, male</v>
      </c>
      <c r="C9678" t="s">
        <v>257</v>
      </c>
      <c r="D9678" t="s">
        <v>145</v>
      </c>
      <c r="E9678" t="s">
        <v>391</v>
      </c>
      <c r="F9678" t="s">
        <v>720</v>
      </c>
      <c r="G9678">
        <v>0</v>
      </c>
      <c r="H9678">
        <v>0</v>
      </c>
    </row>
    <row r="9679" spans="2:8" x14ac:dyDescent="0.25">
      <c r="B9679" t="str">
        <f t="shared" si="151"/>
        <v>TUVPopulation ages 75-79, female</v>
      </c>
      <c r="C9679" t="s">
        <v>257</v>
      </c>
      <c r="D9679" t="s">
        <v>145</v>
      </c>
      <c r="E9679" t="s">
        <v>392</v>
      </c>
      <c r="F9679" t="s">
        <v>721</v>
      </c>
      <c r="G9679">
        <v>0</v>
      </c>
      <c r="H9679">
        <v>0</v>
      </c>
    </row>
    <row r="9680" spans="2:8" x14ac:dyDescent="0.25">
      <c r="B9680" t="str">
        <f t="shared" si="151"/>
        <v>TUVPopulation ages 75-79, male</v>
      </c>
      <c r="C9680" t="s">
        <v>257</v>
      </c>
      <c r="D9680" t="s">
        <v>145</v>
      </c>
      <c r="E9680" t="s">
        <v>393</v>
      </c>
      <c r="F9680" t="s">
        <v>722</v>
      </c>
      <c r="G9680">
        <v>0</v>
      </c>
      <c r="H9680">
        <v>0</v>
      </c>
    </row>
    <row r="9681" spans="2:8" x14ac:dyDescent="0.25">
      <c r="B9681" t="str">
        <f t="shared" si="151"/>
        <v>TUVPopulation ages 80 and above, female</v>
      </c>
      <c r="C9681" t="s">
        <v>257</v>
      </c>
      <c r="D9681" t="s">
        <v>145</v>
      </c>
      <c r="E9681" t="s">
        <v>394</v>
      </c>
      <c r="F9681" t="s">
        <v>723</v>
      </c>
      <c r="G9681">
        <v>0</v>
      </c>
      <c r="H9681">
        <v>0</v>
      </c>
    </row>
    <row r="9682" spans="2:8" x14ac:dyDescent="0.25">
      <c r="B9682" t="str">
        <f t="shared" si="151"/>
        <v>TUVPopulation ages 80 and above, male</v>
      </c>
      <c r="C9682" t="s">
        <v>257</v>
      </c>
      <c r="D9682" t="s">
        <v>145</v>
      </c>
      <c r="E9682" t="s">
        <v>395</v>
      </c>
      <c r="F9682" t="s">
        <v>724</v>
      </c>
      <c r="G9682">
        <v>0</v>
      </c>
      <c r="H9682">
        <v>0</v>
      </c>
    </row>
    <row r="9683" spans="2:8" x14ac:dyDescent="0.25">
      <c r="B9683" t="str">
        <f t="shared" si="151"/>
        <v>TUVPopulation, male</v>
      </c>
      <c r="C9683" t="s">
        <v>257</v>
      </c>
      <c r="D9683" t="s">
        <v>145</v>
      </c>
      <c r="E9683" t="s">
        <v>397</v>
      </c>
      <c r="F9683" t="s">
        <v>725</v>
      </c>
      <c r="G9683">
        <v>0</v>
      </c>
      <c r="H9683">
        <v>0</v>
      </c>
    </row>
    <row r="9684" spans="2:8" x14ac:dyDescent="0.25">
      <c r="B9684" t="str">
        <f t="shared" si="151"/>
        <v>TUVPopulation, total</v>
      </c>
      <c r="C9684" t="s">
        <v>257</v>
      </c>
      <c r="D9684" t="s">
        <v>145</v>
      </c>
      <c r="E9684" t="s">
        <v>398</v>
      </c>
      <c r="F9684" t="s">
        <v>726</v>
      </c>
      <c r="G9684">
        <v>12000</v>
      </c>
      <c r="H9684">
        <v>12000</v>
      </c>
    </row>
    <row r="9685" spans="2:8" x14ac:dyDescent="0.25">
      <c r="B9685" t="str">
        <f t="shared" si="151"/>
        <v>TUVPopulation, female</v>
      </c>
      <c r="C9685" t="s">
        <v>257</v>
      </c>
      <c r="D9685" t="s">
        <v>145</v>
      </c>
      <c r="E9685" t="s">
        <v>396</v>
      </c>
      <c r="F9685" t="s">
        <v>727</v>
      </c>
      <c r="G9685">
        <v>0</v>
      </c>
      <c r="H9685">
        <v>0</v>
      </c>
    </row>
    <row r="9686" spans="2:8" x14ac:dyDescent="0.25">
      <c r="B9686" t="str">
        <f t="shared" si="151"/>
        <v>TUVPopulation growth (annual %)</v>
      </c>
      <c r="C9686" t="s">
        <v>257</v>
      </c>
      <c r="D9686" t="s">
        <v>145</v>
      </c>
      <c r="E9686" t="s">
        <v>399</v>
      </c>
      <c r="F9686" t="s">
        <v>728</v>
      </c>
      <c r="G9686">
        <v>0</v>
      </c>
      <c r="H9686">
        <v>0</v>
      </c>
    </row>
    <row r="9687" spans="2:8" x14ac:dyDescent="0.25">
      <c r="B9687" t="str">
        <f t="shared" si="151"/>
        <v>UGAPopulation ages 0-14, female</v>
      </c>
      <c r="C9687" t="s">
        <v>216</v>
      </c>
      <c r="D9687" t="s">
        <v>147</v>
      </c>
      <c r="E9687" t="s">
        <v>687</v>
      </c>
      <c r="F9687" t="s">
        <v>688</v>
      </c>
      <c r="G9687">
        <v>10200000</v>
      </c>
      <c r="H9687">
        <v>10429000</v>
      </c>
    </row>
    <row r="9688" spans="2:8" x14ac:dyDescent="0.25">
      <c r="B9688" t="str">
        <f t="shared" si="151"/>
        <v>UGAPopulation ages 0-14, male</v>
      </c>
      <c r="C9688" t="s">
        <v>216</v>
      </c>
      <c r="D9688" t="s">
        <v>147</v>
      </c>
      <c r="E9688" t="s">
        <v>689</v>
      </c>
      <c r="F9688" t="s">
        <v>690</v>
      </c>
      <c r="G9688">
        <v>10385000</v>
      </c>
      <c r="H9688">
        <v>10619000</v>
      </c>
    </row>
    <row r="9689" spans="2:8" x14ac:dyDescent="0.25">
      <c r="B9689" t="str">
        <f t="shared" si="151"/>
        <v>UGAPopulation ages 00-04, female</v>
      </c>
      <c r="C9689" t="s">
        <v>216</v>
      </c>
      <c r="D9689" t="s">
        <v>147</v>
      </c>
      <c r="E9689" t="s">
        <v>362</v>
      </c>
      <c r="F9689" t="s">
        <v>691</v>
      </c>
      <c r="G9689">
        <v>3803000</v>
      </c>
      <c r="H9689">
        <v>3858000</v>
      </c>
    </row>
    <row r="9690" spans="2:8" x14ac:dyDescent="0.25">
      <c r="B9690" t="str">
        <f t="shared" si="151"/>
        <v>UGAPopulation ages 00-04, male</v>
      </c>
      <c r="C9690" t="s">
        <v>216</v>
      </c>
      <c r="D9690" t="s">
        <v>147</v>
      </c>
      <c r="E9690" t="s">
        <v>363</v>
      </c>
      <c r="F9690" t="s">
        <v>692</v>
      </c>
      <c r="G9690">
        <v>3883000</v>
      </c>
      <c r="H9690">
        <v>3938000</v>
      </c>
    </row>
    <row r="9691" spans="2:8" x14ac:dyDescent="0.25">
      <c r="B9691" t="str">
        <f t="shared" si="151"/>
        <v>UGAPopulation ages 05-09, female</v>
      </c>
      <c r="C9691" t="s">
        <v>216</v>
      </c>
      <c r="D9691" t="s">
        <v>147</v>
      </c>
      <c r="E9691" t="s">
        <v>364</v>
      </c>
      <c r="F9691" t="s">
        <v>693</v>
      </c>
      <c r="G9691">
        <v>3418000</v>
      </c>
      <c r="H9691">
        <v>3499000</v>
      </c>
    </row>
    <row r="9692" spans="2:8" x14ac:dyDescent="0.25">
      <c r="B9692" t="str">
        <f t="shared" si="151"/>
        <v>UGAPopulation ages 05-09, male</v>
      </c>
      <c r="C9692" t="s">
        <v>216</v>
      </c>
      <c r="D9692" t="s">
        <v>147</v>
      </c>
      <c r="E9692" t="s">
        <v>365</v>
      </c>
      <c r="F9692" t="s">
        <v>694</v>
      </c>
      <c r="G9692">
        <v>3479000</v>
      </c>
      <c r="H9692">
        <v>3561000</v>
      </c>
    </row>
    <row r="9693" spans="2:8" x14ac:dyDescent="0.25">
      <c r="B9693" t="str">
        <f t="shared" si="151"/>
        <v>UGAPopulation ages 10-14, female</v>
      </c>
      <c r="C9693" t="s">
        <v>216</v>
      </c>
      <c r="D9693" t="s">
        <v>147</v>
      </c>
      <c r="E9693" t="s">
        <v>366</v>
      </c>
      <c r="F9693" t="s">
        <v>695</v>
      </c>
      <c r="G9693">
        <v>2979000</v>
      </c>
      <c r="H9693">
        <v>3072000</v>
      </c>
    </row>
    <row r="9694" spans="2:8" x14ac:dyDescent="0.25">
      <c r="B9694" t="str">
        <f t="shared" si="151"/>
        <v>UGAPopulation ages 10-14, male</v>
      </c>
      <c r="C9694" t="s">
        <v>216</v>
      </c>
      <c r="D9694" t="s">
        <v>147</v>
      </c>
      <c r="E9694" t="s">
        <v>367</v>
      </c>
      <c r="F9694" t="s">
        <v>696</v>
      </c>
      <c r="G9694">
        <v>3024000</v>
      </c>
      <c r="H9694">
        <v>3120000</v>
      </c>
    </row>
    <row r="9695" spans="2:8" x14ac:dyDescent="0.25">
      <c r="B9695" t="str">
        <f t="shared" si="151"/>
        <v>UGAPopulation ages 15-19, female</v>
      </c>
      <c r="C9695" t="s">
        <v>216</v>
      </c>
      <c r="D9695" t="s">
        <v>147</v>
      </c>
      <c r="E9695" t="s">
        <v>368</v>
      </c>
      <c r="F9695" t="s">
        <v>697</v>
      </c>
      <c r="G9695">
        <v>2532000</v>
      </c>
      <c r="H9695">
        <v>2621000</v>
      </c>
    </row>
    <row r="9696" spans="2:8" x14ac:dyDescent="0.25">
      <c r="B9696" t="str">
        <f t="shared" si="151"/>
        <v>UGAPopulation ages 15-19, male</v>
      </c>
      <c r="C9696" t="s">
        <v>216</v>
      </c>
      <c r="D9696" t="s">
        <v>147</v>
      </c>
      <c r="E9696" t="s">
        <v>369</v>
      </c>
      <c r="F9696" t="s">
        <v>698</v>
      </c>
      <c r="G9696">
        <v>2533000</v>
      </c>
      <c r="H9696">
        <v>2636000</v>
      </c>
    </row>
    <row r="9697" spans="2:8" x14ac:dyDescent="0.25">
      <c r="B9697" t="str">
        <f t="shared" si="151"/>
        <v>UGAPopulation ages 20-24, female</v>
      </c>
      <c r="C9697" t="s">
        <v>216</v>
      </c>
      <c r="D9697" t="s">
        <v>147</v>
      </c>
      <c r="E9697" t="s">
        <v>370</v>
      </c>
      <c r="F9697" t="s">
        <v>699</v>
      </c>
      <c r="G9697">
        <v>2127000</v>
      </c>
      <c r="H9697">
        <v>2205000</v>
      </c>
    </row>
    <row r="9698" spans="2:8" x14ac:dyDescent="0.25">
      <c r="B9698" t="str">
        <f t="shared" si="151"/>
        <v>UGAPopulation ages 20-24, male</v>
      </c>
      <c r="C9698" t="s">
        <v>216</v>
      </c>
      <c r="D9698" t="s">
        <v>147</v>
      </c>
      <c r="E9698" t="s">
        <v>371</v>
      </c>
      <c r="F9698" t="s">
        <v>700</v>
      </c>
      <c r="G9698">
        <v>2034000</v>
      </c>
      <c r="H9698">
        <v>2124000</v>
      </c>
    </row>
    <row r="9699" spans="2:8" x14ac:dyDescent="0.25">
      <c r="B9699" t="str">
        <f t="shared" si="151"/>
        <v>UGAPopulation ages 25-29, female</v>
      </c>
      <c r="C9699" t="s">
        <v>216</v>
      </c>
      <c r="D9699" t="s">
        <v>147</v>
      </c>
      <c r="E9699" t="s">
        <v>372</v>
      </c>
      <c r="F9699" t="s">
        <v>701</v>
      </c>
      <c r="G9699">
        <v>1761000</v>
      </c>
      <c r="H9699">
        <v>1831000</v>
      </c>
    </row>
    <row r="9700" spans="2:8" x14ac:dyDescent="0.25">
      <c r="B9700" t="str">
        <f t="shared" si="151"/>
        <v>UGAPopulation ages 25-29, male</v>
      </c>
      <c r="C9700" t="s">
        <v>216</v>
      </c>
      <c r="D9700" t="s">
        <v>147</v>
      </c>
      <c r="E9700" t="s">
        <v>373</v>
      </c>
      <c r="F9700" t="s">
        <v>702</v>
      </c>
      <c r="G9700">
        <v>1642000</v>
      </c>
      <c r="H9700">
        <v>1713000</v>
      </c>
    </row>
    <row r="9701" spans="2:8" x14ac:dyDescent="0.25">
      <c r="B9701" t="str">
        <f t="shared" si="151"/>
        <v>UGAPopulation ages 30-34, female</v>
      </c>
      <c r="C9701" t="s">
        <v>216</v>
      </c>
      <c r="D9701" t="s">
        <v>147</v>
      </c>
      <c r="E9701" t="s">
        <v>374</v>
      </c>
      <c r="F9701" t="s">
        <v>703</v>
      </c>
      <c r="G9701">
        <v>1421000</v>
      </c>
      <c r="H9701">
        <v>1483000</v>
      </c>
    </row>
    <row r="9702" spans="2:8" x14ac:dyDescent="0.25">
      <c r="B9702" t="str">
        <f t="shared" si="151"/>
        <v>UGAPopulation ages 30-34, male</v>
      </c>
      <c r="C9702" t="s">
        <v>216</v>
      </c>
      <c r="D9702" t="s">
        <v>147</v>
      </c>
      <c r="E9702" t="s">
        <v>375</v>
      </c>
      <c r="F9702" t="s">
        <v>704</v>
      </c>
      <c r="G9702">
        <v>1306000</v>
      </c>
      <c r="H9702">
        <v>1365000</v>
      </c>
    </row>
    <row r="9703" spans="2:8" x14ac:dyDescent="0.25">
      <c r="B9703" t="str">
        <f t="shared" si="151"/>
        <v>UGAPopulation ages 35-39, female</v>
      </c>
      <c r="C9703" t="s">
        <v>216</v>
      </c>
      <c r="D9703" t="s">
        <v>147</v>
      </c>
      <c r="E9703" t="s">
        <v>376</v>
      </c>
      <c r="F9703" t="s">
        <v>705</v>
      </c>
      <c r="G9703">
        <v>1123000</v>
      </c>
      <c r="H9703">
        <v>1175000</v>
      </c>
    </row>
    <row r="9704" spans="2:8" x14ac:dyDescent="0.25">
      <c r="B9704" t="str">
        <f t="shared" si="151"/>
        <v>UGAPopulation ages 35-39, male</v>
      </c>
      <c r="C9704" t="s">
        <v>216</v>
      </c>
      <c r="D9704" t="s">
        <v>147</v>
      </c>
      <c r="E9704" t="s">
        <v>377</v>
      </c>
      <c r="F9704" t="s">
        <v>706</v>
      </c>
      <c r="G9704">
        <v>1031000</v>
      </c>
      <c r="H9704">
        <v>1078000</v>
      </c>
    </row>
    <row r="9705" spans="2:8" x14ac:dyDescent="0.25">
      <c r="B9705" t="str">
        <f t="shared" si="151"/>
        <v>UGAPopulation ages 40-44, female</v>
      </c>
      <c r="C9705" t="s">
        <v>216</v>
      </c>
      <c r="D9705" t="s">
        <v>147</v>
      </c>
      <c r="E9705" t="s">
        <v>378</v>
      </c>
      <c r="F9705" t="s">
        <v>707</v>
      </c>
      <c r="G9705">
        <v>877000</v>
      </c>
      <c r="H9705">
        <v>919000</v>
      </c>
    </row>
    <row r="9706" spans="2:8" x14ac:dyDescent="0.25">
      <c r="B9706" t="str">
        <f t="shared" si="151"/>
        <v>UGAPopulation ages 40-44, male</v>
      </c>
      <c r="C9706" t="s">
        <v>216</v>
      </c>
      <c r="D9706" t="s">
        <v>147</v>
      </c>
      <c r="E9706" t="s">
        <v>379</v>
      </c>
      <c r="F9706" t="s">
        <v>708</v>
      </c>
      <c r="G9706">
        <v>810000</v>
      </c>
      <c r="H9706">
        <v>846000</v>
      </c>
    </row>
    <row r="9707" spans="2:8" x14ac:dyDescent="0.25">
      <c r="B9707" t="str">
        <f t="shared" si="151"/>
        <v>UGAPopulation ages 45-49, female</v>
      </c>
      <c r="C9707" t="s">
        <v>216</v>
      </c>
      <c r="D9707" t="s">
        <v>147</v>
      </c>
      <c r="E9707" t="s">
        <v>380</v>
      </c>
      <c r="F9707" t="s">
        <v>709</v>
      </c>
      <c r="G9707">
        <v>674000</v>
      </c>
      <c r="H9707">
        <v>706000</v>
      </c>
    </row>
    <row r="9708" spans="2:8" x14ac:dyDescent="0.25">
      <c r="B9708" t="str">
        <f t="shared" si="151"/>
        <v>UGAPopulation ages 45-49, male</v>
      </c>
      <c r="C9708" t="s">
        <v>216</v>
      </c>
      <c r="D9708" t="s">
        <v>147</v>
      </c>
      <c r="E9708" t="s">
        <v>381</v>
      </c>
      <c r="F9708" t="s">
        <v>710</v>
      </c>
      <c r="G9708">
        <v>636000</v>
      </c>
      <c r="H9708">
        <v>662000</v>
      </c>
    </row>
    <row r="9709" spans="2:8" x14ac:dyDescent="0.25">
      <c r="B9709" t="str">
        <f t="shared" si="151"/>
        <v>UGAPopulation ages 50-54, female</v>
      </c>
      <c r="C9709" t="s">
        <v>216</v>
      </c>
      <c r="D9709" t="s">
        <v>147</v>
      </c>
      <c r="E9709" t="s">
        <v>382</v>
      </c>
      <c r="F9709" t="s">
        <v>711</v>
      </c>
      <c r="G9709">
        <v>526000</v>
      </c>
      <c r="H9709">
        <v>550000</v>
      </c>
    </row>
    <row r="9710" spans="2:8" x14ac:dyDescent="0.25">
      <c r="B9710" t="str">
        <f t="shared" si="151"/>
        <v>UGAPopulation ages 50-54, male</v>
      </c>
      <c r="C9710" t="s">
        <v>216</v>
      </c>
      <c r="D9710" t="s">
        <v>147</v>
      </c>
      <c r="E9710" t="s">
        <v>383</v>
      </c>
      <c r="F9710" t="s">
        <v>712</v>
      </c>
      <c r="G9710">
        <v>492000</v>
      </c>
      <c r="H9710">
        <v>515000</v>
      </c>
    </row>
    <row r="9711" spans="2:8" x14ac:dyDescent="0.25">
      <c r="B9711" t="str">
        <f t="shared" si="151"/>
        <v>UGAPopulation ages 55-59, male</v>
      </c>
      <c r="C9711" t="s">
        <v>216</v>
      </c>
      <c r="D9711" t="s">
        <v>147</v>
      </c>
      <c r="E9711" t="s">
        <v>385</v>
      </c>
      <c r="F9711" t="s">
        <v>713</v>
      </c>
      <c r="G9711">
        <v>350000</v>
      </c>
      <c r="H9711">
        <v>370000</v>
      </c>
    </row>
    <row r="9712" spans="2:8" x14ac:dyDescent="0.25">
      <c r="B9712" t="str">
        <f t="shared" si="151"/>
        <v>UGAPopulation ages 55-59, female</v>
      </c>
      <c r="C9712" t="s">
        <v>216</v>
      </c>
      <c r="D9712" t="s">
        <v>147</v>
      </c>
      <c r="E9712" t="s">
        <v>384</v>
      </c>
      <c r="F9712" t="s">
        <v>714</v>
      </c>
      <c r="G9712">
        <v>398000</v>
      </c>
      <c r="H9712">
        <v>417000</v>
      </c>
    </row>
    <row r="9713" spans="2:8" x14ac:dyDescent="0.25">
      <c r="B9713" t="str">
        <f t="shared" si="151"/>
        <v>UGAPopulation ages 65-69, male</v>
      </c>
      <c r="C9713" t="s">
        <v>216</v>
      </c>
      <c r="D9713" t="s">
        <v>147</v>
      </c>
      <c r="E9713" t="s">
        <v>389</v>
      </c>
      <c r="F9713" t="s">
        <v>715</v>
      </c>
      <c r="G9713">
        <v>164000</v>
      </c>
      <c r="H9713">
        <v>172000</v>
      </c>
    </row>
    <row r="9714" spans="2:8" x14ac:dyDescent="0.25">
      <c r="B9714" t="str">
        <f t="shared" si="151"/>
        <v>UGAPopulation ages 65-69, female</v>
      </c>
      <c r="C9714" t="s">
        <v>216</v>
      </c>
      <c r="D9714" t="s">
        <v>147</v>
      </c>
      <c r="E9714" t="s">
        <v>388</v>
      </c>
      <c r="F9714" t="s">
        <v>716</v>
      </c>
      <c r="G9714">
        <v>224000</v>
      </c>
      <c r="H9714">
        <v>234000</v>
      </c>
    </row>
    <row r="9715" spans="2:8" x14ac:dyDescent="0.25">
      <c r="B9715" t="str">
        <f t="shared" si="151"/>
        <v>UGAPopulation ages 60-64, female</v>
      </c>
      <c r="C9715" t="s">
        <v>216</v>
      </c>
      <c r="D9715" t="s">
        <v>147</v>
      </c>
      <c r="E9715" t="s">
        <v>386</v>
      </c>
      <c r="F9715" t="s">
        <v>717</v>
      </c>
      <c r="G9715">
        <v>300000</v>
      </c>
      <c r="H9715">
        <v>313000</v>
      </c>
    </row>
    <row r="9716" spans="2:8" x14ac:dyDescent="0.25">
      <c r="B9716" t="str">
        <f t="shared" si="151"/>
        <v>UGAPopulation ages 60-64, male</v>
      </c>
      <c r="C9716" t="s">
        <v>216</v>
      </c>
      <c r="D9716" t="s">
        <v>147</v>
      </c>
      <c r="E9716" t="s">
        <v>387</v>
      </c>
      <c r="F9716" t="s">
        <v>718</v>
      </c>
      <c r="G9716">
        <v>242000</v>
      </c>
      <c r="H9716">
        <v>255000</v>
      </c>
    </row>
    <row r="9717" spans="2:8" x14ac:dyDescent="0.25">
      <c r="B9717" t="str">
        <f t="shared" si="151"/>
        <v>UGAPopulation ages 70-74, female</v>
      </c>
      <c r="C9717" t="s">
        <v>216</v>
      </c>
      <c r="D9717" t="s">
        <v>147</v>
      </c>
      <c r="E9717" t="s">
        <v>390</v>
      </c>
      <c r="F9717" t="s">
        <v>719</v>
      </c>
      <c r="G9717">
        <v>149000</v>
      </c>
      <c r="H9717">
        <v>157000</v>
      </c>
    </row>
    <row r="9718" spans="2:8" x14ac:dyDescent="0.25">
      <c r="B9718" t="str">
        <f t="shared" si="151"/>
        <v>UGAPopulation ages 70-74, male</v>
      </c>
      <c r="C9718" t="s">
        <v>216</v>
      </c>
      <c r="D9718" t="s">
        <v>147</v>
      </c>
      <c r="E9718" t="s">
        <v>391</v>
      </c>
      <c r="F9718" t="s">
        <v>720</v>
      </c>
      <c r="G9718">
        <v>100000</v>
      </c>
      <c r="H9718">
        <v>105000</v>
      </c>
    </row>
    <row r="9719" spans="2:8" x14ac:dyDescent="0.25">
      <c r="B9719" t="str">
        <f t="shared" si="151"/>
        <v>UGAPopulation ages 75-79, female</v>
      </c>
      <c r="C9719" t="s">
        <v>216</v>
      </c>
      <c r="D9719" t="s">
        <v>147</v>
      </c>
      <c r="E9719" t="s">
        <v>392</v>
      </c>
      <c r="F9719" t="s">
        <v>721</v>
      </c>
      <c r="G9719">
        <v>89000</v>
      </c>
      <c r="H9719">
        <v>94000</v>
      </c>
    </row>
    <row r="9720" spans="2:8" x14ac:dyDescent="0.25">
      <c r="B9720" t="str">
        <f t="shared" si="151"/>
        <v>UGAPopulation ages 75-79, male</v>
      </c>
      <c r="C9720" t="s">
        <v>216</v>
      </c>
      <c r="D9720" t="s">
        <v>147</v>
      </c>
      <c r="E9720" t="s">
        <v>393</v>
      </c>
      <c r="F9720" t="s">
        <v>722</v>
      </c>
      <c r="G9720">
        <v>53000</v>
      </c>
      <c r="H9720">
        <v>56000</v>
      </c>
    </row>
    <row r="9721" spans="2:8" x14ac:dyDescent="0.25">
      <c r="B9721" t="str">
        <f t="shared" si="151"/>
        <v>UGAPopulation ages 80 and above, female</v>
      </c>
      <c r="C9721" t="s">
        <v>216</v>
      </c>
      <c r="D9721" t="s">
        <v>147</v>
      </c>
      <c r="E9721" t="s">
        <v>394</v>
      </c>
      <c r="F9721" t="s">
        <v>723</v>
      </c>
      <c r="G9721">
        <v>61000</v>
      </c>
      <c r="H9721">
        <v>61000</v>
      </c>
    </row>
    <row r="9722" spans="2:8" x14ac:dyDescent="0.25">
      <c r="B9722" t="str">
        <f t="shared" si="151"/>
        <v>UGAPopulation ages 80 and above, male</v>
      </c>
      <c r="C9722" t="s">
        <v>216</v>
      </c>
      <c r="D9722" t="s">
        <v>147</v>
      </c>
      <c r="E9722" t="s">
        <v>395</v>
      </c>
      <c r="F9722" t="s">
        <v>724</v>
      </c>
      <c r="G9722">
        <v>29000</v>
      </c>
      <c r="H9722">
        <v>29000</v>
      </c>
    </row>
    <row r="9723" spans="2:8" x14ac:dyDescent="0.25">
      <c r="B9723" t="str">
        <f t="shared" si="151"/>
        <v>UGAPopulation, male</v>
      </c>
      <c r="C9723" t="s">
        <v>216</v>
      </c>
      <c r="D9723" t="s">
        <v>147</v>
      </c>
      <c r="E9723" t="s">
        <v>397</v>
      </c>
      <c r="F9723" t="s">
        <v>725</v>
      </c>
      <c r="G9723">
        <v>21807000</v>
      </c>
      <c r="H9723">
        <v>22547000</v>
      </c>
    </row>
    <row r="9724" spans="2:8" x14ac:dyDescent="0.25">
      <c r="B9724" t="str">
        <f t="shared" si="151"/>
        <v>UGAPopulation, total</v>
      </c>
      <c r="C9724" t="s">
        <v>216</v>
      </c>
      <c r="D9724" t="s">
        <v>147</v>
      </c>
      <c r="E9724" t="s">
        <v>398</v>
      </c>
      <c r="F9724" t="s">
        <v>726</v>
      </c>
      <c r="G9724">
        <v>44270000</v>
      </c>
      <c r="H9724">
        <v>45741000</v>
      </c>
    </row>
    <row r="9725" spans="2:8" x14ac:dyDescent="0.25">
      <c r="B9725" t="str">
        <f t="shared" si="151"/>
        <v>UGAPopulation, female</v>
      </c>
      <c r="C9725" t="s">
        <v>216</v>
      </c>
      <c r="D9725" t="s">
        <v>147</v>
      </c>
      <c r="E9725" t="s">
        <v>396</v>
      </c>
      <c r="F9725" t="s">
        <v>727</v>
      </c>
      <c r="G9725">
        <v>22462000</v>
      </c>
      <c r="H9725">
        <v>23194000</v>
      </c>
    </row>
    <row r="9726" spans="2:8" x14ac:dyDescent="0.25">
      <c r="B9726" t="str">
        <f t="shared" si="151"/>
        <v>UGAPopulation growth (annual %)</v>
      </c>
      <c r="C9726" t="s">
        <v>216</v>
      </c>
      <c r="D9726" t="s">
        <v>147</v>
      </c>
      <c r="E9726" t="s">
        <v>399</v>
      </c>
      <c r="F9726" t="s">
        <v>728</v>
      </c>
      <c r="G9726">
        <v>0</v>
      </c>
      <c r="H9726">
        <v>0</v>
      </c>
    </row>
    <row r="9727" spans="2:8" x14ac:dyDescent="0.25">
      <c r="B9727" t="str">
        <f t="shared" si="151"/>
        <v>UKRPopulation ages 0-14, female</v>
      </c>
      <c r="C9727" t="s">
        <v>239</v>
      </c>
      <c r="D9727" t="s">
        <v>148</v>
      </c>
      <c r="E9727" t="s">
        <v>687</v>
      </c>
      <c r="F9727" t="s">
        <v>688</v>
      </c>
      <c r="G9727">
        <v>3433000</v>
      </c>
      <c r="H9727">
        <v>3427000</v>
      </c>
    </row>
    <row r="9728" spans="2:8" x14ac:dyDescent="0.25">
      <c r="B9728" t="str">
        <f t="shared" si="151"/>
        <v>UKRPopulation ages 0-14, male</v>
      </c>
      <c r="C9728" t="s">
        <v>239</v>
      </c>
      <c r="D9728" t="s">
        <v>148</v>
      </c>
      <c r="E9728" t="s">
        <v>689</v>
      </c>
      <c r="F9728" t="s">
        <v>690</v>
      </c>
      <c r="G9728">
        <v>3643000</v>
      </c>
      <c r="H9728">
        <v>3635000</v>
      </c>
    </row>
    <row r="9729" spans="2:8" x14ac:dyDescent="0.25">
      <c r="B9729" t="str">
        <f t="shared" si="151"/>
        <v>UKRPopulation ages 00-04, female</v>
      </c>
      <c r="C9729" t="s">
        <v>239</v>
      </c>
      <c r="D9729" t="s">
        <v>148</v>
      </c>
      <c r="E9729" t="s">
        <v>362</v>
      </c>
      <c r="F9729" t="s">
        <v>691</v>
      </c>
      <c r="G9729">
        <v>1070000</v>
      </c>
      <c r="H9729">
        <v>1036000</v>
      </c>
    </row>
    <row r="9730" spans="2:8" x14ac:dyDescent="0.25">
      <c r="B9730" t="str">
        <f t="shared" si="151"/>
        <v>UKRPopulation ages 00-04, male</v>
      </c>
      <c r="C9730" t="s">
        <v>239</v>
      </c>
      <c r="D9730" t="s">
        <v>148</v>
      </c>
      <c r="E9730" t="s">
        <v>363</v>
      </c>
      <c r="F9730" t="s">
        <v>692</v>
      </c>
      <c r="G9730">
        <v>1134000</v>
      </c>
      <c r="H9730">
        <v>1098000</v>
      </c>
    </row>
    <row r="9731" spans="2:8" x14ac:dyDescent="0.25">
      <c r="B9731" t="str">
        <f t="shared" si="151"/>
        <v>UKRPopulation ages 05-09, female</v>
      </c>
      <c r="C9731" t="s">
        <v>239</v>
      </c>
      <c r="D9731" t="s">
        <v>148</v>
      </c>
      <c r="E9731" t="s">
        <v>364</v>
      </c>
      <c r="F9731" t="s">
        <v>693</v>
      </c>
      <c r="G9731">
        <v>1226000</v>
      </c>
      <c r="H9731">
        <v>1213000</v>
      </c>
    </row>
    <row r="9732" spans="2:8" x14ac:dyDescent="0.25">
      <c r="B9732" t="str">
        <f t="shared" si="151"/>
        <v>UKRPopulation ages 05-09, male</v>
      </c>
      <c r="C9732" t="s">
        <v>239</v>
      </c>
      <c r="D9732" t="s">
        <v>148</v>
      </c>
      <c r="E9732" t="s">
        <v>365</v>
      </c>
      <c r="F9732" t="s">
        <v>694</v>
      </c>
      <c r="G9732">
        <v>1301000</v>
      </c>
      <c r="H9732">
        <v>1287000</v>
      </c>
    </row>
    <row r="9733" spans="2:8" x14ac:dyDescent="0.25">
      <c r="B9733" t="str">
        <f t="shared" si="151"/>
        <v>UKRPopulation ages 10-14, female</v>
      </c>
      <c r="C9733" t="s">
        <v>239</v>
      </c>
      <c r="D9733" t="s">
        <v>148</v>
      </c>
      <c r="E9733" t="s">
        <v>366</v>
      </c>
      <c r="F9733" t="s">
        <v>695</v>
      </c>
      <c r="G9733">
        <v>1138000</v>
      </c>
      <c r="H9733">
        <v>1178000</v>
      </c>
    </row>
    <row r="9734" spans="2:8" x14ac:dyDescent="0.25">
      <c r="B9734" t="str">
        <f t="shared" si="151"/>
        <v>UKRPopulation ages 10-14, male</v>
      </c>
      <c r="C9734" t="s">
        <v>239</v>
      </c>
      <c r="D9734" t="s">
        <v>148</v>
      </c>
      <c r="E9734" t="s">
        <v>367</v>
      </c>
      <c r="F9734" t="s">
        <v>696</v>
      </c>
      <c r="G9734">
        <v>1208000</v>
      </c>
      <c r="H9734">
        <v>1249000</v>
      </c>
    </row>
    <row r="9735" spans="2:8" x14ac:dyDescent="0.25">
      <c r="B9735" t="str">
        <f t="shared" ref="B9735:B9798" si="152">CONCATENATE(D9735,E9735)</f>
        <v>UKRPopulation ages 15-19, female</v>
      </c>
      <c r="C9735" t="s">
        <v>239</v>
      </c>
      <c r="D9735" t="s">
        <v>148</v>
      </c>
      <c r="E9735" t="s">
        <v>368</v>
      </c>
      <c r="F9735" t="s">
        <v>697</v>
      </c>
      <c r="G9735">
        <v>956000</v>
      </c>
      <c r="H9735">
        <v>968000</v>
      </c>
    </row>
    <row r="9736" spans="2:8" x14ac:dyDescent="0.25">
      <c r="B9736" t="str">
        <f t="shared" si="152"/>
        <v>UKRPopulation ages 15-19, male</v>
      </c>
      <c r="C9736" t="s">
        <v>239</v>
      </c>
      <c r="D9736" t="s">
        <v>148</v>
      </c>
      <c r="E9736" t="s">
        <v>369</v>
      </c>
      <c r="F9736" t="s">
        <v>698</v>
      </c>
      <c r="G9736">
        <v>1017000</v>
      </c>
      <c r="H9736">
        <v>1031000</v>
      </c>
    </row>
    <row r="9737" spans="2:8" x14ac:dyDescent="0.25">
      <c r="B9737" t="str">
        <f t="shared" si="152"/>
        <v>UKRPopulation ages 20-24, female</v>
      </c>
      <c r="C9737" t="s">
        <v>239</v>
      </c>
      <c r="D9737" t="s">
        <v>148</v>
      </c>
      <c r="E9737" t="s">
        <v>370</v>
      </c>
      <c r="F9737" t="s">
        <v>699</v>
      </c>
      <c r="G9737">
        <v>1100000</v>
      </c>
      <c r="H9737">
        <v>1055000</v>
      </c>
    </row>
    <row r="9738" spans="2:8" x14ac:dyDescent="0.25">
      <c r="B9738" t="str">
        <f t="shared" si="152"/>
        <v>UKRPopulation ages 20-24, male</v>
      </c>
      <c r="C9738" t="s">
        <v>239</v>
      </c>
      <c r="D9738" t="s">
        <v>148</v>
      </c>
      <c r="E9738" t="s">
        <v>371</v>
      </c>
      <c r="F9738" t="s">
        <v>700</v>
      </c>
      <c r="G9738">
        <v>1157000</v>
      </c>
      <c r="H9738">
        <v>1111000</v>
      </c>
    </row>
    <row r="9739" spans="2:8" x14ac:dyDescent="0.25">
      <c r="B9739" t="str">
        <f t="shared" si="152"/>
        <v>UKRPopulation ages 25-29, female</v>
      </c>
      <c r="C9739" t="s">
        <v>239</v>
      </c>
      <c r="D9739" t="s">
        <v>148</v>
      </c>
      <c r="E9739" t="s">
        <v>372</v>
      </c>
      <c r="F9739" t="s">
        <v>701</v>
      </c>
      <c r="G9739">
        <v>1443000</v>
      </c>
      <c r="H9739">
        <v>1357000</v>
      </c>
    </row>
    <row r="9740" spans="2:8" x14ac:dyDescent="0.25">
      <c r="B9740" t="str">
        <f t="shared" si="152"/>
        <v>UKRPopulation ages 25-29, male</v>
      </c>
      <c r="C9740" t="s">
        <v>239</v>
      </c>
      <c r="D9740" t="s">
        <v>148</v>
      </c>
      <c r="E9740" t="s">
        <v>373</v>
      </c>
      <c r="F9740" t="s">
        <v>702</v>
      </c>
      <c r="G9740">
        <v>1512000</v>
      </c>
      <c r="H9740">
        <v>1422000</v>
      </c>
    </row>
    <row r="9741" spans="2:8" x14ac:dyDescent="0.25">
      <c r="B9741" t="str">
        <f t="shared" si="152"/>
        <v>UKRPopulation ages 30-34, female</v>
      </c>
      <c r="C9741" t="s">
        <v>239</v>
      </c>
      <c r="D9741" t="s">
        <v>148</v>
      </c>
      <c r="E9741" t="s">
        <v>374</v>
      </c>
      <c r="F9741" t="s">
        <v>703</v>
      </c>
      <c r="G9741">
        <v>1817000</v>
      </c>
      <c r="H9741">
        <v>1777000</v>
      </c>
    </row>
    <row r="9742" spans="2:8" x14ac:dyDescent="0.25">
      <c r="B9742" t="str">
        <f t="shared" si="152"/>
        <v>UKRPopulation ages 30-34, male</v>
      </c>
      <c r="C9742" t="s">
        <v>239</v>
      </c>
      <c r="D9742" t="s">
        <v>148</v>
      </c>
      <c r="E9742" t="s">
        <v>375</v>
      </c>
      <c r="F9742" t="s">
        <v>704</v>
      </c>
      <c r="G9742">
        <v>1884000</v>
      </c>
      <c r="H9742">
        <v>1843000</v>
      </c>
    </row>
    <row r="9743" spans="2:8" x14ac:dyDescent="0.25">
      <c r="B9743" t="str">
        <f t="shared" si="152"/>
        <v>UKRPopulation ages 35-39, female</v>
      </c>
      <c r="C9743" t="s">
        <v>239</v>
      </c>
      <c r="D9743" t="s">
        <v>148</v>
      </c>
      <c r="E9743" t="s">
        <v>376</v>
      </c>
      <c r="F9743" t="s">
        <v>705</v>
      </c>
      <c r="G9743">
        <v>1802000</v>
      </c>
      <c r="H9743">
        <v>1813000</v>
      </c>
    </row>
    <row r="9744" spans="2:8" x14ac:dyDescent="0.25">
      <c r="B9744" t="str">
        <f t="shared" si="152"/>
        <v>UKRPopulation ages 35-39, male</v>
      </c>
      <c r="C9744" t="s">
        <v>239</v>
      </c>
      <c r="D9744" t="s">
        <v>148</v>
      </c>
      <c r="E9744" t="s">
        <v>377</v>
      </c>
      <c r="F9744" t="s">
        <v>706</v>
      </c>
      <c r="G9744">
        <v>1822000</v>
      </c>
      <c r="H9744">
        <v>1847000</v>
      </c>
    </row>
    <row r="9745" spans="2:8" x14ac:dyDescent="0.25">
      <c r="B9745" t="str">
        <f t="shared" si="152"/>
        <v>UKRPopulation ages 40-44, female</v>
      </c>
      <c r="C9745" t="s">
        <v>239</v>
      </c>
      <c r="D9745" t="s">
        <v>148</v>
      </c>
      <c r="E9745" t="s">
        <v>378</v>
      </c>
      <c r="F9745" t="s">
        <v>707</v>
      </c>
      <c r="G9745">
        <v>1707000</v>
      </c>
      <c r="H9745">
        <v>1727000</v>
      </c>
    </row>
    <row r="9746" spans="2:8" x14ac:dyDescent="0.25">
      <c r="B9746" t="str">
        <f t="shared" si="152"/>
        <v>UKRPopulation ages 40-44, male</v>
      </c>
      <c r="C9746" t="s">
        <v>239</v>
      </c>
      <c r="D9746" t="s">
        <v>148</v>
      </c>
      <c r="E9746" t="s">
        <v>379</v>
      </c>
      <c r="F9746" t="s">
        <v>708</v>
      </c>
      <c r="G9746">
        <v>1616000</v>
      </c>
      <c r="H9746">
        <v>1643000</v>
      </c>
    </row>
    <row r="9747" spans="2:8" x14ac:dyDescent="0.25">
      <c r="B9747" t="str">
        <f t="shared" si="152"/>
        <v>UKRPopulation ages 45-49, female</v>
      </c>
      <c r="C9747" t="s">
        <v>239</v>
      </c>
      <c r="D9747" t="s">
        <v>148</v>
      </c>
      <c r="E9747" t="s">
        <v>380</v>
      </c>
      <c r="F9747" t="s">
        <v>709</v>
      </c>
      <c r="G9747">
        <v>1587000</v>
      </c>
      <c r="H9747">
        <v>1611000</v>
      </c>
    </row>
    <row r="9748" spans="2:8" x14ac:dyDescent="0.25">
      <c r="B9748" t="str">
        <f t="shared" si="152"/>
        <v>UKRPopulation ages 45-49, male</v>
      </c>
      <c r="C9748" t="s">
        <v>239</v>
      </c>
      <c r="D9748" t="s">
        <v>148</v>
      </c>
      <c r="E9748" t="s">
        <v>381</v>
      </c>
      <c r="F9748" t="s">
        <v>710</v>
      </c>
      <c r="G9748">
        <v>1460000</v>
      </c>
      <c r="H9748">
        <v>1488000</v>
      </c>
    </row>
    <row r="9749" spans="2:8" x14ac:dyDescent="0.25">
      <c r="B9749" t="str">
        <f t="shared" si="152"/>
        <v>UKRPopulation ages 50-54, female</v>
      </c>
      <c r="C9749" t="s">
        <v>239</v>
      </c>
      <c r="D9749" t="s">
        <v>148</v>
      </c>
      <c r="E9749" t="s">
        <v>382</v>
      </c>
      <c r="F9749" t="s">
        <v>711</v>
      </c>
      <c r="G9749">
        <v>1551000</v>
      </c>
      <c r="H9749">
        <v>1519000</v>
      </c>
    </row>
    <row r="9750" spans="2:8" x14ac:dyDescent="0.25">
      <c r="B9750" t="str">
        <f t="shared" si="152"/>
        <v>UKRPopulation ages 50-54, male</v>
      </c>
      <c r="C9750" t="s">
        <v>239</v>
      </c>
      <c r="D9750" t="s">
        <v>148</v>
      </c>
      <c r="E9750" t="s">
        <v>383</v>
      </c>
      <c r="F9750" t="s">
        <v>712</v>
      </c>
      <c r="G9750">
        <v>1331000</v>
      </c>
      <c r="H9750">
        <v>1312000</v>
      </c>
    </row>
    <row r="9751" spans="2:8" x14ac:dyDescent="0.25">
      <c r="B9751" t="str">
        <f t="shared" si="152"/>
        <v>UKRPopulation ages 55-59, male</v>
      </c>
      <c r="C9751" t="s">
        <v>239</v>
      </c>
      <c r="D9751" t="s">
        <v>148</v>
      </c>
      <c r="E9751" t="s">
        <v>385</v>
      </c>
      <c r="F9751" t="s">
        <v>713</v>
      </c>
      <c r="G9751">
        <v>1410000</v>
      </c>
      <c r="H9751">
        <v>1393000</v>
      </c>
    </row>
    <row r="9752" spans="2:8" x14ac:dyDescent="0.25">
      <c r="B9752" t="str">
        <f t="shared" si="152"/>
        <v>UKRPopulation ages 55-59, female</v>
      </c>
      <c r="C9752" t="s">
        <v>239</v>
      </c>
      <c r="D9752" t="s">
        <v>148</v>
      </c>
      <c r="E9752" t="s">
        <v>384</v>
      </c>
      <c r="F9752" t="s">
        <v>714</v>
      </c>
      <c r="G9752">
        <v>1768000</v>
      </c>
      <c r="H9752">
        <v>1740000</v>
      </c>
    </row>
    <row r="9753" spans="2:8" x14ac:dyDescent="0.25">
      <c r="B9753" t="str">
        <f t="shared" si="152"/>
        <v>UKRPopulation ages 65-69, male</v>
      </c>
      <c r="C9753" t="s">
        <v>239</v>
      </c>
      <c r="D9753" t="s">
        <v>148</v>
      </c>
      <c r="E9753" t="s">
        <v>389</v>
      </c>
      <c r="F9753" t="s">
        <v>715</v>
      </c>
      <c r="G9753">
        <v>981000</v>
      </c>
      <c r="H9753">
        <v>1009000</v>
      </c>
    </row>
    <row r="9754" spans="2:8" x14ac:dyDescent="0.25">
      <c r="B9754" t="str">
        <f t="shared" si="152"/>
        <v>UKRPopulation ages 65-69, female</v>
      </c>
      <c r="C9754" t="s">
        <v>239</v>
      </c>
      <c r="D9754" t="s">
        <v>148</v>
      </c>
      <c r="E9754" t="s">
        <v>388</v>
      </c>
      <c r="F9754" t="s">
        <v>716</v>
      </c>
      <c r="G9754">
        <v>1580000</v>
      </c>
      <c r="H9754">
        <v>1628000</v>
      </c>
    </row>
    <row r="9755" spans="2:8" x14ac:dyDescent="0.25">
      <c r="B9755" t="str">
        <f t="shared" si="152"/>
        <v>UKRPopulation ages 60-64, female</v>
      </c>
      <c r="C9755" t="s">
        <v>239</v>
      </c>
      <c r="D9755" t="s">
        <v>148</v>
      </c>
      <c r="E9755" t="s">
        <v>386</v>
      </c>
      <c r="F9755" t="s">
        <v>717</v>
      </c>
      <c r="G9755">
        <v>1727000</v>
      </c>
      <c r="H9755">
        <v>1718000</v>
      </c>
    </row>
    <row r="9756" spans="2:8" x14ac:dyDescent="0.25">
      <c r="B9756" t="str">
        <f t="shared" si="152"/>
        <v>UKRPopulation ages 60-64, male</v>
      </c>
      <c r="C9756" t="s">
        <v>239</v>
      </c>
      <c r="D9756" t="s">
        <v>148</v>
      </c>
      <c r="E9756" t="s">
        <v>387</v>
      </c>
      <c r="F9756" t="s">
        <v>718</v>
      </c>
      <c r="G9756">
        <v>1232000</v>
      </c>
      <c r="H9756">
        <v>1238000</v>
      </c>
    </row>
    <row r="9757" spans="2:8" x14ac:dyDescent="0.25">
      <c r="B9757" t="str">
        <f t="shared" si="152"/>
        <v>UKRPopulation ages 70-74, female</v>
      </c>
      <c r="C9757" t="s">
        <v>239</v>
      </c>
      <c r="D9757" t="s">
        <v>148</v>
      </c>
      <c r="E9757" t="s">
        <v>390</v>
      </c>
      <c r="F9757" t="s">
        <v>719</v>
      </c>
      <c r="G9757">
        <v>1090000</v>
      </c>
      <c r="H9757">
        <v>1147000</v>
      </c>
    </row>
    <row r="9758" spans="2:8" x14ac:dyDescent="0.25">
      <c r="B9758" t="str">
        <f t="shared" si="152"/>
        <v>UKRPopulation ages 70-74, male</v>
      </c>
      <c r="C9758" t="s">
        <v>239</v>
      </c>
      <c r="D9758" t="s">
        <v>148</v>
      </c>
      <c r="E9758" t="s">
        <v>391</v>
      </c>
      <c r="F9758" t="s">
        <v>720</v>
      </c>
      <c r="G9758">
        <v>609000</v>
      </c>
      <c r="H9758">
        <v>640000</v>
      </c>
    </row>
    <row r="9759" spans="2:8" x14ac:dyDescent="0.25">
      <c r="B9759" t="str">
        <f t="shared" si="152"/>
        <v>UKRPopulation ages 75-79, female</v>
      </c>
      <c r="C9759" t="s">
        <v>239</v>
      </c>
      <c r="D9759" t="s">
        <v>148</v>
      </c>
      <c r="E9759" t="s">
        <v>392</v>
      </c>
      <c r="F9759" t="s">
        <v>721</v>
      </c>
      <c r="G9759">
        <v>891000</v>
      </c>
      <c r="H9759">
        <v>846000</v>
      </c>
    </row>
    <row r="9760" spans="2:8" x14ac:dyDescent="0.25">
      <c r="B9760" t="str">
        <f t="shared" si="152"/>
        <v>UKRPopulation ages 75-79, male</v>
      </c>
      <c r="C9760" t="s">
        <v>239</v>
      </c>
      <c r="D9760" t="s">
        <v>148</v>
      </c>
      <c r="E9760" t="s">
        <v>393</v>
      </c>
      <c r="F9760" t="s">
        <v>722</v>
      </c>
      <c r="G9760">
        <v>399000</v>
      </c>
      <c r="H9760">
        <v>380000</v>
      </c>
    </row>
    <row r="9761" spans="2:8" x14ac:dyDescent="0.25">
      <c r="B9761" t="str">
        <f t="shared" si="152"/>
        <v>UKRPopulation ages 80 and above, female</v>
      </c>
      <c r="C9761" t="s">
        <v>239</v>
      </c>
      <c r="D9761" t="s">
        <v>148</v>
      </c>
      <c r="E9761" t="s">
        <v>394</v>
      </c>
      <c r="F9761" t="s">
        <v>723</v>
      </c>
      <c r="G9761">
        <v>1375000</v>
      </c>
      <c r="H9761">
        <v>1366000</v>
      </c>
    </row>
    <row r="9762" spans="2:8" x14ac:dyDescent="0.25">
      <c r="B9762" t="str">
        <f t="shared" si="152"/>
        <v>UKRPopulation ages 80 and above, male</v>
      </c>
      <c r="C9762" t="s">
        <v>239</v>
      </c>
      <c r="D9762" t="s">
        <v>148</v>
      </c>
      <c r="E9762" t="s">
        <v>395</v>
      </c>
      <c r="F9762" t="s">
        <v>724</v>
      </c>
      <c r="G9762">
        <v>491000</v>
      </c>
      <c r="H9762">
        <v>469000</v>
      </c>
    </row>
    <row r="9763" spans="2:8" x14ac:dyDescent="0.25">
      <c r="B9763" t="str">
        <f t="shared" si="152"/>
        <v>UKRPopulation, male</v>
      </c>
      <c r="C9763" t="s">
        <v>239</v>
      </c>
      <c r="D9763" t="s">
        <v>148</v>
      </c>
      <c r="E9763" t="s">
        <v>397</v>
      </c>
      <c r="F9763" t="s">
        <v>725</v>
      </c>
      <c r="G9763">
        <v>20563000</v>
      </c>
      <c r="H9763">
        <v>20460000</v>
      </c>
    </row>
    <row r="9764" spans="2:8" x14ac:dyDescent="0.25">
      <c r="B9764" t="str">
        <f t="shared" si="152"/>
        <v>UKRPopulation, total</v>
      </c>
      <c r="C9764" t="s">
        <v>239</v>
      </c>
      <c r="D9764" t="s">
        <v>148</v>
      </c>
      <c r="E9764" t="s">
        <v>398</v>
      </c>
      <c r="F9764" t="s">
        <v>726</v>
      </c>
      <c r="G9764">
        <v>44391000</v>
      </c>
      <c r="H9764">
        <v>44158000</v>
      </c>
    </row>
    <row r="9765" spans="2:8" x14ac:dyDescent="0.25">
      <c r="B9765" t="str">
        <f t="shared" si="152"/>
        <v>UKRPopulation, female</v>
      </c>
      <c r="C9765" t="s">
        <v>239</v>
      </c>
      <c r="D9765" t="s">
        <v>148</v>
      </c>
      <c r="E9765" t="s">
        <v>396</v>
      </c>
      <c r="F9765" t="s">
        <v>727</v>
      </c>
      <c r="G9765">
        <v>23828000</v>
      </c>
      <c r="H9765">
        <v>23698000</v>
      </c>
    </row>
    <row r="9766" spans="2:8" x14ac:dyDescent="0.25">
      <c r="B9766" t="str">
        <f t="shared" si="152"/>
        <v>UKRPopulation growth (annual %)</v>
      </c>
      <c r="C9766" t="s">
        <v>239</v>
      </c>
      <c r="D9766" t="s">
        <v>148</v>
      </c>
      <c r="E9766" t="s">
        <v>399</v>
      </c>
      <c r="F9766" t="s">
        <v>728</v>
      </c>
      <c r="G9766">
        <v>0</v>
      </c>
      <c r="H9766">
        <v>0</v>
      </c>
    </row>
    <row r="9767" spans="2:8" x14ac:dyDescent="0.25">
      <c r="B9767" t="str">
        <f t="shared" si="152"/>
        <v>AREPopulation ages 0-14, female</v>
      </c>
      <c r="C9767" t="s">
        <v>661</v>
      </c>
      <c r="D9767" t="s">
        <v>2</v>
      </c>
      <c r="E9767" t="s">
        <v>687</v>
      </c>
      <c r="F9767" t="s">
        <v>688</v>
      </c>
      <c r="G9767">
        <v>708000</v>
      </c>
      <c r="H9767">
        <v>718000</v>
      </c>
    </row>
    <row r="9768" spans="2:8" x14ac:dyDescent="0.25">
      <c r="B9768" t="str">
        <f t="shared" si="152"/>
        <v>AREPopulation ages 0-14, male</v>
      </c>
      <c r="C9768" t="s">
        <v>661</v>
      </c>
      <c r="D9768" t="s">
        <v>2</v>
      </c>
      <c r="E9768" t="s">
        <v>689</v>
      </c>
      <c r="F9768" t="s">
        <v>690</v>
      </c>
      <c r="G9768">
        <v>730000</v>
      </c>
      <c r="H9768">
        <v>747000</v>
      </c>
    </row>
    <row r="9769" spans="2:8" x14ac:dyDescent="0.25">
      <c r="B9769" t="str">
        <f t="shared" si="152"/>
        <v>AREPopulation ages 00-04, female</v>
      </c>
      <c r="C9769" t="s">
        <v>661</v>
      </c>
      <c r="D9769" t="s">
        <v>2</v>
      </c>
      <c r="E9769" t="s">
        <v>362</v>
      </c>
      <c r="F9769" t="s">
        <v>691</v>
      </c>
      <c r="G9769">
        <v>246000</v>
      </c>
      <c r="H9769">
        <v>244000</v>
      </c>
    </row>
    <row r="9770" spans="2:8" x14ac:dyDescent="0.25">
      <c r="B9770" t="str">
        <f t="shared" si="152"/>
        <v>AREPopulation ages 00-04, male</v>
      </c>
      <c r="C9770" t="s">
        <v>661</v>
      </c>
      <c r="D9770" t="s">
        <v>2</v>
      </c>
      <c r="E9770" t="s">
        <v>363</v>
      </c>
      <c r="F9770" t="s">
        <v>692</v>
      </c>
      <c r="G9770">
        <v>255000</v>
      </c>
      <c r="H9770">
        <v>255000</v>
      </c>
    </row>
    <row r="9771" spans="2:8" x14ac:dyDescent="0.25">
      <c r="B9771" t="str">
        <f t="shared" si="152"/>
        <v>AREPopulation ages 05-09, female</v>
      </c>
      <c r="C9771" t="s">
        <v>661</v>
      </c>
      <c r="D9771" t="s">
        <v>2</v>
      </c>
      <c r="E9771" t="s">
        <v>364</v>
      </c>
      <c r="F9771" t="s">
        <v>693</v>
      </c>
      <c r="G9771">
        <v>248000</v>
      </c>
      <c r="H9771">
        <v>251000</v>
      </c>
    </row>
    <row r="9772" spans="2:8" x14ac:dyDescent="0.25">
      <c r="B9772" t="str">
        <f t="shared" si="152"/>
        <v>AREPopulation ages 05-09, male</v>
      </c>
      <c r="C9772" t="s">
        <v>661</v>
      </c>
      <c r="D9772" t="s">
        <v>2</v>
      </c>
      <c r="E9772" t="s">
        <v>365</v>
      </c>
      <c r="F9772" t="s">
        <v>694</v>
      </c>
      <c r="G9772">
        <v>257000</v>
      </c>
      <c r="H9772">
        <v>262000</v>
      </c>
    </row>
    <row r="9773" spans="2:8" x14ac:dyDescent="0.25">
      <c r="B9773" t="str">
        <f t="shared" si="152"/>
        <v>AREPopulation ages 10-14, female</v>
      </c>
      <c r="C9773" t="s">
        <v>661</v>
      </c>
      <c r="D9773" t="s">
        <v>2</v>
      </c>
      <c r="E9773" t="s">
        <v>366</v>
      </c>
      <c r="F9773" t="s">
        <v>695</v>
      </c>
      <c r="G9773">
        <v>214000</v>
      </c>
      <c r="H9773">
        <v>222000</v>
      </c>
    </row>
    <row r="9774" spans="2:8" x14ac:dyDescent="0.25">
      <c r="B9774" t="str">
        <f t="shared" si="152"/>
        <v>AREPopulation ages 10-14, male</v>
      </c>
      <c r="C9774" t="s">
        <v>661</v>
      </c>
      <c r="D9774" t="s">
        <v>2</v>
      </c>
      <c r="E9774" t="s">
        <v>367</v>
      </c>
      <c r="F9774" t="s">
        <v>696</v>
      </c>
      <c r="G9774">
        <v>218000</v>
      </c>
      <c r="H9774">
        <v>231000</v>
      </c>
    </row>
    <row r="9775" spans="2:8" x14ac:dyDescent="0.25">
      <c r="B9775" t="str">
        <f t="shared" si="152"/>
        <v>AREPopulation ages 15-19, female</v>
      </c>
      <c r="C9775" t="s">
        <v>661</v>
      </c>
      <c r="D9775" t="s">
        <v>2</v>
      </c>
      <c r="E9775" t="s">
        <v>368</v>
      </c>
      <c r="F9775" t="s">
        <v>697</v>
      </c>
      <c r="G9775">
        <v>186000</v>
      </c>
      <c r="H9775">
        <v>189000</v>
      </c>
    </row>
    <row r="9776" spans="2:8" x14ac:dyDescent="0.25">
      <c r="B9776" t="str">
        <f t="shared" si="152"/>
        <v>AREPopulation ages 15-19, male</v>
      </c>
      <c r="C9776" t="s">
        <v>661</v>
      </c>
      <c r="D9776" t="s">
        <v>2</v>
      </c>
      <c r="E9776" t="s">
        <v>369</v>
      </c>
      <c r="F9776" t="s">
        <v>698</v>
      </c>
      <c r="G9776">
        <v>216000</v>
      </c>
      <c r="H9776">
        <v>201000</v>
      </c>
    </row>
    <row r="9777" spans="2:8" x14ac:dyDescent="0.25">
      <c r="B9777" t="str">
        <f t="shared" si="152"/>
        <v>AREPopulation ages 20-24, female</v>
      </c>
      <c r="C9777" t="s">
        <v>661</v>
      </c>
      <c r="D9777" t="s">
        <v>2</v>
      </c>
      <c r="E9777" t="s">
        <v>370</v>
      </c>
      <c r="F9777" t="s">
        <v>699</v>
      </c>
      <c r="G9777">
        <v>233000</v>
      </c>
      <c r="H9777">
        <v>229000</v>
      </c>
    </row>
    <row r="9778" spans="2:8" x14ac:dyDescent="0.25">
      <c r="B9778" t="str">
        <f t="shared" si="152"/>
        <v>AREPopulation ages 20-24, male</v>
      </c>
      <c r="C9778" t="s">
        <v>661</v>
      </c>
      <c r="D9778" t="s">
        <v>2</v>
      </c>
      <c r="E9778" t="s">
        <v>371</v>
      </c>
      <c r="F9778" t="s">
        <v>700</v>
      </c>
      <c r="G9778">
        <v>514000</v>
      </c>
      <c r="H9778">
        <v>487000</v>
      </c>
    </row>
    <row r="9779" spans="2:8" x14ac:dyDescent="0.25">
      <c r="B9779" t="str">
        <f t="shared" si="152"/>
        <v>AREPopulation ages 25-29, female</v>
      </c>
      <c r="C9779" t="s">
        <v>661</v>
      </c>
      <c r="D9779" t="s">
        <v>2</v>
      </c>
      <c r="E9779" t="s">
        <v>372</v>
      </c>
      <c r="F9779" t="s">
        <v>701</v>
      </c>
      <c r="G9779">
        <v>358000</v>
      </c>
      <c r="H9779">
        <v>351000</v>
      </c>
    </row>
    <row r="9780" spans="2:8" x14ac:dyDescent="0.25">
      <c r="B9780" t="str">
        <f t="shared" si="152"/>
        <v>AREPopulation ages 25-29, male</v>
      </c>
      <c r="C9780" t="s">
        <v>661</v>
      </c>
      <c r="D9780" t="s">
        <v>2</v>
      </c>
      <c r="E9780" t="s">
        <v>373</v>
      </c>
      <c r="F9780" t="s">
        <v>702</v>
      </c>
      <c r="G9780">
        <v>1045000</v>
      </c>
      <c r="H9780">
        <v>1082000</v>
      </c>
    </row>
    <row r="9781" spans="2:8" x14ac:dyDescent="0.25">
      <c r="B9781" t="str">
        <f t="shared" si="152"/>
        <v>AREPopulation ages 30-34, female</v>
      </c>
      <c r="C9781" t="s">
        <v>661</v>
      </c>
      <c r="D9781" t="s">
        <v>2</v>
      </c>
      <c r="E9781" t="s">
        <v>374</v>
      </c>
      <c r="F9781" t="s">
        <v>703</v>
      </c>
      <c r="G9781">
        <v>461000</v>
      </c>
      <c r="H9781">
        <v>474000</v>
      </c>
    </row>
    <row r="9782" spans="2:8" x14ac:dyDescent="0.25">
      <c r="B9782" t="str">
        <f t="shared" si="152"/>
        <v>AREPopulation ages 30-34, male</v>
      </c>
      <c r="C9782" t="s">
        <v>661</v>
      </c>
      <c r="D9782" t="s">
        <v>2</v>
      </c>
      <c r="E9782" t="s">
        <v>375</v>
      </c>
      <c r="F9782" t="s">
        <v>704</v>
      </c>
      <c r="G9782">
        <v>1262000</v>
      </c>
      <c r="H9782">
        <v>1322000</v>
      </c>
    </row>
    <row r="9783" spans="2:8" x14ac:dyDescent="0.25">
      <c r="B9783" t="str">
        <f t="shared" si="152"/>
        <v>AREPopulation ages 35-39, female</v>
      </c>
      <c r="C9783" t="s">
        <v>661</v>
      </c>
      <c r="D9783" t="s">
        <v>2</v>
      </c>
      <c r="E9783" t="s">
        <v>376</v>
      </c>
      <c r="F9783" t="s">
        <v>705</v>
      </c>
      <c r="G9783">
        <v>384000</v>
      </c>
      <c r="H9783">
        <v>407000</v>
      </c>
    </row>
    <row r="9784" spans="2:8" x14ac:dyDescent="0.25">
      <c r="B9784" t="str">
        <f t="shared" si="152"/>
        <v>AREPopulation ages 35-39, male</v>
      </c>
      <c r="C9784" t="s">
        <v>661</v>
      </c>
      <c r="D9784" t="s">
        <v>2</v>
      </c>
      <c r="E9784" t="s">
        <v>377</v>
      </c>
      <c r="F9784" t="s">
        <v>706</v>
      </c>
      <c r="G9784">
        <v>964000</v>
      </c>
      <c r="H9784">
        <v>967000</v>
      </c>
    </row>
    <row r="9785" spans="2:8" x14ac:dyDescent="0.25">
      <c r="B9785" t="str">
        <f t="shared" si="152"/>
        <v>AREPopulation ages 40-44, female</v>
      </c>
      <c r="C9785" t="s">
        <v>661</v>
      </c>
      <c r="D9785" t="s">
        <v>2</v>
      </c>
      <c r="E9785" t="s">
        <v>378</v>
      </c>
      <c r="F9785" t="s">
        <v>707</v>
      </c>
      <c r="G9785">
        <v>235000</v>
      </c>
      <c r="H9785">
        <v>238000</v>
      </c>
    </row>
    <row r="9786" spans="2:8" x14ac:dyDescent="0.25">
      <c r="B9786" t="str">
        <f t="shared" si="152"/>
        <v>AREPopulation ages 40-44, male</v>
      </c>
      <c r="C9786" t="s">
        <v>661</v>
      </c>
      <c r="D9786" t="s">
        <v>2</v>
      </c>
      <c r="E9786" t="s">
        <v>379</v>
      </c>
      <c r="F9786" t="s">
        <v>708</v>
      </c>
      <c r="G9786">
        <v>713000</v>
      </c>
      <c r="H9786">
        <v>678000</v>
      </c>
    </row>
    <row r="9787" spans="2:8" x14ac:dyDescent="0.25">
      <c r="B9787" t="str">
        <f t="shared" si="152"/>
        <v>AREPopulation ages 45-49, female</v>
      </c>
      <c r="C9787" t="s">
        <v>661</v>
      </c>
      <c r="D9787" t="s">
        <v>2</v>
      </c>
      <c r="E9787" t="s">
        <v>380</v>
      </c>
      <c r="F9787" t="s">
        <v>709</v>
      </c>
      <c r="G9787">
        <v>162000</v>
      </c>
      <c r="H9787">
        <v>158000</v>
      </c>
    </row>
    <row r="9788" spans="2:8" x14ac:dyDescent="0.25">
      <c r="B9788" t="str">
        <f t="shared" si="152"/>
        <v>AREPopulation ages 45-49, male</v>
      </c>
      <c r="C9788" t="s">
        <v>661</v>
      </c>
      <c r="D9788" t="s">
        <v>2</v>
      </c>
      <c r="E9788" t="s">
        <v>381</v>
      </c>
      <c r="F9788" t="s">
        <v>710</v>
      </c>
      <c r="G9788">
        <v>545000</v>
      </c>
      <c r="H9788">
        <v>534000</v>
      </c>
    </row>
    <row r="9789" spans="2:8" x14ac:dyDescent="0.25">
      <c r="B9789" t="str">
        <f t="shared" si="152"/>
        <v>AREPopulation ages 50-54, female</v>
      </c>
      <c r="C9789" t="s">
        <v>661</v>
      </c>
      <c r="D9789" t="s">
        <v>2</v>
      </c>
      <c r="E9789" t="s">
        <v>382</v>
      </c>
      <c r="F9789" t="s">
        <v>711</v>
      </c>
      <c r="G9789">
        <v>120000</v>
      </c>
      <c r="H9789">
        <v>121000</v>
      </c>
    </row>
    <row r="9790" spans="2:8" x14ac:dyDescent="0.25">
      <c r="B9790" t="str">
        <f t="shared" si="152"/>
        <v>AREPopulation ages 50-54, male</v>
      </c>
      <c r="C9790" t="s">
        <v>661</v>
      </c>
      <c r="D9790" t="s">
        <v>2</v>
      </c>
      <c r="E9790" t="s">
        <v>383</v>
      </c>
      <c r="F9790" t="s">
        <v>712</v>
      </c>
      <c r="G9790">
        <v>333000</v>
      </c>
      <c r="H9790">
        <v>336000</v>
      </c>
    </row>
    <row r="9791" spans="2:8" x14ac:dyDescent="0.25">
      <c r="B9791" t="str">
        <f t="shared" si="152"/>
        <v>AREPopulation ages 55-59, male</v>
      </c>
      <c r="C9791" t="s">
        <v>661</v>
      </c>
      <c r="D9791" t="s">
        <v>2</v>
      </c>
      <c r="E9791" t="s">
        <v>385</v>
      </c>
      <c r="F9791" t="s">
        <v>713</v>
      </c>
      <c r="G9791">
        <v>246000</v>
      </c>
      <c r="H9791">
        <v>255000</v>
      </c>
    </row>
    <row r="9792" spans="2:8" x14ac:dyDescent="0.25">
      <c r="B9792" t="str">
        <f t="shared" si="152"/>
        <v>AREPopulation ages 55-59, female</v>
      </c>
      <c r="C9792" t="s">
        <v>661</v>
      </c>
      <c r="D9792" t="s">
        <v>2</v>
      </c>
      <c r="E9792" t="s">
        <v>384</v>
      </c>
      <c r="F9792" t="s">
        <v>714</v>
      </c>
      <c r="G9792">
        <v>79000</v>
      </c>
      <c r="H9792">
        <v>86000</v>
      </c>
    </row>
    <row r="9793" spans="2:8" x14ac:dyDescent="0.25">
      <c r="B9793" t="str">
        <f t="shared" si="152"/>
        <v>AREPopulation ages 65-69, male</v>
      </c>
      <c r="C9793" t="s">
        <v>661</v>
      </c>
      <c r="D9793" t="s">
        <v>2</v>
      </c>
      <c r="E9793" t="s">
        <v>389</v>
      </c>
      <c r="F9793" t="s">
        <v>715</v>
      </c>
      <c r="G9793">
        <v>31000</v>
      </c>
      <c r="H9793">
        <v>37000</v>
      </c>
    </row>
    <row r="9794" spans="2:8" x14ac:dyDescent="0.25">
      <c r="B9794" t="str">
        <f t="shared" si="152"/>
        <v>AREPopulation ages 65-69, female</v>
      </c>
      <c r="C9794" t="s">
        <v>661</v>
      </c>
      <c r="D9794" t="s">
        <v>2</v>
      </c>
      <c r="E9794" t="s">
        <v>388</v>
      </c>
      <c r="F9794" t="s">
        <v>716</v>
      </c>
      <c r="G9794">
        <v>18000</v>
      </c>
      <c r="H9794">
        <v>20000</v>
      </c>
    </row>
    <row r="9795" spans="2:8" x14ac:dyDescent="0.25">
      <c r="B9795" t="str">
        <f t="shared" si="152"/>
        <v>AREPopulation ages 60-64, female</v>
      </c>
      <c r="C9795" t="s">
        <v>661</v>
      </c>
      <c r="D9795" t="s">
        <v>2</v>
      </c>
      <c r="E9795" t="s">
        <v>386</v>
      </c>
      <c r="F9795" t="s">
        <v>717</v>
      </c>
      <c r="G9795">
        <v>37000</v>
      </c>
      <c r="H9795">
        <v>42000</v>
      </c>
    </row>
    <row r="9796" spans="2:8" x14ac:dyDescent="0.25">
      <c r="B9796" t="str">
        <f t="shared" si="152"/>
        <v>AREPopulation ages 60-64, male</v>
      </c>
      <c r="C9796" t="s">
        <v>661</v>
      </c>
      <c r="D9796" t="s">
        <v>2</v>
      </c>
      <c r="E9796" t="s">
        <v>387</v>
      </c>
      <c r="F9796" t="s">
        <v>718</v>
      </c>
      <c r="G9796">
        <v>124000</v>
      </c>
      <c r="H9796">
        <v>144000</v>
      </c>
    </row>
    <row r="9797" spans="2:8" x14ac:dyDescent="0.25">
      <c r="B9797" t="str">
        <f t="shared" si="152"/>
        <v>AREPopulation ages 70-74, female</v>
      </c>
      <c r="C9797" t="s">
        <v>661</v>
      </c>
      <c r="D9797" t="s">
        <v>2</v>
      </c>
      <c r="E9797" t="s">
        <v>390</v>
      </c>
      <c r="F9797" t="s">
        <v>719</v>
      </c>
      <c r="G9797">
        <v>11000</v>
      </c>
      <c r="H9797">
        <v>12000</v>
      </c>
    </row>
    <row r="9798" spans="2:8" x14ac:dyDescent="0.25">
      <c r="B9798" t="str">
        <f t="shared" si="152"/>
        <v>AREPopulation ages 70-74, male</v>
      </c>
      <c r="C9798" t="s">
        <v>661</v>
      </c>
      <c r="D9798" t="s">
        <v>2</v>
      </c>
      <c r="E9798" t="s">
        <v>391</v>
      </c>
      <c r="F9798" t="s">
        <v>720</v>
      </c>
      <c r="G9798">
        <v>24000</v>
      </c>
      <c r="H9798">
        <v>24000</v>
      </c>
    </row>
    <row r="9799" spans="2:8" x14ac:dyDescent="0.25">
      <c r="B9799" t="str">
        <f t="shared" ref="B9799:B9862" si="153">CONCATENATE(D9799,E9799)</f>
        <v>AREPopulation ages 75-79, female</v>
      </c>
      <c r="C9799" t="s">
        <v>661</v>
      </c>
      <c r="D9799" t="s">
        <v>2</v>
      </c>
      <c r="E9799" t="s">
        <v>392</v>
      </c>
      <c r="F9799" t="s">
        <v>721</v>
      </c>
      <c r="G9799">
        <v>4400</v>
      </c>
      <c r="H9799">
        <v>5000</v>
      </c>
    </row>
    <row r="9800" spans="2:8" x14ac:dyDescent="0.25">
      <c r="B9800" t="str">
        <f t="shared" si="153"/>
        <v>AREPopulation ages 75-79, male</v>
      </c>
      <c r="C9800" t="s">
        <v>661</v>
      </c>
      <c r="D9800" t="s">
        <v>2</v>
      </c>
      <c r="E9800" t="s">
        <v>393</v>
      </c>
      <c r="F9800" t="s">
        <v>722</v>
      </c>
      <c r="G9800">
        <v>13000</v>
      </c>
      <c r="H9800">
        <v>15000</v>
      </c>
    </row>
    <row r="9801" spans="2:8" x14ac:dyDescent="0.25">
      <c r="B9801" t="str">
        <f t="shared" si="153"/>
        <v>AREPopulation ages 80 and above, female</v>
      </c>
      <c r="C9801" t="s">
        <v>661</v>
      </c>
      <c r="D9801" t="s">
        <v>2</v>
      </c>
      <c r="E9801" t="s">
        <v>394</v>
      </c>
      <c r="F9801" t="s">
        <v>723</v>
      </c>
      <c r="G9801">
        <v>4900</v>
      </c>
      <c r="H9801">
        <v>5000</v>
      </c>
    </row>
    <row r="9802" spans="2:8" x14ac:dyDescent="0.25">
      <c r="B9802" t="str">
        <f t="shared" si="153"/>
        <v>AREPopulation ages 80 and above, male</v>
      </c>
      <c r="C9802" t="s">
        <v>661</v>
      </c>
      <c r="D9802" t="s">
        <v>2</v>
      </c>
      <c r="E9802" t="s">
        <v>395</v>
      </c>
      <c r="F9802" t="s">
        <v>724</v>
      </c>
      <c r="G9802">
        <v>6800</v>
      </c>
      <c r="H9802">
        <v>7500</v>
      </c>
    </row>
    <row r="9803" spans="2:8" x14ac:dyDescent="0.25">
      <c r="B9803" t="str">
        <f t="shared" si="153"/>
        <v>AREPopulation, male</v>
      </c>
      <c r="C9803" t="s">
        <v>661</v>
      </c>
      <c r="D9803" t="s">
        <v>2</v>
      </c>
      <c r="E9803" t="s">
        <v>397</v>
      </c>
      <c r="F9803" t="s">
        <v>725</v>
      </c>
      <c r="G9803">
        <v>6767000</v>
      </c>
      <c r="H9803">
        <v>6836000</v>
      </c>
    </row>
    <row r="9804" spans="2:8" x14ac:dyDescent="0.25">
      <c r="B9804" t="str">
        <f t="shared" si="153"/>
        <v>AREPopulation, total</v>
      </c>
      <c r="C9804" t="s">
        <v>661</v>
      </c>
      <c r="D9804" t="s">
        <v>2</v>
      </c>
      <c r="E9804" t="s">
        <v>398</v>
      </c>
      <c r="F9804" t="s">
        <v>726</v>
      </c>
      <c r="G9804">
        <v>9771000</v>
      </c>
      <c r="H9804">
        <v>9890000</v>
      </c>
    </row>
    <row r="9805" spans="2:8" x14ac:dyDescent="0.25">
      <c r="B9805" t="str">
        <f t="shared" si="153"/>
        <v>AREPopulation, female</v>
      </c>
      <c r="C9805" t="s">
        <v>661</v>
      </c>
      <c r="D9805" t="s">
        <v>2</v>
      </c>
      <c r="E9805" t="s">
        <v>396</v>
      </c>
      <c r="F9805" t="s">
        <v>727</v>
      </c>
      <c r="G9805">
        <v>3004000</v>
      </c>
      <c r="H9805">
        <v>3054000</v>
      </c>
    </row>
    <row r="9806" spans="2:8" x14ac:dyDescent="0.25">
      <c r="B9806" t="str">
        <f t="shared" si="153"/>
        <v>AREPopulation growth (annual %)</v>
      </c>
      <c r="C9806" t="s">
        <v>661</v>
      </c>
      <c r="D9806" t="s">
        <v>2</v>
      </c>
      <c r="E9806" t="s">
        <v>399</v>
      </c>
      <c r="F9806" t="s">
        <v>728</v>
      </c>
      <c r="G9806">
        <v>0</v>
      </c>
      <c r="H9806">
        <v>0</v>
      </c>
    </row>
    <row r="9807" spans="2:8" x14ac:dyDescent="0.25">
      <c r="B9807" t="str">
        <f t="shared" si="153"/>
        <v>GBRPopulation ages 0-14, female</v>
      </c>
      <c r="C9807" t="s">
        <v>662</v>
      </c>
      <c r="D9807" t="s">
        <v>47</v>
      </c>
      <c r="E9807" t="s">
        <v>687</v>
      </c>
      <c r="F9807" t="s">
        <v>688</v>
      </c>
      <c r="G9807">
        <v>5778000</v>
      </c>
      <c r="H9807">
        <v>5803000</v>
      </c>
    </row>
    <row r="9808" spans="2:8" x14ac:dyDescent="0.25">
      <c r="B9808" t="str">
        <f t="shared" si="153"/>
        <v>GBRPopulation ages 0-14, male</v>
      </c>
      <c r="C9808" t="s">
        <v>662</v>
      </c>
      <c r="D9808" t="s">
        <v>47</v>
      </c>
      <c r="E9808" t="s">
        <v>689</v>
      </c>
      <c r="F9808" t="s">
        <v>690</v>
      </c>
      <c r="G9808">
        <v>6053000</v>
      </c>
      <c r="H9808">
        <v>6080000</v>
      </c>
    </row>
    <row r="9809" spans="2:8" x14ac:dyDescent="0.25">
      <c r="B9809" t="str">
        <f t="shared" si="153"/>
        <v>GBRPopulation ages 00-04, female</v>
      </c>
      <c r="C9809" t="s">
        <v>662</v>
      </c>
      <c r="D9809" t="s">
        <v>47</v>
      </c>
      <c r="E9809" t="s">
        <v>362</v>
      </c>
      <c r="F9809" t="s">
        <v>691</v>
      </c>
      <c r="G9809">
        <v>1909000</v>
      </c>
      <c r="H9809">
        <v>1896000</v>
      </c>
    </row>
    <row r="9810" spans="2:8" x14ac:dyDescent="0.25">
      <c r="B9810" t="str">
        <f t="shared" si="153"/>
        <v>GBRPopulation ages 00-04, male</v>
      </c>
      <c r="C9810" t="s">
        <v>662</v>
      </c>
      <c r="D9810" t="s">
        <v>47</v>
      </c>
      <c r="E9810" t="s">
        <v>363</v>
      </c>
      <c r="F9810" t="s">
        <v>692</v>
      </c>
      <c r="G9810">
        <v>2003000</v>
      </c>
      <c r="H9810">
        <v>1990000</v>
      </c>
    </row>
    <row r="9811" spans="2:8" x14ac:dyDescent="0.25">
      <c r="B9811" t="str">
        <f t="shared" si="153"/>
        <v>GBRPopulation ages 05-09, female</v>
      </c>
      <c r="C9811" t="s">
        <v>662</v>
      </c>
      <c r="D9811" t="s">
        <v>47</v>
      </c>
      <c r="E9811" t="s">
        <v>364</v>
      </c>
      <c r="F9811" t="s">
        <v>693</v>
      </c>
      <c r="G9811">
        <v>1989000</v>
      </c>
      <c r="H9811">
        <v>1991000</v>
      </c>
    </row>
    <row r="9812" spans="2:8" x14ac:dyDescent="0.25">
      <c r="B9812" t="str">
        <f t="shared" si="153"/>
        <v>GBRPopulation ages 05-09, male</v>
      </c>
      <c r="C9812" t="s">
        <v>662</v>
      </c>
      <c r="D9812" t="s">
        <v>47</v>
      </c>
      <c r="E9812" t="s">
        <v>365</v>
      </c>
      <c r="F9812" t="s">
        <v>694</v>
      </c>
      <c r="G9812">
        <v>2084000</v>
      </c>
      <c r="H9812">
        <v>2088000</v>
      </c>
    </row>
    <row r="9813" spans="2:8" x14ac:dyDescent="0.25">
      <c r="B9813" t="str">
        <f t="shared" si="153"/>
        <v>GBRPopulation ages 10-14, female</v>
      </c>
      <c r="C9813" t="s">
        <v>662</v>
      </c>
      <c r="D9813" t="s">
        <v>47</v>
      </c>
      <c r="E9813" t="s">
        <v>366</v>
      </c>
      <c r="F9813" t="s">
        <v>695</v>
      </c>
      <c r="G9813">
        <v>1880000</v>
      </c>
      <c r="H9813">
        <v>1915000</v>
      </c>
    </row>
    <row r="9814" spans="2:8" x14ac:dyDescent="0.25">
      <c r="B9814" t="str">
        <f t="shared" si="153"/>
        <v>GBRPopulation ages 10-14, male</v>
      </c>
      <c r="C9814" t="s">
        <v>662</v>
      </c>
      <c r="D9814" t="s">
        <v>47</v>
      </c>
      <c r="E9814" t="s">
        <v>367</v>
      </c>
      <c r="F9814" t="s">
        <v>696</v>
      </c>
      <c r="G9814">
        <v>1966000</v>
      </c>
      <c r="H9814">
        <v>2003000</v>
      </c>
    </row>
    <row r="9815" spans="2:8" x14ac:dyDescent="0.25">
      <c r="B9815" t="str">
        <f t="shared" si="153"/>
        <v>GBRPopulation ages 15-19, female</v>
      </c>
      <c r="C9815" t="s">
        <v>662</v>
      </c>
      <c r="D9815" t="s">
        <v>47</v>
      </c>
      <c r="E9815" t="s">
        <v>368</v>
      </c>
      <c r="F9815" t="s">
        <v>697</v>
      </c>
      <c r="G9815">
        <v>1787000</v>
      </c>
      <c r="H9815">
        <v>1788000</v>
      </c>
    </row>
    <row r="9816" spans="2:8" x14ac:dyDescent="0.25">
      <c r="B9816" t="str">
        <f t="shared" si="153"/>
        <v>GBRPopulation ages 15-19, male</v>
      </c>
      <c r="C9816" t="s">
        <v>662</v>
      </c>
      <c r="D9816" t="s">
        <v>47</v>
      </c>
      <c r="E9816" t="s">
        <v>369</v>
      </c>
      <c r="F9816" t="s">
        <v>698</v>
      </c>
      <c r="G9816">
        <v>1861000</v>
      </c>
      <c r="H9816">
        <v>1862000</v>
      </c>
    </row>
    <row r="9817" spans="2:8" x14ac:dyDescent="0.25">
      <c r="B9817" t="str">
        <f t="shared" si="153"/>
        <v>GBRPopulation ages 20-24, female</v>
      </c>
      <c r="C9817" t="s">
        <v>662</v>
      </c>
      <c r="D9817" t="s">
        <v>47</v>
      </c>
      <c r="E9817" t="s">
        <v>370</v>
      </c>
      <c r="F9817" t="s">
        <v>699</v>
      </c>
      <c r="G9817">
        <v>2003000</v>
      </c>
      <c r="H9817">
        <v>1982000</v>
      </c>
    </row>
    <row r="9818" spans="2:8" x14ac:dyDescent="0.25">
      <c r="B9818" t="str">
        <f t="shared" si="153"/>
        <v>GBRPopulation ages 20-24, male</v>
      </c>
      <c r="C9818" t="s">
        <v>662</v>
      </c>
      <c r="D9818" t="s">
        <v>47</v>
      </c>
      <c r="E9818" t="s">
        <v>371</v>
      </c>
      <c r="F9818" t="s">
        <v>700</v>
      </c>
      <c r="G9818">
        <v>2076000</v>
      </c>
      <c r="H9818">
        <v>2052000</v>
      </c>
    </row>
    <row r="9819" spans="2:8" x14ac:dyDescent="0.25">
      <c r="B9819" t="str">
        <f t="shared" si="153"/>
        <v>GBRPopulation ages 25-29, female</v>
      </c>
      <c r="C9819" t="s">
        <v>662</v>
      </c>
      <c r="D9819" t="s">
        <v>47</v>
      </c>
      <c r="E9819" t="s">
        <v>372</v>
      </c>
      <c r="F9819" t="s">
        <v>701</v>
      </c>
      <c r="G9819">
        <v>2203000</v>
      </c>
      <c r="H9819">
        <v>2187000</v>
      </c>
    </row>
    <row r="9820" spans="2:8" x14ac:dyDescent="0.25">
      <c r="B9820" t="str">
        <f t="shared" si="153"/>
        <v>GBRPopulation ages 25-29, male</v>
      </c>
      <c r="C9820" t="s">
        <v>662</v>
      </c>
      <c r="D9820" t="s">
        <v>47</v>
      </c>
      <c r="E9820" t="s">
        <v>373</v>
      </c>
      <c r="F9820" t="s">
        <v>702</v>
      </c>
      <c r="G9820">
        <v>2263000</v>
      </c>
      <c r="H9820">
        <v>2253000</v>
      </c>
    </row>
    <row r="9821" spans="2:8" x14ac:dyDescent="0.25">
      <c r="B9821" t="str">
        <f t="shared" si="153"/>
        <v>GBRPopulation ages 30-34, female</v>
      </c>
      <c r="C9821" t="s">
        <v>662</v>
      </c>
      <c r="D9821" t="s">
        <v>47</v>
      </c>
      <c r="E9821" t="s">
        <v>374</v>
      </c>
      <c r="F9821" t="s">
        <v>703</v>
      </c>
      <c r="G9821">
        <v>2316000</v>
      </c>
      <c r="H9821">
        <v>2323000</v>
      </c>
    </row>
    <row r="9822" spans="2:8" x14ac:dyDescent="0.25">
      <c r="B9822" t="str">
        <f t="shared" si="153"/>
        <v>GBRPopulation ages 30-34, male</v>
      </c>
      <c r="C9822" t="s">
        <v>662</v>
      </c>
      <c r="D9822" t="s">
        <v>47</v>
      </c>
      <c r="E9822" t="s">
        <v>375</v>
      </c>
      <c r="F9822" t="s">
        <v>704</v>
      </c>
      <c r="G9822">
        <v>2321000</v>
      </c>
      <c r="H9822">
        <v>2338000</v>
      </c>
    </row>
    <row r="9823" spans="2:8" x14ac:dyDescent="0.25">
      <c r="B9823" t="str">
        <f t="shared" si="153"/>
        <v>GBRPopulation ages 35-39, female</v>
      </c>
      <c r="C9823" t="s">
        <v>662</v>
      </c>
      <c r="D9823" t="s">
        <v>47</v>
      </c>
      <c r="E9823" t="s">
        <v>376</v>
      </c>
      <c r="F9823" t="s">
        <v>705</v>
      </c>
      <c r="G9823">
        <v>2251000</v>
      </c>
      <c r="H9823">
        <v>2286000</v>
      </c>
    </row>
    <row r="9824" spans="2:8" x14ac:dyDescent="0.25">
      <c r="B9824" t="str">
        <f t="shared" si="153"/>
        <v>GBRPopulation ages 35-39, male</v>
      </c>
      <c r="C9824" t="s">
        <v>662</v>
      </c>
      <c r="D9824" t="s">
        <v>47</v>
      </c>
      <c r="E9824" t="s">
        <v>377</v>
      </c>
      <c r="F9824" t="s">
        <v>706</v>
      </c>
      <c r="G9824">
        <v>2223000</v>
      </c>
      <c r="H9824">
        <v>2258000</v>
      </c>
    </row>
    <row r="9825" spans="2:8" x14ac:dyDescent="0.25">
      <c r="B9825" t="str">
        <f t="shared" si="153"/>
        <v>GBRPopulation ages 40-44, female</v>
      </c>
      <c r="C9825" t="s">
        <v>662</v>
      </c>
      <c r="D9825" t="s">
        <v>47</v>
      </c>
      <c r="E9825" t="s">
        <v>378</v>
      </c>
      <c r="F9825" t="s">
        <v>707</v>
      </c>
      <c r="G9825">
        <v>2120000</v>
      </c>
      <c r="H9825">
        <v>2139000</v>
      </c>
    </row>
    <row r="9826" spans="2:8" x14ac:dyDescent="0.25">
      <c r="B9826" t="str">
        <f t="shared" si="153"/>
        <v>GBRPopulation ages 40-44, male</v>
      </c>
      <c r="C9826" t="s">
        <v>662</v>
      </c>
      <c r="D9826" t="s">
        <v>47</v>
      </c>
      <c r="E9826" t="s">
        <v>379</v>
      </c>
      <c r="F9826" t="s">
        <v>708</v>
      </c>
      <c r="G9826">
        <v>2108000</v>
      </c>
      <c r="H9826">
        <v>2127000</v>
      </c>
    </row>
    <row r="9827" spans="2:8" x14ac:dyDescent="0.25">
      <c r="B9827" t="str">
        <f t="shared" si="153"/>
        <v>GBRPopulation ages 45-49, female</v>
      </c>
      <c r="C9827" t="s">
        <v>662</v>
      </c>
      <c r="D9827" t="s">
        <v>47</v>
      </c>
      <c r="E9827" t="s">
        <v>380</v>
      </c>
      <c r="F9827" t="s">
        <v>709</v>
      </c>
      <c r="G9827">
        <v>2178000</v>
      </c>
      <c r="H9827">
        <v>2147000</v>
      </c>
    </row>
    <row r="9828" spans="2:8" x14ac:dyDescent="0.25">
      <c r="B9828" t="str">
        <f t="shared" si="153"/>
        <v>GBRPopulation ages 45-49, male</v>
      </c>
      <c r="C9828" t="s">
        <v>662</v>
      </c>
      <c r="D9828" t="s">
        <v>47</v>
      </c>
      <c r="E9828" t="s">
        <v>381</v>
      </c>
      <c r="F9828" t="s">
        <v>710</v>
      </c>
      <c r="G9828">
        <v>2133000</v>
      </c>
      <c r="H9828">
        <v>2108000</v>
      </c>
    </row>
    <row r="9829" spans="2:8" x14ac:dyDescent="0.25">
      <c r="B9829" t="str">
        <f t="shared" si="153"/>
        <v>GBRPopulation ages 50-54, female</v>
      </c>
      <c r="C9829" t="s">
        <v>662</v>
      </c>
      <c r="D9829" t="s">
        <v>47</v>
      </c>
      <c r="E9829" t="s">
        <v>382</v>
      </c>
      <c r="F9829" t="s">
        <v>711</v>
      </c>
      <c r="G9829">
        <v>2350000</v>
      </c>
      <c r="H9829">
        <v>2330000</v>
      </c>
    </row>
    <row r="9830" spans="2:8" x14ac:dyDescent="0.25">
      <c r="B9830" t="str">
        <f t="shared" si="153"/>
        <v>GBRPopulation ages 50-54, male</v>
      </c>
      <c r="C9830" t="s">
        <v>662</v>
      </c>
      <c r="D9830" t="s">
        <v>47</v>
      </c>
      <c r="E9830" t="s">
        <v>383</v>
      </c>
      <c r="F9830" t="s">
        <v>712</v>
      </c>
      <c r="G9830">
        <v>2278000</v>
      </c>
      <c r="H9830">
        <v>2259000</v>
      </c>
    </row>
    <row r="9831" spans="2:8" x14ac:dyDescent="0.25">
      <c r="B9831" t="str">
        <f t="shared" si="153"/>
        <v>GBRPopulation ages 55-59, male</v>
      </c>
      <c r="C9831" t="s">
        <v>662</v>
      </c>
      <c r="D9831" t="s">
        <v>47</v>
      </c>
      <c r="E9831" t="s">
        <v>385</v>
      </c>
      <c r="F9831" t="s">
        <v>713</v>
      </c>
      <c r="G9831">
        <v>2175000</v>
      </c>
      <c r="H9831">
        <v>2211000</v>
      </c>
    </row>
    <row r="9832" spans="2:8" x14ac:dyDescent="0.25">
      <c r="B9832" t="str">
        <f t="shared" si="153"/>
        <v>GBRPopulation ages 55-59, female</v>
      </c>
      <c r="C9832" t="s">
        <v>662</v>
      </c>
      <c r="D9832" t="s">
        <v>47</v>
      </c>
      <c r="E9832" t="s">
        <v>384</v>
      </c>
      <c r="F9832" t="s">
        <v>714</v>
      </c>
      <c r="G9832">
        <v>2244000</v>
      </c>
      <c r="H9832">
        <v>2284000</v>
      </c>
    </row>
    <row r="9833" spans="2:8" x14ac:dyDescent="0.25">
      <c r="B9833" t="str">
        <f t="shared" si="153"/>
        <v>GBRPopulation ages 65-69, male</v>
      </c>
      <c r="C9833" t="s">
        <v>662</v>
      </c>
      <c r="D9833" t="s">
        <v>47</v>
      </c>
      <c r="E9833" t="s">
        <v>389</v>
      </c>
      <c r="F9833" t="s">
        <v>715</v>
      </c>
      <c r="G9833">
        <v>1642000</v>
      </c>
      <c r="H9833">
        <v>1631000</v>
      </c>
    </row>
    <row r="9834" spans="2:8" x14ac:dyDescent="0.25">
      <c r="B9834" t="str">
        <f t="shared" si="153"/>
        <v>GBRPopulation ages 65-69, female</v>
      </c>
      <c r="C9834" t="s">
        <v>662</v>
      </c>
      <c r="D9834" t="s">
        <v>47</v>
      </c>
      <c r="E9834" t="s">
        <v>388</v>
      </c>
      <c r="F9834" t="s">
        <v>716</v>
      </c>
      <c r="G9834">
        <v>1731000</v>
      </c>
      <c r="H9834">
        <v>1717000</v>
      </c>
    </row>
    <row r="9835" spans="2:8" x14ac:dyDescent="0.25">
      <c r="B9835" t="str">
        <f t="shared" si="153"/>
        <v>GBRPopulation ages 60-64, female</v>
      </c>
      <c r="C9835" t="s">
        <v>662</v>
      </c>
      <c r="D9835" t="s">
        <v>47</v>
      </c>
      <c r="E9835" t="s">
        <v>386</v>
      </c>
      <c r="F9835" t="s">
        <v>717</v>
      </c>
      <c r="G9835">
        <v>1912000</v>
      </c>
      <c r="H9835">
        <v>1966000</v>
      </c>
    </row>
    <row r="9836" spans="2:8" x14ac:dyDescent="0.25">
      <c r="B9836" t="str">
        <f t="shared" si="153"/>
        <v>GBRPopulation ages 60-64, male</v>
      </c>
      <c r="C9836" t="s">
        <v>662</v>
      </c>
      <c r="D9836" t="s">
        <v>47</v>
      </c>
      <c r="E9836" t="s">
        <v>387</v>
      </c>
      <c r="F9836" t="s">
        <v>718</v>
      </c>
      <c r="G9836">
        <v>1850000</v>
      </c>
      <c r="H9836">
        <v>1901000</v>
      </c>
    </row>
    <row r="9837" spans="2:8" x14ac:dyDescent="0.25">
      <c r="B9837" t="str">
        <f t="shared" si="153"/>
        <v>GBRPopulation ages 70-74, female</v>
      </c>
      <c r="C9837" t="s">
        <v>662</v>
      </c>
      <c r="D9837" t="s">
        <v>47</v>
      </c>
      <c r="E9837" t="s">
        <v>390</v>
      </c>
      <c r="F9837" t="s">
        <v>719</v>
      </c>
      <c r="G9837">
        <v>1717000</v>
      </c>
      <c r="H9837">
        <v>1747000</v>
      </c>
    </row>
    <row r="9838" spans="2:8" x14ac:dyDescent="0.25">
      <c r="B9838" t="str">
        <f t="shared" si="153"/>
        <v>GBRPopulation ages 70-74, male</v>
      </c>
      <c r="C9838" t="s">
        <v>662</v>
      </c>
      <c r="D9838" t="s">
        <v>47</v>
      </c>
      <c r="E9838" t="s">
        <v>391</v>
      </c>
      <c r="F9838" t="s">
        <v>720</v>
      </c>
      <c r="G9838">
        <v>1580000</v>
      </c>
      <c r="H9838">
        <v>1609000</v>
      </c>
    </row>
    <row r="9839" spans="2:8" x14ac:dyDescent="0.25">
      <c r="B9839" t="str">
        <f t="shared" si="153"/>
        <v>GBRPopulation ages 75-79, female</v>
      </c>
      <c r="C9839" t="s">
        <v>662</v>
      </c>
      <c r="D9839" t="s">
        <v>47</v>
      </c>
      <c r="E9839" t="s">
        <v>392</v>
      </c>
      <c r="F9839" t="s">
        <v>721</v>
      </c>
      <c r="G9839">
        <v>1243000</v>
      </c>
      <c r="H9839">
        <v>1292000</v>
      </c>
    </row>
    <row r="9840" spans="2:8" x14ac:dyDescent="0.25">
      <c r="B9840" t="str">
        <f t="shared" si="153"/>
        <v>GBRPopulation ages 75-79, male</v>
      </c>
      <c r="C9840" t="s">
        <v>662</v>
      </c>
      <c r="D9840" t="s">
        <v>47</v>
      </c>
      <c r="E9840" t="s">
        <v>393</v>
      </c>
      <c r="F9840" t="s">
        <v>722</v>
      </c>
      <c r="G9840">
        <v>1078000</v>
      </c>
      <c r="H9840">
        <v>1126000</v>
      </c>
    </row>
    <row r="9841" spans="2:8" x14ac:dyDescent="0.25">
      <c r="B9841" t="str">
        <f t="shared" si="153"/>
        <v>GBRPopulation ages 80 and above, female</v>
      </c>
      <c r="C9841" t="s">
        <v>662</v>
      </c>
      <c r="D9841" t="s">
        <v>47</v>
      </c>
      <c r="E9841" t="s">
        <v>394</v>
      </c>
      <c r="F9841" t="s">
        <v>723</v>
      </c>
      <c r="G9841">
        <v>2004000</v>
      </c>
      <c r="H9841">
        <v>2018000</v>
      </c>
    </row>
    <row r="9842" spans="2:8" x14ac:dyDescent="0.25">
      <c r="B9842" t="str">
        <f t="shared" si="153"/>
        <v>GBRPopulation ages 80 and above, male</v>
      </c>
      <c r="C9842" t="s">
        <v>662</v>
      </c>
      <c r="D9842" t="s">
        <v>47</v>
      </c>
      <c r="E9842" t="s">
        <v>395</v>
      </c>
      <c r="F9842" t="s">
        <v>724</v>
      </c>
      <c r="G9842">
        <v>1380000</v>
      </c>
      <c r="H9842">
        <v>1399000</v>
      </c>
    </row>
    <row r="9843" spans="2:8" x14ac:dyDescent="0.25">
      <c r="B9843" t="str">
        <f t="shared" si="153"/>
        <v>GBRPopulation, male</v>
      </c>
      <c r="C9843" t="s">
        <v>662</v>
      </c>
      <c r="D9843" t="s">
        <v>47</v>
      </c>
      <c r="E9843" t="s">
        <v>397</v>
      </c>
      <c r="F9843" t="s">
        <v>725</v>
      </c>
      <c r="G9843">
        <v>33019000</v>
      </c>
      <c r="H9843">
        <v>33215000</v>
      </c>
    </row>
    <row r="9844" spans="2:8" x14ac:dyDescent="0.25">
      <c r="B9844" t="str">
        <f t="shared" si="153"/>
        <v>GBRPopulation, total</v>
      </c>
      <c r="C9844" t="s">
        <v>662</v>
      </c>
      <c r="D9844" t="s">
        <v>47</v>
      </c>
      <c r="E9844" t="s">
        <v>398</v>
      </c>
      <c r="F9844" t="s">
        <v>726</v>
      </c>
      <c r="G9844">
        <v>66856000</v>
      </c>
      <c r="H9844">
        <v>67224000</v>
      </c>
    </row>
    <row r="9845" spans="2:8" x14ac:dyDescent="0.25">
      <c r="B9845" t="str">
        <f t="shared" si="153"/>
        <v>GBRPopulation, female</v>
      </c>
      <c r="C9845" t="s">
        <v>662</v>
      </c>
      <c r="D9845" t="s">
        <v>47</v>
      </c>
      <c r="E9845" t="s">
        <v>396</v>
      </c>
      <c r="F9845" t="s">
        <v>727</v>
      </c>
      <c r="G9845">
        <v>33838000</v>
      </c>
      <c r="H9845">
        <v>34008000</v>
      </c>
    </row>
    <row r="9846" spans="2:8" x14ac:dyDescent="0.25">
      <c r="B9846" t="str">
        <f t="shared" si="153"/>
        <v>GBRPopulation growth (annual %)</v>
      </c>
      <c r="C9846" t="s">
        <v>662</v>
      </c>
      <c r="D9846" t="s">
        <v>47</v>
      </c>
      <c r="E9846" t="s">
        <v>399</v>
      </c>
      <c r="F9846" t="s">
        <v>728</v>
      </c>
      <c r="G9846">
        <v>0</v>
      </c>
      <c r="H9846">
        <v>0</v>
      </c>
    </row>
    <row r="9847" spans="2:8" x14ac:dyDescent="0.25">
      <c r="B9847" t="str">
        <f t="shared" si="153"/>
        <v>USAPopulation ages 0-14, female</v>
      </c>
      <c r="C9847" t="s">
        <v>663</v>
      </c>
      <c r="D9847" t="s">
        <v>149</v>
      </c>
      <c r="E9847" t="s">
        <v>687</v>
      </c>
      <c r="F9847" t="s">
        <v>688</v>
      </c>
      <c r="G9847">
        <v>29886000</v>
      </c>
      <c r="H9847">
        <v>29814000</v>
      </c>
    </row>
    <row r="9848" spans="2:8" x14ac:dyDescent="0.25">
      <c r="B9848" t="str">
        <f t="shared" si="153"/>
        <v>USAPopulation ages 0-14, male</v>
      </c>
      <c r="C9848" t="s">
        <v>663</v>
      </c>
      <c r="D9848" t="s">
        <v>149</v>
      </c>
      <c r="E9848" t="s">
        <v>689</v>
      </c>
      <c r="F9848" t="s">
        <v>690</v>
      </c>
      <c r="G9848">
        <v>31241000</v>
      </c>
      <c r="H9848">
        <v>31165000</v>
      </c>
    </row>
    <row r="9849" spans="2:8" x14ac:dyDescent="0.25">
      <c r="B9849" t="str">
        <f t="shared" si="153"/>
        <v>USAPopulation ages 00-04, female</v>
      </c>
      <c r="C9849" t="s">
        <v>663</v>
      </c>
      <c r="D9849" t="s">
        <v>149</v>
      </c>
      <c r="E9849" t="s">
        <v>362</v>
      </c>
      <c r="F9849" t="s">
        <v>691</v>
      </c>
      <c r="G9849">
        <v>9599000</v>
      </c>
      <c r="H9849">
        <v>9648000</v>
      </c>
    </row>
    <row r="9850" spans="2:8" x14ac:dyDescent="0.25">
      <c r="B9850" t="str">
        <f t="shared" si="153"/>
        <v>USAPopulation ages 00-04, male</v>
      </c>
      <c r="C9850" t="s">
        <v>663</v>
      </c>
      <c r="D9850" t="s">
        <v>149</v>
      </c>
      <c r="E9850" t="s">
        <v>363</v>
      </c>
      <c r="F9850" t="s">
        <v>692</v>
      </c>
      <c r="G9850">
        <v>10034000</v>
      </c>
      <c r="H9850">
        <v>10083000</v>
      </c>
    </row>
    <row r="9851" spans="2:8" x14ac:dyDescent="0.25">
      <c r="B9851" t="str">
        <f t="shared" si="153"/>
        <v>USAPopulation ages 05-09, female</v>
      </c>
      <c r="C9851" t="s">
        <v>663</v>
      </c>
      <c r="D9851" t="s">
        <v>149</v>
      </c>
      <c r="E9851" t="s">
        <v>364</v>
      </c>
      <c r="F9851" t="s">
        <v>693</v>
      </c>
      <c r="G9851">
        <v>9931000</v>
      </c>
      <c r="H9851">
        <v>9826000</v>
      </c>
    </row>
    <row r="9852" spans="2:8" x14ac:dyDescent="0.25">
      <c r="B9852" t="str">
        <f t="shared" si="153"/>
        <v>USAPopulation ages 05-09, male</v>
      </c>
      <c r="C9852" t="s">
        <v>663</v>
      </c>
      <c r="D9852" t="s">
        <v>149</v>
      </c>
      <c r="E9852" t="s">
        <v>365</v>
      </c>
      <c r="F9852" t="s">
        <v>694</v>
      </c>
      <c r="G9852">
        <v>10386000</v>
      </c>
      <c r="H9852">
        <v>10275000</v>
      </c>
    </row>
    <row r="9853" spans="2:8" x14ac:dyDescent="0.25">
      <c r="B9853" t="str">
        <f t="shared" si="153"/>
        <v>USAPopulation ages 10-14, female</v>
      </c>
      <c r="C9853" t="s">
        <v>663</v>
      </c>
      <c r="D9853" t="s">
        <v>149</v>
      </c>
      <c r="E9853" t="s">
        <v>366</v>
      </c>
      <c r="F9853" t="s">
        <v>695</v>
      </c>
      <c r="G9853">
        <v>10356000</v>
      </c>
      <c r="H9853">
        <v>10340000</v>
      </c>
    </row>
    <row r="9854" spans="2:8" x14ac:dyDescent="0.25">
      <c r="B9854" t="str">
        <f t="shared" si="153"/>
        <v>USAPopulation ages 10-14, male</v>
      </c>
      <c r="C9854" t="s">
        <v>663</v>
      </c>
      <c r="D9854" t="s">
        <v>149</v>
      </c>
      <c r="E9854" t="s">
        <v>367</v>
      </c>
      <c r="F9854" t="s">
        <v>696</v>
      </c>
      <c r="G9854">
        <v>10821000</v>
      </c>
      <c r="H9854">
        <v>10807000</v>
      </c>
    </row>
    <row r="9855" spans="2:8" x14ac:dyDescent="0.25">
      <c r="B9855" t="str">
        <f t="shared" si="153"/>
        <v>USAPopulation ages 15-19, female</v>
      </c>
      <c r="C9855" t="s">
        <v>663</v>
      </c>
      <c r="D9855" t="s">
        <v>149</v>
      </c>
      <c r="E9855" t="s">
        <v>368</v>
      </c>
      <c r="F9855" t="s">
        <v>697</v>
      </c>
      <c r="G9855">
        <v>10428000</v>
      </c>
      <c r="H9855">
        <v>10437000</v>
      </c>
    </row>
    <row r="9856" spans="2:8" x14ac:dyDescent="0.25">
      <c r="B9856" t="str">
        <f t="shared" si="153"/>
        <v>USAPopulation ages 15-19, male</v>
      </c>
      <c r="C9856" t="s">
        <v>663</v>
      </c>
      <c r="D9856" t="s">
        <v>149</v>
      </c>
      <c r="E9856" t="s">
        <v>369</v>
      </c>
      <c r="F9856" t="s">
        <v>698</v>
      </c>
      <c r="G9856">
        <v>10853000</v>
      </c>
      <c r="H9856">
        <v>10864000</v>
      </c>
    </row>
    <row r="9857" spans="2:8" x14ac:dyDescent="0.25">
      <c r="B9857" t="str">
        <f t="shared" si="153"/>
        <v>USAPopulation ages 20-24, female</v>
      </c>
      <c r="C9857" t="s">
        <v>663</v>
      </c>
      <c r="D9857" t="s">
        <v>149</v>
      </c>
      <c r="E9857" t="s">
        <v>370</v>
      </c>
      <c r="F9857" t="s">
        <v>699</v>
      </c>
      <c r="G9857">
        <v>11028000</v>
      </c>
      <c r="H9857">
        <v>10966000</v>
      </c>
    </row>
    <row r="9858" spans="2:8" x14ac:dyDescent="0.25">
      <c r="B9858" t="str">
        <f t="shared" si="153"/>
        <v>USAPopulation ages 20-24, male</v>
      </c>
      <c r="C9858" t="s">
        <v>663</v>
      </c>
      <c r="D9858" t="s">
        <v>149</v>
      </c>
      <c r="E9858" t="s">
        <v>371</v>
      </c>
      <c r="F9858" t="s">
        <v>700</v>
      </c>
      <c r="G9858">
        <v>11440000</v>
      </c>
      <c r="H9858">
        <v>11354000</v>
      </c>
    </row>
    <row r="9859" spans="2:8" x14ac:dyDescent="0.25">
      <c r="B9859" t="str">
        <f t="shared" si="153"/>
        <v>USAPopulation ages 25-29, female</v>
      </c>
      <c r="C9859" t="s">
        <v>663</v>
      </c>
      <c r="D9859" t="s">
        <v>149</v>
      </c>
      <c r="E9859" t="s">
        <v>372</v>
      </c>
      <c r="F9859" t="s">
        <v>701</v>
      </c>
      <c r="G9859">
        <v>11655000</v>
      </c>
      <c r="H9859">
        <v>11723000</v>
      </c>
    </row>
    <row r="9860" spans="2:8" x14ac:dyDescent="0.25">
      <c r="B9860" t="str">
        <f t="shared" si="153"/>
        <v>USAPopulation ages 25-29, male</v>
      </c>
      <c r="C9860" t="s">
        <v>663</v>
      </c>
      <c r="D9860" t="s">
        <v>149</v>
      </c>
      <c r="E9860" t="s">
        <v>373</v>
      </c>
      <c r="F9860" t="s">
        <v>702</v>
      </c>
      <c r="G9860">
        <v>12122000</v>
      </c>
      <c r="H9860">
        <v>12178000</v>
      </c>
    </row>
    <row r="9861" spans="2:8" x14ac:dyDescent="0.25">
      <c r="B9861" t="str">
        <f t="shared" si="153"/>
        <v>USAPopulation ages 30-34, female</v>
      </c>
      <c r="C9861" t="s">
        <v>663</v>
      </c>
      <c r="D9861" t="s">
        <v>149</v>
      </c>
      <c r="E9861" t="s">
        <v>374</v>
      </c>
      <c r="F9861" t="s">
        <v>703</v>
      </c>
      <c r="G9861">
        <v>11207000</v>
      </c>
      <c r="H9861">
        <v>11381000</v>
      </c>
    </row>
    <row r="9862" spans="2:8" x14ac:dyDescent="0.25">
      <c r="B9862" t="str">
        <f t="shared" si="153"/>
        <v>USAPopulation ages 30-34, male</v>
      </c>
      <c r="C9862" t="s">
        <v>663</v>
      </c>
      <c r="D9862" t="s">
        <v>149</v>
      </c>
      <c r="E9862" t="s">
        <v>375</v>
      </c>
      <c r="F9862" t="s">
        <v>704</v>
      </c>
      <c r="G9862">
        <v>11528000</v>
      </c>
      <c r="H9862">
        <v>11735000</v>
      </c>
    </row>
    <row r="9863" spans="2:8" x14ac:dyDescent="0.25">
      <c r="B9863" t="str">
        <f t="shared" ref="B9863:B9926" si="154">CONCATENATE(D9863,E9863)</f>
        <v>USAPopulation ages 35-39, female</v>
      </c>
      <c r="C9863" t="s">
        <v>663</v>
      </c>
      <c r="D9863" t="s">
        <v>149</v>
      </c>
      <c r="E9863" t="s">
        <v>376</v>
      </c>
      <c r="F9863" t="s">
        <v>705</v>
      </c>
      <c r="G9863">
        <v>10619000</v>
      </c>
      <c r="H9863">
        <v>10787000</v>
      </c>
    </row>
    <row r="9864" spans="2:8" x14ac:dyDescent="0.25">
      <c r="B9864" t="str">
        <f t="shared" si="154"/>
        <v>USAPopulation ages 35-39, male</v>
      </c>
      <c r="C9864" t="s">
        <v>663</v>
      </c>
      <c r="D9864" t="s">
        <v>149</v>
      </c>
      <c r="E9864" t="s">
        <v>377</v>
      </c>
      <c r="F9864" t="s">
        <v>706</v>
      </c>
      <c r="G9864">
        <v>10688000</v>
      </c>
      <c r="H9864">
        <v>10889000</v>
      </c>
    </row>
    <row r="9865" spans="2:8" x14ac:dyDescent="0.25">
      <c r="B9865" t="str">
        <f t="shared" si="154"/>
        <v>USAPopulation ages 40-44, female</v>
      </c>
      <c r="C9865" t="s">
        <v>663</v>
      </c>
      <c r="D9865" t="s">
        <v>149</v>
      </c>
      <c r="E9865" t="s">
        <v>378</v>
      </c>
      <c r="F9865" t="s">
        <v>707</v>
      </c>
      <c r="G9865">
        <v>10126000</v>
      </c>
      <c r="H9865">
        <v>10204000</v>
      </c>
    </row>
    <row r="9866" spans="2:8" x14ac:dyDescent="0.25">
      <c r="B9866" t="str">
        <f t="shared" si="154"/>
        <v>USAPopulation ages 40-44, male</v>
      </c>
      <c r="C9866" t="s">
        <v>663</v>
      </c>
      <c r="D9866" t="s">
        <v>149</v>
      </c>
      <c r="E9866" t="s">
        <v>379</v>
      </c>
      <c r="F9866" t="s">
        <v>708</v>
      </c>
      <c r="G9866">
        <v>10054000</v>
      </c>
      <c r="H9866">
        <v>10146000</v>
      </c>
    </row>
    <row r="9867" spans="2:8" x14ac:dyDescent="0.25">
      <c r="B9867" t="str">
        <f t="shared" si="154"/>
        <v>USAPopulation ages 45-49, female</v>
      </c>
      <c r="C9867" t="s">
        <v>663</v>
      </c>
      <c r="D9867" t="s">
        <v>149</v>
      </c>
      <c r="E9867" t="s">
        <v>380</v>
      </c>
      <c r="F9867" t="s">
        <v>709</v>
      </c>
      <c r="G9867">
        <v>10121000</v>
      </c>
      <c r="H9867">
        <v>10112000</v>
      </c>
    </row>
    <row r="9868" spans="2:8" x14ac:dyDescent="0.25">
      <c r="B9868" t="str">
        <f t="shared" si="154"/>
        <v>USAPopulation ages 45-49, male</v>
      </c>
      <c r="C9868" t="s">
        <v>663</v>
      </c>
      <c r="D9868" t="s">
        <v>149</v>
      </c>
      <c r="E9868" t="s">
        <v>381</v>
      </c>
      <c r="F9868" t="s">
        <v>710</v>
      </c>
      <c r="G9868">
        <v>10044000</v>
      </c>
      <c r="H9868">
        <v>9997000</v>
      </c>
    </row>
    <row r="9869" spans="2:8" x14ac:dyDescent="0.25">
      <c r="B9869" t="str">
        <f t="shared" si="154"/>
        <v>USAPopulation ages 50-54, female</v>
      </c>
      <c r="C9869" t="s">
        <v>663</v>
      </c>
      <c r="D9869" t="s">
        <v>149</v>
      </c>
      <c r="E9869" t="s">
        <v>382</v>
      </c>
      <c r="F9869" t="s">
        <v>711</v>
      </c>
      <c r="G9869">
        <v>10410000</v>
      </c>
      <c r="H9869">
        <v>10287000</v>
      </c>
    </row>
    <row r="9870" spans="2:8" x14ac:dyDescent="0.25">
      <c r="B9870" t="str">
        <f t="shared" si="154"/>
        <v>USAPopulation ages 50-54, male</v>
      </c>
      <c r="C9870" t="s">
        <v>663</v>
      </c>
      <c r="D9870" t="s">
        <v>149</v>
      </c>
      <c r="E9870" t="s">
        <v>383</v>
      </c>
      <c r="F9870" t="s">
        <v>712</v>
      </c>
      <c r="G9870">
        <v>10486000</v>
      </c>
      <c r="H9870">
        <v>10348000</v>
      </c>
    </row>
    <row r="9871" spans="2:8" x14ac:dyDescent="0.25">
      <c r="B9871" t="str">
        <f t="shared" si="154"/>
        <v>USAPopulation ages 55-59, male</v>
      </c>
      <c r="C9871" t="s">
        <v>663</v>
      </c>
      <c r="D9871" t="s">
        <v>149</v>
      </c>
      <c r="E9871" t="s">
        <v>385</v>
      </c>
      <c r="F9871" t="s">
        <v>713</v>
      </c>
      <c r="G9871">
        <v>10770000</v>
      </c>
      <c r="H9871">
        <v>10732000</v>
      </c>
    </row>
    <row r="9872" spans="2:8" x14ac:dyDescent="0.25">
      <c r="B9872" t="str">
        <f t="shared" si="154"/>
        <v>USAPopulation ages 55-59, female</v>
      </c>
      <c r="C9872" t="s">
        <v>663</v>
      </c>
      <c r="D9872" t="s">
        <v>149</v>
      </c>
      <c r="E9872" t="s">
        <v>384</v>
      </c>
      <c r="F9872" t="s">
        <v>714</v>
      </c>
      <c r="G9872">
        <v>10952000</v>
      </c>
      <c r="H9872">
        <v>10870000</v>
      </c>
    </row>
    <row r="9873" spans="2:8" x14ac:dyDescent="0.25">
      <c r="B9873" t="str">
        <f t="shared" si="154"/>
        <v>USAPopulation ages 65-69, male</v>
      </c>
      <c r="C9873" t="s">
        <v>663</v>
      </c>
      <c r="D9873" t="s">
        <v>149</v>
      </c>
      <c r="E9873" t="s">
        <v>389</v>
      </c>
      <c r="F9873" t="s">
        <v>715</v>
      </c>
      <c r="G9873">
        <v>8274000</v>
      </c>
      <c r="H9873">
        <v>8489000</v>
      </c>
    </row>
    <row r="9874" spans="2:8" x14ac:dyDescent="0.25">
      <c r="B9874" t="str">
        <f t="shared" si="154"/>
        <v>USAPopulation ages 65-69, female</v>
      </c>
      <c r="C9874" t="s">
        <v>663</v>
      </c>
      <c r="D9874" t="s">
        <v>149</v>
      </c>
      <c r="E9874" t="s">
        <v>388</v>
      </c>
      <c r="F9874" t="s">
        <v>716</v>
      </c>
      <c r="G9874">
        <v>9166000</v>
      </c>
      <c r="H9874">
        <v>9380000</v>
      </c>
    </row>
    <row r="9875" spans="2:8" x14ac:dyDescent="0.25">
      <c r="B9875" t="str">
        <f t="shared" si="154"/>
        <v>USAPopulation ages 60-64, female</v>
      </c>
      <c r="C9875" t="s">
        <v>663</v>
      </c>
      <c r="D9875" t="s">
        <v>149</v>
      </c>
      <c r="E9875" t="s">
        <v>386</v>
      </c>
      <c r="F9875" t="s">
        <v>717</v>
      </c>
      <c r="G9875">
        <v>10532000</v>
      </c>
      <c r="H9875">
        <v>10649000</v>
      </c>
    </row>
    <row r="9876" spans="2:8" x14ac:dyDescent="0.25">
      <c r="B9876" t="str">
        <f t="shared" si="154"/>
        <v>USAPopulation ages 60-64, male</v>
      </c>
      <c r="C9876" t="s">
        <v>663</v>
      </c>
      <c r="D9876" t="s">
        <v>149</v>
      </c>
      <c r="E9876" t="s">
        <v>387</v>
      </c>
      <c r="F9876" t="s">
        <v>718</v>
      </c>
      <c r="G9876">
        <v>9927000</v>
      </c>
      <c r="H9876">
        <v>10078000</v>
      </c>
    </row>
    <row r="9877" spans="2:8" x14ac:dyDescent="0.25">
      <c r="B9877" t="str">
        <f t="shared" si="154"/>
        <v>USAPopulation ages 70-74, female</v>
      </c>
      <c r="C9877" t="s">
        <v>663</v>
      </c>
      <c r="D9877" t="s">
        <v>149</v>
      </c>
      <c r="E9877" t="s">
        <v>390</v>
      </c>
      <c r="F9877" t="s">
        <v>719</v>
      </c>
      <c r="G9877">
        <v>7413000</v>
      </c>
      <c r="H9877">
        <v>7731000</v>
      </c>
    </row>
    <row r="9878" spans="2:8" x14ac:dyDescent="0.25">
      <c r="B9878" t="str">
        <f t="shared" si="154"/>
        <v>USAPopulation ages 70-74, male</v>
      </c>
      <c r="C9878" t="s">
        <v>663</v>
      </c>
      <c r="D9878" t="s">
        <v>149</v>
      </c>
      <c r="E9878" t="s">
        <v>391</v>
      </c>
      <c r="F9878" t="s">
        <v>720</v>
      </c>
      <c r="G9878">
        <v>6366000</v>
      </c>
      <c r="H9878">
        <v>6664000</v>
      </c>
    </row>
    <row r="9879" spans="2:8" x14ac:dyDescent="0.25">
      <c r="B9879" t="str">
        <f t="shared" si="154"/>
        <v>USAPopulation ages 75-79, female</v>
      </c>
      <c r="C9879" t="s">
        <v>663</v>
      </c>
      <c r="D9879" t="s">
        <v>149</v>
      </c>
      <c r="E9879" t="s">
        <v>392</v>
      </c>
      <c r="F9879" t="s">
        <v>721</v>
      </c>
      <c r="G9879">
        <v>5141000</v>
      </c>
      <c r="H9879">
        <v>5416000</v>
      </c>
    </row>
    <row r="9880" spans="2:8" x14ac:dyDescent="0.25">
      <c r="B9880" t="str">
        <f t="shared" si="154"/>
        <v>USAPopulation ages 75-79, male</v>
      </c>
      <c r="C9880" t="s">
        <v>663</v>
      </c>
      <c r="D9880" t="s">
        <v>149</v>
      </c>
      <c r="E9880" t="s">
        <v>393</v>
      </c>
      <c r="F9880" t="s">
        <v>722</v>
      </c>
      <c r="G9880">
        <v>4123000</v>
      </c>
      <c r="H9880">
        <v>4339000</v>
      </c>
    </row>
    <row r="9881" spans="2:8" x14ac:dyDescent="0.25">
      <c r="B9881" t="str">
        <f t="shared" si="154"/>
        <v>USAPopulation ages 80 and above, female</v>
      </c>
      <c r="C9881" t="s">
        <v>663</v>
      </c>
      <c r="D9881" t="s">
        <v>149</v>
      </c>
      <c r="E9881" t="s">
        <v>394</v>
      </c>
      <c r="F9881" t="s">
        <v>723</v>
      </c>
      <c r="G9881">
        <v>7790000</v>
      </c>
      <c r="H9881">
        <v>7922000</v>
      </c>
    </row>
    <row r="9882" spans="2:8" x14ac:dyDescent="0.25">
      <c r="B9882" t="str">
        <f t="shared" si="154"/>
        <v>USAPopulation ages 80 and above, male</v>
      </c>
      <c r="C9882" t="s">
        <v>663</v>
      </c>
      <c r="D9882" t="s">
        <v>149</v>
      </c>
      <c r="E9882" t="s">
        <v>395</v>
      </c>
      <c r="F9882" t="s">
        <v>724</v>
      </c>
      <c r="G9882">
        <v>5144000</v>
      </c>
      <c r="H9882">
        <v>5262000</v>
      </c>
    </row>
    <row r="9883" spans="2:8" x14ac:dyDescent="0.25">
      <c r="B9883" t="str">
        <f t="shared" si="154"/>
        <v>USAPopulation, male</v>
      </c>
      <c r="C9883" t="s">
        <v>663</v>
      </c>
      <c r="D9883" t="s">
        <v>149</v>
      </c>
      <c r="E9883" t="s">
        <v>397</v>
      </c>
      <c r="F9883" t="s">
        <v>725</v>
      </c>
      <c r="G9883">
        <v>163058000</v>
      </c>
      <c r="H9883">
        <v>164237000</v>
      </c>
    </row>
    <row r="9884" spans="2:8" x14ac:dyDescent="0.25">
      <c r="B9884" t="str">
        <f t="shared" si="154"/>
        <v>USAPopulation, total</v>
      </c>
      <c r="C9884" t="s">
        <v>663</v>
      </c>
      <c r="D9884" t="s">
        <v>149</v>
      </c>
      <c r="E9884" t="s">
        <v>398</v>
      </c>
      <c r="F9884" t="s">
        <v>726</v>
      </c>
      <c r="G9884">
        <v>329534000</v>
      </c>
      <c r="H9884">
        <v>331915000</v>
      </c>
    </row>
    <row r="9885" spans="2:8" x14ac:dyDescent="0.25">
      <c r="B9885" t="str">
        <f t="shared" si="154"/>
        <v>USAPopulation, female</v>
      </c>
      <c r="C9885" t="s">
        <v>663</v>
      </c>
      <c r="D9885" t="s">
        <v>149</v>
      </c>
      <c r="E9885" t="s">
        <v>396</v>
      </c>
      <c r="F9885" t="s">
        <v>727</v>
      </c>
      <c r="G9885">
        <v>166475000</v>
      </c>
      <c r="H9885">
        <v>167677000</v>
      </c>
    </row>
    <row r="9886" spans="2:8" x14ac:dyDescent="0.25">
      <c r="B9886" t="str">
        <f t="shared" si="154"/>
        <v>USAPopulation growth (annual %)</v>
      </c>
      <c r="C9886" t="s">
        <v>663</v>
      </c>
      <c r="D9886" t="s">
        <v>149</v>
      </c>
      <c r="E9886" t="s">
        <v>399</v>
      </c>
      <c r="F9886" t="s">
        <v>728</v>
      </c>
      <c r="G9886">
        <v>0</v>
      </c>
      <c r="H9886">
        <v>0</v>
      </c>
    </row>
    <row r="9887" spans="2:8" x14ac:dyDescent="0.25">
      <c r="B9887" t="str">
        <f t="shared" si="154"/>
        <v>UMCPopulation ages 0-14, female</v>
      </c>
      <c r="C9887" t="s">
        <v>664</v>
      </c>
      <c r="D9887" t="s">
        <v>665</v>
      </c>
      <c r="E9887" t="s">
        <v>687</v>
      </c>
      <c r="F9887" t="s">
        <v>688</v>
      </c>
      <c r="G9887">
        <v>263562000</v>
      </c>
      <c r="H9887">
        <v>263708000</v>
      </c>
    </row>
    <row r="9888" spans="2:8" x14ac:dyDescent="0.25">
      <c r="B9888" t="str">
        <f t="shared" si="154"/>
        <v>UMCPopulation ages 0-14, male</v>
      </c>
      <c r="C9888" t="s">
        <v>664</v>
      </c>
      <c r="D9888" t="s">
        <v>665</v>
      </c>
      <c r="E9888" t="s">
        <v>689</v>
      </c>
      <c r="F9888" t="s">
        <v>690</v>
      </c>
      <c r="G9888">
        <v>287639000</v>
      </c>
      <c r="H9888">
        <v>287467000</v>
      </c>
    </row>
    <row r="9889" spans="2:8" x14ac:dyDescent="0.25">
      <c r="B9889" t="str">
        <f t="shared" si="154"/>
        <v>UMCPopulation ages 00-04, female</v>
      </c>
      <c r="C9889" t="s">
        <v>664</v>
      </c>
      <c r="D9889" t="s">
        <v>665</v>
      </c>
      <c r="E9889" t="s">
        <v>362</v>
      </c>
      <c r="F9889" t="s">
        <v>691</v>
      </c>
      <c r="G9889">
        <v>89196700</v>
      </c>
      <c r="H9889">
        <v>88414400</v>
      </c>
    </row>
    <row r="9890" spans="2:8" x14ac:dyDescent="0.25">
      <c r="B9890" t="str">
        <f t="shared" si="154"/>
        <v>UMCPopulation ages 00-04, male</v>
      </c>
      <c r="C9890" t="s">
        <v>664</v>
      </c>
      <c r="D9890" t="s">
        <v>665</v>
      </c>
      <c r="E9890" t="s">
        <v>363</v>
      </c>
      <c r="F9890" t="s">
        <v>692</v>
      </c>
      <c r="G9890">
        <v>96688400</v>
      </c>
      <c r="H9890">
        <v>95680300</v>
      </c>
    </row>
    <row r="9891" spans="2:8" x14ac:dyDescent="0.25">
      <c r="B9891" t="str">
        <f t="shared" si="154"/>
        <v>UMCPopulation ages 05-09, female</v>
      </c>
      <c r="C9891" t="s">
        <v>664</v>
      </c>
      <c r="D9891" t="s">
        <v>665</v>
      </c>
      <c r="E9891" t="s">
        <v>364</v>
      </c>
      <c r="F9891" t="s">
        <v>693</v>
      </c>
      <c r="G9891">
        <v>88937900</v>
      </c>
      <c r="H9891">
        <v>89349000</v>
      </c>
    </row>
    <row r="9892" spans="2:8" x14ac:dyDescent="0.25">
      <c r="B9892" t="str">
        <f t="shared" si="154"/>
        <v>UMCPopulation ages 05-09, male</v>
      </c>
      <c r="C9892" t="s">
        <v>664</v>
      </c>
      <c r="D9892" t="s">
        <v>665</v>
      </c>
      <c r="E9892" t="s">
        <v>365</v>
      </c>
      <c r="F9892" t="s">
        <v>694</v>
      </c>
      <c r="G9892">
        <v>97224700</v>
      </c>
      <c r="H9892">
        <v>97484800</v>
      </c>
    </row>
    <row r="9893" spans="2:8" x14ac:dyDescent="0.25">
      <c r="B9893" t="str">
        <f t="shared" si="154"/>
        <v>UMCPopulation ages 10-14, female</v>
      </c>
      <c r="C9893" t="s">
        <v>664</v>
      </c>
      <c r="D9893" t="s">
        <v>665</v>
      </c>
      <c r="E9893" t="s">
        <v>366</v>
      </c>
      <c r="F9893" t="s">
        <v>695</v>
      </c>
      <c r="G9893">
        <v>85423600</v>
      </c>
      <c r="H9893">
        <v>85942500</v>
      </c>
    </row>
    <row r="9894" spans="2:8" x14ac:dyDescent="0.25">
      <c r="B9894" t="str">
        <f t="shared" si="154"/>
        <v>UMCPopulation ages 10-14, male</v>
      </c>
      <c r="C9894" t="s">
        <v>664</v>
      </c>
      <c r="D9894" t="s">
        <v>665</v>
      </c>
      <c r="E9894" t="s">
        <v>367</v>
      </c>
      <c r="F9894" t="s">
        <v>696</v>
      </c>
      <c r="G9894">
        <v>93719700</v>
      </c>
      <c r="H9894">
        <v>94308600</v>
      </c>
    </row>
    <row r="9895" spans="2:8" x14ac:dyDescent="0.25">
      <c r="B9895" t="str">
        <f t="shared" si="154"/>
        <v>UMCPopulation ages 15-19, female</v>
      </c>
      <c r="C9895" t="s">
        <v>664</v>
      </c>
      <c r="D9895" t="s">
        <v>665</v>
      </c>
      <c r="E9895" t="s">
        <v>368</v>
      </c>
      <c r="F9895" t="s">
        <v>697</v>
      </c>
      <c r="G9895">
        <v>84307400</v>
      </c>
      <c r="H9895">
        <v>83976500</v>
      </c>
    </row>
    <row r="9896" spans="2:8" x14ac:dyDescent="0.25">
      <c r="B9896" t="str">
        <f t="shared" si="154"/>
        <v>UMCPopulation ages 15-19, male</v>
      </c>
      <c r="C9896" t="s">
        <v>664</v>
      </c>
      <c r="D9896" t="s">
        <v>665</v>
      </c>
      <c r="E9896" t="s">
        <v>369</v>
      </c>
      <c r="F9896" t="s">
        <v>698</v>
      </c>
      <c r="G9896">
        <v>91646200</v>
      </c>
      <c r="H9896">
        <v>91469000</v>
      </c>
    </row>
    <row r="9897" spans="2:8" x14ac:dyDescent="0.25">
      <c r="B9897" t="str">
        <f t="shared" si="154"/>
        <v>UMCPopulation ages 20-24, female</v>
      </c>
      <c r="C9897" t="s">
        <v>664</v>
      </c>
      <c r="D9897" t="s">
        <v>665</v>
      </c>
      <c r="E9897" t="s">
        <v>370</v>
      </c>
      <c r="F9897" t="s">
        <v>699</v>
      </c>
      <c r="G9897">
        <v>88149400</v>
      </c>
      <c r="H9897">
        <v>86972300</v>
      </c>
    </row>
    <row r="9898" spans="2:8" x14ac:dyDescent="0.25">
      <c r="B9898" t="str">
        <f t="shared" si="154"/>
        <v>UMCPopulation ages 20-24, male</v>
      </c>
      <c r="C9898" t="s">
        <v>664</v>
      </c>
      <c r="D9898" t="s">
        <v>665</v>
      </c>
      <c r="E9898" t="s">
        <v>371</v>
      </c>
      <c r="F9898" t="s">
        <v>700</v>
      </c>
      <c r="G9898">
        <v>94591100</v>
      </c>
      <c r="H9898">
        <v>93448800</v>
      </c>
    </row>
    <row r="9899" spans="2:8" x14ac:dyDescent="0.25">
      <c r="B9899" t="str">
        <f t="shared" si="154"/>
        <v>UMCPopulation ages 25-29, female</v>
      </c>
      <c r="C9899" t="s">
        <v>664</v>
      </c>
      <c r="D9899" t="s">
        <v>665</v>
      </c>
      <c r="E9899" t="s">
        <v>372</v>
      </c>
      <c r="F9899" t="s">
        <v>701</v>
      </c>
      <c r="G9899">
        <v>98523400</v>
      </c>
      <c r="H9899">
        <v>94708900</v>
      </c>
    </row>
    <row r="9900" spans="2:8" x14ac:dyDescent="0.25">
      <c r="B9900" t="str">
        <f t="shared" si="154"/>
        <v>UMCPopulation ages 25-29, male</v>
      </c>
      <c r="C9900" t="s">
        <v>664</v>
      </c>
      <c r="D9900" t="s">
        <v>665</v>
      </c>
      <c r="E9900" t="s">
        <v>373</v>
      </c>
      <c r="F9900" t="s">
        <v>702</v>
      </c>
      <c r="G9900">
        <v>104102500</v>
      </c>
      <c r="H9900">
        <v>100440100</v>
      </c>
    </row>
    <row r="9901" spans="2:8" x14ac:dyDescent="0.25">
      <c r="B9901" t="str">
        <f t="shared" si="154"/>
        <v>UMCPopulation ages 30-34, female</v>
      </c>
      <c r="C9901" t="s">
        <v>664</v>
      </c>
      <c r="D9901" t="s">
        <v>665</v>
      </c>
      <c r="E9901" t="s">
        <v>374</v>
      </c>
      <c r="F9901" t="s">
        <v>703</v>
      </c>
      <c r="G9901">
        <v>111722300</v>
      </c>
      <c r="H9901">
        <v>112267500</v>
      </c>
    </row>
    <row r="9902" spans="2:8" x14ac:dyDescent="0.25">
      <c r="B9902" t="str">
        <f t="shared" si="154"/>
        <v>UMCPopulation ages 30-34, male</v>
      </c>
      <c r="C9902" t="s">
        <v>664</v>
      </c>
      <c r="D9902" t="s">
        <v>665</v>
      </c>
      <c r="E9902" t="s">
        <v>375</v>
      </c>
      <c r="F9902" t="s">
        <v>704</v>
      </c>
      <c r="G9902">
        <v>115450600</v>
      </c>
      <c r="H9902">
        <v>116332900</v>
      </c>
    </row>
    <row r="9903" spans="2:8" x14ac:dyDescent="0.25">
      <c r="B9903" t="str">
        <f t="shared" si="154"/>
        <v>UMCPopulation ages 35-39, female</v>
      </c>
      <c r="C9903" t="s">
        <v>664</v>
      </c>
      <c r="D9903" t="s">
        <v>665</v>
      </c>
      <c r="E9903" t="s">
        <v>376</v>
      </c>
      <c r="F9903" t="s">
        <v>705</v>
      </c>
      <c r="G9903">
        <v>94490900</v>
      </c>
      <c r="H9903">
        <v>96892000</v>
      </c>
    </row>
    <row r="9904" spans="2:8" x14ac:dyDescent="0.25">
      <c r="B9904" t="str">
        <f t="shared" si="154"/>
        <v>UMCPopulation ages 35-39, male</v>
      </c>
      <c r="C9904" t="s">
        <v>664</v>
      </c>
      <c r="D9904" t="s">
        <v>665</v>
      </c>
      <c r="E9904" t="s">
        <v>377</v>
      </c>
      <c r="F9904" t="s">
        <v>706</v>
      </c>
      <c r="G9904">
        <v>96221100</v>
      </c>
      <c r="H9904">
        <v>98848200</v>
      </c>
    </row>
    <row r="9905" spans="2:8" x14ac:dyDescent="0.25">
      <c r="B9905" t="str">
        <f t="shared" si="154"/>
        <v>UMCPopulation ages 40-44, female</v>
      </c>
      <c r="C9905" t="s">
        <v>664</v>
      </c>
      <c r="D9905" t="s">
        <v>665</v>
      </c>
      <c r="E9905" t="s">
        <v>378</v>
      </c>
      <c r="F9905" t="s">
        <v>707</v>
      </c>
      <c r="G9905">
        <v>91933900</v>
      </c>
      <c r="H9905">
        <v>90901200</v>
      </c>
    </row>
    <row r="9906" spans="2:8" x14ac:dyDescent="0.25">
      <c r="B9906" t="str">
        <f t="shared" si="154"/>
        <v>UMCPopulation ages 40-44, male</v>
      </c>
      <c r="C9906" t="s">
        <v>664</v>
      </c>
      <c r="D9906" t="s">
        <v>665</v>
      </c>
      <c r="E9906" t="s">
        <v>379</v>
      </c>
      <c r="F9906" t="s">
        <v>708</v>
      </c>
      <c r="G9906">
        <v>92800900</v>
      </c>
      <c r="H9906">
        <v>91767000</v>
      </c>
    </row>
    <row r="9907" spans="2:8" x14ac:dyDescent="0.25">
      <c r="B9907" t="str">
        <f t="shared" si="154"/>
        <v>UMCPopulation ages 45-49, female</v>
      </c>
      <c r="C9907" t="s">
        <v>664</v>
      </c>
      <c r="D9907" t="s">
        <v>665</v>
      </c>
      <c r="E9907" t="s">
        <v>380</v>
      </c>
      <c r="F9907" t="s">
        <v>709</v>
      </c>
      <c r="G9907">
        <v>99359000</v>
      </c>
      <c r="H9907">
        <v>98217100</v>
      </c>
    </row>
    <row r="9908" spans="2:8" x14ac:dyDescent="0.25">
      <c r="B9908" t="str">
        <f t="shared" si="154"/>
        <v>UMCPopulation ages 45-49, male</v>
      </c>
      <c r="C9908" t="s">
        <v>664</v>
      </c>
      <c r="D9908" t="s">
        <v>665</v>
      </c>
      <c r="E9908" t="s">
        <v>381</v>
      </c>
      <c r="F9908" t="s">
        <v>710</v>
      </c>
      <c r="G9908">
        <v>99616300</v>
      </c>
      <c r="H9908">
        <v>98638400</v>
      </c>
    </row>
    <row r="9909" spans="2:8" x14ac:dyDescent="0.25">
      <c r="B9909" t="str">
        <f t="shared" si="154"/>
        <v>UMCPopulation ages 50-54, female</v>
      </c>
      <c r="C9909" t="s">
        <v>664</v>
      </c>
      <c r="D9909" t="s">
        <v>665</v>
      </c>
      <c r="E9909" t="s">
        <v>382</v>
      </c>
      <c r="F9909" t="s">
        <v>711</v>
      </c>
      <c r="G9909">
        <v>95320800</v>
      </c>
      <c r="H9909">
        <v>96993400</v>
      </c>
    </row>
    <row r="9910" spans="2:8" x14ac:dyDescent="0.25">
      <c r="B9910" t="str">
        <f t="shared" si="154"/>
        <v>UMCPopulation ages 50-54, male</v>
      </c>
      <c r="C9910" t="s">
        <v>664</v>
      </c>
      <c r="D9910" t="s">
        <v>665</v>
      </c>
      <c r="E9910" t="s">
        <v>383</v>
      </c>
      <c r="F9910" t="s">
        <v>712</v>
      </c>
      <c r="G9910">
        <v>93788000</v>
      </c>
      <c r="H9910">
        <v>95520300</v>
      </c>
    </row>
    <row r="9911" spans="2:8" x14ac:dyDescent="0.25">
      <c r="B9911" t="str">
        <f t="shared" si="154"/>
        <v>UMCPopulation ages 55-59, male</v>
      </c>
      <c r="C9911" t="s">
        <v>664</v>
      </c>
      <c r="D9911" t="s">
        <v>665</v>
      </c>
      <c r="E9911" t="s">
        <v>385</v>
      </c>
      <c r="F9911" t="s">
        <v>713</v>
      </c>
      <c r="G9911">
        <v>77305300</v>
      </c>
      <c r="H9911">
        <v>80129300</v>
      </c>
    </row>
    <row r="9912" spans="2:8" x14ac:dyDescent="0.25">
      <c r="B9912" t="str">
        <f t="shared" si="154"/>
        <v>UMCPopulation ages 55-59, female</v>
      </c>
      <c r="C9912" t="s">
        <v>664</v>
      </c>
      <c r="D9912" t="s">
        <v>665</v>
      </c>
      <c r="E9912" t="s">
        <v>384</v>
      </c>
      <c r="F9912" t="s">
        <v>714</v>
      </c>
      <c r="G9912">
        <v>79643600</v>
      </c>
      <c r="H9912">
        <v>82458700</v>
      </c>
    </row>
    <row r="9913" spans="2:8" x14ac:dyDescent="0.25">
      <c r="B9913" t="str">
        <f t="shared" si="154"/>
        <v>UMCPopulation ages 65-69, male</v>
      </c>
      <c r="C9913" t="s">
        <v>664</v>
      </c>
      <c r="D9913" t="s">
        <v>665</v>
      </c>
      <c r="E9913" t="s">
        <v>389</v>
      </c>
      <c r="F9913" t="s">
        <v>715</v>
      </c>
      <c r="G9913">
        <v>53680700</v>
      </c>
      <c r="H9913">
        <v>55785900</v>
      </c>
    </row>
    <row r="9914" spans="2:8" x14ac:dyDescent="0.25">
      <c r="B9914" t="str">
        <f t="shared" si="154"/>
        <v>UMCPopulation ages 65-69, female</v>
      </c>
      <c r="C9914" t="s">
        <v>664</v>
      </c>
      <c r="D9914" t="s">
        <v>665</v>
      </c>
      <c r="E9914" t="s">
        <v>388</v>
      </c>
      <c r="F9914" t="s">
        <v>716</v>
      </c>
      <c r="G9914">
        <v>59436000</v>
      </c>
      <c r="H9914">
        <v>61775200</v>
      </c>
    </row>
    <row r="9915" spans="2:8" x14ac:dyDescent="0.25">
      <c r="B9915" t="str">
        <f t="shared" si="154"/>
        <v>UMCPopulation ages 60-64, female</v>
      </c>
      <c r="C9915" t="s">
        <v>664</v>
      </c>
      <c r="D9915" t="s">
        <v>665</v>
      </c>
      <c r="E9915" t="s">
        <v>386</v>
      </c>
      <c r="F9915" t="s">
        <v>717</v>
      </c>
      <c r="G9915">
        <v>67218900</v>
      </c>
      <c r="H9915">
        <v>68105300</v>
      </c>
    </row>
    <row r="9916" spans="2:8" x14ac:dyDescent="0.25">
      <c r="B9916" t="str">
        <f t="shared" si="154"/>
        <v>UMCPopulation ages 60-64, male</v>
      </c>
      <c r="C9916" t="s">
        <v>664</v>
      </c>
      <c r="D9916" t="s">
        <v>665</v>
      </c>
      <c r="E9916" t="s">
        <v>387</v>
      </c>
      <c r="F9916" t="s">
        <v>718</v>
      </c>
      <c r="G9916">
        <v>63019900</v>
      </c>
      <c r="H9916">
        <v>63980800</v>
      </c>
    </row>
    <row r="9917" spans="2:8" x14ac:dyDescent="0.25">
      <c r="B9917" t="str">
        <f t="shared" si="154"/>
        <v>UMCPopulation ages 70-74, female</v>
      </c>
      <c r="C9917" t="s">
        <v>664</v>
      </c>
      <c r="D9917" t="s">
        <v>665</v>
      </c>
      <c r="E9917" t="s">
        <v>390</v>
      </c>
      <c r="F9917" t="s">
        <v>719</v>
      </c>
      <c r="G9917">
        <v>37865000</v>
      </c>
      <c r="H9917">
        <v>40630800</v>
      </c>
    </row>
    <row r="9918" spans="2:8" x14ac:dyDescent="0.25">
      <c r="B9918" t="str">
        <f t="shared" si="154"/>
        <v>UMCPopulation ages 70-74, male</v>
      </c>
      <c r="C9918" t="s">
        <v>664</v>
      </c>
      <c r="D9918" t="s">
        <v>665</v>
      </c>
      <c r="E9918" t="s">
        <v>391</v>
      </c>
      <c r="F9918" t="s">
        <v>720</v>
      </c>
      <c r="G9918">
        <v>32007900</v>
      </c>
      <c r="H9918">
        <v>34315500</v>
      </c>
    </row>
    <row r="9919" spans="2:8" x14ac:dyDescent="0.25">
      <c r="B9919" t="str">
        <f t="shared" si="154"/>
        <v>UMCPopulation ages 75-79, female</v>
      </c>
      <c r="C9919" t="s">
        <v>664</v>
      </c>
      <c r="D9919" t="s">
        <v>665</v>
      </c>
      <c r="E9919" t="s">
        <v>392</v>
      </c>
      <c r="F9919" t="s">
        <v>721</v>
      </c>
      <c r="G9919">
        <v>25309100</v>
      </c>
      <c r="H9919">
        <v>26106400</v>
      </c>
    </row>
    <row r="9920" spans="2:8" x14ac:dyDescent="0.25">
      <c r="B9920" t="str">
        <f t="shared" si="154"/>
        <v>UMCPopulation ages 75-79, male</v>
      </c>
      <c r="C9920" t="s">
        <v>664</v>
      </c>
      <c r="D9920" t="s">
        <v>665</v>
      </c>
      <c r="E9920" t="s">
        <v>393</v>
      </c>
      <c r="F9920" t="s">
        <v>722</v>
      </c>
      <c r="G9920">
        <v>19732000</v>
      </c>
      <c r="H9920">
        <v>20307200</v>
      </c>
    </row>
    <row r="9921" spans="2:8" x14ac:dyDescent="0.25">
      <c r="B9921" t="str">
        <f t="shared" si="154"/>
        <v>UMCPopulation ages 80 and above, female</v>
      </c>
      <c r="C9921" t="s">
        <v>664</v>
      </c>
      <c r="D9921" t="s">
        <v>665</v>
      </c>
      <c r="E9921" t="s">
        <v>394</v>
      </c>
      <c r="F9921" t="s">
        <v>723</v>
      </c>
      <c r="G9921">
        <v>31435900</v>
      </c>
      <c r="H9921">
        <v>32131500</v>
      </c>
    </row>
    <row r="9922" spans="2:8" x14ac:dyDescent="0.25">
      <c r="B9922" t="str">
        <f t="shared" si="154"/>
        <v>UMCPopulation ages 80 and above, male</v>
      </c>
      <c r="C9922" t="s">
        <v>664</v>
      </c>
      <c r="D9922" t="s">
        <v>665</v>
      </c>
      <c r="E9922" t="s">
        <v>395</v>
      </c>
      <c r="F9922" t="s">
        <v>724</v>
      </c>
      <c r="G9922">
        <v>19335300</v>
      </c>
      <c r="H9922">
        <v>19498900</v>
      </c>
    </row>
    <row r="9923" spans="2:8" x14ac:dyDescent="0.25">
      <c r="B9923" t="str">
        <f t="shared" si="154"/>
        <v>UMCPopulation, male</v>
      </c>
      <c r="C9923" t="s">
        <v>664</v>
      </c>
      <c r="D9923" t="s">
        <v>665</v>
      </c>
      <c r="E9923" t="s">
        <v>397</v>
      </c>
      <c r="F9923" t="s">
        <v>725</v>
      </c>
      <c r="G9923">
        <v>1340913000</v>
      </c>
      <c r="H9923">
        <v>1347951000</v>
      </c>
    </row>
    <row r="9924" spans="2:8" x14ac:dyDescent="0.25">
      <c r="B9924" t="str">
        <f t="shared" si="154"/>
        <v>UMCPopulation, total</v>
      </c>
      <c r="C9924" t="s">
        <v>664</v>
      </c>
      <c r="D9924" t="s">
        <v>665</v>
      </c>
      <c r="E9924" t="s">
        <v>398</v>
      </c>
      <c r="F9924" t="s">
        <v>726</v>
      </c>
      <c r="G9924">
        <v>2671248000</v>
      </c>
      <c r="H9924">
        <v>2685886000</v>
      </c>
    </row>
    <row r="9925" spans="2:8" x14ac:dyDescent="0.25">
      <c r="B9925" t="str">
        <f t="shared" si="154"/>
        <v>UMCPopulation, female</v>
      </c>
      <c r="C9925" t="s">
        <v>664</v>
      </c>
      <c r="D9925" t="s">
        <v>665</v>
      </c>
      <c r="E9925" t="s">
        <v>396</v>
      </c>
      <c r="F9925" t="s">
        <v>727</v>
      </c>
      <c r="G9925">
        <v>1328263000</v>
      </c>
      <c r="H9925">
        <v>1335858000</v>
      </c>
    </row>
    <row r="9926" spans="2:8" x14ac:dyDescent="0.25">
      <c r="B9926" t="str">
        <f t="shared" si="154"/>
        <v>UMCPopulation growth (annual %)</v>
      </c>
      <c r="C9926" t="s">
        <v>664</v>
      </c>
      <c r="D9926" t="s">
        <v>665</v>
      </c>
      <c r="E9926" t="s">
        <v>399</v>
      </c>
      <c r="F9926" t="s">
        <v>728</v>
      </c>
      <c r="G9926">
        <v>0.58789241642971035</v>
      </c>
      <c r="H9926">
        <v>0.54798356423664529</v>
      </c>
    </row>
    <row r="9927" spans="2:8" x14ac:dyDescent="0.25">
      <c r="B9927" t="str">
        <f t="shared" ref="B9927:B9990" si="155">CONCATENATE(D9927,E9927)</f>
        <v>URYPopulation ages 0-14, female</v>
      </c>
      <c r="C9927" t="s">
        <v>666</v>
      </c>
      <c r="D9927" t="s">
        <v>667</v>
      </c>
      <c r="E9927" t="s">
        <v>687</v>
      </c>
      <c r="F9927" t="s">
        <v>688</v>
      </c>
      <c r="G9927">
        <v>346000</v>
      </c>
      <c r="H9927">
        <v>345000</v>
      </c>
    </row>
    <row r="9928" spans="2:8" x14ac:dyDescent="0.25">
      <c r="B9928" t="str">
        <f t="shared" si="155"/>
        <v>URYPopulation ages 0-14, male</v>
      </c>
      <c r="C9928" t="s">
        <v>666</v>
      </c>
      <c r="D9928" t="s">
        <v>667</v>
      </c>
      <c r="E9928" t="s">
        <v>689</v>
      </c>
      <c r="F9928" t="s">
        <v>690</v>
      </c>
      <c r="G9928">
        <v>362000</v>
      </c>
      <c r="H9928">
        <v>361000</v>
      </c>
    </row>
    <row r="9929" spans="2:8" x14ac:dyDescent="0.25">
      <c r="B9929" t="str">
        <f t="shared" si="155"/>
        <v>URYPopulation ages 00-04, female</v>
      </c>
      <c r="C9929" t="s">
        <v>666</v>
      </c>
      <c r="D9929" t="s">
        <v>667</v>
      </c>
      <c r="E9929" t="s">
        <v>362</v>
      </c>
      <c r="F9929" t="s">
        <v>691</v>
      </c>
      <c r="G9929">
        <v>116000</v>
      </c>
      <c r="H9929">
        <v>116000</v>
      </c>
    </row>
    <row r="9930" spans="2:8" x14ac:dyDescent="0.25">
      <c r="B9930" t="str">
        <f t="shared" si="155"/>
        <v>URYPopulation ages 00-04, male</v>
      </c>
      <c r="C9930" t="s">
        <v>666</v>
      </c>
      <c r="D9930" t="s">
        <v>667</v>
      </c>
      <c r="E9930" t="s">
        <v>363</v>
      </c>
      <c r="F9930" t="s">
        <v>692</v>
      </c>
      <c r="G9930">
        <v>122000</v>
      </c>
      <c r="H9930">
        <v>121000</v>
      </c>
    </row>
    <row r="9931" spans="2:8" x14ac:dyDescent="0.25">
      <c r="B9931" t="str">
        <f t="shared" si="155"/>
        <v>URYPopulation ages 05-09, female</v>
      </c>
      <c r="C9931" t="s">
        <v>666</v>
      </c>
      <c r="D9931" t="s">
        <v>667</v>
      </c>
      <c r="E9931" t="s">
        <v>364</v>
      </c>
      <c r="F9931" t="s">
        <v>693</v>
      </c>
      <c r="G9931">
        <v>115000</v>
      </c>
      <c r="H9931">
        <v>116000</v>
      </c>
    </row>
    <row r="9932" spans="2:8" x14ac:dyDescent="0.25">
      <c r="B9932" t="str">
        <f t="shared" si="155"/>
        <v>URYPopulation ages 05-09, male</v>
      </c>
      <c r="C9932" t="s">
        <v>666</v>
      </c>
      <c r="D9932" t="s">
        <v>667</v>
      </c>
      <c r="E9932" t="s">
        <v>365</v>
      </c>
      <c r="F9932" t="s">
        <v>694</v>
      </c>
      <c r="G9932">
        <v>120000</v>
      </c>
      <c r="H9932">
        <v>121000</v>
      </c>
    </row>
    <row r="9933" spans="2:8" x14ac:dyDescent="0.25">
      <c r="B9933" t="str">
        <f t="shared" si="155"/>
        <v>URYPopulation ages 10-14, female</v>
      </c>
      <c r="C9933" t="s">
        <v>666</v>
      </c>
      <c r="D9933" t="s">
        <v>667</v>
      </c>
      <c r="E9933" t="s">
        <v>366</v>
      </c>
      <c r="F9933" t="s">
        <v>695</v>
      </c>
      <c r="G9933">
        <v>115000</v>
      </c>
      <c r="H9933">
        <v>114000</v>
      </c>
    </row>
    <row r="9934" spans="2:8" x14ac:dyDescent="0.25">
      <c r="B9934" t="str">
        <f t="shared" si="155"/>
        <v>URYPopulation ages 10-14, male</v>
      </c>
      <c r="C9934" t="s">
        <v>666</v>
      </c>
      <c r="D9934" t="s">
        <v>667</v>
      </c>
      <c r="E9934" t="s">
        <v>367</v>
      </c>
      <c r="F9934" t="s">
        <v>696</v>
      </c>
      <c r="G9934">
        <v>120000</v>
      </c>
      <c r="H9934">
        <v>119000</v>
      </c>
    </row>
    <row r="9935" spans="2:8" x14ac:dyDescent="0.25">
      <c r="B9935" t="str">
        <f t="shared" si="155"/>
        <v>URYPopulation ages 15-19, female</v>
      </c>
      <c r="C9935" t="s">
        <v>666</v>
      </c>
      <c r="D9935" t="s">
        <v>667</v>
      </c>
      <c r="E9935" t="s">
        <v>368</v>
      </c>
      <c r="F9935" t="s">
        <v>697</v>
      </c>
      <c r="G9935">
        <v>122000</v>
      </c>
      <c r="H9935">
        <v>120000</v>
      </c>
    </row>
    <row r="9936" spans="2:8" x14ac:dyDescent="0.25">
      <c r="B9936" t="str">
        <f t="shared" si="155"/>
        <v>URYPopulation ages 15-19, male</v>
      </c>
      <c r="C9936" t="s">
        <v>666</v>
      </c>
      <c r="D9936" t="s">
        <v>667</v>
      </c>
      <c r="E9936" t="s">
        <v>369</v>
      </c>
      <c r="F9936" t="s">
        <v>698</v>
      </c>
      <c r="G9936">
        <v>127000</v>
      </c>
      <c r="H9936">
        <v>125000</v>
      </c>
    </row>
    <row r="9937" spans="2:8" x14ac:dyDescent="0.25">
      <c r="B9937" t="str">
        <f t="shared" si="155"/>
        <v>URYPopulation ages 20-24, female</v>
      </c>
      <c r="C9937" t="s">
        <v>666</v>
      </c>
      <c r="D9937" t="s">
        <v>667</v>
      </c>
      <c r="E9937" t="s">
        <v>370</v>
      </c>
      <c r="F9937" t="s">
        <v>699</v>
      </c>
      <c r="G9937">
        <v>126000</v>
      </c>
      <c r="H9937">
        <v>125000</v>
      </c>
    </row>
    <row r="9938" spans="2:8" x14ac:dyDescent="0.25">
      <c r="B9938" t="str">
        <f t="shared" si="155"/>
        <v>URYPopulation ages 20-24, male</v>
      </c>
      <c r="C9938" t="s">
        <v>666</v>
      </c>
      <c r="D9938" t="s">
        <v>667</v>
      </c>
      <c r="E9938" t="s">
        <v>371</v>
      </c>
      <c r="F9938" t="s">
        <v>700</v>
      </c>
      <c r="G9938">
        <v>130000</v>
      </c>
      <c r="H9938">
        <v>129000</v>
      </c>
    </row>
    <row r="9939" spans="2:8" x14ac:dyDescent="0.25">
      <c r="B9939" t="str">
        <f t="shared" si="155"/>
        <v>URYPopulation ages 25-29, female</v>
      </c>
      <c r="C9939" t="s">
        <v>666</v>
      </c>
      <c r="D9939" t="s">
        <v>667</v>
      </c>
      <c r="E9939" t="s">
        <v>372</v>
      </c>
      <c r="F9939" t="s">
        <v>701</v>
      </c>
      <c r="G9939">
        <v>126000</v>
      </c>
      <c r="H9939">
        <v>127000</v>
      </c>
    </row>
    <row r="9940" spans="2:8" x14ac:dyDescent="0.25">
      <c r="B9940" t="str">
        <f t="shared" si="155"/>
        <v>URYPopulation ages 25-29, male</v>
      </c>
      <c r="C9940" t="s">
        <v>666</v>
      </c>
      <c r="D9940" t="s">
        <v>667</v>
      </c>
      <c r="E9940" t="s">
        <v>373</v>
      </c>
      <c r="F9940" t="s">
        <v>702</v>
      </c>
      <c r="G9940">
        <v>130000</v>
      </c>
      <c r="H9940">
        <v>131000</v>
      </c>
    </row>
    <row r="9941" spans="2:8" x14ac:dyDescent="0.25">
      <c r="B9941" t="str">
        <f t="shared" si="155"/>
        <v>URYPopulation ages 30-34, female</v>
      </c>
      <c r="C9941" t="s">
        <v>666</v>
      </c>
      <c r="D9941" t="s">
        <v>667</v>
      </c>
      <c r="E9941" t="s">
        <v>374</v>
      </c>
      <c r="F9941" t="s">
        <v>703</v>
      </c>
      <c r="G9941">
        <v>117000</v>
      </c>
      <c r="H9941">
        <v>119000</v>
      </c>
    </row>
    <row r="9942" spans="2:8" x14ac:dyDescent="0.25">
      <c r="B9942" t="str">
        <f t="shared" si="155"/>
        <v>URYPopulation ages 30-34, male</v>
      </c>
      <c r="C9942" t="s">
        <v>666</v>
      </c>
      <c r="D9942" t="s">
        <v>667</v>
      </c>
      <c r="E9942" t="s">
        <v>375</v>
      </c>
      <c r="F9942" t="s">
        <v>704</v>
      </c>
      <c r="G9942">
        <v>119000</v>
      </c>
      <c r="H9942">
        <v>121000</v>
      </c>
    </row>
    <row r="9943" spans="2:8" x14ac:dyDescent="0.25">
      <c r="B9943" t="str">
        <f t="shared" si="155"/>
        <v>URYPopulation ages 35-39, female</v>
      </c>
      <c r="C9943" t="s">
        <v>666</v>
      </c>
      <c r="D9943" t="s">
        <v>667</v>
      </c>
      <c r="E9943" t="s">
        <v>376</v>
      </c>
      <c r="F9943" t="s">
        <v>705</v>
      </c>
      <c r="G9943">
        <v>112000</v>
      </c>
      <c r="H9943">
        <v>111000</v>
      </c>
    </row>
    <row r="9944" spans="2:8" x14ac:dyDescent="0.25">
      <c r="B9944" t="str">
        <f t="shared" si="155"/>
        <v>URYPopulation ages 35-39, male</v>
      </c>
      <c r="C9944" t="s">
        <v>666</v>
      </c>
      <c r="D9944" t="s">
        <v>667</v>
      </c>
      <c r="E9944" t="s">
        <v>377</v>
      </c>
      <c r="F9944" t="s">
        <v>706</v>
      </c>
      <c r="G9944">
        <v>111000</v>
      </c>
      <c r="H9944">
        <v>111000</v>
      </c>
    </row>
    <row r="9945" spans="2:8" x14ac:dyDescent="0.25">
      <c r="B9945" t="str">
        <f t="shared" si="155"/>
        <v>URYPopulation ages 40-44, female</v>
      </c>
      <c r="C9945" t="s">
        <v>666</v>
      </c>
      <c r="D9945" t="s">
        <v>667</v>
      </c>
      <c r="E9945" t="s">
        <v>378</v>
      </c>
      <c r="F9945" t="s">
        <v>707</v>
      </c>
      <c r="G9945">
        <v>118000</v>
      </c>
      <c r="H9945">
        <v>118000</v>
      </c>
    </row>
    <row r="9946" spans="2:8" x14ac:dyDescent="0.25">
      <c r="B9946" t="str">
        <f t="shared" si="155"/>
        <v>URYPopulation ages 40-44, male</v>
      </c>
      <c r="C9946" t="s">
        <v>666</v>
      </c>
      <c r="D9946" t="s">
        <v>667</v>
      </c>
      <c r="E9946" t="s">
        <v>379</v>
      </c>
      <c r="F9946" t="s">
        <v>708</v>
      </c>
      <c r="G9946">
        <v>116000</v>
      </c>
      <c r="H9946">
        <v>116000</v>
      </c>
    </row>
    <row r="9947" spans="2:8" x14ac:dyDescent="0.25">
      <c r="B9947" t="str">
        <f t="shared" si="155"/>
        <v>URYPopulation ages 45-49, female</v>
      </c>
      <c r="C9947" t="s">
        <v>666</v>
      </c>
      <c r="D9947" t="s">
        <v>667</v>
      </c>
      <c r="E9947" t="s">
        <v>380</v>
      </c>
      <c r="F9947" t="s">
        <v>709</v>
      </c>
      <c r="G9947">
        <v>110000</v>
      </c>
      <c r="H9947">
        <v>112000</v>
      </c>
    </row>
    <row r="9948" spans="2:8" x14ac:dyDescent="0.25">
      <c r="B9948" t="str">
        <f t="shared" si="155"/>
        <v>URYPopulation ages 45-49, male</v>
      </c>
      <c r="C9948" t="s">
        <v>666</v>
      </c>
      <c r="D9948" t="s">
        <v>667</v>
      </c>
      <c r="E9948" t="s">
        <v>381</v>
      </c>
      <c r="F9948" t="s">
        <v>710</v>
      </c>
      <c r="G9948">
        <v>107000</v>
      </c>
      <c r="H9948">
        <v>109000</v>
      </c>
    </row>
    <row r="9949" spans="2:8" x14ac:dyDescent="0.25">
      <c r="B9949" t="str">
        <f t="shared" si="155"/>
        <v>URYPopulation ages 50-54, female</v>
      </c>
      <c r="C9949" t="s">
        <v>666</v>
      </c>
      <c r="D9949" t="s">
        <v>667</v>
      </c>
      <c r="E9949" t="s">
        <v>382</v>
      </c>
      <c r="F9949" t="s">
        <v>711</v>
      </c>
      <c r="G9949">
        <v>101000</v>
      </c>
      <c r="H9949">
        <v>102000</v>
      </c>
    </row>
    <row r="9950" spans="2:8" x14ac:dyDescent="0.25">
      <c r="B9950" t="str">
        <f t="shared" si="155"/>
        <v>URYPopulation ages 50-54, male</v>
      </c>
      <c r="C9950" t="s">
        <v>666</v>
      </c>
      <c r="D9950" t="s">
        <v>667</v>
      </c>
      <c r="E9950" t="s">
        <v>383</v>
      </c>
      <c r="F9950" t="s">
        <v>712</v>
      </c>
      <c r="G9950">
        <v>94000</v>
      </c>
      <c r="H9950">
        <v>95000</v>
      </c>
    </row>
    <row r="9951" spans="2:8" x14ac:dyDescent="0.25">
      <c r="B9951" t="str">
        <f t="shared" si="155"/>
        <v>URYPopulation ages 55-59, male</v>
      </c>
      <c r="C9951" t="s">
        <v>666</v>
      </c>
      <c r="D9951" t="s">
        <v>667</v>
      </c>
      <c r="E9951" t="s">
        <v>385</v>
      </c>
      <c r="F9951" t="s">
        <v>713</v>
      </c>
      <c r="G9951">
        <v>93000</v>
      </c>
      <c r="H9951">
        <v>93000</v>
      </c>
    </row>
    <row r="9952" spans="2:8" x14ac:dyDescent="0.25">
      <c r="B9952" t="str">
        <f t="shared" si="155"/>
        <v>URYPopulation ages 55-59, female</v>
      </c>
      <c r="C9952" t="s">
        <v>666</v>
      </c>
      <c r="D9952" t="s">
        <v>667</v>
      </c>
      <c r="E9952" t="s">
        <v>384</v>
      </c>
      <c r="F9952" t="s">
        <v>714</v>
      </c>
      <c r="G9952">
        <v>102000</v>
      </c>
      <c r="H9952">
        <v>102000</v>
      </c>
    </row>
    <row r="9953" spans="2:8" x14ac:dyDescent="0.25">
      <c r="B9953" t="str">
        <f t="shared" si="155"/>
        <v>URYPopulation ages 65-69, male</v>
      </c>
      <c r="C9953" t="s">
        <v>666</v>
      </c>
      <c r="D9953" t="s">
        <v>667</v>
      </c>
      <c r="E9953" t="s">
        <v>389</v>
      </c>
      <c r="F9953" t="s">
        <v>715</v>
      </c>
      <c r="G9953">
        <v>67000</v>
      </c>
      <c r="H9953">
        <v>68000</v>
      </c>
    </row>
    <row r="9954" spans="2:8" x14ac:dyDescent="0.25">
      <c r="B9954" t="str">
        <f t="shared" si="155"/>
        <v>URYPopulation ages 65-69, female</v>
      </c>
      <c r="C9954" t="s">
        <v>666</v>
      </c>
      <c r="D9954" t="s">
        <v>667</v>
      </c>
      <c r="E9954" t="s">
        <v>388</v>
      </c>
      <c r="F9954" t="s">
        <v>716</v>
      </c>
      <c r="G9954">
        <v>80000</v>
      </c>
      <c r="H9954">
        <v>81000</v>
      </c>
    </row>
    <row r="9955" spans="2:8" x14ac:dyDescent="0.25">
      <c r="B9955" t="str">
        <f t="shared" si="155"/>
        <v>URYPopulation ages 60-64, female</v>
      </c>
      <c r="C9955" t="s">
        <v>666</v>
      </c>
      <c r="D9955" t="s">
        <v>667</v>
      </c>
      <c r="E9955" t="s">
        <v>386</v>
      </c>
      <c r="F9955" t="s">
        <v>717</v>
      </c>
      <c r="G9955">
        <v>94000</v>
      </c>
      <c r="H9955">
        <v>96000</v>
      </c>
    </row>
    <row r="9956" spans="2:8" x14ac:dyDescent="0.25">
      <c r="B9956" t="str">
        <f t="shared" si="155"/>
        <v>URYPopulation ages 60-64, male</v>
      </c>
      <c r="C9956" t="s">
        <v>666</v>
      </c>
      <c r="D9956" t="s">
        <v>667</v>
      </c>
      <c r="E9956" t="s">
        <v>387</v>
      </c>
      <c r="F9956" t="s">
        <v>718</v>
      </c>
      <c r="G9956">
        <v>82000</v>
      </c>
      <c r="H9956">
        <v>83000</v>
      </c>
    </row>
    <row r="9957" spans="2:8" x14ac:dyDescent="0.25">
      <c r="B9957" t="str">
        <f t="shared" si="155"/>
        <v>URYPopulation ages 70-74, female</v>
      </c>
      <c r="C9957" t="s">
        <v>666</v>
      </c>
      <c r="D9957" t="s">
        <v>667</v>
      </c>
      <c r="E9957" t="s">
        <v>390</v>
      </c>
      <c r="F9957" t="s">
        <v>719</v>
      </c>
      <c r="G9957">
        <v>69000</v>
      </c>
      <c r="H9957">
        <v>70000</v>
      </c>
    </row>
    <row r="9958" spans="2:8" x14ac:dyDescent="0.25">
      <c r="B9958" t="str">
        <f t="shared" si="155"/>
        <v>URYPopulation ages 70-74, male</v>
      </c>
      <c r="C9958" t="s">
        <v>666</v>
      </c>
      <c r="D9958" t="s">
        <v>667</v>
      </c>
      <c r="E9958" t="s">
        <v>391</v>
      </c>
      <c r="F9958" t="s">
        <v>720</v>
      </c>
      <c r="G9958">
        <v>52000</v>
      </c>
      <c r="H9958">
        <v>53000</v>
      </c>
    </row>
    <row r="9959" spans="2:8" x14ac:dyDescent="0.25">
      <c r="B9959" t="str">
        <f t="shared" si="155"/>
        <v>URYPopulation ages 75-79, female</v>
      </c>
      <c r="C9959" t="s">
        <v>666</v>
      </c>
      <c r="D9959" t="s">
        <v>667</v>
      </c>
      <c r="E9959" t="s">
        <v>392</v>
      </c>
      <c r="F9959" t="s">
        <v>721</v>
      </c>
      <c r="G9959">
        <v>57000</v>
      </c>
      <c r="H9959">
        <v>58000</v>
      </c>
    </row>
    <row r="9960" spans="2:8" x14ac:dyDescent="0.25">
      <c r="B9960" t="str">
        <f t="shared" si="155"/>
        <v>URYPopulation ages 75-79, male</v>
      </c>
      <c r="C9960" t="s">
        <v>666</v>
      </c>
      <c r="D9960" t="s">
        <v>667</v>
      </c>
      <c r="E9960" t="s">
        <v>393</v>
      </c>
      <c r="F9960" t="s">
        <v>722</v>
      </c>
      <c r="G9960">
        <v>38000</v>
      </c>
      <c r="H9960">
        <v>39000</v>
      </c>
    </row>
    <row r="9961" spans="2:8" x14ac:dyDescent="0.25">
      <c r="B9961" t="str">
        <f t="shared" si="155"/>
        <v>URYPopulation ages 80 and above, female</v>
      </c>
      <c r="C9961" t="s">
        <v>666</v>
      </c>
      <c r="D9961" t="s">
        <v>667</v>
      </c>
      <c r="E9961" t="s">
        <v>394</v>
      </c>
      <c r="F9961" t="s">
        <v>723</v>
      </c>
      <c r="G9961">
        <v>109000</v>
      </c>
      <c r="H9961">
        <v>110000</v>
      </c>
    </row>
    <row r="9962" spans="2:8" x14ac:dyDescent="0.25">
      <c r="B9962" t="str">
        <f t="shared" si="155"/>
        <v>URYPopulation ages 80 and above, male</v>
      </c>
      <c r="C9962" t="s">
        <v>666</v>
      </c>
      <c r="D9962" t="s">
        <v>667</v>
      </c>
      <c r="E9962" t="s">
        <v>395</v>
      </c>
      <c r="F9962" t="s">
        <v>724</v>
      </c>
      <c r="G9962">
        <v>45000</v>
      </c>
      <c r="H9962">
        <v>45000</v>
      </c>
    </row>
    <row r="9963" spans="2:8" x14ac:dyDescent="0.25">
      <c r="B9963" t="str">
        <f t="shared" si="155"/>
        <v>URYPopulation, male</v>
      </c>
      <c r="C9963" t="s">
        <v>666</v>
      </c>
      <c r="D9963" t="s">
        <v>667</v>
      </c>
      <c r="E9963" t="s">
        <v>397</v>
      </c>
      <c r="F9963" t="s">
        <v>725</v>
      </c>
      <c r="G9963">
        <v>1672000</v>
      </c>
      <c r="H9963">
        <v>1678000</v>
      </c>
    </row>
    <row r="9964" spans="2:8" x14ac:dyDescent="0.25">
      <c r="B9964" t="str">
        <f t="shared" si="155"/>
        <v>URYPopulation, total</v>
      </c>
      <c r="C9964" t="s">
        <v>666</v>
      </c>
      <c r="D9964" t="s">
        <v>667</v>
      </c>
      <c r="E9964" t="s">
        <v>398</v>
      </c>
      <c r="F9964" t="s">
        <v>726</v>
      </c>
      <c r="G9964">
        <v>3462000</v>
      </c>
      <c r="H9964">
        <v>3474000</v>
      </c>
    </row>
    <row r="9965" spans="2:8" x14ac:dyDescent="0.25">
      <c r="B9965" t="str">
        <f t="shared" si="155"/>
        <v>URYPopulation, female</v>
      </c>
      <c r="C9965" t="s">
        <v>666</v>
      </c>
      <c r="D9965" t="s">
        <v>667</v>
      </c>
      <c r="E9965" t="s">
        <v>396</v>
      </c>
      <c r="F9965" t="s">
        <v>727</v>
      </c>
      <c r="G9965">
        <v>1790000</v>
      </c>
      <c r="H9965">
        <v>1795000</v>
      </c>
    </row>
    <row r="9966" spans="2:8" x14ac:dyDescent="0.25">
      <c r="B9966" t="str">
        <f t="shared" si="155"/>
        <v>URYPopulation growth (annual %)</v>
      </c>
      <c r="C9966" t="s">
        <v>666</v>
      </c>
      <c r="D9966" t="s">
        <v>667</v>
      </c>
      <c r="E9966" t="s">
        <v>399</v>
      </c>
      <c r="F9966" t="s">
        <v>728</v>
      </c>
      <c r="G9966">
        <v>0</v>
      </c>
      <c r="H9966">
        <v>0</v>
      </c>
    </row>
    <row r="9967" spans="2:8" x14ac:dyDescent="0.25">
      <c r="B9967" t="str">
        <f t="shared" si="155"/>
        <v>UZBPopulation ages 0-14, female</v>
      </c>
      <c r="C9967" t="s">
        <v>668</v>
      </c>
      <c r="D9967" t="s">
        <v>150</v>
      </c>
      <c r="E9967" t="s">
        <v>687</v>
      </c>
      <c r="F9967" t="s">
        <v>688</v>
      </c>
      <c r="G9967">
        <v>4673000</v>
      </c>
      <c r="H9967">
        <v>4727000</v>
      </c>
    </row>
    <row r="9968" spans="2:8" x14ac:dyDescent="0.25">
      <c r="B9968" t="str">
        <f t="shared" si="155"/>
        <v>UZBPopulation ages 0-14, male</v>
      </c>
      <c r="C9968" t="s">
        <v>668</v>
      </c>
      <c r="D9968" t="s">
        <v>150</v>
      </c>
      <c r="E9968" t="s">
        <v>689</v>
      </c>
      <c r="F9968" t="s">
        <v>690</v>
      </c>
      <c r="G9968">
        <v>4934000</v>
      </c>
      <c r="H9968">
        <v>4993000</v>
      </c>
    </row>
    <row r="9969" spans="2:8" x14ac:dyDescent="0.25">
      <c r="B9969" t="str">
        <f t="shared" si="155"/>
        <v>UZBPopulation ages 00-04, female</v>
      </c>
      <c r="C9969" t="s">
        <v>668</v>
      </c>
      <c r="D9969" t="s">
        <v>150</v>
      </c>
      <c r="E9969" t="s">
        <v>362</v>
      </c>
      <c r="F9969" t="s">
        <v>691</v>
      </c>
      <c r="G9969">
        <v>1686000</v>
      </c>
      <c r="H9969">
        <v>1679000</v>
      </c>
    </row>
    <row r="9970" spans="2:8" x14ac:dyDescent="0.25">
      <c r="B9970" t="str">
        <f t="shared" si="155"/>
        <v>UZBPopulation ages 00-04, male</v>
      </c>
      <c r="C9970" t="s">
        <v>668</v>
      </c>
      <c r="D9970" t="s">
        <v>150</v>
      </c>
      <c r="E9970" t="s">
        <v>363</v>
      </c>
      <c r="F9970" t="s">
        <v>692</v>
      </c>
      <c r="G9970">
        <v>1788000</v>
      </c>
      <c r="H9970">
        <v>1782000</v>
      </c>
    </row>
    <row r="9971" spans="2:8" x14ac:dyDescent="0.25">
      <c r="B9971" t="str">
        <f t="shared" si="155"/>
        <v>UZBPopulation ages 05-09, female</v>
      </c>
      <c r="C9971" t="s">
        <v>668</v>
      </c>
      <c r="D9971" t="s">
        <v>150</v>
      </c>
      <c r="E9971" t="s">
        <v>364</v>
      </c>
      <c r="F9971" t="s">
        <v>693</v>
      </c>
      <c r="G9971">
        <v>1591000</v>
      </c>
      <c r="H9971">
        <v>1612000</v>
      </c>
    </row>
    <row r="9972" spans="2:8" x14ac:dyDescent="0.25">
      <c r="B9972" t="str">
        <f t="shared" si="155"/>
        <v>UZBPopulation ages 05-09, male</v>
      </c>
      <c r="C9972" t="s">
        <v>668</v>
      </c>
      <c r="D9972" t="s">
        <v>150</v>
      </c>
      <c r="E9972" t="s">
        <v>365</v>
      </c>
      <c r="F9972" t="s">
        <v>694</v>
      </c>
      <c r="G9972">
        <v>1676000</v>
      </c>
      <c r="H9972">
        <v>1698000</v>
      </c>
    </row>
    <row r="9973" spans="2:8" x14ac:dyDescent="0.25">
      <c r="B9973" t="str">
        <f t="shared" si="155"/>
        <v>UZBPopulation ages 10-14, female</v>
      </c>
      <c r="C9973" t="s">
        <v>668</v>
      </c>
      <c r="D9973" t="s">
        <v>150</v>
      </c>
      <c r="E9973" t="s">
        <v>366</v>
      </c>
      <c r="F9973" t="s">
        <v>695</v>
      </c>
      <c r="G9973">
        <v>1396000</v>
      </c>
      <c r="H9973">
        <v>1437000</v>
      </c>
    </row>
    <row r="9974" spans="2:8" x14ac:dyDescent="0.25">
      <c r="B9974" t="str">
        <f t="shared" si="155"/>
        <v>UZBPopulation ages 10-14, male</v>
      </c>
      <c r="C9974" t="s">
        <v>668</v>
      </c>
      <c r="D9974" t="s">
        <v>150</v>
      </c>
      <c r="E9974" t="s">
        <v>367</v>
      </c>
      <c r="F9974" t="s">
        <v>696</v>
      </c>
      <c r="G9974">
        <v>1470000</v>
      </c>
      <c r="H9974">
        <v>1513000</v>
      </c>
    </row>
    <row r="9975" spans="2:8" x14ac:dyDescent="0.25">
      <c r="B9975" t="str">
        <f t="shared" si="155"/>
        <v>UZBPopulation ages 15-19, female</v>
      </c>
      <c r="C9975" t="s">
        <v>668</v>
      </c>
      <c r="D9975" t="s">
        <v>150</v>
      </c>
      <c r="E9975" t="s">
        <v>368</v>
      </c>
      <c r="F9975" t="s">
        <v>697</v>
      </c>
      <c r="G9975">
        <v>1255000</v>
      </c>
      <c r="H9975">
        <v>1250000</v>
      </c>
    </row>
    <row r="9976" spans="2:8" x14ac:dyDescent="0.25">
      <c r="B9976" t="str">
        <f t="shared" si="155"/>
        <v>UZBPopulation ages 15-19, male</v>
      </c>
      <c r="C9976" t="s">
        <v>668</v>
      </c>
      <c r="D9976" t="s">
        <v>150</v>
      </c>
      <c r="E9976" t="s">
        <v>369</v>
      </c>
      <c r="F9976" t="s">
        <v>698</v>
      </c>
      <c r="G9976">
        <v>1311000</v>
      </c>
      <c r="H9976">
        <v>1307000</v>
      </c>
    </row>
    <row r="9977" spans="2:8" x14ac:dyDescent="0.25">
      <c r="B9977" t="str">
        <f t="shared" si="155"/>
        <v>UZBPopulation ages 20-24, female</v>
      </c>
      <c r="C9977" t="s">
        <v>668</v>
      </c>
      <c r="D9977" t="s">
        <v>150</v>
      </c>
      <c r="E9977" t="s">
        <v>370</v>
      </c>
      <c r="F9977" t="s">
        <v>699</v>
      </c>
      <c r="G9977">
        <v>1422000</v>
      </c>
      <c r="H9977">
        <v>1374000</v>
      </c>
    </row>
    <row r="9978" spans="2:8" x14ac:dyDescent="0.25">
      <c r="B9978" t="str">
        <f t="shared" si="155"/>
        <v>UZBPopulation ages 20-24, male</v>
      </c>
      <c r="C9978" t="s">
        <v>668</v>
      </c>
      <c r="D9978" t="s">
        <v>150</v>
      </c>
      <c r="E9978" t="s">
        <v>371</v>
      </c>
      <c r="F9978" t="s">
        <v>700</v>
      </c>
      <c r="G9978">
        <v>1483000</v>
      </c>
      <c r="H9978">
        <v>1432000</v>
      </c>
    </row>
    <row r="9979" spans="2:8" x14ac:dyDescent="0.25">
      <c r="B9979" t="str">
        <f t="shared" si="155"/>
        <v>UZBPopulation ages 25-29, female</v>
      </c>
      <c r="C9979" t="s">
        <v>668</v>
      </c>
      <c r="D9979" t="s">
        <v>150</v>
      </c>
      <c r="E9979" t="s">
        <v>372</v>
      </c>
      <c r="F9979" t="s">
        <v>701</v>
      </c>
      <c r="G9979">
        <v>1581000</v>
      </c>
      <c r="H9979">
        <v>1562000</v>
      </c>
    </row>
    <row r="9980" spans="2:8" x14ac:dyDescent="0.25">
      <c r="B9980" t="str">
        <f t="shared" si="155"/>
        <v>UZBPopulation ages 25-29, male</v>
      </c>
      <c r="C9980" t="s">
        <v>668</v>
      </c>
      <c r="D9980" t="s">
        <v>150</v>
      </c>
      <c r="E9980" t="s">
        <v>373</v>
      </c>
      <c r="F9980" t="s">
        <v>702</v>
      </c>
      <c r="G9980">
        <v>1645000</v>
      </c>
      <c r="H9980">
        <v>1630000</v>
      </c>
    </row>
    <row r="9981" spans="2:8" x14ac:dyDescent="0.25">
      <c r="B9981" t="str">
        <f t="shared" si="155"/>
        <v>UZBPopulation ages 30-34, female</v>
      </c>
      <c r="C9981" t="s">
        <v>668</v>
      </c>
      <c r="D9981" t="s">
        <v>150</v>
      </c>
      <c r="E9981" t="s">
        <v>374</v>
      </c>
      <c r="F9981" t="s">
        <v>703</v>
      </c>
      <c r="G9981">
        <v>1491000</v>
      </c>
      <c r="H9981">
        <v>1519000</v>
      </c>
    </row>
    <row r="9982" spans="2:8" x14ac:dyDescent="0.25">
      <c r="B9982" t="str">
        <f t="shared" si="155"/>
        <v>UZBPopulation ages 30-34, male</v>
      </c>
      <c r="C9982" t="s">
        <v>668</v>
      </c>
      <c r="D9982" t="s">
        <v>150</v>
      </c>
      <c r="E9982" t="s">
        <v>375</v>
      </c>
      <c r="F9982" t="s">
        <v>704</v>
      </c>
      <c r="G9982">
        <v>1500000</v>
      </c>
      <c r="H9982">
        <v>1536000</v>
      </c>
    </row>
    <row r="9983" spans="2:8" x14ac:dyDescent="0.25">
      <c r="B9983" t="str">
        <f t="shared" si="155"/>
        <v>UZBPopulation ages 35-39, female</v>
      </c>
      <c r="C9983" t="s">
        <v>668</v>
      </c>
      <c r="D9983" t="s">
        <v>150</v>
      </c>
      <c r="E9983" t="s">
        <v>376</v>
      </c>
      <c r="F9983" t="s">
        <v>705</v>
      </c>
      <c r="G9983">
        <v>1250000</v>
      </c>
      <c r="H9983">
        <v>1293000</v>
      </c>
    </row>
    <row r="9984" spans="2:8" x14ac:dyDescent="0.25">
      <c r="B9984" t="str">
        <f t="shared" si="155"/>
        <v>UZBPopulation ages 35-39, male</v>
      </c>
      <c r="C9984" t="s">
        <v>668</v>
      </c>
      <c r="D9984" t="s">
        <v>150</v>
      </c>
      <c r="E9984" t="s">
        <v>377</v>
      </c>
      <c r="F9984" t="s">
        <v>706</v>
      </c>
      <c r="G9984">
        <v>1231000</v>
      </c>
      <c r="H9984">
        <v>1275000</v>
      </c>
    </row>
    <row r="9985" spans="2:8" x14ac:dyDescent="0.25">
      <c r="B9985" t="str">
        <f t="shared" si="155"/>
        <v>UZBPopulation ages 40-44, female</v>
      </c>
      <c r="C9985" t="s">
        <v>668</v>
      </c>
      <c r="D9985" t="s">
        <v>150</v>
      </c>
      <c r="E9985" t="s">
        <v>378</v>
      </c>
      <c r="F9985" t="s">
        <v>707</v>
      </c>
      <c r="G9985">
        <v>1048000</v>
      </c>
      <c r="H9985">
        <v>1076000</v>
      </c>
    </row>
    <row r="9986" spans="2:8" x14ac:dyDescent="0.25">
      <c r="B9986" t="str">
        <f t="shared" si="155"/>
        <v>UZBPopulation ages 40-44, male</v>
      </c>
      <c r="C9986" t="s">
        <v>668</v>
      </c>
      <c r="D9986" t="s">
        <v>150</v>
      </c>
      <c r="E9986" t="s">
        <v>379</v>
      </c>
      <c r="F9986" t="s">
        <v>708</v>
      </c>
      <c r="G9986">
        <v>1019000</v>
      </c>
      <c r="H9986">
        <v>1047000</v>
      </c>
    </row>
    <row r="9987" spans="2:8" x14ac:dyDescent="0.25">
      <c r="B9987" t="str">
        <f t="shared" si="155"/>
        <v>UZBPopulation ages 45-49, female</v>
      </c>
      <c r="C9987" t="s">
        <v>668</v>
      </c>
      <c r="D9987" t="s">
        <v>150</v>
      </c>
      <c r="E9987" t="s">
        <v>380</v>
      </c>
      <c r="F9987" t="s">
        <v>709</v>
      </c>
      <c r="G9987">
        <v>923000</v>
      </c>
      <c r="H9987">
        <v>943000</v>
      </c>
    </row>
    <row r="9988" spans="2:8" x14ac:dyDescent="0.25">
      <c r="B9988" t="str">
        <f t="shared" si="155"/>
        <v>UZBPopulation ages 45-49, male</v>
      </c>
      <c r="C9988" t="s">
        <v>668</v>
      </c>
      <c r="D9988" t="s">
        <v>150</v>
      </c>
      <c r="E9988" t="s">
        <v>381</v>
      </c>
      <c r="F9988" t="s">
        <v>710</v>
      </c>
      <c r="G9988">
        <v>874000</v>
      </c>
      <c r="H9988">
        <v>897000</v>
      </c>
    </row>
    <row r="9989" spans="2:8" x14ac:dyDescent="0.25">
      <c r="B9989" t="str">
        <f t="shared" si="155"/>
        <v>UZBPopulation ages 50-54, female</v>
      </c>
      <c r="C9989" t="s">
        <v>668</v>
      </c>
      <c r="D9989" t="s">
        <v>150</v>
      </c>
      <c r="E9989" t="s">
        <v>382</v>
      </c>
      <c r="F9989" t="s">
        <v>711</v>
      </c>
      <c r="G9989">
        <v>824000</v>
      </c>
      <c r="H9989">
        <v>826000</v>
      </c>
    </row>
    <row r="9990" spans="2:8" x14ac:dyDescent="0.25">
      <c r="B9990" t="str">
        <f t="shared" si="155"/>
        <v>UZBPopulation ages 50-54, male</v>
      </c>
      <c r="C9990" t="s">
        <v>668</v>
      </c>
      <c r="D9990" t="s">
        <v>150</v>
      </c>
      <c r="E9990" t="s">
        <v>383</v>
      </c>
      <c r="F9990" t="s">
        <v>712</v>
      </c>
      <c r="G9990">
        <v>750000</v>
      </c>
      <c r="H9990">
        <v>756000</v>
      </c>
    </row>
    <row r="9991" spans="2:8" x14ac:dyDescent="0.25">
      <c r="B9991" t="str">
        <f t="shared" ref="B9991:B10054" si="156">CONCATENATE(D9991,E9991)</f>
        <v>UZBPopulation ages 55-59, male</v>
      </c>
      <c r="C9991" t="s">
        <v>668</v>
      </c>
      <c r="D9991" t="s">
        <v>150</v>
      </c>
      <c r="E9991" t="s">
        <v>385</v>
      </c>
      <c r="F9991" t="s">
        <v>713</v>
      </c>
      <c r="G9991">
        <v>698000</v>
      </c>
      <c r="H9991">
        <v>709000</v>
      </c>
    </row>
    <row r="9992" spans="2:8" x14ac:dyDescent="0.25">
      <c r="B9992" t="str">
        <f t="shared" si="156"/>
        <v>UZBPopulation ages 55-59, female</v>
      </c>
      <c r="C9992" t="s">
        <v>668</v>
      </c>
      <c r="D9992" t="s">
        <v>150</v>
      </c>
      <c r="E9992" t="s">
        <v>384</v>
      </c>
      <c r="F9992" t="s">
        <v>714</v>
      </c>
      <c r="G9992">
        <v>789000</v>
      </c>
      <c r="H9992">
        <v>803000</v>
      </c>
    </row>
    <row r="9993" spans="2:8" x14ac:dyDescent="0.25">
      <c r="B9993" t="str">
        <f t="shared" si="156"/>
        <v>UZBPopulation ages 65-69, male</v>
      </c>
      <c r="C9993" t="s">
        <v>668</v>
      </c>
      <c r="D9993" t="s">
        <v>150</v>
      </c>
      <c r="E9993" t="s">
        <v>389</v>
      </c>
      <c r="F9993" t="s">
        <v>715</v>
      </c>
      <c r="G9993">
        <v>326000</v>
      </c>
      <c r="H9993">
        <v>358000</v>
      </c>
    </row>
    <row r="9994" spans="2:8" x14ac:dyDescent="0.25">
      <c r="B9994" t="str">
        <f t="shared" si="156"/>
        <v>UZBPopulation ages 65-69, female</v>
      </c>
      <c r="C9994" t="s">
        <v>668</v>
      </c>
      <c r="D9994" t="s">
        <v>150</v>
      </c>
      <c r="E9994" t="s">
        <v>388</v>
      </c>
      <c r="F9994" t="s">
        <v>716</v>
      </c>
      <c r="G9994">
        <v>382000</v>
      </c>
      <c r="H9994">
        <v>420000</v>
      </c>
    </row>
    <row r="9995" spans="2:8" x14ac:dyDescent="0.25">
      <c r="B9995" t="str">
        <f t="shared" si="156"/>
        <v>UZBPopulation ages 60-64, female</v>
      </c>
      <c r="C9995" t="s">
        <v>668</v>
      </c>
      <c r="D9995" t="s">
        <v>150</v>
      </c>
      <c r="E9995" t="s">
        <v>386</v>
      </c>
      <c r="F9995" t="s">
        <v>717</v>
      </c>
      <c r="G9995">
        <v>598000</v>
      </c>
      <c r="H9995">
        <v>629000</v>
      </c>
    </row>
    <row r="9996" spans="2:8" x14ac:dyDescent="0.25">
      <c r="B9996" t="str">
        <f t="shared" si="156"/>
        <v>UZBPopulation ages 60-64, male</v>
      </c>
      <c r="C9996" t="s">
        <v>668</v>
      </c>
      <c r="D9996" t="s">
        <v>150</v>
      </c>
      <c r="E9996" t="s">
        <v>387</v>
      </c>
      <c r="F9996" t="s">
        <v>718</v>
      </c>
      <c r="G9996">
        <v>526000</v>
      </c>
      <c r="H9996">
        <v>550000</v>
      </c>
    </row>
    <row r="9997" spans="2:8" x14ac:dyDescent="0.25">
      <c r="B9997" t="str">
        <f t="shared" si="156"/>
        <v>UZBPopulation ages 70-74, female</v>
      </c>
      <c r="C9997" t="s">
        <v>668</v>
      </c>
      <c r="D9997" t="s">
        <v>150</v>
      </c>
      <c r="E9997" t="s">
        <v>390</v>
      </c>
      <c r="F9997" t="s">
        <v>719</v>
      </c>
      <c r="G9997">
        <v>179000</v>
      </c>
      <c r="H9997">
        <v>197000</v>
      </c>
    </row>
    <row r="9998" spans="2:8" x14ac:dyDescent="0.25">
      <c r="B9998" t="str">
        <f t="shared" si="156"/>
        <v>UZBPopulation ages 70-74, male</v>
      </c>
      <c r="C9998" t="s">
        <v>668</v>
      </c>
      <c r="D9998" t="s">
        <v>150</v>
      </c>
      <c r="E9998" t="s">
        <v>391</v>
      </c>
      <c r="F9998" t="s">
        <v>720</v>
      </c>
      <c r="G9998">
        <v>136000</v>
      </c>
      <c r="H9998">
        <v>150000</v>
      </c>
    </row>
    <row r="9999" spans="2:8" x14ac:dyDescent="0.25">
      <c r="B9999" t="str">
        <f t="shared" si="156"/>
        <v>UZBPopulation ages 75-79, female</v>
      </c>
      <c r="C9999" t="s">
        <v>668</v>
      </c>
      <c r="D9999" t="s">
        <v>150</v>
      </c>
      <c r="E9999" t="s">
        <v>392</v>
      </c>
      <c r="F9999" t="s">
        <v>721</v>
      </c>
      <c r="G9999">
        <v>134000</v>
      </c>
      <c r="H9999">
        <v>131000</v>
      </c>
    </row>
    <row r="10000" spans="2:8" x14ac:dyDescent="0.25">
      <c r="B10000" t="str">
        <f t="shared" si="156"/>
        <v>UZBPopulation ages 75-79, male</v>
      </c>
      <c r="C10000" t="s">
        <v>668</v>
      </c>
      <c r="D10000" t="s">
        <v>150</v>
      </c>
      <c r="E10000" t="s">
        <v>393</v>
      </c>
      <c r="F10000" t="s">
        <v>722</v>
      </c>
      <c r="G10000">
        <v>103000</v>
      </c>
      <c r="H10000">
        <v>99000</v>
      </c>
    </row>
    <row r="10001" spans="2:8" x14ac:dyDescent="0.25">
      <c r="B10001" t="str">
        <f t="shared" si="156"/>
        <v>UZBPopulation ages 80 and above, female</v>
      </c>
      <c r="C10001" t="s">
        <v>668</v>
      </c>
      <c r="D10001" t="s">
        <v>150</v>
      </c>
      <c r="E10001" t="s">
        <v>394</v>
      </c>
      <c r="F10001" t="s">
        <v>723</v>
      </c>
      <c r="G10001">
        <v>170000</v>
      </c>
      <c r="H10001">
        <v>164000</v>
      </c>
    </row>
    <row r="10002" spans="2:8" x14ac:dyDescent="0.25">
      <c r="B10002" t="str">
        <f t="shared" si="156"/>
        <v>UZBPopulation ages 80 and above, male</v>
      </c>
      <c r="C10002" t="s">
        <v>668</v>
      </c>
      <c r="D10002" t="s">
        <v>150</v>
      </c>
      <c r="E10002" t="s">
        <v>395</v>
      </c>
      <c r="F10002" t="s">
        <v>724</v>
      </c>
      <c r="G10002">
        <v>102000</v>
      </c>
      <c r="H10002">
        <v>98000</v>
      </c>
    </row>
    <row r="10003" spans="2:8" x14ac:dyDescent="0.25">
      <c r="B10003" t="str">
        <f t="shared" si="156"/>
        <v>UZBPopulation, male</v>
      </c>
      <c r="C10003" t="s">
        <v>668</v>
      </c>
      <c r="D10003" t="s">
        <v>150</v>
      </c>
      <c r="E10003" t="s">
        <v>397</v>
      </c>
      <c r="F10003" t="s">
        <v>725</v>
      </c>
      <c r="G10003">
        <v>16639000</v>
      </c>
      <c r="H10003">
        <v>16836000</v>
      </c>
    </row>
    <row r="10004" spans="2:8" x14ac:dyDescent="0.25">
      <c r="B10004" t="str">
        <f t="shared" si="156"/>
        <v>UZBPopulation, total</v>
      </c>
      <c r="C10004" t="s">
        <v>668</v>
      </c>
      <c r="D10004" t="s">
        <v>150</v>
      </c>
      <c r="E10004" t="s">
        <v>398</v>
      </c>
      <c r="F10004" t="s">
        <v>726</v>
      </c>
      <c r="G10004">
        <v>33360000</v>
      </c>
      <c r="H10004">
        <v>33749000</v>
      </c>
    </row>
    <row r="10005" spans="2:8" x14ac:dyDescent="0.25">
      <c r="B10005" t="str">
        <f t="shared" si="156"/>
        <v>UZBPopulation, female</v>
      </c>
      <c r="C10005" t="s">
        <v>668</v>
      </c>
      <c r="D10005" t="s">
        <v>150</v>
      </c>
      <c r="E10005" t="s">
        <v>396</v>
      </c>
      <c r="F10005" t="s">
        <v>727</v>
      </c>
      <c r="G10005">
        <v>16721000</v>
      </c>
      <c r="H10005">
        <v>16912000</v>
      </c>
    </row>
    <row r="10006" spans="2:8" x14ac:dyDescent="0.25">
      <c r="B10006" t="str">
        <f t="shared" si="156"/>
        <v>UZBPopulation growth (annual %)</v>
      </c>
      <c r="C10006" t="s">
        <v>668</v>
      </c>
      <c r="D10006" t="s">
        <v>150</v>
      </c>
      <c r="E10006" t="s">
        <v>399</v>
      </c>
      <c r="F10006" t="s">
        <v>728</v>
      </c>
      <c r="G10006">
        <v>0</v>
      </c>
      <c r="H10006">
        <v>0</v>
      </c>
    </row>
    <row r="10007" spans="2:8" x14ac:dyDescent="0.25">
      <c r="B10007" t="str">
        <f t="shared" si="156"/>
        <v>VUTPopulation ages 0-14, female</v>
      </c>
      <c r="C10007" t="s">
        <v>258</v>
      </c>
      <c r="D10007" t="s">
        <v>151</v>
      </c>
      <c r="E10007" t="s">
        <v>687</v>
      </c>
      <c r="F10007" t="s">
        <v>688</v>
      </c>
      <c r="G10007">
        <v>56000</v>
      </c>
      <c r="H10007">
        <v>57000</v>
      </c>
    </row>
    <row r="10008" spans="2:8" x14ac:dyDescent="0.25">
      <c r="B10008" t="str">
        <f t="shared" si="156"/>
        <v>VUTPopulation ages 0-14, male</v>
      </c>
      <c r="C10008" t="s">
        <v>258</v>
      </c>
      <c r="D10008" t="s">
        <v>151</v>
      </c>
      <c r="E10008" t="s">
        <v>689</v>
      </c>
      <c r="F10008" t="s">
        <v>690</v>
      </c>
      <c r="G10008">
        <v>60000</v>
      </c>
      <c r="H10008">
        <v>61000</v>
      </c>
    </row>
    <row r="10009" spans="2:8" x14ac:dyDescent="0.25">
      <c r="B10009" t="str">
        <f t="shared" si="156"/>
        <v>VUTPopulation ages 00-04, female</v>
      </c>
      <c r="C10009" t="s">
        <v>258</v>
      </c>
      <c r="D10009" t="s">
        <v>151</v>
      </c>
      <c r="E10009" t="s">
        <v>362</v>
      </c>
      <c r="F10009" t="s">
        <v>691</v>
      </c>
      <c r="G10009">
        <v>20000</v>
      </c>
      <c r="H10009">
        <v>20000</v>
      </c>
    </row>
    <row r="10010" spans="2:8" x14ac:dyDescent="0.25">
      <c r="B10010" t="str">
        <f t="shared" si="156"/>
        <v>VUTPopulation ages 00-04, male</v>
      </c>
      <c r="C10010" t="s">
        <v>258</v>
      </c>
      <c r="D10010" t="s">
        <v>151</v>
      </c>
      <c r="E10010" t="s">
        <v>363</v>
      </c>
      <c r="F10010" t="s">
        <v>692</v>
      </c>
      <c r="G10010">
        <v>21000</v>
      </c>
      <c r="H10010">
        <v>22000</v>
      </c>
    </row>
    <row r="10011" spans="2:8" x14ac:dyDescent="0.25">
      <c r="B10011" t="str">
        <f t="shared" si="156"/>
        <v>VUTPopulation ages 05-09, female</v>
      </c>
      <c r="C10011" t="s">
        <v>258</v>
      </c>
      <c r="D10011" t="s">
        <v>151</v>
      </c>
      <c r="E10011" t="s">
        <v>364</v>
      </c>
      <c r="F10011" t="s">
        <v>693</v>
      </c>
      <c r="G10011">
        <v>19000</v>
      </c>
      <c r="H10011">
        <v>19000</v>
      </c>
    </row>
    <row r="10012" spans="2:8" x14ac:dyDescent="0.25">
      <c r="B10012" t="str">
        <f t="shared" si="156"/>
        <v>VUTPopulation ages 05-09, male</v>
      </c>
      <c r="C10012" t="s">
        <v>258</v>
      </c>
      <c r="D10012" t="s">
        <v>151</v>
      </c>
      <c r="E10012" t="s">
        <v>365</v>
      </c>
      <c r="F10012" t="s">
        <v>694</v>
      </c>
      <c r="G10012">
        <v>20000</v>
      </c>
      <c r="H10012">
        <v>20000</v>
      </c>
    </row>
    <row r="10013" spans="2:8" x14ac:dyDescent="0.25">
      <c r="B10013" t="str">
        <f t="shared" si="156"/>
        <v>VUTPopulation ages 10-14, female</v>
      </c>
      <c r="C10013" t="s">
        <v>258</v>
      </c>
      <c r="D10013" t="s">
        <v>151</v>
      </c>
      <c r="E10013" t="s">
        <v>366</v>
      </c>
      <c r="F10013" t="s">
        <v>695</v>
      </c>
      <c r="G10013">
        <v>17000</v>
      </c>
      <c r="H10013">
        <v>18000</v>
      </c>
    </row>
    <row r="10014" spans="2:8" x14ac:dyDescent="0.25">
      <c r="B10014" t="str">
        <f t="shared" si="156"/>
        <v>VUTPopulation ages 10-14, male</v>
      </c>
      <c r="C10014" t="s">
        <v>258</v>
      </c>
      <c r="D10014" t="s">
        <v>151</v>
      </c>
      <c r="E10014" t="s">
        <v>367</v>
      </c>
      <c r="F10014" t="s">
        <v>696</v>
      </c>
      <c r="G10014">
        <v>19000</v>
      </c>
      <c r="H10014">
        <v>19000</v>
      </c>
    </row>
    <row r="10015" spans="2:8" x14ac:dyDescent="0.25">
      <c r="B10015" t="str">
        <f t="shared" si="156"/>
        <v>VUTPopulation ages 15-19, female</v>
      </c>
      <c r="C10015" t="s">
        <v>258</v>
      </c>
      <c r="D10015" t="s">
        <v>151</v>
      </c>
      <c r="E10015" t="s">
        <v>368</v>
      </c>
      <c r="F10015" t="s">
        <v>697</v>
      </c>
      <c r="G10015">
        <v>14000</v>
      </c>
      <c r="H10015">
        <v>14000</v>
      </c>
    </row>
    <row r="10016" spans="2:8" x14ac:dyDescent="0.25">
      <c r="B10016" t="str">
        <f t="shared" si="156"/>
        <v>VUTPopulation ages 15-19, male</v>
      </c>
      <c r="C10016" t="s">
        <v>258</v>
      </c>
      <c r="D10016" t="s">
        <v>151</v>
      </c>
      <c r="E10016" t="s">
        <v>369</v>
      </c>
      <c r="F10016" t="s">
        <v>698</v>
      </c>
      <c r="G10016">
        <v>15000</v>
      </c>
      <c r="H10016">
        <v>16000</v>
      </c>
    </row>
    <row r="10017" spans="2:8" x14ac:dyDescent="0.25">
      <c r="B10017" t="str">
        <f t="shared" si="156"/>
        <v>VUTPopulation ages 20-24, female</v>
      </c>
      <c r="C10017" t="s">
        <v>258</v>
      </c>
      <c r="D10017" t="s">
        <v>151</v>
      </c>
      <c r="E10017" t="s">
        <v>370</v>
      </c>
      <c r="F10017" t="s">
        <v>699</v>
      </c>
      <c r="G10017">
        <v>13000</v>
      </c>
      <c r="H10017">
        <v>13000</v>
      </c>
    </row>
    <row r="10018" spans="2:8" x14ac:dyDescent="0.25">
      <c r="B10018" t="str">
        <f t="shared" si="156"/>
        <v>VUTPopulation ages 20-24, male</v>
      </c>
      <c r="C10018" t="s">
        <v>258</v>
      </c>
      <c r="D10018" t="s">
        <v>151</v>
      </c>
      <c r="E10018" t="s">
        <v>371</v>
      </c>
      <c r="F10018" t="s">
        <v>700</v>
      </c>
      <c r="G10018">
        <v>13000</v>
      </c>
      <c r="H10018">
        <v>13000</v>
      </c>
    </row>
    <row r="10019" spans="2:8" x14ac:dyDescent="0.25">
      <c r="B10019" t="str">
        <f t="shared" si="156"/>
        <v>VUTPopulation ages 25-29, female</v>
      </c>
      <c r="C10019" t="s">
        <v>258</v>
      </c>
      <c r="D10019" t="s">
        <v>151</v>
      </c>
      <c r="E10019" t="s">
        <v>372</v>
      </c>
      <c r="F10019" t="s">
        <v>701</v>
      </c>
      <c r="G10019">
        <v>13000</v>
      </c>
      <c r="H10019">
        <v>13000</v>
      </c>
    </row>
    <row r="10020" spans="2:8" x14ac:dyDescent="0.25">
      <c r="B10020" t="str">
        <f t="shared" si="156"/>
        <v>VUTPopulation ages 25-29, male</v>
      </c>
      <c r="C10020" t="s">
        <v>258</v>
      </c>
      <c r="D10020" t="s">
        <v>151</v>
      </c>
      <c r="E10020" t="s">
        <v>373</v>
      </c>
      <c r="F10020" t="s">
        <v>702</v>
      </c>
      <c r="G10020">
        <v>12000</v>
      </c>
      <c r="H10020">
        <v>12000</v>
      </c>
    </row>
    <row r="10021" spans="2:8" x14ac:dyDescent="0.25">
      <c r="B10021" t="str">
        <f t="shared" si="156"/>
        <v>VUTPopulation ages 30-34, female</v>
      </c>
      <c r="C10021" t="s">
        <v>258</v>
      </c>
      <c r="D10021" t="s">
        <v>151</v>
      </c>
      <c r="E10021" t="s">
        <v>374</v>
      </c>
      <c r="F10021" t="s">
        <v>703</v>
      </c>
      <c r="G10021">
        <v>12000</v>
      </c>
      <c r="H10021">
        <v>12000</v>
      </c>
    </row>
    <row r="10022" spans="2:8" x14ac:dyDescent="0.25">
      <c r="B10022" t="str">
        <f t="shared" si="156"/>
        <v>VUTPopulation ages 30-34, male</v>
      </c>
      <c r="C10022" t="s">
        <v>258</v>
      </c>
      <c r="D10022" t="s">
        <v>151</v>
      </c>
      <c r="E10022" t="s">
        <v>375</v>
      </c>
      <c r="F10022" t="s">
        <v>704</v>
      </c>
      <c r="G10022">
        <v>11000</v>
      </c>
      <c r="H10022">
        <v>11000</v>
      </c>
    </row>
    <row r="10023" spans="2:8" x14ac:dyDescent="0.25">
      <c r="B10023" t="str">
        <f t="shared" si="156"/>
        <v>VUTPopulation ages 35-39, female</v>
      </c>
      <c r="C10023" t="s">
        <v>258</v>
      </c>
      <c r="D10023" t="s">
        <v>151</v>
      </c>
      <c r="E10023" t="s">
        <v>376</v>
      </c>
      <c r="F10023" t="s">
        <v>705</v>
      </c>
      <c r="G10023">
        <v>8800</v>
      </c>
      <c r="H10023">
        <v>9100</v>
      </c>
    </row>
    <row r="10024" spans="2:8" x14ac:dyDescent="0.25">
      <c r="B10024" t="str">
        <f t="shared" si="156"/>
        <v>VUTPopulation ages 35-39, male</v>
      </c>
      <c r="C10024" t="s">
        <v>258</v>
      </c>
      <c r="D10024" t="s">
        <v>151</v>
      </c>
      <c r="E10024" t="s">
        <v>377</v>
      </c>
      <c r="F10024" t="s">
        <v>706</v>
      </c>
      <c r="G10024">
        <v>8600</v>
      </c>
      <c r="H10024">
        <v>8900</v>
      </c>
    </row>
    <row r="10025" spans="2:8" x14ac:dyDescent="0.25">
      <c r="B10025" t="str">
        <f t="shared" si="156"/>
        <v>VUTPopulation ages 40-44, female</v>
      </c>
      <c r="C10025" t="s">
        <v>258</v>
      </c>
      <c r="D10025" t="s">
        <v>151</v>
      </c>
      <c r="E10025" t="s">
        <v>378</v>
      </c>
      <c r="F10025" t="s">
        <v>707</v>
      </c>
      <c r="G10025">
        <v>7800</v>
      </c>
      <c r="H10025">
        <v>8000</v>
      </c>
    </row>
    <row r="10026" spans="2:8" x14ac:dyDescent="0.25">
      <c r="B10026" t="str">
        <f t="shared" si="156"/>
        <v>VUTPopulation ages 40-44, male</v>
      </c>
      <c r="C10026" t="s">
        <v>258</v>
      </c>
      <c r="D10026" t="s">
        <v>151</v>
      </c>
      <c r="E10026" t="s">
        <v>379</v>
      </c>
      <c r="F10026" t="s">
        <v>708</v>
      </c>
      <c r="G10026">
        <v>7800</v>
      </c>
      <c r="H10026">
        <v>8100</v>
      </c>
    </row>
    <row r="10027" spans="2:8" x14ac:dyDescent="0.25">
      <c r="B10027" t="str">
        <f t="shared" si="156"/>
        <v>VUTPopulation ages 45-49, female</v>
      </c>
      <c r="C10027" t="s">
        <v>258</v>
      </c>
      <c r="D10027" t="s">
        <v>151</v>
      </c>
      <c r="E10027" t="s">
        <v>380</v>
      </c>
      <c r="F10027" t="s">
        <v>709</v>
      </c>
      <c r="G10027">
        <v>6200</v>
      </c>
      <c r="H10027">
        <v>6500</v>
      </c>
    </row>
    <row r="10028" spans="2:8" x14ac:dyDescent="0.25">
      <c r="B10028" t="str">
        <f t="shared" si="156"/>
        <v>VUTPopulation ages 45-49, male</v>
      </c>
      <c r="C10028" t="s">
        <v>258</v>
      </c>
      <c r="D10028" t="s">
        <v>151</v>
      </c>
      <c r="E10028" t="s">
        <v>381</v>
      </c>
      <c r="F10028" t="s">
        <v>710</v>
      </c>
      <c r="G10028">
        <v>6500</v>
      </c>
      <c r="H10028">
        <v>6600</v>
      </c>
    </row>
    <row r="10029" spans="2:8" x14ac:dyDescent="0.25">
      <c r="B10029" t="str">
        <f t="shared" si="156"/>
        <v>VUTPopulation ages 50-54, female</v>
      </c>
      <c r="C10029" t="s">
        <v>258</v>
      </c>
      <c r="D10029" t="s">
        <v>151</v>
      </c>
      <c r="E10029" t="s">
        <v>382</v>
      </c>
      <c r="F10029" t="s">
        <v>711</v>
      </c>
      <c r="G10029">
        <v>5400</v>
      </c>
      <c r="H10029">
        <v>5600</v>
      </c>
    </row>
    <row r="10030" spans="2:8" x14ac:dyDescent="0.25">
      <c r="B10030" t="str">
        <f t="shared" si="156"/>
        <v>VUTPopulation ages 50-54, male</v>
      </c>
      <c r="C10030" t="s">
        <v>258</v>
      </c>
      <c r="D10030" t="s">
        <v>151</v>
      </c>
      <c r="E10030" t="s">
        <v>383</v>
      </c>
      <c r="F10030" t="s">
        <v>712</v>
      </c>
      <c r="G10030">
        <v>5800</v>
      </c>
      <c r="H10030">
        <v>6000</v>
      </c>
    </row>
    <row r="10031" spans="2:8" x14ac:dyDescent="0.25">
      <c r="B10031" t="str">
        <f t="shared" si="156"/>
        <v>VUTPopulation ages 55-59, male</v>
      </c>
      <c r="C10031" t="s">
        <v>258</v>
      </c>
      <c r="D10031" t="s">
        <v>151</v>
      </c>
      <c r="E10031" t="s">
        <v>385</v>
      </c>
      <c r="F10031" t="s">
        <v>713</v>
      </c>
      <c r="G10031">
        <v>4300</v>
      </c>
      <c r="H10031">
        <v>4500</v>
      </c>
    </row>
    <row r="10032" spans="2:8" x14ac:dyDescent="0.25">
      <c r="B10032" t="str">
        <f t="shared" si="156"/>
        <v>VUTPopulation ages 55-59, female</v>
      </c>
      <c r="C10032" t="s">
        <v>258</v>
      </c>
      <c r="D10032" t="s">
        <v>151</v>
      </c>
      <c r="E10032" t="s">
        <v>384</v>
      </c>
      <c r="F10032" t="s">
        <v>714</v>
      </c>
      <c r="G10032">
        <v>4200</v>
      </c>
      <c r="H10032">
        <v>4400</v>
      </c>
    </row>
    <row r="10033" spans="2:8" x14ac:dyDescent="0.25">
      <c r="B10033" t="str">
        <f t="shared" si="156"/>
        <v>VUTPopulation ages 65-69, male</v>
      </c>
      <c r="C10033" t="s">
        <v>258</v>
      </c>
      <c r="D10033" t="s">
        <v>151</v>
      </c>
      <c r="E10033" t="s">
        <v>389</v>
      </c>
      <c r="F10033" t="s">
        <v>715</v>
      </c>
      <c r="G10033">
        <v>2300</v>
      </c>
      <c r="H10033">
        <v>2400</v>
      </c>
    </row>
    <row r="10034" spans="2:8" x14ac:dyDescent="0.25">
      <c r="B10034" t="str">
        <f t="shared" si="156"/>
        <v>VUTPopulation ages 65-69, female</v>
      </c>
      <c r="C10034" t="s">
        <v>258</v>
      </c>
      <c r="D10034" t="s">
        <v>151</v>
      </c>
      <c r="E10034" t="s">
        <v>388</v>
      </c>
      <c r="F10034" t="s">
        <v>716</v>
      </c>
      <c r="G10034">
        <v>2200</v>
      </c>
      <c r="H10034">
        <v>2300</v>
      </c>
    </row>
    <row r="10035" spans="2:8" x14ac:dyDescent="0.25">
      <c r="B10035" t="str">
        <f t="shared" si="156"/>
        <v>VUTPopulation ages 60-64, female</v>
      </c>
      <c r="C10035" t="s">
        <v>258</v>
      </c>
      <c r="D10035" t="s">
        <v>151</v>
      </c>
      <c r="E10035" t="s">
        <v>386</v>
      </c>
      <c r="F10035" t="s">
        <v>717</v>
      </c>
      <c r="G10035">
        <v>3100</v>
      </c>
      <c r="H10035">
        <v>3300</v>
      </c>
    </row>
    <row r="10036" spans="2:8" x14ac:dyDescent="0.25">
      <c r="B10036" t="str">
        <f t="shared" si="156"/>
        <v>VUTPopulation ages 60-64, male</v>
      </c>
      <c r="C10036" t="s">
        <v>258</v>
      </c>
      <c r="D10036" t="s">
        <v>151</v>
      </c>
      <c r="E10036" t="s">
        <v>387</v>
      </c>
      <c r="F10036" t="s">
        <v>718</v>
      </c>
      <c r="G10036">
        <v>3300</v>
      </c>
      <c r="H10036">
        <v>3500</v>
      </c>
    </row>
    <row r="10037" spans="2:8" x14ac:dyDescent="0.25">
      <c r="B10037" t="str">
        <f t="shared" si="156"/>
        <v>VUTPopulation ages 70-74, female</v>
      </c>
      <c r="C10037" t="s">
        <v>258</v>
      </c>
      <c r="D10037" t="s">
        <v>151</v>
      </c>
      <c r="E10037" t="s">
        <v>390</v>
      </c>
      <c r="F10037" t="s">
        <v>719</v>
      </c>
      <c r="G10037">
        <v>1500</v>
      </c>
      <c r="H10037">
        <v>1600</v>
      </c>
    </row>
    <row r="10038" spans="2:8" x14ac:dyDescent="0.25">
      <c r="B10038" t="str">
        <f t="shared" si="156"/>
        <v>VUTPopulation ages 70-74, male</v>
      </c>
      <c r="C10038" t="s">
        <v>258</v>
      </c>
      <c r="D10038" t="s">
        <v>151</v>
      </c>
      <c r="E10038" t="s">
        <v>391</v>
      </c>
      <c r="F10038" t="s">
        <v>720</v>
      </c>
      <c r="G10038">
        <v>1500</v>
      </c>
      <c r="H10038">
        <v>1600</v>
      </c>
    </row>
    <row r="10039" spans="2:8" x14ac:dyDescent="0.25">
      <c r="B10039" t="str">
        <f t="shared" si="156"/>
        <v>VUTPopulation ages 75-79, female</v>
      </c>
      <c r="C10039" t="s">
        <v>258</v>
      </c>
      <c r="D10039" t="s">
        <v>151</v>
      </c>
      <c r="E10039" t="s">
        <v>392</v>
      </c>
      <c r="F10039" t="s">
        <v>721</v>
      </c>
      <c r="G10039">
        <v>800</v>
      </c>
      <c r="H10039">
        <v>800</v>
      </c>
    </row>
    <row r="10040" spans="2:8" x14ac:dyDescent="0.25">
      <c r="B10040" t="str">
        <f t="shared" si="156"/>
        <v>VUTPopulation ages 75-79, male</v>
      </c>
      <c r="C10040" t="s">
        <v>258</v>
      </c>
      <c r="D10040" t="s">
        <v>151</v>
      </c>
      <c r="E10040" t="s">
        <v>393</v>
      </c>
      <c r="F10040" t="s">
        <v>722</v>
      </c>
      <c r="G10040">
        <v>900</v>
      </c>
      <c r="H10040">
        <v>900</v>
      </c>
    </row>
    <row r="10041" spans="2:8" x14ac:dyDescent="0.25">
      <c r="B10041" t="str">
        <f t="shared" si="156"/>
        <v>VUTPopulation ages 80 and above, female</v>
      </c>
      <c r="C10041" t="s">
        <v>258</v>
      </c>
      <c r="D10041" t="s">
        <v>151</v>
      </c>
      <c r="E10041" t="s">
        <v>394</v>
      </c>
      <c r="F10041" t="s">
        <v>723</v>
      </c>
      <c r="G10041">
        <v>800</v>
      </c>
      <c r="H10041">
        <v>700</v>
      </c>
    </row>
    <row r="10042" spans="2:8" x14ac:dyDescent="0.25">
      <c r="B10042" t="str">
        <f t="shared" si="156"/>
        <v>VUTPopulation ages 80 and above, male</v>
      </c>
      <c r="C10042" t="s">
        <v>258</v>
      </c>
      <c r="D10042" t="s">
        <v>151</v>
      </c>
      <c r="E10042" t="s">
        <v>395</v>
      </c>
      <c r="F10042" t="s">
        <v>724</v>
      </c>
      <c r="G10042">
        <v>900</v>
      </c>
      <c r="H10042">
        <v>800</v>
      </c>
    </row>
    <row r="10043" spans="2:8" x14ac:dyDescent="0.25">
      <c r="B10043" t="str">
        <f t="shared" si="156"/>
        <v>VUTPopulation, male</v>
      </c>
      <c r="C10043" t="s">
        <v>258</v>
      </c>
      <c r="D10043" t="s">
        <v>151</v>
      </c>
      <c r="E10043" t="s">
        <v>397</v>
      </c>
      <c r="F10043" t="s">
        <v>725</v>
      </c>
      <c r="G10043">
        <v>152000</v>
      </c>
      <c r="H10043">
        <v>156000</v>
      </c>
    </row>
    <row r="10044" spans="2:8" x14ac:dyDescent="0.25">
      <c r="B10044" t="str">
        <f t="shared" si="156"/>
        <v>VUTPopulation, total</v>
      </c>
      <c r="C10044" t="s">
        <v>258</v>
      </c>
      <c r="D10044" t="s">
        <v>151</v>
      </c>
      <c r="E10044" t="s">
        <v>398</v>
      </c>
      <c r="F10044" t="s">
        <v>726</v>
      </c>
      <c r="G10044">
        <v>300000</v>
      </c>
      <c r="H10044">
        <v>307000</v>
      </c>
    </row>
    <row r="10045" spans="2:8" x14ac:dyDescent="0.25">
      <c r="B10045" t="str">
        <f t="shared" si="156"/>
        <v>VUTPopulation, female</v>
      </c>
      <c r="C10045" t="s">
        <v>258</v>
      </c>
      <c r="D10045" t="s">
        <v>151</v>
      </c>
      <c r="E10045" t="s">
        <v>396</v>
      </c>
      <c r="F10045" t="s">
        <v>727</v>
      </c>
      <c r="G10045">
        <v>148000</v>
      </c>
      <c r="H10045">
        <v>151000</v>
      </c>
    </row>
    <row r="10046" spans="2:8" x14ac:dyDescent="0.25">
      <c r="B10046" t="str">
        <f t="shared" si="156"/>
        <v>VUTPopulation growth (annual %)</v>
      </c>
      <c r="C10046" t="s">
        <v>258</v>
      </c>
      <c r="D10046" t="s">
        <v>151</v>
      </c>
      <c r="E10046" t="s">
        <v>399</v>
      </c>
      <c r="F10046" t="s">
        <v>728</v>
      </c>
      <c r="G10046">
        <v>0</v>
      </c>
      <c r="H10046">
        <v>0</v>
      </c>
    </row>
    <row r="10047" spans="2:8" x14ac:dyDescent="0.25">
      <c r="B10047" t="str">
        <f t="shared" si="156"/>
        <v>VENPopulation ages 0-14, female</v>
      </c>
      <c r="C10047" t="s">
        <v>669</v>
      </c>
      <c r="D10047" t="s">
        <v>670</v>
      </c>
      <c r="E10047" t="s">
        <v>687</v>
      </c>
      <c r="F10047" t="s">
        <v>688</v>
      </c>
      <c r="G10047">
        <v>3827000</v>
      </c>
      <c r="H10047">
        <v>3795000</v>
      </c>
    </row>
    <row r="10048" spans="2:8" x14ac:dyDescent="0.25">
      <c r="B10048" t="str">
        <f t="shared" si="156"/>
        <v>VENPopulation ages 0-14, male</v>
      </c>
      <c r="C10048" t="s">
        <v>669</v>
      </c>
      <c r="D10048" t="s">
        <v>670</v>
      </c>
      <c r="E10048" t="s">
        <v>689</v>
      </c>
      <c r="F10048" t="s">
        <v>690</v>
      </c>
      <c r="G10048">
        <v>3988000</v>
      </c>
      <c r="H10048">
        <v>3957000</v>
      </c>
    </row>
    <row r="10049" spans="2:8" x14ac:dyDescent="0.25">
      <c r="B10049" t="str">
        <f t="shared" si="156"/>
        <v>VENPopulation ages 00-04, female</v>
      </c>
      <c r="C10049" t="s">
        <v>669</v>
      </c>
      <c r="D10049" t="s">
        <v>670</v>
      </c>
      <c r="E10049" t="s">
        <v>362</v>
      </c>
      <c r="F10049" t="s">
        <v>691</v>
      </c>
      <c r="G10049">
        <v>1188000</v>
      </c>
      <c r="H10049">
        <v>1161000</v>
      </c>
    </row>
    <row r="10050" spans="2:8" x14ac:dyDescent="0.25">
      <c r="B10050" t="str">
        <f t="shared" si="156"/>
        <v>VENPopulation ages 00-04, male</v>
      </c>
      <c r="C10050" t="s">
        <v>669</v>
      </c>
      <c r="D10050" t="s">
        <v>670</v>
      </c>
      <c r="E10050" t="s">
        <v>363</v>
      </c>
      <c r="F10050" t="s">
        <v>692</v>
      </c>
      <c r="G10050">
        <v>1231000</v>
      </c>
      <c r="H10050">
        <v>1203000</v>
      </c>
    </row>
    <row r="10051" spans="2:8" x14ac:dyDescent="0.25">
      <c r="B10051" t="str">
        <f t="shared" si="156"/>
        <v>VENPopulation ages 05-09, female</v>
      </c>
      <c r="C10051" t="s">
        <v>669</v>
      </c>
      <c r="D10051" t="s">
        <v>670</v>
      </c>
      <c r="E10051" t="s">
        <v>364</v>
      </c>
      <c r="F10051" t="s">
        <v>693</v>
      </c>
      <c r="G10051">
        <v>1342000</v>
      </c>
      <c r="H10051">
        <v>1336000</v>
      </c>
    </row>
    <row r="10052" spans="2:8" x14ac:dyDescent="0.25">
      <c r="B10052" t="str">
        <f t="shared" si="156"/>
        <v>VENPopulation ages 05-09, male</v>
      </c>
      <c r="C10052" t="s">
        <v>669</v>
      </c>
      <c r="D10052" t="s">
        <v>670</v>
      </c>
      <c r="E10052" t="s">
        <v>365</v>
      </c>
      <c r="F10052" t="s">
        <v>694</v>
      </c>
      <c r="G10052">
        <v>1400000</v>
      </c>
      <c r="H10052">
        <v>1395000</v>
      </c>
    </row>
    <row r="10053" spans="2:8" x14ac:dyDescent="0.25">
      <c r="B10053" t="str">
        <f t="shared" si="156"/>
        <v>VENPopulation ages 10-14, female</v>
      </c>
      <c r="C10053" t="s">
        <v>669</v>
      </c>
      <c r="D10053" t="s">
        <v>670</v>
      </c>
      <c r="E10053" t="s">
        <v>366</v>
      </c>
      <c r="F10053" t="s">
        <v>695</v>
      </c>
      <c r="G10053">
        <v>1297000</v>
      </c>
      <c r="H10053">
        <v>1298000</v>
      </c>
    </row>
    <row r="10054" spans="2:8" x14ac:dyDescent="0.25">
      <c r="B10054" t="str">
        <f t="shared" si="156"/>
        <v>VENPopulation ages 10-14, male</v>
      </c>
      <c r="C10054" t="s">
        <v>669</v>
      </c>
      <c r="D10054" t="s">
        <v>670</v>
      </c>
      <c r="E10054" t="s">
        <v>367</v>
      </c>
      <c r="F10054" t="s">
        <v>696</v>
      </c>
      <c r="G10054">
        <v>1356000</v>
      </c>
      <c r="H10054">
        <v>1360000</v>
      </c>
    </row>
    <row r="10055" spans="2:8" x14ac:dyDescent="0.25">
      <c r="B10055" t="str">
        <f t="shared" ref="B10055:B10118" si="157">CONCATENATE(D10055,E10055)</f>
        <v>VENPopulation ages 15-19, female</v>
      </c>
      <c r="C10055" t="s">
        <v>669</v>
      </c>
      <c r="D10055" t="s">
        <v>670</v>
      </c>
      <c r="E10055" t="s">
        <v>368</v>
      </c>
      <c r="F10055" t="s">
        <v>697</v>
      </c>
      <c r="G10055">
        <v>1217000</v>
      </c>
      <c r="H10055">
        <v>1226000</v>
      </c>
    </row>
    <row r="10056" spans="2:8" x14ac:dyDescent="0.25">
      <c r="B10056" t="str">
        <f t="shared" si="157"/>
        <v>VENPopulation ages 15-19, male</v>
      </c>
      <c r="C10056" t="s">
        <v>669</v>
      </c>
      <c r="D10056" t="s">
        <v>670</v>
      </c>
      <c r="E10056" t="s">
        <v>369</v>
      </c>
      <c r="F10056" t="s">
        <v>698</v>
      </c>
      <c r="G10056">
        <v>1261000</v>
      </c>
      <c r="H10056">
        <v>1275000</v>
      </c>
    </row>
    <row r="10057" spans="2:8" x14ac:dyDescent="0.25">
      <c r="B10057" t="str">
        <f t="shared" si="157"/>
        <v>VENPopulation ages 20-24, female</v>
      </c>
      <c r="C10057" t="s">
        <v>669</v>
      </c>
      <c r="D10057" t="s">
        <v>670</v>
      </c>
      <c r="E10057" t="s">
        <v>370</v>
      </c>
      <c r="F10057" t="s">
        <v>699</v>
      </c>
      <c r="G10057">
        <v>1078000</v>
      </c>
      <c r="H10057">
        <v>1047000</v>
      </c>
    </row>
    <row r="10058" spans="2:8" x14ac:dyDescent="0.25">
      <c r="B10058" t="str">
        <f t="shared" si="157"/>
        <v>VENPopulation ages 20-24, male</v>
      </c>
      <c r="C10058" t="s">
        <v>669</v>
      </c>
      <c r="D10058" t="s">
        <v>670</v>
      </c>
      <c r="E10058" t="s">
        <v>371</v>
      </c>
      <c r="F10058" t="s">
        <v>700</v>
      </c>
      <c r="G10058">
        <v>1085000</v>
      </c>
      <c r="H10058">
        <v>1055000</v>
      </c>
    </row>
    <row r="10059" spans="2:8" x14ac:dyDescent="0.25">
      <c r="B10059" t="str">
        <f t="shared" si="157"/>
        <v>VENPopulation ages 25-29, female</v>
      </c>
      <c r="C10059" t="s">
        <v>669</v>
      </c>
      <c r="D10059" t="s">
        <v>670</v>
      </c>
      <c r="E10059" t="s">
        <v>372</v>
      </c>
      <c r="F10059" t="s">
        <v>701</v>
      </c>
      <c r="G10059">
        <v>1075000</v>
      </c>
      <c r="H10059">
        <v>1025000</v>
      </c>
    </row>
    <row r="10060" spans="2:8" x14ac:dyDescent="0.25">
      <c r="B10060" t="str">
        <f t="shared" si="157"/>
        <v>VENPopulation ages 25-29, male</v>
      </c>
      <c r="C10060" t="s">
        <v>669</v>
      </c>
      <c r="D10060" t="s">
        <v>670</v>
      </c>
      <c r="E10060" t="s">
        <v>373</v>
      </c>
      <c r="F10060" t="s">
        <v>702</v>
      </c>
      <c r="G10060">
        <v>1055000</v>
      </c>
      <c r="H10060">
        <v>1003000</v>
      </c>
    </row>
    <row r="10061" spans="2:8" x14ac:dyDescent="0.25">
      <c r="B10061" t="str">
        <f t="shared" si="157"/>
        <v>VENPopulation ages 30-34, female</v>
      </c>
      <c r="C10061" t="s">
        <v>669</v>
      </c>
      <c r="D10061" t="s">
        <v>670</v>
      </c>
      <c r="E10061" t="s">
        <v>374</v>
      </c>
      <c r="F10061" t="s">
        <v>703</v>
      </c>
      <c r="G10061">
        <v>1084000</v>
      </c>
      <c r="H10061">
        <v>1056000</v>
      </c>
    </row>
    <row r="10062" spans="2:8" x14ac:dyDescent="0.25">
      <c r="B10062" t="str">
        <f t="shared" si="157"/>
        <v>VENPopulation ages 30-34, male</v>
      </c>
      <c r="C10062" t="s">
        <v>669</v>
      </c>
      <c r="D10062" t="s">
        <v>670</v>
      </c>
      <c r="E10062" t="s">
        <v>375</v>
      </c>
      <c r="F10062" t="s">
        <v>704</v>
      </c>
      <c r="G10062">
        <v>1041000</v>
      </c>
      <c r="H10062">
        <v>1008000</v>
      </c>
    </row>
    <row r="10063" spans="2:8" x14ac:dyDescent="0.25">
      <c r="B10063" t="str">
        <f t="shared" si="157"/>
        <v>VENPopulation ages 35-39, female</v>
      </c>
      <c r="C10063" t="s">
        <v>669</v>
      </c>
      <c r="D10063" t="s">
        <v>670</v>
      </c>
      <c r="E10063" t="s">
        <v>376</v>
      </c>
      <c r="F10063" t="s">
        <v>705</v>
      </c>
      <c r="G10063">
        <v>1020000</v>
      </c>
      <c r="H10063">
        <v>1011000</v>
      </c>
    </row>
    <row r="10064" spans="2:8" x14ac:dyDescent="0.25">
      <c r="B10064" t="str">
        <f t="shared" si="157"/>
        <v>VENPopulation ages 35-39, male</v>
      </c>
      <c r="C10064" t="s">
        <v>669</v>
      </c>
      <c r="D10064" t="s">
        <v>670</v>
      </c>
      <c r="E10064" t="s">
        <v>377</v>
      </c>
      <c r="F10064" t="s">
        <v>706</v>
      </c>
      <c r="G10064">
        <v>967000</v>
      </c>
      <c r="H10064">
        <v>953000</v>
      </c>
    </row>
    <row r="10065" spans="2:8" x14ac:dyDescent="0.25">
      <c r="B10065" t="str">
        <f t="shared" si="157"/>
        <v>VENPopulation ages 40-44, female</v>
      </c>
      <c r="C10065" t="s">
        <v>669</v>
      </c>
      <c r="D10065" t="s">
        <v>670</v>
      </c>
      <c r="E10065" t="s">
        <v>378</v>
      </c>
      <c r="F10065" t="s">
        <v>707</v>
      </c>
      <c r="G10065">
        <v>958000</v>
      </c>
      <c r="H10065">
        <v>964000</v>
      </c>
    </row>
    <row r="10066" spans="2:8" x14ac:dyDescent="0.25">
      <c r="B10066" t="str">
        <f t="shared" si="157"/>
        <v>VENPopulation ages 40-44, male</v>
      </c>
      <c r="C10066" t="s">
        <v>669</v>
      </c>
      <c r="D10066" t="s">
        <v>670</v>
      </c>
      <c r="E10066" t="s">
        <v>379</v>
      </c>
      <c r="F10066" t="s">
        <v>708</v>
      </c>
      <c r="G10066">
        <v>904000</v>
      </c>
      <c r="H10066">
        <v>904000</v>
      </c>
    </row>
    <row r="10067" spans="2:8" x14ac:dyDescent="0.25">
      <c r="B10067" t="str">
        <f t="shared" si="157"/>
        <v>VENPopulation ages 45-49, female</v>
      </c>
      <c r="C10067" t="s">
        <v>669</v>
      </c>
      <c r="D10067" t="s">
        <v>670</v>
      </c>
      <c r="E10067" t="s">
        <v>380</v>
      </c>
      <c r="F10067" t="s">
        <v>709</v>
      </c>
      <c r="G10067">
        <v>869000</v>
      </c>
      <c r="H10067">
        <v>875000</v>
      </c>
    </row>
    <row r="10068" spans="2:8" x14ac:dyDescent="0.25">
      <c r="B10068" t="str">
        <f t="shared" si="157"/>
        <v>VENPopulation ages 45-49, male</v>
      </c>
      <c r="C10068" t="s">
        <v>669</v>
      </c>
      <c r="D10068" t="s">
        <v>670</v>
      </c>
      <c r="E10068" t="s">
        <v>381</v>
      </c>
      <c r="F10068" t="s">
        <v>710</v>
      </c>
      <c r="G10068">
        <v>820000</v>
      </c>
      <c r="H10068">
        <v>822000</v>
      </c>
    </row>
    <row r="10069" spans="2:8" x14ac:dyDescent="0.25">
      <c r="B10069" t="str">
        <f t="shared" si="157"/>
        <v>VENPopulation ages 50-54, female</v>
      </c>
      <c r="C10069" t="s">
        <v>669</v>
      </c>
      <c r="D10069" t="s">
        <v>670</v>
      </c>
      <c r="E10069" t="s">
        <v>382</v>
      </c>
      <c r="F10069" t="s">
        <v>711</v>
      </c>
      <c r="G10069">
        <v>817000</v>
      </c>
      <c r="H10069">
        <v>827000</v>
      </c>
    </row>
    <row r="10070" spans="2:8" x14ac:dyDescent="0.25">
      <c r="B10070" t="str">
        <f t="shared" si="157"/>
        <v>VENPopulation ages 50-54, male</v>
      </c>
      <c r="C10070" t="s">
        <v>669</v>
      </c>
      <c r="D10070" t="s">
        <v>670</v>
      </c>
      <c r="E10070" t="s">
        <v>383</v>
      </c>
      <c r="F10070" t="s">
        <v>712</v>
      </c>
      <c r="G10070">
        <v>765000</v>
      </c>
      <c r="H10070">
        <v>773000</v>
      </c>
    </row>
    <row r="10071" spans="2:8" x14ac:dyDescent="0.25">
      <c r="B10071" t="str">
        <f t="shared" si="157"/>
        <v>VENPopulation ages 55-59, male</v>
      </c>
      <c r="C10071" t="s">
        <v>669</v>
      </c>
      <c r="D10071" t="s">
        <v>670</v>
      </c>
      <c r="E10071" t="s">
        <v>385</v>
      </c>
      <c r="F10071" t="s">
        <v>713</v>
      </c>
      <c r="G10071">
        <v>663000</v>
      </c>
      <c r="H10071">
        <v>677000</v>
      </c>
    </row>
    <row r="10072" spans="2:8" x14ac:dyDescent="0.25">
      <c r="B10072" t="str">
        <f t="shared" si="157"/>
        <v>VENPopulation ages 55-59, female</v>
      </c>
      <c r="C10072" t="s">
        <v>669</v>
      </c>
      <c r="D10072" t="s">
        <v>670</v>
      </c>
      <c r="E10072" t="s">
        <v>384</v>
      </c>
      <c r="F10072" t="s">
        <v>714</v>
      </c>
      <c r="G10072">
        <v>720000</v>
      </c>
      <c r="H10072">
        <v>738000</v>
      </c>
    </row>
    <row r="10073" spans="2:8" x14ac:dyDescent="0.25">
      <c r="B10073" t="str">
        <f t="shared" si="157"/>
        <v>VENPopulation ages 65-69, male</v>
      </c>
      <c r="C10073" t="s">
        <v>669</v>
      </c>
      <c r="D10073" t="s">
        <v>670</v>
      </c>
      <c r="E10073" t="s">
        <v>389</v>
      </c>
      <c r="F10073" t="s">
        <v>715</v>
      </c>
      <c r="G10073">
        <v>385000</v>
      </c>
      <c r="H10073">
        <v>404000</v>
      </c>
    </row>
    <row r="10074" spans="2:8" x14ac:dyDescent="0.25">
      <c r="B10074" t="str">
        <f t="shared" si="157"/>
        <v>VENPopulation ages 65-69, female</v>
      </c>
      <c r="C10074" t="s">
        <v>669</v>
      </c>
      <c r="D10074" t="s">
        <v>670</v>
      </c>
      <c r="E10074" t="s">
        <v>388</v>
      </c>
      <c r="F10074" t="s">
        <v>716</v>
      </c>
      <c r="G10074">
        <v>439000</v>
      </c>
      <c r="H10074">
        <v>462000</v>
      </c>
    </row>
    <row r="10075" spans="2:8" x14ac:dyDescent="0.25">
      <c r="B10075" t="str">
        <f t="shared" si="157"/>
        <v>VENPopulation ages 60-64, female</v>
      </c>
      <c r="C10075" t="s">
        <v>669</v>
      </c>
      <c r="D10075" t="s">
        <v>670</v>
      </c>
      <c r="E10075" t="s">
        <v>386</v>
      </c>
      <c r="F10075" t="s">
        <v>717</v>
      </c>
      <c r="G10075">
        <v>595000</v>
      </c>
      <c r="H10075">
        <v>620000</v>
      </c>
    </row>
    <row r="10076" spans="2:8" x14ac:dyDescent="0.25">
      <c r="B10076" t="str">
        <f t="shared" si="157"/>
        <v>VENPopulation ages 60-64, male</v>
      </c>
      <c r="C10076" t="s">
        <v>669</v>
      </c>
      <c r="D10076" t="s">
        <v>670</v>
      </c>
      <c r="E10076" t="s">
        <v>387</v>
      </c>
      <c r="F10076" t="s">
        <v>718</v>
      </c>
      <c r="G10076">
        <v>536000</v>
      </c>
      <c r="H10076">
        <v>557000</v>
      </c>
    </row>
    <row r="10077" spans="2:8" x14ac:dyDescent="0.25">
      <c r="B10077" t="str">
        <f t="shared" si="157"/>
        <v>VENPopulation ages 70-74, female</v>
      </c>
      <c r="C10077" t="s">
        <v>669</v>
      </c>
      <c r="D10077" t="s">
        <v>670</v>
      </c>
      <c r="E10077" t="s">
        <v>390</v>
      </c>
      <c r="F10077" t="s">
        <v>719</v>
      </c>
      <c r="G10077">
        <v>314000</v>
      </c>
      <c r="H10077">
        <v>330000</v>
      </c>
    </row>
    <row r="10078" spans="2:8" x14ac:dyDescent="0.25">
      <c r="B10078" t="str">
        <f t="shared" si="157"/>
        <v>VENPopulation ages 70-74, male</v>
      </c>
      <c r="C10078" t="s">
        <v>669</v>
      </c>
      <c r="D10078" t="s">
        <v>670</v>
      </c>
      <c r="E10078" t="s">
        <v>391</v>
      </c>
      <c r="F10078" t="s">
        <v>720</v>
      </c>
      <c r="G10078">
        <v>262000</v>
      </c>
      <c r="H10078">
        <v>274000</v>
      </c>
    </row>
    <row r="10079" spans="2:8" x14ac:dyDescent="0.25">
      <c r="B10079" t="str">
        <f t="shared" si="157"/>
        <v>VENPopulation ages 75-79, female</v>
      </c>
      <c r="C10079" t="s">
        <v>669</v>
      </c>
      <c r="D10079" t="s">
        <v>670</v>
      </c>
      <c r="E10079" t="s">
        <v>392</v>
      </c>
      <c r="F10079" t="s">
        <v>721</v>
      </c>
      <c r="G10079">
        <v>209000</v>
      </c>
      <c r="H10079">
        <v>218000</v>
      </c>
    </row>
    <row r="10080" spans="2:8" x14ac:dyDescent="0.25">
      <c r="B10080" t="str">
        <f t="shared" si="157"/>
        <v>VENPopulation ages 75-79, male</v>
      </c>
      <c r="C10080" t="s">
        <v>669</v>
      </c>
      <c r="D10080" t="s">
        <v>670</v>
      </c>
      <c r="E10080" t="s">
        <v>393</v>
      </c>
      <c r="F10080" t="s">
        <v>722</v>
      </c>
      <c r="G10080">
        <v>162000</v>
      </c>
      <c r="H10080">
        <v>168000</v>
      </c>
    </row>
    <row r="10081" spans="2:8" x14ac:dyDescent="0.25">
      <c r="B10081" t="str">
        <f t="shared" si="157"/>
        <v>VENPopulation ages 80 and above, female</v>
      </c>
      <c r="C10081" t="s">
        <v>669</v>
      </c>
      <c r="D10081" t="s">
        <v>670</v>
      </c>
      <c r="E10081" t="s">
        <v>394</v>
      </c>
      <c r="F10081" t="s">
        <v>723</v>
      </c>
      <c r="G10081">
        <v>248000</v>
      </c>
      <c r="H10081">
        <v>258000</v>
      </c>
    </row>
    <row r="10082" spans="2:8" x14ac:dyDescent="0.25">
      <c r="B10082" t="str">
        <f t="shared" si="157"/>
        <v>VENPopulation ages 80 and above, male</v>
      </c>
      <c r="C10082" t="s">
        <v>669</v>
      </c>
      <c r="D10082" t="s">
        <v>670</v>
      </c>
      <c r="E10082" t="s">
        <v>395</v>
      </c>
      <c r="F10082" t="s">
        <v>724</v>
      </c>
      <c r="G10082">
        <v>152000</v>
      </c>
      <c r="H10082">
        <v>155000</v>
      </c>
    </row>
    <row r="10083" spans="2:8" x14ac:dyDescent="0.25">
      <c r="B10083" t="str">
        <f t="shared" si="157"/>
        <v>VENPopulation, male</v>
      </c>
      <c r="C10083" t="s">
        <v>669</v>
      </c>
      <c r="D10083" t="s">
        <v>670</v>
      </c>
      <c r="E10083" t="s">
        <v>397</v>
      </c>
      <c r="F10083" t="s">
        <v>725</v>
      </c>
      <c r="G10083">
        <v>14045000</v>
      </c>
      <c r="H10083">
        <v>13985000</v>
      </c>
    </row>
    <row r="10084" spans="2:8" x14ac:dyDescent="0.25">
      <c r="B10084" t="str">
        <f t="shared" si="157"/>
        <v>VENPopulation, total</v>
      </c>
      <c r="C10084" t="s">
        <v>669</v>
      </c>
      <c r="D10084" t="s">
        <v>670</v>
      </c>
      <c r="E10084" t="s">
        <v>398</v>
      </c>
      <c r="F10084" t="s">
        <v>726</v>
      </c>
      <c r="G10084">
        <v>28516000</v>
      </c>
      <c r="H10084">
        <v>28436000</v>
      </c>
    </row>
    <row r="10085" spans="2:8" x14ac:dyDescent="0.25">
      <c r="B10085" t="str">
        <f t="shared" si="157"/>
        <v>VENPopulation, female</v>
      </c>
      <c r="C10085" t="s">
        <v>669</v>
      </c>
      <c r="D10085" t="s">
        <v>670</v>
      </c>
      <c r="E10085" t="s">
        <v>396</v>
      </c>
      <c r="F10085" t="s">
        <v>727</v>
      </c>
      <c r="G10085">
        <v>14471000</v>
      </c>
      <c r="H10085">
        <v>14451000</v>
      </c>
    </row>
    <row r="10086" spans="2:8" x14ac:dyDescent="0.25">
      <c r="B10086" t="str">
        <f t="shared" si="157"/>
        <v>VENPopulation growth (annual %)</v>
      </c>
      <c r="C10086" t="s">
        <v>669</v>
      </c>
      <c r="D10086" t="s">
        <v>670</v>
      </c>
      <c r="E10086" t="s">
        <v>399</v>
      </c>
      <c r="F10086" t="s">
        <v>728</v>
      </c>
      <c r="G10086">
        <v>0</v>
      </c>
      <c r="H10086">
        <v>0</v>
      </c>
    </row>
    <row r="10087" spans="2:8" x14ac:dyDescent="0.25">
      <c r="B10087" t="str">
        <f t="shared" si="157"/>
        <v>VNMPopulation ages 0-14, female</v>
      </c>
      <c r="C10087" t="s">
        <v>671</v>
      </c>
      <c r="D10087" t="s">
        <v>160</v>
      </c>
      <c r="E10087" t="s">
        <v>687</v>
      </c>
      <c r="F10087" t="s">
        <v>688</v>
      </c>
      <c r="G10087">
        <v>10593000</v>
      </c>
      <c r="H10087">
        <v>10673000</v>
      </c>
    </row>
    <row r="10088" spans="2:8" x14ac:dyDescent="0.25">
      <c r="B10088" t="str">
        <f t="shared" si="157"/>
        <v>VNMPopulation ages 0-14, male</v>
      </c>
      <c r="C10088" t="s">
        <v>671</v>
      </c>
      <c r="D10088" t="s">
        <v>160</v>
      </c>
      <c r="E10088" t="s">
        <v>689</v>
      </c>
      <c r="F10088" t="s">
        <v>690</v>
      </c>
      <c r="G10088">
        <v>11800000</v>
      </c>
      <c r="H10088">
        <v>11904000</v>
      </c>
    </row>
    <row r="10089" spans="2:8" x14ac:dyDescent="0.25">
      <c r="B10089" t="str">
        <f t="shared" si="157"/>
        <v>VNMPopulation ages 00-04, female</v>
      </c>
      <c r="C10089" t="s">
        <v>671</v>
      </c>
      <c r="D10089" t="s">
        <v>160</v>
      </c>
      <c r="E10089" t="s">
        <v>362</v>
      </c>
      <c r="F10089" t="s">
        <v>691</v>
      </c>
      <c r="G10089">
        <v>3724000</v>
      </c>
      <c r="H10089">
        <v>3728000</v>
      </c>
    </row>
    <row r="10090" spans="2:8" x14ac:dyDescent="0.25">
      <c r="B10090" t="str">
        <f t="shared" si="157"/>
        <v>VNMPopulation ages 00-04, male</v>
      </c>
      <c r="C10090" t="s">
        <v>671</v>
      </c>
      <c r="D10090" t="s">
        <v>160</v>
      </c>
      <c r="E10090" t="s">
        <v>363</v>
      </c>
      <c r="F10090" t="s">
        <v>692</v>
      </c>
      <c r="G10090">
        <v>4167000</v>
      </c>
      <c r="H10090">
        <v>4165000</v>
      </c>
    </row>
    <row r="10091" spans="2:8" x14ac:dyDescent="0.25">
      <c r="B10091" t="str">
        <f t="shared" si="157"/>
        <v>VNMPopulation ages 05-09, female</v>
      </c>
      <c r="C10091" t="s">
        <v>671</v>
      </c>
      <c r="D10091" t="s">
        <v>160</v>
      </c>
      <c r="E10091" t="s">
        <v>364</v>
      </c>
      <c r="F10091" t="s">
        <v>693</v>
      </c>
      <c r="G10091">
        <v>3552000</v>
      </c>
      <c r="H10091">
        <v>3581000</v>
      </c>
    </row>
    <row r="10092" spans="2:8" x14ac:dyDescent="0.25">
      <c r="B10092" t="str">
        <f t="shared" si="157"/>
        <v>VNMPopulation ages 05-09, male</v>
      </c>
      <c r="C10092" t="s">
        <v>671</v>
      </c>
      <c r="D10092" t="s">
        <v>160</v>
      </c>
      <c r="E10092" t="s">
        <v>365</v>
      </c>
      <c r="F10092" t="s">
        <v>694</v>
      </c>
      <c r="G10092">
        <v>3973000</v>
      </c>
      <c r="H10092">
        <v>4005000</v>
      </c>
    </row>
    <row r="10093" spans="2:8" x14ac:dyDescent="0.25">
      <c r="B10093" t="str">
        <f t="shared" si="157"/>
        <v>VNMPopulation ages 10-14, female</v>
      </c>
      <c r="C10093" t="s">
        <v>671</v>
      </c>
      <c r="D10093" t="s">
        <v>160</v>
      </c>
      <c r="E10093" t="s">
        <v>366</v>
      </c>
      <c r="F10093" t="s">
        <v>695</v>
      </c>
      <c r="G10093">
        <v>3316000</v>
      </c>
      <c r="H10093">
        <v>3364000</v>
      </c>
    </row>
    <row r="10094" spans="2:8" x14ac:dyDescent="0.25">
      <c r="B10094" t="str">
        <f t="shared" si="157"/>
        <v>VNMPopulation ages 10-14, male</v>
      </c>
      <c r="C10094" t="s">
        <v>671</v>
      </c>
      <c r="D10094" t="s">
        <v>160</v>
      </c>
      <c r="E10094" t="s">
        <v>367</v>
      </c>
      <c r="F10094" t="s">
        <v>696</v>
      </c>
      <c r="G10094">
        <v>3660000</v>
      </c>
      <c r="H10094">
        <v>3734000</v>
      </c>
    </row>
    <row r="10095" spans="2:8" x14ac:dyDescent="0.25">
      <c r="B10095" t="str">
        <f t="shared" si="157"/>
        <v>VNMPopulation ages 15-19, female</v>
      </c>
      <c r="C10095" t="s">
        <v>671</v>
      </c>
      <c r="D10095" t="s">
        <v>160</v>
      </c>
      <c r="E10095" t="s">
        <v>368</v>
      </c>
      <c r="F10095" t="s">
        <v>697</v>
      </c>
      <c r="G10095">
        <v>3132000</v>
      </c>
      <c r="H10095">
        <v>3136000</v>
      </c>
    </row>
    <row r="10096" spans="2:8" x14ac:dyDescent="0.25">
      <c r="B10096" t="str">
        <f t="shared" si="157"/>
        <v>VNMPopulation ages 15-19, male</v>
      </c>
      <c r="C10096" t="s">
        <v>671</v>
      </c>
      <c r="D10096" t="s">
        <v>160</v>
      </c>
      <c r="E10096" t="s">
        <v>369</v>
      </c>
      <c r="F10096" t="s">
        <v>698</v>
      </c>
      <c r="G10096">
        <v>3343000</v>
      </c>
      <c r="H10096">
        <v>3365000</v>
      </c>
    </row>
    <row r="10097" spans="2:8" x14ac:dyDescent="0.25">
      <c r="B10097" t="str">
        <f t="shared" si="157"/>
        <v>VNMPopulation ages 20-24, female</v>
      </c>
      <c r="C10097" t="s">
        <v>671</v>
      </c>
      <c r="D10097" t="s">
        <v>160</v>
      </c>
      <c r="E10097" t="s">
        <v>370</v>
      </c>
      <c r="F10097" t="s">
        <v>699</v>
      </c>
      <c r="G10097">
        <v>3482000</v>
      </c>
      <c r="H10097">
        <v>3320000</v>
      </c>
    </row>
    <row r="10098" spans="2:8" x14ac:dyDescent="0.25">
      <c r="B10098" t="str">
        <f t="shared" si="157"/>
        <v>VNMPopulation ages 20-24, male</v>
      </c>
      <c r="C10098" t="s">
        <v>671</v>
      </c>
      <c r="D10098" t="s">
        <v>160</v>
      </c>
      <c r="E10098" t="s">
        <v>371</v>
      </c>
      <c r="F10098" t="s">
        <v>700</v>
      </c>
      <c r="G10098">
        <v>3663000</v>
      </c>
      <c r="H10098">
        <v>3500000</v>
      </c>
    </row>
    <row r="10099" spans="2:8" x14ac:dyDescent="0.25">
      <c r="B10099" t="str">
        <f t="shared" si="157"/>
        <v>VNMPopulation ages 25-29, female</v>
      </c>
      <c r="C10099" t="s">
        <v>671</v>
      </c>
      <c r="D10099" t="s">
        <v>160</v>
      </c>
      <c r="E10099" t="s">
        <v>372</v>
      </c>
      <c r="F10099" t="s">
        <v>701</v>
      </c>
      <c r="G10099">
        <v>4290000</v>
      </c>
      <c r="H10099">
        <v>4206000</v>
      </c>
    </row>
    <row r="10100" spans="2:8" x14ac:dyDescent="0.25">
      <c r="B10100" t="str">
        <f t="shared" si="157"/>
        <v>VNMPopulation ages 25-29, male</v>
      </c>
      <c r="C10100" t="s">
        <v>671</v>
      </c>
      <c r="D10100" t="s">
        <v>160</v>
      </c>
      <c r="E10100" t="s">
        <v>373</v>
      </c>
      <c r="F10100" t="s">
        <v>702</v>
      </c>
      <c r="G10100">
        <v>4451000</v>
      </c>
      <c r="H10100">
        <v>4364000</v>
      </c>
    </row>
    <row r="10101" spans="2:8" x14ac:dyDescent="0.25">
      <c r="B10101" t="str">
        <f t="shared" si="157"/>
        <v>VNMPopulation ages 30-34, female</v>
      </c>
      <c r="C10101" t="s">
        <v>671</v>
      </c>
      <c r="D10101" t="s">
        <v>160</v>
      </c>
      <c r="E10101" t="s">
        <v>374</v>
      </c>
      <c r="F10101" t="s">
        <v>703</v>
      </c>
      <c r="G10101">
        <v>4114000</v>
      </c>
      <c r="H10101">
        <v>4158000</v>
      </c>
    </row>
    <row r="10102" spans="2:8" x14ac:dyDescent="0.25">
      <c r="B10102" t="str">
        <f t="shared" si="157"/>
        <v>VNMPopulation ages 30-34, male</v>
      </c>
      <c r="C10102" t="s">
        <v>671</v>
      </c>
      <c r="D10102" t="s">
        <v>160</v>
      </c>
      <c r="E10102" t="s">
        <v>375</v>
      </c>
      <c r="F10102" t="s">
        <v>704</v>
      </c>
      <c r="G10102">
        <v>4231000</v>
      </c>
      <c r="H10102">
        <v>4279000</v>
      </c>
    </row>
    <row r="10103" spans="2:8" x14ac:dyDescent="0.25">
      <c r="B10103" t="str">
        <f t="shared" si="157"/>
        <v>VNMPopulation ages 35-39, female</v>
      </c>
      <c r="C10103" t="s">
        <v>671</v>
      </c>
      <c r="D10103" t="s">
        <v>160</v>
      </c>
      <c r="E10103" t="s">
        <v>376</v>
      </c>
      <c r="F10103" t="s">
        <v>705</v>
      </c>
      <c r="G10103">
        <v>3786000</v>
      </c>
      <c r="H10103">
        <v>3848000</v>
      </c>
    </row>
    <row r="10104" spans="2:8" x14ac:dyDescent="0.25">
      <c r="B10104" t="str">
        <f t="shared" si="157"/>
        <v>VNMPopulation ages 35-39, male</v>
      </c>
      <c r="C10104" t="s">
        <v>671</v>
      </c>
      <c r="D10104" t="s">
        <v>160</v>
      </c>
      <c r="E10104" t="s">
        <v>377</v>
      </c>
      <c r="F10104" t="s">
        <v>706</v>
      </c>
      <c r="G10104">
        <v>3846000</v>
      </c>
      <c r="H10104">
        <v>3916000</v>
      </c>
    </row>
    <row r="10105" spans="2:8" x14ac:dyDescent="0.25">
      <c r="B10105" t="str">
        <f t="shared" si="157"/>
        <v>VNMPopulation ages 40-44, female</v>
      </c>
      <c r="C10105" t="s">
        <v>671</v>
      </c>
      <c r="D10105" t="s">
        <v>160</v>
      </c>
      <c r="E10105" t="s">
        <v>378</v>
      </c>
      <c r="F10105" t="s">
        <v>707</v>
      </c>
      <c r="G10105">
        <v>3463000</v>
      </c>
      <c r="H10105">
        <v>3508000</v>
      </c>
    </row>
    <row r="10106" spans="2:8" x14ac:dyDescent="0.25">
      <c r="B10106" t="str">
        <f t="shared" si="157"/>
        <v>VNMPopulation ages 40-44, male</v>
      </c>
      <c r="C10106" t="s">
        <v>671</v>
      </c>
      <c r="D10106" t="s">
        <v>160</v>
      </c>
      <c r="E10106" t="s">
        <v>379</v>
      </c>
      <c r="F10106" t="s">
        <v>708</v>
      </c>
      <c r="G10106">
        <v>3478000</v>
      </c>
      <c r="H10106">
        <v>3526000</v>
      </c>
    </row>
    <row r="10107" spans="2:8" x14ac:dyDescent="0.25">
      <c r="B10107" t="str">
        <f t="shared" si="157"/>
        <v>VNMPopulation ages 45-49, female</v>
      </c>
      <c r="C10107" t="s">
        <v>671</v>
      </c>
      <c r="D10107" t="s">
        <v>160</v>
      </c>
      <c r="E10107" t="s">
        <v>380</v>
      </c>
      <c r="F10107" t="s">
        <v>709</v>
      </c>
      <c r="G10107">
        <v>3222000</v>
      </c>
      <c r="H10107">
        <v>3272000</v>
      </c>
    </row>
    <row r="10108" spans="2:8" x14ac:dyDescent="0.25">
      <c r="B10108" t="str">
        <f t="shared" si="157"/>
        <v>VNMPopulation ages 45-49, male</v>
      </c>
      <c r="C10108" t="s">
        <v>671</v>
      </c>
      <c r="D10108" t="s">
        <v>160</v>
      </c>
      <c r="E10108" t="s">
        <v>381</v>
      </c>
      <c r="F10108" t="s">
        <v>710</v>
      </c>
      <c r="G10108">
        <v>3220000</v>
      </c>
      <c r="H10108">
        <v>3267000</v>
      </c>
    </row>
    <row r="10109" spans="2:8" x14ac:dyDescent="0.25">
      <c r="B10109" t="str">
        <f t="shared" si="157"/>
        <v>VNMPopulation ages 50-54, female</v>
      </c>
      <c r="C10109" t="s">
        <v>671</v>
      </c>
      <c r="D10109" t="s">
        <v>160</v>
      </c>
      <c r="E10109" t="s">
        <v>382</v>
      </c>
      <c r="F10109" t="s">
        <v>711</v>
      </c>
      <c r="G10109">
        <v>2916000</v>
      </c>
      <c r="H10109">
        <v>2960000</v>
      </c>
    </row>
    <row r="10110" spans="2:8" x14ac:dyDescent="0.25">
      <c r="B10110" t="str">
        <f t="shared" si="157"/>
        <v>VNMPopulation ages 50-54, male</v>
      </c>
      <c r="C10110" t="s">
        <v>671</v>
      </c>
      <c r="D10110" t="s">
        <v>160</v>
      </c>
      <c r="E10110" t="s">
        <v>383</v>
      </c>
      <c r="F10110" t="s">
        <v>712</v>
      </c>
      <c r="G10110">
        <v>2859000</v>
      </c>
      <c r="H10110">
        <v>2908000</v>
      </c>
    </row>
    <row r="10111" spans="2:8" x14ac:dyDescent="0.25">
      <c r="B10111" t="str">
        <f t="shared" si="157"/>
        <v>VNMPopulation ages 55-59, male</v>
      </c>
      <c r="C10111" t="s">
        <v>671</v>
      </c>
      <c r="D10111" t="s">
        <v>160</v>
      </c>
      <c r="E10111" t="s">
        <v>385</v>
      </c>
      <c r="F10111" t="s">
        <v>713</v>
      </c>
      <c r="G10111">
        <v>2473000</v>
      </c>
      <c r="H10111">
        <v>2530000</v>
      </c>
    </row>
    <row r="10112" spans="2:8" x14ac:dyDescent="0.25">
      <c r="B10112" t="str">
        <f t="shared" si="157"/>
        <v>VNMPopulation ages 55-59, female</v>
      </c>
      <c r="C10112" t="s">
        <v>671</v>
      </c>
      <c r="D10112" t="s">
        <v>160</v>
      </c>
      <c r="E10112" t="s">
        <v>384</v>
      </c>
      <c r="F10112" t="s">
        <v>714</v>
      </c>
      <c r="G10112">
        <v>2663000</v>
      </c>
      <c r="H10112">
        <v>2712000</v>
      </c>
    </row>
    <row r="10113" spans="2:8" x14ac:dyDescent="0.25">
      <c r="B10113" t="str">
        <f t="shared" si="157"/>
        <v>VNMPopulation ages 65-69, male</v>
      </c>
      <c r="C10113" t="s">
        <v>671</v>
      </c>
      <c r="D10113" t="s">
        <v>160</v>
      </c>
      <c r="E10113" t="s">
        <v>389</v>
      </c>
      <c r="F10113" t="s">
        <v>715</v>
      </c>
      <c r="G10113">
        <v>1227000</v>
      </c>
      <c r="H10113">
        <v>1339000</v>
      </c>
    </row>
    <row r="10114" spans="2:8" x14ac:dyDescent="0.25">
      <c r="B10114" t="str">
        <f t="shared" si="157"/>
        <v>VNMPopulation ages 65-69, female</v>
      </c>
      <c r="C10114" t="s">
        <v>671</v>
      </c>
      <c r="D10114" t="s">
        <v>160</v>
      </c>
      <c r="E10114" t="s">
        <v>388</v>
      </c>
      <c r="F10114" t="s">
        <v>716</v>
      </c>
      <c r="G10114">
        <v>1546000</v>
      </c>
      <c r="H10114">
        <v>1672000</v>
      </c>
    </row>
    <row r="10115" spans="2:8" x14ac:dyDescent="0.25">
      <c r="B10115" t="str">
        <f t="shared" si="157"/>
        <v>VNMPopulation ages 60-64, female</v>
      </c>
      <c r="C10115" t="s">
        <v>671</v>
      </c>
      <c r="D10115" t="s">
        <v>160</v>
      </c>
      <c r="E10115" t="s">
        <v>386</v>
      </c>
      <c r="F10115" t="s">
        <v>717</v>
      </c>
      <c r="G10115">
        <v>2226000</v>
      </c>
      <c r="H10115">
        <v>2319000</v>
      </c>
    </row>
    <row r="10116" spans="2:8" x14ac:dyDescent="0.25">
      <c r="B10116" t="str">
        <f t="shared" si="157"/>
        <v>VNMPopulation ages 60-64, male</v>
      </c>
      <c r="C10116" t="s">
        <v>671</v>
      </c>
      <c r="D10116" t="s">
        <v>160</v>
      </c>
      <c r="E10116" t="s">
        <v>387</v>
      </c>
      <c r="F10116" t="s">
        <v>718</v>
      </c>
      <c r="G10116">
        <v>1924000</v>
      </c>
      <c r="H10116">
        <v>2012000</v>
      </c>
    </row>
    <row r="10117" spans="2:8" x14ac:dyDescent="0.25">
      <c r="B10117" t="str">
        <f t="shared" si="157"/>
        <v>VNMPopulation ages 70-74, female</v>
      </c>
      <c r="C10117" t="s">
        <v>671</v>
      </c>
      <c r="D10117" t="s">
        <v>160</v>
      </c>
      <c r="E10117" t="s">
        <v>390</v>
      </c>
      <c r="F10117" t="s">
        <v>719</v>
      </c>
      <c r="G10117">
        <v>918000</v>
      </c>
      <c r="H10117">
        <v>987000</v>
      </c>
    </row>
    <row r="10118" spans="2:8" x14ac:dyDescent="0.25">
      <c r="B10118" t="str">
        <f t="shared" si="157"/>
        <v>VNMPopulation ages 70-74, male</v>
      </c>
      <c r="C10118" t="s">
        <v>671</v>
      </c>
      <c r="D10118" t="s">
        <v>160</v>
      </c>
      <c r="E10118" t="s">
        <v>391</v>
      </c>
      <c r="F10118" t="s">
        <v>720</v>
      </c>
      <c r="G10118">
        <v>609000</v>
      </c>
      <c r="H10118">
        <v>665000</v>
      </c>
    </row>
    <row r="10119" spans="2:8" x14ac:dyDescent="0.25">
      <c r="B10119" t="str">
        <f t="shared" ref="B10119:B10182" si="158">CONCATENATE(D10119,E10119)</f>
        <v>VNMPopulation ages 75-79, female</v>
      </c>
      <c r="C10119" t="s">
        <v>671</v>
      </c>
      <c r="D10119" t="s">
        <v>160</v>
      </c>
      <c r="E10119" t="s">
        <v>392</v>
      </c>
      <c r="F10119" t="s">
        <v>721</v>
      </c>
      <c r="G10119">
        <v>694000</v>
      </c>
      <c r="H10119">
        <v>704000</v>
      </c>
    </row>
    <row r="10120" spans="2:8" x14ac:dyDescent="0.25">
      <c r="B10120" t="str">
        <f t="shared" si="158"/>
        <v>VNMPopulation ages 75-79, male</v>
      </c>
      <c r="C10120" t="s">
        <v>671</v>
      </c>
      <c r="D10120" t="s">
        <v>160</v>
      </c>
      <c r="E10120" t="s">
        <v>393</v>
      </c>
      <c r="F10120" t="s">
        <v>722</v>
      </c>
      <c r="G10120">
        <v>420000</v>
      </c>
      <c r="H10120">
        <v>423000</v>
      </c>
    </row>
    <row r="10121" spans="2:8" x14ac:dyDescent="0.25">
      <c r="B10121" t="str">
        <f t="shared" si="158"/>
        <v>VNMPopulation ages 80 and above, female</v>
      </c>
      <c r="C10121" t="s">
        <v>671</v>
      </c>
      <c r="D10121" t="s">
        <v>160</v>
      </c>
      <c r="E10121" t="s">
        <v>394</v>
      </c>
      <c r="F10121" t="s">
        <v>723</v>
      </c>
      <c r="G10121">
        <v>1265000</v>
      </c>
      <c r="H10121">
        <v>1265000</v>
      </c>
    </row>
    <row r="10122" spans="2:8" x14ac:dyDescent="0.25">
      <c r="B10122" t="str">
        <f t="shared" si="158"/>
        <v>VNMPopulation ages 80 and above, male</v>
      </c>
      <c r="C10122" t="s">
        <v>671</v>
      </c>
      <c r="D10122" t="s">
        <v>160</v>
      </c>
      <c r="E10122" t="s">
        <v>395</v>
      </c>
      <c r="F10122" t="s">
        <v>724</v>
      </c>
      <c r="G10122">
        <v>608000</v>
      </c>
      <c r="H10122">
        <v>602000</v>
      </c>
    </row>
    <row r="10123" spans="2:8" x14ac:dyDescent="0.25">
      <c r="B10123" t="str">
        <f t="shared" si="158"/>
        <v>VNMPopulation, male</v>
      </c>
      <c r="C10123" t="s">
        <v>671</v>
      </c>
      <c r="D10123" t="s">
        <v>160</v>
      </c>
      <c r="E10123" t="s">
        <v>397</v>
      </c>
      <c r="F10123" t="s">
        <v>725</v>
      </c>
      <c r="G10123">
        <v>48151000</v>
      </c>
      <c r="H10123">
        <v>48598000</v>
      </c>
    </row>
    <row r="10124" spans="2:8" x14ac:dyDescent="0.25">
      <c r="B10124" t="str">
        <f t="shared" si="158"/>
        <v>VNMPopulation, total</v>
      </c>
      <c r="C10124" t="s">
        <v>671</v>
      </c>
      <c r="D10124" t="s">
        <v>160</v>
      </c>
      <c r="E10124" t="s">
        <v>398</v>
      </c>
      <c r="F10124" t="s">
        <v>726</v>
      </c>
      <c r="G10124">
        <v>96462000</v>
      </c>
      <c r="H10124">
        <v>97339000</v>
      </c>
    </row>
    <row r="10125" spans="2:8" x14ac:dyDescent="0.25">
      <c r="B10125" t="str">
        <f t="shared" si="158"/>
        <v>VNMPopulation, female</v>
      </c>
      <c r="C10125" t="s">
        <v>671</v>
      </c>
      <c r="D10125" t="s">
        <v>160</v>
      </c>
      <c r="E10125" t="s">
        <v>396</v>
      </c>
      <c r="F10125" t="s">
        <v>727</v>
      </c>
      <c r="G10125">
        <v>48311000</v>
      </c>
      <c r="H10125">
        <v>48740000</v>
      </c>
    </row>
    <row r="10126" spans="2:8" x14ac:dyDescent="0.25">
      <c r="B10126" t="str">
        <f t="shared" si="158"/>
        <v>VNMPopulation growth (annual %)</v>
      </c>
      <c r="C10126" t="s">
        <v>671</v>
      </c>
      <c r="D10126" t="s">
        <v>160</v>
      </c>
      <c r="E10126" t="s">
        <v>399</v>
      </c>
      <c r="F10126" t="s">
        <v>728</v>
      </c>
      <c r="G10126">
        <v>0</v>
      </c>
      <c r="H10126">
        <v>0</v>
      </c>
    </row>
    <row r="10127" spans="2:8" x14ac:dyDescent="0.25">
      <c r="B10127" t="str">
        <f t="shared" si="158"/>
        <v>VIRPopulation ages 0-14, female</v>
      </c>
      <c r="C10127" t="s">
        <v>672</v>
      </c>
      <c r="D10127" t="s">
        <v>673</v>
      </c>
      <c r="E10127" t="s">
        <v>687</v>
      </c>
      <c r="F10127" t="s">
        <v>688</v>
      </c>
      <c r="G10127">
        <v>10000</v>
      </c>
      <c r="H10127">
        <v>10000</v>
      </c>
    </row>
    <row r="10128" spans="2:8" x14ac:dyDescent="0.25">
      <c r="B10128" t="str">
        <f t="shared" si="158"/>
        <v>VIRPopulation ages 0-14, male</v>
      </c>
      <c r="C10128" t="s">
        <v>672</v>
      </c>
      <c r="D10128" t="s">
        <v>673</v>
      </c>
      <c r="E10128" t="s">
        <v>689</v>
      </c>
      <c r="F10128" t="s">
        <v>690</v>
      </c>
      <c r="G10128">
        <v>11000</v>
      </c>
      <c r="H10128">
        <v>10000</v>
      </c>
    </row>
    <row r="10129" spans="2:8" x14ac:dyDescent="0.25">
      <c r="B10129" t="str">
        <f t="shared" si="158"/>
        <v>VIRPopulation ages 00-04, female</v>
      </c>
      <c r="C10129" t="s">
        <v>672</v>
      </c>
      <c r="D10129" t="s">
        <v>673</v>
      </c>
      <c r="E10129" t="s">
        <v>362</v>
      </c>
      <c r="F10129" t="s">
        <v>691</v>
      </c>
      <c r="G10129">
        <v>3000</v>
      </c>
      <c r="H10129">
        <v>3000</v>
      </c>
    </row>
    <row r="10130" spans="2:8" x14ac:dyDescent="0.25">
      <c r="B10130" t="str">
        <f t="shared" si="158"/>
        <v>VIRPopulation ages 00-04, male</v>
      </c>
      <c r="C10130" t="s">
        <v>672</v>
      </c>
      <c r="D10130" t="s">
        <v>673</v>
      </c>
      <c r="E10130" t="s">
        <v>363</v>
      </c>
      <c r="F10130" t="s">
        <v>692</v>
      </c>
      <c r="G10130">
        <v>3200</v>
      </c>
      <c r="H10130">
        <v>3100</v>
      </c>
    </row>
    <row r="10131" spans="2:8" x14ac:dyDescent="0.25">
      <c r="B10131" t="str">
        <f t="shared" si="158"/>
        <v>VIRPopulation ages 05-09, female</v>
      </c>
      <c r="C10131" t="s">
        <v>672</v>
      </c>
      <c r="D10131" t="s">
        <v>673</v>
      </c>
      <c r="E10131" t="s">
        <v>364</v>
      </c>
      <c r="F10131" t="s">
        <v>693</v>
      </c>
      <c r="G10131">
        <v>3500</v>
      </c>
      <c r="H10131">
        <v>3400</v>
      </c>
    </row>
    <row r="10132" spans="2:8" x14ac:dyDescent="0.25">
      <c r="B10132" t="str">
        <f t="shared" si="158"/>
        <v>VIRPopulation ages 05-09, male</v>
      </c>
      <c r="C10132" t="s">
        <v>672</v>
      </c>
      <c r="D10132" t="s">
        <v>673</v>
      </c>
      <c r="E10132" t="s">
        <v>365</v>
      </c>
      <c r="F10132" t="s">
        <v>694</v>
      </c>
      <c r="G10132">
        <v>3700</v>
      </c>
      <c r="H10132">
        <v>3600</v>
      </c>
    </row>
    <row r="10133" spans="2:8" x14ac:dyDescent="0.25">
      <c r="B10133" t="str">
        <f t="shared" si="158"/>
        <v>VIRPopulation ages 10-14, female</v>
      </c>
      <c r="C10133" t="s">
        <v>672</v>
      </c>
      <c r="D10133" t="s">
        <v>673</v>
      </c>
      <c r="E10133" t="s">
        <v>366</v>
      </c>
      <c r="F10133" t="s">
        <v>695</v>
      </c>
      <c r="G10133">
        <v>3700</v>
      </c>
      <c r="H10133">
        <v>3700</v>
      </c>
    </row>
    <row r="10134" spans="2:8" x14ac:dyDescent="0.25">
      <c r="B10134" t="str">
        <f t="shared" si="158"/>
        <v>VIRPopulation ages 10-14, male</v>
      </c>
      <c r="C10134" t="s">
        <v>672</v>
      </c>
      <c r="D10134" t="s">
        <v>673</v>
      </c>
      <c r="E10134" t="s">
        <v>367</v>
      </c>
      <c r="F10134" t="s">
        <v>696</v>
      </c>
      <c r="G10134">
        <v>3700</v>
      </c>
      <c r="H10134">
        <v>3700</v>
      </c>
    </row>
    <row r="10135" spans="2:8" x14ac:dyDescent="0.25">
      <c r="B10135" t="str">
        <f t="shared" si="158"/>
        <v>VIRPopulation ages 15-19, female</v>
      </c>
      <c r="C10135" t="s">
        <v>672</v>
      </c>
      <c r="D10135" t="s">
        <v>673</v>
      </c>
      <c r="E10135" t="s">
        <v>368</v>
      </c>
      <c r="F10135" t="s">
        <v>697</v>
      </c>
      <c r="G10135">
        <v>3300</v>
      </c>
      <c r="H10135">
        <v>3300</v>
      </c>
    </row>
    <row r="10136" spans="2:8" x14ac:dyDescent="0.25">
      <c r="B10136" t="str">
        <f t="shared" si="158"/>
        <v>VIRPopulation ages 15-19, male</v>
      </c>
      <c r="C10136" t="s">
        <v>672</v>
      </c>
      <c r="D10136" t="s">
        <v>673</v>
      </c>
      <c r="E10136" t="s">
        <v>369</v>
      </c>
      <c r="F10136" t="s">
        <v>698</v>
      </c>
      <c r="G10136">
        <v>3600</v>
      </c>
      <c r="H10136">
        <v>3600</v>
      </c>
    </row>
    <row r="10137" spans="2:8" x14ac:dyDescent="0.25">
      <c r="B10137" t="str">
        <f t="shared" si="158"/>
        <v>VIRPopulation ages 20-24, female</v>
      </c>
      <c r="C10137" t="s">
        <v>672</v>
      </c>
      <c r="D10137" t="s">
        <v>673</v>
      </c>
      <c r="E10137" t="s">
        <v>370</v>
      </c>
      <c r="F10137" t="s">
        <v>699</v>
      </c>
      <c r="G10137">
        <v>3200</v>
      </c>
      <c r="H10137">
        <v>3200</v>
      </c>
    </row>
    <row r="10138" spans="2:8" x14ac:dyDescent="0.25">
      <c r="B10138" t="str">
        <f t="shared" si="158"/>
        <v>VIRPopulation ages 20-24, male</v>
      </c>
      <c r="C10138" t="s">
        <v>672</v>
      </c>
      <c r="D10138" t="s">
        <v>673</v>
      </c>
      <c r="E10138" t="s">
        <v>371</v>
      </c>
      <c r="F10138" t="s">
        <v>700</v>
      </c>
      <c r="G10138">
        <v>3500</v>
      </c>
      <c r="H10138">
        <v>3500</v>
      </c>
    </row>
    <row r="10139" spans="2:8" x14ac:dyDescent="0.25">
      <c r="B10139" t="str">
        <f t="shared" si="158"/>
        <v>VIRPopulation ages 25-29, female</v>
      </c>
      <c r="C10139" t="s">
        <v>672</v>
      </c>
      <c r="D10139" t="s">
        <v>673</v>
      </c>
      <c r="E10139" t="s">
        <v>372</v>
      </c>
      <c r="F10139" t="s">
        <v>701</v>
      </c>
      <c r="G10139">
        <v>3100</v>
      </c>
      <c r="H10139">
        <v>3200</v>
      </c>
    </row>
    <row r="10140" spans="2:8" x14ac:dyDescent="0.25">
      <c r="B10140" t="str">
        <f t="shared" si="158"/>
        <v>VIRPopulation ages 25-29, male</v>
      </c>
      <c r="C10140" t="s">
        <v>672</v>
      </c>
      <c r="D10140" t="s">
        <v>673</v>
      </c>
      <c r="E10140" t="s">
        <v>373</v>
      </c>
      <c r="F10140" t="s">
        <v>702</v>
      </c>
      <c r="G10140">
        <v>3100</v>
      </c>
      <c r="H10140">
        <v>3200</v>
      </c>
    </row>
    <row r="10141" spans="2:8" x14ac:dyDescent="0.25">
      <c r="B10141" t="str">
        <f t="shared" si="158"/>
        <v>VIRPopulation ages 30-34, female</v>
      </c>
      <c r="C10141" t="s">
        <v>672</v>
      </c>
      <c r="D10141" t="s">
        <v>673</v>
      </c>
      <c r="E10141" t="s">
        <v>374</v>
      </c>
      <c r="F10141" t="s">
        <v>703</v>
      </c>
      <c r="G10141">
        <v>2700</v>
      </c>
      <c r="H10141">
        <v>2600</v>
      </c>
    </row>
    <row r="10142" spans="2:8" x14ac:dyDescent="0.25">
      <c r="B10142" t="str">
        <f t="shared" si="158"/>
        <v>VIRPopulation ages 30-34, male</v>
      </c>
      <c r="C10142" t="s">
        <v>672</v>
      </c>
      <c r="D10142" t="s">
        <v>673</v>
      </c>
      <c r="E10142" t="s">
        <v>375</v>
      </c>
      <c r="F10142" t="s">
        <v>704</v>
      </c>
      <c r="G10142">
        <v>2100</v>
      </c>
      <c r="H10142">
        <v>2200</v>
      </c>
    </row>
    <row r="10143" spans="2:8" x14ac:dyDescent="0.25">
      <c r="B10143" t="str">
        <f t="shared" si="158"/>
        <v>VIRPopulation ages 35-39, female</v>
      </c>
      <c r="C10143" t="s">
        <v>672</v>
      </c>
      <c r="D10143" t="s">
        <v>673</v>
      </c>
      <c r="E10143" t="s">
        <v>376</v>
      </c>
      <c r="F10143" t="s">
        <v>705</v>
      </c>
      <c r="G10143">
        <v>3000</v>
      </c>
      <c r="H10143">
        <v>2900</v>
      </c>
    </row>
    <row r="10144" spans="2:8" x14ac:dyDescent="0.25">
      <c r="B10144" t="str">
        <f t="shared" si="158"/>
        <v>VIRPopulation ages 35-39, male</v>
      </c>
      <c r="C10144" t="s">
        <v>672</v>
      </c>
      <c r="D10144" t="s">
        <v>673</v>
      </c>
      <c r="E10144" t="s">
        <v>377</v>
      </c>
      <c r="F10144" t="s">
        <v>706</v>
      </c>
      <c r="G10144">
        <v>2400</v>
      </c>
      <c r="H10144">
        <v>2300</v>
      </c>
    </row>
    <row r="10145" spans="2:8" x14ac:dyDescent="0.25">
      <c r="B10145" t="str">
        <f t="shared" si="158"/>
        <v>VIRPopulation ages 40-44, female</v>
      </c>
      <c r="C10145" t="s">
        <v>672</v>
      </c>
      <c r="D10145" t="s">
        <v>673</v>
      </c>
      <c r="E10145" t="s">
        <v>378</v>
      </c>
      <c r="F10145" t="s">
        <v>707</v>
      </c>
      <c r="G10145">
        <v>3200</v>
      </c>
      <c r="H10145">
        <v>3100</v>
      </c>
    </row>
    <row r="10146" spans="2:8" x14ac:dyDescent="0.25">
      <c r="B10146" t="str">
        <f t="shared" si="158"/>
        <v>VIRPopulation ages 40-44, male</v>
      </c>
      <c r="C10146" t="s">
        <v>672</v>
      </c>
      <c r="D10146" t="s">
        <v>673</v>
      </c>
      <c r="E10146" t="s">
        <v>379</v>
      </c>
      <c r="F10146" t="s">
        <v>708</v>
      </c>
      <c r="G10146">
        <v>2700</v>
      </c>
      <c r="H10146">
        <v>2600</v>
      </c>
    </row>
    <row r="10147" spans="2:8" x14ac:dyDescent="0.25">
      <c r="B10147" t="str">
        <f t="shared" si="158"/>
        <v>VIRPopulation ages 45-49, female</v>
      </c>
      <c r="C10147" t="s">
        <v>672</v>
      </c>
      <c r="D10147" t="s">
        <v>673</v>
      </c>
      <c r="E10147" t="s">
        <v>380</v>
      </c>
      <c r="F10147" t="s">
        <v>709</v>
      </c>
      <c r="G10147">
        <v>3500</v>
      </c>
      <c r="H10147">
        <v>3400</v>
      </c>
    </row>
    <row r="10148" spans="2:8" x14ac:dyDescent="0.25">
      <c r="B10148" t="str">
        <f t="shared" si="158"/>
        <v>VIRPopulation ages 45-49, male</v>
      </c>
      <c r="C10148" t="s">
        <v>672</v>
      </c>
      <c r="D10148" t="s">
        <v>673</v>
      </c>
      <c r="E10148" t="s">
        <v>381</v>
      </c>
      <c r="F10148" t="s">
        <v>710</v>
      </c>
      <c r="G10148">
        <v>3100</v>
      </c>
      <c r="H10148">
        <v>3000</v>
      </c>
    </row>
    <row r="10149" spans="2:8" x14ac:dyDescent="0.25">
      <c r="B10149" t="str">
        <f t="shared" si="158"/>
        <v>VIRPopulation ages 50-54, female</v>
      </c>
      <c r="C10149" t="s">
        <v>672</v>
      </c>
      <c r="D10149" t="s">
        <v>673</v>
      </c>
      <c r="E10149" t="s">
        <v>382</v>
      </c>
      <c r="F10149" t="s">
        <v>711</v>
      </c>
      <c r="G10149">
        <v>3900</v>
      </c>
      <c r="H10149">
        <v>3900</v>
      </c>
    </row>
    <row r="10150" spans="2:8" x14ac:dyDescent="0.25">
      <c r="B10150" t="str">
        <f t="shared" si="158"/>
        <v>VIRPopulation ages 50-54, male</v>
      </c>
      <c r="C10150" t="s">
        <v>672</v>
      </c>
      <c r="D10150" t="s">
        <v>673</v>
      </c>
      <c r="E10150" t="s">
        <v>383</v>
      </c>
      <c r="F10150" t="s">
        <v>712</v>
      </c>
      <c r="G10150">
        <v>3500</v>
      </c>
      <c r="H10150">
        <v>3400</v>
      </c>
    </row>
    <row r="10151" spans="2:8" x14ac:dyDescent="0.25">
      <c r="B10151" t="str">
        <f t="shared" si="158"/>
        <v>VIRPopulation ages 55-59, male</v>
      </c>
      <c r="C10151" t="s">
        <v>672</v>
      </c>
      <c r="D10151" t="s">
        <v>673</v>
      </c>
      <c r="E10151" t="s">
        <v>385</v>
      </c>
      <c r="F10151" t="s">
        <v>713</v>
      </c>
      <c r="G10151">
        <v>3600</v>
      </c>
      <c r="H10151">
        <v>3500</v>
      </c>
    </row>
    <row r="10152" spans="2:8" x14ac:dyDescent="0.25">
      <c r="B10152" t="str">
        <f t="shared" si="158"/>
        <v>VIRPopulation ages 55-59, female</v>
      </c>
      <c r="C10152" t="s">
        <v>672</v>
      </c>
      <c r="D10152" t="s">
        <v>673</v>
      </c>
      <c r="E10152" t="s">
        <v>384</v>
      </c>
      <c r="F10152" t="s">
        <v>714</v>
      </c>
      <c r="G10152">
        <v>4000</v>
      </c>
      <c r="H10152">
        <v>4000</v>
      </c>
    </row>
    <row r="10153" spans="2:8" x14ac:dyDescent="0.25">
      <c r="B10153" t="str">
        <f t="shared" si="158"/>
        <v>VIRPopulation ages 65-69, male</v>
      </c>
      <c r="C10153" t="s">
        <v>672</v>
      </c>
      <c r="D10153" t="s">
        <v>673</v>
      </c>
      <c r="E10153" t="s">
        <v>389</v>
      </c>
      <c r="F10153" t="s">
        <v>715</v>
      </c>
      <c r="G10153">
        <v>3000</v>
      </c>
      <c r="H10153">
        <v>3000</v>
      </c>
    </row>
    <row r="10154" spans="2:8" x14ac:dyDescent="0.25">
      <c r="B10154" t="str">
        <f t="shared" si="158"/>
        <v>VIRPopulation ages 65-69, female</v>
      </c>
      <c r="C10154" t="s">
        <v>672</v>
      </c>
      <c r="D10154" t="s">
        <v>673</v>
      </c>
      <c r="E10154" t="s">
        <v>388</v>
      </c>
      <c r="F10154" t="s">
        <v>716</v>
      </c>
      <c r="G10154">
        <v>3700</v>
      </c>
      <c r="H10154">
        <v>3700</v>
      </c>
    </row>
    <row r="10155" spans="2:8" x14ac:dyDescent="0.25">
      <c r="B10155" t="str">
        <f t="shared" si="158"/>
        <v>VIRPopulation ages 60-64, female</v>
      </c>
      <c r="C10155" t="s">
        <v>672</v>
      </c>
      <c r="D10155" t="s">
        <v>673</v>
      </c>
      <c r="E10155" t="s">
        <v>386</v>
      </c>
      <c r="F10155" t="s">
        <v>717</v>
      </c>
      <c r="G10155">
        <v>4000</v>
      </c>
      <c r="H10155">
        <v>4000</v>
      </c>
    </row>
    <row r="10156" spans="2:8" x14ac:dyDescent="0.25">
      <c r="B10156" t="str">
        <f t="shared" si="158"/>
        <v>VIRPopulation ages 60-64, male</v>
      </c>
      <c r="C10156" t="s">
        <v>672</v>
      </c>
      <c r="D10156" t="s">
        <v>673</v>
      </c>
      <c r="E10156" t="s">
        <v>387</v>
      </c>
      <c r="F10156" t="s">
        <v>718</v>
      </c>
      <c r="G10156">
        <v>3600</v>
      </c>
      <c r="H10156">
        <v>3600</v>
      </c>
    </row>
    <row r="10157" spans="2:8" x14ac:dyDescent="0.25">
      <c r="B10157" t="str">
        <f t="shared" si="158"/>
        <v>VIRPopulation ages 70-74, female</v>
      </c>
      <c r="C10157" t="s">
        <v>672</v>
      </c>
      <c r="D10157" t="s">
        <v>673</v>
      </c>
      <c r="E10157" t="s">
        <v>390</v>
      </c>
      <c r="F10157" t="s">
        <v>719</v>
      </c>
      <c r="G10157">
        <v>3500</v>
      </c>
      <c r="H10157">
        <v>3600</v>
      </c>
    </row>
    <row r="10158" spans="2:8" x14ac:dyDescent="0.25">
      <c r="B10158" t="str">
        <f t="shared" si="158"/>
        <v>VIRPopulation ages 70-74, male</v>
      </c>
      <c r="C10158" t="s">
        <v>672</v>
      </c>
      <c r="D10158" t="s">
        <v>673</v>
      </c>
      <c r="E10158" t="s">
        <v>391</v>
      </c>
      <c r="F10158" t="s">
        <v>720</v>
      </c>
      <c r="G10158">
        <v>2900</v>
      </c>
      <c r="H10158">
        <v>2900</v>
      </c>
    </row>
    <row r="10159" spans="2:8" x14ac:dyDescent="0.25">
      <c r="B10159" t="str">
        <f t="shared" si="158"/>
        <v>VIRPopulation ages 75-79, female</v>
      </c>
      <c r="C10159" t="s">
        <v>672</v>
      </c>
      <c r="D10159" t="s">
        <v>673</v>
      </c>
      <c r="E10159" t="s">
        <v>392</v>
      </c>
      <c r="F10159" t="s">
        <v>721</v>
      </c>
      <c r="G10159">
        <v>2400</v>
      </c>
      <c r="H10159">
        <v>2600</v>
      </c>
    </row>
    <row r="10160" spans="2:8" x14ac:dyDescent="0.25">
      <c r="B10160" t="str">
        <f t="shared" si="158"/>
        <v>VIRPopulation ages 75-79, male</v>
      </c>
      <c r="C10160" t="s">
        <v>672</v>
      </c>
      <c r="D10160" t="s">
        <v>673</v>
      </c>
      <c r="E10160" t="s">
        <v>393</v>
      </c>
      <c r="F10160" t="s">
        <v>722</v>
      </c>
      <c r="G10160">
        <v>2000</v>
      </c>
      <c r="H10160">
        <v>2100</v>
      </c>
    </row>
    <row r="10161" spans="2:8" x14ac:dyDescent="0.25">
      <c r="B10161" t="str">
        <f t="shared" si="158"/>
        <v>VIRPopulation ages 80 and above, female</v>
      </c>
      <c r="C10161" t="s">
        <v>672</v>
      </c>
      <c r="D10161" t="s">
        <v>673</v>
      </c>
      <c r="E10161" t="s">
        <v>394</v>
      </c>
      <c r="F10161" t="s">
        <v>723</v>
      </c>
      <c r="G10161">
        <v>2400</v>
      </c>
      <c r="H10161">
        <v>2500</v>
      </c>
    </row>
    <row r="10162" spans="2:8" x14ac:dyDescent="0.25">
      <c r="B10162" t="str">
        <f t="shared" si="158"/>
        <v>VIRPopulation ages 80 and above, male</v>
      </c>
      <c r="C10162" t="s">
        <v>672</v>
      </c>
      <c r="D10162" t="s">
        <v>673</v>
      </c>
      <c r="E10162" t="s">
        <v>395</v>
      </c>
      <c r="F10162" t="s">
        <v>724</v>
      </c>
      <c r="G10162">
        <v>1400</v>
      </c>
      <c r="H10162">
        <v>1500</v>
      </c>
    </row>
    <row r="10163" spans="2:8" x14ac:dyDescent="0.25">
      <c r="B10163" t="str">
        <f t="shared" si="158"/>
        <v>VIRPopulation, male</v>
      </c>
      <c r="C10163" t="s">
        <v>672</v>
      </c>
      <c r="D10163" t="s">
        <v>673</v>
      </c>
      <c r="E10163" t="s">
        <v>397</v>
      </c>
      <c r="F10163" t="s">
        <v>725</v>
      </c>
      <c r="G10163">
        <v>51000</v>
      </c>
      <c r="H10163">
        <v>51000</v>
      </c>
    </row>
    <row r="10164" spans="2:8" x14ac:dyDescent="0.25">
      <c r="B10164" t="str">
        <f t="shared" si="158"/>
        <v>VIRPopulation, total</v>
      </c>
      <c r="C10164" t="s">
        <v>672</v>
      </c>
      <c r="D10164" t="s">
        <v>673</v>
      </c>
      <c r="E10164" t="s">
        <v>398</v>
      </c>
      <c r="F10164" t="s">
        <v>726</v>
      </c>
      <c r="G10164">
        <v>107000</v>
      </c>
      <c r="H10164">
        <v>107000</v>
      </c>
    </row>
    <row r="10165" spans="2:8" x14ac:dyDescent="0.25">
      <c r="B10165" t="str">
        <f t="shared" si="158"/>
        <v>VIRPopulation, female</v>
      </c>
      <c r="C10165" t="s">
        <v>672</v>
      </c>
      <c r="D10165" t="s">
        <v>673</v>
      </c>
      <c r="E10165" t="s">
        <v>396</v>
      </c>
      <c r="F10165" t="s">
        <v>727</v>
      </c>
      <c r="G10165">
        <v>56000</v>
      </c>
      <c r="H10165">
        <v>56000</v>
      </c>
    </row>
    <row r="10166" spans="2:8" x14ac:dyDescent="0.25">
      <c r="B10166" t="str">
        <f t="shared" si="158"/>
        <v>VIRPopulation growth (annual %)</v>
      </c>
      <c r="C10166" t="s">
        <v>672</v>
      </c>
      <c r="D10166" t="s">
        <v>673</v>
      </c>
      <c r="E10166" t="s">
        <v>399</v>
      </c>
      <c r="F10166" t="s">
        <v>728</v>
      </c>
      <c r="G10166">
        <v>0</v>
      </c>
      <c r="H10166">
        <v>0</v>
      </c>
    </row>
    <row r="10167" spans="2:8" x14ac:dyDescent="0.25">
      <c r="B10167" t="str">
        <f t="shared" si="158"/>
        <v>PSEPopulation ages 0-14, female</v>
      </c>
      <c r="C10167" t="s">
        <v>674</v>
      </c>
      <c r="D10167" t="s">
        <v>675</v>
      </c>
      <c r="E10167" t="s">
        <v>687</v>
      </c>
      <c r="F10167" t="s">
        <v>688</v>
      </c>
      <c r="G10167">
        <v>886000</v>
      </c>
      <c r="H10167">
        <v>902000</v>
      </c>
    </row>
    <row r="10168" spans="2:8" x14ac:dyDescent="0.25">
      <c r="B10168" t="str">
        <f t="shared" si="158"/>
        <v>PSEPopulation ages 0-14, male</v>
      </c>
      <c r="C10168" t="s">
        <v>674</v>
      </c>
      <c r="D10168" t="s">
        <v>675</v>
      </c>
      <c r="E10168" t="s">
        <v>689</v>
      </c>
      <c r="F10168" t="s">
        <v>690</v>
      </c>
      <c r="G10168">
        <v>926000</v>
      </c>
      <c r="H10168">
        <v>944000</v>
      </c>
    </row>
    <row r="10169" spans="2:8" x14ac:dyDescent="0.25">
      <c r="B10169" t="str">
        <f t="shared" si="158"/>
        <v>PSEPopulation ages 00-04, female</v>
      </c>
      <c r="C10169" t="s">
        <v>674</v>
      </c>
      <c r="D10169" t="s">
        <v>675</v>
      </c>
      <c r="E10169" t="s">
        <v>362</v>
      </c>
      <c r="F10169" t="s">
        <v>691</v>
      </c>
      <c r="G10169">
        <v>317000</v>
      </c>
      <c r="H10169">
        <v>319000</v>
      </c>
    </row>
    <row r="10170" spans="2:8" x14ac:dyDescent="0.25">
      <c r="B10170" t="str">
        <f t="shared" si="158"/>
        <v>PSEPopulation ages 00-04, male</v>
      </c>
      <c r="C10170" t="s">
        <v>674</v>
      </c>
      <c r="D10170" t="s">
        <v>675</v>
      </c>
      <c r="E10170" t="s">
        <v>363</v>
      </c>
      <c r="F10170" t="s">
        <v>692</v>
      </c>
      <c r="G10170">
        <v>333000</v>
      </c>
      <c r="H10170">
        <v>334000</v>
      </c>
    </row>
    <row r="10171" spans="2:8" x14ac:dyDescent="0.25">
      <c r="B10171" t="str">
        <f t="shared" si="158"/>
        <v>PSEPopulation ages 05-09, female</v>
      </c>
      <c r="C10171" t="s">
        <v>674</v>
      </c>
      <c r="D10171" t="s">
        <v>675</v>
      </c>
      <c r="E10171" t="s">
        <v>364</v>
      </c>
      <c r="F10171" t="s">
        <v>693</v>
      </c>
      <c r="G10171">
        <v>303000</v>
      </c>
      <c r="H10171">
        <v>310000</v>
      </c>
    </row>
    <row r="10172" spans="2:8" x14ac:dyDescent="0.25">
      <c r="B10172" t="str">
        <f t="shared" si="158"/>
        <v>PSEPopulation ages 05-09, male</v>
      </c>
      <c r="C10172" t="s">
        <v>674</v>
      </c>
      <c r="D10172" t="s">
        <v>675</v>
      </c>
      <c r="E10172" t="s">
        <v>365</v>
      </c>
      <c r="F10172" t="s">
        <v>694</v>
      </c>
      <c r="G10172">
        <v>317000</v>
      </c>
      <c r="H10172">
        <v>324000</v>
      </c>
    </row>
    <row r="10173" spans="2:8" x14ac:dyDescent="0.25">
      <c r="B10173" t="str">
        <f t="shared" si="158"/>
        <v>PSEPopulation ages 10-14, female</v>
      </c>
      <c r="C10173" t="s">
        <v>674</v>
      </c>
      <c r="D10173" t="s">
        <v>675</v>
      </c>
      <c r="E10173" t="s">
        <v>366</v>
      </c>
      <c r="F10173" t="s">
        <v>695</v>
      </c>
      <c r="G10173">
        <v>266000</v>
      </c>
      <c r="H10173">
        <v>273000</v>
      </c>
    </row>
    <row r="10174" spans="2:8" x14ac:dyDescent="0.25">
      <c r="B10174" t="str">
        <f t="shared" si="158"/>
        <v>PSEPopulation ages 10-14, male</v>
      </c>
      <c r="C10174" t="s">
        <v>674</v>
      </c>
      <c r="D10174" t="s">
        <v>675</v>
      </c>
      <c r="E10174" t="s">
        <v>367</v>
      </c>
      <c r="F10174" t="s">
        <v>696</v>
      </c>
      <c r="G10174">
        <v>277000</v>
      </c>
      <c r="H10174">
        <v>285000</v>
      </c>
    </row>
    <row r="10175" spans="2:8" x14ac:dyDescent="0.25">
      <c r="B10175" t="str">
        <f t="shared" si="158"/>
        <v>PSEPopulation ages 15-19, female</v>
      </c>
      <c r="C10175" t="s">
        <v>674</v>
      </c>
      <c r="D10175" t="s">
        <v>675</v>
      </c>
      <c r="E10175" t="s">
        <v>368</v>
      </c>
      <c r="F10175" t="s">
        <v>697</v>
      </c>
      <c r="G10175">
        <v>237000</v>
      </c>
      <c r="H10175">
        <v>240000</v>
      </c>
    </row>
    <row r="10176" spans="2:8" x14ac:dyDescent="0.25">
      <c r="B10176" t="str">
        <f t="shared" si="158"/>
        <v>PSEPopulation ages 15-19, male</v>
      </c>
      <c r="C10176" t="s">
        <v>674</v>
      </c>
      <c r="D10176" t="s">
        <v>675</v>
      </c>
      <c r="E10176" t="s">
        <v>369</v>
      </c>
      <c r="F10176" t="s">
        <v>698</v>
      </c>
      <c r="G10176">
        <v>245000</v>
      </c>
      <c r="H10176">
        <v>248000</v>
      </c>
    </row>
    <row r="10177" spans="2:8" x14ac:dyDescent="0.25">
      <c r="B10177" t="str">
        <f t="shared" si="158"/>
        <v>PSEPopulation ages 20-24, female</v>
      </c>
      <c r="C10177" t="s">
        <v>674</v>
      </c>
      <c r="D10177" t="s">
        <v>675</v>
      </c>
      <c r="E10177" t="s">
        <v>370</v>
      </c>
      <c r="F10177" t="s">
        <v>699</v>
      </c>
      <c r="G10177">
        <v>231000</v>
      </c>
      <c r="H10177">
        <v>232000</v>
      </c>
    </row>
    <row r="10178" spans="2:8" x14ac:dyDescent="0.25">
      <c r="B10178" t="str">
        <f t="shared" si="158"/>
        <v>PSEPopulation ages 20-24, male</v>
      </c>
      <c r="C10178" t="s">
        <v>674</v>
      </c>
      <c r="D10178" t="s">
        <v>675</v>
      </c>
      <c r="E10178" t="s">
        <v>371</v>
      </c>
      <c r="F10178" t="s">
        <v>700</v>
      </c>
      <c r="G10178">
        <v>238000</v>
      </c>
      <c r="H10178">
        <v>239000</v>
      </c>
    </row>
    <row r="10179" spans="2:8" x14ac:dyDescent="0.25">
      <c r="B10179" t="str">
        <f t="shared" si="158"/>
        <v>PSEPopulation ages 25-29, female</v>
      </c>
      <c r="C10179" t="s">
        <v>674</v>
      </c>
      <c r="D10179" t="s">
        <v>675</v>
      </c>
      <c r="E10179" t="s">
        <v>372</v>
      </c>
      <c r="F10179" t="s">
        <v>701</v>
      </c>
      <c r="G10179">
        <v>209000</v>
      </c>
      <c r="H10179">
        <v>216000</v>
      </c>
    </row>
    <row r="10180" spans="2:8" x14ac:dyDescent="0.25">
      <c r="B10180" t="str">
        <f t="shared" si="158"/>
        <v>PSEPopulation ages 25-29, male</v>
      </c>
      <c r="C10180" t="s">
        <v>674</v>
      </c>
      <c r="D10180" t="s">
        <v>675</v>
      </c>
      <c r="E10180" t="s">
        <v>373</v>
      </c>
      <c r="F10180" t="s">
        <v>702</v>
      </c>
      <c r="G10180">
        <v>217000</v>
      </c>
      <c r="H10180">
        <v>224000</v>
      </c>
    </row>
    <row r="10181" spans="2:8" x14ac:dyDescent="0.25">
      <c r="B10181" t="str">
        <f t="shared" si="158"/>
        <v>PSEPopulation ages 30-34, female</v>
      </c>
      <c r="C10181" t="s">
        <v>674</v>
      </c>
      <c r="D10181" t="s">
        <v>675</v>
      </c>
      <c r="E10181" t="s">
        <v>374</v>
      </c>
      <c r="F10181" t="s">
        <v>703</v>
      </c>
      <c r="G10181">
        <v>163000</v>
      </c>
      <c r="H10181">
        <v>171000</v>
      </c>
    </row>
    <row r="10182" spans="2:8" x14ac:dyDescent="0.25">
      <c r="B10182" t="str">
        <f t="shared" si="158"/>
        <v>PSEPopulation ages 30-34, male</v>
      </c>
      <c r="C10182" t="s">
        <v>674</v>
      </c>
      <c r="D10182" t="s">
        <v>675</v>
      </c>
      <c r="E10182" t="s">
        <v>375</v>
      </c>
      <c r="F10182" t="s">
        <v>704</v>
      </c>
      <c r="G10182">
        <v>169000</v>
      </c>
      <c r="H10182">
        <v>178000</v>
      </c>
    </row>
    <row r="10183" spans="2:8" x14ac:dyDescent="0.25">
      <c r="B10183" t="str">
        <f t="shared" ref="B10183:B10246" si="159">CONCATENATE(D10183,E10183)</f>
        <v>PSEPopulation ages 35-39, female</v>
      </c>
      <c r="C10183" t="s">
        <v>674</v>
      </c>
      <c r="D10183" t="s">
        <v>675</v>
      </c>
      <c r="E10183" t="s">
        <v>376</v>
      </c>
      <c r="F10183" t="s">
        <v>705</v>
      </c>
      <c r="G10183">
        <v>131000</v>
      </c>
      <c r="H10183">
        <v>137000</v>
      </c>
    </row>
    <row r="10184" spans="2:8" x14ac:dyDescent="0.25">
      <c r="B10184" t="str">
        <f t="shared" si="159"/>
        <v>PSEPopulation ages 35-39, male</v>
      </c>
      <c r="C10184" t="s">
        <v>674</v>
      </c>
      <c r="D10184" t="s">
        <v>675</v>
      </c>
      <c r="E10184" t="s">
        <v>377</v>
      </c>
      <c r="F10184" t="s">
        <v>706</v>
      </c>
      <c r="G10184">
        <v>136000</v>
      </c>
      <c r="H10184">
        <v>141000</v>
      </c>
    </row>
    <row r="10185" spans="2:8" x14ac:dyDescent="0.25">
      <c r="B10185" t="str">
        <f t="shared" si="159"/>
        <v>PSEPopulation ages 40-44, female</v>
      </c>
      <c r="C10185" t="s">
        <v>674</v>
      </c>
      <c r="D10185" t="s">
        <v>675</v>
      </c>
      <c r="E10185" t="s">
        <v>378</v>
      </c>
      <c r="F10185" t="s">
        <v>707</v>
      </c>
      <c r="G10185">
        <v>111000</v>
      </c>
      <c r="H10185">
        <v>115000</v>
      </c>
    </row>
    <row r="10186" spans="2:8" x14ac:dyDescent="0.25">
      <c r="B10186" t="str">
        <f t="shared" si="159"/>
        <v>PSEPopulation ages 40-44, male</v>
      </c>
      <c r="C10186" t="s">
        <v>674</v>
      </c>
      <c r="D10186" t="s">
        <v>675</v>
      </c>
      <c r="E10186" t="s">
        <v>379</v>
      </c>
      <c r="F10186" t="s">
        <v>708</v>
      </c>
      <c r="G10186">
        <v>114000</v>
      </c>
      <c r="H10186">
        <v>118000</v>
      </c>
    </row>
    <row r="10187" spans="2:8" x14ac:dyDescent="0.25">
      <c r="B10187" t="str">
        <f t="shared" si="159"/>
        <v>PSEPopulation ages 45-49, female</v>
      </c>
      <c r="C10187" t="s">
        <v>674</v>
      </c>
      <c r="D10187" t="s">
        <v>675</v>
      </c>
      <c r="E10187" t="s">
        <v>380</v>
      </c>
      <c r="F10187" t="s">
        <v>709</v>
      </c>
      <c r="G10187">
        <v>91000</v>
      </c>
      <c r="H10187">
        <v>94000</v>
      </c>
    </row>
    <row r="10188" spans="2:8" x14ac:dyDescent="0.25">
      <c r="B10188" t="str">
        <f t="shared" si="159"/>
        <v>PSEPopulation ages 45-49, male</v>
      </c>
      <c r="C10188" t="s">
        <v>674</v>
      </c>
      <c r="D10188" t="s">
        <v>675</v>
      </c>
      <c r="E10188" t="s">
        <v>381</v>
      </c>
      <c r="F10188" t="s">
        <v>710</v>
      </c>
      <c r="G10188">
        <v>92000</v>
      </c>
      <c r="H10188">
        <v>96000</v>
      </c>
    </row>
    <row r="10189" spans="2:8" x14ac:dyDescent="0.25">
      <c r="B10189" t="str">
        <f t="shared" si="159"/>
        <v>PSEPopulation ages 50-54, female</v>
      </c>
      <c r="C10189" t="s">
        <v>674</v>
      </c>
      <c r="D10189" t="s">
        <v>675</v>
      </c>
      <c r="E10189" t="s">
        <v>382</v>
      </c>
      <c r="F10189" t="s">
        <v>711</v>
      </c>
      <c r="G10189">
        <v>76000</v>
      </c>
      <c r="H10189">
        <v>78000</v>
      </c>
    </row>
    <row r="10190" spans="2:8" x14ac:dyDescent="0.25">
      <c r="B10190" t="str">
        <f t="shared" si="159"/>
        <v>PSEPopulation ages 50-54, male</v>
      </c>
      <c r="C10190" t="s">
        <v>674</v>
      </c>
      <c r="D10190" t="s">
        <v>675</v>
      </c>
      <c r="E10190" t="s">
        <v>383</v>
      </c>
      <c r="F10190" t="s">
        <v>712</v>
      </c>
      <c r="G10190">
        <v>76000</v>
      </c>
      <c r="H10190">
        <v>79000</v>
      </c>
    </row>
    <row r="10191" spans="2:8" x14ac:dyDescent="0.25">
      <c r="B10191" t="str">
        <f t="shared" si="159"/>
        <v>PSEPopulation ages 55-59, male</v>
      </c>
      <c r="C10191" t="s">
        <v>674</v>
      </c>
      <c r="D10191" t="s">
        <v>675</v>
      </c>
      <c r="E10191" t="s">
        <v>385</v>
      </c>
      <c r="F10191" t="s">
        <v>713</v>
      </c>
      <c r="G10191">
        <v>57000</v>
      </c>
      <c r="H10191">
        <v>61000</v>
      </c>
    </row>
    <row r="10192" spans="2:8" x14ac:dyDescent="0.25">
      <c r="B10192" t="str">
        <f t="shared" si="159"/>
        <v>PSEPopulation ages 55-59, female</v>
      </c>
      <c r="C10192" t="s">
        <v>674</v>
      </c>
      <c r="D10192" t="s">
        <v>675</v>
      </c>
      <c r="E10192" t="s">
        <v>384</v>
      </c>
      <c r="F10192" t="s">
        <v>714</v>
      </c>
      <c r="G10192">
        <v>58000</v>
      </c>
      <c r="H10192">
        <v>62000</v>
      </c>
    </row>
    <row r="10193" spans="2:8" x14ac:dyDescent="0.25">
      <c r="B10193" t="str">
        <f t="shared" si="159"/>
        <v>PSEPopulation ages 65-69, male</v>
      </c>
      <c r="C10193" t="s">
        <v>674</v>
      </c>
      <c r="D10193" t="s">
        <v>675</v>
      </c>
      <c r="E10193" t="s">
        <v>389</v>
      </c>
      <c r="F10193" t="s">
        <v>715</v>
      </c>
      <c r="G10193">
        <v>28000</v>
      </c>
      <c r="H10193">
        <v>28000</v>
      </c>
    </row>
    <row r="10194" spans="2:8" x14ac:dyDescent="0.25">
      <c r="B10194" t="str">
        <f t="shared" si="159"/>
        <v>PSEPopulation ages 65-69, female</v>
      </c>
      <c r="C10194" t="s">
        <v>674</v>
      </c>
      <c r="D10194" t="s">
        <v>675</v>
      </c>
      <c r="E10194" t="s">
        <v>388</v>
      </c>
      <c r="F10194" t="s">
        <v>716</v>
      </c>
      <c r="G10194">
        <v>31000</v>
      </c>
      <c r="H10194">
        <v>32000</v>
      </c>
    </row>
    <row r="10195" spans="2:8" x14ac:dyDescent="0.25">
      <c r="B10195" t="str">
        <f t="shared" si="159"/>
        <v>PSEPopulation ages 60-64, female</v>
      </c>
      <c r="C10195" t="s">
        <v>674</v>
      </c>
      <c r="D10195" t="s">
        <v>675</v>
      </c>
      <c r="E10195" t="s">
        <v>386</v>
      </c>
      <c r="F10195" t="s">
        <v>717</v>
      </c>
      <c r="G10195">
        <v>40000</v>
      </c>
      <c r="H10195">
        <v>43000</v>
      </c>
    </row>
    <row r="10196" spans="2:8" x14ac:dyDescent="0.25">
      <c r="B10196" t="str">
        <f t="shared" si="159"/>
        <v>PSEPopulation ages 60-64, male</v>
      </c>
      <c r="C10196" t="s">
        <v>674</v>
      </c>
      <c r="D10196" t="s">
        <v>675</v>
      </c>
      <c r="E10196" t="s">
        <v>387</v>
      </c>
      <c r="F10196" t="s">
        <v>718</v>
      </c>
      <c r="G10196">
        <v>38000</v>
      </c>
      <c r="H10196">
        <v>40000</v>
      </c>
    </row>
    <row r="10197" spans="2:8" x14ac:dyDescent="0.25">
      <c r="B10197" t="str">
        <f t="shared" si="159"/>
        <v>PSEPopulation ages 70-74, female</v>
      </c>
      <c r="C10197" t="s">
        <v>674</v>
      </c>
      <c r="D10197" t="s">
        <v>675</v>
      </c>
      <c r="E10197" t="s">
        <v>390</v>
      </c>
      <c r="F10197" t="s">
        <v>719</v>
      </c>
      <c r="G10197">
        <v>22000</v>
      </c>
      <c r="H10197">
        <v>23000</v>
      </c>
    </row>
    <row r="10198" spans="2:8" x14ac:dyDescent="0.25">
      <c r="B10198" t="str">
        <f t="shared" si="159"/>
        <v>PSEPopulation ages 70-74, male</v>
      </c>
      <c r="C10198" t="s">
        <v>674</v>
      </c>
      <c r="D10198" t="s">
        <v>675</v>
      </c>
      <c r="E10198" t="s">
        <v>391</v>
      </c>
      <c r="F10198" t="s">
        <v>720</v>
      </c>
      <c r="G10198">
        <v>22000</v>
      </c>
      <c r="H10198">
        <v>23000</v>
      </c>
    </row>
    <row r="10199" spans="2:8" x14ac:dyDescent="0.25">
      <c r="B10199" t="str">
        <f t="shared" si="159"/>
        <v>PSEPopulation ages 75-79, female</v>
      </c>
      <c r="C10199" t="s">
        <v>674</v>
      </c>
      <c r="D10199" t="s">
        <v>675</v>
      </c>
      <c r="E10199" t="s">
        <v>392</v>
      </c>
      <c r="F10199" t="s">
        <v>721</v>
      </c>
      <c r="G10199">
        <v>15000</v>
      </c>
      <c r="H10199">
        <v>15000</v>
      </c>
    </row>
    <row r="10200" spans="2:8" x14ac:dyDescent="0.25">
      <c r="B10200" t="str">
        <f t="shared" si="159"/>
        <v>PSEPopulation ages 75-79, male</v>
      </c>
      <c r="C10200" t="s">
        <v>674</v>
      </c>
      <c r="D10200" t="s">
        <v>675</v>
      </c>
      <c r="E10200" t="s">
        <v>393</v>
      </c>
      <c r="F10200" t="s">
        <v>722</v>
      </c>
      <c r="G10200">
        <v>12000</v>
      </c>
      <c r="H10200">
        <v>13000</v>
      </c>
    </row>
    <row r="10201" spans="2:8" x14ac:dyDescent="0.25">
      <c r="B10201" t="str">
        <f t="shared" si="159"/>
        <v>PSEPopulation ages 80 and above, female</v>
      </c>
      <c r="C10201" t="s">
        <v>674</v>
      </c>
      <c r="D10201" t="s">
        <v>675</v>
      </c>
      <c r="E10201" t="s">
        <v>394</v>
      </c>
      <c r="F10201" t="s">
        <v>723</v>
      </c>
      <c r="G10201">
        <v>12000</v>
      </c>
      <c r="H10201">
        <v>12000</v>
      </c>
    </row>
    <row r="10202" spans="2:8" x14ac:dyDescent="0.25">
      <c r="B10202" t="str">
        <f t="shared" si="159"/>
        <v>PSEPopulation ages 80 and above, male</v>
      </c>
      <c r="C10202" t="s">
        <v>674</v>
      </c>
      <c r="D10202" t="s">
        <v>675</v>
      </c>
      <c r="E10202" t="s">
        <v>395</v>
      </c>
      <c r="F10202" t="s">
        <v>724</v>
      </c>
      <c r="G10202">
        <v>8400</v>
      </c>
      <c r="H10202">
        <v>8700</v>
      </c>
    </row>
    <row r="10203" spans="2:8" x14ac:dyDescent="0.25">
      <c r="B10203" t="str">
        <f t="shared" si="159"/>
        <v>PSEPopulation, male</v>
      </c>
      <c r="C10203" t="s">
        <v>674</v>
      </c>
      <c r="D10203" t="s">
        <v>675</v>
      </c>
      <c r="E10203" t="s">
        <v>397</v>
      </c>
      <c r="F10203" t="s">
        <v>725</v>
      </c>
      <c r="G10203">
        <v>2379000</v>
      </c>
      <c r="H10203">
        <v>2441000</v>
      </c>
    </row>
    <row r="10204" spans="2:8" x14ac:dyDescent="0.25">
      <c r="B10204" t="str">
        <f t="shared" si="159"/>
        <v>PSEPopulation, total</v>
      </c>
      <c r="C10204" t="s">
        <v>674</v>
      </c>
      <c r="D10204" t="s">
        <v>675</v>
      </c>
      <c r="E10204" t="s">
        <v>398</v>
      </c>
      <c r="F10204" t="s">
        <v>726</v>
      </c>
      <c r="G10204">
        <v>4690000</v>
      </c>
      <c r="H10204">
        <v>4813000</v>
      </c>
    </row>
    <row r="10205" spans="2:8" x14ac:dyDescent="0.25">
      <c r="B10205" t="str">
        <f t="shared" si="159"/>
        <v>PSEPopulation, female</v>
      </c>
      <c r="C10205" t="s">
        <v>674</v>
      </c>
      <c r="D10205" t="s">
        <v>675</v>
      </c>
      <c r="E10205" t="s">
        <v>396</v>
      </c>
      <c r="F10205" t="s">
        <v>727</v>
      </c>
      <c r="G10205">
        <v>2312000</v>
      </c>
      <c r="H10205">
        <v>2372000</v>
      </c>
    </row>
    <row r="10206" spans="2:8" x14ac:dyDescent="0.25">
      <c r="B10206" t="str">
        <f t="shared" si="159"/>
        <v>PSEPopulation growth (annual %)</v>
      </c>
      <c r="C10206" t="s">
        <v>674</v>
      </c>
      <c r="D10206" t="s">
        <v>675</v>
      </c>
      <c r="E10206" t="s">
        <v>399</v>
      </c>
      <c r="F10206" t="s">
        <v>728</v>
      </c>
      <c r="G10206">
        <v>0</v>
      </c>
      <c r="H10206">
        <v>0</v>
      </c>
    </row>
    <row r="10207" spans="2:8" x14ac:dyDescent="0.25">
      <c r="B10207" t="str">
        <f t="shared" si="159"/>
        <v>WLDPopulation ages 0-14, female</v>
      </c>
      <c r="C10207" t="s">
        <v>676</v>
      </c>
      <c r="D10207" t="s">
        <v>677</v>
      </c>
      <c r="E10207" t="s">
        <v>687</v>
      </c>
      <c r="F10207" t="s">
        <v>688</v>
      </c>
      <c r="G10207">
        <v>951915200</v>
      </c>
      <c r="H10207">
        <v>956150100</v>
      </c>
    </row>
    <row r="10208" spans="2:8" x14ac:dyDescent="0.25">
      <c r="B10208" t="str">
        <f t="shared" si="159"/>
        <v>WLDPopulation ages 0-14, male</v>
      </c>
      <c r="C10208" t="s">
        <v>676</v>
      </c>
      <c r="D10208" t="s">
        <v>677</v>
      </c>
      <c r="E10208" t="s">
        <v>689</v>
      </c>
      <c r="F10208" t="s">
        <v>690</v>
      </c>
      <c r="G10208">
        <v>1015881500</v>
      </c>
      <c r="H10208">
        <v>1019733400</v>
      </c>
    </row>
    <row r="10209" spans="2:8" x14ac:dyDescent="0.25">
      <c r="B10209" t="str">
        <f t="shared" si="159"/>
        <v>WLDPopulation ages 00-04, female</v>
      </c>
      <c r="C10209" t="s">
        <v>676</v>
      </c>
      <c r="D10209" t="s">
        <v>677</v>
      </c>
      <c r="E10209" t="s">
        <v>362</v>
      </c>
      <c r="F10209" t="s">
        <v>691</v>
      </c>
      <c r="G10209">
        <v>326930600</v>
      </c>
      <c r="H10209">
        <v>327291400</v>
      </c>
    </row>
    <row r="10210" spans="2:8" x14ac:dyDescent="0.25">
      <c r="B10210" t="str">
        <f t="shared" si="159"/>
        <v>WLDPopulation ages 00-04, male</v>
      </c>
      <c r="C10210" t="s">
        <v>676</v>
      </c>
      <c r="D10210" t="s">
        <v>677</v>
      </c>
      <c r="E10210" t="s">
        <v>363</v>
      </c>
      <c r="F10210" t="s">
        <v>692</v>
      </c>
      <c r="G10210">
        <v>347930200</v>
      </c>
      <c r="H10210">
        <v>348076100</v>
      </c>
    </row>
    <row r="10211" spans="2:8" x14ac:dyDescent="0.25">
      <c r="B10211" t="str">
        <f t="shared" si="159"/>
        <v>WLDPopulation ages 05-09, female</v>
      </c>
      <c r="C10211" t="s">
        <v>676</v>
      </c>
      <c r="D10211" t="s">
        <v>677</v>
      </c>
      <c r="E10211" t="s">
        <v>364</v>
      </c>
      <c r="F10211" t="s">
        <v>693</v>
      </c>
      <c r="G10211">
        <v>318913800</v>
      </c>
      <c r="H10211">
        <v>320281000</v>
      </c>
    </row>
    <row r="10212" spans="2:8" x14ac:dyDescent="0.25">
      <c r="B10212" t="str">
        <f t="shared" si="159"/>
        <v>WLDPopulation ages 05-09, male</v>
      </c>
      <c r="C10212" t="s">
        <v>676</v>
      </c>
      <c r="D10212" t="s">
        <v>677</v>
      </c>
      <c r="E10212" t="s">
        <v>365</v>
      </c>
      <c r="F10212" t="s">
        <v>694</v>
      </c>
      <c r="G10212">
        <v>340312200</v>
      </c>
      <c r="H10212">
        <v>341536100</v>
      </c>
    </row>
    <row r="10213" spans="2:8" x14ac:dyDescent="0.25">
      <c r="B10213" t="str">
        <f t="shared" si="159"/>
        <v>WLDPopulation ages 10-14, female</v>
      </c>
      <c r="C10213" t="s">
        <v>676</v>
      </c>
      <c r="D10213" t="s">
        <v>677</v>
      </c>
      <c r="E10213" t="s">
        <v>366</v>
      </c>
      <c r="F10213" t="s">
        <v>695</v>
      </c>
      <c r="G10213">
        <v>306065200</v>
      </c>
      <c r="H10213">
        <v>308577300</v>
      </c>
    </row>
    <row r="10214" spans="2:8" x14ac:dyDescent="0.25">
      <c r="B10214" t="str">
        <f t="shared" si="159"/>
        <v>WLDPopulation ages 10-14, male</v>
      </c>
      <c r="C10214" t="s">
        <v>676</v>
      </c>
      <c r="D10214" t="s">
        <v>677</v>
      </c>
      <c r="E10214" t="s">
        <v>367</v>
      </c>
      <c r="F10214" t="s">
        <v>696</v>
      </c>
      <c r="G10214">
        <v>327628200</v>
      </c>
      <c r="H10214">
        <v>330134100</v>
      </c>
    </row>
    <row r="10215" spans="2:8" x14ac:dyDescent="0.25">
      <c r="B10215" t="str">
        <f t="shared" si="159"/>
        <v>WLDPopulation ages 15-19, female</v>
      </c>
      <c r="C10215" t="s">
        <v>676</v>
      </c>
      <c r="D10215" t="s">
        <v>677</v>
      </c>
      <c r="E10215" t="s">
        <v>368</v>
      </c>
      <c r="F10215" t="s">
        <v>697</v>
      </c>
      <c r="G10215">
        <v>292797400</v>
      </c>
      <c r="H10215">
        <v>294382400</v>
      </c>
    </row>
    <row r="10216" spans="2:8" x14ac:dyDescent="0.25">
      <c r="B10216" t="str">
        <f t="shared" si="159"/>
        <v>WLDPopulation ages 15-19, male</v>
      </c>
      <c r="C10216" t="s">
        <v>676</v>
      </c>
      <c r="D10216" t="s">
        <v>677</v>
      </c>
      <c r="E10216" t="s">
        <v>369</v>
      </c>
      <c r="F10216" t="s">
        <v>698</v>
      </c>
      <c r="G10216">
        <v>313509800</v>
      </c>
      <c r="H10216">
        <v>315309500</v>
      </c>
    </row>
    <row r="10217" spans="2:8" x14ac:dyDescent="0.25">
      <c r="B10217" t="str">
        <f t="shared" si="159"/>
        <v>WLDPopulation ages 20-24, female</v>
      </c>
      <c r="C10217" t="s">
        <v>676</v>
      </c>
      <c r="D10217" t="s">
        <v>677</v>
      </c>
      <c r="E10217" t="s">
        <v>370</v>
      </c>
      <c r="F10217" t="s">
        <v>699</v>
      </c>
      <c r="G10217">
        <v>287619000</v>
      </c>
      <c r="H10217">
        <v>287861900</v>
      </c>
    </row>
    <row r="10218" spans="2:8" x14ac:dyDescent="0.25">
      <c r="B10218" t="str">
        <f t="shared" si="159"/>
        <v>WLDPopulation ages 20-24, male</v>
      </c>
      <c r="C10218" t="s">
        <v>676</v>
      </c>
      <c r="D10218" t="s">
        <v>677</v>
      </c>
      <c r="E10218" t="s">
        <v>371</v>
      </c>
      <c r="F10218" t="s">
        <v>700</v>
      </c>
      <c r="G10218">
        <v>306448100</v>
      </c>
      <c r="H10218">
        <v>306893000</v>
      </c>
    </row>
    <row r="10219" spans="2:8" x14ac:dyDescent="0.25">
      <c r="B10219" t="str">
        <f t="shared" si="159"/>
        <v>WLDPopulation ages 25-29, female</v>
      </c>
      <c r="C10219" t="s">
        <v>676</v>
      </c>
      <c r="D10219" t="s">
        <v>677</v>
      </c>
      <c r="E10219" t="s">
        <v>372</v>
      </c>
      <c r="F10219" t="s">
        <v>701</v>
      </c>
      <c r="G10219">
        <v>289351700</v>
      </c>
      <c r="H10219">
        <v>287237300</v>
      </c>
    </row>
    <row r="10220" spans="2:8" x14ac:dyDescent="0.25">
      <c r="B10220" t="str">
        <f t="shared" si="159"/>
        <v>WLDPopulation ages 25-29, male</v>
      </c>
      <c r="C10220" t="s">
        <v>676</v>
      </c>
      <c r="D10220" t="s">
        <v>677</v>
      </c>
      <c r="E10220" t="s">
        <v>373</v>
      </c>
      <c r="F10220" t="s">
        <v>702</v>
      </c>
      <c r="G10220">
        <v>305985600</v>
      </c>
      <c r="H10220">
        <v>304527900</v>
      </c>
    </row>
    <row r="10221" spans="2:8" x14ac:dyDescent="0.25">
      <c r="B10221" t="str">
        <f t="shared" si="159"/>
        <v>WLDPopulation ages 30-34, female</v>
      </c>
      <c r="C10221" t="s">
        <v>676</v>
      </c>
      <c r="D10221" t="s">
        <v>677</v>
      </c>
      <c r="E10221" t="s">
        <v>374</v>
      </c>
      <c r="F10221" t="s">
        <v>703</v>
      </c>
      <c r="G10221">
        <v>291940700</v>
      </c>
      <c r="H10221">
        <v>294445000</v>
      </c>
    </row>
    <row r="10222" spans="2:8" x14ac:dyDescent="0.25">
      <c r="B10222" t="str">
        <f t="shared" si="159"/>
        <v>WLDPopulation ages 30-34, male</v>
      </c>
      <c r="C10222" t="s">
        <v>676</v>
      </c>
      <c r="D10222" t="s">
        <v>677</v>
      </c>
      <c r="E10222" t="s">
        <v>375</v>
      </c>
      <c r="F10222" t="s">
        <v>704</v>
      </c>
      <c r="G10222">
        <v>303907900</v>
      </c>
      <c r="H10222">
        <v>307280900</v>
      </c>
    </row>
    <row r="10223" spans="2:8" x14ac:dyDescent="0.25">
      <c r="B10223" t="str">
        <f t="shared" si="159"/>
        <v>WLDPopulation ages 35-39, female</v>
      </c>
      <c r="C10223" t="s">
        <v>676</v>
      </c>
      <c r="D10223" t="s">
        <v>677</v>
      </c>
      <c r="E10223" t="s">
        <v>376</v>
      </c>
      <c r="F10223" t="s">
        <v>705</v>
      </c>
      <c r="G10223">
        <v>261558000</v>
      </c>
      <c r="H10223">
        <v>266890500</v>
      </c>
    </row>
    <row r="10224" spans="2:8" x14ac:dyDescent="0.25">
      <c r="B10224" t="str">
        <f t="shared" si="159"/>
        <v>WLDPopulation ages 35-39, male</v>
      </c>
      <c r="C10224" t="s">
        <v>676</v>
      </c>
      <c r="D10224" t="s">
        <v>677</v>
      </c>
      <c r="E10224" t="s">
        <v>377</v>
      </c>
      <c r="F10224" t="s">
        <v>706</v>
      </c>
      <c r="G10224">
        <v>269075800</v>
      </c>
      <c r="H10224">
        <v>274911400</v>
      </c>
    </row>
    <row r="10225" spans="2:8" x14ac:dyDescent="0.25">
      <c r="B10225" t="str">
        <f t="shared" si="159"/>
        <v>WLDPopulation ages 40-44, female</v>
      </c>
      <c r="C10225" t="s">
        <v>676</v>
      </c>
      <c r="D10225" t="s">
        <v>677</v>
      </c>
      <c r="E10225" t="s">
        <v>378</v>
      </c>
      <c r="F10225" t="s">
        <v>707</v>
      </c>
      <c r="G10225">
        <v>241277300</v>
      </c>
      <c r="H10225">
        <v>242964500</v>
      </c>
    </row>
    <row r="10226" spans="2:8" x14ac:dyDescent="0.25">
      <c r="B10226" t="str">
        <f t="shared" si="159"/>
        <v>WLDPopulation ages 40-44, male</v>
      </c>
      <c r="C10226" t="s">
        <v>676</v>
      </c>
      <c r="D10226" t="s">
        <v>677</v>
      </c>
      <c r="E10226" t="s">
        <v>379</v>
      </c>
      <c r="F10226" t="s">
        <v>708</v>
      </c>
      <c r="G10226">
        <v>246119800</v>
      </c>
      <c r="H10226">
        <v>247907000</v>
      </c>
    </row>
    <row r="10227" spans="2:8" x14ac:dyDescent="0.25">
      <c r="B10227" t="str">
        <f t="shared" si="159"/>
        <v>WLDPopulation ages 45-49, female</v>
      </c>
      <c r="C10227" t="s">
        <v>676</v>
      </c>
      <c r="D10227" t="s">
        <v>677</v>
      </c>
      <c r="E10227" t="s">
        <v>380</v>
      </c>
      <c r="F10227" t="s">
        <v>709</v>
      </c>
      <c r="G10227">
        <v>235309400</v>
      </c>
      <c r="H10227">
        <v>236406600</v>
      </c>
    </row>
    <row r="10228" spans="2:8" x14ac:dyDescent="0.25">
      <c r="B10228" t="str">
        <f t="shared" si="159"/>
        <v>WLDPopulation ages 45-49, male</v>
      </c>
      <c r="C10228" t="s">
        <v>676</v>
      </c>
      <c r="D10228" t="s">
        <v>677</v>
      </c>
      <c r="E10228" t="s">
        <v>381</v>
      </c>
      <c r="F10228" t="s">
        <v>710</v>
      </c>
      <c r="G10228">
        <v>238135700</v>
      </c>
      <c r="H10228">
        <v>239443700</v>
      </c>
    </row>
    <row r="10229" spans="2:8" x14ac:dyDescent="0.25">
      <c r="B10229" t="str">
        <f t="shared" si="159"/>
        <v>WLDPopulation ages 50-54, female</v>
      </c>
      <c r="C10229" t="s">
        <v>676</v>
      </c>
      <c r="D10229" t="s">
        <v>677</v>
      </c>
      <c r="E10229" t="s">
        <v>382</v>
      </c>
      <c r="F10229" t="s">
        <v>711</v>
      </c>
      <c r="G10229">
        <v>217812300</v>
      </c>
      <c r="H10229">
        <v>221368200</v>
      </c>
    </row>
    <row r="10230" spans="2:8" x14ac:dyDescent="0.25">
      <c r="B10230" t="str">
        <f t="shared" si="159"/>
        <v>WLDPopulation ages 50-54, male</v>
      </c>
      <c r="C10230" t="s">
        <v>676</v>
      </c>
      <c r="D10230" t="s">
        <v>677</v>
      </c>
      <c r="E10230" t="s">
        <v>383</v>
      </c>
      <c r="F10230" t="s">
        <v>712</v>
      </c>
      <c r="G10230">
        <v>217120500</v>
      </c>
      <c r="H10230">
        <v>220794300</v>
      </c>
    </row>
    <row r="10231" spans="2:8" x14ac:dyDescent="0.25">
      <c r="B10231" t="str">
        <f t="shared" si="159"/>
        <v>WLDPopulation ages 55-59, male</v>
      </c>
      <c r="C10231" t="s">
        <v>676</v>
      </c>
      <c r="D10231" t="s">
        <v>677</v>
      </c>
      <c r="E10231" t="s">
        <v>385</v>
      </c>
      <c r="F10231" t="s">
        <v>713</v>
      </c>
      <c r="G10231">
        <v>185762600</v>
      </c>
      <c r="H10231">
        <v>190718400</v>
      </c>
    </row>
    <row r="10232" spans="2:8" x14ac:dyDescent="0.25">
      <c r="B10232" t="str">
        <f t="shared" si="159"/>
        <v>WLDPopulation ages 55-59, female</v>
      </c>
      <c r="C10232" t="s">
        <v>676</v>
      </c>
      <c r="D10232" t="s">
        <v>677</v>
      </c>
      <c r="E10232" t="s">
        <v>384</v>
      </c>
      <c r="F10232" t="s">
        <v>714</v>
      </c>
      <c r="G10232">
        <v>189259100</v>
      </c>
      <c r="H10232">
        <v>194155900</v>
      </c>
    </row>
    <row r="10233" spans="2:8" x14ac:dyDescent="0.25">
      <c r="B10233" t="str">
        <f t="shared" si="159"/>
        <v>WLDPopulation ages 65-69, male</v>
      </c>
      <c r="C10233" t="s">
        <v>676</v>
      </c>
      <c r="D10233" t="s">
        <v>677</v>
      </c>
      <c r="E10233" t="s">
        <v>389</v>
      </c>
      <c r="F10233" t="s">
        <v>715</v>
      </c>
      <c r="G10233">
        <v>123463500</v>
      </c>
      <c r="H10233">
        <v>127851900</v>
      </c>
    </row>
    <row r="10234" spans="2:8" x14ac:dyDescent="0.25">
      <c r="B10234" t="str">
        <f t="shared" si="159"/>
        <v>WLDPopulation ages 65-69, female</v>
      </c>
      <c r="C10234" t="s">
        <v>676</v>
      </c>
      <c r="D10234" t="s">
        <v>677</v>
      </c>
      <c r="E10234" t="s">
        <v>388</v>
      </c>
      <c r="F10234" t="s">
        <v>716</v>
      </c>
      <c r="G10234">
        <v>134939800</v>
      </c>
      <c r="H10234">
        <v>139559300</v>
      </c>
    </row>
    <row r="10235" spans="2:8" x14ac:dyDescent="0.25">
      <c r="B10235" t="str">
        <f t="shared" si="159"/>
        <v>WLDPopulation ages 60-64, female</v>
      </c>
      <c r="C10235" t="s">
        <v>676</v>
      </c>
      <c r="D10235" t="s">
        <v>677</v>
      </c>
      <c r="E10235" t="s">
        <v>386</v>
      </c>
      <c r="F10235" t="s">
        <v>717</v>
      </c>
      <c r="G10235">
        <v>160444300</v>
      </c>
      <c r="H10235">
        <v>163774300</v>
      </c>
    </row>
    <row r="10236" spans="2:8" x14ac:dyDescent="0.25">
      <c r="B10236" t="str">
        <f t="shared" si="159"/>
        <v>WLDPopulation ages 60-64, male</v>
      </c>
      <c r="C10236" t="s">
        <v>676</v>
      </c>
      <c r="D10236" t="s">
        <v>677</v>
      </c>
      <c r="E10236" t="s">
        <v>387</v>
      </c>
      <c r="F10236" t="s">
        <v>718</v>
      </c>
      <c r="G10236">
        <v>152640700</v>
      </c>
      <c r="H10236">
        <v>156006400</v>
      </c>
    </row>
    <row r="10237" spans="2:8" x14ac:dyDescent="0.25">
      <c r="B10237" t="str">
        <f t="shared" si="159"/>
        <v>WLDPopulation ages 70-74, female</v>
      </c>
      <c r="C10237" t="s">
        <v>676</v>
      </c>
      <c r="D10237" t="s">
        <v>677</v>
      </c>
      <c r="E10237" t="s">
        <v>390</v>
      </c>
      <c r="F10237" t="s">
        <v>719</v>
      </c>
      <c r="G10237">
        <v>95866800</v>
      </c>
      <c r="H10237">
        <v>100767200</v>
      </c>
    </row>
    <row r="10238" spans="2:8" x14ac:dyDescent="0.25">
      <c r="B10238" t="str">
        <f t="shared" si="159"/>
        <v>WLDPopulation ages 70-74, male</v>
      </c>
      <c r="C10238" t="s">
        <v>676</v>
      </c>
      <c r="D10238" t="s">
        <v>677</v>
      </c>
      <c r="E10238" t="s">
        <v>391</v>
      </c>
      <c r="F10238" t="s">
        <v>720</v>
      </c>
      <c r="G10238">
        <v>82221500</v>
      </c>
      <c r="H10238">
        <v>86539000</v>
      </c>
    </row>
    <row r="10239" spans="2:8" x14ac:dyDescent="0.25">
      <c r="B10239" t="str">
        <f t="shared" si="159"/>
        <v>WLDPopulation ages 75-79, female</v>
      </c>
      <c r="C10239" t="s">
        <v>676</v>
      </c>
      <c r="D10239" t="s">
        <v>677</v>
      </c>
      <c r="E10239" t="s">
        <v>392</v>
      </c>
      <c r="F10239" t="s">
        <v>721</v>
      </c>
      <c r="G10239">
        <v>66551300</v>
      </c>
      <c r="H10239">
        <v>68570000</v>
      </c>
    </row>
    <row r="10240" spans="2:8" x14ac:dyDescent="0.25">
      <c r="B10240" t="str">
        <f t="shared" si="159"/>
        <v>WLDPopulation ages 75-79, male</v>
      </c>
      <c r="C10240" t="s">
        <v>676</v>
      </c>
      <c r="D10240" t="s">
        <v>677</v>
      </c>
      <c r="E10240" t="s">
        <v>393</v>
      </c>
      <c r="F10240" t="s">
        <v>722</v>
      </c>
      <c r="G10240">
        <v>52719800</v>
      </c>
      <c r="H10240">
        <v>54379500</v>
      </c>
    </row>
    <row r="10241" spans="2:8" x14ac:dyDescent="0.25">
      <c r="B10241" t="str">
        <f t="shared" si="159"/>
        <v>WLDPopulation ages 80 and above, female</v>
      </c>
      <c r="C10241" t="s">
        <v>676</v>
      </c>
      <c r="D10241" t="s">
        <v>677</v>
      </c>
      <c r="E10241" t="s">
        <v>394</v>
      </c>
      <c r="F10241" t="s">
        <v>723</v>
      </c>
      <c r="G10241">
        <v>87407700</v>
      </c>
      <c r="H10241">
        <v>89020200</v>
      </c>
    </row>
    <row r="10242" spans="2:8" x14ac:dyDescent="0.25">
      <c r="B10242" t="str">
        <f t="shared" si="159"/>
        <v>WLDPopulation ages 80 and above, male</v>
      </c>
      <c r="C10242" t="s">
        <v>676</v>
      </c>
      <c r="D10242" t="s">
        <v>677</v>
      </c>
      <c r="E10242" t="s">
        <v>395</v>
      </c>
      <c r="F10242" t="s">
        <v>724</v>
      </c>
      <c r="G10242">
        <v>54859000</v>
      </c>
      <c r="H10242">
        <v>55591900</v>
      </c>
    </row>
    <row r="10243" spans="2:8" x14ac:dyDescent="0.25">
      <c r="B10243" t="str">
        <f t="shared" si="159"/>
        <v>WLDPopulation, male</v>
      </c>
      <c r="C10243" t="s">
        <v>676</v>
      </c>
      <c r="D10243" t="s">
        <v>677</v>
      </c>
      <c r="E10243" t="s">
        <v>397</v>
      </c>
      <c r="F10243" t="s">
        <v>725</v>
      </c>
      <c r="G10243">
        <v>3867816000</v>
      </c>
      <c r="H10243">
        <v>3907894000</v>
      </c>
    </row>
    <row r="10244" spans="2:8" x14ac:dyDescent="0.25">
      <c r="B10244" t="str">
        <f t="shared" si="159"/>
        <v>WLDPopulation, total</v>
      </c>
      <c r="C10244" t="s">
        <v>676</v>
      </c>
      <c r="D10244" t="s">
        <v>677</v>
      </c>
      <c r="E10244" t="s">
        <v>398</v>
      </c>
      <c r="F10244" t="s">
        <v>726</v>
      </c>
      <c r="G10244">
        <v>7674533000</v>
      </c>
      <c r="H10244">
        <v>7754179000</v>
      </c>
    </row>
    <row r="10245" spans="2:8" x14ac:dyDescent="0.25">
      <c r="B10245" t="str">
        <f t="shared" si="159"/>
        <v>WLDPopulation, female</v>
      </c>
      <c r="C10245" t="s">
        <v>676</v>
      </c>
      <c r="D10245" t="s">
        <v>677</v>
      </c>
      <c r="E10245" t="s">
        <v>396</v>
      </c>
      <c r="F10245" t="s">
        <v>727</v>
      </c>
      <c r="G10245">
        <v>3804027000</v>
      </c>
      <c r="H10245">
        <v>3843582000</v>
      </c>
    </row>
    <row r="10246" spans="2:8" x14ac:dyDescent="0.25">
      <c r="B10246" t="str">
        <f t="shared" si="159"/>
        <v>WLDPopulation growth (annual %)</v>
      </c>
      <c r="C10246" t="s">
        <v>676</v>
      </c>
      <c r="D10246" t="s">
        <v>677</v>
      </c>
      <c r="E10246" t="s">
        <v>399</v>
      </c>
      <c r="F10246" t="s">
        <v>728</v>
      </c>
      <c r="G10246">
        <v>1.0568842066122528</v>
      </c>
      <c r="H10246">
        <v>1.0377960457007589</v>
      </c>
    </row>
    <row r="10247" spans="2:8" x14ac:dyDescent="0.25">
      <c r="B10247" t="str">
        <f t="shared" ref="B10247:B10310" si="160">CONCATENATE(D10247,E10247)</f>
        <v>YEMPopulation ages 0-14, female</v>
      </c>
      <c r="C10247" t="s">
        <v>678</v>
      </c>
      <c r="D10247" t="s">
        <v>153</v>
      </c>
      <c r="E10247" t="s">
        <v>687</v>
      </c>
      <c r="F10247" t="s">
        <v>688</v>
      </c>
      <c r="G10247">
        <v>5605000</v>
      </c>
      <c r="H10247">
        <v>5676000</v>
      </c>
    </row>
    <row r="10248" spans="2:8" x14ac:dyDescent="0.25">
      <c r="B10248" t="str">
        <f t="shared" si="160"/>
        <v>YEMPopulation ages 0-14, male</v>
      </c>
      <c r="C10248" t="s">
        <v>678</v>
      </c>
      <c r="D10248" t="s">
        <v>153</v>
      </c>
      <c r="E10248" t="s">
        <v>689</v>
      </c>
      <c r="F10248" t="s">
        <v>690</v>
      </c>
      <c r="G10248">
        <v>5833000</v>
      </c>
      <c r="H10248">
        <v>5906000</v>
      </c>
    </row>
    <row r="10249" spans="2:8" x14ac:dyDescent="0.25">
      <c r="B10249" t="str">
        <f t="shared" si="160"/>
        <v>YEMPopulation ages 00-04, female</v>
      </c>
      <c r="C10249" t="s">
        <v>678</v>
      </c>
      <c r="D10249" t="s">
        <v>153</v>
      </c>
      <c r="E10249" t="s">
        <v>362</v>
      </c>
      <c r="F10249" t="s">
        <v>691</v>
      </c>
      <c r="G10249">
        <v>2007000</v>
      </c>
      <c r="H10249">
        <v>2015000</v>
      </c>
    </row>
    <row r="10250" spans="2:8" x14ac:dyDescent="0.25">
      <c r="B10250" t="str">
        <f t="shared" si="160"/>
        <v>YEMPopulation ages 00-04, male</v>
      </c>
      <c r="C10250" t="s">
        <v>678</v>
      </c>
      <c r="D10250" t="s">
        <v>153</v>
      </c>
      <c r="E10250" t="s">
        <v>363</v>
      </c>
      <c r="F10250" t="s">
        <v>692</v>
      </c>
      <c r="G10250">
        <v>2091000</v>
      </c>
      <c r="H10250">
        <v>2100000</v>
      </c>
    </row>
    <row r="10251" spans="2:8" x14ac:dyDescent="0.25">
      <c r="B10251" t="str">
        <f t="shared" si="160"/>
        <v>YEMPopulation ages 05-09, female</v>
      </c>
      <c r="C10251" t="s">
        <v>678</v>
      </c>
      <c r="D10251" t="s">
        <v>153</v>
      </c>
      <c r="E10251" t="s">
        <v>364</v>
      </c>
      <c r="F10251" t="s">
        <v>693</v>
      </c>
      <c r="G10251">
        <v>1891000</v>
      </c>
      <c r="H10251">
        <v>1920000</v>
      </c>
    </row>
    <row r="10252" spans="2:8" x14ac:dyDescent="0.25">
      <c r="B10252" t="str">
        <f t="shared" si="160"/>
        <v>YEMPopulation ages 05-09, male</v>
      </c>
      <c r="C10252" t="s">
        <v>678</v>
      </c>
      <c r="D10252" t="s">
        <v>153</v>
      </c>
      <c r="E10252" t="s">
        <v>365</v>
      </c>
      <c r="F10252" t="s">
        <v>694</v>
      </c>
      <c r="G10252">
        <v>1968000</v>
      </c>
      <c r="H10252">
        <v>1998000</v>
      </c>
    </row>
    <row r="10253" spans="2:8" x14ac:dyDescent="0.25">
      <c r="B10253" t="str">
        <f t="shared" si="160"/>
        <v>YEMPopulation ages 10-14, female</v>
      </c>
      <c r="C10253" t="s">
        <v>678</v>
      </c>
      <c r="D10253" t="s">
        <v>153</v>
      </c>
      <c r="E10253" t="s">
        <v>366</v>
      </c>
      <c r="F10253" t="s">
        <v>695</v>
      </c>
      <c r="G10253">
        <v>1707000</v>
      </c>
      <c r="H10253">
        <v>1740000</v>
      </c>
    </row>
    <row r="10254" spans="2:8" x14ac:dyDescent="0.25">
      <c r="B10254" t="str">
        <f t="shared" si="160"/>
        <v>YEMPopulation ages 10-14, male</v>
      </c>
      <c r="C10254" t="s">
        <v>678</v>
      </c>
      <c r="D10254" t="s">
        <v>153</v>
      </c>
      <c r="E10254" t="s">
        <v>367</v>
      </c>
      <c r="F10254" t="s">
        <v>696</v>
      </c>
      <c r="G10254">
        <v>1774000</v>
      </c>
      <c r="H10254">
        <v>1808000</v>
      </c>
    </row>
    <row r="10255" spans="2:8" x14ac:dyDescent="0.25">
      <c r="B10255" t="str">
        <f t="shared" si="160"/>
        <v>YEMPopulation ages 15-19, female</v>
      </c>
      <c r="C10255" t="s">
        <v>678</v>
      </c>
      <c r="D10255" t="s">
        <v>153</v>
      </c>
      <c r="E10255" t="s">
        <v>368</v>
      </c>
      <c r="F10255" t="s">
        <v>697</v>
      </c>
      <c r="G10255">
        <v>1548000</v>
      </c>
      <c r="H10255">
        <v>1574000</v>
      </c>
    </row>
    <row r="10256" spans="2:8" x14ac:dyDescent="0.25">
      <c r="B10256" t="str">
        <f t="shared" si="160"/>
        <v>YEMPopulation ages 15-19, male</v>
      </c>
      <c r="C10256" t="s">
        <v>678</v>
      </c>
      <c r="D10256" t="s">
        <v>153</v>
      </c>
      <c r="E10256" t="s">
        <v>369</v>
      </c>
      <c r="F10256" t="s">
        <v>698</v>
      </c>
      <c r="G10256">
        <v>1600000</v>
      </c>
      <c r="H10256">
        <v>1628000</v>
      </c>
    </row>
    <row r="10257" spans="2:8" x14ac:dyDescent="0.25">
      <c r="B10257" t="str">
        <f t="shared" si="160"/>
        <v>YEMPopulation ages 20-24, female</v>
      </c>
      <c r="C10257" t="s">
        <v>678</v>
      </c>
      <c r="D10257" t="s">
        <v>153</v>
      </c>
      <c r="E10257" t="s">
        <v>370</v>
      </c>
      <c r="F10257" t="s">
        <v>699</v>
      </c>
      <c r="G10257">
        <v>1436000</v>
      </c>
      <c r="H10257">
        <v>1443000</v>
      </c>
    </row>
    <row r="10258" spans="2:8" x14ac:dyDescent="0.25">
      <c r="B10258" t="str">
        <f t="shared" si="160"/>
        <v>YEMPopulation ages 20-24, male</v>
      </c>
      <c r="C10258" t="s">
        <v>678</v>
      </c>
      <c r="D10258" t="s">
        <v>153</v>
      </c>
      <c r="E10258" t="s">
        <v>371</v>
      </c>
      <c r="F10258" t="s">
        <v>700</v>
      </c>
      <c r="G10258">
        <v>1476000</v>
      </c>
      <c r="H10258">
        <v>1482000</v>
      </c>
    </row>
    <row r="10259" spans="2:8" x14ac:dyDescent="0.25">
      <c r="B10259" t="str">
        <f t="shared" si="160"/>
        <v>YEMPopulation ages 25-29, female</v>
      </c>
      <c r="C10259" t="s">
        <v>678</v>
      </c>
      <c r="D10259" t="s">
        <v>153</v>
      </c>
      <c r="E10259" t="s">
        <v>372</v>
      </c>
      <c r="F10259" t="s">
        <v>701</v>
      </c>
      <c r="G10259">
        <v>1361000</v>
      </c>
      <c r="H10259">
        <v>1388000</v>
      </c>
    </row>
    <row r="10260" spans="2:8" x14ac:dyDescent="0.25">
      <c r="B10260" t="str">
        <f t="shared" si="160"/>
        <v>YEMPopulation ages 25-29, male</v>
      </c>
      <c r="C10260" t="s">
        <v>678</v>
      </c>
      <c r="D10260" t="s">
        <v>153</v>
      </c>
      <c r="E10260" t="s">
        <v>373</v>
      </c>
      <c r="F10260" t="s">
        <v>702</v>
      </c>
      <c r="G10260">
        <v>1392000</v>
      </c>
      <c r="H10260">
        <v>1419000</v>
      </c>
    </row>
    <row r="10261" spans="2:8" x14ac:dyDescent="0.25">
      <c r="B10261" t="str">
        <f t="shared" si="160"/>
        <v>YEMPopulation ages 30-34, female</v>
      </c>
      <c r="C10261" t="s">
        <v>678</v>
      </c>
      <c r="D10261" t="s">
        <v>153</v>
      </c>
      <c r="E10261" t="s">
        <v>374</v>
      </c>
      <c r="F10261" t="s">
        <v>703</v>
      </c>
      <c r="G10261">
        <v>1108000</v>
      </c>
      <c r="H10261">
        <v>1156000</v>
      </c>
    </row>
    <row r="10262" spans="2:8" x14ac:dyDescent="0.25">
      <c r="B10262" t="str">
        <f t="shared" si="160"/>
        <v>YEMPopulation ages 30-34, male</v>
      </c>
      <c r="C10262" t="s">
        <v>678</v>
      </c>
      <c r="D10262" t="s">
        <v>153</v>
      </c>
      <c r="E10262" t="s">
        <v>375</v>
      </c>
      <c r="F10262" t="s">
        <v>704</v>
      </c>
      <c r="G10262">
        <v>1124000</v>
      </c>
      <c r="H10262">
        <v>1174000</v>
      </c>
    </row>
    <row r="10263" spans="2:8" x14ac:dyDescent="0.25">
      <c r="B10263" t="str">
        <f t="shared" si="160"/>
        <v>YEMPopulation ages 35-39, female</v>
      </c>
      <c r="C10263" t="s">
        <v>678</v>
      </c>
      <c r="D10263" t="s">
        <v>153</v>
      </c>
      <c r="E10263" t="s">
        <v>376</v>
      </c>
      <c r="F10263" t="s">
        <v>705</v>
      </c>
      <c r="G10263">
        <v>856000</v>
      </c>
      <c r="H10263">
        <v>903000</v>
      </c>
    </row>
    <row r="10264" spans="2:8" x14ac:dyDescent="0.25">
      <c r="B10264" t="str">
        <f t="shared" si="160"/>
        <v>YEMPopulation ages 35-39, male</v>
      </c>
      <c r="C10264" t="s">
        <v>678</v>
      </c>
      <c r="D10264" t="s">
        <v>153</v>
      </c>
      <c r="E10264" t="s">
        <v>377</v>
      </c>
      <c r="F10264" t="s">
        <v>706</v>
      </c>
      <c r="G10264">
        <v>866000</v>
      </c>
      <c r="H10264">
        <v>909000</v>
      </c>
    </row>
    <row r="10265" spans="2:8" x14ac:dyDescent="0.25">
      <c r="B10265" t="str">
        <f t="shared" si="160"/>
        <v>YEMPopulation ages 40-44, female</v>
      </c>
      <c r="C10265" t="s">
        <v>678</v>
      </c>
      <c r="D10265" t="s">
        <v>153</v>
      </c>
      <c r="E10265" t="s">
        <v>378</v>
      </c>
      <c r="F10265" t="s">
        <v>707</v>
      </c>
      <c r="G10265">
        <v>629000</v>
      </c>
      <c r="H10265">
        <v>667000</v>
      </c>
    </row>
    <row r="10266" spans="2:8" x14ac:dyDescent="0.25">
      <c r="B10266" t="str">
        <f t="shared" si="160"/>
        <v>YEMPopulation ages 40-44, male</v>
      </c>
      <c r="C10266" t="s">
        <v>678</v>
      </c>
      <c r="D10266" t="s">
        <v>153</v>
      </c>
      <c r="E10266" t="s">
        <v>379</v>
      </c>
      <c r="F10266" t="s">
        <v>708</v>
      </c>
      <c r="G10266">
        <v>659000</v>
      </c>
      <c r="H10266">
        <v>695000</v>
      </c>
    </row>
    <row r="10267" spans="2:8" x14ac:dyDescent="0.25">
      <c r="B10267" t="str">
        <f t="shared" si="160"/>
        <v>YEMPopulation ages 45-49, female</v>
      </c>
      <c r="C10267" t="s">
        <v>678</v>
      </c>
      <c r="D10267" t="s">
        <v>153</v>
      </c>
      <c r="E10267" t="s">
        <v>380</v>
      </c>
      <c r="F10267" t="s">
        <v>709</v>
      </c>
      <c r="G10267">
        <v>471000</v>
      </c>
      <c r="H10267">
        <v>491000</v>
      </c>
    </row>
    <row r="10268" spans="2:8" x14ac:dyDescent="0.25">
      <c r="B10268" t="str">
        <f t="shared" si="160"/>
        <v>YEMPopulation ages 45-49, male</v>
      </c>
      <c r="C10268" t="s">
        <v>678</v>
      </c>
      <c r="D10268" t="s">
        <v>153</v>
      </c>
      <c r="E10268" t="s">
        <v>381</v>
      </c>
      <c r="F10268" t="s">
        <v>710</v>
      </c>
      <c r="G10268">
        <v>479000</v>
      </c>
      <c r="H10268">
        <v>509000</v>
      </c>
    </row>
    <row r="10269" spans="2:8" x14ac:dyDescent="0.25">
      <c r="B10269" t="str">
        <f t="shared" si="160"/>
        <v>YEMPopulation ages 50-54, female</v>
      </c>
      <c r="C10269" t="s">
        <v>678</v>
      </c>
      <c r="D10269" t="s">
        <v>153</v>
      </c>
      <c r="E10269" t="s">
        <v>382</v>
      </c>
      <c r="F10269" t="s">
        <v>711</v>
      </c>
      <c r="G10269">
        <v>401000</v>
      </c>
      <c r="H10269">
        <v>410000</v>
      </c>
    </row>
    <row r="10270" spans="2:8" x14ac:dyDescent="0.25">
      <c r="B10270" t="str">
        <f t="shared" si="160"/>
        <v>YEMPopulation ages 50-54, male</v>
      </c>
      <c r="C10270" t="s">
        <v>678</v>
      </c>
      <c r="D10270" t="s">
        <v>153</v>
      </c>
      <c r="E10270" t="s">
        <v>383</v>
      </c>
      <c r="F10270" t="s">
        <v>712</v>
      </c>
      <c r="G10270">
        <v>349000</v>
      </c>
      <c r="H10270">
        <v>364000</v>
      </c>
    </row>
    <row r="10271" spans="2:8" x14ac:dyDescent="0.25">
      <c r="B10271" t="str">
        <f t="shared" si="160"/>
        <v>YEMPopulation ages 55-59, male</v>
      </c>
      <c r="C10271" t="s">
        <v>678</v>
      </c>
      <c r="D10271" t="s">
        <v>153</v>
      </c>
      <c r="E10271" t="s">
        <v>385</v>
      </c>
      <c r="F10271" t="s">
        <v>713</v>
      </c>
      <c r="G10271">
        <v>294000</v>
      </c>
      <c r="H10271">
        <v>299000</v>
      </c>
    </row>
    <row r="10272" spans="2:8" x14ac:dyDescent="0.25">
      <c r="B10272" t="str">
        <f t="shared" si="160"/>
        <v>YEMPopulation ages 55-59, female</v>
      </c>
      <c r="C10272" t="s">
        <v>678</v>
      </c>
      <c r="D10272" t="s">
        <v>153</v>
      </c>
      <c r="E10272" t="s">
        <v>384</v>
      </c>
      <c r="F10272" t="s">
        <v>714</v>
      </c>
      <c r="G10272">
        <v>339000</v>
      </c>
      <c r="H10272">
        <v>350000</v>
      </c>
    </row>
    <row r="10273" spans="2:8" x14ac:dyDescent="0.25">
      <c r="B10273" t="str">
        <f t="shared" si="160"/>
        <v>YEMPopulation ages 65-69, male</v>
      </c>
      <c r="C10273" t="s">
        <v>678</v>
      </c>
      <c r="D10273" t="s">
        <v>153</v>
      </c>
      <c r="E10273" t="s">
        <v>389</v>
      </c>
      <c r="F10273" t="s">
        <v>715</v>
      </c>
      <c r="G10273">
        <v>168000</v>
      </c>
      <c r="H10273">
        <v>174000</v>
      </c>
    </row>
    <row r="10274" spans="2:8" x14ac:dyDescent="0.25">
      <c r="B10274" t="str">
        <f t="shared" si="160"/>
        <v>YEMPopulation ages 65-69, female</v>
      </c>
      <c r="C10274" t="s">
        <v>678</v>
      </c>
      <c r="D10274" t="s">
        <v>153</v>
      </c>
      <c r="E10274" t="s">
        <v>388</v>
      </c>
      <c r="F10274" t="s">
        <v>716</v>
      </c>
      <c r="G10274">
        <v>190000</v>
      </c>
      <c r="H10274">
        <v>196000</v>
      </c>
    </row>
    <row r="10275" spans="2:8" x14ac:dyDescent="0.25">
      <c r="B10275" t="str">
        <f t="shared" si="160"/>
        <v>YEMPopulation ages 60-64, female</v>
      </c>
      <c r="C10275" t="s">
        <v>678</v>
      </c>
      <c r="D10275" t="s">
        <v>153</v>
      </c>
      <c r="E10275" t="s">
        <v>386</v>
      </c>
      <c r="F10275" t="s">
        <v>717</v>
      </c>
      <c r="G10275">
        <v>254000</v>
      </c>
      <c r="H10275">
        <v>265000</v>
      </c>
    </row>
    <row r="10276" spans="2:8" x14ac:dyDescent="0.25">
      <c r="B10276" t="str">
        <f t="shared" si="160"/>
        <v>YEMPopulation ages 60-64, male</v>
      </c>
      <c r="C10276" t="s">
        <v>678</v>
      </c>
      <c r="D10276" t="s">
        <v>153</v>
      </c>
      <c r="E10276" t="s">
        <v>387</v>
      </c>
      <c r="F10276" t="s">
        <v>718</v>
      </c>
      <c r="G10276">
        <v>237000</v>
      </c>
      <c r="H10276">
        <v>244000</v>
      </c>
    </row>
    <row r="10277" spans="2:8" x14ac:dyDescent="0.25">
      <c r="B10277" t="str">
        <f t="shared" si="160"/>
        <v>YEMPopulation ages 70-74, female</v>
      </c>
      <c r="C10277" t="s">
        <v>678</v>
      </c>
      <c r="D10277" t="s">
        <v>153</v>
      </c>
      <c r="E10277" t="s">
        <v>390</v>
      </c>
      <c r="F10277" t="s">
        <v>719</v>
      </c>
      <c r="G10277">
        <v>135000</v>
      </c>
      <c r="H10277">
        <v>141000</v>
      </c>
    </row>
    <row r="10278" spans="2:8" x14ac:dyDescent="0.25">
      <c r="B10278" t="str">
        <f t="shared" si="160"/>
        <v>YEMPopulation ages 70-74, male</v>
      </c>
      <c r="C10278" t="s">
        <v>678</v>
      </c>
      <c r="D10278" t="s">
        <v>153</v>
      </c>
      <c r="E10278" t="s">
        <v>391</v>
      </c>
      <c r="F10278" t="s">
        <v>720</v>
      </c>
      <c r="G10278">
        <v>114000</v>
      </c>
      <c r="H10278">
        <v>118000</v>
      </c>
    </row>
    <row r="10279" spans="2:8" x14ac:dyDescent="0.25">
      <c r="B10279" t="str">
        <f t="shared" si="160"/>
        <v>YEMPopulation ages 75-79, female</v>
      </c>
      <c r="C10279" t="s">
        <v>678</v>
      </c>
      <c r="D10279" t="s">
        <v>153</v>
      </c>
      <c r="E10279" t="s">
        <v>392</v>
      </c>
      <c r="F10279" t="s">
        <v>721</v>
      </c>
      <c r="G10279">
        <v>77000</v>
      </c>
      <c r="H10279">
        <v>81000</v>
      </c>
    </row>
    <row r="10280" spans="2:8" x14ac:dyDescent="0.25">
      <c r="B10280" t="str">
        <f t="shared" si="160"/>
        <v>YEMPopulation ages 75-79, male</v>
      </c>
      <c r="C10280" t="s">
        <v>678</v>
      </c>
      <c r="D10280" t="s">
        <v>153</v>
      </c>
      <c r="E10280" t="s">
        <v>393</v>
      </c>
      <c r="F10280" t="s">
        <v>722</v>
      </c>
      <c r="G10280">
        <v>61000</v>
      </c>
      <c r="H10280">
        <v>64000</v>
      </c>
    </row>
    <row r="10281" spans="2:8" x14ac:dyDescent="0.25">
      <c r="B10281" t="str">
        <f t="shared" si="160"/>
        <v>YEMPopulation ages 80 and above, female</v>
      </c>
      <c r="C10281" t="s">
        <v>678</v>
      </c>
      <c r="D10281" t="s">
        <v>153</v>
      </c>
      <c r="E10281" t="s">
        <v>394</v>
      </c>
      <c r="F10281" t="s">
        <v>723</v>
      </c>
      <c r="G10281">
        <v>60000</v>
      </c>
      <c r="H10281">
        <v>60000</v>
      </c>
    </row>
    <row r="10282" spans="2:8" x14ac:dyDescent="0.25">
      <c r="B10282" t="str">
        <f t="shared" si="160"/>
        <v>YEMPopulation ages 80 and above, male</v>
      </c>
      <c r="C10282" t="s">
        <v>678</v>
      </c>
      <c r="D10282" t="s">
        <v>153</v>
      </c>
      <c r="E10282" t="s">
        <v>395</v>
      </c>
      <c r="F10282" t="s">
        <v>724</v>
      </c>
      <c r="G10282">
        <v>41000</v>
      </c>
      <c r="H10282">
        <v>40000</v>
      </c>
    </row>
    <row r="10283" spans="2:8" x14ac:dyDescent="0.25">
      <c r="B10283" t="str">
        <f t="shared" si="160"/>
        <v>YEMPopulation, male</v>
      </c>
      <c r="C10283" t="s">
        <v>678</v>
      </c>
      <c r="D10283" t="s">
        <v>153</v>
      </c>
      <c r="E10283" t="s">
        <v>397</v>
      </c>
      <c r="F10283" t="s">
        <v>725</v>
      </c>
      <c r="G10283">
        <v>14692000</v>
      </c>
      <c r="H10283">
        <v>15025000</v>
      </c>
    </row>
    <row r="10284" spans="2:8" x14ac:dyDescent="0.25">
      <c r="B10284" t="str">
        <f t="shared" si="160"/>
        <v>YEMPopulation, total</v>
      </c>
      <c r="C10284" t="s">
        <v>678</v>
      </c>
      <c r="D10284" t="s">
        <v>153</v>
      </c>
      <c r="E10284" t="s">
        <v>398</v>
      </c>
      <c r="F10284" t="s">
        <v>726</v>
      </c>
      <c r="G10284">
        <v>29162000</v>
      </c>
      <c r="H10284">
        <v>29826000</v>
      </c>
    </row>
    <row r="10285" spans="2:8" x14ac:dyDescent="0.25">
      <c r="B10285" t="str">
        <f t="shared" si="160"/>
        <v>YEMPopulation, female</v>
      </c>
      <c r="C10285" t="s">
        <v>678</v>
      </c>
      <c r="D10285" t="s">
        <v>153</v>
      </c>
      <c r="E10285" t="s">
        <v>396</v>
      </c>
      <c r="F10285" t="s">
        <v>727</v>
      </c>
      <c r="G10285">
        <v>14470000</v>
      </c>
      <c r="H10285">
        <v>14801000</v>
      </c>
    </row>
    <row r="10286" spans="2:8" x14ac:dyDescent="0.25">
      <c r="B10286" t="str">
        <f t="shared" si="160"/>
        <v>YEMPopulation growth (annual %)</v>
      </c>
      <c r="C10286" t="s">
        <v>678</v>
      </c>
      <c r="D10286" t="s">
        <v>153</v>
      </c>
      <c r="E10286" t="s">
        <v>399</v>
      </c>
      <c r="F10286" t="s">
        <v>728</v>
      </c>
      <c r="G10286">
        <v>0</v>
      </c>
      <c r="H10286">
        <v>0</v>
      </c>
    </row>
    <row r="10287" spans="2:8" x14ac:dyDescent="0.25">
      <c r="B10287" t="str">
        <f t="shared" si="160"/>
        <v>ZMBPopulation ages 0-14, female</v>
      </c>
      <c r="C10287" t="s">
        <v>217</v>
      </c>
      <c r="D10287" t="s">
        <v>155</v>
      </c>
      <c r="E10287" t="s">
        <v>687</v>
      </c>
      <c r="F10287" t="s">
        <v>688</v>
      </c>
      <c r="G10287">
        <v>3935000</v>
      </c>
      <c r="H10287">
        <v>4009000</v>
      </c>
    </row>
    <row r="10288" spans="2:8" x14ac:dyDescent="0.25">
      <c r="B10288" t="str">
        <f t="shared" si="160"/>
        <v>ZMBPopulation ages 0-14, male</v>
      </c>
      <c r="C10288" t="s">
        <v>217</v>
      </c>
      <c r="D10288" t="s">
        <v>155</v>
      </c>
      <c r="E10288" t="s">
        <v>689</v>
      </c>
      <c r="F10288" t="s">
        <v>690</v>
      </c>
      <c r="G10288">
        <v>4007000</v>
      </c>
      <c r="H10288">
        <v>4083000</v>
      </c>
    </row>
    <row r="10289" spans="2:8" x14ac:dyDescent="0.25">
      <c r="B10289" t="str">
        <f t="shared" si="160"/>
        <v>ZMBPopulation ages 00-04, female</v>
      </c>
      <c r="C10289" t="s">
        <v>217</v>
      </c>
      <c r="D10289" t="s">
        <v>155</v>
      </c>
      <c r="E10289" t="s">
        <v>362</v>
      </c>
      <c r="F10289" t="s">
        <v>691</v>
      </c>
      <c r="G10289">
        <v>1435000</v>
      </c>
      <c r="H10289">
        <v>1457000</v>
      </c>
    </row>
    <row r="10290" spans="2:8" x14ac:dyDescent="0.25">
      <c r="B10290" t="str">
        <f t="shared" si="160"/>
        <v>ZMBPopulation ages 00-04, male</v>
      </c>
      <c r="C10290" t="s">
        <v>217</v>
      </c>
      <c r="D10290" t="s">
        <v>155</v>
      </c>
      <c r="E10290" t="s">
        <v>363</v>
      </c>
      <c r="F10290" t="s">
        <v>692</v>
      </c>
      <c r="G10290">
        <v>1467000</v>
      </c>
      <c r="H10290">
        <v>1489000</v>
      </c>
    </row>
    <row r="10291" spans="2:8" x14ac:dyDescent="0.25">
      <c r="B10291" t="str">
        <f t="shared" si="160"/>
        <v>ZMBPopulation ages 05-09, female</v>
      </c>
      <c r="C10291" t="s">
        <v>217</v>
      </c>
      <c r="D10291" t="s">
        <v>155</v>
      </c>
      <c r="E10291" t="s">
        <v>364</v>
      </c>
      <c r="F10291" t="s">
        <v>693</v>
      </c>
      <c r="G10291">
        <v>1322000</v>
      </c>
      <c r="H10291">
        <v>1346000</v>
      </c>
    </row>
    <row r="10292" spans="2:8" x14ac:dyDescent="0.25">
      <c r="B10292" t="str">
        <f t="shared" si="160"/>
        <v>ZMBPopulation ages 05-09, male</v>
      </c>
      <c r="C10292" t="s">
        <v>217</v>
      </c>
      <c r="D10292" t="s">
        <v>155</v>
      </c>
      <c r="E10292" t="s">
        <v>365</v>
      </c>
      <c r="F10292" t="s">
        <v>694</v>
      </c>
      <c r="G10292">
        <v>1346000</v>
      </c>
      <c r="H10292">
        <v>1371000</v>
      </c>
    </row>
    <row r="10293" spans="2:8" x14ac:dyDescent="0.25">
      <c r="B10293" t="str">
        <f t="shared" si="160"/>
        <v>ZMBPopulation ages 10-14, female</v>
      </c>
      <c r="C10293" t="s">
        <v>217</v>
      </c>
      <c r="D10293" t="s">
        <v>155</v>
      </c>
      <c r="E10293" t="s">
        <v>366</v>
      </c>
      <c r="F10293" t="s">
        <v>695</v>
      </c>
      <c r="G10293">
        <v>1178000</v>
      </c>
      <c r="H10293">
        <v>1206000</v>
      </c>
    </row>
    <row r="10294" spans="2:8" x14ac:dyDescent="0.25">
      <c r="B10294" t="str">
        <f t="shared" si="160"/>
        <v>ZMBPopulation ages 10-14, male</v>
      </c>
      <c r="C10294" t="s">
        <v>217</v>
      </c>
      <c r="D10294" t="s">
        <v>155</v>
      </c>
      <c r="E10294" t="s">
        <v>367</v>
      </c>
      <c r="F10294" t="s">
        <v>696</v>
      </c>
      <c r="G10294">
        <v>1194000</v>
      </c>
      <c r="H10294">
        <v>1223000</v>
      </c>
    </row>
    <row r="10295" spans="2:8" x14ac:dyDescent="0.25">
      <c r="B10295" t="str">
        <f t="shared" si="160"/>
        <v>ZMBPopulation ages 15-19, female</v>
      </c>
      <c r="C10295" t="s">
        <v>217</v>
      </c>
      <c r="D10295" t="s">
        <v>155</v>
      </c>
      <c r="E10295" t="s">
        <v>368</v>
      </c>
      <c r="F10295" t="s">
        <v>697</v>
      </c>
      <c r="G10295">
        <v>1027000</v>
      </c>
      <c r="H10295">
        <v>1059000</v>
      </c>
    </row>
    <row r="10296" spans="2:8" x14ac:dyDescent="0.25">
      <c r="B10296" t="str">
        <f t="shared" si="160"/>
        <v>ZMBPopulation ages 15-19, male</v>
      </c>
      <c r="C10296" t="s">
        <v>217</v>
      </c>
      <c r="D10296" t="s">
        <v>155</v>
      </c>
      <c r="E10296" t="s">
        <v>369</v>
      </c>
      <c r="F10296" t="s">
        <v>698</v>
      </c>
      <c r="G10296">
        <v>1027000</v>
      </c>
      <c r="H10296">
        <v>1062000</v>
      </c>
    </row>
    <row r="10297" spans="2:8" x14ac:dyDescent="0.25">
      <c r="B10297" t="str">
        <f t="shared" si="160"/>
        <v>ZMBPopulation ages 20-24, female</v>
      </c>
      <c r="C10297" t="s">
        <v>217</v>
      </c>
      <c r="D10297" t="s">
        <v>155</v>
      </c>
      <c r="E10297" t="s">
        <v>370</v>
      </c>
      <c r="F10297" t="s">
        <v>699</v>
      </c>
      <c r="G10297">
        <v>849000</v>
      </c>
      <c r="H10297">
        <v>880000</v>
      </c>
    </row>
    <row r="10298" spans="2:8" x14ac:dyDescent="0.25">
      <c r="B10298" t="str">
        <f t="shared" si="160"/>
        <v>ZMBPopulation ages 20-24, male</v>
      </c>
      <c r="C10298" t="s">
        <v>217</v>
      </c>
      <c r="D10298" t="s">
        <v>155</v>
      </c>
      <c r="E10298" t="s">
        <v>371</v>
      </c>
      <c r="F10298" t="s">
        <v>700</v>
      </c>
      <c r="G10298">
        <v>834000</v>
      </c>
      <c r="H10298">
        <v>867000</v>
      </c>
    </row>
    <row r="10299" spans="2:8" x14ac:dyDescent="0.25">
      <c r="B10299" t="str">
        <f t="shared" si="160"/>
        <v>ZMBPopulation ages 25-29, female</v>
      </c>
      <c r="C10299" t="s">
        <v>217</v>
      </c>
      <c r="D10299" t="s">
        <v>155</v>
      </c>
      <c r="E10299" t="s">
        <v>372</v>
      </c>
      <c r="F10299" t="s">
        <v>701</v>
      </c>
      <c r="G10299">
        <v>706000</v>
      </c>
      <c r="H10299">
        <v>730000</v>
      </c>
    </row>
    <row r="10300" spans="2:8" x14ac:dyDescent="0.25">
      <c r="B10300" t="str">
        <f t="shared" si="160"/>
        <v>ZMBPopulation ages 25-29, male</v>
      </c>
      <c r="C10300" t="s">
        <v>217</v>
      </c>
      <c r="D10300" t="s">
        <v>155</v>
      </c>
      <c r="E10300" t="s">
        <v>373</v>
      </c>
      <c r="F10300" t="s">
        <v>702</v>
      </c>
      <c r="G10300">
        <v>680000</v>
      </c>
      <c r="H10300">
        <v>704000</v>
      </c>
    </row>
    <row r="10301" spans="2:8" x14ac:dyDescent="0.25">
      <c r="B10301" t="str">
        <f t="shared" si="160"/>
        <v>ZMBPopulation ages 30-34, female</v>
      </c>
      <c r="C10301" t="s">
        <v>217</v>
      </c>
      <c r="D10301" t="s">
        <v>155</v>
      </c>
      <c r="E10301" t="s">
        <v>374</v>
      </c>
      <c r="F10301" t="s">
        <v>703</v>
      </c>
      <c r="G10301">
        <v>593000</v>
      </c>
      <c r="H10301">
        <v>612000</v>
      </c>
    </row>
    <row r="10302" spans="2:8" x14ac:dyDescent="0.25">
      <c r="B10302" t="str">
        <f t="shared" si="160"/>
        <v>ZMBPopulation ages 30-34, male</v>
      </c>
      <c r="C10302" t="s">
        <v>217</v>
      </c>
      <c r="D10302" t="s">
        <v>155</v>
      </c>
      <c r="E10302" t="s">
        <v>375</v>
      </c>
      <c r="F10302" t="s">
        <v>704</v>
      </c>
      <c r="G10302">
        <v>564000</v>
      </c>
      <c r="H10302">
        <v>582000</v>
      </c>
    </row>
    <row r="10303" spans="2:8" x14ac:dyDescent="0.25">
      <c r="B10303" t="str">
        <f t="shared" si="160"/>
        <v>ZMBPopulation ages 35-39, female</v>
      </c>
      <c r="C10303" t="s">
        <v>217</v>
      </c>
      <c r="D10303" t="s">
        <v>155</v>
      </c>
      <c r="E10303" t="s">
        <v>376</v>
      </c>
      <c r="F10303" t="s">
        <v>705</v>
      </c>
      <c r="G10303">
        <v>490000</v>
      </c>
      <c r="H10303">
        <v>507000</v>
      </c>
    </row>
    <row r="10304" spans="2:8" x14ac:dyDescent="0.25">
      <c r="B10304" t="str">
        <f t="shared" si="160"/>
        <v>ZMBPopulation ages 35-39, male</v>
      </c>
      <c r="C10304" t="s">
        <v>217</v>
      </c>
      <c r="D10304" t="s">
        <v>155</v>
      </c>
      <c r="E10304" t="s">
        <v>377</v>
      </c>
      <c r="F10304" t="s">
        <v>706</v>
      </c>
      <c r="G10304">
        <v>471000</v>
      </c>
      <c r="H10304">
        <v>485000</v>
      </c>
    </row>
    <row r="10305" spans="2:8" x14ac:dyDescent="0.25">
      <c r="B10305" t="str">
        <f t="shared" si="160"/>
        <v>ZMBPopulation ages 40-44, female</v>
      </c>
      <c r="C10305" t="s">
        <v>217</v>
      </c>
      <c r="D10305" t="s">
        <v>155</v>
      </c>
      <c r="E10305" t="s">
        <v>378</v>
      </c>
      <c r="F10305" t="s">
        <v>707</v>
      </c>
      <c r="G10305">
        <v>393000</v>
      </c>
      <c r="H10305">
        <v>411000</v>
      </c>
    </row>
    <row r="10306" spans="2:8" x14ac:dyDescent="0.25">
      <c r="B10306" t="str">
        <f t="shared" si="160"/>
        <v>ZMBPopulation ages 40-44, male</v>
      </c>
      <c r="C10306" t="s">
        <v>217</v>
      </c>
      <c r="D10306" t="s">
        <v>155</v>
      </c>
      <c r="E10306" t="s">
        <v>379</v>
      </c>
      <c r="F10306" t="s">
        <v>708</v>
      </c>
      <c r="G10306">
        <v>382000</v>
      </c>
      <c r="H10306">
        <v>397000</v>
      </c>
    </row>
    <row r="10307" spans="2:8" x14ac:dyDescent="0.25">
      <c r="B10307" t="str">
        <f t="shared" si="160"/>
        <v>ZMBPopulation ages 45-49, female</v>
      </c>
      <c r="C10307" t="s">
        <v>217</v>
      </c>
      <c r="D10307" t="s">
        <v>155</v>
      </c>
      <c r="E10307" t="s">
        <v>380</v>
      </c>
      <c r="F10307" t="s">
        <v>709</v>
      </c>
      <c r="G10307">
        <v>291000</v>
      </c>
      <c r="H10307">
        <v>308000</v>
      </c>
    </row>
    <row r="10308" spans="2:8" x14ac:dyDescent="0.25">
      <c r="B10308" t="str">
        <f t="shared" si="160"/>
        <v>ZMBPopulation ages 45-49, male</v>
      </c>
      <c r="C10308" t="s">
        <v>217</v>
      </c>
      <c r="D10308" t="s">
        <v>155</v>
      </c>
      <c r="E10308" t="s">
        <v>381</v>
      </c>
      <c r="F10308" t="s">
        <v>710</v>
      </c>
      <c r="G10308">
        <v>282000</v>
      </c>
      <c r="H10308">
        <v>298000</v>
      </c>
    </row>
    <row r="10309" spans="2:8" x14ac:dyDescent="0.25">
      <c r="B10309" t="str">
        <f t="shared" si="160"/>
        <v>ZMBPopulation ages 50-54, female</v>
      </c>
      <c r="C10309" t="s">
        <v>217</v>
      </c>
      <c r="D10309" t="s">
        <v>155</v>
      </c>
      <c r="E10309" t="s">
        <v>382</v>
      </c>
      <c r="F10309" t="s">
        <v>711</v>
      </c>
      <c r="G10309">
        <v>213000</v>
      </c>
      <c r="H10309">
        <v>223000</v>
      </c>
    </row>
    <row r="10310" spans="2:8" x14ac:dyDescent="0.25">
      <c r="B10310" t="str">
        <f t="shared" si="160"/>
        <v>ZMBPopulation ages 50-54, male</v>
      </c>
      <c r="C10310" t="s">
        <v>217</v>
      </c>
      <c r="D10310" t="s">
        <v>155</v>
      </c>
      <c r="E10310" t="s">
        <v>383</v>
      </c>
      <c r="F10310" t="s">
        <v>712</v>
      </c>
      <c r="G10310">
        <v>200000</v>
      </c>
      <c r="H10310">
        <v>210000</v>
      </c>
    </row>
    <row r="10311" spans="2:8" x14ac:dyDescent="0.25">
      <c r="B10311" t="str">
        <f t="shared" ref="B10311:B10366" si="161">CONCATENATE(D10311,E10311)</f>
        <v>ZMBPopulation ages 55-59, male</v>
      </c>
      <c r="C10311" t="s">
        <v>217</v>
      </c>
      <c r="D10311" t="s">
        <v>155</v>
      </c>
      <c r="E10311" t="s">
        <v>385</v>
      </c>
      <c r="F10311" t="s">
        <v>713</v>
      </c>
      <c r="G10311">
        <v>148000</v>
      </c>
      <c r="H10311">
        <v>155000</v>
      </c>
    </row>
    <row r="10312" spans="2:8" x14ac:dyDescent="0.25">
      <c r="B10312" t="str">
        <f t="shared" si="161"/>
        <v>ZMBPopulation ages 55-59, female</v>
      </c>
      <c r="C10312" t="s">
        <v>217</v>
      </c>
      <c r="D10312" t="s">
        <v>155</v>
      </c>
      <c r="E10312" t="s">
        <v>384</v>
      </c>
      <c r="F10312" t="s">
        <v>714</v>
      </c>
      <c r="G10312">
        <v>166000</v>
      </c>
      <c r="H10312">
        <v>173000</v>
      </c>
    </row>
    <row r="10313" spans="2:8" x14ac:dyDescent="0.25">
      <c r="B10313" t="str">
        <f t="shared" si="161"/>
        <v>ZMBPopulation ages 65-69, male</v>
      </c>
      <c r="C10313" t="s">
        <v>217</v>
      </c>
      <c r="D10313" t="s">
        <v>155</v>
      </c>
      <c r="E10313" t="s">
        <v>389</v>
      </c>
      <c r="F10313" t="s">
        <v>715</v>
      </c>
      <c r="G10313">
        <v>67000</v>
      </c>
      <c r="H10313">
        <v>70000</v>
      </c>
    </row>
    <row r="10314" spans="2:8" x14ac:dyDescent="0.25">
      <c r="B10314" t="str">
        <f t="shared" si="161"/>
        <v>ZMBPopulation ages 65-69, female</v>
      </c>
      <c r="C10314" t="s">
        <v>217</v>
      </c>
      <c r="D10314" t="s">
        <v>155</v>
      </c>
      <c r="E10314" t="s">
        <v>388</v>
      </c>
      <c r="F10314" t="s">
        <v>716</v>
      </c>
      <c r="G10314">
        <v>92000</v>
      </c>
      <c r="H10314">
        <v>96000</v>
      </c>
    </row>
    <row r="10315" spans="2:8" x14ac:dyDescent="0.25">
      <c r="B10315" t="str">
        <f t="shared" si="161"/>
        <v>ZMBPopulation ages 60-64, female</v>
      </c>
      <c r="C10315" t="s">
        <v>217</v>
      </c>
      <c r="D10315" t="s">
        <v>155</v>
      </c>
      <c r="E10315" t="s">
        <v>386</v>
      </c>
      <c r="F10315" t="s">
        <v>717</v>
      </c>
      <c r="G10315">
        <v>125000</v>
      </c>
      <c r="H10315">
        <v>130000</v>
      </c>
    </row>
    <row r="10316" spans="2:8" x14ac:dyDescent="0.25">
      <c r="B10316" t="str">
        <f t="shared" si="161"/>
        <v>ZMBPopulation ages 60-64, male</v>
      </c>
      <c r="C10316" t="s">
        <v>217</v>
      </c>
      <c r="D10316" t="s">
        <v>155</v>
      </c>
      <c r="E10316" t="s">
        <v>387</v>
      </c>
      <c r="F10316" t="s">
        <v>718</v>
      </c>
      <c r="G10316">
        <v>102000</v>
      </c>
      <c r="H10316">
        <v>107000</v>
      </c>
    </row>
    <row r="10317" spans="2:8" x14ac:dyDescent="0.25">
      <c r="B10317" t="str">
        <f t="shared" si="161"/>
        <v>ZMBPopulation ages 70-74, female</v>
      </c>
      <c r="C10317" t="s">
        <v>217</v>
      </c>
      <c r="D10317" t="s">
        <v>155</v>
      </c>
      <c r="E10317" t="s">
        <v>390</v>
      </c>
      <c r="F10317" t="s">
        <v>719</v>
      </c>
      <c r="G10317">
        <v>65000</v>
      </c>
      <c r="H10317">
        <v>68000</v>
      </c>
    </row>
    <row r="10318" spans="2:8" x14ac:dyDescent="0.25">
      <c r="B10318" t="str">
        <f t="shared" si="161"/>
        <v>ZMBPopulation ages 70-74, male</v>
      </c>
      <c r="C10318" t="s">
        <v>217</v>
      </c>
      <c r="D10318" t="s">
        <v>155</v>
      </c>
      <c r="E10318" t="s">
        <v>391</v>
      </c>
      <c r="F10318" t="s">
        <v>720</v>
      </c>
      <c r="G10318">
        <v>44000</v>
      </c>
      <c r="H10318">
        <v>45000</v>
      </c>
    </row>
    <row r="10319" spans="2:8" x14ac:dyDescent="0.25">
      <c r="B10319" t="str">
        <f t="shared" si="161"/>
        <v>ZMBPopulation ages 75-79, female</v>
      </c>
      <c r="C10319" t="s">
        <v>217</v>
      </c>
      <c r="D10319" t="s">
        <v>155</v>
      </c>
      <c r="E10319" t="s">
        <v>392</v>
      </c>
      <c r="F10319" t="s">
        <v>721</v>
      </c>
      <c r="G10319">
        <v>41000</v>
      </c>
      <c r="H10319">
        <v>43000</v>
      </c>
    </row>
    <row r="10320" spans="2:8" x14ac:dyDescent="0.25">
      <c r="B10320" t="str">
        <f t="shared" si="161"/>
        <v>ZMBPopulation ages 75-79, male</v>
      </c>
      <c r="C10320" t="s">
        <v>217</v>
      </c>
      <c r="D10320" t="s">
        <v>155</v>
      </c>
      <c r="E10320" t="s">
        <v>393</v>
      </c>
      <c r="F10320" t="s">
        <v>722</v>
      </c>
      <c r="G10320">
        <v>23000</v>
      </c>
      <c r="H10320">
        <v>24000</v>
      </c>
    </row>
    <row r="10321" spans="2:8" x14ac:dyDescent="0.25">
      <c r="B10321" t="str">
        <f t="shared" si="161"/>
        <v>ZMBPopulation ages 80 and above, female</v>
      </c>
      <c r="C10321" t="s">
        <v>217</v>
      </c>
      <c r="D10321" t="s">
        <v>155</v>
      </c>
      <c r="E10321" t="s">
        <v>394</v>
      </c>
      <c r="F10321" t="s">
        <v>723</v>
      </c>
      <c r="G10321">
        <v>32000</v>
      </c>
      <c r="H10321">
        <v>32000</v>
      </c>
    </row>
    <row r="10322" spans="2:8" x14ac:dyDescent="0.25">
      <c r="B10322" t="str">
        <f t="shared" si="161"/>
        <v>ZMBPopulation ages 80 and above, male</v>
      </c>
      <c r="C10322" t="s">
        <v>217</v>
      </c>
      <c r="D10322" t="s">
        <v>155</v>
      </c>
      <c r="E10322" t="s">
        <v>395</v>
      </c>
      <c r="F10322" t="s">
        <v>724</v>
      </c>
      <c r="G10322">
        <v>14000</v>
      </c>
      <c r="H10322">
        <v>14000</v>
      </c>
    </row>
    <row r="10323" spans="2:8" x14ac:dyDescent="0.25">
      <c r="B10323" t="str">
        <f t="shared" si="161"/>
        <v>ZMBPopulation, male</v>
      </c>
      <c r="C10323" t="s">
        <v>217</v>
      </c>
      <c r="D10323" t="s">
        <v>155</v>
      </c>
      <c r="E10323" t="s">
        <v>397</v>
      </c>
      <c r="F10323" t="s">
        <v>725</v>
      </c>
      <c r="G10323">
        <v>8843000</v>
      </c>
      <c r="H10323">
        <v>9103000</v>
      </c>
    </row>
    <row r="10324" spans="2:8" x14ac:dyDescent="0.25">
      <c r="B10324" t="str">
        <f t="shared" si="161"/>
        <v>ZMBPopulation, total</v>
      </c>
      <c r="C10324" t="s">
        <v>217</v>
      </c>
      <c r="D10324" t="s">
        <v>155</v>
      </c>
      <c r="E10324" t="s">
        <v>398</v>
      </c>
      <c r="F10324" t="s">
        <v>726</v>
      </c>
      <c r="G10324">
        <v>17861000</v>
      </c>
      <c r="H10324">
        <v>18384000</v>
      </c>
    </row>
    <row r="10325" spans="2:8" x14ac:dyDescent="0.25">
      <c r="B10325" t="str">
        <f t="shared" si="161"/>
        <v>ZMBPopulation, female</v>
      </c>
      <c r="C10325" t="s">
        <v>217</v>
      </c>
      <c r="D10325" t="s">
        <v>155</v>
      </c>
      <c r="E10325" t="s">
        <v>396</v>
      </c>
      <c r="F10325" t="s">
        <v>727</v>
      </c>
      <c r="G10325">
        <v>9018000</v>
      </c>
      <c r="H10325">
        <v>9281000</v>
      </c>
    </row>
    <row r="10326" spans="2:8" x14ac:dyDescent="0.25">
      <c r="B10326" t="str">
        <f t="shared" si="161"/>
        <v>ZMBPopulation growth (annual %)</v>
      </c>
      <c r="C10326" t="s">
        <v>217</v>
      </c>
      <c r="D10326" t="s">
        <v>155</v>
      </c>
      <c r="E10326" t="s">
        <v>399</v>
      </c>
      <c r="F10326" t="s">
        <v>728</v>
      </c>
      <c r="G10326">
        <v>0</v>
      </c>
      <c r="H10326">
        <v>0</v>
      </c>
    </row>
    <row r="10327" spans="2:8" x14ac:dyDescent="0.25">
      <c r="B10327" t="str">
        <f t="shared" si="161"/>
        <v>ZWEPopulation ages 0-14, female</v>
      </c>
      <c r="C10327" t="s">
        <v>218</v>
      </c>
      <c r="D10327" t="s">
        <v>156</v>
      </c>
      <c r="E10327" t="s">
        <v>687</v>
      </c>
      <c r="F10327" t="s">
        <v>688</v>
      </c>
      <c r="G10327">
        <v>3076000</v>
      </c>
      <c r="H10327">
        <v>3102000</v>
      </c>
    </row>
    <row r="10328" spans="2:8" x14ac:dyDescent="0.25">
      <c r="B10328" t="str">
        <f t="shared" si="161"/>
        <v>ZWEPopulation ages 0-14, male</v>
      </c>
      <c r="C10328" t="s">
        <v>218</v>
      </c>
      <c r="D10328" t="s">
        <v>156</v>
      </c>
      <c r="E10328" t="s">
        <v>689</v>
      </c>
      <c r="F10328" t="s">
        <v>690</v>
      </c>
      <c r="G10328">
        <v>3098000</v>
      </c>
      <c r="H10328">
        <v>3127000</v>
      </c>
    </row>
    <row r="10329" spans="2:8" x14ac:dyDescent="0.25">
      <c r="B10329" t="str">
        <f t="shared" si="161"/>
        <v>ZWEPopulation ages 00-04, female</v>
      </c>
      <c r="C10329" t="s">
        <v>218</v>
      </c>
      <c r="D10329" t="s">
        <v>156</v>
      </c>
      <c r="E10329" t="s">
        <v>362</v>
      </c>
      <c r="F10329" t="s">
        <v>691</v>
      </c>
      <c r="G10329">
        <v>1063000</v>
      </c>
      <c r="H10329">
        <v>1043000</v>
      </c>
    </row>
    <row r="10330" spans="2:8" x14ac:dyDescent="0.25">
      <c r="B10330" t="str">
        <f t="shared" si="161"/>
        <v>ZWEPopulation ages 00-04, male</v>
      </c>
      <c r="C10330" t="s">
        <v>218</v>
      </c>
      <c r="D10330" t="s">
        <v>156</v>
      </c>
      <c r="E10330" t="s">
        <v>363</v>
      </c>
      <c r="F10330" t="s">
        <v>692</v>
      </c>
      <c r="G10330">
        <v>1075000</v>
      </c>
      <c r="H10330">
        <v>1055000</v>
      </c>
    </row>
    <row r="10331" spans="2:8" x14ac:dyDescent="0.25">
      <c r="B10331" t="str">
        <f t="shared" si="161"/>
        <v>ZWEPopulation ages 05-09, female</v>
      </c>
      <c r="C10331" t="s">
        <v>218</v>
      </c>
      <c r="D10331" t="s">
        <v>156</v>
      </c>
      <c r="E10331" t="s">
        <v>364</v>
      </c>
      <c r="F10331" t="s">
        <v>693</v>
      </c>
      <c r="G10331">
        <v>1083000</v>
      </c>
      <c r="H10331">
        <v>1101000</v>
      </c>
    </row>
    <row r="10332" spans="2:8" x14ac:dyDescent="0.25">
      <c r="B10332" t="str">
        <f t="shared" si="161"/>
        <v>ZWEPopulation ages 05-09, male</v>
      </c>
      <c r="C10332" t="s">
        <v>218</v>
      </c>
      <c r="D10332" t="s">
        <v>156</v>
      </c>
      <c r="E10332" t="s">
        <v>365</v>
      </c>
      <c r="F10332" t="s">
        <v>694</v>
      </c>
      <c r="G10332">
        <v>1091000</v>
      </c>
      <c r="H10332">
        <v>1110000</v>
      </c>
    </row>
    <row r="10333" spans="2:8" x14ac:dyDescent="0.25">
      <c r="B10333" t="str">
        <f t="shared" si="161"/>
        <v>ZWEPopulation ages 10-14, female</v>
      </c>
      <c r="C10333" t="s">
        <v>218</v>
      </c>
      <c r="D10333" t="s">
        <v>156</v>
      </c>
      <c r="E10333" t="s">
        <v>366</v>
      </c>
      <c r="F10333" t="s">
        <v>695</v>
      </c>
      <c r="G10333">
        <v>929000</v>
      </c>
      <c r="H10333">
        <v>958000</v>
      </c>
    </row>
    <row r="10334" spans="2:8" x14ac:dyDescent="0.25">
      <c r="B10334" t="str">
        <f t="shared" si="161"/>
        <v>ZWEPopulation ages 10-14, male</v>
      </c>
      <c r="C10334" t="s">
        <v>218</v>
      </c>
      <c r="D10334" t="s">
        <v>156</v>
      </c>
      <c r="E10334" t="s">
        <v>367</v>
      </c>
      <c r="F10334" t="s">
        <v>696</v>
      </c>
      <c r="G10334">
        <v>933000</v>
      </c>
      <c r="H10334">
        <v>963000</v>
      </c>
    </row>
    <row r="10335" spans="2:8" x14ac:dyDescent="0.25">
      <c r="B10335" t="str">
        <f t="shared" si="161"/>
        <v>ZWEPopulation ages 15-19, female</v>
      </c>
      <c r="C10335" t="s">
        <v>218</v>
      </c>
      <c r="D10335" t="s">
        <v>156</v>
      </c>
      <c r="E10335" t="s">
        <v>368</v>
      </c>
      <c r="F10335" t="s">
        <v>697</v>
      </c>
      <c r="G10335">
        <v>801000</v>
      </c>
      <c r="H10335">
        <v>822000</v>
      </c>
    </row>
    <row r="10336" spans="2:8" x14ac:dyDescent="0.25">
      <c r="B10336" t="str">
        <f t="shared" si="161"/>
        <v>ZWEPopulation ages 15-19, male</v>
      </c>
      <c r="C10336" t="s">
        <v>218</v>
      </c>
      <c r="D10336" t="s">
        <v>156</v>
      </c>
      <c r="E10336" t="s">
        <v>369</v>
      </c>
      <c r="F10336" t="s">
        <v>698</v>
      </c>
      <c r="G10336">
        <v>793000</v>
      </c>
      <c r="H10336">
        <v>817000</v>
      </c>
    </row>
    <row r="10337" spans="2:8" x14ac:dyDescent="0.25">
      <c r="B10337" t="str">
        <f t="shared" si="161"/>
        <v>ZWEPopulation ages 20-24, female</v>
      </c>
      <c r="C10337" t="s">
        <v>218</v>
      </c>
      <c r="D10337" t="s">
        <v>156</v>
      </c>
      <c r="E10337" t="s">
        <v>370</v>
      </c>
      <c r="F10337" t="s">
        <v>699</v>
      </c>
      <c r="G10337">
        <v>696000</v>
      </c>
      <c r="H10337">
        <v>706000</v>
      </c>
    </row>
    <row r="10338" spans="2:8" x14ac:dyDescent="0.25">
      <c r="B10338" t="str">
        <f t="shared" si="161"/>
        <v>ZWEPopulation ages 20-24, male</v>
      </c>
      <c r="C10338" t="s">
        <v>218</v>
      </c>
      <c r="D10338" t="s">
        <v>156</v>
      </c>
      <c r="E10338" t="s">
        <v>371</v>
      </c>
      <c r="F10338" t="s">
        <v>700</v>
      </c>
      <c r="G10338">
        <v>655000</v>
      </c>
      <c r="H10338">
        <v>672000</v>
      </c>
    </row>
    <row r="10339" spans="2:8" x14ac:dyDescent="0.25">
      <c r="B10339" t="str">
        <f t="shared" si="161"/>
        <v>ZWEPopulation ages 25-29, female</v>
      </c>
      <c r="C10339" t="s">
        <v>218</v>
      </c>
      <c r="D10339" t="s">
        <v>156</v>
      </c>
      <c r="E10339" t="s">
        <v>372</v>
      </c>
      <c r="F10339" t="s">
        <v>701</v>
      </c>
      <c r="G10339">
        <v>609000</v>
      </c>
      <c r="H10339">
        <v>602000</v>
      </c>
    </row>
    <row r="10340" spans="2:8" x14ac:dyDescent="0.25">
      <c r="B10340" t="str">
        <f t="shared" si="161"/>
        <v>ZWEPopulation ages 25-29, male</v>
      </c>
      <c r="C10340" t="s">
        <v>218</v>
      </c>
      <c r="D10340" t="s">
        <v>156</v>
      </c>
      <c r="E10340" t="s">
        <v>373</v>
      </c>
      <c r="F10340" t="s">
        <v>702</v>
      </c>
      <c r="G10340">
        <v>504000</v>
      </c>
      <c r="H10340">
        <v>504000</v>
      </c>
    </row>
    <row r="10341" spans="2:8" x14ac:dyDescent="0.25">
      <c r="B10341" t="str">
        <f t="shared" si="161"/>
        <v>ZWEPopulation ages 30-34, female</v>
      </c>
      <c r="C10341" t="s">
        <v>218</v>
      </c>
      <c r="D10341" t="s">
        <v>156</v>
      </c>
      <c r="E10341" t="s">
        <v>374</v>
      </c>
      <c r="F10341" t="s">
        <v>703</v>
      </c>
      <c r="G10341">
        <v>565000</v>
      </c>
      <c r="H10341">
        <v>565000</v>
      </c>
    </row>
    <row r="10342" spans="2:8" x14ac:dyDescent="0.25">
      <c r="B10342" t="str">
        <f t="shared" si="161"/>
        <v>ZWEPopulation ages 30-34, male</v>
      </c>
      <c r="C10342" t="s">
        <v>218</v>
      </c>
      <c r="D10342" t="s">
        <v>156</v>
      </c>
      <c r="E10342" t="s">
        <v>375</v>
      </c>
      <c r="F10342" t="s">
        <v>704</v>
      </c>
      <c r="G10342">
        <v>434000</v>
      </c>
      <c r="H10342">
        <v>430000</v>
      </c>
    </row>
    <row r="10343" spans="2:8" x14ac:dyDescent="0.25">
      <c r="B10343" t="str">
        <f t="shared" si="161"/>
        <v>ZWEPopulation ages 35-39, female</v>
      </c>
      <c r="C10343" t="s">
        <v>218</v>
      </c>
      <c r="D10343" t="s">
        <v>156</v>
      </c>
      <c r="E10343" t="s">
        <v>376</v>
      </c>
      <c r="F10343" t="s">
        <v>705</v>
      </c>
      <c r="G10343">
        <v>476000</v>
      </c>
      <c r="H10343">
        <v>484000</v>
      </c>
    </row>
    <row r="10344" spans="2:8" x14ac:dyDescent="0.25">
      <c r="B10344" t="str">
        <f t="shared" si="161"/>
        <v>ZWEPopulation ages 35-39, male</v>
      </c>
      <c r="C10344" t="s">
        <v>218</v>
      </c>
      <c r="D10344" t="s">
        <v>156</v>
      </c>
      <c r="E10344" t="s">
        <v>377</v>
      </c>
      <c r="F10344" t="s">
        <v>706</v>
      </c>
      <c r="G10344">
        <v>388000</v>
      </c>
      <c r="H10344">
        <v>389000</v>
      </c>
    </row>
    <row r="10345" spans="2:8" x14ac:dyDescent="0.25">
      <c r="B10345" t="str">
        <f t="shared" si="161"/>
        <v>ZWEPopulation ages 40-44, female</v>
      </c>
      <c r="C10345" t="s">
        <v>218</v>
      </c>
      <c r="D10345" t="s">
        <v>156</v>
      </c>
      <c r="E10345" t="s">
        <v>378</v>
      </c>
      <c r="F10345" t="s">
        <v>707</v>
      </c>
      <c r="G10345">
        <v>382000</v>
      </c>
      <c r="H10345">
        <v>398000</v>
      </c>
    </row>
    <row r="10346" spans="2:8" x14ac:dyDescent="0.25">
      <c r="B10346" t="str">
        <f t="shared" si="161"/>
        <v>ZWEPopulation ages 40-44, male</v>
      </c>
      <c r="C10346" t="s">
        <v>218</v>
      </c>
      <c r="D10346" t="s">
        <v>156</v>
      </c>
      <c r="E10346" t="s">
        <v>379</v>
      </c>
      <c r="F10346" t="s">
        <v>708</v>
      </c>
      <c r="G10346">
        <v>329000</v>
      </c>
      <c r="H10346">
        <v>340000</v>
      </c>
    </row>
    <row r="10347" spans="2:8" x14ac:dyDescent="0.25">
      <c r="B10347" t="str">
        <f t="shared" si="161"/>
        <v>ZWEPopulation ages 45-49, female</v>
      </c>
      <c r="C10347" t="s">
        <v>218</v>
      </c>
      <c r="D10347" t="s">
        <v>156</v>
      </c>
      <c r="E10347" t="s">
        <v>380</v>
      </c>
      <c r="F10347" t="s">
        <v>709</v>
      </c>
      <c r="G10347">
        <v>267000</v>
      </c>
      <c r="H10347">
        <v>281000</v>
      </c>
    </row>
    <row r="10348" spans="2:8" x14ac:dyDescent="0.25">
      <c r="B10348" t="str">
        <f t="shared" si="161"/>
        <v>ZWEPopulation ages 45-49, male</v>
      </c>
      <c r="C10348" t="s">
        <v>218</v>
      </c>
      <c r="D10348" t="s">
        <v>156</v>
      </c>
      <c r="E10348" t="s">
        <v>381</v>
      </c>
      <c r="F10348" t="s">
        <v>710</v>
      </c>
      <c r="G10348">
        <v>228000</v>
      </c>
      <c r="H10348">
        <v>240000</v>
      </c>
    </row>
    <row r="10349" spans="2:8" x14ac:dyDescent="0.25">
      <c r="B10349" t="str">
        <f t="shared" si="161"/>
        <v>ZWEPopulation ages 50-54, female</v>
      </c>
      <c r="C10349" t="s">
        <v>218</v>
      </c>
      <c r="D10349" t="s">
        <v>156</v>
      </c>
      <c r="E10349" t="s">
        <v>382</v>
      </c>
      <c r="F10349" t="s">
        <v>711</v>
      </c>
      <c r="G10349">
        <v>204000</v>
      </c>
      <c r="H10349">
        <v>210000</v>
      </c>
    </row>
    <row r="10350" spans="2:8" x14ac:dyDescent="0.25">
      <c r="B10350" t="str">
        <f t="shared" si="161"/>
        <v>ZWEPopulation ages 50-54, male</v>
      </c>
      <c r="C10350" t="s">
        <v>218</v>
      </c>
      <c r="D10350" t="s">
        <v>156</v>
      </c>
      <c r="E10350" t="s">
        <v>383</v>
      </c>
      <c r="F10350" t="s">
        <v>712</v>
      </c>
      <c r="G10350">
        <v>172000</v>
      </c>
      <c r="H10350">
        <v>179000</v>
      </c>
    </row>
    <row r="10351" spans="2:8" x14ac:dyDescent="0.25">
      <c r="B10351" t="str">
        <f t="shared" si="161"/>
        <v>ZWEPopulation ages 55-59, male</v>
      </c>
      <c r="C10351" t="s">
        <v>218</v>
      </c>
      <c r="D10351" t="s">
        <v>156</v>
      </c>
      <c r="E10351" t="s">
        <v>385</v>
      </c>
      <c r="F10351" t="s">
        <v>713</v>
      </c>
      <c r="G10351">
        <v>130000</v>
      </c>
      <c r="H10351">
        <v>136000</v>
      </c>
    </row>
    <row r="10352" spans="2:8" x14ac:dyDescent="0.25">
      <c r="B10352" t="str">
        <f t="shared" si="161"/>
        <v>ZWEPopulation ages 55-59, female</v>
      </c>
      <c r="C10352" t="s">
        <v>218</v>
      </c>
      <c r="D10352" t="s">
        <v>156</v>
      </c>
      <c r="E10352" t="s">
        <v>384</v>
      </c>
      <c r="F10352" t="s">
        <v>714</v>
      </c>
      <c r="G10352">
        <v>169000</v>
      </c>
      <c r="H10352">
        <v>173000</v>
      </c>
    </row>
    <row r="10353" spans="2:8" x14ac:dyDescent="0.25">
      <c r="B10353" t="str">
        <f t="shared" si="161"/>
        <v>ZWEPopulation ages 65-69, male</v>
      </c>
      <c r="C10353" t="s">
        <v>218</v>
      </c>
      <c r="D10353" t="s">
        <v>156</v>
      </c>
      <c r="E10353" t="s">
        <v>389</v>
      </c>
      <c r="F10353" t="s">
        <v>715</v>
      </c>
      <c r="G10353">
        <v>68000</v>
      </c>
      <c r="H10353">
        <v>72000</v>
      </c>
    </row>
    <row r="10354" spans="2:8" x14ac:dyDescent="0.25">
      <c r="B10354" t="str">
        <f t="shared" si="161"/>
        <v>ZWEPopulation ages 65-69, female</v>
      </c>
      <c r="C10354" t="s">
        <v>218</v>
      </c>
      <c r="D10354" t="s">
        <v>156</v>
      </c>
      <c r="E10354" t="s">
        <v>388</v>
      </c>
      <c r="F10354" t="s">
        <v>716</v>
      </c>
      <c r="G10354">
        <v>108000</v>
      </c>
      <c r="H10354">
        <v>113000</v>
      </c>
    </row>
    <row r="10355" spans="2:8" x14ac:dyDescent="0.25">
      <c r="B10355" t="str">
        <f t="shared" si="161"/>
        <v>ZWEPopulation ages 60-64, female</v>
      </c>
      <c r="C10355" t="s">
        <v>218</v>
      </c>
      <c r="D10355" t="s">
        <v>156</v>
      </c>
      <c r="E10355" t="s">
        <v>386</v>
      </c>
      <c r="F10355" t="s">
        <v>717</v>
      </c>
      <c r="G10355">
        <v>138000</v>
      </c>
      <c r="H10355">
        <v>141000</v>
      </c>
    </row>
    <row r="10356" spans="2:8" x14ac:dyDescent="0.25">
      <c r="B10356" t="str">
        <f t="shared" si="161"/>
        <v>ZWEPopulation ages 60-64, male</v>
      </c>
      <c r="C10356" t="s">
        <v>218</v>
      </c>
      <c r="D10356" t="s">
        <v>156</v>
      </c>
      <c r="E10356" t="s">
        <v>387</v>
      </c>
      <c r="F10356" t="s">
        <v>718</v>
      </c>
      <c r="G10356">
        <v>96000</v>
      </c>
      <c r="H10356">
        <v>99000</v>
      </c>
    </row>
    <row r="10357" spans="2:8" x14ac:dyDescent="0.25">
      <c r="B10357" t="str">
        <f t="shared" si="161"/>
        <v>ZWEPopulation ages 70-74, female</v>
      </c>
      <c r="C10357" t="s">
        <v>218</v>
      </c>
      <c r="D10357" t="s">
        <v>156</v>
      </c>
      <c r="E10357" t="s">
        <v>390</v>
      </c>
      <c r="F10357" t="s">
        <v>719</v>
      </c>
      <c r="G10357">
        <v>70000</v>
      </c>
      <c r="H10357">
        <v>72000</v>
      </c>
    </row>
    <row r="10358" spans="2:8" x14ac:dyDescent="0.25">
      <c r="B10358" t="str">
        <f t="shared" si="161"/>
        <v>ZWEPopulation ages 70-74, male</v>
      </c>
      <c r="C10358" t="s">
        <v>218</v>
      </c>
      <c r="D10358" t="s">
        <v>156</v>
      </c>
      <c r="E10358" t="s">
        <v>391</v>
      </c>
      <c r="F10358" t="s">
        <v>720</v>
      </c>
      <c r="G10358">
        <v>41000</v>
      </c>
      <c r="H10358">
        <v>42000</v>
      </c>
    </row>
    <row r="10359" spans="2:8" x14ac:dyDescent="0.25">
      <c r="B10359" t="str">
        <f t="shared" si="161"/>
        <v>ZWEPopulation ages 75-79, female</v>
      </c>
      <c r="C10359" t="s">
        <v>218</v>
      </c>
      <c r="D10359" t="s">
        <v>156</v>
      </c>
      <c r="E10359" t="s">
        <v>392</v>
      </c>
      <c r="F10359" t="s">
        <v>721</v>
      </c>
      <c r="G10359">
        <v>56000</v>
      </c>
      <c r="H10359">
        <v>57000</v>
      </c>
    </row>
    <row r="10360" spans="2:8" x14ac:dyDescent="0.25">
      <c r="B10360" t="str">
        <f t="shared" si="161"/>
        <v>ZWEPopulation ages 75-79, male</v>
      </c>
      <c r="C10360" t="s">
        <v>218</v>
      </c>
      <c r="D10360" t="s">
        <v>156</v>
      </c>
      <c r="E10360" t="s">
        <v>393</v>
      </c>
      <c r="F10360" t="s">
        <v>722</v>
      </c>
      <c r="G10360">
        <v>29000</v>
      </c>
      <c r="H10360">
        <v>29000</v>
      </c>
    </row>
    <row r="10361" spans="2:8" x14ac:dyDescent="0.25">
      <c r="B10361" t="str">
        <f t="shared" si="161"/>
        <v>ZWEPopulation ages 80 and above, female</v>
      </c>
      <c r="C10361" t="s">
        <v>218</v>
      </c>
      <c r="D10361" t="s">
        <v>156</v>
      </c>
      <c r="E10361" t="s">
        <v>394</v>
      </c>
      <c r="F10361" t="s">
        <v>723</v>
      </c>
      <c r="G10361">
        <v>46000</v>
      </c>
      <c r="H10361">
        <v>45000</v>
      </c>
    </row>
    <row r="10362" spans="2:8" x14ac:dyDescent="0.25">
      <c r="B10362" t="str">
        <f t="shared" si="161"/>
        <v>ZWEPopulation ages 80 and above, male</v>
      </c>
      <c r="C10362" t="s">
        <v>218</v>
      </c>
      <c r="D10362" t="s">
        <v>156</v>
      </c>
      <c r="E10362" t="s">
        <v>395</v>
      </c>
      <c r="F10362" t="s">
        <v>724</v>
      </c>
      <c r="G10362">
        <v>17000</v>
      </c>
      <c r="H10362">
        <v>17000</v>
      </c>
    </row>
    <row r="10363" spans="2:8" x14ac:dyDescent="0.25">
      <c r="B10363" t="str">
        <f t="shared" si="161"/>
        <v>ZWEPopulation, male</v>
      </c>
      <c r="C10363" t="s">
        <v>218</v>
      </c>
      <c r="D10363" t="s">
        <v>156</v>
      </c>
      <c r="E10363" t="s">
        <v>397</v>
      </c>
      <c r="F10363" t="s">
        <v>725</v>
      </c>
      <c r="G10363">
        <v>6983000</v>
      </c>
      <c r="H10363">
        <v>7092000</v>
      </c>
    </row>
    <row r="10364" spans="2:8" x14ac:dyDescent="0.25">
      <c r="B10364" t="str">
        <f t="shared" si="161"/>
        <v>ZWEPopulation, total</v>
      </c>
      <c r="C10364" t="s">
        <v>218</v>
      </c>
      <c r="D10364" t="s">
        <v>156</v>
      </c>
      <c r="E10364" t="s">
        <v>398</v>
      </c>
      <c r="F10364" t="s">
        <v>726</v>
      </c>
      <c r="G10364">
        <v>14645000</v>
      </c>
      <c r="H10364">
        <v>14863000</v>
      </c>
    </row>
    <row r="10365" spans="2:8" x14ac:dyDescent="0.25">
      <c r="B10365" t="str">
        <f t="shared" si="161"/>
        <v>ZWEPopulation, female</v>
      </c>
      <c r="C10365" t="s">
        <v>218</v>
      </c>
      <c r="D10365" t="s">
        <v>156</v>
      </c>
      <c r="E10365" t="s">
        <v>396</v>
      </c>
      <c r="F10365" t="s">
        <v>727</v>
      </c>
      <c r="G10365">
        <v>7662000</v>
      </c>
      <c r="H10365">
        <v>7771000</v>
      </c>
    </row>
    <row r="10366" spans="2:8" x14ac:dyDescent="0.25">
      <c r="B10366" t="str">
        <f t="shared" si="161"/>
        <v>ZWEPopulation growth (annual %)</v>
      </c>
      <c r="C10366" t="s">
        <v>218</v>
      </c>
      <c r="D10366" t="s">
        <v>156</v>
      </c>
      <c r="E10366" t="s">
        <v>399</v>
      </c>
      <c r="F10366" t="s">
        <v>728</v>
      </c>
      <c r="G10366">
        <v>0</v>
      </c>
      <c r="H10366">
        <v>0</v>
      </c>
    </row>
    <row r="10370" spans="3:3" x14ac:dyDescent="0.25">
      <c r="C10370" t="s">
        <v>729</v>
      </c>
    </row>
    <row r="10371" spans="3:3" x14ac:dyDescent="0.25">
      <c r="C10371" t="s">
        <v>730</v>
      </c>
    </row>
  </sheetData>
  <sheetProtection algorithmName="SHA-512" hashValue="X9J6mgH+kmbeJa3UoLZ3jeHCC8quzIzn9O+Hd+LY1Pta4M3IeoeR3GtpOoxKrYnveepM17j+h2UCVf4Yi2l7Vw==" saltValue="TtO7syW7jjRhCxplphshUg=="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3:AH31"/>
  <sheetViews>
    <sheetView showGridLines="0" topLeftCell="A9" workbookViewId="0">
      <selection activeCell="C19" sqref="C19"/>
    </sheetView>
  </sheetViews>
  <sheetFormatPr defaultRowHeight="15" x14ac:dyDescent="0.25"/>
  <cols>
    <col min="1" max="1" width="3.42578125" customWidth="1"/>
    <col min="2" max="2" width="24.42578125" bestFit="1" customWidth="1"/>
    <col min="3" max="3" width="11.42578125" bestFit="1" customWidth="1"/>
  </cols>
  <sheetData>
    <row r="3" spans="1:34" s="29" customFormat="1" ht="18.75" x14ac:dyDescent="0.3">
      <c r="B3" s="29" t="s">
        <v>883</v>
      </c>
    </row>
    <row r="4" spans="1:34" s="138" customFormat="1" x14ac:dyDescent="0.25"/>
    <row r="5" spans="1:34" s="138" customFormat="1" x14ac:dyDescent="0.25">
      <c r="A5" s="16"/>
      <c r="B5" s="15" t="s">
        <v>286</v>
      </c>
      <c r="C5" s="15"/>
      <c r="D5" s="15"/>
      <c r="E5" s="15"/>
      <c r="F5" s="15"/>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row>
    <row r="6" spans="1:34" s="138" customFormat="1" x14ac:dyDescent="0.25">
      <c r="B6" s="138" t="s">
        <v>287</v>
      </c>
      <c r="G6" s="12"/>
      <c r="H6" s="89"/>
    </row>
    <row r="7" spans="1:34" s="138" customFormat="1" x14ac:dyDescent="0.25">
      <c r="B7" s="138" t="s">
        <v>288</v>
      </c>
      <c r="G7" s="13"/>
      <c r="H7" s="89"/>
    </row>
    <row r="8" spans="1:34" s="138" customFormat="1" x14ac:dyDescent="0.25">
      <c r="B8" s="6" t="s">
        <v>289</v>
      </c>
      <c r="C8" s="6"/>
      <c r="D8" s="6"/>
      <c r="E8" s="6"/>
      <c r="F8" s="6"/>
      <c r="G8" s="14"/>
      <c r="H8" s="89"/>
      <c r="Q8" s="89"/>
      <c r="R8" s="89"/>
      <c r="S8" s="89"/>
      <c r="T8" s="89"/>
      <c r="U8" s="89"/>
      <c r="V8" s="89"/>
      <c r="W8" s="89"/>
      <c r="X8" s="89"/>
      <c r="Y8" s="89"/>
      <c r="Z8" s="89"/>
      <c r="AA8" s="89"/>
      <c r="AB8" s="89"/>
      <c r="AC8" s="89"/>
      <c r="AD8" s="89"/>
      <c r="AE8" s="89"/>
      <c r="AF8" s="89"/>
      <c r="AG8" s="89"/>
      <c r="AH8" s="89"/>
    </row>
    <row r="9" spans="1:34" s="138" customFormat="1" x14ac:dyDescent="0.25">
      <c r="B9" s="6"/>
      <c r="C9" s="6"/>
      <c r="D9" s="6"/>
      <c r="E9" s="6"/>
      <c r="F9" s="6"/>
      <c r="G9" s="8"/>
      <c r="H9" s="89"/>
      <c r="Q9" s="89"/>
      <c r="R9" s="89"/>
      <c r="S9" s="89"/>
      <c r="T9" s="89"/>
      <c r="U9" s="89"/>
      <c r="V9" s="89"/>
      <c r="W9" s="89"/>
      <c r="X9" s="89"/>
      <c r="Y9" s="89"/>
      <c r="Z9" s="89"/>
      <c r="AA9" s="89"/>
      <c r="AB9" s="89"/>
      <c r="AC9" s="89"/>
      <c r="AD9" s="89"/>
      <c r="AE9" s="89"/>
      <c r="AF9" s="89"/>
      <c r="AG9" s="89"/>
      <c r="AH9" s="89"/>
    </row>
    <row r="10" spans="1:34" s="124" customFormat="1" x14ac:dyDescent="0.25">
      <c r="B10" s="124" t="s">
        <v>877</v>
      </c>
      <c r="C10" s="124" t="s">
        <v>878</v>
      </c>
    </row>
    <row r="11" spans="1:34" x14ac:dyDescent="0.25">
      <c r="B11" s="145" t="s">
        <v>852</v>
      </c>
      <c r="C11" t="s">
        <v>765</v>
      </c>
    </row>
    <row r="12" spans="1:34" x14ac:dyDescent="0.25">
      <c r="B12" s="145" t="s">
        <v>758</v>
      </c>
      <c r="C12" t="s">
        <v>766</v>
      </c>
    </row>
    <row r="13" spans="1:34" x14ac:dyDescent="0.25">
      <c r="B13" s="145" t="s">
        <v>851</v>
      </c>
      <c r="C13" t="s">
        <v>767</v>
      </c>
    </row>
    <row r="14" spans="1:34" x14ac:dyDescent="0.25">
      <c r="B14" s="145" t="s">
        <v>854</v>
      </c>
      <c r="C14" t="s">
        <v>855</v>
      </c>
    </row>
    <row r="16" spans="1:34" s="124" customFormat="1" x14ac:dyDescent="0.25">
      <c r="B16" s="124" t="s">
        <v>879</v>
      </c>
      <c r="C16" s="124" t="s">
        <v>878</v>
      </c>
    </row>
    <row r="17" spans="2:3" x14ac:dyDescent="0.25">
      <c r="B17" s="145" t="s">
        <v>1544</v>
      </c>
      <c r="C17" t="s">
        <v>880</v>
      </c>
    </row>
    <row r="18" spans="2:3" x14ac:dyDescent="0.25">
      <c r="B18" s="145" t="s">
        <v>1545</v>
      </c>
      <c r="C18" t="s">
        <v>1546</v>
      </c>
    </row>
    <row r="20" spans="2:3" s="124" customFormat="1" x14ac:dyDescent="0.25">
      <c r="B20" s="124" t="s">
        <v>881</v>
      </c>
      <c r="C20" s="124" t="s">
        <v>878</v>
      </c>
    </row>
    <row r="21" spans="2:3" x14ac:dyDescent="0.25">
      <c r="B21" s="145" t="s">
        <v>876</v>
      </c>
      <c r="C21" t="str">
        <f>INDEX('Patient Calc Assumptions'!$E$27:$E$30,MATCH($B21,'Patient Calc Assumptions'!$B$27:$B$30,0))</f>
        <v>Based on China, low</v>
      </c>
    </row>
    <row r="22" spans="2:3" x14ac:dyDescent="0.25">
      <c r="B22" s="145" t="s">
        <v>757</v>
      </c>
      <c r="C22" s="138" t="str">
        <f>INDEX('Patient Calc Assumptions'!$E$27:$E$30,MATCH($B22,'Patient Calc Assumptions'!$B$27:$B$30,0))</f>
        <v>Based on China, high</v>
      </c>
    </row>
    <row r="23" spans="2:3" x14ac:dyDescent="0.25">
      <c r="B23" s="145" t="s">
        <v>758</v>
      </c>
      <c r="C23" s="138" t="str">
        <f>INDEX('Patient Calc Assumptions'!$E$27:$E$30,MATCH($B23,'Patient Calc Assumptions'!$B$27:$B$30,0))</f>
        <v>Based on academic modelling groups</v>
      </c>
    </row>
    <row r="24" spans="2:3" x14ac:dyDescent="0.25">
      <c r="B24" s="145" t="s">
        <v>756</v>
      </c>
      <c r="C24" s="138" t="str">
        <f>INDEX('Patient Calc Assumptions'!$E$27:$E$30,MATCH($B24,'Patient Calc Assumptions'!$B$27:$B$30,0))</f>
        <v>Based on academic modelling groups</v>
      </c>
    </row>
    <row r="25" spans="2:3" s="138" customFormat="1" x14ac:dyDescent="0.25">
      <c r="B25" s="145" t="s">
        <v>996</v>
      </c>
    </row>
    <row r="27" spans="2:3" s="124" customFormat="1" x14ac:dyDescent="0.25">
      <c r="B27" s="124" t="s">
        <v>882</v>
      </c>
      <c r="C27" s="124" t="s">
        <v>878</v>
      </c>
    </row>
    <row r="28" spans="2:3" x14ac:dyDescent="0.25">
      <c r="B28" s="101" t="e">
        <f>12-Current_OutBreak_Week_Number</f>
        <v>#REF!</v>
      </c>
    </row>
    <row r="29" spans="2:3" s="124" customFormat="1" x14ac:dyDescent="0.25">
      <c r="B29" s="124" t="s">
        <v>997</v>
      </c>
      <c r="C29" s="124" t="s">
        <v>878</v>
      </c>
    </row>
    <row r="30" spans="2:3" x14ac:dyDescent="0.25">
      <c r="B30" s="145" t="s">
        <v>998</v>
      </c>
    </row>
    <row r="31" spans="2:3" x14ac:dyDescent="0.25">
      <c r="B31" s="145" t="s">
        <v>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P252"/>
  <sheetViews>
    <sheetView showGridLines="0" topLeftCell="A4" workbookViewId="0">
      <selection activeCell="C22" sqref="C22"/>
    </sheetView>
  </sheetViews>
  <sheetFormatPr defaultColWidth="8.7109375" defaultRowHeight="15" x14ac:dyDescent="0.25"/>
  <cols>
    <col min="1" max="1" width="3.7109375" style="538" customWidth="1"/>
    <col min="2" max="2" width="18" style="538" customWidth="1"/>
    <col min="3" max="4" width="50.42578125" style="538" customWidth="1"/>
    <col min="5" max="5" width="10.7109375" style="538" customWidth="1"/>
    <col min="6" max="6" width="12.5703125" style="538" customWidth="1"/>
    <col min="7" max="8" width="13.28515625" style="538" customWidth="1"/>
    <col min="9" max="14" width="12.28515625" style="538" customWidth="1"/>
    <col min="15" max="15" width="8.7109375" style="538"/>
    <col min="16" max="16" width="35.28515625" style="538" customWidth="1"/>
    <col min="17" max="16384" width="8.7109375" style="538"/>
  </cols>
  <sheetData>
    <row r="2" spans="2:16" s="29" customFormat="1" ht="18.75" x14ac:dyDescent="0.3">
      <c r="B2" s="29" t="s">
        <v>1416</v>
      </c>
      <c r="G2" s="609"/>
    </row>
    <row r="3" spans="2:16" x14ac:dyDescent="0.25">
      <c r="H3" s="742" t="s">
        <v>1541</v>
      </c>
      <c r="I3" s="742"/>
      <c r="J3" s="742" t="s">
        <v>1417</v>
      </c>
      <c r="K3" s="742"/>
      <c r="L3" s="742" t="s">
        <v>1418</v>
      </c>
      <c r="M3" s="742"/>
      <c r="N3" s="742" t="s">
        <v>1419</v>
      </c>
      <c r="O3" s="742"/>
    </row>
    <row r="4" spans="2:16" ht="60.75" thickBot="1" x14ac:dyDescent="0.3">
      <c r="B4" s="555" t="s">
        <v>1513</v>
      </c>
      <c r="C4" s="555" t="s">
        <v>1514</v>
      </c>
      <c r="D4" s="555" t="s">
        <v>1510</v>
      </c>
      <c r="E4" s="556" t="s">
        <v>1506</v>
      </c>
      <c r="F4" s="556" t="s">
        <v>1542</v>
      </c>
      <c r="G4" s="556" t="s">
        <v>1399</v>
      </c>
      <c r="H4" s="556" t="s">
        <v>1420</v>
      </c>
      <c r="I4" s="556" t="s">
        <v>1421</v>
      </c>
      <c r="J4" s="556" t="s">
        <v>1420</v>
      </c>
      <c r="K4" s="556" t="s">
        <v>1421</v>
      </c>
      <c r="L4" s="556" t="s">
        <v>1420</v>
      </c>
      <c r="M4" s="556" t="s">
        <v>1421</v>
      </c>
      <c r="N4" s="556" t="s">
        <v>1420</v>
      </c>
      <c r="O4" s="556" t="s">
        <v>1421</v>
      </c>
      <c r="P4" s="538" t="s">
        <v>1422</v>
      </c>
    </row>
    <row r="5" spans="2:16" x14ac:dyDescent="0.25">
      <c r="B5" s="743" t="s">
        <v>1512</v>
      </c>
      <c r="C5" s="557" t="s">
        <v>1423</v>
      </c>
      <c r="D5" s="557" t="s">
        <v>1511</v>
      </c>
      <c r="E5" s="598"/>
      <c r="F5" s="610"/>
      <c r="G5" s="558">
        <v>15000</v>
      </c>
      <c r="H5" s="586"/>
      <c r="I5" s="572">
        <f t="shared" ref="I5:I36" si="0">$G5*H5</f>
        <v>0</v>
      </c>
      <c r="J5" s="586"/>
      <c r="K5" s="572">
        <f>$G5*J5</f>
        <v>0</v>
      </c>
      <c r="L5" s="593"/>
      <c r="M5" s="572">
        <f>$G5*L5</f>
        <v>0</v>
      </c>
      <c r="N5" s="593"/>
      <c r="O5" s="572">
        <f>$G5*N5</f>
        <v>0</v>
      </c>
      <c r="P5" s="538" t="s">
        <v>1424</v>
      </c>
    </row>
    <row r="6" spans="2:16" x14ac:dyDescent="0.25">
      <c r="B6" s="744"/>
      <c r="C6" s="537" t="s">
        <v>1425</v>
      </c>
      <c r="D6" s="537" t="s">
        <v>1511</v>
      </c>
      <c r="E6" s="599"/>
      <c r="F6" s="611"/>
      <c r="G6" s="544">
        <v>1500</v>
      </c>
      <c r="H6" s="587"/>
      <c r="I6" s="573">
        <f t="shared" si="0"/>
        <v>0</v>
      </c>
      <c r="J6" s="587"/>
      <c r="K6" s="573">
        <f t="shared" ref="K6:K69" si="1">$G6*J6</f>
        <v>0</v>
      </c>
      <c r="L6" s="594"/>
      <c r="M6" s="573">
        <f t="shared" ref="M6:M69" si="2">$G6*L6</f>
        <v>0</v>
      </c>
      <c r="N6" s="594"/>
      <c r="O6" s="579">
        <f t="shared" ref="O6:O69" si="3">$G6*N6</f>
        <v>0</v>
      </c>
      <c r="P6" s="538" t="s">
        <v>1426</v>
      </c>
    </row>
    <row r="7" spans="2:16" x14ac:dyDescent="0.25">
      <c r="B7" s="744"/>
      <c r="C7" s="537" t="s">
        <v>1427</v>
      </c>
      <c r="D7" s="537" t="s">
        <v>1511</v>
      </c>
      <c r="E7" s="599"/>
      <c r="F7" s="611"/>
      <c r="G7" s="544"/>
      <c r="H7" s="587"/>
      <c r="I7" s="573">
        <f t="shared" si="0"/>
        <v>0</v>
      </c>
      <c r="J7" s="587"/>
      <c r="K7" s="573">
        <f t="shared" si="1"/>
        <v>0</v>
      </c>
      <c r="L7" s="594"/>
      <c r="M7" s="573">
        <f t="shared" si="2"/>
        <v>0</v>
      </c>
      <c r="N7" s="594"/>
      <c r="O7" s="579">
        <f t="shared" si="3"/>
        <v>0</v>
      </c>
    </row>
    <row r="8" spans="2:16" x14ac:dyDescent="0.25">
      <c r="B8" s="744"/>
      <c r="C8" s="537" t="s">
        <v>1428</v>
      </c>
      <c r="D8" s="537" t="s">
        <v>1511</v>
      </c>
      <c r="E8" s="599"/>
      <c r="F8" s="611"/>
      <c r="G8" s="544"/>
      <c r="H8" s="587"/>
      <c r="I8" s="573">
        <f t="shared" si="0"/>
        <v>0</v>
      </c>
      <c r="J8" s="587"/>
      <c r="K8" s="573">
        <f t="shared" si="1"/>
        <v>0</v>
      </c>
      <c r="L8" s="594"/>
      <c r="M8" s="573">
        <f t="shared" si="2"/>
        <v>0</v>
      </c>
      <c r="N8" s="594"/>
      <c r="O8" s="579">
        <f t="shared" si="3"/>
        <v>0</v>
      </c>
      <c r="P8" s="538" t="s">
        <v>1424</v>
      </c>
    </row>
    <row r="9" spans="2:16" x14ac:dyDescent="0.25">
      <c r="B9" s="744"/>
      <c r="C9" s="537" t="s">
        <v>1429</v>
      </c>
      <c r="D9" s="537" t="s">
        <v>1511</v>
      </c>
      <c r="E9" s="599"/>
      <c r="F9" s="611"/>
      <c r="G9" s="544"/>
      <c r="H9" s="587"/>
      <c r="I9" s="573">
        <f t="shared" si="0"/>
        <v>0</v>
      </c>
      <c r="J9" s="587"/>
      <c r="K9" s="573">
        <f t="shared" si="1"/>
        <v>0</v>
      </c>
      <c r="L9" s="594"/>
      <c r="M9" s="573">
        <f t="shared" si="2"/>
        <v>0</v>
      </c>
      <c r="N9" s="594"/>
      <c r="O9" s="579">
        <f t="shared" si="3"/>
        <v>0</v>
      </c>
      <c r="P9" s="538" t="s">
        <v>1426</v>
      </c>
    </row>
    <row r="10" spans="2:16" x14ac:dyDescent="0.25">
      <c r="B10" s="744"/>
      <c r="C10" s="537" t="s">
        <v>1430</v>
      </c>
      <c r="D10" s="537" t="s">
        <v>1511</v>
      </c>
      <c r="E10" s="599"/>
      <c r="F10" s="611"/>
      <c r="G10" s="544"/>
      <c r="H10" s="587"/>
      <c r="I10" s="573">
        <f t="shared" si="0"/>
        <v>0</v>
      </c>
      <c r="J10" s="587"/>
      <c r="K10" s="573">
        <f t="shared" si="1"/>
        <v>0</v>
      </c>
      <c r="L10" s="594"/>
      <c r="M10" s="573">
        <f t="shared" si="2"/>
        <v>0</v>
      </c>
      <c r="N10" s="594"/>
      <c r="O10" s="579">
        <f t="shared" si="3"/>
        <v>0</v>
      </c>
      <c r="P10" s="538" t="s">
        <v>1431</v>
      </c>
    </row>
    <row r="11" spans="2:16" x14ac:dyDescent="0.25">
      <c r="B11" s="744"/>
      <c r="C11" s="537" t="s">
        <v>1432</v>
      </c>
      <c r="D11" s="537" t="s">
        <v>1511</v>
      </c>
      <c r="E11" s="599"/>
      <c r="F11" s="611"/>
      <c r="G11" s="544">
        <v>5000</v>
      </c>
      <c r="H11" s="587"/>
      <c r="I11" s="573">
        <f t="shared" si="0"/>
        <v>0</v>
      </c>
      <c r="J11" s="587"/>
      <c r="K11" s="573">
        <f t="shared" si="1"/>
        <v>0</v>
      </c>
      <c r="L11" s="594"/>
      <c r="M11" s="573">
        <f t="shared" si="2"/>
        <v>0</v>
      </c>
      <c r="N11" s="594"/>
      <c r="O11" s="579">
        <f t="shared" si="3"/>
        <v>0</v>
      </c>
      <c r="P11" s="538" t="s">
        <v>1433</v>
      </c>
    </row>
    <row r="12" spans="2:16" x14ac:dyDescent="0.25">
      <c r="B12" s="744"/>
      <c r="C12" s="537" t="s">
        <v>1434</v>
      </c>
      <c r="D12" s="537" t="s">
        <v>1511</v>
      </c>
      <c r="E12" s="599"/>
      <c r="F12" s="611"/>
      <c r="G12" s="544"/>
      <c r="H12" s="587"/>
      <c r="I12" s="573">
        <f t="shared" si="0"/>
        <v>0</v>
      </c>
      <c r="J12" s="587"/>
      <c r="K12" s="573">
        <f t="shared" si="1"/>
        <v>0</v>
      </c>
      <c r="L12" s="594"/>
      <c r="M12" s="573">
        <f t="shared" si="2"/>
        <v>0</v>
      </c>
      <c r="N12" s="594"/>
      <c r="O12" s="579">
        <f t="shared" si="3"/>
        <v>0</v>
      </c>
      <c r="P12" s="538" t="s">
        <v>1435</v>
      </c>
    </row>
    <row r="13" spans="2:16" x14ac:dyDescent="0.25">
      <c r="B13" s="744"/>
      <c r="C13" s="537" t="s">
        <v>1436</v>
      </c>
      <c r="D13" s="537" t="s">
        <v>1511</v>
      </c>
      <c r="E13" s="599"/>
      <c r="F13" s="611"/>
      <c r="G13" s="544"/>
      <c r="H13" s="587"/>
      <c r="I13" s="573">
        <f t="shared" si="0"/>
        <v>0</v>
      </c>
      <c r="J13" s="587"/>
      <c r="K13" s="573">
        <f t="shared" si="1"/>
        <v>0</v>
      </c>
      <c r="L13" s="594"/>
      <c r="M13" s="573">
        <f t="shared" si="2"/>
        <v>0</v>
      </c>
      <c r="N13" s="594"/>
      <c r="O13" s="579">
        <f t="shared" si="3"/>
        <v>0</v>
      </c>
      <c r="P13" s="538" t="s">
        <v>1437</v>
      </c>
    </row>
    <row r="14" spans="2:16" ht="15.75" thickBot="1" x14ac:dyDescent="0.3">
      <c r="B14" s="745"/>
      <c r="C14" s="559" t="s">
        <v>1438</v>
      </c>
      <c r="D14" s="559" t="s">
        <v>1511</v>
      </c>
      <c r="E14" s="600"/>
      <c r="F14" s="612"/>
      <c r="G14" s="560">
        <v>75000</v>
      </c>
      <c r="H14" s="588"/>
      <c r="I14" s="574">
        <f t="shared" si="0"/>
        <v>0</v>
      </c>
      <c r="J14" s="588"/>
      <c r="K14" s="574">
        <f t="shared" si="1"/>
        <v>0</v>
      </c>
      <c r="L14" s="595"/>
      <c r="M14" s="574">
        <f t="shared" si="2"/>
        <v>0</v>
      </c>
      <c r="N14" s="595"/>
      <c r="O14" s="580">
        <f t="shared" si="3"/>
        <v>0</v>
      </c>
      <c r="P14" s="538" t="s">
        <v>1439</v>
      </c>
    </row>
    <row r="15" spans="2:16" ht="15" customHeight="1" x14ac:dyDescent="0.25">
      <c r="B15" s="739" t="s">
        <v>1515</v>
      </c>
      <c r="C15" s="557" t="s">
        <v>1440</v>
      </c>
      <c r="D15" s="557" t="s">
        <v>1516</v>
      </c>
      <c r="E15" s="598"/>
      <c r="F15" s="610"/>
      <c r="G15" s="558"/>
      <c r="H15" s="586"/>
      <c r="I15" s="572">
        <f t="shared" si="0"/>
        <v>0</v>
      </c>
      <c r="J15" s="586"/>
      <c r="K15" s="572">
        <f t="shared" si="1"/>
        <v>0</v>
      </c>
      <c r="L15" s="593"/>
      <c r="M15" s="572">
        <f t="shared" si="2"/>
        <v>0</v>
      </c>
      <c r="N15" s="593"/>
      <c r="O15" s="581">
        <f t="shared" si="3"/>
        <v>0</v>
      </c>
    </row>
    <row r="16" spans="2:16" x14ac:dyDescent="0.25">
      <c r="B16" s="740"/>
      <c r="C16" s="537" t="s">
        <v>1441</v>
      </c>
      <c r="D16" s="537" t="s">
        <v>1516</v>
      </c>
      <c r="E16" s="599"/>
      <c r="F16" s="611"/>
      <c r="G16" s="544">
        <v>7500</v>
      </c>
      <c r="H16" s="587"/>
      <c r="I16" s="573">
        <f t="shared" si="0"/>
        <v>0</v>
      </c>
      <c r="J16" s="587"/>
      <c r="K16" s="573">
        <f t="shared" si="1"/>
        <v>0</v>
      </c>
      <c r="L16" s="594"/>
      <c r="M16" s="573">
        <f t="shared" si="2"/>
        <v>0</v>
      </c>
      <c r="N16" s="594"/>
      <c r="O16" s="579">
        <f t="shared" si="3"/>
        <v>0</v>
      </c>
    </row>
    <row r="17" spans="2:16" x14ac:dyDescent="0.25">
      <c r="B17" s="740"/>
      <c r="C17" s="537" t="s">
        <v>1442</v>
      </c>
      <c r="D17" s="537" t="s">
        <v>1516</v>
      </c>
      <c r="E17" s="599"/>
      <c r="F17" s="611"/>
      <c r="G17" s="544">
        <v>1200</v>
      </c>
      <c r="H17" s="587"/>
      <c r="I17" s="573">
        <f t="shared" si="0"/>
        <v>0</v>
      </c>
      <c r="J17" s="587"/>
      <c r="K17" s="573">
        <f t="shared" si="1"/>
        <v>0</v>
      </c>
      <c r="L17" s="594"/>
      <c r="M17" s="573">
        <f t="shared" si="2"/>
        <v>0</v>
      </c>
      <c r="N17" s="594"/>
      <c r="O17" s="579">
        <f t="shared" si="3"/>
        <v>0</v>
      </c>
    </row>
    <row r="18" spans="2:16" x14ac:dyDescent="0.25">
      <c r="B18" s="740"/>
      <c r="C18" s="537" t="s">
        <v>1443</v>
      </c>
      <c r="D18" s="537" t="s">
        <v>1516</v>
      </c>
      <c r="E18" s="599"/>
      <c r="F18" s="611"/>
      <c r="G18" s="544">
        <v>800</v>
      </c>
      <c r="H18" s="587"/>
      <c r="I18" s="573">
        <f t="shared" si="0"/>
        <v>0</v>
      </c>
      <c r="J18" s="587"/>
      <c r="K18" s="573">
        <f t="shared" si="1"/>
        <v>0</v>
      </c>
      <c r="L18" s="594"/>
      <c r="M18" s="573">
        <f t="shared" si="2"/>
        <v>0</v>
      </c>
      <c r="N18" s="594"/>
      <c r="O18" s="579">
        <f t="shared" si="3"/>
        <v>0</v>
      </c>
    </row>
    <row r="19" spans="2:16" x14ac:dyDescent="0.25">
      <c r="B19" s="740"/>
      <c r="C19" s="537" t="s">
        <v>1444</v>
      </c>
      <c r="D19" s="537" t="s">
        <v>1516</v>
      </c>
      <c r="E19" s="599"/>
      <c r="F19" s="611"/>
      <c r="G19" s="544">
        <v>500</v>
      </c>
      <c r="H19" s="587"/>
      <c r="I19" s="573">
        <f t="shared" si="0"/>
        <v>0</v>
      </c>
      <c r="J19" s="587"/>
      <c r="K19" s="573">
        <f t="shared" si="1"/>
        <v>0</v>
      </c>
      <c r="L19" s="594"/>
      <c r="M19" s="573">
        <f t="shared" si="2"/>
        <v>0</v>
      </c>
      <c r="N19" s="594"/>
      <c r="O19" s="579">
        <f t="shared" si="3"/>
        <v>0</v>
      </c>
    </row>
    <row r="20" spans="2:16" x14ac:dyDescent="0.25">
      <c r="B20" s="740"/>
      <c r="C20" s="537" t="s">
        <v>1445</v>
      </c>
      <c r="D20" s="537" t="s">
        <v>1516</v>
      </c>
      <c r="E20" s="599"/>
      <c r="F20" s="611"/>
      <c r="G20" s="544">
        <v>200</v>
      </c>
      <c r="H20" s="587"/>
      <c r="I20" s="573">
        <f t="shared" si="0"/>
        <v>0</v>
      </c>
      <c r="J20" s="587"/>
      <c r="K20" s="573">
        <f t="shared" si="1"/>
        <v>0</v>
      </c>
      <c r="L20" s="594"/>
      <c r="M20" s="573">
        <f t="shared" si="2"/>
        <v>0</v>
      </c>
      <c r="N20" s="594"/>
      <c r="O20" s="579">
        <f t="shared" si="3"/>
        <v>0</v>
      </c>
    </row>
    <row r="21" spans="2:16" x14ac:dyDescent="0.25">
      <c r="B21" s="740"/>
      <c r="C21" s="537" t="s">
        <v>1446</v>
      </c>
      <c r="D21" s="537" t="s">
        <v>1516</v>
      </c>
      <c r="E21" s="599"/>
      <c r="F21" s="611"/>
      <c r="G21" s="544">
        <v>400</v>
      </c>
      <c r="H21" s="587"/>
      <c r="I21" s="573">
        <f t="shared" si="0"/>
        <v>0</v>
      </c>
      <c r="J21" s="587"/>
      <c r="K21" s="573">
        <f t="shared" si="1"/>
        <v>0</v>
      </c>
      <c r="L21" s="594"/>
      <c r="M21" s="573">
        <f t="shared" si="2"/>
        <v>0</v>
      </c>
      <c r="N21" s="594"/>
      <c r="O21" s="579">
        <f t="shared" si="3"/>
        <v>0</v>
      </c>
    </row>
    <row r="22" spans="2:16" x14ac:dyDescent="0.25">
      <c r="B22" s="740"/>
      <c r="C22" s="537" t="s">
        <v>1447</v>
      </c>
      <c r="D22" s="537" t="s">
        <v>1516</v>
      </c>
      <c r="E22" s="599"/>
      <c r="F22" s="611"/>
      <c r="G22" s="544">
        <v>100</v>
      </c>
      <c r="H22" s="587"/>
      <c r="I22" s="573">
        <f t="shared" si="0"/>
        <v>0</v>
      </c>
      <c r="J22" s="587"/>
      <c r="K22" s="573">
        <f t="shared" si="1"/>
        <v>0</v>
      </c>
      <c r="L22" s="594"/>
      <c r="M22" s="573">
        <f t="shared" si="2"/>
        <v>0</v>
      </c>
      <c r="N22" s="594"/>
      <c r="O22" s="579">
        <f t="shared" si="3"/>
        <v>0</v>
      </c>
    </row>
    <row r="23" spans="2:16" s="8" customFormat="1" x14ac:dyDescent="0.25">
      <c r="B23" s="740"/>
      <c r="C23" s="376" t="s">
        <v>1448</v>
      </c>
      <c r="D23" s="376" t="s">
        <v>1521</v>
      </c>
      <c r="E23" s="599"/>
      <c r="F23" s="611"/>
      <c r="G23" s="547"/>
      <c r="H23" s="589"/>
      <c r="I23" s="575">
        <f t="shared" si="0"/>
        <v>0</v>
      </c>
      <c r="J23" s="589"/>
      <c r="K23" s="575">
        <f t="shared" si="1"/>
        <v>0</v>
      </c>
      <c r="L23" s="553"/>
      <c r="M23" s="575">
        <f t="shared" si="2"/>
        <v>0</v>
      </c>
      <c r="N23" s="553"/>
      <c r="O23" s="582">
        <f t="shared" si="3"/>
        <v>0</v>
      </c>
    </row>
    <row r="24" spans="2:16" s="8" customFormat="1" x14ac:dyDescent="0.25">
      <c r="B24" s="740"/>
      <c r="C24" s="376" t="s">
        <v>1449</v>
      </c>
      <c r="D24" s="376" t="s">
        <v>1522</v>
      </c>
      <c r="E24" s="599"/>
      <c r="F24" s="611"/>
      <c r="G24" s="547">
        <v>27000</v>
      </c>
      <c r="H24" s="589"/>
      <c r="I24" s="575">
        <f t="shared" si="0"/>
        <v>0</v>
      </c>
      <c r="J24" s="589"/>
      <c r="K24" s="575">
        <f t="shared" si="1"/>
        <v>0</v>
      </c>
      <c r="L24" s="553"/>
      <c r="M24" s="575">
        <f t="shared" si="2"/>
        <v>0</v>
      </c>
      <c r="N24" s="553"/>
      <c r="O24" s="582">
        <f t="shared" si="3"/>
        <v>0</v>
      </c>
      <c r="P24" s="8" t="s">
        <v>1450</v>
      </c>
    </row>
    <row r="25" spans="2:16" s="8" customFormat="1" x14ac:dyDescent="0.25">
      <c r="B25" s="740"/>
      <c r="C25" s="376" t="s">
        <v>1451</v>
      </c>
      <c r="D25" s="376" t="s">
        <v>1522</v>
      </c>
      <c r="E25" s="599"/>
      <c r="F25" s="611"/>
      <c r="G25" s="547"/>
      <c r="H25" s="589"/>
      <c r="I25" s="575">
        <f t="shared" si="0"/>
        <v>0</v>
      </c>
      <c r="J25" s="589"/>
      <c r="K25" s="575">
        <f t="shared" si="1"/>
        <v>0</v>
      </c>
      <c r="L25" s="553"/>
      <c r="M25" s="575">
        <f t="shared" si="2"/>
        <v>0</v>
      </c>
      <c r="N25" s="553"/>
      <c r="O25" s="582">
        <f t="shared" si="3"/>
        <v>0</v>
      </c>
      <c r="P25" s="8" t="s">
        <v>1452</v>
      </c>
    </row>
    <row r="26" spans="2:16" s="8" customFormat="1" x14ac:dyDescent="0.25">
      <c r="B26" s="740"/>
      <c r="C26" s="376" t="s">
        <v>1453</v>
      </c>
      <c r="D26" s="376" t="s">
        <v>1522</v>
      </c>
      <c r="E26" s="599"/>
      <c r="F26" s="611"/>
      <c r="G26" s="547"/>
      <c r="H26" s="589"/>
      <c r="I26" s="575">
        <f t="shared" si="0"/>
        <v>0</v>
      </c>
      <c r="J26" s="589"/>
      <c r="K26" s="575">
        <f t="shared" si="1"/>
        <v>0</v>
      </c>
      <c r="L26" s="553"/>
      <c r="M26" s="575">
        <f t="shared" si="2"/>
        <v>0</v>
      </c>
      <c r="N26" s="553"/>
      <c r="O26" s="582">
        <f t="shared" si="3"/>
        <v>0</v>
      </c>
      <c r="P26" s="8" t="s">
        <v>1454</v>
      </c>
    </row>
    <row r="27" spans="2:16" s="8" customFormat="1" x14ac:dyDescent="0.25">
      <c r="B27" s="740"/>
      <c r="C27" s="376" t="s">
        <v>1455</v>
      </c>
      <c r="D27" s="376" t="s">
        <v>1522</v>
      </c>
      <c r="E27" s="599"/>
      <c r="F27" s="611"/>
      <c r="G27" s="547"/>
      <c r="H27" s="589"/>
      <c r="I27" s="575">
        <f t="shared" si="0"/>
        <v>0</v>
      </c>
      <c r="J27" s="589"/>
      <c r="K27" s="575">
        <f t="shared" si="1"/>
        <v>0</v>
      </c>
      <c r="L27" s="553"/>
      <c r="M27" s="575">
        <f t="shared" si="2"/>
        <v>0</v>
      </c>
      <c r="N27" s="553"/>
      <c r="O27" s="582">
        <f t="shared" si="3"/>
        <v>0</v>
      </c>
      <c r="P27" s="8" t="s">
        <v>1456</v>
      </c>
    </row>
    <row r="28" spans="2:16" s="8" customFormat="1" x14ac:dyDescent="0.25">
      <c r="B28" s="740"/>
      <c r="C28" s="376" t="s">
        <v>1457</v>
      </c>
      <c r="D28" s="376" t="s">
        <v>1522</v>
      </c>
      <c r="E28" s="599"/>
      <c r="F28" s="611"/>
      <c r="G28" s="547"/>
      <c r="H28" s="589"/>
      <c r="I28" s="575">
        <f t="shared" si="0"/>
        <v>0</v>
      </c>
      <c r="J28" s="589"/>
      <c r="K28" s="575">
        <f t="shared" si="1"/>
        <v>0</v>
      </c>
      <c r="L28" s="553"/>
      <c r="M28" s="575">
        <f t="shared" si="2"/>
        <v>0</v>
      </c>
      <c r="N28" s="553"/>
      <c r="O28" s="582">
        <f t="shared" si="3"/>
        <v>0</v>
      </c>
      <c r="P28" s="8" t="s">
        <v>1458</v>
      </c>
    </row>
    <row r="29" spans="2:16" x14ac:dyDescent="0.25">
      <c r="B29" s="740"/>
      <c r="C29" s="537" t="s">
        <v>1459</v>
      </c>
      <c r="D29" s="537" t="s">
        <v>1523</v>
      </c>
      <c r="E29" s="599"/>
      <c r="F29" s="611"/>
      <c r="G29" s="544"/>
      <c r="H29" s="587"/>
      <c r="I29" s="573">
        <f t="shared" si="0"/>
        <v>0</v>
      </c>
      <c r="J29" s="587"/>
      <c r="K29" s="573">
        <f t="shared" si="1"/>
        <v>0</v>
      </c>
      <c r="L29" s="594"/>
      <c r="M29" s="573">
        <f t="shared" si="2"/>
        <v>0</v>
      </c>
      <c r="N29" s="594"/>
      <c r="O29" s="579">
        <f t="shared" si="3"/>
        <v>0</v>
      </c>
      <c r="P29" s="538" t="s">
        <v>1460</v>
      </c>
    </row>
    <row r="30" spans="2:16" s="8" customFormat="1" ht="30" x14ac:dyDescent="0.25">
      <c r="B30" s="740"/>
      <c r="C30" s="570" t="s">
        <v>1461</v>
      </c>
      <c r="D30" s="551" t="s">
        <v>1517</v>
      </c>
      <c r="E30" s="601">
        <f>'User Dashboard'!F110</f>
        <v>34</v>
      </c>
      <c r="F30" s="613"/>
      <c r="G30" s="547"/>
      <c r="H30" s="589">
        <v>6</v>
      </c>
      <c r="I30" s="575">
        <f t="shared" si="0"/>
        <v>0</v>
      </c>
      <c r="J30" s="589">
        <v>51</v>
      </c>
      <c r="K30" s="575">
        <f t="shared" si="1"/>
        <v>0</v>
      </c>
      <c r="L30" s="553">
        <v>503</v>
      </c>
      <c r="M30" s="575">
        <f t="shared" si="2"/>
        <v>0</v>
      </c>
      <c r="N30" s="553">
        <v>4990</v>
      </c>
      <c r="O30" s="582">
        <f t="shared" si="3"/>
        <v>0</v>
      </c>
    </row>
    <row r="31" spans="2:16" s="8" customFormat="1" ht="30" x14ac:dyDescent="0.25">
      <c r="B31" s="740"/>
      <c r="C31" s="570" t="s">
        <v>1462</v>
      </c>
      <c r="D31" s="551" t="s">
        <v>1517</v>
      </c>
      <c r="E31" s="601">
        <f>'User Dashboard'!F111</f>
        <v>34</v>
      </c>
      <c r="F31" s="613"/>
      <c r="G31" s="547"/>
      <c r="H31" s="589">
        <v>6</v>
      </c>
      <c r="I31" s="575">
        <f t="shared" si="0"/>
        <v>0</v>
      </c>
      <c r="J31" s="589">
        <v>51</v>
      </c>
      <c r="K31" s="575">
        <f t="shared" si="1"/>
        <v>0</v>
      </c>
      <c r="L31" s="553">
        <v>503</v>
      </c>
      <c r="M31" s="575">
        <f t="shared" si="2"/>
        <v>0</v>
      </c>
      <c r="N31" s="553">
        <v>4990</v>
      </c>
      <c r="O31" s="582">
        <f t="shared" si="3"/>
        <v>0</v>
      </c>
    </row>
    <row r="32" spans="2:16" s="8" customFormat="1" ht="30" x14ac:dyDescent="0.25">
      <c r="B32" s="740"/>
      <c r="C32" s="570" t="s">
        <v>1463</v>
      </c>
      <c r="D32" s="551" t="s">
        <v>1517</v>
      </c>
      <c r="E32" s="601">
        <f>'User Dashboard'!F112</f>
        <v>32</v>
      </c>
      <c r="F32" s="613"/>
      <c r="G32" s="547"/>
      <c r="H32" s="589">
        <v>5</v>
      </c>
      <c r="I32" s="575">
        <f t="shared" si="0"/>
        <v>0</v>
      </c>
      <c r="J32" s="589">
        <v>48</v>
      </c>
      <c r="K32" s="575">
        <f t="shared" si="1"/>
        <v>0</v>
      </c>
      <c r="L32" s="553">
        <v>472</v>
      </c>
      <c r="M32" s="575">
        <f t="shared" si="2"/>
        <v>0</v>
      </c>
      <c r="N32" s="553">
        <v>4690</v>
      </c>
      <c r="O32" s="582">
        <f t="shared" si="3"/>
        <v>0</v>
      </c>
    </row>
    <row r="33" spans="2:15" s="8" customFormat="1" ht="30" x14ac:dyDescent="0.25">
      <c r="B33" s="740"/>
      <c r="C33" s="570" t="s">
        <v>1464</v>
      </c>
      <c r="D33" s="551" t="s">
        <v>1517</v>
      </c>
      <c r="E33" s="601">
        <f ca="1">'User Dashboard'!F113</f>
        <v>2071</v>
      </c>
      <c r="F33" s="613"/>
      <c r="G33" s="547"/>
      <c r="H33" s="589">
        <v>256</v>
      </c>
      <c r="I33" s="575">
        <f t="shared" si="0"/>
        <v>0</v>
      </c>
      <c r="J33" s="589">
        <v>1717</v>
      </c>
      <c r="K33" s="575">
        <f t="shared" si="1"/>
        <v>0</v>
      </c>
      <c r="L33" s="553">
        <v>14983</v>
      </c>
      <c r="M33" s="575">
        <f t="shared" si="2"/>
        <v>0</v>
      </c>
      <c r="N33" s="553">
        <v>140586</v>
      </c>
      <c r="O33" s="582">
        <f t="shared" si="3"/>
        <v>0</v>
      </c>
    </row>
    <row r="34" spans="2:15" s="8" customFormat="1" ht="30" x14ac:dyDescent="0.25">
      <c r="B34" s="740"/>
      <c r="C34" s="571" t="s">
        <v>1518</v>
      </c>
      <c r="D34" s="551" t="s">
        <v>1517</v>
      </c>
      <c r="E34" s="601">
        <f>'User Dashboard'!F63</f>
        <v>2891.6348530785122</v>
      </c>
      <c r="F34" s="613"/>
      <c r="G34" s="547"/>
      <c r="H34" s="589">
        <v>434.48343612759129</v>
      </c>
      <c r="I34" s="575">
        <f t="shared" si="0"/>
        <v>0</v>
      </c>
      <c r="J34" s="589">
        <v>4317.5114541561761</v>
      </c>
      <c r="K34" s="575">
        <f t="shared" si="1"/>
        <v>0</v>
      </c>
      <c r="L34" s="553">
        <v>42903.603697554245</v>
      </c>
      <c r="M34" s="575">
        <f t="shared" si="2"/>
        <v>0</v>
      </c>
      <c r="N34" s="553">
        <v>426338.00275500241</v>
      </c>
      <c r="O34" s="582">
        <f t="shared" si="3"/>
        <v>0</v>
      </c>
    </row>
    <row r="35" spans="2:15" s="8" customFormat="1" ht="30" x14ac:dyDescent="0.25">
      <c r="B35" s="740"/>
      <c r="C35" s="571" t="s">
        <v>1519</v>
      </c>
      <c r="D35" s="551" t="s">
        <v>1517</v>
      </c>
      <c r="E35" s="601">
        <f>'User Dashboard'!F64</f>
        <v>868.8928127220297</v>
      </c>
      <c r="F35" s="613"/>
      <c r="G35" s="547"/>
      <c r="H35" s="589">
        <v>430.08343612759131</v>
      </c>
      <c r="I35" s="575">
        <f t="shared" si="0"/>
        <v>0</v>
      </c>
      <c r="J35" s="589">
        <v>4313.1114541561765</v>
      </c>
      <c r="K35" s="575">
        <f t="shared" si="1"/>
        <v>0</v>
      </c>
      <c r="L35" s="553">
        <v>17667.898508135317</v>
      </c>
      <c r="M35" s="575">
        <f t="shared" si="2"/>
        <v>0</v>
      </c>
      <c r="N35" s="553">
        <v>101180.00477632685</v>
      </c>
      <c r="O35" s="582">
        <f t="shared" si="3"/>
        <v>0</v>
      </c>
    </row>
    <row r="36" spans="2:15" s="8" customFormat="1" ht="30" x14ac:dyDescent="0.25">
      <c r="B36" s="740"/>
      <c r="C36" s="571" t="s">
        <v>1520</v>
      </c>
      <c r="D36" s="551" t="s">
        <v>1517</v>
      </c>
      <c r="E36" s="601">
        <f>Max_Lab_HCWs</f>
        <v>2</v>
      </c>
      <c r="F36" s="613"/>
      <c r="G36" s="547"/>
      <c r="H36" s="589">
        <v>1</v>
      </c>
      <c r="I36" s="575">
        <f t="shared" si="0"/>
        <v>0</v>
      </c>
      <c r="J36" s="589">
        <v>2</v>
      </c>
      <c r="K36" s="575">
        <f t="shared" si="1"/>
        <v>0</v>
      </c>
      <c r="L36" s="553">
        <v>14</v>
      </c>
      <c r="M36" s="575">
        <f t="shared" si="2"/>
        <v>0</v>
      </c>
      <c r="N36" s="553">
        <v>164</v>
      </c>
      <c r="O36" s="582">
        <f t="shared" si="3"/>
        <v>0</v>
      </c>
    </row>
    <row r="37" spans="2:15" x14ac:dyDescent="0.25">
      <c r="B37" s="740"/>
      <c r="C37" s="537" t="s">
        <v>1465</v>
      </c>
      <c r="D37" s="537" t="s">
        <v>1539</v>
      </c>
      <c r="E37" s="599"/>
      <c r="F37" s="611"/>
      <c r="G37" s="544"/>
      <c r="H37" s="587"/>
      <c r="I37" s="573">
        <f t="shared" ref="I37:I68" si="4">$G37*H37</f>
        <v>0</v>
      </c>
      <c r="J37" s="587"/>
      <c r="K37" s="573">
        <f t="shared" si="1"/>
        <v>0</v>
      </c>
      <c r="L37" s="594"/>
      <c r="M37" s="573">
        <f t="shared" si="2"/>
        <v>0</v>
      </c>
      <c r="N37" s="594"/>
      <c r="O37" s="579">
        <f t="shared" si="3"/>
        <v>0</v>
      </c>
    </row>
    <row r="38" spans="2:15" ht="15.75" thickBot="1" x14ac:dyDescent="0.3">
      <c r="B38" s="741"/>
      <c r="C38" s="559" t="s">
        <v>1466</v>
      </c>
      <c r="D38" s="559" t="s">
        <v>1540</v>
      </c>
      <c r="E38" s="600"/>
      <c r="F38" s="612"/>
      <c r="G38" s="560"/>
      <c r="H38" s="588"/>
      <c r="I38" s="574">
        <f t="shared" si="4"/>
        <v>0</v>
      </c>
      <c r="J38" s="588"/>
      <c r="K38" s="574">
        <f t="shared" si="1"/>
        <v>0</v>
      </c>
      <c r="L38" s="595"/>
      <c r="M38" s="574">
        <f t="shared" si="2"/>
        <v>0</v>
      </c>
      <c r="N38" s="595"/>
      <c r="O38" s="580">
        <f t="shared" si="3"/>
        <v>0</v>
      </c>
    </row>
    <row r="39" spans="2:15" s="8" customFormat="1" ht="45" customHeight="1" x14ac:dyDescent="0.25">
      <c r="B39" s="746" t="s">
        <v>1467</v>
      </c>
      <c r="C39" s="561" t="s">
        <v>1524</v>
      </c>
      <c r="D39" s="562" t="s">
        <v>1517</v>
      </c>
      <c r="E39" s="598">
        <f>Max_HCW_for_outpatient</f>
        <v>12</v>
      </c>
      <c r="F39" s="610"/>
      <c r="G39" s="563"/>
      <c r="H39" s="590">
        <v>4</v>
      </c>
      <c r="I39" s="576">
        <f t="shared" si="4"/>
        <v>0</v>
      </c>
      <c r="J39" s="590">
        <v>44</v>
      </c>
      <c r="K39" s="576">
        <f t="shared" si="1"/>
        <v>0</v>
      </c>
      <c r="L39" s="569">
        <v>32</v>
      </c>
      <c r="M39" s="576">
        <f t="shared" si="2"/>
        <v>0</v>
      </c>
      <c r="N39" s="569">
        <v>376</v>
      </c>
      <c r="O39" s="583">
        <f t="shared" si="3"/>
        <v>0</v>
      </c>
    </row>
    <row r="40" spans="2:15" s="8" customFormat="1" ht="15" customHeight="1" x14ac:dyDescent="0.25">
      <c r="B40" s="747"/>
      <c r="C40" s="376" t="s">
        <v>1468</v>
      </c>
      <c r="D40" s="376" t="s">
        <v>1525</v>
      </c>
      <c r="E40" s="599"/>
      <c r="F40" s="611"/>
      <c r="G40" s="547"/>
      <c r="H40" s="589"/>
      <c r="I40" s="575">
        <f t="shared" si="4"/>
        <v>0</v>
      </c>
      <c r="J40" s="589"/>
      <c r="K40" s="575">
        <f t="shared" si="1"/>
        <v>0</v>
      </c>
      <c r="L40" s="553"/>
      <c r="M40" s="575">
        <f t="shared" si="2"/>
        <v>0</v>
      </c>
      <c r="N40" s="553"/>
      <c r="O40" s="582">
        <f t="shared" si="3"/>
        <v>0</v>
      </c>
    </row>
    <row r="41" spans="2:15" s="8" customFormat="1" x14ac:dyDescent="0.25">
      <c r="B41" s="747"/>
      <c r="C41" s="376" t="s">
        <v>1469</v>
      </c>
      <c r="D41" s="376" t="s">
        <v>1525</v>
      </c>
      <c r="E41" s="599"/>
      <c r="F41" s="611"/>
      <c r="G41" s="547"/>
      <c r="H41" s="589"/>
      <c r="I41" s="575">
        <f t="shared" si="4"/>
        <v>0</v>
      </c>
      <c r="J41" s="589"/>
      <c r="K41" s="575">
        <f t="shared" si="1"/>
        <v>0</v>
      </c>
      <c r="L41" s="553"/>
      <c r="M41" s="575">
        <f t="shared" si="2"/>
        <v>0</v>
      </c>
      <c r="N41" s="553"/>
      <c r="O41" s="582">
        <f t="shared" si="3"/>
        <v>0</v>
      </c>
    </row>
    <row r="42" spans="2:15" s="8" customFormat="1" x14ac:dyDescent="0.25">
      <c r="B42" s="747"/>
      <c r="C42" s="376" t="s">
        <v>1470</v>
      </c>
      <c r="D42" s="376" t="s">
        <v>1525</v>
      </c>
      <c r="E42" s="599"/>
      <c r="F42" s="611"/>
      <c r="G42" s="547"/>
      <c r="H42" s="589"/>
      <c r="I42" s="575">
        <f t="shared" si="4"/>
        <v>0</v>
      </c>
      <c r="J42" s="589"/>
      <c r="K42" s="575">
        <f t="shared" si="1"/>
        <v>0</v>
      </c>
      <c r="L42" s="553"/>
      <c r="M42" s="575">
        <f t="shared" si="2"/>
        <v>0</v>
      </c>
      <c r="N42" s="553"/>
      <c r="O42" s="582">
        <f t="shared" si="3"/>
        <v>0</v>
      </c>
    </row>
    <row r="43" spans="2:15" s="8" customFormat="1" x14ac:dyDescent="0.25">
      <c r="B43" s="747"/>
      <c r="C43" s="376" t="s">
        <v>1471</v>
      </c>
      <c r="D43" s="376" t="s">
        <v>1525</v>
      </c>
      <c r="E43" s="599"/>
      <c r="F43" s="611"/>
      <c r="G43" s="547"/>
      <c r="H43" s="589"/>
      <c r="I43" s="575">
        <f t="shared" si="4"/>
        <v>0</v>
      </c>
      <c r="J43" s="589"/>
      <c r="K43" s="575">
        <f t="shared" si="1"/>
        <v>0</v>
      </c>
      <c r="L43" s="553"/>
      <c r="M43" s="575">
        <f t="shared" si="2"/>
        <v>0</v>
      </c>
      <c r="N43" s="553"/>
      <c r="O43" s="582">
        <f t="shared" si="3"/>
        <v>0</v>
      </c>
    </row>
    <row r="44" spans="2:15" s="8" customFormat="1" x14ac:dyDescent="0.25">
      <c r="B44" s="747"/>
      <c r="C44" s="376" t="s">
        <v>1472</v>
      </c>
      <c r="D44" s="376" t="s">
        <v>1525</v>
      </c>
      <c r="E44" s="599"/>
      <c r="F44" s="611"/>
      <c r="G44" s="547"/>
      <c r="H44" s="589"/>
      <c r="I44" s="575">
        <f t="shared" si="4"/>
        <v>0</v>
      </c>
      <c r="J44" s="589"/>
      <c r="K44" s="575">
        <f t="shared" si="1"/>
        <v>0</v>
      </c>
      <c r="L44" s="553"/>
      <c r="M44" s="575">
        <f t="shared" si="2"/>
        <v>0</v>
      </c>
      <c r="N44" s="553"/>
      <c r="O44" s="582">
        <f t="shared" si="3"/>
        <v>0</v>
      </c>
    </row>
    <row r="45" spans="2:15" s="8" customFormat="1" ht="15.75" thickBot="1" x14ac:dyDescent="0.3">
      <c r="B45" s="747"/>
      <c r="C45" s="566" t="s">
        <v>1473</v>
      </c>
      <c r="D45" s="566" t="s">
        <v>1525</v>
      </c>
      <c r="E45" s="602"/>
      <c r="F45" s="614"/>
      <c r="G45" s="567"/>
      <c r="H45" s="591"/>
      <c r="I45" s="577">
        <f t="shared" si="4"/>
        <v>0</v>
      </c>
      <c r="J45" s="591"/>
      <c r="K45" s="577">
        <f t="shared" si="1"/>
        <v>0</v>
      </c>
      <c r="L45" s="596"/>
      <c r="M45" s="577">
        <f t="shared" si="2"/>
        <v>0</v>
      </c>
      <c r="N45" s="596"/>
      <c r="O45" s="584">
        <f t="shared" si="3"/>
        <v>0</v>
      </c>
    </row>
    <row r="46" spans="2:15" s="8" customFormat="1" ht="30" x14ac:dyDescent="0.25">
      <c r="B46" s="749" t="s">
        <v>1536</v>
      </c>
      <c r="C46" s="568" t="s">
        <v>1474</v>
      </c>
      <c r="D46" s="562" t="s">
        <v>1517</v>
      </c>
      <c r="E46" s="603">
        <f ca="1">ROUNDUP('User Dashboard'!F60/40,0)</f>
        <v>6</v>
      </c>
      <c r="F46" s="615"/>
      <c r="G46" s="563"/>
      <c r="H46" s="569">
        <v>1</v>
      </c>
      <c r="I46" s="576">
        <f t="shared" si="4"/>
        <v>0</v>
      </c>
      <c r="J46" s="569">
        <v>3</v>
      </c>
      <c r="K46" s="576">
        <f t="shared" si="1"/>
        <v>0</v>
      </c>
      <c r="L46" s="569">
        <v>18</v>
      </c>
      <c r="M46" s="576">
        <f t="shared" si="2"/>
        <v>0</v>
      </c>
      <c r="N46" s="569">
        <v>201</v>
      </c>
      <c r="O46" s="583">
        <f t="shared" si="3"/>
        <v>0</v>
      </c>
    </row>
    <row r="47" spans="2:15" ht="30" customHeight="1" x14ac:dyDescent="0.25">
      <c r="B47" s="750"/>
      <c r="C47" s="545" t="s">
        <v>1475</v>
      </c>
      <c r="D47" s="546" t="s">
        <v>1526</v>
      </c>
      <c r="E47" s="599"/>
      <c r="F47" s="611"/>
      <c r="G47" s="544">
        <v>75000</v>
      </c>
      <c r="H47" s="587"/>
      <c r="I47" s="573">
        <f t="shared" si="4"/>
        <v>0</v>
      </c>
      <c r="J47" s="587"/>
      <c r="K47" s="573">
        <f t="shared" si="1"/>
        <v>0</v>
      </c>
      <c r="L47" s="594"/>
      <c r="M47" s="573">
        <f t="shared" si="2"/>
        <v>0</v>
      </c>
      <c r="N47" s="594"/>
      <c r="O47" s="579">
        <f t="shared" si="3"/>
        <v>0</v>
      </c>
    </row>
    <row r="48" spans="2:15" x14ac:dyDescent="0.25">
      <c r="B48" s="750"/>
      <c r="C48" s="545" t="s">
        <v>1476</v>
      </c>
      <c r="D48" s="546" t="s">
        <v>1526</v>
      </c>
      <c r="E48" s="599"/>
      <c r="F48" s="611"/>
      <c r="G48" s="544">
        <v>230000</v>
      </c>
      <c r="H48" s="587"/>
      <c r="I48" s="573">
        <f t="shared" si="4"/>
        <v>0</v>
      </c>
      <c r="J48" s="587"/>
      <c r="K48" s="573">
        <f t="shared" si="1"/>
        <v>0</v>
      </c>
      <c r="L48" s="594"/>
      <c r="M48" s="573">
        <f t="shared" si="2"/>
        <v>0</v>
      </c>
      <c r="N48" s="594"/>
      <c r="O48" s="579">
        <f t="shared" si="3"/>
        <v>0</v>
      </c>
    </row>
    <row r="49" spans="2:15" x14ac:dyDescent="0.25">
      <c r="B49" s="750"/>
      <c r="C49" s="545" t="s">
        <v>1477</v>
      </c>
      <c r="D49" s="546" t="s">
        <v>1526</v>
      </c>
      <c r="E49" s="599"/>
      <c r="F49" s="611"/>
      <c r="G49" s="544">
        <v>28000</v>
      </c>
      <c r="H49" s="587"/>
      <c r="I49" s="573">
        <f t="shared" si="4"/>
        <v>0</v>
      </c>
      <c r="J49" s="587"/>
      <c r="K49" s="573">
        <f t="shared" si="1"/>
        <v>0</v>
      </c>
      <c r="L49" s="594"/>
      <c r="M49" s="573">
        <f t="shared" si="2"/>
        <v>0</v>
      </c>
      <c r="N49" s="594"/>
      <c r="O49" s="579">
        <f t="shared" si="3"/>
        <v>0</v>
      </c>
    </row>
    <row r="50" spans="2:15" x14ac:dyDescent="0.25">
      <c r="B50" s="750"/>
      <c r="C50" s="545" t="s">
        <v>1478</v>
      </c>
      <c r="D50" s="546" t="s">
        <v>1526</v>
      </c>
      <c r="E50" s="599"/>
      <c r="F50" s="611"/>
      <c r="G50" s="544">
        <v>6000</v>
      </c>
      <c r="H50" s="587"/>
      <c r="I50" s="573">
        <f t="shared" si="4"/>
        <v>0</v>
      </c>
      <c r="J50" s="587"/>
      <c r="K50" s="573">
        <f t="shared" si="1"/>
        <v>0</v>
      </c>
      <c r="L50" s="594"/>
      <c r="M50" s="573">
        <f t="shared" si="2"/>
        <v>0</v>
      </c>
      <c r="N50" s="594"/>
      <c r="O50" s="579">
        <f t="shared" si="3"/>
        <v>0</v>
      </c>
    </row>
    <row r="51" spans="2:15" s="8" customFormat="1" x14ac:dyDescent="0.25">
      <c r="B51" s="750"/>
      <c r="C51" s="552" t="s">
        <v>1479</v>
      </c>
      <c r="D51" s="554" t="s">
        <v>1526</v>
      </c>
      <c r="E51" s="599"/>
      <c r="F51" s="611"/>
      <c r="G51" s="547">
        <v>62000</v>
      </c>
      <c r="H51" s="589"/>
      <c r="I51" s="575">
        <f t="shared" si="4"/>
        <v>0</v>
      </c>
      <c r="J51" s="589"/>
      <c r="K51" s="575">
        <f t="shared" si="1"/>
        <v>0</v>
      </c>
      <c r="L51" s="553"/>
      <c r="M51" s="575">
        <f t="shared" si="2"/>
        <v>0</v>
      </c>
      <c r="N51" s="553"/>
      <c r="O51" s="582">
        <f t="shared" si="3"/>
        <v>0</v>
      </c>
    </row>
    <row r="52" spans="2:15" s="8" customFormat="1" x14ac:dyDescent="0.25">
      <c r="B52" s="750"/>
      <c r="C52" s="552" t="s">
        <v>1480</v>
      </c>
      <c r="D52" s="554" t="s">
        <v>1526</v>
      </c>
      <c r="E52" s="599"/>
      <c r="F52" s="611"/>
      <c r="G52" s="547">
        <v>8100</v>
      </c>
      <c r="H52" s="589"/>
      <c r="I52" s="575">
        <f t="shared" si="4"/>
        <v>0</v>
      </c>
      <c r="J52" s="589"/>
      <c r="K52" s="575">
        <f t="shared" si="1"/>
        <v>0</v>
      </c>
      <c r="L52" s="553"/>
      <c r="M52" s="575">
        <f t="shared" si="2"/>
        <v>0</v>
      </c>
      <c r="N52" s="553"/>
      <c r="O52" s="582">
        <f t="shared" si="3"/>
        <v>0</v>
      </c>
    </row>
    <row r="53" spans="2:15" s="8" customFormat="1" x14ac:dyDescent="0.25">
      <c r="B53" s="750"/>
      <c r="C53" s="552" t="s">
        <v>1481</v>
      </c>
      <c r="D53" s="554" t="s">
        <v>1526</v>
      </c>
      <c r="E53" s="599"/>
      <c r="F53" s="611"/>
      <c r="G53" s="547">
        <v>1800</v>
      </c>
      <c r="H53" s="589"/>
      <c r="I53" s="575">
        <f t="shared" si="4"/>
        <v>0</v>
      </c>
      <c r="J53" s="589"/>
      <c r="K53" s="575">
        <f t="shared" si="1"/>
        <v>0</v>
      </c>
      <c r="L53" s="553"/>
      <c r="M53" s="575">
        <f t="shared" si="2"/>
        <v>0</v>
      </c>
      <c r="N53" s="553"/>
      <c r="O53" s="582">
        <f t="shared" si="3"/>
        <v>0</v>
      </c>
    </row>
    <row r="54" spans="2:15" s="8" customFormat="1" x14ac:dyDescent="0.25">
      <c r="B54" s="750"/>
      <c r="C54" s="552" t="s">
        <v>1482</v>
      </c>
      <c r="D54" s="554" t="s">
        <v>1526</v>
      </c>
      <c r="E54" s="599"/>
      <c r="F54" s="611"/>
      <c r="G54" s="547"/>
      <c r="H54" s="589"/>
      <c r="I54" s="575">
        <f t="shared" si="4"/>
        <v>0</v>
      </c>
      <c r="J54" s="589"/>
      <c r="K54" s="575">
        <f t="shared" si="1"/>
        <v>0</v>
      </c>
      <c r="L54" s="553"/>
      <c r="M54" s="575">
        <f t="shared" si="2"/>
        <v>0</v>
      </c>
      <c r="N54" s="553"/>
      <c r="O54" s="582">
        <f t="shared" si="3"/>
        <v>0</v>
      </c>
    </row>
    <row r="55" spans="2:15" s="8" customFormat="1" ht="30" x14ac:dyDescent="0.25">
      <c r="B55" s="750"/>
      <c r="C55" s="549" t="s">
        <v>1508</v>
      </c>
      <c r="D55" s="551" t="s">
        <v>1517</v>
      </c>
      <c r="E55" s="601">
        <f ca="1">30%*Max_inpatient_HCWs</f>
        <v>104.95204458361184</v>
      </c>
      <c r="F55" s="613"/>
      <c r="G55" s="547"/>
      <c r="H55" s="589">
        <v>3.3166873686361824</v>
      </c>
      <c r="I55" s="575">
        <f t="shared" si="4"/>
        <v>0</v>
      </c>
      <c r="J55" s="589">
        <v>44.450930566485191</v>
      </c>
      <c r="K55" s="575">
        <f t="shared" si="1"/>
        <v>0</v>
      </c>
      <c r="L55" s="553">
        <v>327.51039192864192</v>
      </c>
      <c r="M55" s="575">
        <f t="shared" si="2"/>
        <v>0</v>
      </c>
      <c r="N55" s="553">
        <v>3854.4806412358475</v>
      </c>
      <c r="O55" s="582">
        <f t="shared" si="3"/>
        <v>0</v>
      </c>
    </row>
    <row r="56" spans="2:15" s="8" customFormat="1" ht="45" x14ac:dyDescent="0.25">
      <c r="B56" s="750"/>
      <c r="C56" s="549" t="s">
        <v>1507</v>
      </c>
      <c r="D56" s="551" t="s">
        <v>1517</v>
      </c>
      <c r="E56" s="601">
        <f ca="1">Max_inpatient_HCWs*70%</f>
        <v>244.88810402842759</v>
      </c>
      <c r="F56" s="613"/>
      <c r="G56" s="547"/>
      <c r="H56" s="589">
        <v>7.7389371934844249</v>
      </c>
      <c r="I56" s="575">
        <f t="shared" si="4"/>
        <v>0</v>
      </c>
      <c r="J56" s="589">
        <v>103.71883798846545</v>
      </c>
      <c r="K56" s="575">
        <f t="shared" si="1"/>
        <v>0</v>
      </c>
      <c r="L56" s="553">
        <v>764.19091450016447</v>
      </c>
      <c r="M56" s="575">
        <f t="shared" si="2"/>
        <v>0</v>
      </c>
      <c r="N56" s="553">
        <v>8993.788162883644</v>
      </c>
      <c r="O56" s="582">
        <f t="shared" si="3"/>
        <v>0</v>
      </c>
    </row>
    <row r="57" spans="2:15" s="8" customFormat="1" x14ac:dyDescent="0.25">
      <c r="B57" s="750"/>
      <c r="C57" s="376" t="s">
        <v>1484</v>
      </c>
      <c r="D57" s="376" t="s">
        <v>1527</v>
      </c>
      <c r="E57" s="599"/>
      <c r="F57" s="611"/>
      <c r="G57" s="547"/>
      <c r="H57" s="589"/>
      <c r="I57" s="575">
        <f t="shared" si="4"/>
        <v>0</v>
      </c>
      <c r="J57" s="589"/>
      <c r="K57" s="575">
        <f t="shared" si="1"/>
        <v>0</v>
      </c>
      <c r="L57" s="553"/>
      <c r="M57" s="575">
        <f t="shared" si="2"/>
        <v>0</v>
      </c>
      <c r="N57" s="553"/>
      <c r="O57" s="582">
        <f t="shared" si="3"/>
        <v>0</v>
      </c>
    </row>
    <row r="58" spans="2:15" s="8" customFormat="1" x14ac:dyDescent="0.25">
      <c r="B58" s="750"/>
      <c r="C58" s="376" t="s">
        <v>1485</v>
      </c>
      <c r="D58" s="376"/>
      <c r="E58" s="601">
        <f ca="1">Max_inpatient_hygienist</f>
        <v>174.92007430601973</v>
      </c>
      <c r="F58" s="613"/>
      <c r="G58" s="547"/>
      <c r="H58" s="589">
        <v>5.5278122810603039</v>
      </c>
      <c r="I58" s="575">
        <f t="shared" si="4"/>
        <v>0</v>
      </c>
      <c r="J58" s="589">
        <v>74.084884277475325</v>
      </c>
      <c r="K58" s="575">
        <f t="shared" si="1"/>
        <v>0</v>
      </c>
      <c r="L58" s="553">
        <v>545.85065321440322</v>
      </c>
      <c r="M58" s="575">
        <f t="shared" si="2"/>
        <v>0</v>
      </c>
      <c r="N58" s="553">
        <v>6424.1344020597462</v>
      </c>
      <c r="O58" s="582">
        <f t="shared" si="3"/>
        <v>0</v>
      </c>
    </row>
    <row r="59" spans="2:15" s="8" customFormat="1" x14ac:dyDescent="0.25">
      <c r="B59" s="750"/>
      <c r="C59" s="376" t="s">
        <v>1486</v>
      </c>
      <c r="D59" s="376" t="s">
        <v>1526</v>
      </c>
      <c r="E59" s="599"/>
      <c r="F59" s="611"/>
      <c r="G59" s="547"/>
      <c r="H59" s="589"/>
      <c r="I59" s="575">
        <f t="shared" si="4"/>
        <v>0</v>
      </c>
      <c r="J59" s="589"/>
      <c r="K59" s="575">
        <f t="shared" si="1"/>
        <v>0</v>
      </c>
      <c r="L59" s="553"/>
      <c r="M59" s="575">
        <f t="shared" si="2"/>
        <v>0</v>
      </c>
      <c r="N59" s="553"/>
      <c r="O59" s="582">
        <f t="shared" si="3"/>
        <v>0</v>
      </c>
    </row>
    <row r="60" spans="2:15" s="8" customFormat="1" ht="15.75" thickBot="1" x14ac:dyDescent="0.3">
      <c r="B60" s="751"/>
      <c r="C60" s="564" t="s">
        <v>1487</v>
      </c>
      <c r="D60" s="564" t="s">
        <v>1526</v>
      </c>
      <c r="E60" s="600"/>
      <c r="F60" s="612"/>
      <c r="G60" s="565"/>
      <c r="H60" s="592"/>
      <c r="I60" s="578">
        <f t="shared" si="4"/>
        <v>0</v>
      </c>
      <c r="J60" s="592"/>
      <c r="K60" s="578">
        <f t="shared" si="1"/>
        <v>0</v>
      </c>
      <c r="L60" s="597"/>
      <c r="M60" s="578">
        <f t="shared" si="2"/>
        <v>0</v>
      </c>
      <c r="N60" s="597"/>
      <c r="O60" s="585">
        <f t="shared" si="3"/>
        <v>0</v>
      </c>
    </row>
    <row r="61" spans="2:15" s="8" customFormat="1" x14ac:dyDescent="0.25">
      <c r="B61" s="746" t="s">
        <v>1488</v>
      </c>
      <c r="C61" s="561" t="s">
        <v>1509</v>
      </c>
      <c r="D61" s="561"/>
      <c r="E61" s="603">
        <f ca="1">'User Dashboard'!F128</f>
        <v>4093.1358132102323</v>
      </c>
      <c r="F61" s="615"/>
      <c r="G61" s="563"/>
      <c r="H61" s="590">
        <v>145.20808307155457</v>
      </c>
      <c r="I61" s="576">
        <f t="shared" si="4"/>
        <v>0</v>
      </c>
      <c r="J61" s="590">
        <v>1890.2322007364248</v>
      </c>
      <c r="K61" s="576">
        <f t="shared" si="1"/>
        <v>0</v>
      </c>
      <c r="L61" s="569">
        <v>14338.751565097646</v>
      </c>
      <c r="M61" s="576">
        <f t="shared" si="2"/>
        <v>0</v>
      </c>
      <c r="N61" s="569">
        <v>166253.3252664551</v>
      </c>
      <c r="O61" s="583">
        <f t="shared" si="3"/>
        <v>0</v>
      </c>
    </row>
    <row r="62" spans="2:15" s="8" customFormat="1" ht="15.75" thickBot="1" x14ac:dyDescent="0.3">
      <c r="B62" s="748"/>
      <c r="C62" s="564" t="s">
        <v>1489</v>
      </c>
      <c r="D62" s="564" t="s">
        <v>1528</v>
      </c>
      <c r="E62" s="600"/>
      <c r="F62" s="612"/>
      <c r="G62" s="565"/>
      <c r="H62" s="592"/>
      <c r="I62" s="578">
        <f t="shared" si="4"/>
        <v>0</v>
      </c>
      <c r="J62" s="592"/>
      <c r="K62" s="578">
        <f t="shared" si="1"/>
        <v>0</v>
      </c>
      <c r="L62" s="597"/>
      <c r="M62" s="578">
        <f t="shared" si="2"/>
        <v>0</v>
      </c>
      <c r="N62" s="597"/>
      <c r="O62" s="585">
        <f t="shared" si="3"/>
        <v>0</v>
      </c>
    </row>
    <row r="63" spans="2:15" s="8" customFormat="1" x14ac:dyDescent="0.25">
      <c r="B63" s="746" t="s">
        <v>1537</v>
      </c>
      <c r="C63" s="561" t="s">
        <v>1490</v>
      </c>
      <c r="D63" s="561"/>
      <c r="E63" s="603">
        <f t="shared" ref="E63:E68" si="5">All_Outpatients_diagnosed/40</f>
        <v>2.5779598322590411</v>
      </c>
      <c r="F63" s="615"/>
      <c r="G63" s="563"/>
      <c r="H63" s="590">
        <v>0.69797313767180469</v>
      </c>
      <c r="I63" s="576">
        <f t="shared" si="4"/>
        <v>0</v>
      </c>
      <c r="J63" s="590">
        <v>9.5862233617514203</v>
      </c>
      <c r="K63" s="576">
        <f t="shared" si="1"/>
        <v>0</v>
      </c>
      <c r="L63" s="569">
        <v>68.92221981372758</v>
      </c>
      <c r="M63" s="576">
        <f t="shared" si="2"/>
        <v>0</v>
      </c>
      <c r="N63" s="569">
        <v>821.5205300655831</v>
      </c>
      <c r="O63" s="583">
        <f t="shared" si="3"/>
        <v>0</v>
      </c>
    </row>
    <row r="64" spans="2:15" s="8" customFormat="1" x14ac:dyDescent="0.25">
      <c r="B64" s="747"/>
      <c r="C64" s="376" t="s">
        <v>1491</v>
      </c>
      <c r="D64" s="376"/>
      <c r="E64" s="601">
        <f t="shared" si="5"/>
        <v>2.5779598322590411</v>
      </c>
      <c r="F64" s="613"/>
      <c r="G64" s="547"/>
      <c r="H64" s="589">
        <v>0.69797313767180469</v>
      </c>
      <c r="I64" s="575">
        <f t="shared" si="4"/>
        <v>0</v>
      </c>
      <c r="J64" s="589">
        <v>9.5862233617514203</v>
      </c>
      <c r="K64" s="575">
        <f t="shared" si="1"/>
        <v>0</v>
      </c>
      <c r="L64" s="553">
        <v>68.92221981372758</v>
      </c>
      <c r="M64" s="575">
        <f t="shared" si="2"/>
        <v>0</v>
      </c>
      <c r="N64" s="553">
        <v>821.5205300655831</v>
      </c>
      <c r="O64" s="582">
        <f t="shared" si="3"/>
        <v>0</v>
      </c>
    </row>
    <row r="65" spans="2:15" s="8" customFormat="1" x14ac:dyDescent="0.25">
      <c r="B65" s="747"/>
      <c r="C65" s="376" t="s">
        <v>1492</v>
      </c>
      <c r="D65" s="376"/>
      <c r="E65" s="601">
        <f t="shared" si="5"/>
        <v>2.5779598322590411</v>
      </c>
      <c r="F65" s="613"/>
      <c r="G65" s="547"/>
      <c r="H65" s="589">
        <v>0.69797313767180469</v>
      </c>
      <c r="I65" s="575">
        <f t="shared" si="4"/>
        <v>0</v>
      </c>
      <c r="J65" s="589">
        <v>9.5862233617514203</v>
      </c>
      <c r="K65" s="575">
        <f t="shared" si="1"/>
        <v>0</v>
      </c>
      <c r="L65" s="553">
        <v>68.92221981372758</v>
      </c>
      <c r="M65" s="575">
        <f t="shared" si="2"/>
        <v>0</v>
      </c>
      <c r="N65" s="553">
        <v>821.5205300655831</v>
      </c>
      <c r="O65" s="582">
        <f t="shared" si="3"/>
        <v>0</v>
      </c>
    </row>
    <row r="66" spans="2:15" s="8" customFormat="1" x14ac:dyDescent="0.25">
      <c r="B66" s="747"/>
      <c r="C66" s="376" t="s">
        <v>1493</v>
      </c>
      <c r="D66" s="376"/>
      <c r="E66" s="601">
        <f t="shared" si="5"/>
        <v>2.5779598322590411</v>
      </c>
      <c r="F66" s="613"/>
      <c r="G66" s="547"/>
      <c r="H66" s="589">
        <v>0.69797313767180469</v>
      </c>
      <c r="I66" s="575">
        <f t="shared" si="4"/>
        <v>0</v>
      </c>
      <c r="J66" s="589">
        <v>9.5862233617514203</v>
      </c>
      <c r="K66" s="575">
        <f t="shared" si="1"/>
        <v>0</v>
      </c>
      <c r="L66" s="553">
        <v>68.92221981372758</v>
      </c>
      <c r="M66" s="575">
        <f t="shared" si="2"/>
        <v>0</v>
      </c>
      <c r="N66" s="553">
        <v>821.5205300655831</v>
      </c>
      <c r="O66" s="582">
        <f t="shared" si="3"/>
        <v>0</v>
      </c>
    </row>
    <row r="67" spans="2:15" s="8" customFormat="1" x14ac:dyDescent="0.25">
      <c r="B67" s="747"/>
      <c r="C67" s="376" t="s">
        <v>1494</v>
      </c>
      <c r="D67" s="376"/>
      <c r="E67" s="601">
        <f t="shared" si="5"/>
        <v>2.5779598322590411</v>
      </c>
      <c r="F67" s="613"/>
      <c r="G67" s="547"/>
      <c r="H67" s="589">
        <v>0.69797313767180469</v>
      </c>
      <c r="I67" s="575">
        <f t="shared" si="4"/>
        <v>0</v>
      </c>
      <c r="J67" s="589">
        <v>9.5862233617514203</v>
      </c>
      <c r="K67" s="575">
        <f t="shared" si="1"/>
        <v>0</v>
      </c>
      <c r="L67" s="553">
        <v>68.92221981372758</v>
      </c>
      <c r="M67" s="575">
        <f t="shared" si="2"/>
        <v>0</v>
      </c>
      <c r="N67" s="553">
        <v>821.5205300655831</v>
      </c>
      <c r="O67" s="582">
        <f t="shared" si="3"/>
        <v>0</v>
      </c>
    </row>
    <row r="68" spans="2:15" s="8" customFormat="1" x14ac:dyDescent="0.25">
      <c r="B68" s="747"/>
      <c r="C68" s="376" t="s">
        <v>1495</v>
      </c>
      <c r="D68" s="376"/>
      <c r="E68" s="601">
        <f t="shared" si="5"/>
        <v>2.5779598322590411</v>
      </c>
      <c r="F68" s="613"/>
      <c r="G68" s="547"/>
      <c r="H68" s="589">
        <v>0.69797313767180469</v>
      </c>
      <c r="I68" s="575">
        <f t="shared" si="4"/>
        <v>0</v>
      </c>
      <c r="J68" s="589">
        <v>9.5862233617514203</v>
      </c>
      <c r="K68" s="575">
        <f t="shared" si="1"/>
        <v>0</v>
      </c>
      <c r="L68" s="553">
        <v>68.92221981372758</v>
      </c>
      <c r="M68" s="575">
        <f t="shared" si="2"/>
        <v>0</v>
      </c>
      <c r="N68" s="553">
        <v>821.5205300655831</v>
      </c>
      <c r="O68" s="582">
        <f t="shared" si="3"/>
        <v>0</v>
      </c>
    </row>
    <row r="69" spans="2:15" s="8" customFormat="1" x14ac:dyDescent="0.25">
      <c r="B69" s="747"/>
      <c r="C69" s="376" t="s">
        <v>1496</v>
      </c>
      <c r="D69" s="376" t="s">
        <v>1529</v>
      </c>
      <c r="E69" s="604"/>
      <c r="F69" s="616"/>
      <c r="G69" s="547"/>
      <c r="H69" s="589"/>
      <c r="I69" s="575">
        <f t="shared" ref="I69" si="6">$G69*H69</f>
        <v>0</v>
      </c>
      <c r="J69" s="589"/>
      <c r="K69" s="575">
        <f t="shared" si="1"/>
        <v>0</v>
      </c>
      <c r="L69" s="553"/>
      <c r="M69" s="575">
        <f t="shared" si="2"/>
        <v>0</v>
      </c>
      <c r="N69" s="553"/>
      <c r="O69" s="582">
        <f t="shared" si="3"/>
        <v>0</v>
      </c>
    </row>
    <row r="70" spans="2:15" s="8" customFormat="1" x14ac:dyDescent="0.25">
      <c r="B70" s="747"/>
      <c r="C70" s="376" t="s">
        <v>1483</v>
      </c>
      <c r="D70" s="376" t="s">
        <v>1530</v>
      </c>
      <c r="E70" s="605"/>
      <c r="F70" s="617"/>
      <c r="G70" s="547"/>
      <c r="H70" s="589"/>
      <c r="I70" s="575">
        <f t="shared" ref="I70:I79" si="7">$G70*H70</f>
        <v>0</v>
      </c>
      <c r="J70" s="589"/>
      <c r="K70" s="575">
        <f t="shared" ref="K70:K79" si="8">$G70*J70</f>
        <v>0</v>
      </c>
      <c r="L70" s="553"/>
      <c r="M70" s="575">
        <f t="shared" ref="M70:M79" si="9">$G70*L70</f>
        <v>0</v>
      </c>
      <c r="N70" s="553"/>
      <c r="O70" s="582">
        <f t="shared" ref="O70:O79" si="10">$G70*N70</f>
        <v>0</v>
      </c>
    </row>
    <row r="71" spans="2:15" s="8" customFormat="1" x14ac:dyDescent="0.25">
      <c r="B71" s="747"/>
      <c r="C71" s="376" t="s">
        <v>1497</v>
      </c>
      <c r="D71" s="376" t="s">
        <v>1531</v>
      </c>
      <c r="E71" s="605"/>
      <c r="F71" s="617"/>
      <c r="G71" s="547"/>
      <c r="H71" s="589"/>
      <c r="I71" s="575">
        <f t="shared" si="7"/>
        <v>0</v>
      </c>
      <c r="J71" s="589"/>
      <c r="K71" s="575">
        <f t="shared" si="8"/>
        <v>0</v>
      </c>
      <c r="L71" s="553"/>
      <c r="M71" s="575">
        <f t="shared" si="9"/>
        <v>0</v>
      </c>
      <c r="N71" s="553"/>
      <c r="O71" s="582">
        <f t="shared" si="10"/>
        <v>0</v>
      </c>
    </row>
    <row r="72" spans="2:15" s="8" customFormat="1" x14ac:dyDescent="0.25">
      <c r="B72" s="747"/>
      <c r="C72" s="376" t="s">
        <v>1498</v>
      </c>
      <c r="D72" s="376" t="s">
        <v>1532</v>
      </c>
      <c r="E72" s="605"/>
      <c r="F72" s="617"/>
      <c r="G72" s="547"/>
      <c r="H72" s="589"/>
      <c r="I72" s="575">
        <f t="shared" si="7"/>
        <v>0</v>
      </c>
      <c r="J72" s="589"/>
      <c r="K72" s="575">
        <f t="shared" si="8"/>
        <v>0</v>
      </c>
      <c r="L72" s="553"/>
      <c r="M72" s="575">
        <f t="shared" si="9"/>
        <v>0</v>
      </c>
      <c r="N72" s="553"/>
      <c r="O72" s="582">
        <f t="shared" si="10"/>
        <v>0</v>
      </c>
    </row>
    <row r="73" spans="2:15" s="8" customFormat="1" ht="15.75" thickBot="1" x14ac:dyDescent="0.3">
      <c r="B73" s="748"/>
      <c r="C73" s="564" t="s">
        <v>1499</v>
      </c>
      <c r="D73" s="564" t="s">
        <v>1533</v>
      </c>
      <c r="E73" s="606"/>
      <c r="F73" s="618"/>
      <c r="G73" s="565"/>
      <c r="H73" s="592"/>
      <c r="I73" s="578">
        <f t="shared" si="7"/>
        <v>0</v>
      </c>
      <c r="J73" s="592"/>
      <c r="K73" s="578">
        <f t="shared" si="8"/>
        <v>0</v>
      </c>
      <c r="L73" s="597"/>
      <c r="M73" s="578">
        <f t="shared" si="9"/>
        <v>0</v>
      </c>
      <c r="N73" s="597"/>
      <c r="O73" s="585">
        <f t="shared" si="10"/>
        <v>0</v>
      </c>
    </row>
    <row r="74" spans="2:15" s="8" customFormat="1" x14ac:dyDescent="0.25">
      <c r="B74" s="739" t="s">
        <v>1538</v>
      </c>
      <c r="C74" s="561" t="s">
        <v>1500</v>
      </c>
      <c r="D74" s="561" t="s">
        <v>1534</v>
      </c>
      <c r="E74" s="607"/>
      <c r="F74" s="619"/>
      <c r="G74" s="563">
        <v>3500</v>
      </c>
      <c r="H74" s="590"/>
      <c r="I74" s="576">
        <f t="shared" si="7"/>
        <v>0</v>
      </c>
      <c r="J74" s="590"/>
      <c r="K74" s="576">
        <f t="shared" si="8"/>
        <v>0</v>
      </c>
      <c r="L74" s="569"/>
      <c r="M74" s="576">
        <f t="shared" si="9"/>
        <v>0</v>
      </c>
      <c r="N74" s="569"/>
      <c r="O74" s="583">
        <f t="shared" si="10"/>
        <v>0</v>
      </c>
    </row>
    <row r="75" spans="2:15" s="8" customFormat="1" x14ac:dyDescent="0.25">
      <c r="B75" s="740"/>
      <c r="C75" s="376" t="s">
        <v>1501</v>
      </c>
      <c r="D75" s="376"/>
      <c r="E75" s="608">
        <f ca="1">Max_inpatient_ambulancier/2</f>
        <v>2.1865009288252462</v>
      </c>
      <c r="F75" s="620"/>
      <c r="G75" s="547"/>
      <c r="H75" s="589">
        <v>6.9097653513253796E-2</v>
      </c>
      <c r="I75" s="575">
        <f t="shared" si="7"/>
        <v>0</v>
      </c>
      <c r="J75" s="589">
        <v>0.92606105346844148</v>
      </c>
      <c r="K75" s="575">
        <f t="shared" si="8"/>
        <v>0</v>
      </c>
      <c r="L75" s="553">
        <v>6.8231331651800398</v>
      </c>
      <c r="M75" s="575">
        <f t="shared" si="9"/>
        <v>0</v>
      </c>
      <c r="N75" s="553">
        <v>80.301680025746833</v>
      </c>
      <c r="O75" s="582">
        <f t="shared" si="10"/>
        <v>0</v>
      </c>
    </row>
    <row r="76" spans="2:15" s="8" customFormat="1" x14ac:dyDescent="0.25">
      <c r="B76" s="740"/>
      <c r="C76" s="376" t="s">
        <v>1502</v>
      </c>
      <c r="D76" s="376"/>
      <c r="E76" s="608">
        <f ca="1">Max_inpatient_ambulancier/2</f>
        <v>2.1865009288252462</v>
      </c>
      <c r="F76" s="620"/>
      <c r="G76" s="547"/>
      <c r="H76" s="589">
        <v>6.9097653513253796E-2</v>
      </c>
      <c r="I76" s="575">
        <f t="shared" si="7"/>
        <v>0</v>
      </c>
      <c r="J76" s="589">
        <v>0.92606105346844148</v>
      </c>
      <c r="K76" s="575">
        <f t="shared" si="8"/>
        <v>0</v>
      </c>
      <c r="L76" s="553">
        <v>6.8231331651800398</v>
      </c>
      <c r="M76" s="575">
        <f t="shared" si="9"/>
        <v>0</v>
      </c>
      <c r="N76" s="553">
        <v>80.301680025746833</v>
      </c>
      <c r="O76" s="582">
        <f t="shared" si="10"/>
        <v>0</v>
      </c>
    </row>
    <row r="77" spans="2:15" x14ac:dyDescent="0.25">
      <c r="B77" s="740"/>
      <c r="C77" s="537" t="s">
        <v>1503</v>
      </c>
      <c r="D77" s="537" t="s">
        <v>1535</v>
      </c>
      <c r="E77" s="599"/>
      <c r="F77" s="611"/>
      <c r="G77" s="544"/>
      <c r="H77" s="587"/>
      <c r="I77" s="573">
        <f t="shared" si="7"/>
        <v>0</v>
      </c>
      <c r="J77" s="587"/>
      <c r="K77" s="573">
        <f t="shared" si="8"/>
        <v>0</v>
      </c>
      <c r="L77" s="594"/>
      <c r="M77" s="573">
        <f t="shared" si="9"/>
        <v>0</v>
      </c>
      <c r="N77" s="594"/>
      <c r="O77" s="579">
        <f t="shared" si="10"/>
        <v>0</v>
      </c>
    </row>
    <row r="78" spans="2:15" ht="30" x14ac:dyDescent="0.25">
      <c r="B78" s="740"/>
      <c r="C78" s="550" t="s">
        <v>1504</v>
      </c>
      <c r="D78" s="537" t="s">
        <v>1535</v>
      </c>
      <c r="E78" s="599"/>
      <c r="F78" s="611"/>
      <c r="G78" s="544"/>
      <c r="H78" s="587"/>
      <c r="I78" s="573">
        <f t="shared" si="7"/>
        <v>0</v>
      </c>
      <c r="J78" s="587"/>
      <c r="K78" s="573">
        <f t="shared" si="8"/>
        <v>0</v>
      </c>
      <c r="L78" s="594"/>
      <c r="M78" s="573">
        <f t="shared" si="9"/>
        <v>0</v>
      </c>
      <c r="N78" s="594"/>
      <c r="O78" s="579">
        <f t="shared" si="10"/>
        <v>0</v>
      </c>
    </row>
    <row r="79" spans="2:15" ht="15.75" thickBot="1" x14ac:dyDescent="0.3">
      <c r="B79" s="741"/>
      <c r="C79" s="559" t="s">
        <v>1505</v>
      </c>
      <c r="D79" s="559" t="s">
        <v>1535</v>
      </c>
      <c r="E79" s="600"/>
      <c r="F79" s="612"/>
      <c r="G79" s="560"/>
      <c r="H79" s="588"/>
      <c r="I79" s="574">
        <f t="shared" si="7"/>
        <v>0</v>
      </c>
      <c r="J79" s="588"/>
      <c r="K79" s="574">
        <f t="shared" si="8"/>
        <v>0</v>
      </c>
      <c r="L79" s="595"/>
      <c r="M79" s="574">
        <f t="shared" si="9"/>
        <v>0</v>
      </c>
      <c r="N79" s="595"/>
      <c r="O79" s="580">
        <f t="shared" si="10"/>
        <v>0</v>
      </c>
    </row>
    <row r="80" spans="2:15" x14ac:dyDescent="0.25">
      <c r="G80" s="548"/>
    </row>
    <row r="81" spans="7:7" x14ac:dyDescent="0.25">
      <c r="G81" s="548"/>
    </row>
    <row r="82" spans="7:7" x14ac:dyDescent="0.25">
      <c r="G82" s="548"/>
    </row>
    <row r="83" spans="7:7" x14ac:dyDescent="0.25">
      <c r="G83" s="548"/>
    </row>
    <row r="84" spans="7:7" x14ac:dyDescent="0.25">
      <c r="G84" s="548"/>
    </row>
    <row r="85" spans="7:7" x14ac:dyDescent="0.25">
      <c r="G85" s="548"/>
    </row>
    <row r="86" spans="7:7" x14ac:dyDescent="0.25">
      <c r="G86" s="548"/>
    </row>
    <row r="87" spans="7:7" x14ac:dyDescent="0.25">
      <c r="G87" s="548"/>
    </row>
    <row r="88" spans="7:7" x14ac:dyDescent="0.25">
      <c r="G88" s="548"/>
    </row>
    <row r="89" spans="7:7" x14ac:dyDescent="0.25">
      <c r="G89" s="548"/>
    </row>
    <row r="90" spans="7:7" x14ac:dyDescent="0.25">
      <c r="G90" s="548"/>
    </row>
    <row r="91" spans="7:7" x14ac:dyDescent="0.25">
      <c r="G91" s="548"/>
    </row>
    <row r="92" spans="7:7" x14ac:dyDescent="0.25">
      <c r="G92" s="548"/>
    </row>
    <row r="93" spans="7:7" x14ac:dyDescent="0.25">
      <c r="G93" s="548"/>
    </row>
    <row r="94" spans="7:7" x14ac:dyDescent="0.25">
      <c r="G94" s="548"/>
    </row>
    <row r="95" spans="7:7" x14ac:dyDescent="0.25">
      <c r="G95" s="548"/>
    </row>
    <row r="96" spans="7:7" x14ac:dyDescent="0.25">
      <c r="G96" s="548"/>
    </row>
    <row r="97" spans="7:7" x14ac:dyDescent="0.25">
      <c r="G97" s="548"/>
    </row>
    <row r="98" spans="7:7" x14ac:dyDescent="0.25">
      <c r="G98" s="548"/>
    </row>
    <row r="99" spans="7:7" x14ac:dyDescent="0.25">
      <c r="G99" s="548"/>
    </row>
    <row r="100" spans="7:7" x14ac:dyDescent="0.25">
      <c r="G100" s="548"/>
    </row>
    <row r="101" spans="7:7" x14ac:dyDescent="0.25">
      <c r="G101" s="548"/>
    </row>
    <row r="102" spans="7:7" x14ac:dyDescent="0.25">
      <c r="G102" s="548"/>
    </row>
    <row r="103" spans="7:7" x14ac:dyDescent="0.25">
      <c r="G103" s="548"/>
    </row>
    <row r="104" spans="7:7" x14ac:dyDescent="0.25">
      <c r="G104" s="548"/>
    </row>
    <row r="105" spans="7:7" x14ac:dyDescent="0.25">
      <c r="G105" s="548"/>
    </row>
    <row r="106" spans="7:7" x14ac:dyDescent="0.25">
      <c r="G106" s="548"/>
    </row>
    <row r="107" spans="7:7" x14ac:dyDescent="0.25">
      <c r="G107" s="548"/>
    </row>
    <row r="108" spans="7:7" x14ac:dyDescent="0.25">
      <c r="G108" s="548"/>
    </row>
    <row r="109" spans="7:7" x14ac:dyDescent="0.25">
      <c r="G109" s="548"/>
    </row>
    <row r="110" spans="7:7" x14ac:dyDescent="0.25">
      <c r="G110" s="548"/>
    </row>
    <row r="111" spans="7:7" x14ac:dyDescent="0.25">
      <c r="G111" s="548"/>
    </row>
    <row r="112" spans="7:7" x14ac:dyDescent="0.25">
      <c r="G112" s="548"/>
    </row>
    <row r="113" spans="7:7" x14ac:dyDescent="0.25">
      <c r="G113" s="548"/>
    </row>
    <row r="114" spans="7:7" x14ac:dyDescent="0.25">
      <c r="G114" s="548"/>
    </row>
    <row r="115" spans="7:7" x14ac:dyDescent="0.25">
      <c r="G115" s="548"/>
    </row>
    <row r="116" spans="7:7" x14ac:dyDescent="0.25">
      <c r="G116" s="548"/>
    </row>
    <row r="117" spans="7:7" x14ac:dyDescent="0.25">
      <c r="G117" s="548"/>
    </row>
    <row r="118" spans="7:7" x14ac:dyDescent="0.25">
      <c r="G118" s="548"/>
    </row>
    <row r="119" spans="7:7" x14ac:dyDescent="0.25">
      <c r="G119" s="548"/>
    </row>
    <row r="120" spans="7:7" x14ac:dyDescent="0.25">
      <c r="G120" s="548"/>
    </row>
    <row r="121" spans="7:7" x14ac:dyDescent="0.25">
      <c r="G121" s="548"/>
    </row>
    <row r="122" spans="7:7" x14ac:dyDescent="0.25">
      <c r="G122" s="548"/>
    </row>
    <row r="123" spans="7:7" x14ac:dyDescent="0.25">
      <c r="G123" s="548"/>
    </row>
    <row r="124" spans="7:7" x14ac:dyDescent="0.25">
      <c r="G124" s="548"/>
    </row>
    <row r="125" spans="7:7" x14ac:dyDescent="0.25">
      <c r="G125" s="548"/>
    </row>
    <row r="126" spans="7:7" x14ac:dyDescent="0.25">
      <c r="G126" s="548"/>
    </row>
    <row r="127" spans="7:7" x14ac:dyDescent="0.25">
      <c r="G127" s="548"/>
    </row>
    <row r="128" spans="7:7" x14ac:dyDescent="0.25">
      <c r="G128" s="548"/>
    </row>
    <row r="129" spans="7:7" x14ac:dyDescent="0.25">
      <c r="G129" s="548"/>
    </row>
    <row r="130" spans="7:7" x14ac:dyDescent="0.25">
      <c r="G130" s="548"/>
    </row>
    <row r="131" spans="7:7" x14ac:dyDescent="0.25">
      <c r="G131" s="548"/>
    </row>
    <row r="132" spans="7:7" x14ac:dyDescent="0.25">
      <c r="G132" s="548"/>
    </row>
    <row r="133" spans="7:7" x14ac:dyDescent="0.25">
      <c r="G133" s="548"/>
    </row>
    <row r="134" spans="7:7" x14ac:dyDescent="0.25">
      <c r="G134" s="548"/>
    </row>
    <row r="135" spans="7:7" x14ac:dyDescent="0.25">
      <c r="G135" s="548"/>
    </row>
    <row r="136" spans="7:7" x14ac:dyDescent="0.25">
      <c r="G136" s="548"/>
    </row>
    <row r="137" spans="7:7" x14ac:dyDescent="0.25">
      <c r="G137" s="548"/>
    </row>
    <row r="138" spans="7:7" x14ac:dyDescent="0.25">
      <c r="G138" s="548"/>
    </row>
    <row r="139" spans="7:7" x14ac:dyDescent="0.25">
      <c r="G139" s="548"/>
    </row>
    <row r="140" spans="7:7" x14ac:dyDescent="0.25">
      <c r="G140" s="548"/>
    </row>
    <row r="141" spans="7:7" x14ac:dyDescent="0.25">
      <c r="G141" s="548"/>
    </row>
    <row r="142" spans="7:7" x14ac:dyDescent="0.25">
      <c r="G142" s="548"/>
    </row>
    <row r="143" spans="7:7" x14ac:dyDescent="0.25">
      <c r="G143" s="548"/>
    </row>
    <row r="144" spans="7:7" x14ac:dyDescent="0.25">
      <c r="G144" s="548"/>
    </row>
    <row r="145" spans="7:7" x14ac:dyDescent="0.25">
      <c r="G145" s="548"/>
    </row>
    <row r="146" spans="7:7" x14ac:dyDescent="0.25">
      <c r="G146" s="548"/>
    </row>
    <row r="147" spans="7:7" x14ac:dyDescent="0.25">
      <c r="G147" s="548"/>
    </row>
    <row r="148" spans="7:7" x14ac:dyDescent="0.25">
      <c r="G148" s="548"/>
    </row>
    <row r="149" spans="7:7" x14ac:dyDescent="0.25">
      <c r="G149" s="548"/>
    </row>
    <row r="150" spans="7:7" x14ac:dyDescent="0.25">
      <c r="G150" s="548"/>
    </row>
    <row r="151" spans="7:7" x14ac:dyDescent="0.25">
      <c r="G151" s="548"/>
    </row>
    <row r="152" spans="7:7" x14ac:dyDescent="0.25">
      <c r="G152" s="548"/>
    </row>
    <row r="153" spans="7:7" x14ac:dyDescent="0.25">
      <c r="G153" s="548"/>
    </row>
    <row r="154" spans="7:7" x14ac:dyDescent="0.25">
      <c r="G154" s="548"/>
    </row>
    <row r="155" spans="7:7" x14ac:dyDescent="0.25">
      <c r="G155" s="548"/>
    </row>
    <row r="156" spans="7:7" x14ac:dyDescent="0.25">
      <c r="G156" s="548"/>
    </row>
    <row r="157" spans="7:7" x14ac:dyDescent="0.25">
      <c r="G157" s="548"/>
    </row>
    <row r="158" spans="7:7" x14ac:dyDescent="0.25">
      <c r="G158" s="548"/>
    </row>
    <row r="159" spans="7:7" x14ac:dyDescent="0.25">
      <c r="G159" s="548"/>
    </row>
    <row r="160" spans="7:7" x14ac:dyDescent="0.25">
      <c r="G160" s="548"/>
    </row>
    <row r="161" spans="7:7" x14ac:dyDescent="0.25">
      <c r="G161" s="548"/>
    </row>
    <row r="162" spans="7:7" x14ac:dyDescent="0.25">
      <c r="G162" s="548"/>
    </row>
    <row r="163" spans="7:7" x14ac:dyDescent="0.25">
      <c r="G163" s="548"/>
    </row>
    <row r="164" spans="7:7" x14ac:dyDescent="0.25">
      <c r="G164" s="548"/>
    </row>
    <row r="165" spans="7:7" x14ac:dyDescent="0.25">
      <c r="G165" s="548"/>
    </row>
    <row r="166" spans="7:7" x14ac:dyDescent="0.25">
      <c r="G166" s="548"/>
    </row>
    <row r="167" spans="7:7" x14ac:dyDescent="0.25">
      <c r="G167" s="548"/>
    </row>
    <row r="168" spans="7:7" x14ac:dyDescent="0.25">
      <c r="G168" s="548"/>
    </row>
    <row r="169" spans="7:7" x14ac:dyDescent="0.25">
      <c r="G169" s="548"/>
    </row>
    <row r="170" spans="7:7" x14ac:dyDescent="0.25">
      <c r="G170" s="548"/>
    </row>
    <row r="171" spans="7:7" x14ac:dyDescent="0.25">
      <c r="G171" s="548"/>
    </row>
    <row r="172" spans="7:7" x14ac:dyDescent="0.25">
      <c r="G172" s="548"/>
    </row>
    <row r="173" spans="7:7" x14ac:dyDescent="0.25">
      <c r="G173" s="548"/>
    </row>
    <row r="174" spans="7:7" x14ac:dyDescent="0.25">
      <c r="G174" s="548"/>
    </row>
    <row r="175" spans="7:7" x14ac:dyDescent="0.25">
      <c r="G175" s="548"/>
    </row>
    <row r="176" spans="7:7" x14ac:dyDescent="0.25">
      <c r="G176" s="548"/>
    </row>
    <row r="177" spans="7:7" x14ac:dyDescent="0.25">
      <c r="G177" s="548"/>
    </row>
    <row r="178" spans="7:7" x14ac:dyDescent="0.25">
      <c r="G178" s="548"/>
    </row>
    <row r="179" spans="7:7" x14ac:dyDescent="0.25">
      <c r="G179" s="548"/>
    </row>
    <row r="180" spans="7:7" x14ac:dyDescent="0.25">
      <c r="G180" s="548"/>
    </row>
    <row r="181" spans="7:7" x14ac:dyDescent="0.25">
      <c r="G181" s="548"/>
    </row>
    <row r="182" spans="7:7" x14ac:dyDescent="0.25">
      <c r="G182" s="548"/>
    </row>
    <row r="183" spans="7:7" x14ac:dyDescent="0.25">
      <c r="G183" s="548"/>
    </row>
    <row r="184" spans="7:7" x14ac:dyDescent="0.25">
      <c r="G184" s="548"/>
    </row>
    <row r="185" spans="7:7" x14ac:dyDescent="0.25">
      <c r="G185" s="548"/>
    </row>
    <row r="186" spans="7:7" x14ac:dyDescent="0.25">
      <c r="G186" s="548"/>
    </row>
    <row r="187" spans="7:7" x14ac:dyDescent="0.25">
      <c r="G187" s="548"/>
    </row>
    <row r="188" spans="7:7" x14ac:dyDescent="0.25">
      <c r="G188" s="548"/>
    </row>
    <row r="189" spans="7:7" x14ac:dyDescent="0.25">
      <c r="G189" s="548"/>
    </row>
    <row r="190" spans="7:7" x14ac:dyDescent="0.25">
      <c r="G190" s="548"/>
    </row>
    <row r="191" spans="7:7" x14ac:dyDescent="0.25">
      <c r="G191" s="548"/>
    </row>
    <row r="192" spans="7:7" x14ac:dyDescent="0.25">
      <c r="G192" s="548"/>
    </row>
    <row r="193" spans="7:7" x14ac:dyDescent="0.25">
      <c r="G193" s="548"/>
    </row>
    <row r="194" spans="7:7" x14ac:dyDescent="0.25">
      <c r="G194" s="548"/>
    </row>
    <row r="195" spans="7:7" x14ac:dyDescent="0.25">
      <c r="G195" s="548"/>
    </row>
    <row r="196" spans="7:7" x14ac:dyDescent="0.25">
      <c r="G196" s="548"/>
    </row>
    <row r="197" spans="7:7" x14ac:dyDescent="0.25">
      <c r="G197" s="548"/>
    </row>
    <row r="198" spans="7:7" x14ac:dyDescent="0.25">
      <c r="G198" s="548"/>
    </row>
    <row r="199" spans="7:7" x14ac:dyDescent="0.25">
      <c r="G199" s="548"/>
    </row>
    <row r="200" spans="7:7" x14ac:dyDescent="0.25">
      <c r="G200" s="548"/>
    </row>
    <row r="201" spans="7:7" x14ac:dyDescent="0.25">
      <c r="G201" s="548"/>
    </row>
    <row r="202" spans="7:7" x14ac:dyDescent="0.25">
      <c r="G202" s="548"/>
    </row>
    <row r="203" spans="7:7" x14ac:dyDescent="0.25">
      <c r="G203" s="548"/>
    </row>
    <row r="204" spans="7:7" x14ac:dyDescent="0.25">
      <c r="G204" s="548"/>
    </row>
    <row r="205" spans="7:7" x14ac:dyDescent="0.25">
      <c r="G205" s="548"/>
    </row>
    <row r="206" spans="7:7" x14ac:dyDescent="0.25">
      <c r="G206" s="548"/>
    </row>
    <row r="207" spans="7:7" x14ac:dyDescent="0.25">
      <c r="G207" s="548"/>
    </row>
    <row r="208" spans="7:7" x14ac:dyDescent="0.25">
      <c r="G208" s="548"/>
    </row>
    <row r="209" spans="7:7" x14ac:dyDescent="0.25">
      <c r="G209" s="548"/>
    </row>
    <row r="210" spans="7:7" x14ac:dyDescent="0.25">
      <c r="G210" s="548"/>
    </row>
    <row r="211" spans="7:7" x14ac:dyDescent="0.25">
      <c r="G211" s="548"/>
    </row>
    <row r="212" spans="7:7" x14ac:dyDescent="0.25">
      <c r="G212" s="548"/>
    </row>
    <row r="213" spans="7:7" x14ac:dyDescent="0.25">
      <c r="G213" s="548"/>
    </row>
    <row r="214" spans="7:7" x14ac:dyDescent="0.25">
      <c r="G214" s="548"/>
    </row>
    <row r="215" spans="7:7" x14ac:dyDescent="0.25">
      <c r="G215" s="548"/>
    </row>
    <row r="216" spans="7:7" x14ac:dyDescent="0.25">
      <c r="G216" s="548"/>
    </row>
    <row r="217" spans="7:7" x14ac:dyDescent="0.25">
      <c r="G217" s="548"/>
    </row>
    <row r="218" spans="7:7" x14ac:dyDescent="0.25">
      <c r="G218" s="548"/>
    </row>
    <row r="219" spans="7:7" x14ac:dyDescent="0.25">
      <c r="G219" s="548"/>
    </row>
    <row r="220" spans="7:7" x14ac:dyDescent="0.25">
      <c r="G220" s="548"/>
    </row>
    <row r="221" spans="7:7" x14ac:dyDescent="0.25">
      <c r="G221" s="548"/>
    </row>
    <row r="222" spans="7:7" x14ac:dyDescent="0.25">
      <c r="G222" s="548"/>
    </row>
    <row r="223" spans="7:7" x14ac:dyDescent="0.25">
      <c r="G223" s="548"/>
    </row>
    <row r="224" spans="7:7" x14ac:dyDescent="0.25">
      <c r="G224" s="548"/>
    </row>
    <row r="225" spans="7:7" x14ac:dyDescent="0.25">
      <c r="G225" s="548"/>
    </row>
    <row r="226" spans="7:7" x14ac:dyDescent="0.25">
      <c r="G226" s="548"/>
    </row>
    <row r="227" spans="7:7" x14ac:dyDescent="0.25">
      <c r="G227" s="548"/>
    </row>
    <row r="228" spans="7:7" x14ac:dyDescent="0.25">
      <c r="G228" s="548"/>
    </row>
    <row r="229" spans="7:7" x14ac:dyDescent="0.25">
      <c r="G229" s="548"/>
    </row>
    <row r="230" spans="7:7" x14ac:dyDescent="0.25">
      <c r="G230" s="548"/>
    </row>
    <row r="231" spans="7:7" x14ac:dyDescent="0.25">
      <c r="G231" s="548"/>
    </row>
    <row r="232" spans="7:7" x14ac:dyDescent="0.25">
      <c r="G232" s="548"/>
    </row>
    <row r="233" spans="7:7" x14ac:dyDescent="0.25">
      <c r="G233" s="548"/>
    </row>
    <row r="234" spans="7:7" x14ac:dyDescent="0.25">
      <c r="G234" s="548"/>
    </row>
    <row r="235" spans="7:7" x14ac:dyDescent="0.25">
      <c r="G235" s="548"/>
    </row>
    <row r="236" spans="7:7" x14ac:dyDescent="0.25">
      <c r="G236" s="548"/>
    </row>
    <row r="237" spans="7:7" x14ac:dyDescent="0.25">
      <c r="G237" s="548"/>
    </row>
    <row r="238" spans="7:7" x14ac:dyDescent="0.25">
      <c r="G238" s="548"/>
    </row>
    <row r="239" spans="7:7" x14ac:dyDescent="0.25">
      <c r="G239" s="548"/>
    </row>
    <row r="240" spans="7:7" x14ac:dyDescent="0.25">
      <c r="G240" s="548"/>
    </row>
    <row r="241" spans="7:7" x14ac:dyDescent="0.25">
      <c r="G241" s="548"/>
    </row>
    <row r="242" spans="7:7" x14ac:dyDescent="0.25">
      <c r="G242" s="548"/>
    </row>
    <row r="243" spans="7:7" x14ac:dyDescent="0.25">
      <c r="G243" s="548"/>
    </row>
    <row r="244" spans="7:7" x14ac:dyDescent="0.25">
      <c r="G244" s="548"/>
    </row>
    <row r="245" spans="7:7" x14ac:dyDescent="0.25">
      <c r="G245" s="548"/>
    </row>
    <row r="246" spans="7:7" x14ac:dyDescent="0.25">
      <c r="G246" s="548"/>
    </row>
    <row r="247" spans="7:7" x14ac:dyDescent="0.25">
      <c r="G247" s="548"/>
    </row>
    <row r="248" spans="7:7" x14ac:dyDescent="0.25">
      <c r="G248" s="548"/>
    </row>
    <row r="249" spans="7:7" x14ac:dyDescent="0.25">
      <c r="G249" s="548"/>
    </row>
    <row r="250" spans="7:7" x14ac:dyDescent="0.25">
      <c r="G250" s="548"/>
    </row>
    <row r="251" spans="7:7" x14ac:dyDescent="0.25">
      <c r="G251" s="548"/>
    </row>
    <row r="252" spans="7:7" x14ac:dyDescent="0.25">
      <c r="G252" s="548"/>
    </row>
  </sheetData>
  <mergeCells count="11">
    <mergeCell ref="B39:B45"/>
    <mergeCell ref="B61:B62"/>
    <mergeCell ref="B63:B73"/>
    <mergeCell ref="B74:B79"/>
    <mergeCell ref="B46:B60"/>
    <mergeCell ref="B15:B38"/>
    <mergeCell ref="H3:I3"/>
    <mergeCell ref="J3:K3"/>
    <mergeCell ref="L3:M3"/>
    <mergeCell ref="N3:O3"/>
    <mergeCell ref="B5:B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1E7FB8"/>
  </sheetPr>
  <dimension ref="A2:AH111"/>
  <sheetViews>
    <sheetView showGridLines="0" zoomScale="80" zoomScaleNormal="80" workbookViewId="0">
      <pane ySplit="15" topLeftCell="A59" activePane="bottomLeft" state="frozen"/>
      <selection activeCell="I23" sqref="I23"/>
      <selection pane="bottomLeft" activeCell="J60" sqref="J60"/>
    </sheetView>
  </sheetViews>
  <sheetFormatPr defaultColWidth="8.5703125" defaultRowHeight="15" outlineLevelCol="1" x14ac:dyDescent="0.25"/>
  <cols>
    <col min="1" max="1" width="4.42578125" customWidth="1"/>
    <col min="2" max="2" width="51.42578125" bestFit="1" customWidth="1"/>
    <col min="3" max="3" width="7.42578125" hidden="1" customWidth="1" outlineLevel="1"/>
    <col min="4" max="4" width="42.5703125" hidden="1" customWidth="1" outlineLevel="1"/>
    <col min="5" max="5" width="17.42578125" customWidth="1" collapsed="1"/>
    <col min="6" max="8" width="15.42578125" bestFit="1" customWidth="1"/>
    <col min="9" max="11" width="15.42578125" customWidth="1"/>
    <col min="13" max="13" width="12.28515625" bestFit="1" customWidth="1"/>
    <col min="15" max="20" width="14.42578125" customWidth="1"/>
  </cols>
  <sheetData>
    <row r="2" spans="1:34" s="147" customFormat="1" ht="39" customHeight="1" x14ac:dyDescent="0.3">
      <c r="B2" s="400" t="s">
        <v>1581</v>
      </c>
      <c r="C2" s="148"/>
      <c r="D2" s="148"/>
      <c r="E2" s="148"/>
    </row>
    <row r="3" spans="1:34" s="138" customFormat="1" x14ac:dyDescent="0.25">
      <c r="G3" s="8"/>
    </row>
    <row r="4" spans="1:34" s="138" customFormat="1" ht="19.5" customHeight="1" x14ac:dyDescent="0.25">
      <c r="A4" s="752" t="s">
        <v>1018</v>
      </c>
      <c r="B4" s="752"/>
      <c r="C4" s="752"/>
      <c r="D4" s="752"/>
      <c r="E4" s="752"/>
      <c r="F4" s="752"/>
      <c r="G4" s="752"/>
      <c r="H4" s="752"/>
      <c r="I4" s="752"/>
    </row>
    <row r="5" spans="1:34" s="138" customFormat="1" ht="11.1" customHeight="1" x14ac:dyDescent="0.25">
      <c r="G5" s="8"/>
    </row>
    <row r="6" spans="1:34" s="29" customFormat="1" ht="18.75" x14ac:dyDescent="0.3">
      <c r="B6" s="29" t="s">
        <v>822</v>
      </c>
    </row>
    <row r="8" spans="1:34" x14ac:dyDescent="0.25">
      <c r="A8" s="16"/>
      <c r="B8" s="15" t="s">
        <v>286</v>
      </c>
      <c r="C8" s="15"/>
      <c r="D8" s="15"/>
      <c r="E8" s="15"/>
      <c r="F8" s="15"/>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row>
    <row r="9" spans="1:34" x14ac:dyDescent="0.25">
      <c r="B9" t="s">
        <v>287</v>
      </c>
      <c r="G9" s="12"/>
      <c r="H9" s="89"/>
    </row>
    <row r="10" spans="1:34" x14ac:dyDescent="0.25">
      <c r="B10" t="s">
        <v>288</v>
      </c>
      <c r="G10" s="13"/>
      <c r="H10" s="89"/>
    </row>
    <row r="11" spans="1:34" x14ac:dyDescent="0.25">
      <c r="B11" s="6" t="s">
        <v>289</v>
      </c>
      <c r="C11" s="6"/>
      <c r="D11" s="6"/>
      <c r="E11" s="6"/>
      <c r="F11" s="6"/>
      <c r="G11" s="14"/>
      <c r="H11" s="89"/>
      <c r="M11" s="78"/>
      <c r="Q11" s="89"/>
      <c r="R11" s="89"/>
      <c r="S11" s="89"/>
      <c r="T11" s="89"/>
      <c r="U11" s="89"/>
      <c r="V11" s="89"/>
      <c r="W11" s="89"/>
      <c r="X11" s="89"/>
      <c r="Y11" s="89"/>
      <c r="Z11" s="89"/>
      <c r="AA11" s="89"/>
      <c r="AB11" s="89"/>
      <c r="AC11" s="89"/>
      <c r="AD11" s="89"/>
      <c r="AE11" s="89"/>
      <c r="AF11" s="89"/>
      <c r="AG11" s="89"/>
      <c r="AH11" s="89"/>
    </row>
    <row r="12" spans="1:34" x14ac:dyDescent="0.25">
      <c r="M12" s="78"/>
      <c r="Q12" s="89"/>
      <c r="R12" s="89"/>
      <c r="S12" s="89"/>
      <c r="T12" s="89"/>
      <c r="U12" s="89"/>
      <c r="V12" s="89"/>
      <c r="W12" s="89"/>
      <c r="X12" s="89"/>
      <c r="Y12" s="89"/>
      <c r="Z12" s="89"/>
      <c r="AA12" s="89"/>
      <c r="AB12" s="89"/>
      <c r="AC12" s="89"/>
      <c r="AD12" s="89"/>
      <c r="AE12" s="89"/>
      <c r="AF12" s="89"/>
      <c r="AG12" s="89"/>
      <c r="AH12" s="89"/>
    </row>
    <row r="13" spans="1:34" s="33" customFormat="1" x14ac:dyDescent="0.25">
      <c r="B13" s="35"/>
      <c r="C13" s="35"/>
      <c r="D13" s="35"/>
      <c r="T13" s="36"/>
      <c r="U13" s="37"/>
      <c r="V13" s="37"/>
      <c r="W13" s="37"/>
      <c r="X13" s="37"/>
      <c r="Y13" s="37"/>
    </row>
    <row r="14" spans="1:34" x14ac:dyDescent="0.25">
      <c r="B14" s="61" t="s">
        <v>315</v>
      </c>
      <c r="C14" s="105" t="s">
        <v>773</v>
      </c>
      <c r="D14" s="105" t="s">
        <v>682</v>
      </c>
      <c r="E14" s="58" t="s">
        <v>832</v>
      </c>
      <c r="F14" s="58" t="s">
        <v>833</v>
      </c>
      <c r="G14" s="58" t="s">
        <v>834</v>
      </c>
      <c r="H14" s="58" t="s">
        <v>835</v>
      </c>
      <c r="I14" s="58" t="s">
        <v>836</v>
      </c>
      <c r="J14" s="58" t="s">
        <v>837</v>
      </c>
      <c r="K14" s="58" t="s">
        <v>838</v>
      </c>
      <c r="O14" s="4" t="s">
        <v>736</v>
      </c>
    </row>
    <row r="15" spans="1:34" ht="15.75" thickBot="1" x14ac:dyDescent="0.3">
      <c r="B15" s="60"/>
      <c r="C15" s="60" t="str">
        <f>IF($B15='Equipment Assumptions'!$B11,"OK","ERROR")</f>
        <v>OK</v>
      </c>
      <c r="D15" s="60"/>
      <c r="E15" s="42" t="s">
        <v>271</v>
      </c>
      <c r="F15" s="42" t="s">
        <v>272</v>
      </c>
      <c r="G15" s="42" t="s">
        <v>313</v>
      </c>
      <c r="H15" s="42" t="s">
        <v>314</v>
      </c>
      <c r="I15" s="56" t="s">
        <v>311</v>
      </c>
      <c r="J15" s="56" t="s">
        <v>353</v>
      </c>
      <c r="K15" s="56" t="s">
        <v>259</v>
      </c>
      <c r="L15" s="40" t="s">
        <v>319</v>
      </c>
      <c r="M15" s="126" t="s">
        <v>807</v>
      </c>
      <c r="N15" s="40"/>
      <c r="O15" s="310" t="s">
        <v>271</v>
      </c>
      <c r="P15" s="310" t="s">
        <v>272</v>
      </c>
      <c r="Q15" s="310" t="s">
        <v>313</v>
      </c>
      <c r="R15" s="310" t="s">
        <v>314</v>
      </c>
      <c r="S15" s="310" t="s">
        <v>311</v>
      </c>
      <c r="T15" s="310" t="s">
        <v>353</v>
      </c>
    </row>
    <row r="16" spans="1:34" x14ac:dyDescent="0.25">
      <c r="B16" s="49" t="s">
        <v>281</v>
      </c>
      <c r="C16" s="106" t="str">
        <f>IF($B16='Equipment Assumptions'!$B12,"OK","ERROR")</f>
        <v>OK</v>
      </c>
      <c r="D16" s="106"/>
      <c r="E16" s="43"/>
      <c r="F16" s="44"/>
      <c r="G16" s="44"/>
      <c r="H16" s="44"/>
      <c r="I16" s="44"/>
      <c r="J16" s="44"/>
      <c r="K16" s="44"/>
      <c r="L16" s="40"/>
      <c r="M16" s="40"/>
      <c r="N16" s="40"/>
      <c r="O16" s="274"/>
      <c r="P16" s="274"/>
      <c r="Q16" s="274"/>
      <c r="R16" s="274"/>
      <c r="S16" s="274"/>
      <c r="T16" s="274"/>
    </row>
    <row r="17" spans="2:20" x14ac:dyDescent="0.25">
      <c r="B17" s="50" t="s">
        <v>264</v>
      </c>
      <c r="C17" s="107" t="str">
        <f>IF($B17='Equipment Assumptions'!$B13,"OK","ERROR")</f>
        <v>OK</v>
      </c>
      <c r="D17" s="107"/>
      <c r="E17" s="47"/>
      <c r="F17" s="48"/>
      <c r="G17" s="48"/>
      <c r="H17" s="48"/>
      <c r="I17" s="48"/>
      <c r="J17" s="48"/>
      <c r="K17" s="48"/>
      <c r="L17" s="40"/>
      <c r="M17" s="40"/>
      <c r="N17" s="40"/>
      <c r="O17" s="276"/>
      <c r="P17" s="276"/>
      <c r="Q17" s="276"/>
      <c r="R17" s="276"/>
      <c r="S17" s="276"/>
      <c r="T17" s="276"/>
    </row>
    <row r="18" spans="2:20" x14ac:dyDescent="0.25">
      <c r="B18" s="51" t="str">
        <f>'Patient Care Equip'!D34</f>
        <v>Gloves, heavy duty</v>
      </c>
      <c r="C18" s="51" t="str">
        <f>IF($B18='Equipment Assumptions'!$B14,"OK","ERROR")</f>
        <v>OK</v>
      </c>
      <c r="D18" s="51" t="str">
        <f t="shared" ref="D18:D46" si="0">CONCATENATE($B$16,$B18)</f>
        <v>In-patient careGloves, heavy duty</v>
      </c>
      <c r="E18" s="110">
        <f t="shared" ref="E18:E31" si="1">IF($M18="Yes",IF(INDEX(Equipment_usage_table,MATCH($D18,SearchItem_EUT,0),MATCH(E$15,SearchUser_EUT,0))&gt;0,Max_inpatient_HCWs*Multiplier_reuseable,0),INDEX(Equipment_usage_table,MATCH($D18,SearchItem_EUT,0),MATCH(E$15,SearchUser_EUT,0))*Total_inpatient_HCW*Multiplier_non_reusable)</f>
        <v>0</v>
      </c>
      <c r="F18" s="110">
        <f ca="1">IF($M18="Yes",
IF(INDEX(Equipment_usage_table,MATCH($D18,SearchItem_EUT,0),MATCH(F$15,SearchUser_EUT,0))&gt;0,Max_inpatient_hygienist*Multiplier_reuseable,0),
INDEX(Equipment_usage_table,MATCH($D18,SearchItem_EUT,0),MATCH(F$15,SearchUser_EUT,0))*Total_inpatient_Hygienist*Multiplier_non_reusable)</f>
        <v>87.460037153009864</v>
      </c>
      <c r="G18" s="110">
        <f t="shared" ref="G18:G31" si="2">IF($M18="Yes",IF(INDEX(Equipment_usage_table,MATCH($D18,SearchItem_EUT,0),MATCH(G$15,SearchUser_EUT,0))&gt;0,Max_inpatient_caretaker*Multiplier_reuseable,0),INDEX(Equipment_usage_table,MATCH($D18,SearchItem_EUT,0),MATCH(G$15,SearchUser_EUT,0))*Total_Inpatient_caretaker*Multiplier_non_reusable)</f>
        <v>0</v>
      </c>
      <c r="H18" s="110">
        <f t="shared" ref="H18:H31" si="3">IF($M18="Yes",IF(INDEX(Equipment_usage_table,MATCH($D18,SearchItem_EUT,0),MATCH(H$15,SearchUser_EUT,0))&gt;0,Max_inpatient_ambulancier*Multiplier_reuseable,0),INDEX(Equipment_usage_table,MATCH($D18,SearchItem_EUT,0),MATCH(H$15,SearchUser_EUT,0))*Total_inpatient_ambulancier*Multiplier_non_reusable)</f>
        <v>0</v>
      </c>
      <c r="I18" s="110">
        <f t="shared" ref="I18:I31" ca="1" si="4">INDEX(Equipment_usage_table,MATCH($D18,SearchItem_EUT,0),MATCH(I$15,SearchUser_EUT,0))*Total_Inpatient_days*IF(M18="reusable",Multiplier_reuseable,Multiplier_non_reusable)</f>
        <v>0</v>
      </c>
      <c r="J18" s="110">
        <f ca="1">INDEX(Equipment_usage_table,MATCH($D18,SearchItem_EUT,0),MATCH(J$15,SearchUser_EUT,0))*Max_inpatient_beds</f>
        <v>0</v>
      </c>
      <c r="K18" s="110">
        <f ca="1">SUM($E18:$J18)</f>
        <v>87.460037153009864</v>
      </c>
      <c r="L18" s="7" t="s">
        <v>320</v>
      </c>
      <c r="M18" s="123" t="str">
        <f>INDEX('Patient Care Equip'!$E$17:$E$41,MATCH($B18,'Patient Care Equip'!$D$17:$D$41,0))</f>
        <v>Yes</v>
      </c>
      <c r="O18" s="384"/>
      <c r="P18" s="384"/>
      <c r="Q18" s="384"/>
      <c r="R18" s="384"/>
      <c r="S18" s="384"/>
      <c r="T18" s="384"/>
    </row>
    <row r="19" spans="2:20" x14ac:dyDescent="0.25">
      <c r="B19" s="52" t="str">
        <f>'Patient Care Equip'!D35</f>
        <v>Gloves, examination</v>
      </c>
      <c r="C19" s="51" t="str">
        <f>IF($B19='Equipment Assumptions'!$B15,"OK","ERROR")</f>
        <v>OK</v>
      </c>
      <c r="D19" s="51" t="str">
        <f t="shared" si="0"/>
        <v>In-patient careGloves, examination</v>
      </c>
      <c r="E19" s="110">
        <f t="shared" ca="1" si="1"/>
        <v>14935.578518616239</v>
      </c>
      <c r="F19" s="110">
        <f t="shared" ref="F19:F31" ca="1" si="5">IF($M19="Yes",IF(INDEX(Equipment_usage_table,MATCH($D19,SearchItem_EUT,0),MATCH(F$15,SearchUser_EUT,0))&gt;0,Max_inpatient_hygienist*Multiplier_reuseable,0),INDEX(Equipment_usage_table,MATCH($D19,SearchItem_EUT,0),MATCH(F$15,SearchUser_EUT,0))*Total_inpatient_Hygienist*Multiplier_non_reusable)</f>
        <v>0</v>
      </c>
      <c r="G19" s="110">
        <f t="shared" ca="1" si="2"/>
        <v>6223.1577160900988</v>
      </c>
      <c r="H19" s="110">
        <f t="shared" ca="1" si="3"/>
        <v>124.46315432180198</v>
      </c>
      <c r="I19" s="110">
        <f t="shared" ca="1" si="4"/>
        <v>0</v>
      </c>
      <c r="J19" s="110">
        <f t="shared" ref="J19:J38" ca="1" si="6">INDEX(Equipment_usage_table,MATCH($D19,SearchItem_EUT,0),MATCH(J$15,SearchUser_EUT,0))*Max_inpatient_beds</f>
        <v>0</v>
      </c>
      <c r="K19" s="110">
        <f t="shared" ref="K19:K70" ca="1" si="7">SUM($E19:$J19)</f>
        <v>21283.199389028141</v>
      </c>
      <c r="L19" s="34" t="s">
        <v>320</v>
      </c>
      <c r="M19" s="123" t="str">
        <f>INDEX('Patient Care Equip'!$E$17:$E$41,MATCH($B19,'Patient Care Equip'!$D$17:$D$41,0))</f>
        <v>No</v>
      </c>
      <c r="O19" s="385"/>
      <c r="P19" s="385"/>
      <c r="Q19" s="385"/>
      <c r="R19" s="385"/>
      <c r="S19" s="385"/>
      <c r="T19" s="385"/>
    </row>
    <row r="20" spans="2:20" x14ac:dyDescent="0.25">
      <c r="B20" s="52" t="str">
        <f>'Patient Care Equip'!D36</f>
        <v>Gloves, surgical</v>
      </c>
      <c r="C20" s="51" t="str">
        <f>IF($B20='Equipment Assumptions'!$B16,"OK","ERROR")</f>
        <v>OK</v>
      </c>
      <c r="D20" s="51" t="str">
        <f t="shared" si="0"/>
        <v>In-patient careGloves, surgical</v>
      </c>
      <c r="E20" s="110">
        <f t="shared" ca="1" si="1"/>
        <v>2489.2630864360399</v>
      </c>
      <c r="F20" s="110">
        <f t="shared" ca="1" si="5"/>
        <v>0</v>
      </c>
      <c r="G20" s="110">
        <f t="shared" ca="1" si="2"/>
        <v>0</v>
      </c>
      <c r="H20" s="110">
        <f t="shared" ca="1" si="3"/>
        <v>0</v>
      </c>
      <c r="I20" s="110">
        <f t="shared" ca="1" si="4"/>
        <v>0</v>
      </c>
      <c r="J20" s="110">
        <f t="shared" ca="1" si="6"/>
        <v>0</v>
      </c>
      <c r="K20" s="110">
        <f t="shared" ca="1" si="7"/>
        <v>2489.2630864360399</v>
      </c>
      <c r="L20" s="34" t="s">
        <v>320</v>
      </c>
      <c r="M20" s="123" t="str">
        <f>INDEX('Patient Care Equip'!$E$17:$E$41,MATCH($B20,'Patient Care Equip'!$D$17:$D$41,0))</f>
        <v>No</v>
      </c>
      <c r="N20" s="34"/>
      <c r="O20" s="385" t="s">
        <v>742</v>
      </c>
      <c r="P20" s="385"/>
      <c r="Q20" s="385"/>
      <c r="R20" s="385"/>
      <c r="S20" s="385"/>
      <c r="T20" s="385"/>
    </row>
    <row r="21" spans="2:20" x14ac:dyDescent="0.25">
      <c r="B21" s="52" t="str">
        <f>'Patient Care Equip'!D38</f>
        <v>Face shield</v>
      </c>
      <c r="C21" s="51" t="str">
        <f>IF($B21='Equipment Assumptions'!$B17,"OK","ERROR")</f>
        <v>OK</v>
      </c>
      <c r="D21" s="51" t="str">
        <f t="shared" si="0"/>
        <v>In-patient careFace shield</v>
      </c>
      <c r="E21" s="110">
        <f t="shared" ca="1" si="1"/>
        <v>2489.2630864360399</v>
      </c>
      <c r="F21" s="110">
        <f t="shared" ca="1" si="5"/>
        <v>0</v>
      </c>
      <c r="G21" s="110">
        <f t="shared" ca="1" si="2"/>
        <v>0</v>
      </c>
      <c r="H21" s="110">
        <f t="shared" ca="1" si="3"/>
        <v>0</v>
      </c>
      <c r="I21" s="110">
        <f t="shared" ca="1" si="4"/>
        <v>0</v>
      </c>
      <c r="J21" s="110">
        <f t="shared" ca="1" si="6"/>
        <v>0</v>
      </c>
      <c r="K21" s="110">
        <f t="shared" ca="1" si="7"/>
        <v>2489.2630864360399</v>
      </c>
      <c r="L21" s="34" t="s">
        <v>321</v>
      </c>
      <c r="M21" s="123" t="str">
        <f>INDEX('Patient Care Equip'!$E$17:$E$41,MATCH($B21,'Patient Care Equip'!$D$17:$D$41,0))</f>
        <v>No</v>
      </c>
      <c r="O21" s="385" t="s">
        <v>742</v>
      </c>
      <c r="P21" s="385"/>
      <c r="Q21" s="385"/>
      <c r="R21" s="385"/>
      <c r="S21" s="385"/>
      <c r="T21" s="385"/>
    </row>
    <row r="22" spans="2:20" x14ac:dyDescent="0.25">
      <c r="B22" s="52" t="str">
        <f>'Patient Care Equip'!D39</f>
        <v>Mask, particulate respirator</v>
      </c>
      <c r="C22" s="51" t="str">
        <f>IF($B22='Equipment Assumptions'!$B18,"OK","ERROR")</f>
        <v>OK</v>
      </c>
      <c r="D22" s="51" t="str">
        <f t="shared" si="0"/>
        <v>In-patient careMask, particulate respirator</v>
      </c>
      <c r="E22" s="110">
        <f t="shared" ca="1" si="1"/>
        <v>2489.2630864360399</v>
      </c>
      <c r="F22" s="110">
        <f t="shared" ca="1" si="5"/>
        <v>2489.2630864360399</v>
      </c>
      <c r="G22" s="110">
        <f t="shared" ca="1" si="2"/>
        <v>0</v>
      </c>
      <c r="H22" s="110">
        <f t="shared" ca="1" si="3"/>
        <v>0</v>
      </c>
      <c r="I22" s="110">
        <f t="shared" ca="1" si="4"/>
        <v>0</v>
      </c>
      <c r="J22" s="110">
        <f t="shared" ca="1" si="6"/>
        <v>0</v>
      </c>
      <c r="K22" s="110">
        <f t="shared" ca="1" si="7"/>
        <v>4978.5261728720798</v>
      </c>
      <c r="L22" s="34" t="s">
        <v>321</v>
      </c>
      <c r="M22" s="123" t="str">
        <f>INDEX('Patient Care Equip'!$E$17:$E$41,MATCH($B22,'Patient Care Equip'!$D$17:$D$41,0))</f>
        <v>No</v>
      </c>
      <c r="O22" s="385" t="s">
        <v>742</v>
      </c>
      <c r="P22" s="385"/>
      <c r="Q22" s="385"/>
      <c r="R22" s="385"/>
      <c r="S22" s="385"/>
      <c r="T22" s="385"/>
    </row>
    <row r="23" spans="2:20" x14ac:dyDescent="0.25">
      <c r="B23" s="52" t="str">
        <f>'Patient Care Equip'!D40</f>
        <v>Mask, medical</v>
      </c>
      <c r="C23" s="51" t="str">
        <f>IF($B23='Equipment Assumptions'!$B19,"OK","ERROR")</f>
        <v>OK</v>
      </c>
      <c r="D23" s="51" t="str">
        <f t="shared" si="0"/>
        <v>In-patient careMask, medical</v>
      </c>
      <c r="E23" s="110">
        <f t="shared" ca="1" si="1"/>
        <v>9957.0523457441595</v>
      </c>
      <c r="F23" s="110">
        <f t="shared" ca="1" si="5"/>
        <v>0</v>
      </c>
      <c r="G23" s="110">
        <f t="shared" ca="1" si="2"/>
        <v>3111.5788580450494</v>
      </c>
      <c r="H23" s="110">
        <f t="shared" ca="1" si="3"/>
        <v>62.23157716090099</v>
      </c>
      <c r="I23" s="110">
        <f t="shared" ca="1" si="4"/>
        <v>0</v>
      </c>
      <c r="J23" s="110">
        <f t="shared" ca="1" si="6"/>
        <v>0</v>
      </c>
      <c r="K23" s="110">
        <f t="shared" ca="1" si="7"/>
        <v>13130.86278095011</v>
      </c>
      <c r="L23" s="34" t="s">
        <v>321</v>
      </c>
      <c r="M23" s="123" t="str">
        <f>INDEX('Patient Care Equip'!$E$17:$E$41,MATCH($B23,'Patient Care Equip'!$D$17:$D$41,0))</f>
        <v>No</v>
      </c>
      <c r="O23" s="385"/>
      <c r="P23" s="385"/>
      <c r="Q23" s="385"/>
      <c r="R23" s="385"/>
      <c r="S23" s="385"/>
      <c r="T23" s="385"/>
    </row>
    <row r="24" spans="2:20" x14ac:dyDescent="0.25">
      <c r="B24" s="52" t="str">
        <f>'Patient Care Equip'!D41</f>
        <v>Mask, medical patient</v>
      </c>
      <c r="C24" s="51" t="str">
        <f>IF($B24='Equipment Assumptions'!$B20,"OK","ERROR")</f>
        <v>OK</v>
      </c>
      <c r="D24" s="51" t="str">
        <f t="shared" si="0"/>
        <v>In-patient careMask, medical patient</v>
      </c>
      <c r="E24" s="110">
        <f t="shared" ca="1" si="1"/>
        <v>0</v>
      </c>
      <c r="F24" s="110">
        <f t="shared" ca="1" si="5"/>
        <v>0</v>
      </c>
      <c r="G24" s="110">
        <f t="shared" ca="1" si="2"/>
        <v>0</v>
      </c>
      <c r="H24" s="110">
        <f t="shared" ca="1" si="3"/>
        <v>0</v>
      </c>
      <c r="I24" s="110">
        <f t="shared" ca="1" si="4"/>
        <v>3111.5788580450494</v>
      </c>
      <c r="J24" s="110">
        <f t="shared" ca="1" si="6"/>
        <v>0</v>
      </c>
      <c r="K24" s="110">
        <f t="shared" ca="1" si="7"/>
        <v>3111.5788580450494</v>
      </c>
      <c r="L24" s="34" t="s">
        <v>321</v>
      </c>
      <c r="M24" s="123" t="str">
        <f>INDEX('Patient Care Equip'!$E$17:$E$41,MATCH($B24,'Patient Care Equip'!$D$17:$D$41,0))</f>
        <v>No</v>
      </c>
      <c r="O24" s="385"/>
      <c r="P24" s="385"/>
      <c r="Q24" s="385"/>
      <c r="R24" s="385"/>
      <c r="S24" s="385"/>
      <c r="T24" s="385"/>
    </row>
    <row r="25" spans="2:20" x14ac:dyDescent="0.25">
      <c r="B25" s="52" t="str">
        <f>'Patient Care Equip'!D21</f>
        <v>Scrubs, tops</v>
      </c>
      <c r="C25" s="51" t="str">
        <f>IF($B25='Equipment Assumptions'!$B21,"OK","ERROR")</f>
        <v>OK</v>
      </c>
      <c r="D25" s="51" t="str">
        <f t="shared" si="0"/>
        <v>In-patient careScrubs, tops</v>
      </c>
      <c r="E25" s="110">
        <f t="shared" ca="1" si="1"/>
        <v>174.92007430601973</v>
      </c>
      <c r="F25" s="110">
        <f t="shared" ca="1" si="5"/>
        <v>87.460037153009864</v>
      </c>
      <c r="G25" s="110">
        <f t="shared" si="2"/>
        <v>0</v>
      </c>
      <c r="H25" s="110">
        <f t="shared" si="3"/>
        <v>0</v>
      </c>
      <c r="I25" s="110">
        <f t="shared" ca="1" si="4"/>
        <v>0</v>
      </c>
      <c r="J25" s="110">
        <f t="shared" ca="1" si="6"/>
        <v>0</v>
      </c>
      <c r="K25" s="110">
        <f t="shared" ca="1" si="7"/>
        <v>262.38011145902959</v>
      </c>
      <c r="L25" s="34" t="s">
        <v>321</v>
      </c>
      <c r="M25" s="123" t="str">
        <f>INDEX('Patient Care Equip'!$E$17:$E$41,MATCH($B25,'Patient Care Equip'!$D$17:$D$41,0))</f>
        <v>Yes</v>
      </c>
      <c r="O25" s="386" t="s">
        <v>743</v>
      </c>
      <c r="P25" s="386" t="s">
        <v>744</v>
      </c>
      <c r="Q25" s="386"/>
      <c r="R25" s="386"/>
      <c r="S25" s="386"/>
      <c r="T25" s="386"/>
    </row>
    <row r="26" spans="2:20" x14ac:dyDescent="0.25">
      <c r="B26" s="52" t="str">
        <f>'Patient Care Equip'!D22</f>
        <v>Scrubs, pants</v>
      </c>
      <c r="C26" s="51" t="str">
        <f>IF($B26='Equipment Assumptions'!$B22,"OK","ERROR")</f>
        <v>OK</v>
      </c>
      <c r="D26" s="51" t="str">
        <f t="shared" si="0"/>
        <v>In-patient careScrubs, pants</v>
      </c>
      <c r="E26" s="110">
        <f t="shared" ca="1" si="1"/>
        <v>174.92007430601973</v>
      </c>
      <c r="F26" s="110">
        <f t="shared" ca="1" si="5"/>
        <v>87.460037153009864</v>
      </c>
      <c r="G26" s="110">
        <f t="shared" si="2"/>
        <v>0</v>
      </c>
      <c r="H26" s="110">
        <f t="shared" si="3"/>
        <v>0</v>
      </c>
      <c r="I26" s="110">
        <f t="shared" ca="1" si="4"/>
        <v>0</v>
      </c>
      <c r="J26" s="110">
        <f t="shared" ca="1" si="6"/>
        <v>0</v>
      </c>
      <c r="K26" s="110">
        <f t="shared" ca="1" si="7"/>
        <v>262.38011145902959</v>
      </c>
      <c r="L26" s="34" t="s">
        <v>321</v>
      </c>
      <c r="M26" s="123" t="str">
        <f>INDEX('Patient Care Equip'!$E$17:$E$41,MATCH($B26,'Patient Care Equip'!$D$17:$D$41,0))</f>
        <v>Yes</v>
      </c>
      <c r="O26" s="386" t="s">
        <v>744</v>
      </c>
      <c r="P26" s="386" t="s">
        <v>744</v>
      </c>
      <c r="Q26" s="386"/>
      <c r="R26" s="386"/>
      <c r="S26" s="386"/>
      <c r="T26" s="386"/>
    </row>
    <row r="27" spans="2:20" x14ac:dyDescent="0.25">
      <c r="B27" s="52" t="str">
        <f>'Patient Care Equip'!D20</f>
        <v>Gown, protective</v>
      </c>
      <c r="C27" s="51" t="str">
        <f>IF($B27='Equipment Assumptions'!$B23,"OK","ERROR")</f>
        <v>OK</v>
      </c>
      <c r="D27" s="51" t="str">
        <f t="shared" si="0"/>
        <v>In-patient careGown, protective</v>
      </c>
      <c r="E27" s="110">
        <f t="shared" ca="1" si="1"/>
        <v>2489.2630864360399</v>
      </c>
      <c r="F27" s="110">
        <f t="shared" ca="1" si="5"/>
        <v>1244.6315432180199</v>
      </c>
      <c r="G27" s="110">
        <f t="shared" ca="1" si="2"/>
        <v>0</v>
      </c>
      <c r="H27" s="110">
        <f t="shared" ca="1" si="3"/>
        <v>62.23157716090099</v>
      </c>
      <c r="I27" s="110">
        <f t="shared" ca="1" si="4"/>
        <v>0</v>
      </c>
      <c r="J27" s="110">
        <f t="shared" ca="1" si="6"/>
        <v>0</v>
      </c>
      <c r="K27" s="110">
        <f t="shared" ca="1" si="7"/>
        <v>3796.1262068149608</v>
      </c>
      <c r="L27" s="34" t="s">
        <v>321</v>
      </c>
      <c r="M27" s="123" t="str">
        <f>INDEX('Patient Care Equip'!$E$17:$E$41,MATCH($B27,'Patient Care Equip'!$D$17:$D$41,0))</f>
        <v>No</v>
      </c>
      <c r="O27" s="385"/>
      <c r="P27" s="385"/>
      <c r="Q27" s="385"/>
      <c r="R27" s="385"/>
      <c r="S27" s="385"/>
      <c r="T27" s="385"/>
    </row>
    <row r="28" spans="2:20" x14ac:dyDescent="0.25">
      <c r="B28" s="52" t="str">
        <f>'Patient Care Equip'!D23</f>
        <v>Apron, disposable</v>
      </c>
      <c r="C28" s="51" t="str">
        <f>IF($B28='Equipment Assumptions'!$B24,"OK","ERROR")</f>
        <v>OK</v>
      </c>
      <c r="D28" s="51" t="str">
        <f t="shared" si="0"/>
        <v>In-patient careApron, disposable</v>
      </c>
      <c r="E28" s="110">
        <f t="shared" ca="1" si="1"/>
        <v>2489.2630864360399</v>
      </c>
      <c r="F28" s="110">
        <f t="shared" ca="1" si="5"/>
        <v>0</v>
      </c>
      <c r="G28" s="110">
        <f t="shared" ca="1" si="2"/>
        <v>0</v>
      </c>
      <c r="H28" s="110">
        <f t="shared" ca="1" si="3"/>
        <v>62.23157716090099</v>
      </c>
      <c r="I28" s="110">
        <f t="shared" ca="1" si="4"/>
        <v>0</v>
      </c>
      <c r="J28" s="110">
        <f t="shared" ca="1" si="6"/>
        <v>0</v>
      </c>
      <c r="K28" s="110">
        <f t="shared" ca="1" si="7"/>
        <v>2551.4946635969409</v>
      </c>
      <c r="L28" s="34" t="s">
        <v>321</v>
      </c>
      <c r="M28" s="123" t="str">
        <f>INDEX('Patient Care Equip'!$E$17:$E$41,MATCH($B28,'Patient Care Equip'!$D$17:$D$41,0))</f>
        <v>No</v>
      </c>
      <c r="O28" s="385" t="s">
        <v>742</v>
      </c>
      <c r="P28" s="385"/>
      <c r="Q28" s="385"/>
      <c r="R28" s="385"/>
      <c r="S28" s="385"/>
      <c r="T28" s="385"/>
    </row>
    <row r="29" spans="2:20" x14ac:dyDescent="0.25">
      <c r="B29" s="52" t="str">
        <f>'Patient Care Equip'!D24</f>
        <v>Apron, heavy duty, reusable</v>
      </c>
      <c r="C29" s="51" t="str">
        <f>IF($B29='Equipment Assumptions'!$B25,"OK","ERROR")</f>
        <v>OK</v>
      </c>
      <c r="D29" s="51" t="str">
        <f t="shared" si="0"/>
        <v>In-patient careApron, heavy duty, reusable</v>
      </c>
      <c r="E29" s="110">
        <f t="shared" si="1"/>
        <v>0</v>
      </c>
      <c r="F29" s="110">
        <f t="shared" ca="1" si="5"/>
        <v>87.460037153009864</v>
      </c>
      <c r="G29" s="110">
        <f t="shared" si="2"/>
        <v>0</v>
      </c>
      <c r="H29" s="110">
        <f t="shared" si="3"/>
        <v>0</v>
      </c>
      <c r="I29" s="110">
        <f t="shared" ca="1" si="4"/>
        <v>0</v>
      </c>
      <c r="J29" s="110">
        <f t="shared" ca="1" si="6"/>
        <v>0</v>
      </c>
      <c r="K29" s="110">
        <f t="shared" ca="1" si="7"/>
        <v>87.460037153009864</v>
      </c>
      <c r="L29" s="41" t="s">
        <v>321</v>
      </c>
      <c r="M29" s="123" t="str">
        <f>INDEX('Patient Care Equip'!$E$17:$E$41,MATCH($B29,'Patient Care Equip'!$D$17:$D$41,0))</f>
        <v>Yes</v>
      </c>
      <c r="O29" s="385"/>
      <c r="P29" s="385" t="s">
        <v>745</v>
      </c>
      <c r="Q29" s="385"/>
      <c r="R29" s="385"/>
      <c r="S29" s="385"/>
      <c r="T29" s="385"/>
    </row>
    <row r="30" spans="2:20" x14ac:dyDescent="0.25">
      <c r="B30" s="52" t="str">
        <f>'Patient Care Equip'!D37</f>
        <v>Goggles, protective</v>
      </c>
      <c r="C30" s="51" t="str">
        <f>IF($B30='Equipment Assumptions'!$B26,"OK","ERROR")</f>
        <v>OK</v>
      </c>
      <c r="D30" s="51" t="str">
        <f t="shared" si="0"/>
        <v>In-patient careGoggles, protective</v>
      </c>
      <c r="E30" s="110">
        <f t="shared" ca="1" si="1"/>
        <v>174.92007430601973</v>
      </c>
      <c r="F30" s="110">
        <f t="shared" si="5"/>
        <v>0</v>
      </c>
      <c r="G30" s="110">
        <f t="shared" si="2"/>
        <v>0</v>
      </c>
      <c r="H30" s="110">
        <f t="shared" ca="1" si="3"/>
        <v>2.1865009288252462</v>
      </c>
      <c r="I30" s="110">
        <f t="shared" ca="1" si="4"/>
        <v>0</v>
      </c>
      <c r="J30" s="110">
        <f t="shared" ca="1" si="6"/>
        <v>0</v>
      </c>
      <c r="K30" s="110">
        <f t="shared" ca="1" si="7"/>
        <v>177.10657523484497</v>
      </c>
      <c r="L30" s="34" t="s">
        <v>321</v>
      </c>
      <c r="M30" s="123" t="str">
        <f>INDEX('Patient Care Equip'!$E$17:$E$41,MATCH($B30,'Patient Care Equip'!$D$17:$D$41,0))</f>
        <v>Yes</v>
      </c>
      <c r="O30" s="385"/>
      <c r="P30" s="385"/>
      <c r="Q30" s="385"/>
      <c r="R30" s="385"/>
      <c r="S30" s="385"/>
      <c r="T30" s="385"/>
    </row>
    <row r="31" spans="2:20" ht="15.75" thickBot="1" x14ac:dyDescent="0.3">
      <c r="B31" s="53" t="str">
        <f>'Patient Care Equip'!D25</f>
        <v>Gum boots</v>
      </c>
      <c r="C31" s="108" t="str">
        <f>IF($B31='Equipment Assumptions'!$B27,"OK","ERROR")</f>
        <v>OK</v>
      </c>
      <c r="D31" s="108" t="str">
        <f t="shared" si="0"/>
        <v>In-patient careGum boots</v>
      </c>
      <c r="E31" s="110">
        <f t="shared" si="1"/>
        <v>0</v>
      </c>
      <c r="F31" s="110">
        <f t="shared" ca="1" si="5"/>
        <v>87.460037153009864</v>
      </c>
      <c r="G31" s="110">
        <f t="shared" si="2"/>
        <v>0</v>
      </c>
      <c r="H31" s="110">
        <f t="shared" si="3"/>
        <v>0</v>
      </c>
      <c r="I31" s="110">
        <f t="shared" ca="1" si="4"/>
        <v>0</v>
      </c>
      <c r="J31" s="110">
        <f t="shared" ca="1" si="6"/>
        <v>0</v>
      </c>
      <c r="K31" s="110">
        <f t="shared" ca="1" si="7"/>
        <v>87.460037153009864</v>
      </c>
      <c r="L31" s="41" t="s">
        <v>320</v>
      </c>
      <c r="M31" s="123" t="str">
        <f>INDEX('Patient Care Equip'!$E$17:$E$41,MATCH($B31,'Patient Care Equip'!$D$17:$D$41,0))</f>
        <v>Yes</v>
      </c>
      <c r="O31" s="387"/>
      <c r="P31" s="387"/>
      <c r="Q31" s="387"/>
      <c r="R31" s="387"/>
      <c r="S31" s="387"/>
      <c r="T31" s="387"/>
    </row>
    <row r="32" spans="2:20" x14ac:dyDescent="0.25">
      <c r="B32" s="50" t="s">
        <v>263</v>
      </c>
      <c r="C32" s="107" t="str">
        <f>IF($B32='Equipment Assumptions'!$B28,"OK","ERROR")</f>
        <v>OK</v>
      </c>
      <c r="D32" s="107"/>
      <c r="E32" s="47"/>
      <c r="F32" s="48"/>
      <c r="G32" s="48"/>
      <c r="H32" s="48"/>
      <c r="I32" s="48"/>
      <c r="J32" s="48"/>
      <c r="K32" s="48"/>
      <c r="L32" s="34"/>
      <c r="M32" s="34"/>
      <c r="O32" s="388"/>
      <c r="P32" s="388"/>
      <c r="Q32" s="388"/>
      <c r="R32" s="388"/>
      <c r="S32" s="388"/>
      <c r="T32" s="388"/>
    </row>
    <row r="33" spans="2:20" x14ac:dyDescent="0.25">
      <c r="B33" s="52" t="str">
        <f>'Patient Care Equip'!D28</f>
        <v>Safety box</v>
      </c>
      <c r="C33" s="51" t="str">
        <f>IF($B33='Equipment Assumptions'!$B29,"OK","ERROR")</f>
        <v>OK</v>
      </c>
      <c r="D33" s="51" t="str">
        <f t="shared" si="0"/>
        <v>In-patient careSafety box</v>
      </c>
      <c r="E33" s="142" t="s">
        <v>861</v>
      </c>
      <c r="F33" s="110"/>
      <c r="G33" s="110"/>
      <c r="H33" s="110"/>
      <c r="I33" s="110"/>
      <c r="J33" s="110"/>
      <c r="K33" s="110">
        <f t="shared" si="7"/>
        <v>0</v>
      </c>
      <c r="L33" s="34" t="s">
        <v>321</v>
      </c>
      <c r="M33" s="123" t="str">
        <f>INDEX('Patient Care Equip'!$E$17:$E$41,MATCH($B33,'Patient Care Equip'!$D$17:$D$41,0))</f>
        <v>Yes</v>
      </c>
      <c r="O33" s="385"/>
      <c r="P33" s="385"/>
      <c r="Q33" s="385"/>
      <c r="R33" s="385"/>
      <c r="S33" s="385"/>
      <c r="T33" s="385"/>
    </row>
    <row r="34" spans="2:20" x14ac:dyDescent="0.25">
      <c r="B34" s="50" t="s">
        <v>332</v>
      </c>
      <c r="C34" s="107" t="str">
        <f>IF($B34='Equipment Assumptions'!$B30,"OK","ERROR")</f>
        <v>OK</v>
      </c>
      <c r="D34" s="107"/>
      <c r="E34" s="47"/>
      <c r="F34" s="48"/>
      <c r="G34" s="48"/>
      <c r="H34" s="48"/>
      <c r="I34" s="48"/>
      <c r="J34" s="48"/>
      <c r="K34" s="48"/>
      <c r="L34" s="34"/>
      <c r="M34" s="34"/>
      <c r="O34" s="388"/>
      <c r="P34" s="388"/>
      <c r="Q34" s="388"/>
      <c r="R34" s="388"/>
      <c r="S34" s="388"/>
      <c r="T34" s="388"/>
    </row>
    <row r="35" spans="2:20" x14ac:dyDescent="0.25">
      <c r="B35" s="52" t="str">
        <f>'Patient Care Equip'!D33</f>
        <v>Bio-hazardous bag</v>
      </c>
      <c r="C35" s="51" t="str">
        <f>IF($B35='Equipment Assumptions'!$B31,"OK","ERROR")</f>
        <v>OK</v>
      </c>
      <c r="D35" s="51" t="str">
        <f t="shared" si="0"/>
        <v>In-patient careBio-hazardous bag</v>
      </c>
      <c r="E35" s="110">
        <f ca="1">IF($M35="Yes",IF(INDEX(Equipment_usage_table,MATCH($D35,SearchItem_EUT,0),MATCH(E$15,SearchUser_EUT,0))&gt;0,Max_inpatient_HCWs*Multiplier_reuseable,0),INDEX(Equipment_usage_table,MATCH($D35,SearchItem_EUT,0),MATCH(E$15,SearchUser_EUT,0))*Total_inpatient_HCW*Multiplier_non_reusable)</f>
        <v>1244.6315432180199</v>
      </c>
      <c r="F35" s="110">
        <f ca="1">IF($M35="Yes",IF(INDEX(Equipment_usage_table,MATCH($D35,SearchItem_EUT,0),MATCH(F$15,SearchUser_EUT,0))&gt;0,Max_inpatient_hygienist*Multiplier_reuseable,0),INDEX(Equipment_usage_table,MATCH($D35,SearchItem_EUT,0),MATCH(F$15,SearchUser_EUT,0))*Total_inpatient_Hygienist*Multiplier_non_reusable)</f>
        <v>622.31577160900997</v>
      </c>
      <c r="G35" s="110">
        <f ca="1">IF($M35="Yes",IF(INDEX(Equipment_usage_table,MATCH($D35,SearchItem_EUT,0),MATCH(G$15,SearchUser_EUT,0))&gt;0,Max_inpatient_caretaker*Multiplier_reuseable,0),INDEX(Equipment_usage_table,MATCH($D35,SearchItem_EUT,0),MATCH(G$15,SearchUser_EUT,0))*Total_Inpatient_caretaker*Multiplier_non_reusable)</f>
        <v>0</v>
      </c>
      <c r="H35" s="110">
        <f ca="1">IF($M35="Yes",IF(INDEX(Equipment_usage_table,MATCH($D35,SearchItem_EUT,0),MATCH(H$15,SearchUser_EUT,0))&gt;0,Max_inpatient_ambulancier*Multiplier_reuseable,0),INDEX(Equipment_usage_table,MATCH($D35,SearchItem_EUT,0),MATCH(H$15,SearchUser_EUT,0))*Total_inpatient_ambulancier*Multiplier_non_reusable)</f>
        <v>15.557894290225248</v>
      </c>
      <c r="I35" s="110">
        <f ca="1">INDEX(Equipment_usage_table,MATCH($D35,SearchItem_EUT,0),MATCH(I$15,SearchUser_EUT,0))*Total_Inpatient_days*IF(M35="reusable",Multiplier_reuseable,Multiplier_non_reusable)</f>
        <v>0</v>
      </c>
      <c r="J35" s="110">
        <f t="shared" ca="1" si="6"/>
        <v>0</v>
      </c>
      <c r="K35" s="110">
        <f t="shared" ca="1" si="7"/>
        <v>1882.5052091172552</v>
      </c>
      <c r="L35" s="34" t="s">
        <v>321</v>
      </c>
      <c r="M35" s="123" t="str">
        <f>INDEX('Patient Care Equip'!$E$17:$E$41,MATCH($B35,'Patient Care Equip'!$D$17:$D$41,0))</f>
        <v>No</v>
      </c>
      <c r="O35" s="385"/>
      <c r="P35" s="385"/>
      <c r="Q35" s="385"/>
      <c r="R35" s="385"/>
      <c r="S35" s="385"/>
      <c r="T35" s="385"/>
    </row>
    <row r="36" spans="2:20" x14ac:dyDescent="0.25">
      <c r="B36" s="52" t="str">
        <f>'Patient Care Equip'!D19</f>
        <v>Liquid soap</v>
      </c>
      <c r="C36" s="51" t="str">
        <f>IF($B36='Equipment Assumptions'!$B32,"OK","ERROR")</f>
        <v>OK</v>
      </c>
      <c r="D36" s="51" t="str">
        <f t="shared" si="0"/>
        <v>In-patient careLiquid soap</v>
      </c>
      <c r="E36" s="110">
        <f ca="1">IF($M36="Yes",IF(INDEX(Equipment_usage_table,MATCH($D36,SearchItem_EUT,0),MATCH(E$15,SearchUser_EUT,0))&gt;0,Max_inpatient_HCWs*Multiplier_reuseable,0),INDEX(Equipment_usage_table,MATCH($D36,SearchItem_EUT,0),MATCH(E$15,SearchUser_EUT,0))*Total_inpatient_HCW*Multiplier_non_reusable)</f>
        <v>41.487718107267327</v>
      </c>
      <c r="F36" s="110">
        <f ca="1">IF($M36="Yes",IF(INDEX(Equipment_usage_table,MATCH($D36,SearchItem_EUT,0),MATCH(F$15,SearchUser_EUT,0))&gt;0,Max_inpatient_hygienist*Multiplier_reuseable,0),INDEX(Equipment_usage_table,MATCH($D36,SearchItem_EUT,0),MATCH(F$15,SearchUser_EUT,0))*Total_inpatient_Hygienist*Multiplier_non_reusable)</f>
        <v>20.743859053633663</v>
      </c>
      <c r="G36" s="110">
        <f ca="1">IF($M36="Yes",IF(INDEX(Equipment_usage_table,MATCH($D36,SearchItem_EUT,0),MATCH(G$15,SearchUser_EUT,0))&gt;0,Max_inpatient_caretaker*Multiplier_reuseable,0),INDEX(Equipment_usage_table,MATCH($D36,SearchItem_EUT,0),MATCH(G$15,SearchUser_EUT,0))*Total_Inpatient_caretaker*Multiplier_non_reusable)</f>
        <v>0</v>
      </c>
      <c r="H36" s="110">
        <f ca="1">IF($M36="Yes",IF(INDEX(Equipment_usage_table,MATCH($D36,SearchItem_EUT,0),MATCH(H$15,SearchUser_EUT,0))&gt;0,Max_inpatient_ambulancier*Multiplier_reuseable,0),INDEX(Equipment_usage_table,MATCH($D36,SearchItem_EUT,0),MATCH(H$15,SearchUser_EUT,0))*Total_inpatient_ambulancier*Multiplier_non_reusable)</f>
        <v>0.51859647634084149</v>
      </c>
      <c r="I36" s="110">
        <f ca="1">INDEX(Equipment_usage_table,MATCH($D36,SearchItem_EUT,0),MATCH(I$15,SearchUser_EUT,0))*Total_Inpatient_days*IF(M36="reusable",Multiplier_reuseable,Multiplier_non_reusable)</f>
        <v>0</v>
      </c>
      <c r="J36" s="110">
        <f t="shared" ca="1" si="6"/>
        <v>0</v>
      </c>
      <c r="K36" s="110">
        <f t="shared" ca="1" si="7"/>
        <v>62.750173637241829</v>
      </c>
      <c r="L36" s="34" t="s">
        <v>274</v>
      </c>
      <c r="M36" s="123" t="str">
        <f>INDEX('Patient Care Equip'!$E$17:$E$41,MATCH($B36,'Patient Care Equip'!$D$17:$D$41,0))</f>
        <v>No</v>
      </c>
      <c r="O36" s="386"/>
      <c r="P36" s="386"/>
      <c r="Q36" s="386"/>
      <c r="R36" s="386"/>
      <c r="S36" s="386"/>
      <c r="T36" s="386"/>
    </row>
    <row r="37" spans="2:20" x14ac:dyDescent="0.25">
      <c r="B37" s="52" t="str">
        <f>'Patient Care Equip'!D18</f>
        <v>Alcohol-based hand rub</v>
      </c>
      <c r="C37" s="51" t="str">
        <f>IF($B37='Equipment Assumptions'!$B33,"OK","ERROR")</f>
        <v>OK</v>
      </c>
      <c r="D37" s="51" t="str">
        <f t="shared" si="0"/>
        <v>In-patient careAlcohol-based hand rub</v>
      </c>
      <c r="E37" s="110">
        <f ca="1">IF($M37="Yes",IF(INDEX(Equipment_usage_table,MATCH($D37,SearchItem_EUT,0),MATCH(E$15,SearchUser_EUT,0))&gt;0,Max_inpatient_HCWs*Multiplier_reuseable,0),INDEX(Equipment_usage_table,MATCH($D37,SearchItem_EUT,0),MATCH(E$15,SearchUser_EUT,0))*Total_inpatient_HCW*Multiplier_non_reusable)</f>
        <v>82.975436214534653</v>
      </c>
      <c r="F37" s="110">
        <f ca="1">IF($M37="Yes",IF(INDEX(Equipment_usage_table,MATCH($D37,SearchItem_EUT,0),MATCH(F$15,SearchUser_EUT,0))&gt;0,Max_inpatient_hygienist*Multiplier_reuseable,0),INDEX(Equipment_usage_table,MATCH($D37,SearchItem_EUT,0),MATCH(F$15,SearchUser_EUT,0))*Total_inpatient_Hygienist*Multiplier_non_reusable)</f>
        <v>41.487718107267327</v>
      </c>
      <c r="G37" s="110">
        <f ca="1">IF($M37="Yes",IF(INDEX(Equipment_usage_table,MATCH($D37,SearchItem_EUT,0),MATCH(G$15,SearchUser_EUT,0))&gt;0,Max_inpatient_caretaker*Multiplier_reuseable,0),INDEX(Equipment_usage_table,MATCH($D37,SearchItem_EUT,0),MATCH(G$15,SearchUser_EUT,0))*Total_Inpatient_caretaker*Multiplier_non_reusable)</f>
        <v>0</v>
      </c>
      <c r="H37" s="110">
        <f ca="1">IF($M37="Yes",IF(INDEX(Equipment_usage_table,MATCH($D37,SearchItem_EUT,0),MATCH(H$15,SearchUser_EUT,0))&gt;0,Max_inpatient_ambulancier*Multiplier_reuseable,0),INDEX(Equipment_usage_table,MATCH($D37,SearchItem_EUT,0),MATCH(H$15,SearchUser_EUT,0))*Total_inpatient_ambulancier*Multiplier_non_reusable)</f>
        <v>1.037192952681683</v>
      </c>
      <c r="I37" s="110">
        <f ca="1">INDEX(Equipment_usage_table,MATCH($D37,SearchItem_EUT,0),MATCH(I$15,SearchUser_EUT,0))*Total_Inpatient_days*IF(M37="reusable",Multiplier_reuseable,Multiplier_non_reusable)</f>
        <v>0</v>
      </c>
      <c r="J37" s="110">
        <f t="shared" ca="1" si="6"/>
        <v>0</v>
      </c>
      <c r="K37" s="110">
        <f t="shared" ca="1" si="7"/>
        <v>125.50034727448366</v>
      </c>
      <c r="L37" s="34" t="s">
        <v>274</v>
      </c>
      <c r="M37" s="123" t="str">
        <f>INDEX('Patient Care Equip'!$E$17:$E$41,MATCH($B37,'Patient Care Equip'!$D$17:$D$41,0))</f>
        <v>No</v>
      </c>
      <c r="O37" s="386"/>
      <c r="P37" s="386"/>
      <c r="Q37" s="386"/>
      <c r="R37" s="386"/>
      <c r="S37" s="386"/>
      <c r="T37" s="386"/>
    </row>
    <row r="38" spans="2:20" x14ac:dyDescent="0.25">
      <c r="B38" s="52" t="str">
        <f>'Patient Care Equip'!D17</f>
        <v>Chlorine, HTH 70%</v>
      </c>
      <c r="C38" s="51" t="str">
        <f>IF($B38='Equipment Assumptions'!$B34,"OK","ERROR")</f>
        <v>OK</v>
      </c>
      <c r="D38" s="51" t="str">
        <f t="shared" si="0"/>
        <v>In-patient careChlorine, HTH 70%</v>
      </c>
      <c r="E38" s="110">
        <f ca="1">IF($M38="Yes",IF(INDEX(Equipment_usage_table,MATCH($D38,SearchItem_EUT,0),MATCH(E$15,SearchUser_EUT,0))&gt;0,Max_inpatient_HCWs*Multiplier_reuseable,0),INDEX(Equipment_usage_table,MATCH($D38,SearchItem_EUT,0),MATCH(E$15,SearchUser_EUT,0))*Total_inpatient_HCW*Multiplier_non_reusable)</f>
        <v>0</v>
      </c>
      <c r="F38" s="110">
        <f ca="1">IF($M38="Yes",IF(INDEX(Equipment_usage_table,MATCH($D38,SearchItem_EUT,0),MATCH(F$15,SearchUser_EUT,0))&gt;0,Max_inpatient_hygienist*Multiplier_reuseable,0),INDEX(Equipment_usage_table,MATCH($D38,SearchItem_EUT,0),MATCH(F$15,SearchUser_EUT,0))*Total_inpatient_Hygienist*Multiplier_non_reusable)</f>
        <v>37.338946296540598</v>
      </c>
      <c r="G38" s="110">
        <f ca="1">IF($M38="Yes",IF(INDEX(Equipment_usage_table,MATCH($D38,SearchItem_EUT,0),MATCH(G$15,SearchUser_EUT,0))&gt;0,Max_inpatient_caretaker*Multiplier_reuseable,0),INDEX(Equipment_usage_table,MATCH($D38,SearchItem_EUT,0),MATCH(G$15,SearchUser_EUT,0))*Total_Inpatient_caretaker*Multiplier_non_reusable)</f>
        <v>0</v>
      </c>
      <c r="H38" s="110">
        <f ca="1">IF($M38="Yes",IF(INDEX(Equipment_usage_table,MATCH($D38,SearchItem_EUT,0),MATCH(H$15,SearchUser_EUT,0))&gt;0,Max_inpatient_ambulancier*Multiplier_reuseable,0),INDEX(Equipment_usage_table,MATCH($D38,SearchItem_EUT,0),MATCH(H$15,SearchUser_EUT,0))*Total_inpatient_ambulancier*Multiplier_non_reusable)</f>
        <v>0.93347365741351485</v>
      </c>
      <c r="I38" s="110">
        <f ca="1">INDEX(Equipment_usage_table,MATCH($D38,SearchItem_EUT,0),MATCH(I$15,SearchUser_EUT,0))*Total_Inpatient_days*IF(M38="reusable",Multiplier_reuseable,Multiplier_non_reusable)</f>
        <v>0</v>
      </c>
      <c r="J38" s="110">
        <f t="shared" ca="1" si="6"/>
        <v>0</v>
      </c>
      <c r="K38" s="110">
        <f t="shared" ca="1" si="7"/>
        <v>38.272419953954113</v>
      </c>
      <c r="L38" s="34" t="s">
        <v>277</v>
      </c>
      <c r="M38" s="123" t="str">
        <f>INDEX('Patient Care Equip'!$E$17:$E$41,MATCH($B38,'Patient Care Equip'!$D$17:$D$41,0))</f>
        <v>No</v>
      </c>
      <c r="O38" s="385"/>
      <c r="P38" s="385"/>
      <c r="Q38" s="385"/>
      <c r="R38" s="385"/>
      <c r="S38" s="385"/>
      <c r="T38" s="385"/>
    </row>
    <row r="39" spans="2:20" x14ac:dyDescent="0.25">
      <c r="B39" s="50" t="s">
        <v>338</v>
      </c>
      <c r="C39" s="107" t="str">
        <f>IF($B39='Equipment Assumptions'!$B35,"OK","ERROR")</f>
        <v>OK</v>
      </c>
      <c r="D39" s="107"/>
      <c r="E39" s="47"/>
      <c r="F39" s="48"/>
      <c r="G39" s="48"/>
      <c r="H39" s="48"/>
      <c r="I39" s="48"/>
      <c r="J39" s="48"/>
      <c r="K39" s="48"/>
      <c r="L39" s="34"/>
      <c r="M39" s="34"/>
      <c r="O39" s="388"/>
      <c r="P39" s="388"/>
      <c r="Q39" s="388"/>
      <c r="R39" s="388"/>
      <c r="S39" s="388"/>
      <c r="T39" s="388"/>
    </row>
    <row r="40" spans="2:20" ht="51.75" customHeight="1" x14ac:dyDescent="0.25">
      <c r="B40" s="51" t="str">
        <f>'Patient Care Equip'!$D44</f>
        <v>Patient monitor, multiparametric w/o ECG, with accessories</v>
      </c>
      <c r="C40" s="51" t="str">
        <f>IF($B40='Equipment Assumptions'!$B36,"OK","ERROR")</f>
        <v>OK</v>
      </c>
      <c r="D40" s="51" t="str">
        <f t="shared" si="0"/>
        <v>In-patient carePatient monitor, multiparametric w/o ECG, with accessories</v>
      </c>
      <c r="E40" s="110">
        <f t="shared" ref="E40:E70" ca="1" si="8">INDEX(Equipment_usage_table,MATCH($D40,SearchItem_EUT,0),MATCH(E$15,SearchUser_EUT,0))*Total_inpatient_HCW</f>
        <v>0</v>
      </c>
      <c r="F40" s="110">
        <f t="shared" ref="F40:F70" ca="1" si="9">INDEX(Equipment_usage_table,MATCH($D40,SearchItem_EUT,0),MATCH(F$15,SearchUser_EUT,0))*Total_inpatient_Hygienist</f>
        <v>0</v>
      </c>
      <c r="G40" s="110">
        <f t="shared" ref="G40:G70" ca="1" si="10">INDEX(Equipment_usage_table,MATCH($D40,SearchItem_EUT,0),MATCH(G$15,SearchUser_EUT,0))*Total_Inpatient_caretaker</f>
        <v>0</v>
      </c>
      <c r="H40" s="110">
        <f t="shared" ref="H40:H70" ca="1" si="11">INDEX(Equipment_usage_table,MATCH($D40,SearchItem_EUT,0),MATCH(H$15,SearchUser_EUT,0))*Total_inpatient_ambulancier</f>
        <v>0</v>
      </c>
      <c r="I40" s="110">
        <f t="shared" ref="I40:I70" ca="1" si="12">INDEX(Equipment_usage_table,MATCH($D40,SearchItem_EUT,0),MATCH(I$15,SearchUser_EUT,0))*Total_Inpatient_days</f>
        <v>0</v>
      </c>
      <c r="J40" s="110">
        <f ca="1">INDEX(Equipment_usage_table,MATCH($D40,SearchItem_EUT,0),MATCH(J$15,SearchUser_EUT,0))*Max_severe_capped_beds</f>
        <v>152.64235848902217</v>
      </c>
      <c r="K40" s="110">
        <f t="shared" ca="1" si="7"/>
        <v>152.64235848902217</v>
      </c>
      <c r="L40" s="141" t="s">
        <v>932</v>
      </c>
      <c r="M40" s="9"/>
      <c r="O40" s="384"/>
      <c r="P40" s="384"/>
      <c r="Q40" s="384"/>
      <c r="R40" s="384"/>
      <c r="S40" s="384"/>
      <c r="T40" s="384"/>
    </row>
    <row r="41" spans="2:20" ht="24.75" customHeight="1" x14ac:dyDescent="0.25">
      <c r="B41" s="51" t="str">
        <f>'Patient Care Equip'!$D45</f>
        <v>Pulse oximeter - fingertip</v>
      </c>
      <c r="C41" s="51" t="str">
        <f>IF($B41='Equipment Assumptions'!$B37,"OK","ERROR")</f>
        <v>OK</v>
      </c>
      <c r="D41" s="51" t="str">
        <f t="shared" si="0"/>
        <v>In-patient carePulse oximeter - fingertip</v>
      </c>
      <c r="E41" s="110">
        <f t="shared" ca="1" si="8"/>
        <v>0</v>
      </c>
      <c r="F41" s="110">
        <f t="shared" ca="1" si="9"/>
        <v>0</v>
      </c>
      <c r="G41" s="110">
        <f t="shared" ca="1" si="10"/>
        <v>0</v>
      </c>
      <c r="H41" s="110">
        <f t="shared" ca="1" si="11"/>
        <v>0</v>
      </c>
      <c r="I41" s="110">
        <f t="shared" ca="1" si="12"/>
        <v>0</v>
      </c>
      <c r="J41" s="110">
        <f ca="1">INDEX(Equipment_usage_table,MATCH($D41,SearchItem_EUT,0),MATCH(J$15,SearchUser_EUT,0))*Max_total_capped_beds</f>
        <v>174.92007430601973</v>
      </c>
      <c r="K41" s="110">
        <f t="shared" ca="1" si="7"/>
        <v>174.92007430601973</v>
      </c>
      <c r="L41" s="34"/>
      <c r="M41" s="34"/>
      <c r="O41" s="384"/>
      <c r="P41" s="384"/>
      <c r="Q41" s="384"/>
      <c r="R41" s="384"/>
      <c r="S41" s="384"/>
      <c r="T41" s="384"/>
    </row>
    <row r="42" spans="2:20" ht="19.5" customHeight="1" x14ac:dyDescent="0.25">
      <c r="B42" s="51" t="str">
        <f>'Patient Care Equip'!$D46</f>
        <v>Concentrator O2, 10 L, with accessories</v>
      </c>
      <c r="C42" s="51" t="str">
        <f>IF($B42='Equipment Assumptions'!$B38,"OK","ERROR")</f>
        <v>OK</v>
      </c>
      <c r="D42" s="51" t="str">
        <f t="shared" si="0"/>
        <v>In-patient careConcentrator O2, 10 L, with accessories</v>
      </c>
      <c r="E42" s="110">
        <f t="shared" ca="1" si="8"/>
        <v>0</v>
      </c>
      <c r="F42" s="110">
        <f t="shared" ca="1" si="9"/>
        <v>0</v>
      </c>
      <c r="G42" s="110">
        <f t="shared" ca="1" si="10"/>
        <v>0</v>
      </c>
      <c r="H42" s="110">
        <f t="shared" ca="1" si="11"/>
        <v>0</v>
      </c>
      <c r="I42" s="110">
        <f t="shared" ca="1" si="12"/>
        <v>0</v>
      </c>
      <c r="J42" s="110">
        <f ca="1">INDEX(Equipment_usage_table,MATCH($D42,SearchItem_EUT,0),MATCH(J$15,SearchUser_EUT,0))*Max_total_capped_beds</f>
        <v>218.65009288252463</v>
      </c>
      <c r="K42" s="110">
        <f t="shared" ca="1" si="7"/>
        <v>218.65009288252463</v>
      </c>
      <c r="L42" s="141"/>
      <c r="M42" s="34"/>
      <c r="O42" s="384"/>
      <c r="P42" s="384"/>
      <c r="Q42" s="384"/>
      <c r="R42" s="384"/>
      <c r="S42" s="384"/>
      <c r="T42" s="384"/>
    </row>
    <row r="43" spans="2:20" ht="20.25" customHeight="1" x14ac:dyDescent="0.25">
      <c r="B43" s="51" t="str">
        <f>'Patient Care Equip'!$D47</f>
        <v>O2 need (m3)</v>
      </c>
      <c r="C43" s="51" t="str">
        <f>IF($B43='Equipment Assumptions'!$B39,"OK","ERROR")</f>
        <v>OK</v>
      </c>
      <c r="D43" s="51" t="str">
        <f t="shared" si="0"/>
        <v>In-patient careO2 need (m3)</v>
      </c>
      <c r="E43" s="110">
        <f t="shared" ca="1" si="8"/>
        <v>0</v>
      </c>
      <c r="F43" s="110">
        <f t="shared" ca="1" si="9"/>
        <v>0</v>
      </c>
      <c r="G43" s="110">
        <f t="shared" ca="1" si="10"/>
        <v>0</v>
      </c>
      <c r="H43" s="110">
        <f t="shared" ca="1" si="11"/>
        <v>0</v>
      </c>
      <c r="I43" s="110">
        <f t="shared" ca="1" si="12"/>
        <v>0</v>
      </c>
      <c r="J43" s="110">
        <f ca="1">INDEX(Equipment_usage_table,MATCH($D43,SearchItem_EUT,0),MATCH(J$15,SearchUser_EUT,0))*Max_critical_capped_beds</f>
        <v>66.007734393502474</v>
      </c>
      <c r="K43" s="110">
        <f t="shared" ca="1" si="7"/>
        <v>66.007734393502474</v>
      </c>
      <c r="L43" s="141" t="s">
        <v>929</v>
      </c>
      <c r="M43" s="34"/>
      <c r="O43" s="384"/>
      <c r="P43" s="384"/>
      <c r="Q43" s="384"/>
      <c r="R43" s="384"/>
      <c r="S43" s="384"/>
      <c r="T43" s="384"/>
    </row>
    <row r="44" spans="2:20" ht="30" x14ac:dyDescent="0.25">
      <c r="B44" s="51" t="str">
        <f>'Patient Care Equip'!$D48</f>
        <v>Flowmeter, Thorpe tube, for pipe oxygen 0-15L/min</v>
      </c>
      <c r="C44" s="51" t="str">
        <f>IF($B44='Equipment Assumptions'!$B41,"OK","ERROR")</f>
        <v>ERROR</v>
      </c>
      <c r="D44" s="51" t="str">
        <f t="shared" si="0"/>
        <v>In-patient careFlowmeter, Thorpe tube, for pipe oxygen 0-15L/min</v>
      </c>
      <c r="E44" s="110">
        <f t="shared" ca="1" si="8"/>
        <v>0</v>
      </c>
      <c r="F44" s="110">
        <f t="shared" ca="1" si="9"/>
        <v>0</v>
      </c>
      <c r="G44" s="110">
        <f t="shared" ca="1" si="10"/>
        <v>0</v>
      </c>
      <c r="H44" s="110">
        <f t="shared" ca="1" si="11"/>
        <v>0</v>
      </c>
      <c r="I44" s="110">
        <f t="shared" ca="1" si="12"/>
        <v>0</v>
      </c>
      <c r="J44" s="110">
        <f ca="1">INDEX(Equipment_usage_table,MATCH($D44,SearchItem_EUT,0),MATCH(J$15,SearchUser_EUT,0))*Max_critical_capped_beds</f>
        <v>66.007734393502474</v>
      </c>
      <c r="K44" s="110">
        <f t="shared" ca="1" si="7"/>
        <v>66.007734393502474</v>
      </c>
      <c r="L44" s="141" t="s">
        <v>929</v>
      </c>
      <c r="M44" s="34"/>
      <c r="O44" s="384"/>
      <c r="P44" s="384"/>
      <c r="Q44" s="384"/>
      <c r="R44" s="384"/>
      <c r="S44" s="384"/>
      <c r="T44" s="384"/>
    </row>
    <row r="45" spans="2:20" ht="30" x14ac:dyDescent="0.25">
      <c r="B45" s="51" t="str">
        <f>'Patient Care Equip'!$D49</f>
        <v>CPAP, for neonate, with accessories</v>
      </c>
      <c r="C45" s="51" t="str">
        <f>IF($B45='Equipment Assumptions'!$B42,"OK","ERROR")</f>
        <v>ERROR</v>
      </c>
      <c r="D45" s="51" t="str">
        <f t="shared" si="0"/>
        <v>In-patient careCPAP, for neonate, with accessories</v>
      </c>
      <c r="E45" s="110">
        <f t="shared" ca="1" si="8"/>
        <v>0</v>
      </c>
      <c r="F45" s="110">
        <f t="shared" ca="1" si="9"/>
        <v>0</v>
      </c>
      <c r="G45" s="110">
        <f t="shared" ca="1" si="10"/>
        <v>0</v>
      </c>
      <c r="H45" s="110">
        <f t="shared" ca="1" si="11"/>
        <v>0</v>
      </c>
      <c r="I45" s="110">
        <f t="shared" ca="1" si="12"/>
        <v>0</v>
      </c>
      <c r="J45" s="110">
        <f ca="1">INDEX(Equipment_usage_table,MATCH($D45,SearchItem_EUT,0),MATCH(J$15,SearchUser_EUT,0))*Max_total_capped_beds</f>
        <v>2.1865009288252462</v>
      </c>
      <c r="K45" s="110">
        <f t="shared" ca="1" si="7"/>
        <v>2.1865009288252462</v>
      </c>
      <c r="L45" s="34"/>
      <c r="M45" s="34"/>
      <c r="O45" s="384"/>
      <c r="P45" s="384"/>
      <c r="Q45" s="384"/>
      <c r="R45" s="384"/>
      <c r="S45" s="384"/>
      <c r="T45" s="384"/>
    </row>
    <row r="46" spans="2:20" ht="30" x14ac:dyDescent="0.25">
      <c r="B46" s="51" t="str">
        <f>'Patient Care Equip'!$D50</f>
        <v>CPAP, for adult, with accessories</v>
      </c>
      <c r="C46" s="51" t="str">
        <f>IF($B46='Equipment Assumptions'!$B43,"OK","ERROR")</f>
        <v>ERROR</v>
      </c>
      <c r="D46" s="51" t="str">
        <f t="shared" si="0"/>
        <v>In-patient careCPAP, for adult, with accessories</v>
      </c>
      <c r="E46" s="110">
        <f t="shared" ca="1" si="8"/>
        <v>0</v>
      </c>
      <c r="F46" s="110">
        <f t="shared" ca="1" si="9"/>
        <v>0</v>
      </c>
      <c r="G46" s="110">
        <f t="shared" ca="1" si="10"/>
        <v>0</v>
      </c>
      <c r="H46" s="110">
        <f t="shared" ca="1" si="11"/>
        <v>0</v>
      </c>
      <c r="I46" s="110">
        <f t="shared" ca="1" si="12"/>
        <v>0</v>
      </c>
      <c r="J46" s="110">
        <f ca="1">INDEX(Equipment_usage_table,MATCH($D46,SearchItem_EUT,0),MATCH(J$15,SearchUser_EUT,0))*Max_total_capped_beds</f>
        <v>17.492007430601969</v>
      </c>
      <c r="K46" s="110">
        <f t="shared" ca="1" si="7"/>
        <v>17.492007430601969</v>
      </c>
      <c r="L46" s="34"/>
      <c r="M46" s="34"/>
      <c r="O46" s="384"/>
      <c r="P46" s="384"/>
      <c r="Q46" s="384"/>
      <c r="R46" s="384"/>
      <c r="S46" s="384"/>
      <c r="T46" s="384"/>
    </row>
    <row r="47" spans="2:20" ht="30" x14ac:dyDescent="0.25">
      <c r="B47" s="51" t="str">
        <f>'Patient Care Equip'!$D51</f>
        <v>Suction pump, manual</v>
      </c>
      <c r="C47" s="51" t="str">
        <f>IF($B47='Equipment Assumptions'!$B44,"OK","ERROR")</f>
        <v>ERROR</v>
      </c>
      <c r="D47" s="51" t="str">
        <f t="shared" ref="D47:D70" si="13">CONCATENATE($B$16,$B47)</f>
        <v>In-patient careSuction pump, manual</v>
      </c>
      <c r="E47" s="110">
        <f t="shared" ca="1" si="8"/>
        <v>0</v>
      </c>
      <c r="F47" s="110">
        <f t="shared" ca="1" si="9"/>
        <v>0</v>
      </c>
      <c r="G47" s="110">
        <f t="shared" ca="1" si="10"/>
        <v>0</v>
      </c>
      <c r="H47" s="110">
        <f t="shared" ca="1" si="11"/>
        <v>0</v>
      </c>
      <c r="I47" s="110">
        <f t="shared" ca="1" si="12"/>
        <v>0</v>
      </c>
      <c r="J47" s="110">
        <f ca="1">INDEX(Equipment_usage_table,MATCH($D47,SearchItem_EUT,0),MATCH(J$15,SearchUser_EUT,0))*Max_total_capped_beds</f>
        <v>5.4662523220631165</v>
      </c>
      <c r="K47" s="110">
        <f t="shared" ca="1" si="7"/>
        <v>5.4662523220631165</v>
      </c>
      <c r="L47" s="34"/>
      <c r="M47" s="34"/>
      <c r="O47" s="384"/>
      <c r="P47" s="384"/>
      <c r="Q47" s="384"/>
      <c r="R47" s="384"/>
      <c r="S47" s="384"/>
      <c r="T47" s="384"/>
    </row>
    <row r="48" spans="2:20" ht="30" x14ac:dyDescent="0.25">
      <c r="B48" s="51" t="str">
        <f>'Patient Care Equip'!$D52</f>
        <v>Electronic drop counter, IV fluids monitor</v>
      </c>
      <c r="C48" s="51" t="str">
        <f>IF($B48='Equipment Assumptions'!$B45,"OK","ERROR")</f>
        <v>ERROR</v>
      </c>
      <c r="D48" s="51" t="str">
        <f t="shared" si="13"/>
        <v>In-patient careElectronic drop counter, IV fluids monitor</v>
      </c>
      <c r="E48" s="110">
        <f t="shared" ca="1" si="8"/>
        <v>0</v>
      </c>
      <c r="F48" s="110">
        <f t="shared" ca="1" si="9"/>
        <v>0</v>
      </c>
      <c r="G48" s="110">
        <f t="shared" ca="1" si="10"/>
        <v>0</v>
      </c>
      <c r="H48" s="110">
        <f t="shared" ca="1" si="11"/>
        <v>0</v>
      </c>
      <c r="I48" s="110">
        <f t="shared" ca="1" si="12"/>
        <v>0</v>
      </c>
      <c r="J48" s="110">
        <f ca="1">INDEX(Equipment_usage_table,MATCH($D48,SearchItem_EUT,0),MATCH(J$15,SearchUser_EUT,0))*Max_total_capped_beds</f>
        <v>0</v>
      </c>
      <c r="K48" s="110">
        <f t="shared" ca="1" si="7"/>
        <v>0</v>
      </c>
      <c r="L48" s="34"/>
      <c r="M48" s="34"/>
      <c r="O48" s="384"/>
      <c r="P48" s="384"/>
      <c r="Q48" s="384"/>
      <c r="R48" s="384"/>
      <c r="S48" s="384"/>
      <c r="T48" s="384"/>
    </row>
    <row r="49" spans="2:20" ht="30" x14ac:dyDescent="0.25">
      <c r="B49" s="51" t="str">
        <f>'Patient Care Equip'!$D53</f>
        <v>Clinical Chemistry Analyser, portable (PoC)</v>
      </c>
      <c r="C49" s="51" t="str">
        <f>IF($B49='Equipment Assumptions'!$B46,"OK","ERROR")</f>
        <v>ERROR</v>
      </c>
      <c r="D49" s="51" t="str">
        <f t="shared" si="13"/>
        <v>In-patient careClinical Chemistry Analyser, portable (PoC)</v>
      </c>
      <c r="E49" s="110">
        <f t="shared" ca="1" si="8"/>
        <v>0</v>
      </c>
      <c r="F49" s="110">
        <f t="shared" ca="1" si="9"/>
        <v>0</v>
      </c>
      <c r="G49" s="110">
        <f t="shared" ca="1" si="10"/>
        <v>0</v>
      </c>
      <c r="H49" s="110">
        <f t="shared" ca="1" si="11"/>
        <v>0</v>
      </c>
      <c r="I49" s="110">
        <f t="shared" ca="1" si="12"/>
        <v>0</v>
      </c>
      <c r="J49" s="110">
        <f ca="1">INDEX(Equipment_usage_table,MATCH($D49,SearchItem_EUT,0),MATCH(J$15,SearchUser_EUT,0))*Max_total_capped_beds</f>
        <v>5.4662523220631165</v>
      </c>
      <c r="K49" s="110">
        <f t="shared" ca="1" si="7"/>
        <v>5.4662523220631165</v>
      </c>
      <c r="M49" s="34"/>
      <c r="O49" s="384"/>
      <c r="P49" s="384"/>
      <c r="Q49" s="384"/>
      <c r="R49" s="384"/>
      <c r="S49" s="384"/>
      <c r="T49" s="384"/>
    </row>
    <row r="50" spans="2:20" ht="30" x14ac:dyDescent="0.25">
      <c r="B50" s="51" t="str">
        <f>'Patient Care Equip'!$D54</f>
        <v>Patient monitor, multiparametric w/ECG, with accessories</v>
      </c>
      <c r="C50" s="51" t="str">
        <f>IF($B50='Equipment Assumptions'!B40,"OK","ERROR")</f>
        <v>ERROR</v>
      </c>
      <c r="D50" s="51" t="str">
        <f t="shared" si="13"/>
        <v>In-patient carePatient monitor, multiparametric w/ECG, with accessories</v>
      </c>
      <c r="E50" s="110">
        <f t="shared" ca="1" si="8"/>
        <v>0</v>
      </c>
      <c r="F50" s="110">
        <f t="shared" ca="1" si="9"/>
        <v>0</v>
      </c>
      <c r="G50" s="110">
        <f t="shared" ca="1" si="10"/>
        <v>0</v>
      </c>
      <c r="H50" s="110">
        <f t="shared" ca="1" si="11"/>
        <v>0</v>
      </c>
      <c r="I50" s="110">
        <f t="shared" ca="1" si="12"/>
        <v>0</v>
      </c>
      <c r="J50" s="110">
        <f ca="1">INDEX(Equipment_usage_table,MATCH($D50,SearchItem_EUT,0),MATCH(J$15,SearchUser_EUT,0))*Max_critical_capped_beds</f>
        <v>66.007734393502474</v>
      </c>
      <c r="K50" s="110">
        <f t="shared" ca="1" si="7"/>
        <v>66.007734393502474</v>
      </c>
      <c r="L50" s="141" t="s">
        <v>931</v>
      </c>
      <c r="M50" s="34"/>
      <c r="O50" s="384"/>
      <c r="P50" s="384"/>
      <c r="Q50" s="384"/>
      <c r="R50" s="384"/>
      <c r="S50" s="384"/>
      <c r="T50" s="384"/>
    </row>
    <row r="51" spans="2:20" ht="30" x14ac:dyDescent="0.25">
      <c r="B51" s="51" t="str">
        <f>'Patient Care Equip'!$D55</f>
        <v>Cricothyrotomy, set, emergency, 6 mm, sterile, single use</v>
      </c>
      <c r="C51" s="51" t="str">
        <f>IF($B51='Equipment Assumptions'!$B47,"OK","ERROR")</f>
        <v>OK</v>
      </c>
      <c r="D51" s="51" t="str">
        <f t="shared" si="13"/>
        <v>In-patient careCricothyrotomy, set, emergency, 6 mm, sterile, single use</v>
      </c>
      <c r="E51" s="110">
        <f t="shared" ca="1" si="8"/>
        <v>0</v>
      </c>
      <c r="F51" s="110">
        <f t="shared" ca="1" si="9"/>
        <v>0</v>
      </c>
      <c r="G51" s="110">
        <f t="shared" ca="1" si="10"/>
        <v>0</v>
      </c>
      <c r="H51" s="110">
        <f t="shared" ca="1" si="11"/>
        <v>0</v>
      </c>
      <c r="I51" s="110">
        <f t="shared" ca="1" si="12"/>
        <v>0</v>
      </c>
      <c r="J51" s="110">
        <f t="shared" ref="J51:J57" ca="1" si="14">INDEX(Equipment_usage_table,MATCH($D51,SearchItem_EUT,0),MATCH(J$15,SearchUser_EUT,0))*Max_total_capped_beds</f>
        <v>5.4662523220631165</v>
      </c>
      <c r="K51" s="110">
        <f t="shared" ca="1" si="7"/>
        <v>5.4662523220631165</v>
      </c>
      <c r="L51" s="34"/>
      <c r="M51" s="34"/>
      <c r="O51" s="384"/>
      <c r="P51" s="384"/>
      <c r="Q51" s="384"/>
      <c r="R51" s="384"/>
      <c r="S51" s="384"/>
      <c r="T51" s="384"/>
    </row>
    <row r="52" spans="2:20" ht="30" x14ac:dyDescent="0.25">
      <c r="B52" s="51" t="str">
        <f>'Patient Care Equip'!$D56</f>
        <v>Laryngoscope, FO, diameter 28 mm, w/blades</v>
      </c>
      <c r="C52" s="51" t="str">
        <f>IF($B52='Equipment Assumptions'!$B48,"OK","ERROR")</f>
        <v>OK</v>
      </c>
      <c r="D52" s="51" t="str">
        <f t="shared" si="13"/>
        <v>In-patient careLaryngoscope, FO, diameter 28 mm, w/blades</v>
      </c>
      <c r="E52" s="110">
        <f t="shared" ca="1" si="8"/>
        <v>0</v>
      </c>
      <c r="F52" s="110">
        <f t="shared" ca="1" si="9"/>
        <v>0</v>
      </c>
      <c r="G52" s="110">
        <f t="shared" ca="1" si="10"/>
        <v>0</v>
      </c>
      <c r="H52" s="110">
        <f t="shared" ca="1" si="11"/>
        <v>0</v>
      </c>
      <c r="I52" s="110">
        <f t="shared" ca="1" si="12"/>
        <v>0</v>
      </c>
      <c r="J52" s="110">
        <f t="shared" ca="1" si="14"/>
        <v>5.4662523220631165</v>
      </c>
      <c r="K52" s="110">
        <f t="shared" ca="1" si="7"/>
        <v>5.4662523220631165</v>
      </c>
      <c r="L52" s="34"/>
      <c r="M52" s="34"/>
      <c r="O52" s="384"/>
      <c r="P52" s="384"/>
      <c r="Q52" s="384"/>
      <c r="R52" s="384"/>
      <c r="S52" s="384"/>
      <c r="T52" s="384"/>
    </row>
    <row r="53" spans="2:20" ht="30" x14ac:dyDescent="0.25">
      <c r="B53" s="51" t="str">
        <f>'Patient Care Equip'!$D57</f>
        <v>Laryngoscope, FO, neonate, diameter 19 mm, w/blades</v>
      </c>
      <c r="C53" s="51" t="str">
        <f>IF($B53='Equipment Assumptions'!$B49,"OK","ERROR")</f>
        <v>OK</v>
      </c>
      <c r="D53" s="51" t="str">
        <f t="shared" si="13"/>
        <v>In-patient careLaryngoscope, FO, neonate, diameter 19 mm, w/blades</v>
      </c>
      <c r="E53" s="110">
        <f t="shared" ca="1" si="8"/>
        <v>0</v>
      </c>
      <c r="F53" s="110">
        <f t="shared" ca="1" si="9"/>
        <v>0</v>
      </c>
      <c r="G53" s="110">
        <f t="shared" ca="1" si="10"/>
        <v>0</v>
      </c>
      <c r="H53" s="110">
        <f t="shared" ca="1" si="11"/>
        <v>0</v>
      </c>
      <c r="I53" s="110">
        <f t="shared" ca="1" si="12"/>
        <v>0</v>
      </c>
      <c r="J53" s="110">
        <f t="shared" ca="1" si="14"/>
        <v>5.4662523220631165</v>
      </c>
      <c r="K53" s="110">
        <f t="shared" ca="1" si="7"/>
        <v>5.4662523220631165</v>
      </c>
      <c r="L53" s="34"/>
      <c r="M53" s="34"/>
      <c r="O53" s="384"/>
      <c r="P53" s="384"/>
      <c r="Q53" s="384"/>
      <c r="R53" s="384"/>
      <c r="S53" s="384"/>
      <c r="T53" s="384"/>
    </row>
    <row r="54" spans="2:20" x14ac:dyDescent="0.25">
      <c r="B54" s="51" t="str">
        <f>'Patient Care Equip'!$D58</f>
        <v>Self-inflating bag, adult/child</v>
      </c>
      <c r="C54" s="51" t="str">
        <f>IF($B54='Equipment Assumptions'!$B50,"OK","ERROR")</f>
        <v>OK</v>
      </c>
      <c r="D54" s="51" t="str">
        <f t="shared" si="13"/>
        <v>In-patient careSelf-inflating bag, adult/child</v>
      </c>
      <c r="E54" s="110">
        <f t="shared" ca="1" si="8"/>
        <v>0</v>
      </c>
      <c r="F54" s="110">
        <f t="shared" ca="1" si="9"/>
        <v>0</v>
      </c>
      <c r="G54" s="110">
        <f t="shared" ca="1" si="10"/>
        <v>0</v>
      </c>
      <c r="H54" s="110">
        <f t="shared" ca="1" si="11"/>
        <v>0</v>
      </c>
      <c r="I54" s="110">
        <f t="shared" ca="1" si="12"/>
        <v>0</v>
      </c>
      <c r="J54" s="110">
        <f t="shared" ca="1" si="14"/>
        <v>5.4662523220631165</v>
      </c>
      <c r="K54" s="110">
        <f ca="1">SUM($E54:$J54)</f>
        <v>5.4662523220631165</v>
      </c>
      <c r="L54" s="34"/>
      <c r="M54" s="34"/>
      <c r="O54" s="384"/>
      <c r="P54" s="384"/>
      <c r="Q54" s="384"/>
      <c r="R54" s="384"/>
      <c r="S54" s="384"/>
      <c r="T54" s="384"/>
    </row>
    <row r="55" spans="2:20" ht="30" x14ac:dyDescent="0.25">
      <c r="B55" s="51" t="str">
        <f>'Patient Care Equip'!$D59</f>
        <v>Self-inflating bag, child/neonate</v>
      </c>
      <c r="C55" s="51" t="str">
        <f>IF($B55='Equipment Assumptions'!$B51,"OK","ERROR")</f>
        <v>OK</v>
      </c>
      <c r="D55" s="51" t="str">
        <f t="shared" si="13"/>
        <v>In-patient careSelf-inflating bag, child/neonate</v>
      </c>
      <c r="E55" s="110">
        <f t="shared" ca="1" si="8"/>
        <v>0</v>
      </c>
      <c r="F55" s="110">
        <f t="shared" ca="1" si="9"/>
        <v>0</v>
      </c>
      <c r="G55" s="110">
        <f t="shared" ca="1" si="10"/>
        <v>0</v>
      </c>
      <c r="H55" s="110">
        <f t="shared" ca="1" si="11"/>
        <v>0</v>
      </c>
      <c r="I55" s="110">
        <f t="shared" ca="1" si="12"/>
        <v>0</v>
      </c>
      <c r="J55" s="110">
        <f t="shared" ca="1" si="14"/>
        <v>5.4662523220631165</v>
      </c>
      <c r="K55" s="110">
        <f t="shared" ca="1" si="7"/>
        <v>5.4662523220631165</v>
      </c>
      <c r="L55" s="34"/>
      <c r="M55" s="34"/>
      <c r="O55" s="384"/>
      <c r="P55" s="384"/>
      <c r="Q55" s="384"/>
      <c r="R55" s="384"/>
      <c r="S55" s="384"/>
      <c r="T55" s="384"/>
    </row>
    <row r="56" spans="2:20" ht="30" x14ac:dyDescent="0.25">
      <c r="B56" s="51" t="str">
        <f>'Patient Care Equip'!$D60</f>
        <v>Suction bulb, for newborn, reusable, autoclavable</v>
      </c>
      <c r="C56" s="51" t="str">
        <f>IF($B56='Equipment Assumptions'!$B52,"OK","ERROR")</f>
        <v>OK</v>
      </c>
      <c r="D56" s="51" t="str">
        <f t="shared" si="13"/>
        <v>In-patient careSuction bulb, for newborn, reusable, autoclavable</v>
      </c>
      <c r="E56" s="110">
        <f t="shared" ca="1" si="8"/>
        <v>0</v>
      </c>
      <c r="F56" s="110">
        <f t="shared" ca="1" si="9"/>
        <v>0</v>
      </c>
      <c r="G56" s="110">
        <f t="shared" ca="1" si="10"/>
        <v>0</v>
      </c>
      <c r="H56" s="110">
        <f t="shared" ca="1" si="11"/>
        <v>0</v>
      </c>
      <c r="I56" s="110">
        <f t="shared" ca="1" si="12"/>
        <v>0</v>
      </c>
      <c r="J56" s="110">
        <f t="shared" ca="1" si="14"/>
        <v>5.4662523220631165</v>
      </c>
      <c r="K56" s="110">
        <f t="shared" ca="1" si="7"/>
        <v>5.4662523220631165</v>
      </c>
      <c r="L56" s="34"/>
      <c r="M56" s="34"/>
      <c r="O56" s="384"/>
      <c r="P56" s="384"/>
      <c r="Q56" s="384"/>
      <c r="R56" s="384"/>
      <c r="S56" s="384"/>
      <c r="T56" s="384"/>
    </row>
    <row r="57" spans="2:20" x14ac:dyDescent="0.25">
      <c r="B57" s="51" t="str">
        <f>'Patient Care Equip'!$D61</f>
        <v>Suction pump, manual</v>
      </c>
      <c r="C57" s="51" t="str">
        <f>IF($B57='Equipment Assumptions'!$B53,"OK","ERROR")</f>
        <v>OK</v>
      </c>
      <c r="D57" s="51" t="str">
        <f t="shared" si="13"/>
        <v>In-patient careSuction pump, manual</v>
      </c>
      <c r="E57" s="110">
        <f t="shared" ca="1" si="8"/>
        <v>0</v>
      </c>
      <c r="F57" s="110">
        <f t="shared" ca="1" si="9"/>
        <v>0</v>
      </c>
      <c r="G57" s="110">
        <f t="shared" ca="1" si="10"/>
        <v>0</v>
      </c>
      <c r="H57" s="110">
        <f t="shared" ca="1" si="11"/>
        <v>0</v>
      </c>
      <c r="I57" s="110">
        <f t="shared" ca="1" si="12"/>
        <v>0</v>
      </c>
      <c r="J57" s="110">
        <f t="shared" ca="1" si="14"/>
        <v>5.4662523220631165</v>
      </c>
      <c r="K57" s="110">
        <f t="shared" ca="1" si="7"/>
        <v>5.4662523220631165</v>
      </c>
      <c r="L57" s="34"/>
      <c r="M57" s="34"/>
      <c r="O57" s="384"/>
      <c r="P57" s="384"/>
      <c r="Q57" s="384"/>
      <c r="R57" s="384"/>
      <c r="S57" s="384"/>
      <c r="T57" s="384"/>
    </row>
    <row r="58" spans="2:20" ht="45" x14ac:dyDescent="0.25">
      <c r="B58" s="51" t="str">
        <f>'Patient Care Equip'!$D62</f>
        <v>Patient ventilator, intensive care, for adult, paediatric and neonate w/breathing circuits</v>
      </c>
      <c r="C58" s="51" t="str">
        <f>IF($B58='Equipment Assumptions'!$B54,"OK","ERROR")</f>
        <v>OK</v>
      </c>
      <c r="D58" s="51" t="str">
        <f t="shared" si="13"/>
        <v>In-patient carePatient ventilator, intensive care, for adult, paediatric and neonate w/breathing circuits</v>
      </c>
      <c r="E58" s="110">
        <f t="shared" ca="1" si="8"/>
        <v>0</v>
      </c>
      <c r="F58" s="110">
        <f t="shared" ca="1" si="9"/>
        <v>0</v>
      </c>
      <c r="G58" s="110">
        <f t="shared" ca="1" si="10"/>
        <v>0</v>
      </c>
      <c r="H58" s="110">
        <f t="shared" ca="1" si="11"/>
        <v>0</v>
      </c>
      <c r="I58" s="110">
        <f t="shared" ca="1" si="12"/>
        <v>0</v>
      </c>
      <c r="J58" s="110">
        <f ca="1">INDEX(Equipment_usage_table,MATCH($D58,SearchItem_EUT,0),MATCH(J$15,SearchUser_EUT,0))*Max_critical_capped_beds*50%</f>
        <v>33.003867196751237</v>
      </c>
      <c r="K58" s="110">
        <f t="shared" ca="1" si="7"/>
        <v>33.003867196751237</v>
      </c>
      <c r="L58" s="34"/>
      <c r="M58" s="34"/>
      <c r="O58" s="384"/>
      <c r="P58" s="384"/>
      <c r="Q58" s="384"/>
      <c r="R58" s="384"/>
      <c r="S58" s="384"/>
      <c r="T58" s="384"/>
    </row>
    <row r="59" spans="2:20" ht="30" x14ac:dyDescent="0.25">
      <c r="B59" s="51" t="str">
        <f>'Patient Care Equip'!$D63</f>
        <v>High Flow Nasal Cannula, with accessories</v>
      </c>
      <c r="C59" s="51" t="str">
        <f>IF($B59='Equipment Assumptions'!$B55,"OK","ERROR")</f>
        <v>OK</v>
      </c>
      <c r="D59" s="51" t="str">
        <f t="shared" si="13"/>
        <v>In-patient careHigh Flow Nasal Cannula, with accessories</v>
      </c>
      <c r="E59" s="110">
        <f t="shared" ca="1" si="8"/>
        <v>0</v>
      </c>
      <c r="F59" s="110">
        <f t="shared" ca="1" si="9"/>
        <v>0</v>
      </c>
      <c r="G59" s="110">
        <f t="shared" ca="1" si="10"/>
        <v>0</v>
      </c>
      <c r="H59" s="110">
        <f t="shared" ca="1" si="11"/>
        <v>0</v>
      </c>
      <c r="I59" s="110">
        <f t="shared" ca="1" si="12"/>
        <v>0</v>
      </c>
      <c r="J59" s="110">
        <f t="shared" ref="J59:J70" ca="1" si="15">INDEX(Equipment_usage_table,MATCH($D59,SearchItem_EUT,0),MATCH(J$15,SearchUser_EUT,0))*Max_total_capped_beds</f>
        <v>218.65009288252463</v>
      </c>
      <c r="K59" s="110">
        <f t="shared" ca="1" si="7"/>
        <v>218.65009288252463</v>
      </c>
      <c r="L59" s="34"/>
      <c r="M59" s="34"/>
      <c r="O59" s="384"/>
      <c r="P59" s="384"/>
      <c r="Q59" s="384"/>
      <c r="R59" s="384"/>
      <c r="S59" s="384"/>
      <c r="T59" s="384"/>
    </row>
    <row r="60" spans="2:20" ht="30" x14ac:dyDescent="0.25">
      <c r="B60" s="51" t="str">
        <f>'Patient Care Equip'!$D64</f>
        <v>Suction pump, electrical, w/accessories</v>
      </c>
      <c r="C60" s="51" t="str">
        <f>IF($B60='Equipment Assumptions'!$B56,"OK","ERROR")</f>
        <v>OK</v>
      </c>
      <c r="D60" s="51" t="str">
        <f t="shared" si="13"/>
        <v>In-patient careSuction pump, electrical, w/accessories</v>
      </c>
      <c r="E60" s="110">
        <f t="shared" ca="1" si="8"/>
        <v>0</v>
      </c>
      <c r="F60" s="110">
        <f t="shared" ca="1" si="9"/>
        <v>0</v>
      </c>
      <c r="G60" s="110">
        <f t="shared" ca="1" si="10"/>
        <v>0</v>
      </c>
      <c r="H60" s="110">
        <f t="shared" ca="1" si="11"/>
        <v>0</v>
      </c>
      <c r="I60" s="110">
        <f t="shared" ca="1" si="12"/>
        <v>0</v>
      </c>
      <c r="J60" s="110">
        <f t="shared" ca="1" si="15"/>
        <v>218.65009288252463</v>
      </c>
      <c r="K60" s="110">
        <f t="shared" ca="1" si="7"/>
        <v>218.65009288252463</v>
      </c>
      <c r="L60" s="34"/>
      <c r="M60" s="34"/>
      <c r="O60" s="384"/>
      <c r="P60" s="384"/>
      <c r="Q60" s="384"/>
      <c r="R60" s="384"/>
      <c r="S60" s="384"/>
      <c r="T60" s="384"/>
    </row>
    <row r="61" spans="2:20" x14ac:dyDescent="0.25">
      <c r="B61" s="51" t="str">
        <f>'Patient Care Equip'!$D65</f>
        <v>Infusion pump, w/accessories</v>
      </c>
      <c r="C61" s="51" t="str">
        <f>IF($B61='Equipment Assumptions'!$B57,"OK","ERROR")</f>
        <v>OK</v>
      </c>
      <c r="D61" s="51" t="str">
        <f t="shared" si="13"/>
        <v>In-patient careInfusion pump, w/accessories</v>
      </c>
      <c r="E61" s="110">
        <f t="shared" ca="1" si="8"/>
        <v>0</v>
      </c>
      <c r="F61" s="110">
        <f t="shared" ca="1" si="9"/>
        <v>0</v>
      </c>
      <c r="G61" s="110">
        <f t="shared" ca="1" si="10"/>
        <v>0</v>
      </c>
      <c r="H61" s="110">
        <f t="shared" ca="1" si="11"/>
        <v>0</v>
      </c>
      <c r="I61" s="110">
        <f t="shared" ca="1" si="12"/>
        <v>0</v>
      </c>
      <c r="J61" s="110">
        <f t="shared" ca="1" si="15"/>
        <v>218.65009288252463</v>
      </c>
      <c r="K61" s="110">
        <f t="shared" ca="1" si="7"/>
        <v>218.65009288252463</v>
      </c>
      <c r="L61" s="34"/>
      <c r="M61" s="34"/>
      <c r="O61" s="384"/>
      <c r="P61" s="384"/>
      <c r="Q61" s="384"/>
      <c r="R61" s="384"/>
      <c r="S61" s="384"/>
      <c r="T61" s="384"/>
    </row>
    <row r="62" spans="2:20" ht="45" x14ac:dyDescent="0.25">
      <c r="B62" s="51" t="str">
        <f>'Patient Care Equip'!$D66</f>
        <v>Drill, for vascular access, w/accessories adult and paediatric, w/transport bag</v>
      </c>
      <c r="C62" s="51" t="str">
        <f>IF($B62='Equipment Assumptions'!$B58,"OK","ERROR")</f>
        <v>OK</v>
      </c>
      <c r="D62" s="51" t="str">
        <f t="shared" si="13"/>
        <v>In-patient careDrill, for vascular access, w/accessories adult and paediatric, w/transport bag</v>
      </c>
      <c r="E62" s="110">
        <f t="shared" ca="1" si="8"/>
        <v>0</v>
      </c>
      <c r="F62" s="110">
        <f t="shared" ca="1" si="9"/>
        <v>0</v>
      </c>
      <c r="G62" s="110">
        <f t="shared" ca="1" si="10"/>
        <v>0</v>
      </c>
      <c r="H62" s="110">
        <f t="shared" ca="1" si="11"/>
        <v>0</v>
      </c>
      <c r="I62" s="110">
        <f t="shared" ca="1" si="12"/>
        <v>0</v>
      </c>
      <c r="J62" s="110">
        <f t="shared" ca="1" si="15"/>
        <v>5.4662523220631165</v>
      </c>
      <c r="K62" s="110">
        <f t="shared" ca="1" si="7"/>
        <v>5.4662523220631165</v>
      </c>
      <c r="L62" s="34"/>
      <c r="M62" s="34"/>
      <c r="O62" s="384"/>
      <c r="P62" s="384"/>
      <c r="Q62" s="384"/>
      <c r="R62" s="384"/>
      <c r="S62" s="384"/>
      <c r="T62" s="384"/>
    </row>
    <row r="63" spans="2:20" ht="30" x14ac:dyDescent="0.25">
      <c r="B63" s="51" t="str">
        <f>'Patient Care Equip'!$D67</f>
        <v>Defibrillator, semiautomatic, w/accessories</v>
      </c>
      <c r="C63" s="51" t="str">
        <f>IF($B63='Equipment Assumptions'!$B59,"OK","ERROR")</f>
        <v>OK</v>
      </c>
      <c r="D63" s="51" t="str">
        <f t="shared" si="13"/>
        <v>In-patient careDefibrillator, semiautomatic, w/accessories</v>
      </c>
      <c r="E63" s="110">
        <f t="shared" ca="1" si="8"/>
        <v>0</v>
      </c>
      <c r="F63" s="110">
        <f t="shared" ca="1" si="9"/>
        <v>0</v>
      </c>
      <c r="G63" s="110">
        <f t="shared" ca="1" si="10"/>
        <v>0</v>
      </c>
      <c r="H63" s="110">
        <f t="shared" ca="1" si="11"/>
        <v>0</v>
      </c>
      <c r="I63" s="110">
        <f t="shared" ca="1" si="12"/>
        <v>0</v>
      </c>
      <c r="J63" s="110">
        <f t="shared" ca="1" si="15"/>
        <v>5.4662523220631165</v>
      </c>
      <c r="K63" s="110">
        <f t="shared" ca="1" si="7"/>
        <v>5.4662523220631165</v>
      </c>
      <c r="L63" s="34"/>
      <c r="M63" s="34"/>
      <c r="O63" s="384"/>
      <c r="P63" s="384"/>
      <c r="Q63" s="384"/>
      <c r="R63" s="384"/>
      <c r="S63" s="384"/>
      <c r="T63" s="384"/>
    </row>
    <row r="64" spans="2:20" ht="30" x14ac:dyDescent="0.25">
      <c r="B64" s="51" t="str">
        <f>'Patient Care Equip'!$D68</f>
        <v>Electrocardiograph, portable, w/accessories</v>
      </c>
      <c r="C64" s="51" t="str">
        <f>IF($B64='Equipment Assumptions'!$B60,"OK","ERROR")</f>
        <v>OK</v>
      </c>
      <c r="D64" s="51" t="str">
        <f t="shared" si="13"/>
        <v>In-patient careElectrocardiograph, portable, w/accessories</v>
      </c>
      <c r="E64" s="110">
        <f t="shared" ca="1" si="8"/>
        <v>0</v>
      </c>
      <c r="F64" s="110">
        <f t="shared" ca="1" si="9"/>
        <v>0</v>
      </c>
      <c r="G64" s="110">
        <f t="shared" ca="1" si="10"/>
        <v>0</v>
      </c>
      <c r="H64" s="110">
        <f t="shared" ca="1" si="11"/>
        <v>0</v>
      </c>
      <c r="I64" s="110">
        <f t="shared" ca="1" si="12"/>
        <v>0</v>
      </c>
      <c r="J64" s="110">
        <f t="shared" ca="1" si="15"/>
        <v>5.4662523220631165</v>
      </c>
      <c r="K64" s="110">
        <f t="shared" ca="1" si="7"/>
        <v>5.4662523220631165</v>
      </c>
      <c r="L64" s="34"/>
      <c r="M64" s="34"/>
      <c r="O64" s="384"/>
      <c r="P64" s="384"/>
      <c r="Q64" s="384"/>
      <c r="R64" s="384"/>
      <c r="S64" s="384"/>
      <c r="T64" s="384"/>
    </row>
    <row r="65" spans="2:20" ht="30" x14ac:dyDescent="0.25">
      <c r="B65" s="51" t="str">
        <f>'Patient Care Equip'!$D69</f>
        <v>Ultrasound, portable, w/ transducers and trolley</v>
      </c>
      <c r="C65" s="51" t="str">
        <f>IF($B65='Equipment Assumptions'!$B61,"OK","ERROR")</f>
        <v>OK</v>
      </c>
      <c r="D65" s="51" t="str">
        <f t="shared" si="13"/>
        <v>In-patient careUltrasound, portable, w/ transducers and trolley</v>
      </c>
      <c r="E65" s="110">
        <f t="shared" ca="1" si="8"/>
        <v>0</v>
      </c>
      <c r="F65" s="110">
        <f t="shared" ca="1" si="9"/>
        <v>0</v>
      </c>
      <c r="G65" s="110">
        <f t="shared" ca="1" si="10"/>
        <v>0</v>
      </c>
      <c r="H65" s="110">
        <f t="shared" ca="1" si="11"/>
        <v>0</v>
      </c>
      <c r="I65" s="110">
        <f t="shared" ca="1" si="12"/>
        <v>0</v>
      </c>
      <c r="J65" s="110">
        <f t="shared" ca="1" si="15"/>
        <v>5.4662523220631165</v>
      </c>
      <c r="K65" s="110">
        <f t="shared" ca="1" si="7"/>
        <v>5.4662523220631165</v>
      </c>
      <c r="L65" s="34"/>
      <c r="M65" s="34"/>
      <c r="O65" s="384"/>
      <c r="P65" s="384"/>
      <c r="Q65" s="384"/>
      <c r="R65" s="384"/>
      <c r="S65" s="384"/>
      <c r="T65" s="384"/>
    </row>
    <row r="66" spans="2:20" x14ac:dyDescent="0.25">
      <c r="B66" s="51" t="str">
        <f>'Patient Care Equip'!$D70</f>
        <v>Table, resuscitation, neonate</v>
      </c>
      <c r="C66" s="51" t="str">
        <f>IF($B66='Equipment Assumptions'!$B62,"OK","ERROR")</f>
        <v>OK</v>
      </c>
      <c r="D66" s="51" t="str">
        <f t="shared" si="13"/>
        <v>In-patient careTable, resuscitation, neonate</v>
      </c>
      <c r="E66" s="110">
        <f t="shared" ca="1" si="8"/>
        <v>0</v>
      </c>
      <c r="F66" s="110">
        <f t="shared" ca="1" si="9"/>
        <v>0</v>
      </c>
      <c r="G66" s="110">
        <f t="shared" ca="1" si="10"/>
        <v>0</v>
      </c>
      <c r="H66" s="110">
        <f t="shared" ca="1" si="11"/>
        <v>0</v>
      </c>
      <c r="I66" s="110">
        <f t="shared" ca="1" si="12"/>
        <v>0</v>
      </c>
      <c r="J66" s="110">
        <f t="shared" ca="1" si="15"/>
        <v>5.4662523220631165</v>
      </c>
      <c r="K66" s="110">
        <f t="shared" ca="1" si="7"/>
        <v>5.4662523220631165</v>
      </c>
      <c r="L66" s="34"/>
      <c r="M66" s="34"/>
      <c r="O66" s="384"/>
      <c r="P66" s="384"/>
      <c r="Q66" s="384"/>
      <c r="R66" s="384"/>
      <c r="S66" s="384"/>
      <c r="T66" s="384"/>
    </row>
    <row r="67" spans="2:20" ht="30" x14ac:dyDescent="0.25">
      <c r="B67" s="51" t="str">
        <f>'Patient Care Equip'!$D71</f>
        <v xml:space="preserve">Infant scale, electronic, 0-20 kg </v>
      </c>
      <c r="C67" s="51" t="str">
        <f>IF($B67='Equipment Assumptions'!$B63,"OK","ERROR")</f>
        <v>OK</v>
      </c>
      <c r="D67" s="51" t="str">
        <f t="shared" si="13"/>
        <v xml:space="preserve">In-patient careInfant scale, electronic, 0-20 kg </v>
      </c>
      <c r="E67" s="110">
        <f t="shared" ca="1" si="8"/>
        <v>0</v>
      </c>
      <c r="F67" s="110">
        <f t="shared" ca="1" si="9"/>
        <v>0</v>
      </c>
      <c r="G67" s="110">
        <f t="shared" ca="1" si="10"/>
        <v>0</v>
      </c>
      <c r="H67" s="110">
        <f t="shared" ca="1" si="11"/>
        <v>0</v>
      </c>
      <c r="I67" s="110">
        <f t="shared" ca="1" si="12"/>
        <v>0</v>
      </c>
      <c r="J67" s="110">
        <f t="shared" ca="1" si="15"/>
        <v>5.4662523220631165</v>
      </c>
      <c r="K67" s="110">
        <f t="shared" ca="1" si="7"/>
        <v>5.4662523220631165</v>
      </c>
      <c r="L67" s="34"/>
      <c r="M67" s="34"/>
      <c r="O67" s="384"/>
      <c r="P67" s="384"/>
      <c r="Q67" s="384"/>
      <c r="R67" s="384"/>
      <c r="S67" s="384"/>
      <c r="T67" s="384"/>
    </row>
    <row r="68" spans="2:20" x14ac:dyDescent="0.25">
      <c r="B68" s="51" t="str">
        <f>'Patient Care Equip'!$D72</f>
        <v>Scale, electronic, 50g/0-200kg</v>
      </c>
      <c r="C68" s="51" t="str">
        <f>IF($B68='Equipment Assumptions'!$B64,"OK","ERROR")</f>
        <v>OK</v>
      </c>
      <c r="D68" s="51" t="str">
        <f t="shared" si="13"/>
        <v>In-patient careScale, electronic, 50g/0-200kg</v>
      </c>
      <c r="E68" s="110">
        <f t="shared" ca="1" si="8"/>
        <v>0</v>
      </c>
      <c r="F68" s="110">
        <f t="shared" ca="1" si="9"/>
        <v>0</v>
      </c>
      <c r="G68" s="110">
        <f t="shared" ca="1" si="10"/>
        <v>0</v>
      </c>
      <c r="H68" s="110">
        <f t="shared" ca="1" si="11"/>
        <v>0</v>
      </c>
      <c r="I68" s="110">
        <f t="shared" ca="1" si="12"/>
        <v>0</v>
      </c>
      <c r="J68" s="110">
        <f t="shared" ca="1" si="15"/>
        <v>5.4662523220631165</v>
      </c>
      <c r="K68" s="110">
        <f t="shared" ca="1" si="7"/>
        <v>5.4662523220631165</v>
      </c>
      <c r="L68" s="34"/>
      <c r="M68" s="34"/>
      <c r="O68" s="384"/>
      <c r="P68" s="384"/>
      <c r="Q68" s="384"/>
      <c r="R68" s="384"/>
      <c r="S68" s="384"/>
      <c r="T68" s="384"/>
    </row>
    <row r="69" spans="2:20" ht="30" x14ac:dyDescent="0.25">
      <c r="B69" s="51" t="str">
        <f>'Patient Care Equip'!$D73</f>
        <v>Autoclave, 40-60L, with accessories</v>
      </c>
      <c r="C69" s="51" t="str">
        <f>IF($B69='Equipment Assumptions'!$B65,"OK","ERROR")</f>
        <v>OK</v>
      </c>
      <c r="D69" s="51" t="str">
        <f t="shared" si="13"/>
        <v>In-patient careAutoclave, 40-60L, with accessories</v>
      </c>
      <c r="E69" s="110">
        <f t="shared" ca="1" si="8"/>
        <v>0</v>
      </c>
      <c r="F69" s="110">
        <f t="shared" ca="1" si="9"/>
        <v>0</v>
      </c>
      <c r="G69" s="110">
        <f t="shared" ca="1" si="10"/>
        <v>0</v>
      </c>
      <c r="H69" s="110">
        <f t="shared" ca="1" si="11"/>
        <v>0</v>
      </c>
      <c r="I69" s="110">
        <f t="shared" ca="1" si="12"/>
        <v>0</v>
      </c>
      <c r="J69" s="110">
        <f t="shared" ca="1" si="15"/>
        <v>5.4662523220631165</v>
      </c>
      <c r="K69" s="110">
        <f t="shared" ca="1" si="7"/>
        <v>5.4662523220631165</v>
      </c>
      <c r="L69" s="34"/>
      <c r="M69" s="34"/>
      <c r="O69" s="384"/>
      <c r="P69" s="384"/>
      <c r="Q69" s="384"/>
      <c r="R69" s="384"/>
      <c r="S69" s="384"/>
      <c r="T69" s="384"/>
    </row>
    <row r="70" spans="2:20" ht="30.75" thickBot="1" x14ac:dyDescent="0.3">
      <c r="B70" s="51" t="str">
        <f>'Patient Care Equip'!$D74</f>
        <v>Autoclave, 90L, with accessories</v>
      </c>
      <c r="C70" s="51" t="str">
        <f>IF($B70='Equipment Assumptions'!$B66,"OK","ERROR")</f>
        <v>OK</v>
      </c>
      <c r="D70" s="51" t="str">
        <f t="shared" si="13"/>
        <v>In-patient careAutoclave, 90L, with accessories</v>
      </c>
      <c r="E70" s="110">
        <f t="shared" ca="1" si="8"/>
        <v>0</v>
      </c>
      <c r="F70" s="110">
        <f t="shared" ca="1" si="9"/>
        <v>0</v>
      </c>
      <c r="G70" s="110">
        <f t="shared" ca="1" si="10"/>
        <v>0</v>
      </c>
      <c r="H70" s="110">
        <f t="shared" ca="1" si="11"/>
        <v>0</v>
      </c>
      <c r="I70" s="110">
        <f t="shared" ca="1" si="12"/>
        <v>0</v>
      </c>
      <c r="J70" s="110">
        <f t="shared" ca="1" si="15"/>
        <v>5.4662523220631165</v>
      </c>
      <c r="K70" s="110">
        <f t="shared" ca="1" si="7"/>
        <v>5.4662523220631165</v>
      </c>
      <c r="L70" s="34"/>
      <c r="M70" s="34"/>
      <c r="O70" s="384"/>
      <c r="P70" s="384"/>
      <c r="Q70" s="384"/>
      <c r="R70" s="384"/>
      <c r="S70" s="384"/>
      <c r="T70" s="384"/>
    </row>
    <row r="71" spans="2:20" x14ac:dyDescent="0.25">
      <c r="B71" s="54" t="s">
        <v>282</v>
      </c>
      <c r="C71" s="54" t="str">
        <f>IF($B71='Equipment Assumptions'!$B67,"OK","ERROR")</f>
        <v>OK</v>
      </c>
      <c r="D71" s="54"/>
      <c r="E71" s="46"/>
      <c r="F71" s="46"/>
      <c r="G71" s="46"/>
      <c r="H71" s="46"/>
      <c r="I71" s="57"/>
      <c r="J71" s="57"/>
      <c r="K71" s="57"/>
      <c r="O71" s="389"/>
      <c r="P71" s="389"/>
      <c r="Q71" s="389"/>
      <c r="R71" s="389"/>
      <c r="S71" s="389"/>
      <c r="T71" s="389"/>
    </row>
    <row r="72" spans="2:20" x14ac:dyDescent="0.25">
      <c r="B72" s="50" t="s">
        <v>264</v>
      </c>
      <c r="C72" s="107" t="str">
        <f>IF($B72='Equipment Assumptions'!$B68,"OK","ERROR")</f>
        <v>OK</v>
      </c>
      <c r="D72" s="107"/>
      <c r="E72" s="47"/>
      <c r="F72" s="48"/>
      <c r="G72" s="135" t="s">
        <v>839</v>
      </c>
      <c r="H72" s="48"/>
      <c r="I72" s="135" t="s">
        <v>839</v>
      </c>
      <c r="J72" s="48"/>
      <c r="K72" s="48"/>
      <c r="L72" s="40"/>
      <c r="M72" s="40"/>
      <c r="N72" s="40"/>
      <c r="O72" s="388"/>
      <c r="P72" s="388"/>
      <c r="Q72" s="388"/>
      <c r="R72" s="388"/>
      <c r="S72" s="388"/>
      <c r="T72" s="388"/>
    </row>
    <row r="73" spans="2:20" x14ac:dyDescent="0.25">
      <c r="B73" s="52" t="str">
        <f>'Patient Care Equip'!D40</f>
        <v>Mask, medical</v>
      </c>
      <c r="C73" s="52" t="str">
        <f>IF($B73='Equipment Assumptions'!$B69,"OK","ERROR")</f>
        <v>OK</v>
      </c>
      <c r="D73" s="52" t="str">
        <f>CONCATENATE($B$71,$B73)</f>
        <v>Out-patient careMask, medical</v>
      </c>
      <c r="E73" s="110">
        <f>IF($M73="Yes",IF(INDEX(Equipment_usage_table,MATCH($D73,SearchItem_EUT,0),MATCH(E$15,SearchUser_EUT,0))&gt;0,Max_HCW_for_outpatient,0),INDEX(Equipment_usage_table,MATCH($D73,SearchItem_EUT,0),MATCH(E$15,SearchUser_EUT,0))*Total_HCW_for_outpatient)</f>
        <v>0</v>
      </c>
      <c r="F73" s="110"/>
      <c r="G73" s="110">
        <f>INDEX(Equipment_usage_table,MATCH($D73,SearchItem_EUT,0),MATCH(G$15,SearchUser_EUT,0))*Total_caretaker*SelfQuarantine_Mild*7</f>
        <v>15103.140567995066</v>
      </c>
      <c r="H73" s="110"/>
      <c r="I73" s="110">
        <f>INDEX(Equipment_usage_table,MATCH($D73,SearchItem_EUT,0),MATCH(I$15,SearchUser_EUT,0))*Total_Outpatient*SelfQuarantine_Mild*7</f>
        <v>0</v>
      </c>
      <c r="J73" s="110"/>
      <c r="K73" s="110">
        <f t="shared" ref="K73:K79" si="16">SUM($E73:$J73)</f>
        <v>15103.140567995066</v>
      </c>
      <c r="L73" s="41" t="s">
        <v>321</v>
      </c>
      <c r="M73" s="123" t="str">
        <f>INDEX('Patient Care Equip'!$E$17:$E$41,MATCH($B73,'Patient Care Equip'!$D$17:$D$41,0))</f>
        <v>No</v>
      </c>
      <c r="O73" s="390"/>
      <c r="P73" s="390"/>
      <c r="Q73" s="390"/>
      <c r="R73" s="390"/>
      <c r="S73" s="390"/>
      <c r="T73" s="390"/>
    </row>
    <row r="74" spans="2:20" x14ac:dyDescent="0.25">
      <c r="B74" s="52" t="str">
        <f>'Patient Care Equip'!D41</f>
        <v>Mask, medical patient</v>
      </c>
      <c r="C74" s="52" t="str">
        <f>IF($B74='Equipment Assumptions'!$B70,"OK","ERROR")</f>
        <v>OK</v>
      </c>
      <c r="D74" s="52" t="str">
        <f t="shared" ref="D74:D79" si="17">CONCATENATE($B$71,$B74)</f>
        <v>Out-patient careMask, medical patient</v>
      </c>
      <c r="E74" s="110">
        <f>IF($M74="Yes",IF(INDEX(Equipment_usage_table,MATCH($D74,SearchItem_EUT,0),MATCH(E$15,SearchUser_EUT,0))&gt;0,Max_HCW_for_outpatient,0),INDEX(Equipment_usage_table,MATCH($D74,SearchItem_EUT,0),MATCH(E$15,SearchUser_EUT,0))*Total_HCW_for_outpatient)</f>
        <v>0</v>
      </c>
      <c r="F74" s="110"/>
      <c r="G74" s="110">
        <f>INDEX(Equipment_usage_table,MATCH($D74,SearchItem_EUT,0),MATCH(G$15,SearchUser_EUT,0))*Total_caretaker*SelfQuarantine_Mild*7</f>
        <v>0</v>
      </c>
      <c r="H74" s="110"/>
      <c r="I74" s="110">
        <f>INDEX(Equipment_usage_table,MATCH($D74,SearchItem_EUT,0),MATCH(I$15,SearchUser_EUT,0))*Total_Outpatient*SelfQuarantine_Mild*7</f>
        <v>15103.140567995066</v>
      </c>
      <c r="J74" s="110"/>
      <c r="K74" s="110">
        <f t="shared" si="16"/>
        <v>15103.140567995066</v>
      </c>
      <c r="L74" s="41" t="s">
        <v>321</v>
      </c>
      <c r="M74" s="123" t="str">
        <f>INDEX('Patient Care Equip'!$E$17:$E$41,MATCH($B74,'Patient Care Equip'!$D$17:$D$41,0))</f>
        <v>No</v>
      </c>
      <c r="O74" s="390"/>
      <c r="P74" s="390"/>
      <c r="Q74" s="390"/>
      <c r="R74" s="390"/>
      <c r="S74" s="390"/>
      <c r="T74" s="390"/>
    </row>
    <row r="75" spans="2:20" x14ac:dyDescent="0.25">
      <c r="B75" s="45" t="str">
        <f>'Patient Care Equip'!D35</f>
        <v>Gloves, examination</v>
      </c>
      <c r="C75" s="87" t="str">
        <f>IF($B75='Equipment Assumptions'!$B71,"OK","ERROR")</f>
        <v>OK</v>
      </c>
      <c r="D75" s="52" t="str">
        <f t="shared" si="17"/>
        <v>Out-patient careGloves, examination</v>
      </c>
      <c r="E75" s="110">
        <f>IF($M75="Yes",IF(INDEX(Equipment_usage_table,MATCH($D75,SearchItem_EUT,0),MATCH(E$15,SearchUser_EUT,0))&gt;0,Max_HCW_for_outpatient,0),INDEX(Equipment_usage_table,MATCH($D75,SearchItem_EUT,0),MATCH(E$15,SearchUser_EUT,0))*Total_HCW_for_outpatient)</f>
        <v>0</v>
      </c>
      <c r="F75" s="110"/>
      <c r="G75" s="110">
        <f>INDEX(Equipment_usage_table,MATCH($D75,SearchItem_EUT,0),MATCH(G$15,SearchUser_EUT,0))*Total_caretaker*SelfQuarantine_Mild*7</f>
        <v>30206.281135990132</v>
      </c>
      <c r="H75" s="110"/>
      <c r="I75" s="110">
        <f>INDEX(Equipment_usage_table,MATCH($D75,SearchItem_EUT,0),MATCH(I$15,SearchUser_EUT,0))*Total_Outpatient*SelfQuarantine_Mild*7</f>
        <v>15103.140567995066</v>
      </c>
      <c r="J75" s="110"/>
      <c r="K75" s="110">
        <f t="shared" si="16"/>
        <v>45309.421703985194</v>
      </c>
      <c r="L75" s="41" t="s">
        <v>320</v>
      </c>
      <c r="M75" s="123" t="str">
        <f>INDEX('Patient Care Equip'!$E$17:$E$41,MATCH($B75,'Patient Care Equip'!$D$17:$D$41,0))</f>
        <v>No</v>
      </c>
      <c r="O75" s="391"/>
      <c r="P75" s="391"/>
      <c r="Q75" s="391"/>
      <c r="R75" s="391"/>
      <c r="S75" s="391"/>
      <c r="T75" s="391"/>
    </row>
    <row r="76" spans="2:20" x14ac:dyDescent="0.25">
      <c r="B76" s="45" t="str">
        <f>'Patient Care Equip'!D20</f>
        <v>Gown, protective</v>
      </c>
      <c r="C76" s="87" t="str">
        <f>IF($B76='Equipment Assumptions'!$B72,"OK","ERROR")</f>
        <v>OK</v>
      </c>
      <c r="D76" s="52" t="str">
        <f t="shared" si="17"/>
        <v>Out-patient careGown, protective</v>
      </c>
      <c r="E76" s="110">
        <f>IF($M76="Yes",IF(INDEX(Equipment_usage_table,MATCH($D76,SearchItem_EUT,0),MATCH(E$15,SearchUser_EUT,0))&gt;0,Max_HCW_for_outpatient,0),INDEX(Equipment_usage_table,MATCH($D76,SearchItem_EUT,0),MATCH(E$15,SearchUser_EUT,0))*Total_HCW_for_outpatient)</f>
        <v>0</v>
      </c>
      <c r="F76" s="110"/>
      <c r="G76" s="110">
        <f>INDEX(Equipment_usage_table,MATCH($D76,SearchItem_EUT,0),MATCH(G$15,SearchUser_EUT,0))*Total_caretaker*SelfQuarantine_Mild*7</f>
        <v>0</v>
      </c>
      <c r="H76" s="110"/>
      <c r="I76" s="110">
        <f>INDEX(Equipment_usage_table,MATCH($D76,SearchItem_EUT,0),MATCH(I$15,SearchUser_EUT,0))*Total_Outpatient*SelfQuarantine_Mild*7</f>
        <v>0</v>
      </c>
      <c r="J76" s="110"/>
      <c r="K76" s="110">
        <f t="shared" si="16"/>
        <v>0</v>
      </c>
      <c r="L76" s="41" t="s">
        <v>321</v>
      </c>
      <c r="M76" s="123" t="str">
        <f>INDEX('Patient Care Equip'!$E$17:$E$41,MATCH($B76,'Patient Care Equip'!$D$17:$D$41,0))</f>
        <v>No</v>
      </c>
      <c r="O76" s="391"/>
      <c r="P76" s="391"/>
      <c r="Q76" s="391"/>
      <c r="R76" s="391"/>
      <c r="S76" s="391"/>
      <c r="T76" s="391"/>
    </row>
    <row r="77" spans="2:20" x14ac:dyDescent="0.25">
      <c r="B77" s="45" t="str">
        <f>'Patient Care Equip'!D37</f>
        <v>Goggles, protective</v>
      </c>
      <c r="C77" s="87" t="str">
        <f>IF($B77='Equipment Assumptions'!$B73,"OK","ERROR")</f>
        <v>OK</v>
      </c>
      <c r="D77" s="52" t="str">
        <f t="shared" si="17"/>
        <v>Out-patient careGoggles, protective</v>
      </c>
      <c r="E77" s="110">
        <f>IF($M77="Yes",IF(INDEX(Equipment_usage_table,MATCH($D77,SearchItem_EUT,0),MATCH(E$15,SearchUser_EUT,0))&gt;0,Max_HCW_for_outpatient,0),INDEX(Equipment_usage_table,MATCH($D77,SearchItem_EUT,0),MATCH(E$15,SearchUser_EUT,0))*Total_HCW_for_outpatient)</f>
        <v>0</v>
      </c>
      <c r="F77" s="110"/>
      <c r="G77" s="110">
        <f>INDEX(Equipment_usage_table,MATCH($D77,SearchItem_EUT,0),MATCH(G$15,SearchUser_EUT,0))*Total_caretaker*SelfQuarantine_Mild*7</f>
        <v>0</v>
      </c>
      <c r="H77" s="110"/>
      <c r="I77" s="110">
        <f>INDEX(Equipment_usage_table,MATCH($D77,SearchItem_EUT,0),MATCH(I$15,SearchUser_EUT,0))*Total_Outpatient*SelfQuarantine_Mild*7</f>
        <v>0</v>
      </c>
      <c r="J77" s="110"/>
      <c r="K77" s="110">
        <f t="shared" si="16"/>
        <v>0</v>
      </c>
      <c r="L77" s="41" t="s">
        <v>321</v>
      </c>
      <c r="M77" s="123" t="str">
        <f>INDEX('Patient Care Equip'!$E$17:$E$41,MATCH($B77,'Patient Care Equip'!$D$17:$D$41,0))</f>
        <v>Yes</v>
      </c>
      <c r="O77" s="391"/>
      <c r="P77" s="391"/>
      <c r="Q77" s="391"/>
      <c r="R77" s="391"/>
      <c r="S77" s="391"/>
      <c r="T77" s="391"/>
    </row>
    <row r="78" spans="2:20" x14ac:dyDescent="0.25">
      <c r="B78" s="50" t="s">
        <v>332</v>
      </c>
      <c r="C78" s="107" t="str">
        <f>IF($B78='Equipment Assumptions'!$B74,"OK","ERROR")</f>
        <v>OK</v>
      </c>
      <c r="D78" s="107"/>
      <c r="E78" s="47"/>
      <c r="F78" s="48"/>
      <c r="G78" s="48"/>
      <c r="H78" s="48"/>
      <c r="I78" s="48"/>
      <c r="J78" s="48"/>
      <c r="K78" s="48"/>
      <c r="L78" s="34"/>
      <c r="M78" s="34"/>
      <c r="O78" s="388"/>
      <c r="P78" s="388"/>
      <c r="Q78" s="388"/>
      <c r="R78" s="388"/>
      <c r="S78" s="388"/>
      <c r="T78" s="388"/>
    </row>
    <row r="79" spans="2:20" ht="15.75" thickBot="1" x14ac:dyDescent="0.3">
      <c r="B79" s="53" t="str">
        <f>'Patient Care Equip'!D18</f>
        <v>Alcohol-based hand rub</v>
      </c>
      <c r="C79" s="109" t="str">
        <f>IF($B79='Equipment Assumptions'!$B75,"OK","ERROR")</f>
        <v>OK</v>
      </c>
      <c r="D79" s="52" t="str">
        <f t="shared" si="17"/>
        <v>Out-patient careAlcohol-based hand rub</v>
      </c>
      <c r="E79" s="110">
        <f>IF($M79="Yes",IF(INDEX(Equipment_usage_table,MATCH($D79,SearchItem_EUT,0),MATCH(E$15,SearchUser_EUT,0))&gt;0,Max_HCW_for_outpatient*Multiplier_reuseable,0),INDEX(Equipment_usage_table,MATCH($D79,SearchItem_EUT,0),MATCH(E$15,SearchUser_EUT,0))*Total_HCW_for_outpatient*Multiplier_non_reusable)</f>
        <v>0</v>
      </c>
      <c r="F79" s="110"/>
      <c r="G79" s="110">
        <f>INDEX(Equipment_usage_table,MATCH($D79,SearchItem_EUT,0),MATCH(G$15,SearchUser_EUT,0))*Total_caretaker*SelfQuarantine_Mild*7</f>
        <v>251.7190094665844</v>
      </c>
      <c r="H79" s="110"/>
      <c r="I79" s="110">
        <f>INDEX(Equipment_usage_table,MATCH($D79,SearchItem_EUT,0),MATCH(I$15,SearchUser_EUT,0))*All_Outpatients_diagnosed*SelfQuarantine_Mild*7</f>
        <v>0</v>
      </c>
      <c r="J79" s="110"/>
      <c r="K79" s="110">
        <f t="shared" si="16"/>
        <v>251.7190094665844</v>
      </c>
      <c r="L79" s="41" t="s">
        <v>274</v>
      </c>
      <c r="M79" s="123" t="str">
        <f>INDEX('Patient Care Equip'!$E$17:$E$41,MATCH($B79,'Patient Care Equip'!$D$17:$D$41,0))</f>
        <v>No</v>
      </c>
      <c r="O79" s="392"/>
      <c r="P79" s="392"/>
      <c r="Q79" s="392" t="s">
        <v>746</v>
      </c>
      <c r="R79" s="392"/>
      <c r="S79" s="392"/>
      <c r="T79" s="392"/>
    </row>
    <row r="80" spans="2:20" x14ac:dyDescent="0.25">
      <c r="B80" s="54" t="s">
        <v>312</v>
      </c>
      <c r="C80" s="54" t="str">
        <f>IF($B80='Equipment Assumptions'!$B76,"OK","ERROR")</f>
        <v>OK</v>
      </c>
      <c r="D80" s="54"/>
      <c r="E80" s="46"/>
      <c r="F80" s="46"/>
      <c r="G80" s="46"/>
      <c r="H80" s="46"/>
      <c r="I80" s="57"/>
      <c r="J80" s="57"/>
      <c r="K80" s="70"/>
      <c r="O80" s="389"/>
      <c r="P80" s="389"/>
      <c r="Q80" s="389"/>
      <c r="R80" s="389"/>
      <c r="S80" s="389"/>
      <c r="T80" s="389"/>
    </row>
    <row r="81" spans="2:20" x14ac:dyDescent="0.25">
      <c r="B81" s="50" t="s">
        <v>264</v>
      </c>
      <c r="C81" s="107" t="str">
        <f>IF($B81='Equipment Assumptions'!$B77,"OK","ERROR")</f>
        <v>OK</v>
      </c>
      <c r="D81" s="107"/>
      <c r="E81" s="47"/>
      <c r="F81" s="48"/>
      <c r="G81" s="48"/>
      <c r="H81" s="48"/>
      <c r="I81" s="48"/>
      <c r="J81" s="48"/>
      <c r="K81" s="48"/>
      <c r="L81" s="40"/>
      <c r="M81" s="40"/>
      <c r="N81" s="40"/>
      <c r="O81" s="388"/>
      <c r="P81" s="388"/>
      <c r="Q81" s="388"/>
      <c r="R81" s="388"/>
      <c r="S81" s="388"/>
      <c r="T81" s="388"/>
    </row>
    <row r="82" spans="2:20" x14ac:dyDescent="0.25">
      <c r="B82" s="55" t="str">
        <f>'Patient Care Equip'!D35</f>
        <v>Gloves, examination</v>
      </c>
      <c r="C82" s="55" t="str">
        <f>IF($B82='Equipment Assumptions'!$B78,"OK","ERROR")</f>
        <v>OK</v>
      </c>
      <c r="D82" s="55" t="str">
        <f t="shared" ref="D82:D91" si="18">CONCATENATE($B$80,$B82)</f>
        <v>ConsultationGloves, examination</v>
      </c>
      <c r="E82" s="110">
        <f t="shared" ref="E82:E87" si="19">IF($M82="Yes",IF(INDEX(Equipment_usage_table,MATCH($D82,SearchItem_EUT,0),MATCH(E$15,SearchUser_EUT,0))&gt;0,Max_HCW_for_outpatient*Multiplier_reuseable,0),INDEX(Equipment_usage_table,MATCH($D82,SearchItem_EUT,0),MATCH(E$15,SearchUser_EUT,0))*Total_HCW_for_outpatient*Multiplier_non_reusable)</f>
        <v>2440</v>
      </c>
      <c r="F82" s="111"/>
      <c r="G82" s="111"/>
      <c r="H82" s="111"/>
      <c r="I82" s="111"/>
      <c r="J82" s="111"/>
      <c r="K82" s="110">
        <f t="shared" ref="K82:K91" si="20">SUM($E82:$J82)</f>
        <v>2440</v>
      </c>
      <c r="L82" s="41" t="s">
        <v>320</v>
      </c>
      <c r="M82" s="123" t="str">
        <f>INDEX('Patient Care Equip'!$E$17:$E$41,MATCH($B82,'Patient Care Equip'!$D$17:$D$41,0))</f>
        <v>No</v>
      </c>
      <c r="O82" s="390"/>
      <c r="P82" s="390"/>
      <c r="Q82" s="390"/>
      <c r="R82" s="390"/>
      <c r="S82" s="390"/>
      <c r="T82" s="390"/>
    </row>
    <row r="83" spans="2:20" x14ac:dyDescent="0.25">
      <c r="B83" s="52" t="str">
        <f>'Patient Care Equip'!D40</f>
        <v>Mask, medical</v>
      </c>
      <c r="C83" s="51" t="str">
        <f>IF($B83='Equipment Assumptions'!$B79,"OK","ERROR")</f>
        <v>OK</v>
      </c>
      <c r="D83" s="51" t="str">
        <f t="shared" si="18"/>
        <v>ConsultationMask, medical</v>
      </c>
      <c r="E83" s="110">
        <f t="shared" si="19"/>
        <v>1220</v>
      </c>
      <c r="F83" s="111"/>
      <c r="G83" s="111"/>
      <c r="H83" s="111"/>
      <c r="I83" s="111"/>
      <c r="J83" s="111"/>
      <c r="K83" s="110">
        <f t="shared" si="20"/>
        <v>1220</v>
      </c>
      <c r="L83" s="41" t="s">
        <v>321</v>
      </c>
      <c r="M83" s="123" t="str">
        <f>INDEX('Patient Care Equip'!$E$17:$E$41,MATCH($B83,'Patient Care Equip'!$D$17:$D$41,0))</f>
        <v>No</v>
      </c>
      <c r="O83" s="390"/>
      <c r="P83" s="390"/>
      <c r="Q83" s="390"/>
      <c r="R83" s="390"/>
      <c r="S83" s="390"/>
      <c r="T83" s="390"/>
    </row>
    <row r="84" spans="2:20" x14ac:dyDescent="0.25">
      <c r="B84" s="55" t="str">
        <f>'Patient Care Equip'!D20</f>
        <v>Gown, protective</v>
      </c>
      <c r="C84" s="55" t="str">
        <f>IF($B84='Equipment Assumptions'!$B80,"OK","ERROR")</f>
        <v>OK</v>
      </c>
      <c r="D84" s="55" t="str">
        <f t="shared" si="18"/>
        <v>ConsultationGown, protective</v>
      </c>
      <c r="E84" s="110">
        <f t="shared" si="19"/>
        <v>610</v>
      </c>
      <c r="F84" s="111"/>
      <c r="G84" s="111"/>
      <c r="H84" s="111"/>
      <c r="I84" s="111"/>
      <c r="J84" s="111"/>
      <c r="K84" s="110">
        <f t="shared" si="20"/>
        <v>610</v>
      </c>
      <c r="L84" s="41" t="s">
        <v>321</v>
      </c>
      <c r="M84" s="123" t="str">
        <f>INDEX('Patient Care Equip'!$E$17:$E$41,MATCH($B84,'Patient Care Equip'!$D$17:$D$41,0))</f>
        <v>No</v>
      </c>
      <c r="O84" s="390"/>
      <c r="P84" s="390"/>
      <c r="Q84" s="390"/>
      <c r="R84" s="390"/>
      <c r="S84" s="390"/>
      <c r="T84" s="390"/>
    </row>
    <row r="85" spans="2:20" x14ac:dyDescent="0.25">
      <c r="B85" s="45" t="str">
        <f>'Patient Care Equip'!D37</f>
        <v>Goggles, protective</v>
      </c>
      <c r="C85" s="55" t="str">
        <f>IF($B85='Equipment Assumptions'!$B81,"OK","ERROR")</f>
        <v>OK</v>
      </c>
      <c r="D85" s="55" t="str">
        <f t="shared" si="18"/>
        <v>ConsultationGoggles, protective</v>
      </c>
      <c r="E85" s="110">
        <f t="shared" si="19"/>
        <v>6</v>
      </c>
      <c r="F85" s="111"/>
      <c r="G85" s="111"/>
      <c r="H85" s="111"/>
      <c r="I85" s="111"/>
      <c r="J85" s="111"/>
      <c r="K85" s="110">
        <f t="shared" si="20"/>
        <v>6</v>
      </c>
      <c r="L85" s="41" t="s">
        <v>321</v>
      </c>
      <c r="M85" s="123" t="str">
        <f>INDEX('Patient Care Equip'!$E$17:$E$41,MATCH($B85,'Patient Care Equip'!$D$17:$D$41,0))</f>
        <v>Yes</v>
      </c>
      <c r="O85" s="390"/>
      <c r="P85" s="390"/>
      <c r="Q85" s="390"/>
      <c r="R85" s="390"/>
      <c r="S85" s="390"/>
      <c r="T85" s="390"/>
    </row>
    <row r="86" spans="2:20" x14ac:dyDescent="0.25">
      <c r="B86" s="45" t="str">
        <f>'Patient Care Equip'!D21</f>
        <v>Scrubs, tops</v>
      </c>
      <c r="C86" s="55" t="str">
        <f>IF($B86='Equipment Assumptions'!$B82,"OK","ERROR")</f>
        <v>OK</v>
      </c>
      <c r="D86" s="55" t="str">
        <f t="shared" si="18"/>
        <v>ConsultationScrubs, tops</v>
      </c>
      <c r="E86" s="110">
        <f t="shared" si="19"/>
        <v>6</v>
      </c>
      <c r="F86" s="111"/>
      <c r="G86" s="111"/>
      <c r="H86" s="111"/>
      <c r="I86" s="111"/>
      <c r="J86" s="111"/>
      <c r="K86" s="110">
        <f t="shared" si="20"/>
        <v>6</v>
      </c>
      <c r="L86" s="41" t="s">
        <v>321</v>
      </c>
      <c r="M86" s="123" t="str">
        <f>INDEX('Patient Care Equip'!$E$17:$E$41,MATCH($B86,'Patient Care Equip'!$D$17:$D$41,0))</f>
        <v>Yes</v>
      </c>
      <c r="O86" s="390"/>
      <c r="P86" s="390"/>
      <c r="Q86" s="390"/>
      <c r="R86" s="390"/>
      <c r="S86" s="390"/>
      <c r="T86" s="390"/>
    </row>
    <row r="87" spans="2:20" x14ac:dyDescent="0.25">
      <c r="B87" s="55" t="str">
        <f>'Patient Care Equip'!D22</f>
        <v>Scrubs, pants</v>
      </c>
      <c r="C87" s="55" t="str">
        <f>IF($B87='Equipment Assumptions'!$B83,"OK","ERROR")</f>
        <v>OK</v>
      </c>
      <c r="D87" s="55" t="str">
        <f t="shared" si="18"/>
        <v>ConsultationScrubs, pants</v>
      </c>
      <c r="E87" s="110">
        <f t="shared" si="19"/>
        <v>6</v>
      </c>
      <c r="F87" s="111"/>
      <c r="G87" s="111"/>
      <c r="H87" s="111"/>
      <c r="I87" s="111"/>
      <c r="J87" s="111"/>
      <c r="K87" s="110">
        <f t="shared" si="20"/>
        <v>6</v>
      </c>
      <c r="L87" s="41" t="s">
        <v>321</v>
      </c>
      <c r="M87" s="123" t="str">
        <f>INDEX('Patient Care Equip'!$E$17:$E$41,MATCH($B87,'Patient Care Equip'!$D$17:$D$41,0))</f>
        <v>Yes</v>
      </c>
      <c r="O87" s="390"/>
      <c r="P87" s="390"/>
      <c r="Q87" s="390"/>
      <c r="R87" s="390"/>
      <c r="S87" s="390"/>
      <c r="T87" s="390"/>
    </row>
    <row r="88" spans="2:20" x14ac:dyDescent="0.25">
      <c r="B88" s="50" t="s">
        <v>332</v>
      </c>
      <c r="C88" s="107" t="str">
        <f>IF($B88='Equipment Assumptions'!$B84,"OK","ERROR")</f>
        <v>OK</v>
      </c>
      <c r="D88" s="107"/>
      <c r="E88" s="47"/>
      <c r="F88" s="48"/>
      <c r="G88" s="48"/>
      <c r="H88" s="48"/>
      <c r="I88" s="48"/>
      <c r="J88" s="48"/>
      <c r="K88" s="70"/>
      <c r="L88" s="34"/>
      <c r="M88" s="34"/>
      <c r="O88" s="388"/>
      <c r="P88" s="388"/>
      <c r="Q88" s="388"/>
      <c r="R88" s="388"/>
      <c r="S88" s="388"/>
      <c r="T88" s="388"/>
    </row>
    <row r="89" spans="2:20" x14ac:dyDescent="0.25">
      <c r="B89" s="55" t="str">
        <f>'Patient Care Equip'!D18</f>
        <v>Alcohol-based hand rub</v>
      </c>
      <c r="C89" s="55" t="str">
        <f>IF($B89='Equipment Assumptions'!$B85,"OK","ERROR")</f>
        <v>OK</v>
      </c>
      <c r="D89" s="55" t="str">
        <f t="shared" si="18"/>
        <v>ConsultationAlcohol-based hand rub</v>
      </c>
      <c r="E89" s="110">
        <f>IF($M89="Yes",IF(INDEX(Equipment_usage_table,MATCH($D89,SearchItem_EUT,0),MATCH(E$15,SearchUser_EUT,0))&gt;0,Max_HCW_for_outpatient*Multiplier_reuseable,0),INDEX(Equipment_usage_table,MATCH($D89,SearchItem_EUT,0),MATCH(E$15,SearchUser_EUT,0))*Total_HCW_for_outpatient*Multiplier_non_reusable)</f>
        <v>9.1499999999999986</v>
      </c>
      <c r="F89" s="111"/>
      <c r="G89" s="111"/>
      <c r="H89" s="111"/>
      <c r="I89" s="111"/>
      <c r="J89" s="111"/>
      <c r="K89" s="110">
        <f t="shared" si="20"/>
        <v>9.1499999999999986</v>
      </c>
      <c r="L89" s="41" t="s">
        <v>274</v>
      </c>
      <c r="M89" s="123" t="str">
        <f>INDEX('Patient Care Equip'!$E$17:$E$41,MATCH($B89,'Patient Care Equip'!$D$17:$D$41,0))</f>
        <v>No</v>
      </c>
      <c r="O89" s="390"/>
      <c r="P89" s="390"/>
      <c r="Q89" s="390"/>
      <c r="R89" s="390"/>
      <c r="S89" s="390"/>
      <c r="T89" s="390"/>
    </row>
    <row r="90" spans="2:20" x14ac:dyDescent="0.25">
      <c r="B90" s="45" t="str">
        <f>'Patient Care Equip'!D33</f>
        <v>Bio-hazardous bag</v>
      </c>
      <c r="C90" s="55" t="str">
        <f>IF($B90='Equipment Assumptions'!$B86,"OK","ERROR")</f>
        <v>OK</v>
      </c>
      <c r="D90" s="55" t="str">
        <f t="shared" si="18"/>
        <v>ConsultationBio-hazardous bag</v>
      </c>
      <c r="E90" s="110">
        <f>IF($M90="Yes",IF(INDEX(Equipment_usage_table,MATCH($D90,SearchItem_EUT,0),MATCH(E$15,SearchUser_EUT,0))&gt;0,Max_HCW_for_outpatient*Multiplier_reuseable,0),INDEX(Equipment_usage_table,MATCH($D90,SearchItem_EUT,0),MATCH(E$15,SearchUser_EUT,0))*Total_HCW_for_outpatient*Multiplier_non_reusable)</f>
        <v>152.5</v>
      </c>
      <c r="F90" s="111"/>
      <c r="G90" s="111"/>
      <c r="H90" s="111"/>
      <c r="I90" s="111"/>
      <c r="J90" s="111"/>
      <c r="K90" s="110">
        <f t="shared" si="20"/>
        <v>152.5</v>
      </c>
      <c r="L90" s="41" t="s">
        <v>321</v>
      </c>
      <c r="M90" s="123" t="str">
        <f>INDEX('Patient Care Equip'!$E$17:$E$41,MATCH($B90,'Patient Care Equip'!$D$17:$D$41,0))</f>
        <v>No</v>
      </c>
      <c r="O90" s="390"/>
      <c r="P90" s="390"/>
      <c r="Q90" s="390"/>
      <c r="R90" s="390"/>
      <c r="S90" s="390"/>
      <c r="T90" s="390"/>
    </row>
    <row r="91" spans="2:20" ht="15.75" thickBot="1" x14ac:dyDescent="0.3">
      <c r="B91" s="45" t="str">
        <f>'Patient Care Equip'!D19</f>
        <v>Liquid soap</v>
      </c>
      <c r="C91" s="55" t="str">
        <f>IF($B91='Equipment Assumptions'!$B87,"OK","ERROR")</f>
        <v>OK</v>
      </c>
      <c r="D91" s="55" t="str">
        <f t="shared" si="18"/>
        <v>ConsultationLiquid soap</v>
      </c>
      <c r="E91" s="110">
        <f>IF($M91="Yes",IF(INDEX(Equipment_usage_table,MATCH($D91,SearchItem_EUT,0),MATCH(E$15,SearchUser_EUT,0))&gt;0,Max_HCW_for_outpatient*Multiplier_reuseable,0),INDEX(Equipment_usage_table,MATCH($D91,SearchItem_EUT,0),MATCH(E$15,SearchUser_EUT,0))*Total_HCW_for_outpatient*Multiplier_non_reusable)</f>
        <v>6.1</v>
      </c>
      <c r="F91" s="111"/>
      <c r="G91" s="111"/>
      <c r="H91" s="111"/>
      <c r="I91" s="111"/>
      <c r="J91" s="111"/>
      <c r="K91" s="110">
        <f t="shared" si="20"/>
        <v>6.1</v>
      </c>
      <c r="L91" s="41" t="s">
        <v>274</v>
      </c>
      <c r="M91" s="123" t="str">
        <f>INDEX('Patient Care Equip'!$E$17:$E$41,MATCH($B91,'Patient Care Equip'!$D$17:$D$41,0))</f>
        <v>No</v>
      </c>
      <c r="O91" s="390"/>
      <c r="P91" s="390"/>
      <c r="Q91" s="390"/>
      <c r="R91" s="390"/>
      <c r="S91" s="390"/>
      <c r="T91" s="390"/>
    </row>
    <row r="92" spans="2:20" x14ac:dyDescent="0.25">
      <c r="B92" s="54" t="s">
        <v>317</v>
      </c>
      <c r="C92" s="54" t="str">
        <f>IF($B92='Equipment Assumptions'!$B88,"OK","ERROR")</f>
        <v>OK</v>
      </c>
      <c r="D92" s="54"/>
      <c r="E92" s="46"/>
      <c r="F92" s="46"/>
      <c r="G92" s="46"/>
      <c r="H92" s="46"/>
      <c r="I92" s="57"/>
      <c r="J92" s="57"/>
      <c r="K92" s="70"/>
      <c r="O92" s="389"/>
      <c r="P92" s="389"/>
      <c r="Q92" s="389"/>
      <c r="R92" s="389"/>
      <c r="S92" s="389"/>
      <c r="T92" s="389"/>
    </row>
    <row r="93" spans="2:20" x14ac:dyDescent="0.25">
      <c r="B93" s="50" t="s">
        <v>264</v>
      </c>
      <c r="C93" s="107" t="str">
        <f>IF($B93='Equipment Assumptions'!$B89,"OK","ERROR")</f>
        <v>OK</v>
      </c>
      <c r="D93" s="107"/>
      <c r="E93" s="47"/>
      <c r="F93" s="48"/>
      <c r="G93" s="48"/>
      <c r="H93" s="48"/>
      <c r="I93" s="48"/>
      <c r="J93" s="48"/>
      <c r="K93" s="48"/>
      <c r="L93" s="40"/>
      <c r="M93" s="40"/>
      <c r="N93" s="40"/>
      <c r="O93" s="388"/>
      <c r="P93" s="388"/>
      <c r="Q93" s="388"/>
      <c r="R93" s="388"/>
      <c r="S93" s="388"/>
      <c r="T93" s="388"/>
    </row>
    <row r="94" spans="2:20" x14ac:dyDescent="0.25">
      <c r="B94" s="55" t="str">
        <f>'Patient Care Equip'!D37</f>
        <v>Goggles, protective</v>
      </c>
      <c r="C94" s="55" t="str">
        <f>IF($B94='Equipment Assumptions'!$B90,"OK","ERROR")</f>
        <v>OK</v>
      </c>
      <c r="D94" s="55" t="str">
        <f t="shared" ref="D94:D111" si="21">CONCATENATE($B$92,$B94)</f>
        <v>LaboratoriesGoggles, protective</v>
      </c>
      <c r="E94" s="110">
        <f>IF($M94="Yes",IF(INDEX(Equipment_usage_table,MATCH($D94,SearchItem_EUT,0),MATCH(E$15,SearchUser_EUT,0))&gt;0,Max_Lab_HCWs*Multiplier_reuseable,0),INDEX(Equipment_usage_table,MATCH($D94,SearchItem_EUT,0),MATCH(E$15,SearchUser_EUT,0))*Total_HCW_labs*Multiplier_non_reusable)</f>
        <v>1</v>
      </c>
      <c r="F94" s="110">
        <f>IF($M94="Yes",IF(INDEX(Equipment_usage_table,MATCH($D94,SearchItem_EUT,0),MATCH(F$15,SearchUser_EUT,0))&gt;0,Max_Lab_hygienists*Multiplier_reuseable,0),INDEX(Equipment_usage_table,MATCH($D94,SearchItem_EUT,0),MATCH(F$15,SearchUser_EUT,0))*Total_hygienist_labs*Multiplier_non_reusable)</f>
        <v>0</v>
      </c>
      <c r="G94" s="111"/>
      <c r="H94" s="111"/>
      <c r="I94" s="111"/>
      <c r="J94" s="111"/>
      <c r="K94" s="110">
        <f t="shared" ref="K94:K111" si="22">SUM($E94:$J94)</f>
        <v>1</v>
      </c>
      <c r="L94" s="41" t="s">
        <v>321</v>
      </c>
      <c r="M94" s="123" t="str">
        <f>INDEX('Patient Care Equip'!$E$17:$E$41,MATCH($B94,'Patient Care Equip'!$D$17:$D$41,0))</f>
        <v>Yes</v>
      </c>
      <c r="O94" s="390" t="s">
        <v>1293</v>
      </c>
      <c r="P94" s="390"/>
      <c r="Q94" s="390"/>
      <c r="R94" s="390"/>
      <c r="S94" s="390"/>
      <c r="T94" s="390"/>
    </row>
    <row r="95" spans="2:20" x14ac:dyDescent="0.25">
      <c r="B95" s="52" t="str">
        <f>'Patient Care Equip'!D40</f>
        <v>Mask, medical</v>
      </c>
      <c r="C95" s="51" t="str">
        <f>IF($B95='Equipment Assumptions'!$B91,"OK","ERROR")</f>
        <v>OK</v>
      </c>
      <c r="D95" s="51" t="str">
        <f t="shared" si="21"/>
        <v>LaboratoriesMask, medical</v>
      </c>
      <c r="E95" s="110">
        <f>IF($M95="Yes",IF(INDEX(Equipment_usage_table,MATCH($D95,SearchItem_EUT,0),MATCH(E$15,SearchUser_EUT,0))&gt;0,Max_Lab_HCWs*Multiplier_reuseable,0),INDEX(Equipment_usage_table,MATCH($D95,SearchItem_EUT,0),MATCH(E$15,SearchUser_EUT,0))*Total_HCW_labs*Multiplier_non_reusable)</f>
        <v>180</v>
      </c>
      <c r="F95" s="110">
        <f>IF($M95="Yes",IF(INDEX(Equipment_usage_table,MATCH($D95,SearchItem_EUT,0),MATCH(F$15,SearchUser_EUT,0))&gt;0,Max_Lab_hygienists*Multiplier_reuseable,0),INDEX(Equipment_usage_table,MATCH($D95,SearchItem_EUT,0),MATCH(F$15,SearchUser_EUT,0))*Total_hygienist_labs*Multiplier_non_reusable)</f>
        <v>0</v>
      </c>
      <c r="G95" s="111"/>
      <c r="H95" s="111"/>
      <c r="I95" s="111"/>
      <c r="J95" s="111"/>
      <c r="K95" s="110">
        <f t="shared" si="22"/>
        <v>180</v>
      </c>
      <c r="L95" s="41" t="s">
        <v>321</v>
      </c>
      <c r="M95" s="123" t="str">
        <f>INDEX('Patient Care Equip'!$E$17:$E$41,MATCH($B95,'Patient Care Equip'!$D$17:$D$41,0))</f>
        <v>No</v>
      </c>
      <c r="O95" s="390"/>
      <c r="P95" s="390"/>
      <c r="Q95" s="390"/>
      <c r="R95" s="390"/>
      <c r="S95" s="390"/>
      <c r="T95" s="390"/>
    </row>
    <row r="96" spans="2:20" x14ac:dyDescent="0.25">
      <c r="B96" s="55" t="str">
        <f>'Patient Care Equip'!D38</f>
        <v>Face shield</v>
      </c>
      <c r="C96" s="55" t="str">
        <f>IF($B96='Equipment Assumptions'!$B92,"OK","ERROR")</f>
        <v>OK</v>
      </c>
      <c r="D96" s="55" t="str">
        <f t="shared" si="21"/>
        <v>LaboratoriesFace shield</v>
      </c>
      <c r="E96" s="110">
        <f>IF($M96="Yes",IF(INDEX(Equipment_usage_table,MATCH($D96,SearchItem_EUT,0),MATCH(E$15,SearchUser_EUT,0))&gt;0,Max_Lab_HCWs*Multiplier_reuseable,0),INDEX(Equipment_usage_table,MATCH($D96,SearchItem_EUT,0),MATCH(E$15,SearchUser_EUT,0))*Total_HCW_labs*Multiplier_non_reusable)</f>
        <v>90</v>
      </c>
      <c r="F96" s="110">
        <f>IF($M96="Yes",IF(INDEX(Equipment_usage_table,MATCH($D96,SearchItem_EUT,0),MATCH(F$15,SearchUser_EUT,0))&gt;0,Max_Lab_hygienists*Multiplier_reuseable,0),INDEX(Equipment_usage_table,MATCH($D96,SearchItem_EUT,0),MATCH(F$15,SearchUser_EUT,0))*Total_hygienist_labs*Multiplier_non_reusable)</f>
        <v>0</v>
      </c>
      <c r="G96" s="111"/>
      <c r="H96" s="111"/>
      <c r="I96" s="111"/>
      <c r="J96" s="111"/>
      <c r="K96" s="110">
        <f t="shared" si="22"/>
        <v>90</v>
      </c>
      <c r="L96" s="41" t="s">
        <v>321</v>
      </c>
      <c r="M96" s="123" t="str">
        <f>INDEX('Patient Care Equip'!$E$17:$E$41,MATCH($B96,'Patient Care Equip'!$D$17:$D$41,0))</f>
        <v>No</v>
      </c>
      <c r="O96" s="390" t="s">
        <v>747</v>
      </c>
      <c r="P96" s="390"/>
      <c r="Q96" s="390"/>
      <c r="R96" s="390"/>
      <c r="S96" s="390"/>
      <c r="T96" s="390"/>
    </row>
    <row r="97" spans="2:20" x14ac:dyDescent="0.25">
      <c r="B97" s="55" t="str">
        <f>'Patient Care Equip'!D35</f>
        <v>Gloves, examination</v>
      </c>
      <c r="C97" s="55" t="str">
        <f>IF($B97='Equipment Assumptions'!$B93,"OK","ERROR")</f>
        <v>OK</v>
      </c>
      <c r="D97" s="55" t="str">
        <f t="shared" si="21"/>
        <v>LaboratoriesGloves, examination</v>
      </c>
      <c r="E97" s="110">
        <f>IF($M97="Yes",IF(INDEX(Equipment_usage_table,MATCH($D97,SearchItem_EUT,0),MATCH(E$15,SearchUser_EUT,0))&gt;0,Max_Lab_HCWs*Multiplier_reuseable,0),INDEX(Equipment_usage_table,MATCH($D97,SearchItem_EUT,0),MATCH(E$15,SearchUser_EUT,0))*Total_HCW_labs*Multiplier_non_reusable)</f>
        <v>360</v>
      </c>
      <c r="F97" s="110">
        <f>IF($M97="Yes",IF(INDEX(Equipment_usage_table,MATCH($D97,SearchItem_EUT,0),MATCH(F$15,SearchUser_EUT,0))&gt;0,Max_Lab_hygienists*Multiplier_reuseable,0),INDEX(Equipment_usage_table,MATCH($D97,SearchItem_EUT,0),MATCH(F$15,SearchUser_EUT,0))*Total_hygienist_labs*Multiplier_non_reusable)</f>
        <v>0</v>
      </c>
      <c r="G97" s="111"/>
      <c r="H97" s="111"/>
      <c r="I97" s="111"/>
      <c r="J97" s="111"/>
      <c r="K97" s="110">
        <f t="shared" si="22"/>
        <v>360</v>
      </c>
      <c r="L97" s="41" t="s">
        <v>320</v>
      </c>
      <c r="M97" s="123" t="str">
        <f>INDEX('Patient Care Equip'!$E$17:$E$41,MATCH($B97,'Patient Care Equip'!$D$17:$D$41,0))</f>
        <v>No</v>
      </c>
      <c r="O97" s="390"/>
      <c r="P97" s="390"/>
      <c r="Q97" s="390"/>
      <c r="R97" s="390"/>
      <c r="S97" s="390"/>
      <c r="T97" s="390"/>
    </row>
    <row r="98" spans="2:20" x14ac:dyDescent="0.25">
      <c r="B98" s="55" t="str">
        <f>'Patient Care Equip'!D20</f>
        <v>Gown, protective</v>
      </c>
      <c r="C98" s="55" t="str">
        <f>IF($B98='Equipment Assumptions'!$B94,"OK","ERROR")</f>
        <v>OK</v>
      </c>
      <c r="D98" s="55" t="str">
        <f t="shared" si="21"/>
        <v>LaboratoriesGown, protective</v>
      </c>
      <c r="E98" s="110">
        <f>IF($M98="Yes",IF(INDEX(Equipment_usage_table,MATCH($D98,SearchItem_EUT,0),MATCH(E$15,SearchUser_EUT,0))&gt;0,Max_Lab_HCWs*Multiplier_reuseable,0),INDEX(Equipment_usage_table,MATCH($D98,SearchItem_EUT,0),MATCH(E$15,SearchUser_EUT,0))*Total_HCW_labs*Multiplier_non_reusable)</f>
        <v>90</v>
      </c>
      <c r="F98" s="110">
        <f>IF($M98="Yes",IF(INDEX(Equipment_usage_table,MATCH($D98,SearchItem_EUT,0),MATCH(F$15,SearchUser_EUT,0))&gt;0,Max_Lab_hygienists*Multiplier_reuseable,0),INDEX(Equipment_usage_table,MATCH($D98,SearchItem_EUT,0),MATCH(F$15,SearchUser_EUT,0))*Total_hygienist_labs*Multiplier_non_reusable)</f>
        <v>35</v>
      </c>
      <c r="G98" s="111"/>
      <c r="H98" s="111"/>
      <c r="I98" s="111"/>
      <c r="J98" s="111"/>
      <c r="K98" s="110">
        <f t="shared" si="22"/>
        <v>125</v>
      </c>
      <c r="L98" s="41" t="s">
        <v>321</v>
      </c>
      <c r="M98" s="123" t="str">
        <f>INDEX('Patient Care Equip'!$E$17:$E$41,MATCH($B98,'Patient Care Equip'!$D$17:$D$41,0))</f>
        <v>No</v>
      </c>
      <c r="O98" s="390"/>
      <c r="P98" s="390"/>
      <c r="Q98" s="390"/>
      <c r="R98" s="390"/>
      <c r="S98" s="390"/>
      <c r="T98" s="390"/>
    </row>
    <row r="99" spans="2:20" x14ac:dyDescent="0.25">
      <c r="B99" s="50" t="s">
        <v>263</v>
      </c>
      <c r="C99" s="107" t="str">
        <f>IF($B99='Equipment Assumptions'!$B95,"OK","ERROR")</f>
        <v>OK</v>
      </c>
      <c r="D99" s="107"/>
      <c r="E99" s="47"/>
      <c r="F99" s="48"/>
      <c r="G99" s="48"/>
      <c r="H99" s="48"/>
      <c r="I99" s="48"/>
      <c r="J99" s="48"/>
      <c r="K99" s="48"/>
      <c r="L99" s="34"/>
      <c r="M99" s="34"/>
      <c r="O99" s="388"/>
      <c r="P99" s="388"/>
      <c r="Q99" s="388"/>
      <c r="R99" s="388"/>
      <c r="S99" s="388"/>
      <c r="T99" s="388"/>
    </row>
    <row r="100" spans="2:20" x14ac:dyDescent="0.25">
      <c r="B100" s="55" t="str">
        <f>'Patient Care Equip'!D26</f>
        <v>Triple packaging boxes</v>
      </c>
      <c r="C100" s="55" t="str">
        <f>IF($B100='Equipment Assumptions'!$B96,"OK","ERROR")</f>
        <v>OK</v>
      </c>
      <c r="D100" s="55" t="str">
        <f t="shared" si="21"/>
        <v>LaboratoriesTriple packaging boxes</v>
      </c>
      <c r="E100" s="110">
        <f>IF($M100="Yes",IF(INDEX(Equipment_usage_table,MATCH($D100,SearchItem_EUT,0),MATCH(E$15,SearchUser_EUT,0))&gt;0,Max_Lab_HCWs*Multiplier_reuseable,0),INDEX(Equipment_usage_table,MATCH($D100,SearchItem_EUT,0),MATCH(E$15,SearchUser_EUT,0))*Total_HCW_labs*Multiplier_non_reusable)</f>
        <v>1</v>
      </c>
      <c r="F100" s="110">
        <f>IF($M100="Yes",IF(INDEX(Equipment_usage_table,MATCH($D100,SearchItem_EUT,0),MATCH(F$15,SearchUser_EUT,0))&gt;0,Max_Lab_hygienists*Multiplier_reuseable,0),INDEX(Equipment_usage_table,MATCH($D100,SearchItem_EUT,0),MATCH(F$15,SearchUser_EUT,0))*Total_hygienist_labs*Multiplier_non_reusable)</f>
        <v>0</v>
      </c>
      <c r="G100" s="111"/>
      <c r="H100" s="111"/>
      <c r="I100" s="111"/>
      <c r="J100" s="111"/>
      <c r="K100" s="110">
        <f t="shared" si="22"/>
        <v>1</v>
      </c>
      <c r="L100" s="41" t="s">
        <v>319</v>
      </c>
      <c r="M100" s="123" t="str">
        <f>INDEX('Patient Care Equip'!$E$17:$E$41,MATCH($B100,'Patient Care Equip'!$D$17:$D$41,0))</f>
        <v>Yes</v>
      </c>
      <c r="O100" s="390"/>
      <c r="P100" s="390"/>
      <c r="Q100" s="390"/>
      <c r="R100" s="390"/>
      <c r="S100" s="390"/>
      <c r="T100" s="390"/>
    </row>
    <row r="101" spans="2:20" x14ac:dyDescent="0.25">
      <c r="B101" s="55" t="str">
        <f>'Patient Care Equip'!D27</f>
        <v>Viral Transport Medium</v>
      </c>
      <c r="C101" s="55" t="str">
        <f>IF($B101='Equipment Assumptions'!$B97,"OK","ERROR")</f>
        <v>OK</v>
      </c>
      <c r="D101" s="55" t="str">
        <f t="shared" si="21"/>
        <v>LaboratoriesViral Transport Medium</v>
      </c>
      <c r="E101" s="110">
        <f>IF($M101="Yes",IF(INDEX(Equipment_usage_table,MATCH($D101,SearchItem_EUT,0),MATCH(E$15,SearchUser_EUT,0))&gt;0,Max_Lab_HCWs*Multiplier_reuseable,0),INDEX(Equipment_usage_table,MATCH($D101,SearchItem_EUT,0),MATCH(E$15,SearchUser_EUT,0))*Total_HCW_labs*Multiplier_non_reusable)</f>
        <v>1</v>
      </c>
      <c r="F101" s="110">
        <f>IF($M101="Yes",IF(INDEX(Equipment_usage_table,MATCH($D101,SearchItem_EUT,0),MATCH(F$15,SearchUser_EUT,0))&gt;0,Max_Lab_hygienists*Multiplier_reuseable,0),INDEX(Equipment_usage_table,MATCH($D101,SearchItem_EUT,0),MATCH(F$15,SearchUser_EUT,0))*Total_hygienist_labs*Multiplier_non_reusable)</f>
        <v>0</v>
      </c>
      <c r="G101" s="111"/>
      <c r="H101" s="111"/>
      <c r="I101" s="111"/>
      <c r="J101" s="111"/>
      <c r="K101" s="110">
        <f t="shared" si="22"/>
        <v>1</v>
      </c>
      <c r="L101" s="41" t="s">
        <v>319</v>
      </c>
      <c r="M101" s="123" t="str">
        <f>INDEX('Patient Care Equip'!$E$17:$E$41,MATCH($B101,'Patient Care Equip'!$D$17:$D$41,0))</f>
        <v>Yes</v>
      </c>
      <c r="O101" s="390"/>
      <c r="P101" s="390"/>
      <c r="Q101" s="390"/>
      <c r="R101" s="390"/>
      <c r="S101" s="390"/>
      <c r="T101" s="390"/>
    </row>
    <row r="102" spans="2:20" x14ac:dyDescent="0.25">
      <c r="B102" s="55" t="str">
        <f>'Patient Care Equip'!D28</f>
        <v>Safety box</v>
      </c>
      <c r="C102" s="55" t="str">
        <f>IF($B102='Equipment Assumptions'!$B98,"OK","ERROR")</f>
        <v>OK</v>
      </c>
      <c r="D102" s="55" t="str">
        <f t="shared" si="21"/>
        <v>LaboratoriesSafety box</v>
      </c>
      <c r="E102" s="110">
        <f>IF($M102="Yes",IF(INDEX(Equipment_usage_table,MATCH($D102,SearchItem_EUT,0),MATCH(E$15,SearchUser_EUT,0))&gt;0,Max_Lab_HCWs*Multiplier_reuseable,0),INDEX(Equipment_usage_table,MATCH($D102,SearchItem_EUT,0),MATCH(E$15,SearchUser_EUT,0))*Total_HCW_labs*Multiplier_non_reusable)</f>
        <v>1</v>
      </c>
      <c r="F102" s="110">
        <f>IF($M102="Yes",IF(INDEX(Equipment_usage_table,MATCH($D102,SearchItem_EUT,0),MATCH(F$15,SearchUser_EUT,0))&gt;0,Max_Lab_hygienists*Multiplier_reuseable,0),INDEX(Equipment_usage_table,MATCH($D102,SearchItem_EUT,0),MATCH(F$15,SearchUser_EUT,0))*Total_hygienist_labs*Multiplier_non_reusable)</f>
        <v>0</v>
      </c>
      <c r="G102" s="111"/>
      <c r="H102" s="111"/>
      <c r="I102" s="111"/>
      <c r="J102" s="111"/>
      <c r="K102" s="110">
        <f t="shared" si="22"/>
        <v>1</v>
      </c>
      <c r="L102" s="41" t="s">
        <v>321</v>
      </c>
      <c r="M102" s="123" t="str">
        <f>INDEX('Patient Care Equip'!$E$17:$E$41,MATCH($B102,'Patient Care Equip'!$D$17:$D$41,0))</f>
        <v>Yes</v>
      </c>
      <c r="O102" s="390"/>
      <c r="P102" s="390"/>
      <c r="Q102" s="390"/>
      <c r="R102" s="390"/>
      <c r="S102" s="390"/>
      <c r="T102" s="390"/>
    </row>
    <row r="103" spans="2:20" x14ac:dyDescent="0.25">
      <c r="B103" s="55" t="str">
        <f>'Patient Care Equip'!D29</f>
        <v>Lab extraction kit (250 extractions)</v>
      </c>
      <c r="C103" s="133" t="str">
        <f>IF($B103='Staff &amp; Infra Assumptions'!B71,"OK","ERROR")</f>
        <v>OK</v>
      </c>
      <c r="D103" s="133" t="str">
        <f>CONCATENATE($B$92,$B103)</f>
        <v>LaboratoriesLab extraction kit (250 extractions)</v>
      </c>
      <c r="E103" s="134"/>
      <c r="F103" s="132"/>
      <c r="G103" s="111"/>
      <c r="H103" s="111"/>
      <c r="I103" s="340">
        <f>'Staff &amp; Infra Assumptions'!G71</f>
        <v>13</v>
      </c>
      <c r="J103" s="111"/>
      <c r="K103" s="110">
        <f t="shared" si="22"/>
        <v>13</v>
      </c>
      <c r="L103" s="41" t="s">
        <v>319</v>
      </c>
      <c r="M103" s="123" t="s">
        <v>806</v>
      </c>
      <c r="O103" s="390"/>
      <c r="P103" s="390"/>
      <c r="Q103" s="390"/>
      <c r="R103" s="390"/>
      <c r="S103" s="390"/>
      <c r="T103" s="390"/>
    </row>
    <row r="104" spans="2:20" x14ac:dyDescent="0.25">
      <c r="B104" s="55" t="str">
        <f>'Patient Care Equip'!D30</f>
        <v>Lab screening test kit (94 tests)</v>
      </c>
      <c r="C104" s="133" t="str">
        <f>IF($B104='Staff &amp; Infra Assumptions'!B72,"OK","ERROR")</f>
        <v>OK</v>
      </c>
      <c r="D104" s="133" t="str">
        <f>CONCATENATE($B$92,$B104)</f>
        <v>LaboratoriesLab screening test kit (94 tests)</v>
      </c>
      <c r="E104" s="134"/>
      <c r="F104" s="132"/>
      <c r="G104" s="111"/>
      <c r="H104" s="111"/>
      <c r="I104" s="340">
        <f>'Staff &amp; Infra Assumptions'!G72</f>
        <v>34</v>
      </c>
      <c r="J104" s="111"/>
      <c r="K104" s="110">
        <f t="shared" si="22"/>
        <v>34</v>
      </c>
      <c r="L104" s="41" t="s">
        <v>319</v>
      </c>
      <c r="M104" s="123" t="s">
        <v>806</v>
      </c>
      <c r="O104" s="393"/>
      <c r="P104" s="393"/>
      <c r="Q104" s="393"/>
      <c r="R104" s="393"/>
      <c r="S104" s="393"/>
      <c r="T104" s="393"/>
    </row>
    <row r="105" spans="2:20" x14ac:dyDescent="0.25">
      <c r="B105" s="55" t="str">
        <f>'Patient Care Equip'!D31</f>
        <v>Lab confirmation test kit (94 tests)</v>
      </c>
      <c r="C105" s="133" t="str">
        <f>IF($B105='Staff &amp; Infra Assumptions'!B73,"OK","ERROR")</f>
        <v>OK</v>
      </c>
      <c r="D105" s="133" t="str">
        <f>CONCATENATE($B$92,$B105)</f>
        <v>LaboratoriesLab confirmation test kit (94 tests)</v>
      </c>
      <c r="E105" s="134"/>
      <c r="F105" s="132"/>
      <c r="G105" s="111"/>
      <c r="H105" s="111"/>
      <c r="I105" s="340">
        <f>'Staff &amp; Infra Assumptions'!G73</f>
        <v>34</v>
      </c>
      <c r="J105" s="111"/>
      <c r="K105" s="110">
        <f t="shared" si="22"/>
        <v>34</v>
      </c>
      <c r="L105" s="41" t="s">
        <v>319</v>
      </c>
      <c r="M105" s="123" t="s">
        <v>806</v>
      </c>
      <c r="O105" s="390"/>
      <c r="P105" s="390"/>
      <c r="Q105" s="390"/>
      <c r="R105" s="390"/>
      <c r="S105" s="390"/>
      <c r="T105" s="390"/>
    </row>
    <row r="106" spans="2:20" x14ac:dyDescent="0.25">
      <c r="B106" s="55" t="str">
        <f>'Patient Care Equip'!D32</f>
        <v>RT-PCR kit (100 tests)</v>
      </c>
      <c r="C106" s="133" t="str">
        <f>IF($B106='Staff &amp; Infra Assumptions'!B74,"OK","ERROR")</f>
        <v>OK</v>
      </c>
      <c r="D106" s="133" t="str">
        <f>CONCATENATE($B$92,$B106)</f>
        <v>LaboratoriesRT-PCR kit (100 tests)</v>
      </c>
      <c r="E106" s="134"/>
      <c r="F106" s="132"/>
      <c r="G106" s="111"/>
      <c r="H106" s="111"/>
      <c r="I106" s="340">
        <f>'Staff &amp; Infra Assumptions'!G74</f>
        <v>32</v>
      </c>
      <c r="J106" s="111"/>
      <c r="K106" s="110">
        <f t="shared" si="22"/>
        <v>32</v>
      </c>
      <c r="L106" s="41" t="s">
        <v>319</v>
      </c>
      <c r="M106" s="123" t="s">
        <v>806</v>
      </c>
      <c r="O106" s="390"/>
      <c r="P106" s="390"/>
      <c r="Q106" s="390"/>
      <c r="R106" s="390"/>
      <c r="S106" s="390"/>
      <c r="T106" s="390"/>
    </row>
    <row r="107" spans="2:20" x14ac:dyDescent="0.25">
      <c r="B107" s="50" t="s">
        <v>332</v>
      </c>
      <c r="C107" s="107" t="str">
        <f>IF($B107='Equipment Assumptions'!$B99,"OK","ERROR")</f>
        <v>OK</v>
      </c>
      <c r="D107" s="107"/>
      <c r="E107" s="47"/>
      <c r="F107" s="48"/>
      <c r="G107" s="48"/>
      <c r="H107" s="48"/>
      <c r="I107" s="48"/>
      <c r="J107" s="48"/>
      <c r="K107" s="48"/>
      <c r="L107" s="34"/>
      <c r="M107" s="34"/>
      <c r="O107" s="394"/>
      <c r="P107" s="394"/>
      <c r="Q107" s="394"/>
      <c r="R107" s="394"/>
      <c r="S107" s="394"/>
      <c r="T107" s="394"/>
    </row>
    <row r="108" spans="2:20" x14ac:dyDescent="0.25">
      <c r="B108" s="55" t="str">
        <f>'Patient Care Equip'!D19</f>
        <v>Liquid soap</v>
      </c>
      <c r="C108" s="55" t="str">
        <f>IF($B108='Equipment Assumptions'!$B100,"OK","ERROR")</f>
        <v>OK</v>
      </c>
      <c r="D108" s="55" t="str">
        <f t="shared" si="21"/>
        <v>LaboratoriesLiquid soap</v>
      </c>
      <c r="E108" s="110">
        <f>IF($M108="Yes",IF(INDEX(Equipment_usage_table,MATCH($D108,SearchItem_EUT,0),MATCH(E$15,SearchUser_EUT,0))&gt;0,Max_Lab_HCWs*Multiplier_reuseable,0),INDEX(Equipment_usage_table,MATCH($D108,SearchItem_EUT,0),MATCH(E$15,SearchUser_EUT,0))*Total_HCW_labs*Multiplier_non_reusable)</f>
        <v>0.89999999999999991</v>
      </c>
      <c r="F108" s="110">
        <f>IF($M108="Yes",IF(INDEX(Equipment_usage_table,MATCH($D108,SearchItem_EUT,0),MATCH(F$15,SearchUser_EUT,0))&gt;0,Max_Lab_hygienists*Multiplier_reuseable,0),INDEX(Equipment_usage_table,MATCH($D108,SearchItem_EUT,0),MATCH(F$15,SearchUser_EUT,0))*Total_hygienist_labs*Multiplier_non_reusable)</f>
        <v>0.58333333333333337</v>
      </c>
      <c r="G108" s="111"/>
      <c r="H108" s="111"/>
      <c r="I108" s="111"/>
      <c r="J108" s="111"/>
      <c r="K108" s="110">
        <f t="shared" si="22"/>
        <v>1.4833333333333334</v>
      </c>
      <c r="L108" s="41" t="s">
        <v>274</v>
      </c>
      <c r="M108" s="123" t="str">
        <f>INDEX('Patient Care Equip'!$E$17:$E$41,MATCH($B108,'Patient Care Equip'!$D$17:$D$41,0))</f>
        <v>No</v>
      </c>
      <c r="O108" s="393"/>
      <c r="P108" s="393"/>
      <c r="Q108" s="393"/>
      <c r="R108" s="393"/>
      <c r="S108" s="393"/>
      <c r="T108" s="393"/>
    </row>
    <row r="109" spans="2:20" x14ac:dyDescent="0.25">
      <c r="B109" s="55" t="str">
        <f>'Patient Care Equip'!D33</f>
        <v>Bio-hazardous bag</v>
      </c>
      <c r="C109" s="55" t="str">
        <f>IF($B109='Equipment Assumptions'!$B101,"OK","ERROR")</f>
        <v>OK</v>
      </c>
      <c r="D109" s="55" t="str">
        <f t="shared" si="21"/>
        <v>LaboratoriesBio-hazardous bag</v>
      </c>
      <c r="E109" s="110">
        <f>IF($M109="Yes",IF(INDEX(Equipment_usage_table,MATCH($D109,SearchItem_EUT,0),MATCH(E$15,SearchUser_EUT,0))&gt;0,Max_Lab_HCWs*Multiplier_reuseable,0),INDEX(Equipment_usage_table,MATCH($D109,SearchItem_EUT,0),MATCH(E$15,SearchUser_EUT,0))*Total_HCW_labs*Multiplier_non_reusable)</f>
        <v>18</v>
      </c>
      <c r="F109" s="110">
        <f>IF($M109="Yes",IF(INDEX(Equipment_usage_table,MATCH($D109,SearchItem_EUT,0),MATCH(F$15,SearchUser_EUT,0))&gt;0,Max_Lab_hygienists*Multiplier_reuseable,0),INDEX(Equipment_usage_table,MATCH($D109,SearchItem_EUT,0),MATCH(F$15,SearchUser_EUT,0))*Total_hygienist_labs*Multiplier_non_reusable)</f>
        <v>17.5</v>
      </c>
      <c r="G109" s="111"/>
      <c r="H109" s="111"/>
      <c r="I109" s="111"/>
      <c r="J109" s="111"/>
      <c r="K109" s="110">
        <f t="shared" si="22"/>
        <v>35.5</v>
      </c>
      <c r="L109" s="41" t="s">
        <v>321</v>
      </c>
      <c r="M109" s="123" t="str">
        <f>INDEX('Patient Care Equip'!$E$17:$E$41,MATCH($B109,'Patient Care Equip'!$D$17:$D$41,0))</f>
        <v>No</v>
      </c>
      <c r="O109" s="390"/>
      <c r="P109" s="390"/>
      <c r="Q109" s="390"/>
      <c r="R109" s="390"/>
      <c r="S109" s="390"/>
      <c r="T109" s="390"/>
    </row>
    <row r="110" spans="2:20" x14ac:dyDescent="0.25">
      <c r="B110" s="55" t="str">
        <f>'Patient Care Equip'!D17</f>
        <v>Chlorine, HTH 70%</v>
      </c>
      <c r="C110" s="55" t="str">
        <f>IF($B110='Equipment Assumptions'!$B102,"OK","ERROR")</f>
        <v>OK</v>
      </c>
      <c r="D110" s="55" t="str">
        <f t="shared" si="21"/>
        <v>LaboratoriesChlorine, HTH 70%</v>
      </c>
      <c r="E110" s="110">
        <f>IF($M110="Yes",IF(INDEX(Equipment_usage_table,MATCH($D110,SearchItem_EUT,0),MATCH(E$15,SearchUser_EUT,0))&gt;0,Max_Lab_HCWs*Multiplier_reuseable,0),INDEX(Equipment_usage_table,MATCH($D110,SearchItem_EUT,0),MATCH(E$15,SearchUser_EUT,0))*Total_HCW_labs*Multiplier_non_reusable)</f>
        <v>4.5</v>
      </c>
      <c r="F110" s="110">
        <f>IF($M110="Yes",IF(INDEX(Equipment_usage_table,MATCH($D110,SearchItem_EUT,0),MATCH(F$15,SearchUser_EUT,0))&gt;0,Max_Lab_hygienists*Multiplier_reuseable,0),INDEX(Equipment_usage_table,MATCH($D110,SearchItem_EUT,0),MATCH(F$15,SearchUser_EUT,0))*Total_hygienist_labs*Multiplier_non_reusable)</f>
        <v>1.05</v>
      </c>
      <c r="G110" s="111"/>
      <c r="H110" s="111"/>
      <c r="I110" s="111"/>
      <c r="J110" s="111"/>
      <c r="K110" s="110">
        <f t="shared" si="22"/>
        <v>5.55</v>
      </c>
      <c r="L110" s="41" t="s">
        <v>277</v>
      </c>
      <c r="M110" s="123" t="str">
        <f>INDEX('Patient Care Equip'!$E$17:$E$41,MATCH($B110,'Patient Care Equip'!$D$17:$D$41,0))</f>
        <v>No</v>
      </c>
      <c r="O110" s="390"/>
      <c r="P110" s="390"/>
      <c r="Q110" s="390"/>
      <c r="R110" s="390"/>
      <c r="S110" s="390"/>
      <c r="T110" s="390"/>
    </row>
    <row r="111" spans="2:20" ht="15.75" thickBot="1" x14ac:dyDescent="0.3">
      <c r="B111" s="59" t="str">
        <f>'Patient Care Equip'!D18</f>
        <v>Alcohol-based hand rub</v>
      </c>
      <c r="C111" s="59" t="str">
        <f>IF($B111='Equipment Assumptions'!$B103,"OK","ERROR")</f>
        <v>OK</v>
      </c>
      <c r="D111" s="59" t="str">
        <f t="shared" si="21"/>
        <v>LaboratoriesAlcohol-based hand rub</v>
      </c>
      <c r="E111" s="110">
        <f>IF($M111="Yes",IF(INDEX(Equipment_usage_table,MATCH($D111,SearchItem_EUT,0),MATCH(E$15,SearchUser_EUT,0))&gt;0,Max_Lab_HCWs*Multiplier_reuseable,0),INDEX(Equipment_usage_table,MATCH($D111,SearchItem_EUT,0),MATCH(E$15,SearchUser_EUT,0))*Total_HCW_labs*Multiplier_non_reusable)</f>
        <v>1.35</v>
      </c>
      <c r="F111" s="110">
        <f>IF($M111="Yes",IF(INDEX(Equipment_usage_table,MATCH($D111,SearchItem_EUT,0),MATCH(F$15,SearchUser_EUT,0))&gt;0,Max_Lab_hygienists*Multiplier_reuseable,0),INDEX(Equipment_usage_table,MATCH($D111,SearchItem_EUT,0),MATCH(F$15,SearchUser_EUT,0))*Total_hygienist_labs*Multiplier_non_reusable)</f>
        <v>1.1666666666666667</v>
      </c>
      <c r="G111" s="111"/>
      <c r="H111" s="111"/>
      <c r="I111" s="111"/>
      <c r="J111" s="111"/>
      <c r="K111" s="110">
        <f t="shared" si="22"/>
        <v>2.5166666666666666</v>
      </c>
      <c r="L111" s="41" t="s">
        <v>274</v>
      </c>
      <c r="M111" s="123" t="str">
        <f>INDEX('Patient Care Equip'!$E$17:$E$41,MATCH($B111,'Patient Care Equip'!$D$17:$D$41,0))</f>
        <v>No</v>
      </c>
      <c r="O111" s="395"/>
      <c r="P111" s="395"/>
      <c r="Q111" s="395"/>
      <c r="R111" s="395"/>
      <c r="S111" s="395"/>
      <c r="T111" s="395"/>
    </row>
  </sheetData>
  <sheetProtection algorithmName="SHA-512" hashValue="qd3YfzYwPNxCXLkkgLGfnU2aXBj2ASHSrKk/Ax3opBuClMapJIEPBJU5kSVgjAr3z3YXmWH23rcQifTatYfY3w==" saltValue="gmrmJ0enf1qsZerowcRS+w==" spinCount="100000" sheet="1" objects="1" scenarios="1"/>
  <mergeCells count="1">
    <mergeCell ref="A4:I4"/>
  </mergeCells>
  <pageMargins left="0.7" right="0.7" top="0.75" bottom="0.75" header="0.3" footer="0.3"/>
  <pageSetup orientation="portrait" r:id="rId1"/>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B2:B3"/>
  <sheetViews>
    <sheetView showGridLines="0" zoomScaleNormal="100" workbookViewId="0"/>
  </sheetViews>
  <sheetFormatPr defaultColWidth="8.5703125" defaultRowHeight="15" x14ac:dyDescent="0.25"/>
  <sheetData>
    <row r="2" spans="2:2" ht="18.75" x14ac:dyDescent="0.3">
      <c r="B2" s="209" t="s">
        <v>1017</v>
      </c>
    </row>
    <row r="3" spans="2:2" x14ac:dyDescent="0.25">
      <c r="B3" s="31" t="s">
        <v>1181</v>
      </c>
    </row>
  </sheetData>
  <sheetProtection algorithmName="SHA-512" hashValue="XENx+EQn9j9yiKlgGN0+mWBc3LOYofk/CYMRHnKMuliex1dxuDL0BIAoOpoprM/BjSuQSGtXfwdyKcaIc4CxFQ==" saltValue="iEqT3rPWpm4WZuTN2/J6nA==" spinCount="100000" sheet="1" objects="1" scenarios="1"/>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2:BI35"/>
  <sheetViews>
    <sheetView showGridLines="0" zoomScale="70" zoomScaleNormal="70" workbookViewId="0">
      <selection activeCell="BH16" sqref="BH16"/>
    </sheetView>
  </sheetViews>
  <sheetFormatPr defaultRowHeight="15" x14ac:dyDescent="0.25"/>
  <cols>
    <col min="2" max="2" width="37.42578125" bestFit="1" customWidth="1"/>
    <col min="4" max="4" width="14.5703125" customWidth="1"/>
    <col min="5" max="5" width="14.5703125" style="138" customWidth="1"/>
    <col min="6" max="11" width="14.5703125" customWidth="1"/>
    <col min="12" max="51" width="14.5703125" style="138" customWidth="1"/>
    <col min="52" max="56" width="14.5703125" customWidth="1"/>
    <col min="58" max="58" width="18.42578125" bestFit="1" customWidth="1"/>
    <col min="59" max="59" width="4.42578125" customWidth="1"/>
    <col min="60" max="60" width="17.5703125" bestFit="1" customWidth="1"/>
  </cols>
  <sheetData>
    <row r="2" spans="1:61" s="29" customFormat="1" ht="18.75" x14ac:dyDescent="0.3">
      <c r="B2" s="29" t="s">
        <v>1173</v>
      </c>
    </row>
    <row r="4" spans="1:61" x14ac:dyDescent="0.25">
      <c r="A4" s="16"/>
      <c r="B4" s="15" t="s">
        <v>286</v>
      </c>
      <c r="C4" s="15"/>
      <c r="D4" s="15"/>
      <c r="E4" s="15"/>
      <c r="F4" s="15"/>
      <c r="G4" s="15"/>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row>
    <row r="5" spans="1:61" x14ac:dyDescent="0.25">
      <c r="B5" t="s">
        <v>287</v>
      </c>
      <c r="D5" s="12"/>
      <c r="E5" s="12"/>
      <c r="I5" s="89"/>
    </row>
    <row r="6" spans="1:61" x14ac:dyDescent="0.25">
      <c r="B6" t="s">
        <v>288</v>
      </c>
      <c r="D6" s="13"/>
      <c r="E6" s="13"/>
      <c r="G6" s="84"/>
      <c r="H6" s="84"/>
      <c r="I6" s="84"/>
      <c r="J6" s="84"/>
      <c r="K6" s="84"/>
      <c r="L6" s="84"/>
      <c r="M6" s="84"/>
      <c r="N6" s="84"/>
      <c r="O6" s="84"/>
      <c r="P6" s="84"/>
      <c r="Q6" s="84"/>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row>
    <row r="7" spans="1:61" x14ac:dyDescent="0.25">
      <c r="B7" s="6" t="s">
        <v>289</v>
      </c>
      <c r="C7" s="6"/>
      <c r="D7" s="14"/>
      <c r="E7" s="14"/>
      <c r="F7" s="6"/>
      <c r="G7" s="6"/>
      <c r="I7" s="93"/>
      <c r="BE7" s="89"/>
      <c r="BF7" s="89"/>
      <c r="BG7" s="89"/>
      <c r="BH7" s="89"/>
      <c r="BI7" s="89"/>
    </row>
    <row r="8" spans="1:61" x14ac:dyDescent="0.25">
      <c r="F8" s="84"/>
      <c r="G8" s="79"/>
    </row>
    <row r="9" spans="1:61" x14ac:dyDescent="0.25">
      <c r="D9" s="753" t="s">
        <v>799</v>
      </c>
      <c r="E9" s="753"/>
      <c r="F9" s="753"/>
      <c r="G9" s="753"/>
      <c r="H9" s="753"/>
      <c r="I9" s="753"/>
      <c r="J9" s="753"/>
      <c r="K9" s="753"/>
      <c r="L9" s="753"/>
      <c r="M9" s="753"/>
      <c r="N9" s="753"/>
      <c r="O9" s="753"/>
      <c r="P9" s="753"/>
      <c r="Q9" s="753"/>
      <c r="R9" s="753"/>
      <c r="S9" s="753"/>
      <c r="T9" s="753"/>
      <c r="U9" s="753"/>
      <c r="V9" s="753"/>
      <c r="W9" s="753"/>
      <c r="X9" s="753"/>
      <c r="Y9" s="753"/>
      <c r="Z9" s="753"/>
      <c r="AA9" s="753"/>
      <c r="AB9" s="753"/>
      <c r="AC9" s="753"/>
      <c r="AD9" s="753"/>
      <c r="AE9" s="753"/>
      <c r="AF9" s="753"/>
      <c r="AG9" s="753"/>
      <c r="AH9" s="753"/>
      <c r="AI9" s="753"/>
      <c r="AJ9" s="753"/>
      <c r="AK9" s="753"/>
      <c r="AL9" s="753"/>
      <c r="AM9" s="753"/>
      <c r="AN9" s="753"/>
      <c r="AO9" s="753"/>
      <c r="AP9" s="753"/>
      <c r="AQ9" s="753"/>
      <c r="AR9" s="753"/>
      <c r="AS9" s="753"/>
      <c r="AT9" s="753"/>
      <c r="AU9" s="753"/>
      <c r="AV9" s="753"/>
      <c r="AW9" s="753"/>
      <c r="AX9" s="753"/>
      <c r="AY9" s="753"/>
      <c r="AZ9" s="753"/>
      <c r="BA9" s="753"/>
      <c r="BB9" s="753"/>
      <c r="BC9" s="753"/>
      <c r="BD9" s="753"/>
      <c r="BF9" s="4" t="s">
        <v>803</v>
      </c>
      <c r="BH9" s="4" t="s">
        <v>804</v>
      </c>
    </row>
    <row r="10" spans="1:61" x14ac:dyDescent="0.25">
      <c r="D10" s="28">
        <v>0</v>
      </c>
      <c r="E10" s="28">
        <v>1</v>
      </c>
      <c r="F10" s="28">
        <v>2</v>
      </c>
      <c r="G10" s="28">
        <v>3</v>
      </c>
      <c r="H10" s="28">
        <v>4</v>
      </c>
      <c r="I10" s="27">
        <v>5</v>
      </c>
      <c r="J10" s="27">
        <v>6</v>
      </c>
      <c r="K10" s="27">
        <v>7</v>
      </c>
      <c r="L10" s="28">
        <v>8</v>
      </c>
      <c r="M10" s="27">
        <v>9</v>
      </c>
      <c r="N10" s="27">
        <v>10</v>
      </c>
      <c r="O10" s="27">
        <v>11</v>
      </c>
      <c r="P10" s="28">
        <v>12</v>
      </c>
      <c r="Q10" s="27">
        <v>13</v>
      </c>
      <c r="R10" s="27">
        <v>14</v>
      </c>
      <c r="S10" s="27">
        <v>15</v>
      </c>
      <c r="T10" s="28">
        <v>16</v>
      </c>
      <c r="U10" s="27">
        <v>17</v>
      </c>
      <c r="V10" s="27">
        <v>18</v>
      </c>
      <c r="W10" s="27">
        <v>19</v>
      </c>
      <c r="X10" s="28">
        <v>20</v>
      </c>
      <c r="Y10" s="27">
        <v>21</v>
      </c>
      <c r="Z10" s="27">
        <v>22</v>
      </c>
      <c r="AA10" s="27">
        <v>23</v>
      </c>
      <c r="AB10" s="28">
        <v>24</v>
      </c>
      <c r="AC10" s="27">
        <v>25</v>
      </c>
      <c r="AD10" s="27">
        <v>26</v>
      </c>
      <c r="AE10" s="27">
        <v>27</v>
      </c>
      <c r="AF10" s="28">
        <v>28</v>
      </c>
      <c r="AG10" s="27">
        <v>29</v>
      </c>
      <c r="AH10" s="27">
        <v>30</v>
      </c>
      <c r="AI10" s="27">
        <v>31</v>
      </c>
      <c r="AJ10" s="28">
        <v>32</v>
      </c>
      <c r="AK10" s="27">
        <v>33</v>
      </c>
      <c r="AL10" s="27">
        <v>34</v>
      </c>
      <c r="AM10" s="27">
        <v>35</v>
      </c>
      <c r="AN10" s="28">
        <v>36</v>
      </c>
      <c r="AO10" s="27">
        <v>37</v>
      </c>
      <c r="AP10" s="27">
        <v>38</v>
      </c>
      <c r="AQ10" s="27">
        <v>39</v>
      </c>
      <c r="AR10" s="28">
        <v>40</v>
      </c>
      <c r="AS10" s="27">
        <v>41</v>
      </c>
      <c r="AT10" s="27">
        <v>42</v>
      </c>
      <c r="AU10" s="27">
        <v>43</v>
      </c>
      <c r="AV10" s="28">
        <v>44</v>
      </c>
      <c r="AW10" s="27">
        <v>45</v>
      </c>
      <c r="AX10" s="27">
        <v>46</v>
      </c>
      <c r="AY10" s="27">
        <v>47</v>
      </c>
      <c r="AZ10" s="28">
        <v>48</v>
      </c>
      <c r="BA10" s="27">
        <v>49</v>
      </c>
      <c r="BB10" s="27">
        <v>50</v>
      </c>
      <c r="BC10" s="27">
        <v>51</v>
      </c>
      <c r="BD10" s="28">
        <v>52</v>
      </c>
    </row>
    <row r="11" spans="1:61" s="83" customFormat="1" x14ac:dyDescent="0.25">
      <c r="B11" s="124" t="s">
        <v>801</v>
      </c>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c r="BA11" s="125"/>
      <c r="BB11" s="125"/>
      <c r="BC11" s="125"/>
      <c r="BD11" s="125"/>
    </row>
    <row r="12" spans="1:61" x14ac:dyDescent="0.25">
      <c r="B12" s="31" t="s">
        <v>311</v>
      </c>
      <c r="D12" s="164">
        <f ca="1">IF(D13="","",SUM(D13:D14))</f>
        <v>0.2</v>
      </c>
      <c r="E12" s="164">
        <f t="shared" ref="E12:Q12" ca="1" si="0">IF(E13="","",SUM(E13:E14))</f>
        <v>0.52271713220297156</v>
      </c>
      <c r="F12" s="164">
        <f t="shared" ca="1" si="0"/>
        <v>1.7082038506447232</v>
      </c>
      <c r="G12" s="164">
        <f t="shared" ca="1" si="0"/>
        <v>5.745689978118957</v>
      </c>
      <c r="H12" s="164">
        <f t="shared" ca="1" si="0"/>
        <v>19.3261204230377</v>
      </c>
      <c r="I12" s="164">
        <f t="shared" ca="1" si="0"/>
        <v>65.005061537975962</v>
      </c>
      <c r="J12" s="164">
        <f t="shared" ca="1" si="0"/>
        <v>218.65009288252463</v>
      </c>
      <c r="K12" s="164">
        <f t="shared" ca="1" si="0"/>
        <v>735.44831719922638</v>
      </c>
      <c r="L12" s="164">
        <f t="shared" ca="1" si="0"/>
        <v>2473.7434141488257</v>
      </c>
      <c r="M12" s="164">
        <f t="shared" ca="1" si="0"/>
        <v>8320.6478768609213</v>
      </c>
      <c r="N12" s="164">
        <f t="shared" ca="1" si="0"/>
        <v>27987.211888963109</v>
      </c>
      <c r="O12" s="164">
        <f t="shared" ca="1" si="0"/>
        <v>94137.384601501093</v>
      </c>
      <c r="P12" s="164">
        <f t="shared" ca="1" si="0"/>
        <v>316639.15701104968</v>
      </c>
      <c r="Q12" s="164">
        <f t="shared" ca="1" si="0"/>
        <v>1065042.9282381989</v>
      </c>
      <c r="R12" s="164">
        <f t="shared" ref="R12" ca="1" si="1">IF(R13="","",SUM(R13:R14))</f>
        <v>591089.84057470539</v>
      </c>
      <c r="S12" s="164" t="str">
        <f t="shared" ref="S12" si="2">IF(S13="","",SUM(S13:S14))</f>
        <v/>
      </c>
      <c r="T12" s="164" t="str">
        <f t="shared" ref="T12" si="3">IF(T13="","",SUM(T13:T14))</f>
        <v/>
      </c>
      <c r="U12" s="164" t="str">
        <f t="shared" ref="U12" si="4">IF(U13="","",SUM(U13:U14))</f>
        <v/>
      </c>
      <c r="V12" s="164" t="str">
        <f t="shared" ref="V12" si="5">IF(V13="","",SUM(V13:V14))</f>
        <v/>
      </c>
      <c r="W12" s="164" t="str">
        <f t="shared" ref="W12" si="6">IF(W13="","",SUM(W13:W14))</f>
        <v/>
      </c>
      <c r="X12" s="164" t="str">
        <f t="shared" ref="X12" si="7">IF(X13="","",SUM(X13:X14))</f>
        <v/>
      </c>
      <c r="Y12" s="164" t="str">
        <f t="shared" ref="Y12" si="8">IF(Y13="","",SUM(Y13:Y14))</f>
        <v/>
      </c>
      <c r="Z12" s="164" t="str">
        <f t="shared" ref="Z12" si="9">IF(Z13="","",SUM(Z13:Z14))</f>
        <v/>
      </c>
      <c r="AA12" s="164" t="str">
        <f t="shared" ref="AA12" si="10">IF(AA13="","",SUM(AA13:AA14))</f>
        <v/>
      </c>
      <c r="AB12" s="164" t="str">
        <f t="shared" ref="AB12" si="11">IF(AB13="","",SUM(AB13:AB14))</f>
        <v/>
      </c>
      <c r="AC12" s="164" t="str">
        <f t="shared" ref="AC12:AD12" si="12">IF(AC13="","",SUM(AC13:AC14))</f>
        <v/>
      </c>
      <c r="AD12" s="164" t="str">
        <f t="shared" si="12"/>
        <v/>
      </c>
      <c r="AE12" s="164" t="str">
        <f t="shared" ref="AE12" si="13">IF(AE13="","",SUM(AE13:AE14))</f>
        <v/>
      </c>
      <c r="AF12" s="164" t="str">
        <f t="shared" ref="AF12" si="14">IF(AF13="","",SUM(AF13:AF14))</f>
        <v/>
      </c>
      <c r="AG12" s="164" t="str">
        <f t="shared" ref="AG12" si="15">IF(AG13="","",SUM(AG13:AG14))</f>
        <v/>
      </c>
      <c r="AH12" s="164" t="str">
        <f t="shared" ref="AH12" si="16">IF(AH13="","",SUM(AH13:AH14))</f>
        <v/>
      </c>
      <c r="AI12" s="164" t="str">
        <f t="shared" ref="AI12" si="17">IF(AI13="","",SUM(AI13:AI14))</f>
        <v/>
      </c>
      <c r="AJ12" s="164" t="str">
        <f t="shared" ref="AJ12" si="18">IF(AJ13="","",SUM(AJ13:AJ14))</f>
        <v/>
      </c>
      <c r="AK12" s="164" t="str">
        <f t="shared" ref="AK12" si="19">IF(AK13="","",SUM(AK13:AK14))</f>
        <v/>
      </c>
      <c r="AL12" s="164" t="str">
        <f t="shared" ref="AL12" si="20">IF(AL13="","",SUM(AL13:AL14))</f>
        <v/>
      </c>
      <c r="AM12" s="164" t="str">
        <f t="shared" ref="AM12" si="21">IF(AM13="","",SUM(AM13:AM14))</f>
        <v/>
      </c>
      <c r="AN12" s="164" t="str">
        <f t="shared" ref="AN12" si="22">IF(AN13="","",SUM(AN13:AN14))</f>
        <v/>
      </c>
      <c r="AO12" s="164" t="str">
        <f t="shared" ref="AO12" si="23">IF(AO13="","",SUM(AO13:AO14))</f>
        <v/>
      </c>
      <c r="AP12" s="164" t="str">
        <f t="shared" ref="AP12:AQ12" si="24">IF(AP13="","",SUM(AP13:AP14))</f>
        <v/>
      </c>
      <c r="AQ12" s="164" t="str">
        <f t="shared" si="24"/>
        <v/>
      </c>
      <c r="AR12" s="164" t="str">
        <f t="shared" ref="AR12" si="25">IF(AR13="","",SUM(AR13:AR14))</f>
        <v/>
      </c>
      <c r="AS12" s="164" t="str">
        <f t="shared" ref="AS12" si="26">IF(AS13="","",SUM(AS13:AS14))</f>
        <v/>
      </c>
      <c r="AT12" s="164" t="str">
        <f t="shared" ref="AT12" si="27">IF(AT13="","",SUM(AT13:AT14))</f>
        <v/>
      </c>
      <c r="AU12" s="164" t="str">
        <f t="shared" ref="AU12" si="28">IF(AU13="","",SUM(AU13:AU14))</f>
        <v/>
      </c>
      <c r="AV12" s="164" t="str">
        <f t="shared" ref="AV12" si="29">IF(AV13="","",SUM(AV13:AV14))</f>
        <v/>
      </c>
      <c r="AW12" s="164" t="str">
        <f t="shared" ref="AW12" si="30">IF(AW13="","",SUM(AW13:AW14))</f>
        <v/>
      </c>
      <c r="AX12" s="164" t="str">
        <f t="shared" ref="AX12" si="31">IF(AX13="","",SUM(AX13:AX14))</f>
        <v/>
      </c>
      <c r="AY12" s="164" t="str">
        <f t="shared" ref="AY12" si="32">IF(AY13="","",SUM(AY13:AY14))</f>
        <v/>
      </c>
      <c r="AZ12" s="164" t="str">
        <f t="shared" ref="AZ12" si="33">IF(AZ13="","",SUM(AZ13:AZ14))</f>
        <v/>
      </c>
      <c r="BA12" s="164" t="str">
        <f t="shared" ref="BA12" si="34">IF(BA13="","",SUM(BA13:BA14))</f>
        <v/>
      </c>
      <c r="BB12" s="164" t="str">
        <f t="shared" ref="BB12" si="35">IF(BB13="","",SUM(BB13:BB14))</f>
        <v/>
      </c>
      <c r="BC12" s="164" t="str">
        <f t="shared" ref="BC12:BD12" si="36">IF(BC13="","",SUM(BC13:BC14))</f>
        <v/>
      </c>
      <c r="BD12" s="164" t="str">
        <f t="shared" si="36"/>
        <v/>
      </c>
      <c r="BF12" s="86">
        <f t="shared" ref="BF12:BF22" ca="1" si="37">SUMIFS($D12:$BD12,$D$10:$BD$10,"&lt;="&amp;WeekSuppliedUntil,$D$10:$BD$10,"&gt;="&amp;Start_week_for_forecasting)</f>
        <v>311.15788580450493</v>
      </c>
      <c r="BG12" s="31"/>
      <c r="BH12" s="86">
        <f ca="1">IF(Start_week_for_forecasting+'User Dashboard'!$I$19='Patient Calc Assumptions'!$C$50,MAX($D12:$BD12),INDEX('Patient &amp; HCW Summary'!D12:BD12,MATCH(WeekSuppliedUntil,D$10:BD$10,0)))</f>
        <v>218.65009288252463</v>
      </c>
    </row>
    <row r="13" spans="1:61" s="138" customFormat="1" x14ac:dyDescent="0.25">
      <c r="B13" s="138" t="s">
        <v>924</v>
      </c>
      <c r="D13" s="85">
        <f ca="1">'Patient &amp; Case Type Summary'!D39</f>
        <v>0.15</v>
      </c>
      <c r="E13" s="85">
        <f ca="1">'Patient &amp; Case Type Summary'!E39</f>
        <v>0.35453784915222863</v>
      </c>
      <c r="F13" s="85">
        <f ca="1">'Patient &amp; Case Type Summary'!F39</f>
        <v>1.1925184256954853</v>
      </c>
      <c r="G13" s="85">
        <f ca="1">'Patient &amp; Case Type Summary'!G39</f>
        <v>4.0111378771653463</v>
      </c>
      <c r="H13" s="85">
        <f ca="1">'Patient &amp; Case Type Summary'!H39</f>
        <v>13.491805847986939</v>
      </c>
      <c r="I13" s="85">
        <f ca="1">'Patient &amp; Case Type Summary'!I39</f>
        <v>45.380844691485237</v>
      </c>
      <c r="J13" s="85">
        <f ca="1">'Patient &amp; Case Type Summary'!J39</f>
        <v>152.64235848902217</v>
      </c>
      <c r="K13" s="85">
        <f ca="1">'Patient &amp; Case Type Summary'!K39</f>
        <v>513.42564827716421</v>
      </c>
      <c r="L13" s="85">
        <f ca="1">'Patient &amp; Case Type Summary'!L39</f>
        <v>1726.9511485423282</v>
      </c>
      <c r="M13" s="85">
        <f ca="1">'Patient &amp; Case Type Summary'!M39</f>
        <v>5808.7481205101085</v>
      </c>
      <c r="N13" s="85">
        <f ca="1">'Patient &amp; Case Type Summary'!N39</f>
        <v>19538.221886594805</v>
      </c>
      <c r="O13" s="85">
        <f ca="1">'Patient &amp; Case Type Summary'!O39</f>
        <v>65718.482979477121</v>
      </c>
      <c r="P13" s="85">
        <f ca="1">'Patient &amp; Case Type Summary'!P39</f>
        <v>221049.74701341795</v>
      </c>
      <c r="Q13" s="85">
        <f ca="1">'Patient &amp; Case Type Summary'!Q39</f>
        <v>743519.75942529459</v>
      </c>
      <c r="R13" s="85">
        <f ca="1">'Patient &amp; Case Type Summary'!R39</f>
        <v>257437.44057470537</v>
      </c>
      <c r="S13" s="85" t="str">
        <f>'Patient &amp; Case Type Summary'!S39</f>
        <v/>
      </c>
      <c r="T13" s="85" t="str">
        <f>'Patient &amp; Case Type Summary'!T39</f>
        <v/>
      </c>
      <c r="U13" s="85" t="str">
        <f>'Patient &amp; Case Type Summary'!U39</f>
        <v/>
      </c>
      <c r="V13" s="85" t="str">
        <f>'Patient &amp; Case Type Summary'!V39</f>
        <v/>
      </c>
      <c r="W13" s="85" t="str">
        <f>'Patient &amp; Case Type Summary'!W39</f>
        <v/>
      </c>
      <c r="X13" s="85" t="str">
        <f>'Patient &amp; Case Type Summary'!X39</f>
        <v/>
      </c>
      <c r="Y13" s="85" t="str">
        <f>'Patient &amp; Case Type Summary'!Y39</f>
        <v/>
      </c>
      <c r="Z13" s="85" t="str">
        <f>'Patient &amp; Case Type Summary'!Z39</f>
        <v/>
      </c>
      <c r="AA13" s="85" t="str">
        <f>'Patient &amp; Case Type Summary'!AA39</f>
        <v/>
      </c>
      <c r="AB13" s="85" t="str">
        <f>'Patient &amp; Case Type Summary'!AB39</f>
        <v/>
      </c>
      <c r="AC13" s="85" t="str">
        <f>'Patient &amp; Case Type Summary'!AC39</f>
        <v/>
      </c>
      <c r="AD13" s="85" t="str">
        <f>'Patient &amp; Case Type Summary'!AD39</f>
        <v/>
      </c>
      <c r="AE13" s="85" t="str">
        <f>'Patient &amp; Case Type Summary'!AE39</f>
        <v/>
      </c>
      <c r="AF13" s="85" t="str">
        <f>'Patient &amp; Case Type Summary'!AF39</f>
        <v/>
      </c>
      <c r="AG13" s="85" t="str">
        <f>'Patient &amp; Case Type Summary'!AG39</f>
        <v/>
      </c>
      <c r="AH13" s="85" t="str">
        <f>'Patient &amp; Case Type Summary'!AH39</f>
        <v/>
      </c>
      <c r="AI13" s="85" t="str">
        <f>'Patient &amp; Case Type Summary'!AI39</f>
        <v/>
      </c>
      <c r="AJ13" s="85" t="str">
        <f>'Patient &amp; Case Type Summary'!AJ39</f>
        <v/>
      </c>
      <c r="AK13" s="85" t="str">
        <f>'Patient &amp; Case Type Summary'!AK39</f>
        <v/>
      </c>
      <c r="AL13" s="85" t="str">
        <f>'Patient &amp; Case Type Summary'!AL39</f>
        <v/>
      </c>
      <c r="AM13" s="85" t="str">
        <f>'Patient &amp; Case Type Summary'!AM39</f>
        <v/>
      </c>
      <c r="AN13" s="85" t="str">
        <f>'Patient &amp; Case Type Summary'!AN39</f>
        <v/>
      </c>
      <c r="AO13" s="85" t="str">
        <f>'Patient &amp; Case Type Summary'!AO39</f>
        <v/>
      </c>
      <c r="AP13" s="85" t="str">
        <f>'Patient &amp; Case Type Summary'!AP39</f>
        <v/>
      </c>
      <c r="AQ13" s="85" t="str">
        <f>'Patient &amp; Case Type Summary'!AQ39</f>
        <v/>
      </c>
      <c r="AR13" s="85" t="str">
        <f>'Patient &amp; Case Type Summary'!AR39</f>
        <v/>
      </c>
      <c r="AS13" s="85" t="str">
        <f>'Patient &amp; Case Type Summary'!AS39</f>
        <v/>
      </c>
      <c r="AT13" s="85" t="str">
        <f>'Patient &amp; Case Type Summary'!AT39</f>
        <v/>
      </c>
      <c r="AU13" s="85" t="str">
        <f>'Patient &amp; Case Type Summary'!AU39</f>
        <v/>
      </c>
      <c r="AV13" s="85" t="str">
        <f>'Patient &amp; Case Type Summary'!AV39</f>
        <v/>
      </c>
      <c r="AW13" s="85" t="str">
        <f>'Patient &amp; Case Type Summary'!AW39</f>
        <v/>
      </c>
      <c r="AX13" s="85" t="str">
        <f>'Patient &amp; Case Type Summary'!AX39</f>
        <v/>
      </c>
      <c r="AY13" s="85" t="str">
        <f>'Patient &amp; Case Type Summary'!AY39</f>
        <v/>
      </c>
      <c r="AZ13" s="85" t="str">
        <f>'Patient &amp; Case Type Summary'!AZ39</f>
        <v/>
      </c>
      <c r="BA13" s="85" t="str">
        <f>'Patient &amp; Case Type Summary'!BA39</f>
        <v/>
      </c>
      <c r="BB13" s="85" t="str">
        <f>'Patient &amp; Case Type Summary'!BB39</f>
        <v/>
      </c>
      <c r="BC13" s="85" t="str">
        <f>'Patient &amp; Case Type Summary'!BC39</f>
        <v/>
      </c>
      <c r="BD13" s="85" t="str">
        <f>'Patient &amp; Case Type Summary'!BD39</f>
        <v/>
      </c>
      <c r="BF13" s="39">
        <f t="shared" ca="1" si="37"/>
        <v>217.22320318050743</v>
      </c>
      <c r="BH13" s="86">
        <f ca="1">IF(Start_week_for_forecasting+'User Dashboard'!$I$19='Patient Calc Assumptions'!$C$50,MAX($D13:$BD13),INDEX('Patient &amp; HCW Summary'!D13:BD13,MATCH(WeekSuppliedUntil,D$10:BD$10,0)))</f>
        <v>152.64235848902217</v>
      </c>
    </row>
    <row r="14" spans="1:61" s="138" customFormat="1" ht="15.75" customHeight="1" x14ac:dyDescent="0.25">
      <c r="B14" s="138" t="s">
        <v>925</v>
      </c>
      <c r="D14" s="85">
        <f ca="1">'Patient &amp; Case Type Summary'!D40</f>
        <v>0.05</v>
      </c>
      <c r="E14" s="85">
        <f ca="1">'Patient &amp; Case Type Summary'!E40</f>
        <v>0.16817928305074292</v>
      </c>
      <c r="F14" s="85">
        <f ca="1">'Patient &amp; Case Type Summary'!F40</f>
        <v>0.51568542494923797</v>
      </c>
      <c r="G14" s="85">
        <f ca="1">'Patient &amp; Case Type Summary'!G40</f>
        <v>1.7345521009536109</v>
      </c>
      <c r="H14" s="85">
        <f ca="1">'Patient &amp; Case Type Summary'!H40</f>
        <v>5.8343145750507626</v>
      </c>
      <c r="I14" s="85">
        <f ca="1">'Patient &amp; Case Type Summary'!I40</f>
        <v>19.624216846490725</v>
      </c>
      <c r="J14" s="85">
        <f ca="1">'Patient &amp; Case Type Summary'!J40</f>
        <v>66.007734393502474</v>
      </c>
      <c r="K14" s="85">
        <f ca="1">'Patient &amp; Case Type Summary'!K40</f>
        <v>222.02266892206217</v>
      </c>
      <c r="L14" s="85">
        <f ca="1">'Patient &amp; Case Type Summary'!L40</f>
        <v>746.79226560649761</v>
      </c>
      <c r="M14" s="85">
        <f ca="1">'Patient &amp; Case Type Summary'!M40</f>
        <v>2511.8997563508124</v>
      </c>
      <c r="N14" s="85">
        <f ca="1">'Patient &amp; Case Type Summary'!N40</f>
        <v>8448.990002368304</v>
      </c>
      <c r="O14" s="85">
        <f ca="1">'Patient &amp; Case Type Summary'!O40</f>
        <v>28418.901622023976</v>
      </c>
      <c r="P14" s="85">
        <f ca="1">'Patient &amp; Case Type Summary'!P40</f>
        <v>95589.409997631708</v>
      </c>
      <c r="Q14" s="85">
        <f ca="1">'Patient &amp; Case Type Summary'!Q40</f>
        <v>321523.16881290422</v>
      </c>
      <c r="R14" s="85">
        <f ca="1">'Patient &amp; Case Type Summary'!R40</f>
        <v>333652.40000000002</v>
      </c>
      <c r="S14" s="85" t="str">
        <f>'Patient &amp; Case Type Summary'!S40</f>
        <v/>
      </c>
      <c r="T14" s="85" t="str">
        <f>'Patient &amp; Case Type Summary'!T40</f>
        <v/>
      </c>
      <c r="U14" s="85" t="str">
        <f>'Patient &amp; Case Type Summary'!U40</f>
        <v/>
      </c>
      <c r="V14" s="85" t="str">
        <f>'Patient &amp; Case Type Summary'!V40</f>
        <v/>
      </c>
      <c r="W14" s="85" t="str">
        <f>'Patient &amp; Case Type Summary'!W40</f>
        <v/>
      </c>
      <c r="X14" s="85" t="str">
        <f>'Patient &amp; Case Type Summary'!X40</f>
        <v/>
      </c>
      <c r="Y14" s="85" t="str">
        <f>'Patient &amp; Case Type Summary'!Y40</f>
        <v/>
      </c>
      <c r="Z14" s="85" t="str">
        <f>'Patient &amp; Case Type Summary'!Z40</f>
        <v/>
      </c>
      <c r="AA14" s="85" t="str">
        <f>'Patient &amp; Case Type Summary'!AA40</f>
        <v/>
      </c>
      <c r="AB14" s="85" t="str">
        <f>'Patient &amp; Case Type Summary'!AB40</f>
        <v/>
      </c>
      <c r="AC14" s="85" t="str">
        <f>'Patient &amp; Case Type Summary'!AC40</f>
        <v/>
      </c>
      <c r="AD14" s="85" t="str">
        <f>'Patient &amp; Case Type Summary'!AD40</f>
        <v/>
      </c>
      <c r="AE14" s="85" t="str">
        <f>'Patient &amp; Case Type Summary'!AE40</f>
        <v/>
      </c>
      <c r="AF14" s="85" t="str">
        <f>'Patient &amp; Case Type Summary'!AF40</f>
        <v/>
      </c>
      <c r="AG14" s="85" t="str">
        <f>'Patient &amp; Case Type Summary'!AG40</f>
        <v/>
      </c>
      <c r="AH14" s="85" t="str">
        <f>'Patient &amp; Case Type Summary'!AH40</f>
        <v/>
      </c>
      <c r="AI14" s="85" t="str">
        <f>'Patient &amp; Case Type Summary'!AI40</f>
        <v/>
      </c>
      <c r="AJ14" s="85" t="str">
        <f>'Patient &amp; Case Type Summary'!AJ40</f>
        <v/>
      </c>
      <c r="AK14" s="85" t="str">
        <f>'Patient &amp; Case Type Summary'!AK40</f>
        <v/>
      </c>
      <c r="AL14" s="85" t="str">
        <f>'Patient &amp; Case Type Summary'!AL40</f>
        <v/>
      </c>
      <c r="AM14" s="85" t="str">
        <f>'Patient &amp; Case Type Summary'!AM40</f>
        <v/>
      </c>
      <c r="AN14" s="85" t="str">
        <f>'Patient &amp; Case Type Summary'!AN40</f>
        <v/>
      </c>
      <c r="AO14" s="85" t="str">
        <f>'Patient &amp; Case Type Summary'!AO40</f>
        <v/>
      </c>
      <c r="AP14" s="85" t="str">
        <f>'Patient &amp; Case Type Summary'!AP40</f>
        <v/>
      </c>
      <c r="AQ14" s="85" t="str">
        <f>'Patient &amp; Case Type Summary'!AQ40</f>
        <v/>
      </c>
      <c r="AR14" s="85" t="str">
        <f>'Patient &amp; Case Type Summary'!AR40</f>
        <v/>
      </c>
      <c r="AS14" s="85" t="str">
        <f>'Patient &amp; Case Type Summary'!AS40</f>
        <v/>
      </c>
      <c r="AT14" s="85" t="str">
        <f>'Patient &amp; Case Type Summary'!AT40</f>
        <v/>
      </c>
      <c r="AU14" s="85" t="str">
        <f>'Patient &amp; Case Type Summary'!AU40</f>
        <v/>
      </c>
      <c r="AV14" s="85" t="str">
        <f>'Patient &amp; Case Type Summary'!AV40</f>
        <v/>
      </c>
      <c r="AW14" s="85" t="str">
        <f>'Patient &amp; Case Type Summary'!AW40</f>
        <v/>
      </c>
      <c r="AX14" s="85" t="str">
        <f>'Patient &amp; Case Type Summary'!AX40</f>
        <v/>
      </c>
      <c r="AY14" s="85" t="str">
        <f>'Patient &amp; Case Type Summary'!AY40</f>
        <v/>
      </c>
      <c r="AZ14" s="85" t="str">
        <f>'Patient &amp; Case Type Summary'!AZ40</f>
        <v/>
      </c>
      <c r="BA14" s="85" t="str">
        <f>'Patient &amp; Case Type Summary'!BA40</f>
        <v/>
      </c>
      <c r="BB14" s="85" t="str">
        <f>'Patient &amp; Case Type Summary'!BB40</f>
        <v/>
      </c>
      <c r="BC14" s="85" t="str">
        <f>'Patient &amp; Case Type Summary'!BC40</f>
        <v/>
      </c>
      <c r="BD14" s="85" t="str">
        <f>'Patient &amp; Case Type Summary'!BD40</f>
        <v/>
      </c>
      <c r="BF14" s="39">
        <f t="shared" ca="1" si="37"/>
        <v>93.93468262399756</v>
      </c>
      <c r="BH14" s="86">
        <f ca="1">IF(Start_week_for_forecasting+'User Dashboard'!$I$19='Patient Calc Assumptions'!$C$50,MAX($D14:$BD14),INDEX('Patient &amp; HCW Summary'!D14:BD14,MATCH(WeekSuppliedUntil,D$10:BD$10,0)))</f>
        <v>66.007734393502474</v>
      </c>
    </row>
    <row r="15" spans="1:61" s="138" customFormat="1" ht="15.75" customHeight="1" x14ac:dyDescent="0.25">
      <c r="B15" s="31" t="s">
        <v>926</v>
      </c>
      <c r="D15" s="164">
        <f ca="1">IF(D16="","",SUM(D16:D17))</f>
        <v>0.2</v>
      </c>
      <c r="E15" s="164">
        <f t="shared" ref="E15:BD15" ca="1" si="38">IF(E16="","",SUM(E16:E17))</f>
        <v>0.52271713220297156</v>
      </c>
      <c r="F15" s="164">
        <f t="shared" ca="1" si="38"/>
        <v>1.7082038506447232</v>
      </c>
      <c r="G15" s="164">
        <f t="shared" ca="1" si="38"/>
        <v>5.745689978118957</v>
      </c>
      <c r="H15" s="164">
        <f t="shared" ca="1" si="38"/>
        <v>19.3261204230377</v>
      </c>
      <c r="I15" s="164">
        <f t="shared" ca="1" si="38"/>
        <v>65.005061537975962</v>
      </c>
      <c r="J15" s="164">
        <f t="shared" ca="1" si="38"/>
        <v>218.65009288252463</v>
      </c>
      <c r="K15" s="164">
        <f t="shared" ca="1" si="38"/>
        <v>735.44831719922638</v>
      </c>
      <c r="L15" s="164">
        <f t="shared" ca="1" si="38"/>
        <v>2473.7434141488257</v>
      </c>
      <c r="M15" s="164">
        <f t="shared" ca="1" si="38"/>
        <v>8320.6478768609213</v>
      </c>
      <c r="N15" s="164">
        <f t="shared" ca="1" si="38"/>
        <v>22304.342966594806</v>
      </c>
      <c r="O15" s="164">
        <f t="shared" ca="1" si="38"/>
        <v>68484.604059477118</v>
      </c>
      <c r="P15" s="164">
        <f t="shared" ca="1" si="38"/>
        <v>83316.899999999994</v>
      </c>
      <c r="Q15" s="164">
        <f t="shared" ca="1" si="38"/>
        <v>83316.899999999994</v>
      </c>
      <c r="R15" s="164">
        <f t="shared" ca="1" si="38"/>
        <v>83316.899999999994</v>
      </c>
      <c r="S15" s="164" t="str">
        <f t="shared" si="38"/>
        <v/>
      </c>
      <c r="T15" s="164" t="str">
        <f t="shared" si="38"/>
        <v/>
      </c>
      <c r="U15" s="164" t="str">
        <f t="shared" si="38"/>
        <v/>
      </c>
      <c r="V15" s="164" t="str">
        <f t="shared" si="38"/>
        <v/>
      </c>
      <c r="W15" s="164" t="str">
        <f t="shared" si="38"/>
        <v/>
      </c>
      <c r="X15" s="164" t="str">
        <f t="shared" si="38"/>
        <v/>
      </c>
      <c r="Y15" s="164" t="str">
        <f t="shared" si="38"/>
        <v/>
      </c>
      <c r="Z15" s="164" t="str">
        <f t="shared" si="38"/>
        <v/>
      </c>
      <c r="AA15" s="164" t="str">
        <f t="shared" si="38"/>
        <v/>
      </c>
      <c r="AB15" s="164" t="str">
        <f t="shared" si="38"/>
        <v/>
      </c>
      <c r="AC15" s="164" t="str">
        <f t="shared" si="38"/>
        <v/>
      </c>
      <c r="AD15" s="164" t="str">
        <f t="shared" si="38"/>
        <v/>
      </c>
      <c r="AE15" s="164" t="str">
        <f t="shared" si="38"/>
        <v/>
      </c>
      <c r="AF15" s="164" t="str">
        <f t="shared" si="38"/>
        <v/>
      </c>
      <c r="AG15" s="164" t="str">
        <f t="shared" si="38"/>
        <v/>
      </c>
      <c r="AH15" s="164" t="str">
        <f t="shared" si="38"/>
        <v/>
      </c>
      <c r="AI15" s="164" t="str">
        <f t="shared" si="38"/>
        <v/>
      </c>
      <c r="AJ15" s="164" t="str">
        <f t="shared" si="38"/>
        <v/>
      </c>
      <c r="AK15" s="164" t="str">
        <f t="shared" si="38"/>
        <v/>
      </c>
      <c r="AL15" s="164" t="str">
        <f t="shared" si="38"/>
        <v/>
      </c>
      <c r="AM15" s="164" t="str">
        <f t="shared" si="38"/>
        <v/>
      </c>
      <c r="AN15" s="164" t="str">
        <f t="shared" si="38"/>
        <v/>
      </c>
      <c r="AO15" s="164" t="str">
        <f t="shared" si="38"/>
        <v/>
      </c>
      <c r="AP15" s="164" t="str">
        <f t="shared" si="38"/>
        <v/>
      </c>
      <c r="AQ15" s="164" t="str">
        <f t="shared" si="38"/>
        <v/>
      </c>
      <c r="AR15" s="164" t="str">
        <f t="shared" si="38"/>
        <v/>
      </c>
      <c r="AS15" s="164" t="str">
        <f t="shared" si="38"/>
        <v/>
      </c>
      <c r="AT15" s="164" t="str">
        <f t="shared" si="38"/>
        <v/>
      </c>
      <c r="AU15" s="164" t="str">
        <f t="shared" si="38"/>
        <v/>
      </c>
      <c r="AV15" s="164" t="str">
        <f t="shared" si="38"/>
        <v/>
      </c>
      <c r="AW15" s="164" t="str">
        <f t="shared" si="38"/>
        <v/>
      </c>
      <c r="AX15" s="164" t="str">
        <f t="shared" si="38"/>
        <v/>
      </c>
      <c r="AY15" s="164" t="str">
        <f t="shared" si="38"/>
        <v/>
      </c>
      <c r="AZ15" s="164" t="str">
        <f t="shared" si="38"/>
        <v/>
      </c>
      <c r="BA15" s="164" t="str">
        <f t="shared" si="38"/>
        <v/>
      </c>
      <c r="BB15" s="164" t="str">
        <f t="shared" si="38"/>
        <v/>
      </c>
      <c r="BC15" s="164" t="str">
        <f t="shared" si="38"/>
        <v/>
      </c>
      <c r="BD15" s="164" t="str">
        <f t="shared" si="38"/>
        <v/>
      </c>
      <c r="BF15" s="86">
        <f t="shared" ca="1" si="37"/>
        <v>311.15788580450493</v>
      </c>
      <c r="BG15" s="31"/>
      <c r="BH15" s="86">
        <f ca="1">IF(Start_week_for_forecasting+'User Dashboard'!$I$19='Patient Calc Assumptions'!$C$50,MAX($D15:$BD15),INDEX('Patient &amp; HCW Summary'!D15:BD15,MATCH(WeekSuppliedUntil,D$10:BD$10,0)))</f>
        <v>218.65009288252463</v>
      </c>
    </row>
    <row r="16" spans="1:61" s="138" customFormat="1" ht="15.75" customHeight="1" x14ac:dyDescent="0.25">
      <c r="B16" s="138" t="s">
        <v>924</v>
      </c>
      <c r="D16" s="85">
        <f ca="1">'Patient &amp; Case Type Summary'!D43</f>
        <v>0.15</v>
      </c>
      <c r="E16" s="85">
        <f ca="1">'Patient &amp; Case Type Summary'!E43</f>
        <v>0.35453784915222863</v>
      </c>
      <c r="F16" s="85">
        <f ca="1">'Patient &amp; Case Type Summary'!F43</f>
        <v>1.1925184256954853</v>
      </c>
      <c r="G16" s="85">
        <f ca="1">'Patient &amp; Case Type Summary'!G43</f>
        <v>4.0111378771653463</v>
      </c>
      <c r="H16" s="85">
        <f ca="1">'Patient &amp; Case Type Summary'!H43</f>
        <v>13.491805847986939</v>
      </c>
      <c r="I16" s="85">
        <f ca="1">'Patient &amp; Case Type Summary'!I43</f>
        <v>45.380844691485237</v>
      </c>
      <c r="J16" s="85">
        <f ca="1">'Patient &amp; Case Type Summary'!J43</f>
        <v>152.64235848902217</v>
      </c>
      <c r="K16" s="85">
        <f ca="1">'Patient &amp; Case Type Summary'!K43</f>
        <v>513.42564827716421</v>
      </c>
      <c r="L16" s="85">
        <f ca="1">'Patient &amp; Case Type Summary'!L43</f>
        <v>1726.9511485423282</v>
      </c>
      <c r="M16" s="85">
        <f ca="1">'Patient &amp; Case Type Summary'!M43</f>
        <v>5808.7481205101085</v>
      </c>
      <c r="N16" s="85">
        <f ca="1">'Patient &amp; Case Type Summary'!N43</f>
        <v>19538.221886594805</v>
      </c>
      <c r="O16" s="85">
        <f ca="1">'Patient &amp; Case Type Summary'!O43</f>
        <v>65718.482979477121</v>
      </c>
      <c r="P16" s="85">
        <f ca="1">'Patient &amp; Case Type Summary'!P43</f>
        <v>80550.778919999997</v>
      </c>
      <c r="Q16" s="85">
        <f ca="1">'Patient &amp; Case Type Summary'!Q43</f>
        <v>80550.778919999997</v>
      </c>
      <c r="R16" s="85">
        <f ca="1">'Patient &amp; Case Type Summary'!R43</f>
        <v>80550.778919999997</v>
      </c>
      <c r="S16" s="85" t="str">
        <f>'Patient &amp; Case Type Summary'!S43</f>
        <v/>
      </c>
      <c r="T16" s="85" t="str">
        <f>'Patient &amp; Case Type Summary'!T43</f>
        <v/>
      </c>
      <c r="U16" s="85" t="str">
        <f>'Patient &amp; Case Type Summary'!U43</f>
        <v/>
      </c>
      <c r="V16" s="85" t="str">
        <f>'Patient &amp; Case Type Summary'!V43</f>
        <v/>
      </c>
      <c r="W16" s="85" t="str">
        <f>'Patient &amp; Case Type Summary'!W43</f>
        <v/>
      </c>
      <c r="X16" s="85" t="str">
        <f>'Patient &amp; Case Type Summary'!X43</f>
        <v/>
      </c>
      <c r="Y16" s="85" t="str">
        <f>'Patient &amp; Case Type Summary'!Y43</f>
        <v/>
      </c>
      <c r="Z16" s="85" t="str">
        <f>'Patient &amp; Case Type Summary'!Z43</f>
        <v/>
      </c>
      <c r="AA16" s="85" t="str">
        <f>'Patient &amp; Case Type Summary'!AA43</f>
        <v/>
      </c>
      <c r="AB16" s="85" t="str">
        <f>'Patient &amp; Case Type Summary'!AB43</f>
        <v/>
      </c>
      <c r="AC16" s="85" t="str">
        <f>'Patient &amp; Case Type Summary'!AC43</f>
        <v/>
      </c>
      <c r="AD16" s="85" t="str">
        <f>'Patient &amp; Case Type Summary'!AD43</f>
        <v/>
      </c>
      <c r="AE16" s="85" t="str">
        <f>'Patient &amp; Case Type Summary'!AE43</f>
        <v/>
      </c>
      <c r="AF16" s="85" t="str">
        <f>'Patient &amp; Case Type Summary'!AF43</f>
        <v/>
      </c>
      <c r="AG16" s="85" t="str">
        <f>'Patient &amp; Case Type Summary'!AG43</f>
        <v/>
      </c>
      <c r="AH16" s="85" t="str">
        <f>'Patient &amp; Case Type Summary'!AH43</f>
        <v/>
      </c>
      <c r="AI16" s="85" t="str">
        <f>'Patient &amp; Case Type Summary'!AI43</f>
        <v/>
      </c>
      <c r="AJ16" s="85" t="str">
        <f>'Patient &amp; Case Type Summary'!AJ43</f>
        <v/>
      </c>
      <c r="AK16" s="85" t="str">
        <f>'Patient &amp; Case Type Summary'!AK43</f>
        <v/>
      </c>
      <c r="AL16" s="85" t="str">
        <f>'Patient &amp; Case Type Summary'!AL43</f>
        <v/>
      </c>
      <c r="AM16" s="85" t="str">
        <f>'Patient &amp; Case Type Summary'!AM43</f>
        <v/>
      </c>
      <c r="AN16" s="85" t="str">
        <f>'Patient &amp; Case Type Summary'!AN43</f>
        <v/>
      </c>
      <c r="AO16" s="85" t="str">
        <f>'Patient &amp; Case Type Summary'!AO43</f>
        <v/>
      </c>
      <c r="AP16" s="85" t="str">
        <f>'Patient &amp; Case Type Summary'!AP43</f>
        <v/>
      </c>
      <c r="AQ16" s="85" t="str">
        <f>'Patient &amp; Case Type Summary'!AQ43</f>
        <v/>
      </c>
      <c r="AR16" s="85" t="str">
        <f>'Patient &amp; Case Type Summary'!AR43</f>
        <v/>
      </c>
      <c r="AS16" s="85" t="str">
        <f>'Patient &amp; Case Type Summary'!AS43</f>
        <v/>
      </c>
      <c r="AT16" s="85" t="str">
        <f>'Patient &amp; Case Type Summary'!AT43</f>
        <v/>
      </c>
      <c r="AU16" s="85" t="str">
        <f>'Patient &amp; Case Type Summary'!AU43</f>
        <v/>
      </c>
      <c r="AV16" s="85" t="str">
        <f>'Patient &amp; Case Type Summary'!AV43</f>
        <v/>
      </c>
      <c r="AW16" s="85" t="str">
        <f>'Patient &amp; Case Type Summary'!AW43</f>
        <v/>
      </c>
      <c r="AX16" s="85" t="str">
        <f>'Patient &amp; Case Type Summary'!AX43</f>
        <v/>
      </c>
      <c r="AY16" s="85" t="str">
        <f>'Patient &amp; Case Type Summary'!AY43</f>
        <v/>
      </c>
      <c r="AZ16" s="85" t="str">
        <f>'Patient &amp; Case Type Summary'!AZ43</f>
        <v/>
      </c>
      <c r="BA16" s="85" t="str">
        <f>'Patient &amp; Case Type Summary'!BA43</f>
        <v/>
      </c>
      <c r="BB16" s="85" t="str">
        <f>'Patient &amp; Case Type Summary'!BB43</f>
        <v/>
      </c>
      <c r="BC16" s="85" t="str">
        <f>'Patient &amp; Case Type Summary'!BC43</f>
        <v/>
      </c>
      <c r="BD16" s="85" t="str">
        <f>'Patient &amp; Case Type Summary'!BD43</f>
        <v/>
      </c>
      <c r="BF16" s="39">
        <f t="shared" ca="1" si="37"/>
        <v>217.22320318050743</v>
      </c>
      <c r="BH16" s="86">
        <f ca="1">IF(Start_week_for_forecasting+'User Dashboard'!$I$19='Patient Calc Assumptions'!$C$50,MAX($D16:$BD16),INDEX('Patient &amp; HCW Summary'!D16:BD16,MATCH(WeekSuppliedUntil,D$10:BD$10,0)))</f>
        <v>152.64235848902217</v>
      </c>
    </row>
    <row r="17" spans="2:60" s="138" customFormat="1" ht="15.75" customHeight="1" x14ac:dyDescent="0.25">
      <c r="B17" s="138" t="s">
        <v>925</v>
      </c>
      <c r="D17" s="85">
        <f ca="1">'Patient &amp; Case Type Summary'!D44</f>
        <v>0.05</v>
      </c>
      <c r="E17" s="85">
        <f ca="1">'Patient &amp; Case Type Summary'!E44</f>
        <v>0.16817928305074292</v>
      </c>
      <c r="F17" s="85">
        <f ca="1">'Patient &amp; Case Type Summary'!F44</f>
        <v>0.51568542494923797</v>
      </c>
      <c r="G17" s="85">
        <f ca="1">'Patient &amp; Case Type Summary'!G44</f>
        <v>1.7345521009536109</v>
      </c>
      <c r="H17" s="85">
        <f ca="1">'Patient &amp; Case Type Summary'!H44</f>
        <v>5.8343145750507626</v>
      </c>
      <c r="I17" s="85">
        <f ca="1">'Patient &amp; Case Type Summary'!I44</f>
        <v>19.624216846490725</v>
      </c>
      <c r="J17" s="85">
        <f ca="1">'Patient &amp; Case Type Summary'!J44</f>
        <v>66.007734393502474</v>
      </c>
      <c r="K17" s="85">
        <f ca="1">'Patient &amp; Case Type Summary'!K44</f>
        <v>222.02266892206217</v>
      </c>
      <c r="L17" s="85">
        <f ca="1">'Patient &amp; Case Type Summary'!L44</f>
        <v>746.79226560649761</v>
      </c>
      <c r="M17" s="85">
        <f ca="1">'Patient &amp; Case Type Summary'!M44</f>
        <v>2511.8997563508124</v>
      </c>
      <c r="N17" s="85">
        <f ca="1">'Patient &amp; Case Type Summary'!N44</f>
        <v>2766.1210799999999</v>
      </c>
      <c r="O17" s="85">
        <f ca="1">'Patient &amp; Case Type Summary'!O44</f>
        <v>2766.1210799999999</v>
      </c>
      <c r="P17" s="85">
        <f ca="1">'Patient &amp; Case Type Summary'!P44</f>
        <v>2766.1210799999999</v>
      </c>
      <c r="Q17" s="85">
        <f ca="1">'Patient &amp; Case Type Summary'!Q44</f>
        <v>2766.1210799999999</v>
      </c>
      <c r="R17" s="85">
        <f ca="1">'Patient &amp; Case Type Summary'!R44</f>
        <v>2766.1210799999999</v>
      </c>
      <c r="S17" s="85" t="str">
        <f>'Patient &amp; Case Type Summary'!S44</f>
        <v/>
      </c>
      <c r="T17" s="85" t="str">
        <f>'Patient &amp; Case Type Summary'!T44</f>
        <v/>
      </c>
      <c r="U17" s="85" t="str">
        <f>'Patient &amp; Case Type Summary'!U44</f>
        <v/>
      </c>
      <c r="V17" s="85" t="str">
        <f>'Patient &amp; Case Type Summary'!V44</f>
        <v/>
      </c>
      <c r="W17" s="85" t="str">
        <f>'Patient &amp; Case Type Summary'!W44</f>
        <v/>
      </c>
      <c r="X17" s="85" t="str">
        <f>'Patient &amp; Case Type Summary'!X44</f>
        <v/>
      </c>
      <c r="Y17" s="85" t="str">
        <f>'Patient &amp; Case Type Summary'!Y44</f>
        <v/>
      </c>
      <c r="Z17" s="85" t="str">
        <f>'Patient &amp; Case Type Summary'!Z44</f>
        <v/>
      </c>
      <c r="AA17" s="85" t="str">
        <f>'Patient &amp; Case Type Summary'!AA44</f>
        <v/>
      </c>
      <c r="AB17" s="85" t="str">
        <f>'Patient &amp; Case Type Summary'!AB44</f>
        <v/>
      </c>
      <c r="AC17" s="85" t="str">
        <f>'Patient &amp; Case Type Summary'!AC44</f>
        <v/>
      </c>
      <c r="AD17" s="85" t="str">
        <f>'Patient &amp; Case Type Summary'!AD44</f>
        <v/>
      </c>
      <c r="AE17" s="85" t="str">
        <f>'Patient &amp; Case Type Summary'!AE44</f>
        <v/>
      </c>
      <c r="AF17" s="85" t="str">
        <f>'Patient &amp; Case Type Summary'!AF44</f>
        <v/>
      </c>
      <c r="AG17" s="85" t="str">
        <f>'Patient &amp; Case Type Summary'!AG44</f>
        <v/>
      </c>
      <c r="AH17" s="85" t="str">
        <f>'Patient &amp; Case Type Summary'!AH44</f>
        <v/>
      </c>
      <c r="AI17" s="85" t="str">
        <f>'Patient &amp; Case Type Summary'!AI44</f>
        <v/>
      </c>
      <c r="AJ17" s="85" t="str">
        <f>'Patient &amp; Case Type Summary'!AJ44</f>
        <v/>
      </c>
      <c r="AK17" s="85" t="str">
        <f>'Patient &amp; Case Type Summary'!AK44</f>
        <v/>
      </c>
      <c r="AL17" s="85" t="str">
        <f>'Patient &amp; Case Type Summary'!AL44</f>
        <v/>
      </c>
      <c r="AM17" s="85" t="str">
        <f>'Patient &amp; Case Type Summary'!AM44</f>
        <v/>
      </c>
      <c r="AN17" s="85" t="str">
        <f>'Patient &amp; Case Type Summary'!AN44</f>
        <v/>
      </c>
      <c r="AO17" s="85" t="str">
        <f>'Patient &amp; Case Type Summary'!AO44</f>
        <v/>
      </c>
      <c r="AP17" s="85" t="str">
        <f>'Patient &amp; Case Type Summary'!AP44</f>
        <v/>
      </c>
      <c r="AQ17" s="85" t="str">
        <f>'Patient &amp; Case Type Summary'!AQ44</f>
        <v/>
      </c>
      <c r="AR17" s="85" t="str">
        <f>'Patient &amp; Case Type Summary'!AR44</f>
        <v/>
      </c>
      <c r="AS17" s="85" t="str">
        <f>'Patient &amp; Case Type Summary'!AS44</f>
        <v/>
      </c>
      <c r="AT17" s="85" t="str">
        <f>'Patient &amp; Case Type Summary'!AT44</f>
        <v/>
      </c>
      <c r="AU17" s="85" t="str">
        <f>'Patient &amp; Case Type Summary'!AU44</f>
        <v/>
      </c>
      <c r="AV17" s="85" t="str">
        <f>'Patient &amp; Case Type Summary'!AV44</f>
        <v/>
      </c>
      <c r="AW17" s="85" t="str">
        <f>'Patient &amp; Case Type Summary'!AW44</f>
        <v/>
      </c>
      <c r="AX17" s="85" t="str">
        <f>'Patient &amp; Case Type Summary'!AX44</f>
        <v/>
      </c>
      <c r="AY17" s="85" t="str">
        <f>'Patient &amp; Case Type Summary'!AY44</f>
        <v/>
      </c>
      <c r="AZ17" s="85" t="str">
        <f>'Patient &amp; Case Type Summary'!AZ44</f>
        <v/>
      </c>
      <c r="BA17" s="85" t="str">
        <f>'Patient &amp; Case Type Summary'!BA44</f>
        <v/>
      </c>
      <c r="BB17" s="85" t="str">
        <f>'Patient &amp; Case Type Summary'!BB44</f>
        <v/>
      </c>
      <c r="BC17" s="85" t="str">
        <f>'Patient &amp; Case Type Summary'!BC44</f>
        <v/>
      </c>
      <c r="BD17" s="85" t="str">
        <f>'Patient &amp; Case Type Summary'!BD44</f>
        <v/>
      </c>
      <c r="BF17" s="39">
        <f t="shared" ca="1" si="37"/>
        <v>93.93468262399756</v>
      </c>
      <c r="BH17" s="86">
        <f ca="1">IF(Start_week_for_forecasting+'User Dashboard'!$I$19='Patient Calc Assumptions'!$C$50,MAX($D17:$BD17),INDEX('Patient &amp; HCW Summary'!D17:BD17,MATCH(WeekSuppliedUntil,D$10:BD$10,0)))</f>
        <v>66.007734393502474</v>
      </c>
    </row>
    <row r="18" spans="2:60" x14ac:dyDescent="0.25">
      <c r="B18" t="s">
        <v>271</v>
      </c>
      <c r="D18" s="85">
        <f ca="1">'HCW &amp; Staff Summary'!D21</f>
        <v>0.32000000000000006</v>
      </c>
      <c r="E18" s="85">
        <f ca="1">'HCW &amp; Staff Summary'!E21</f>
        <v>0.83634741152475456</v>
      </c>
      <c r="F18" s="85">
        <f ca="1">'HCW &amp; Staff Summary'!F21</f>
        <v>2.7331261610315574</v>
      </c>
      <c r="G18" s="85">
        <f ca="1">'HCW &amp; Staff Summary'!G21</f>
        <v>9.1931039649903319</v>
      </c>
      <c r="H18" s="85">
        <f ca="1">'HCW &amp; Staff Summary'!H21</f>
        <v>30.921792676860321</v>
      </c>
      <c r="I18" s="85">
        <f ca="1">'HCW &amp; Staff Summary'!I21</f>
        <v>104.00809846076154</v>
      </c>
      <c r="J18" s="85">
        <f ca="1">'HCW &amp; Staff Summary'!J21</f>
        <v>349.84014861203946</v>
      </c>
      <c r="K18" s="85">
        <f ca="1">'HCW &amp; Staff Summary'!K21</f>
        <v>1176.7173075187623</v>
      </c>
      <c r="L18" s="85">
        <f ca="1">'HCW &amp; Staff Summary'!L21</f>
        <v>3957.989462638121</v>
      </c>
      <c r="M18" s="85">
        <f ca="1">'HCW &amp; Staff Summary'!M21</f>
        <v>13313.036602977474</v>
      </c>
      <c r="N18" s="85">
        <f ca="1">'HCW &amp; Staff Summary'!N21</f>
        <v>44779.539022340978</v>
      </c>
      <c r="O18" s="85">
        <f ca="1">'HCW &amp; Staff Summary'!O21</f>
        <v>110042.93052631579</v>
      </c>
      <c r="P18" s="85">
        <f ca="1">'HCW &amp; Staff Summary'!P21</f>
        <v>110042.93052631579</v>
      </c>
      <c r="Q18" s="85">
        <f ca="1">'HCW &amp; Staff Summary'!Q21</f>
        <v>110042.93052631579</v>
      </c>
      <c r="R18" s="85">
        <f ca="1">'HCW &amp; Staff Summary'!R21</f>
        <v>110042.93052631579</v>
      </c>
      <c r="S18" s="85" t="str">
        <f>'HCW &amp; Staff Summary'!S21</f>
        <v/>
      </c>
      <c r="T18" s="85" t="str">
        <f>'HCW &amp; Staff Summary'!T21</f>
        <v/>
      </c>
      <c r="U18" s="85" t="str">
        <f>'HCW &amp; Staff Summary'!U21</f>
        <v/>
      </c>
      <c r="V18" s="85" t="str">
        <f>'HCW &amp; Staff Summary'!V21</f>
        <v/>
      </c>
      <c r="W18" s="85" t="str">
        <f>'HCW &amp; Staff Summary'!W21</f>
        <v/>
      </c>
      <c r="X18" s="85" t="str">
        <f>'HCW &amp; Staff Summary'!X21</f>
        <v/>
      </c>
      <c r="Y18" s="85" t="str">
        <f>'HCW &amp; Staff Summary'!Y21</f>
        <v/>
      </c>
      <c r="Z18" s="85" t="str">
        <f>'HCW &amp; Staff Summary'!Z21</f>
        <v/>
      </c>
      <c r="AA18" s="85" t="str">
        <f>'HCW &amp; Staff Summary'!AA21</f>
        <v/>
      </c>
      <c r="AB18" s="85" t="str">
        <f>'HCW &amp; Staff Summary'!AB21</f>
        <v/>
      </c>
      <c r="AC18" s="85" t="str">
        <f>'HCW &amp; Staff Summary'!AC21</f>
        <v/>
      </c>
      <c r="AD18" s="85" t="str">
        <f>'HCW &amp; Staff Summary'!AD21</f>
        <v/>
      </c>
      <c r="AE18" s="85" t="str">
        <f>'HCW &amp; Staff Summary'!AE21</f>
        <v/>
      </c>
      <c r="AF18" s="85" t="str">
        <f>'HCW &amp; Staff Summary'!AF21</f>
        <v/>
      </c>
      <c r="AG18" s="85" t="str">
        <f>'HCW &amp; Staff Summary'!AG21</f>
        <v/>
      </c>
      <c r="AH18" s="85" t="str">
        <f>'HCW &amp; Staff Summary'!AH21</f>
        <v/>
      </c>
      <c r="AI18" s="85" t="str">
        <f>'HCW &amp; Staff Summary'!AI21</f>
        <v/>
      </c>
      <c r="AJ18" s="85" t="str">
        <f>'HCW &amp; Staff Summary'!AJ21</f>
        <v/>
      </c>
      <c r="AK18" s="85" t="str">
        <f>'HCW &amp; Staff Summary'!AK21</f>
        <v/>
      </c>
      <c r="AL18" s="85" t="str">
        <f>'HCW &amp; Staff Summary'!AL21</f>
        <v/>
      </c>
      <c r="AM18" s="85" t="str">
        <f>'HCW &amp; Staff Summary'!AM21</f>
        <v/>
      </c>
      <c r="AN18" s="85" t="str">
        <f>'HCW &amp; Staff Summary'!AN21</f>
        <v/>
      </c>
      <c r="AO18" s="85" t="str">
        <f>'HCW &amp; Staff Summary'!AO21</f>
        <v/>
      </c>
      <c r="AP18" s="85" t="str">
        <f>'HCW &amp; Staff Summary'!AP21</f>
        <v/>
      </c>
      <c r="AQ18" s="85" t="str">
        <f>'HCW &amp; Staff Summary'!AQ21</f>
        <v/>
      </c>
      <c r="AR18" s="85" t="str">
        <f>'HCW &amp; Staff Summary'!AR21</f>
        <v/>
      </c>
      <c r="AS18" s="85" t="str">
        <f>'HCW &amp; Staff Summary'!AS21</f>
        <v/>
      </c>
      <c r="AT18" s="85" t="str">
        <f>'HCW &amp; Staff Summary'!AT21</f>
        <v/>
      </c>
      <c r="AU18" s="85" t="str">
        <f>'HCW &amp; Staff Summary'!AU21</f>
        <v/>
      </c>
      <c r="AV18" s="85" t="str">
        <f>'HCW &amp; Staff Summary'!AV21</f>
        <v/>
      </c>
      <c r="AW18" s="85" t="str">
        <f>'HCW &amp; Staff Summary'!AW21</f>
        <v/>
      </c>
      <c r="AX18" s="85" t="str">
        <f>'HCW &amp; Staff Summary'!AX21</f>
        <v/>
      </c>
      <c r="AY18" s="85" t="str">
        <f>'HCW &amp; Staff Summary'!AY21</f>
        <v/>
      </c>
      <c r="AZ18" s="85" t="str">
        <f>'HCW &amp; Staff Summary'!AZ21</f>
        <v/>
      </c>
      <c r="BA18" s="85" t="str">
        <f>'HCW &amp; Staff Summary'!BA21</f>
        <v/>
      </c>
      <c r="BB18" s="85" t="str">
        <f>'HCW &amp; Staff Summary'!BB21</f>
        <v/>
      </c>
      <c r="BC18" s="85" t="str">
        <f>'HCW &amp; Staff Summary'!BC21</f>
        <v/>
      </c>
      <c r="BD18" s="85" t="str">
        <f>'HCW &amp; Staff Summary'!BD21</f>
        <v/>
      </c>
      <c r="BF18" s="39">
        <f t="shared" ca="1" si="37"/>
        <v>497.85261728720798</v>
      </c>
      <c r="BH18" s="86">
        <f ca="1">IF(Start_week_for_forecasting+'User Dashboard'!$I$19='Patient Calc Assumptions'!$C$50,MAX($D18:$BD18),INDEX('Patient &amp; HCW Summary'!D18:BD18,MATCH(WeekSuppliedUntil,D$10:BD$10,0)))</f>
        <v>349.84014861203946</v>
      </c>
    </row>
    <row r="19" spans="2:60" x14ac:dyDescent="0.25">
      <c r="B19" t="s">
        <v>272</v>
      </c>
      <c r="D19" s="85">
        <f ca="1">'HCW &amp; Staff Summary'!D22</f>
        <v>0.16000000000000003</v>
      </c>
      <c r="E19" s="85">
        <f ca="1">'HCW &amp; Staff Summary'!E22</f>
        <v>0.41817370576237728</v>
      </c>
      <c r="F19" s="85">
        <f ca="1">'HCW &amp; Staff Summary'!F22</f>
        <v>1.3665630805157787</v>
      </c>
      <c r="G19" s="85">
        <f ca="1">'HCW &amp; Staff Summary'!G22</f>
        <v>4.5965519824951659</v>
      </c>
      <c r="H19" s="85">
        <f ca="1">'HCW &amp; Staff Summary'!H22</f>
        <v>15.46089633843016</v>
      </c>
      <c r="I19" s="85">
        <f ca="1">'HCW &amp; Staff Summary'!I22</f>
        <v>52.004049230380772</v>
      </c>
      <c r="J19" s="85">
        <f ca="1">'HCW &amp; Staff Summary'!J22</f>
        <v>174.92007430601973</v>
      </c>
      <c r="K19" s="85">
        <f ca="1">'HCW &amp; Staff Summary'!K22</f>
        <v>588.35865375938113</v>
      </c>
      <c r="L19" s="85">
        <f ca="1">'HCW &amp; Staff Summary'!L22</f>
        <v>1978.9947313190605</v>
      </c>
      <c r="M19" s="85">
        <f ca="1">'HCW &amp; Staff Summary'!M22</f>
        <v>6656.5183014887371</v>
      </c>
      <c r="N19" s="85">
        <f ca="1">'HCW &amp; Staff Summary'!N22</f>
        <v>22389.769511170489</v>
      </c>
      <c r="O19" s="85">
        <f ca="1">'HCW &amp; Staff Summary'!O22</f>
        <v>66653.52</v>
      </c>
      <c r="P19" s="85">
        <f ca="1">'HCW &amp; Staff Summary'!P22</f>
        <v>66653.52</v>
      </c>
      <c r="Q19" s="85">
        <f ca="1">'HCW &amp; Staff Summary'!Q22</f>
        <v>66653.52</v>
      </c>
      <c r="R19" s="85">
        <f ca="1">'HCW &amp; Staff Summary'!R22</f>
        <v>66653.52</v>
      </c>
      <c r="S19" s="85" t="str">
        <f>'HCW &amp; Staff Summary'!S22</f>
        <v/>
      </c>
      <c r="T19" s="85" t="str">
        <f>'HCW &amp; Staff Summary'!T22</f>
        <v/>
      </c>
      <c r="U19" s="85" t="str">
        <f>'HCW &amp; Staff Summary'!U22</f>
        <v/>
      </c>
      <c r="V19" s="85" t="str">
        <f>'HCW &amp; Staff Summary'!V22</f>
        <v/>
      </c>
      <c r="W19" s="85" t="str">
        <f>'HCW &amp; Staff Summary'!W22</f>
        <v/>
      </c>
      <c r="X19" s="85" t="str">
        <f>'HCW &amp; Staff Summary'!X22</f>
        <v/>
      </c>
      <c r="Y19" s="85" t="str">
        <f>'HCW &amp; Staff Summary'!Y22</f>
        <v/>
      </c>
      <c r="Z19" s="85" t="str">
        <f>'HCW &amp; Staff Summary'!Z22</f>
        <v/>
      </c>
      <c r="AA19" s="85" t="str">
        <f>'HCW &amp; Staff Summary'!AA22</f>
        <v/>
      </c>
      <c r="AB19" s="85" t="str">
        <f>'HCW &amp; Staff Summary'!AB22</f>
        <v/>
      </c>
      <c r="AC19" s="85" t="str">
        <f>'HCW &amp; Staff Summary'!AC22</f>
        <v/>
      </c>
      <c r="AD19" s="85" t="str">
        <f>'HCW &amp; Staff Summary'!AD22</f>
        <v/>
      </c>
      <c r="AE19" s="85" t="str">
        <f>'HCW &amp; Staff Summary'!AE22</f>
        <v/>
      </c>
      <c r="AF19" s="85" t="str">
        <f>'HCW &amp; Staff Summary'!AF22</f>
        <v/>
      </c>
      <c r="AG19" s="85" t="str">
        <f>'HCW &amp; Staff Summary'!AG22</f>
        <v/>
      </c>
      <c r="AH19" s="85" t="str">
        <f>'HCW &amp; Staff Summary'!AH22</f>
        <v/>
      </c>
      <c r="AI19" s="85" t="str">
        <f>'HCW &amp; Staff Summary'!AI22</f>
        <v/>
      </c>
      <c r="AJ19" s="85" t="str">
        <f>'HCW &amp; Staff Summary'!AJ22</f>
        <v/>
      </c>
      <c r="AK19" s="85" t="str">
        <f>'HCW &amp; Staff Summary'!AK22</f>
        <v/>
      </c>
      <c r="AL19" s="85" t="str">
        <f>'HCW &amp; Staff Summary'!AL22</f>
        <v/>
      </c>
      <c r="AM19" s="85" t="str">
        <f>'HCW &amp; Staff Summary'!AM22</f>
        <v/>
      </c>
      <c r="AN19" s="85" t="str">
        <f>'HCW &amp; Staff Summary'!AN22</f>
        <v/>
      </c>
      <c r="AO19" s="85" t="str">
        <f>'HCW &amp; Staff Summary'!AO22</f>
        <v/>
      </c>
      <c r="AP19" s="85" t="str">
        <f>'HCW &amp; Staff Summary'!AP22</f>
        <v/>
      </c>
      <c r="AQ19" s="85" t="str">
        <f>'HCW &amp; Staff Summary'!AQ22</f>
        <v/>
      </c>
      <c r="AR19" s="85" t="str">
        <f>'HCW &amp; Staff Summary'!AR22</f>
        <v/>
      </c>
      <c r="AS19" s="85" t="str">
        <f>'HCW &amp; Staff Summary'!AS22</f>
        <v/>
      </c>
      <c r="AT19" s="85" t="str">
        <f>'HCW &amp; Staff Summary'!AT22</f>
        <v/>
      </c>
      <c r="AU19" s="85" t="str">
        <f>'HCW &amp; Staff Summary'!AU22</f>
        <v/>
      </c>
      <c r="AV19" s="85" t="str">
        <f>'HCW &amp; Staff Summary'!AV22</f>
        <v/>
      </c>
      <c r="AW19" s="85" t="str">
        <f>'HCW &amp; Staff Summary'!AW22</f>
        <v/>
      </c>
      <c r="AX19" s="85" t="str">
        <f>'HCW &amp; Staff Summary'!AX22</f>
        <v/>
      </c>
      <c r="AY19" s="85" t="str">
        <f>'HCW &amp; Staff Summary'!AY22</f>
        <v/>
      </c>
      <c r="AZ19" s="85" t="str">
        <f>'HCW &amp; Staff Summary'!AZ22</f>
        <v/>
      </c>
      <c r="BA19" s="85" t="str">
        <f>'HCW &amp; Staff Summary'!BA22</f>
        <v/>
      </c>
      <c r="BB19" s="85" t="str">
        <f>'HCW &amp; Staff Summary'!BB22</f>
        <v/>
      </c>
      <c r="BC19" s="85" t="str">
        <f>'HCW &amp; Staff Summary'!BC22</f>
        <v/>
      </c>
      <c r="BD19" s="85" t="str">
        <f>'HCW &amp; Staff Summary'!BD22</f>
        <v/>
      </c>
      <c r="BF19" s="39">
        <f t="shared" ca="1" si="37"/>
        <v>248.92630864360399</v>
      </c>
      <c r="BH19" s="86">
        <f ca="1">IF(Start_week_for_forecasting+'User Dashboard'!$I$19='Patient Calc Assumptions'!$C$50,MAX($D19:$BD19),INDEX('Patient &amp; HCW Summary'!D19:BD19,MATCH(WeekSuppliedUntil,D$10:BD$10,0)))</f>
        <v>174.92007430601973</v>
      </c>
    </row>
    <row r="20" spans="2:60" x14ac:dyDescent="0.25">
      <c r="B20" t="s">
        <v>313</v>
      </c>
      <c r="D20" s="85">
        <f ca="1">'HCW &amp; Staff Summary'!D23</f>
        <v>0.2</v>
      </c>
      <c r="E20" s="85">
        <f ca="1">'HCW &amp; Staff Summary'!E23</f>
        <v>0.52271713220297156</v>
      </c>
      <c r="F20" s="85">
        <f ca="1">'HCW &amp; Staff Summary'!F23</f>
        <v>1.7082038506447232</v>
      </c>
      <c r="G20" s="85">
        <f ca="1">'HCW &amp; Staff Summary'!G23</f>
        <v>5.745689978118957</v>
      </c>
      <c r="H20" s="85">
        <f ca="1">'HCW &amp; Staff Summary'!H23</f>
        <v>19.3261204230377</v>
      </c>
      <c r="I20" s="85">
        <f ca="1">'HCW &amp; Staff Summary'!I23</f>
        <v>65.005061537975962</v>
      </c>
      <c r="J20" s="85">
        <f ca="1">'HCW &amp; Staff Summary'!J23</f>
        <v>218.65009288252463</v>
      </c>
      <c r="K20" s="85">
        <f ca="1">'HCW &amp; Staff Summary'!K23</f>
        <v>735.44831719922638</v>
      </c>
      <c r="L20" s="85">
        <f ca="1">'HCW &amp; Staff Summary'!L23</f>
        <v>2473.7434141488257</v>
      </c>
      <c r="M20" s="85">
        <f ca="1">'HCW &amp; Staff Summary'!M23</f>
        <v>8320.6478768609213</v>
      </c>
      <c r="N20" s="85">
        <f ca="1">'HCW &amp; Staff Summary'!N23</f>
        <v>27987.211888963109</v>
      </c>
      <c r="O20" s="85">
        <f ca="1">'HCW &amp; Staff Summary'!O23</f>
        <v>94137.384601501093</v>
      </c>
      <c r="P20" s="85">
        <f ca="1">'HCW &amp; Staff Summary'!P23</f>
        <v>316639.15701104968</v>
      </c>
      <c r="Q20" s="85">
        <f ca="1">'HCW &amp; Staff Summary'!Q23</f>
        <v>1065042.9282381989</v>
      </c>
      <c r="R20" s="85">
        <f ca="1">'HCW &amp; Staff Summary'!R23</f>
        <v>591089.84057470539</v>
      </c>
      <c r="S20" s="85" t="str">
        <f>'HCW &amp; Staff Summary'!S23</f>
        <v/>
      </c>
      <c r="T20" s="85" t="str">
        <f>'HCW &amp; Staff Summary'!T23</f>
        <v/>
      </c>
      <c r="U20" s="85" t="str">
        <f>'HCW &amp; Staff Summary'!U23</f>
        <v/>
      </c>
      <c r="V20" s="85" t="str">
        <f>'HCW &amp; Staff Summary'!V23</f>
        <v/>
      </c>
      <c r="W20" s="85" t="str">
        <f>'HCW &amp; Staff Summary'!W23</f>
        <v/>
      </c>
      <c r="X20" s="85" t="str">
        <f>'HCW &amp; Staff Summary'!X23</f>
        <v/>
      </c>
      <c r="Y20" s="85" t="str">
        <f>'HCW &amp; Staff Summary'!Y23</f>
        <v/>
      </c>
      <c r="Z20" s="85" t="str">
        <f>'HCW &amp; Staff Summary'!Z23</f>
        <v/>
      </c>
      <c r="AA20" s="85" t="str">
        <f>'HCW &amp; Staff Summary'!AA23</f>
        <v/>
      </c>
      <c r="AB20" s="85" t="str">
        <f>'HCW &amp; Staff Summary'!AB23</f>
        <v/>
      </c>
      <c r="AC20" s="85" t="str">
        <f>'HCW &amp; Staff Summary'!AC23</f>
        <v/>
      </c>
      <c r="AD20" s="85" t="str">
        <f>'HCW &amp; Staff Summary'!AD23</f>
        <v/>
      </c>
      <c r="AE20" s="85" t="str">
        <f>'HCW &amp; Staff Summary'!AE23</f>
        <v/>
      </c>
      <c r="AF20" s="85" t="str">
        <f>'HCW &amp; Staff Summary'!AF23</f>
        <v/>
      </c>
      <c r="AG20" s="85" t="str">
        <f>'HCW &amp; Staff Summary'!AG23</f>
        <v/>
      </c>
      <c r="AH20" s="85" t="str">
        <f>'HCW &amp; Staff Summary'!AH23</f>
        <v/>
      </c>
      <c r="AI20" s="85" t="str">
        <f>'HCW &amp; Staff Summary'!AI23</f>
        <v/>
      </c>
      <c r="AJ20" s="85" t="str">
        <f>'HCW &amp; Staff Summary'!AJ23</f>
        <v/>
      </c>
      <c r="AK20" s="85" t="str">
        <f>'HCW &amp; Staff Summary'!AK23</f>
        <v/>
      </c>
      <c r="AL20" s="85" t="str">
        <f>'HCW &amp; Staff Summary'!AL23</f>
        <v/>
      </c>
      <c r="AM20" s="85" t="str">
        <f>'HCW &amp; Staff Summary'!AM23</f>
        <v/>
      </c>
      <c r="AN20" s="85" t="str">
        <f>'HCW &amp; Staff Summary'!AN23</f>
        <v/>
      </c>
      <c r="AO20" s="85" t="str">
        <f>'HCW &amp; Staff Summary'!AO23</f>
        <v/>
      </c>
      <c r="AP20" s="85" t="str">
        <f>'HCW &amp; Staff Summary'!AP23</f>
        <v/>
      </c>
      <c r="AQ20" s="85" t="str">
        <f>'HCW &amp; Staff Summary'!AQ23</f>
        <v/>
      </c>
      <c r="AR20" s="85" t="str">
        <f>'HCW &amp; Staff Summary'!AR23</f>
        <v/>
      </c>
      <c r="AS20" s="85" t="str">
        <f>'HCW &amp; Staff Summary'!AS23</f>
        <v/>
      </c>
      <c r="AT20" s="85" t="str">
        <f>'HCW &amp; Staff Summary'!AT23</f>
        <v/>
      </c>
      <c r="AU20" s="85" t="str">
        <f>'HCW &amp; Staff Summary'!AU23</f>
        <v/>
      </c>
      <c r="AV20" s="85" t="str">
        <f>'HCW &amp; Staff Summary'!AV23</f>
        <v/>
      </c>
      <c r="AW20" s="85" t="str">
        <f>'HCW &amp; Staff Summary'!AW23</f>
        <v/>
      </c>
      <c r="AX20" s="85" t="str">
        <f>'HCW &amp; Staff Summary'!AX23</f>
        <v/>
      </c>
      <c r="AY20" s="85" t="str">
        <f>'HCW &amp; Staff Summary'!AY23</f>
        <v/>
      </c>
      <c r="AZ20" s="85" t="str">
        <f>'HCW &amp; Staff Summary'!AZ23</f>
        <v/>
      </c>
      <c r="BA20" s="85" t="str">
        <f>'HCW &amp; Staff Summary'!BA23</f>
        <v/>
      </c>
      <c r="BB20" s="85" t="str">
        <f>'HCW &amp; Staff Summary'!BB23</f>
        <v/>
      </c>
      <c r="BC20" s="85" t="str">
        <f>'HCW &amp; Staff Summary'!BC23</f>
        <v/>
      </c>
      <c r="BD20" s="85" t="str">
        <f>'HCW &amp; Staff Summary'!BD23</f>
        <v/>
      </c>
      <c r="BF20" s="39">
        <f t="shared" ca="1" si="37"/>
        <v>311.15788580450493</v>
      </c>
      <c r="BH20" s="86">
        <f ca="1">IF(Start_week_for_forecasting+'User Dashboard'!$I$19='Patient Calc Assumptions'!$C$50,MAX($D20:$BD20),INDEX('Patient &amp; HCW Summary'!D20:BD20,MATCH(WeekSuppliedUntil,D$10:BD$10,0)))</f>
        <v>218.65009288252463</v>
      </c>
    </row>
    <row r="21" spans="2:60" x14ac:dyDescent="0.25">
      <c r="B21" t="s">
        <v>314</v>
      </c>
      <c r="D21" s="85">
        <f ca="1">'HCW &amp; Staff Summary'!D24</f>
        <v>4.0000000000000001E-3</v>
      </c>
      <c r="E21" s="85">
        <f ca="1">'HCW &amp; Staff Summary'!E24</f>
        <v>1.0454342644059431E-2</v>
      </c>
      <c r="F21" s="85">
        <f ca="1">'HCW &amp; Staff Summary'!F24</f>
        <v>3.4164077012894464E-2</v>
      </c>
      <c r="G21" s="85">
        <f ca="1">'HCW &amp; Staff Summary'!G24</f>
        <v>0.11491379956237914</v>
      </c>
      <c r="H21" s="85">
        <f ca="1">'HCW &amp; Staff Summary'!H24</f>
        <v>0.38652240846075403</v>
      </c>
      <c r="I21" s="85">
        <f ca="1">'HCW &amp; Staff Summary'!I24</f>
        <v>1.3001012307595192</v>
      </c>
      <c r="J21" s="85">
        <f ca="1">'HCW &amp; Staff Summary'!J24</f>
        <v>4.3730018576504923</v>
      </c>
      <c r="K21" s="85">
        <f ca="1">'HCW &amp; Staff Summary'!K24</f>
        <v>14.708966343984528</v>
      </c>
      <c r="L21" s="85">
        <f ca="1">'HCW &amp; Staff Summary'!L24</f>
        <v>49.474868282976516</v>
      </c>
      <c r="M21" s="85">
        <f ca="1">'HCW &amp; Staff Summary'!M24</f>
        <v>166.41295753721843</v>
      </c>
      <c r="N21" s="85">
        <f ca="1">'HCW &amp; Staff Summary'!N24</f>
        <v>559.74423777926222</v>
      </c>
      <c r="O21" s="85">
        <f ca="1">'HCW &amp; Staff Summary'!O24</f>
        <v>1882.7476920300219</v>
      </c>
      <c r="P21" s="85">
        <f ca="1">'HCW &amp; Staff Summary'!P24</f>
        <v>6332.783140220994</v>
      </c>
      <c r="Q21" s="85">
        <f ca="1">'HCW &amp; Staff Summary'!Q24</f>
        <v>21300.858564763977</v>
      </c>
      <c r="R21" s="85">
        <f ca="1">'HCW &amp; Staff Summary'!R24</f>
        <v>11821.796811494109</v>
      </c>
      <c r="S21" s="85" t="str">
        <f>'HCW &amp; Staff Summary'!S24</f>
        <v/>
      </c>
      <c r="T21" s="85" t="str">
        <f>'HCW &amp; Staff Summary'!T24</f>
        <v/>
      </c>
      <c r="U21" s="85" t="str">
        <f>'HCW &amp; Staff Summary'!U24</f>
        <v/>
      </c>
      <c r="V21" s="85" t="str">
        <f>'HCW &amp; Staff Summary'!V24</f>
        <v/>
      </c>
      <c r="W21" s="85" t="str">
        <f>'HCW &amp; Staff Summary'!W24</f>
        <v/>
      </c>
      <c r="X21" s="85" t="str">
        <f>'HCW &amp; Staff Summary'!X24</f>
        <v/>
      </c>
      <c r="Y21" s="85" t="str">
        <f>'HCW &amp; Staff Summary'!Y24</f>
        <v/>
      </c>
      <c r="Z21" s="85" t="str">
        <f>'HCW &amp; Staff Summary'!Z24</f>
        <v/>
      </c>
      <c r="AA21" s="85" t="str">
        <f>'HCW &amp; Staff Summary'!AA24</f>
        <v/>
      </c>
      <c r="AB21" s="85" t="str">
        <f>'HCW &amp; Staff Summary'!AB24</f>
        <v/>
      </c>
      <c r="AC21" s="85" t="str">
        <f>'HCW &amp; Staff Summary'!AC24</f>
        <v/>
      </c>
      <c r="AD21" s="85" t="str">
        <f>'HCW &amp; Staff Summary'!AD24</f>
        <v/>
      </c>
      <c r="AE21" s="85" t="str">
        <f>'HCW &amp; Staff Summary'!AE24</f>
        <v/>
      </c>
      <c r="AF21" s="85" t="str">
        <f>'HCW &amp; Staff Summary'!AF24</f>
        <v/>
      </c>
      <c r="AG21" s="85" t="str">
        <f>'HCW &amp; Staff Summary'!AG24</f>
        <v/>
      </c>
      <c r="AH21" s="85" t="str">
        <f>'HCW &amp; Staff Summary'!AH24</f>
        <v/>
      </c>
      <c r="AI21" s="85" t="str">
        <f>'HCW &amp; Staff Summary'!AI24</f>
        <v/>
      </c>
      <c r="AJ21" s="85" t="str">
        <f>'HCW &amp; Staff Summary'!AJ24</f>
        <v/>
      </c>
      <c r="AK21" s="85" t="str">
        <f>'HCW &amp; Staff Summary'!AK24</f>
        <v/>
      </c>
      <c r="AL21" s="85" t="str">
        <f>'HCW &amp; Staff Summary'!AL24</f>
        <v/>
      </c>
      <c r="AM21" s="85" t="str">
        <f>'HCW &amp; Staff Summary'!AM24</f>
        <v/>
      </c>
      <c r="AN21" s="85" t="str">
        <f>'HCW &amp; Staff Summary'!AN24</f>
        <v/>
      </c>
      <c r="AO21" s="85" t="str">
        <f>'HCW &amp; Staff Summary'!AO24</f>
        <v/>
      </c>
      <c r="AP21" s="85" t="str">
        <f>'HCW &amp; Staff Summary'!AP24</f>
        <v/>
      </c>
      <c r="AQ21" s="85" t="str">
        <f>'HCW &amp; Staff Summary'!AQ24</f>
        <v/>
      </c>
      <c r="AR21" s="85" t="str">
        <f>'HCW &amp; Staff Summary'!AR24</f>
        <v/>
      </c>
      <c r="AS21" s="85" t="str">
        <f>'HCW &amp; Staff Summary'!AS24</f>
        <v/>
      </c>
      <c r="AT21" s="85" t="str">
        <f>'HCW &amp; Staff Summary'!AT24</f>
        <v/>
      </c>
      <c r="AU21" s="85" t="str">
        <f>'HCW &amp; Staff Summary'!AU24</f>
        <v/>
      </c>
      <c r="AV21" s="85" t="str">
        <f>'HCW &amp; Staff Summary'!AV24</f>
        <v/>
      </c>
      <c r="AW21" s="85" t="str">
        <f>'HCW &amp; Staff Summary'!AW24</f>
        <v/>
      </c>
      <c r="AX21" s="85" t="str">
        <f>'HCW &amp; Staff Summary'!AX24</f>
        <v/>
      </c>
      <c r="AY21" s="85" t="str">
        <f>'HCW &amp; Staff Summary'!AY24</f>
        <v/>
      </c>
      <c r="AZ21" s="85" t="str">
        <f>'HCW &amp; Staff Summary'!AZ24</f>
        <v/>
      </c>
      <c r="BA21" s="85" t="str">
        <f>'HCW &amp; Staff Summary'!BA24</f>
        <v/>
      </c>
      <c r="BB21" s="85" t="str">
        <f>'HCW &amp; Staff Summary'!BB24</f>
        <v/>
      </c>
      <c r="BC21" s="85" t="str">
        <f>'HCW &amp; Staff Summary'!BC24</f>
        <v/>
      </c>
      <c r="BD21" s="85" t="str">
        <f>'HCW &amp; Staff Summary'!BD24</f>
        <v/>
      </c>
      <c r="BF21" s="39">
        <f t="shared" ca="1" si="37"/>
        <v>6.2231577160900988</v>
      </c>
      <c r="BH21" s="86">
        <f ca="1">IF(Start_week_for_forecasting+'User Dashboard'!$I$19='Patient Calc Assumptions'!$C$50,MAX($D21:$BD21),INDEX('Patient &amp; HCW Summary'!D21:BD21,MATCH(WeekSuppliedUntil,D$10:BD$10,0)))</f>
        <v>4.3730018576504923</v>
      </c>
    </row>
    <row r="22" spans="2:60" x14ac:dyDescent="0.25">
      <c r="B22" t="s">
        <v>869</v>
      </c>
      <c r="D22" s="85">
        <f ca="1">IF(ROUNDUP(SUM('Patient &amp; Case Type Summary'!D43:D44)/NumberOfBeds_per_centre,0)=0,"",ROUNDUP(SUM('Patient &amp; Case Type Summary'!D43:D44)/NumberOfBeds_per_centre,0))</f>
        <v>1</v>
      </c>
      <c r="E22" s="85">
        <f ca="1">IF(ROUNDUP(SUM('Patient &amp; Case Type Summary'!E43:E44)/NumberOfBeds_per_centre,0)=0,"",ROUNDUP(SUM('Patient &amp; Case Type Summary'!E43:E44)/NumberOfBeds_per_centre,0))</f>
        <v>1</v>
      </c>
      <c r="F22" s="85">
        <f ca="1">IF(ROUNDUP(SUM('Patient &amp; Case Type Summary'!F43:F44)/NumberOfBeds_per_centre,0)=0,"",ROUNDUP(SUM('Patient &amp; Case Type Summary'!F43:F44)/NumberOfBeds_per_centre,0))</f>
        <v>1</v>
      </c>
      <c r="G22" s="85">
        <f ca="1">IF(ROUNDUP(SUM('Patient &amp; Case Type Summary'!G43:G44)/NumberOfBeds_per_centre,0)=0,"",ROUNDUP(SUM('Patient &amp; Case Type Summary'!G43:G44)/NumberOfBeds_per_centre,0))</f>
        <v>1</v>
      </c>
      <c r="H22" s="85">
        <f ca="1">IF(ROUNDUP(SUM('Patient &amp; Case Type Summary'!H43:H44)/NumberOfBeds_per_centre,0)=0,"",ROUNDUP(SUM('Patient &amp; Case Type Summary'!H43:H44)/NumberOfBeds_per_centre,0))</f>
        <v>1</v>
      </c>
      <c r="I22" s="85">
        <f ca="1">IF(ROUNDUP(SUM('Patient &amp; Case Type Summary'!I43:I44)/NumberOfBeds_per_centre,0)=0,"",ROUNDUP(SUM('Patient &amp; Case Type Summary'!I43:I44)/NumberOfBeds_per_centre,0))</f>
        <v>2</v>
      </c>
      <c r="J22" s="85">
        <f ca="1">IF(ROUNDUP(SUM('Patient &amp; Case Type Summary'!J43:J44)/NumberOfBeds_per_centre,0)=0,"",ROUNDUP(SUM('Patient &amp; Case Type Summary'!J43:J44)/NumberOfBeds_per_centre,0))</f>
        <v>6</v>
      </c>
      <c r="K22" s="85">
        <f ca="1">IF(ROUNDUP(SUM('Patient &amp; Case Type Summary'!K43:K44)/NumberOfBeds_per_centre,0)=0,"",ROUNDUP(SUM('Patient &amp; Case Type Summary'!K43:K44)/NumberOfBeds_per_centre,0))</f>
        <v>19</v>
      </c>
      <c r="L22" s="85">
        <f ca="1">IF(ROUNDUP(SUM('Patient &amp; Case Type Summary'!L43:L44)/NumberOfBeds_per_centre,0)=0,"",ROUNDUP(SUM('Patient &amp; Case Type Summary'!L43:L44)/NumberOfBeds_per_centre,0))</f>
        <v>62</v>
      </c>
      <c r="M22" s="85">
        <f ca="1">IF(ROUNDUP(SUM('Patient &amp; Case Type Summary'!M43:M44)/NumberOfBeds_per_centre,0)=0,"",ROUNDUP(SUM('Patient &amp; Case Type Summary'!M43:M44)/NumberOfBeds_per_centre,0))</f>
        <v>209</v>
      </c>
      <c r="N22" s="85">
        <f ca="1">IF(ROUNDUP(SUM('Patient &amp; Case Type Summary'!N43:N44)/NumberOfBeds_per_centre,0)=0,"",ROUNDUP(SUM('Patient &amp; Case Type Summary'!N43:N44)/NumberOfBeds_per_centre,0))</f>
        <v>558</v>
      </c>
      <c r="O22" s="85">
        <f ca="1">IF(ROUNDUP(SUM('Patient &amp; Case Type Summary'!O43:O44)/NumberOfBeds_per_centre,0)=0,"",ROUNDUP(SUM('Patient &amp; Case Type Summary'!O43:O44)/NumberOfBeds_per_centre,0))</f>
        <v>1713</v>
      </c>
      <c r="P22" s="85">
        <f ca="1">IF(ROUNDUP(SUM('Patient &amp; Case Type Summary'!P43:P44)/NumberOfBeds_per_centre,0)=0,"",ROUNDUP(SUM('Patient &amp; Case Type Summary'!P43:P44)/NumberOfBeds_per_centre,0))</f>
        <v>2083</v>
      </c>
      <c r="Q22" s="85">
        <f ca="1">IF(ROUNDUP(SUM('Patient &amp; Case Type Summary'!Q43:Q44)/NumberOfBeds_per_centre,0)=0,"",ROUNDUP(SUM('Patient &amp; Case Type Summary'!Q43:Q44)/NumberOfBeds_per_centre,0))</f>
        <v>2083</v>
      </c>
      <c r="R22" s="85">
        <f ca="1">IF(ROUNDUP(SUM('Patient &amp; Case Type Summary'!R43:R44)/NumberOfBeds_per_centre,0)=0,"",ROUNDUP(SUM('Patient &amp; Case Type Summary'!R43:R44)/NumberOfBeds_per_centre,0))</f>
        <v>2083</v>
      </c>
      <c r="S22" s="85" t="str">
        <f>IF(ROUNDUP(SUM('Patient &amp; Case Type Summary'!S43:S44)/NumberOfBeds_per_centre,0)=0,"",ROUNDUP(SUM('Patient &amp; Case Type Summary'!S43:S44)/NumberOfBeds_per_centre,0))</f>
        <v/>
      </c>
      <c r="T22" s="85" t="str">
        <f>IF(ROUNDUP(SUM('Patient &amp; Case Type Summary'!T43:T44)/NumberOfBeds_per_centre,0)=0,"",ROUNDUP(SUM('Patient &amp; Case Type Summary'!T43:T44)/NumberOfBeds_per_centre,0))</f>
        <v/>
      </c>
      <c r="U22" s="85" t="str">
        <f>IF(ROUNDUP(SUM('Patient &amp; Case Type Summary'!U43:U44)/NumberOfBeds_per_centre,0)=0,"",ROUNDUP(SUM('Patient &amp; Case Type Summary'!U43:U44)/NumberOfBeds_per_centre,0))</f>
        <v/>
      </c>
      <c r="V22" s="85" t="str">
        <f>IF(ROUNDUP(SUM('Patient &amp; Case Type Summary'!V43:V44)/NumberOfBeds_per_centre,0)=0,"",ROUNDUP(SUM('Patient &amp; Case Type Summary'!V43:V44)/NumberOfBeds_per_centre,0))</f>
        <v/>
      </c>
      <c r="W22" s="85" t="str">
        <f>IF(ROUNDUP(SUM('Patient &amp; Case Type Summary'!W43:W44)/NumberOfBeds_per_centre,0)=0,"",ROUNDUP(SUM('Patient &amp; Case Type Summary'!W43:W44)/NumberOfBeds_per_centre,0))</f>
        <v/>
      </c>
      <c r="X22" s="85" t="str">
        <f>IF(ROUNDUP(SUM('Patient &amp; Case Type Summary'!X43:X44)/NumberOfBeds_per_centre,0)=0,"",ROUNDUP(SUM('Patient &amp; Case Type Summary'!X43:X44)/NumberOfBeds_per_centre,0))</f>
        <v/>
      </c>
      <c r="Y22" s="85" t="str">
        <f>IF(ROUNDUP(SUM('Patient &amp; Case Type Summary'!Y43:Y44)/NumberOfBeds_per_centre,0)=0,"",ROUNDUP(SUM('Patient &amp; Case Type Summary'!Y43:Y44)/NumberOfBeds_per_centre,0))</f>
        <v/>
      </c>
      <c r="Z22" s="85" t="str">
        <f>IF(ROUNDUP(SUM('Patient &amp; Case Type Summary'!Z43:Z44)/NumberOfBeds_per_centre,0)=0,"",ROUNDUP(SUM('Patient &amp; Case Type Summary'!Z43:Z44)/NumberOfBeds_per_centre,0))</f>
        <v/>
      </c>
      <c r="AA22" s="85" t="str">
        <f>IF(ROUNDUP(SUM('Patient &amp; Case Type Summary'!AA43:AA44)/NumberOfBeds_per_centre,0)=0,"",ROUNDUP(SUM('Patient &amp; Case Type Summary'!AA43:AA44)/NumberOfBeds_per_centre,0))</f>
        <v/>
      </c>
      <c r="AB22" s="85" t="str">
        <f>IF(ROUNDUP(SUM('Patient &amp; Case Type Summary'!AB43:AB44)/NumberOfBeds_per_centre,0)=0,"",ROUNDUP(SUM('Patient &amp; Case Type Summary'!AB43:AB44)/NumberOfBeds_per_centre,0))</f>
        <v/>
      </c>
      <c r="AC22" s="85" t="str">
        <f>IF(ROUNDUP(SUM('Patient &amp; Case Type Summary'!AC43:AC44)/NumberOfBeds_per_centre,0)=0,"",ROUNDUP(SUM('Patient &amp; Case Type Summary'!AC43:AC44)/NumberOfBeds_per_centre,0))</f>
        <v/>
      </c>
      <c r="AD22" s="85" t="str">
        <f>IF(ROUNDUP(SUM('Patient &amp; Case Type Summary'!AD43:AD44)/NumberOfBeds_per_centre,0)=0,"",ROUNDUP(SUM('Patient &amp; Case Type Summary'!AD43:AD44)/NumberOfBeds_per_centre,0))</f>
        <v/>
      </c>
      <c r="AE22" s="85" t="str">
        <f>IF(ROUNDUP(SUM('Patient &amp; Case Type Summary'!AE43:AE44)/NumberOfBeds_per_centre,0)=0,"",ROUNDUP(SUM('Patient &amp; Case Type Summary'!AE43:AE44)/NumberOfBeds_per_centre,0))</f>
        <v/>
      </c>
      <c r="AF22" s="85" t="str">
        <f>IF(ROUNDUP(SUM('Patient &amp; Case Type Summary'!AF43:AF44)/NumberOfBeds_per_centre,0)=0,"",ROUNDUP(SUM('Patient &amp; Case Type Summary'!AF43:AF44)/NumberOfBeds_per_centre,0))</f>
        <v/>
      </c>
      <c r="AG22" s="85" t="str">
        <f>IF(ROUNDUP(SUM('Patient &amp; Case Type Summary'!AG43:AG44)/NumberOfBeds_per_centre,0)=0,"",ROUNDUP(SUM('Patient &amp; Case Type Summary'!AG43:AG44)/NumberOfBeds_per_centre,0))</f>
        <v/>
      </c>
      <c r="AH22" s="85" t="str">
        <f>IF(ROUNDUP(SUM('Patient &amp; Case Type Summary'!AH43:AH44)/NumberOfBeds_per_centre,0)=0,"",ROUNDUP(SUM('Patient &amp; Case Type Summary'!AH43:AH44)/NumberOfBeds_per_centre,0))</f>
        <v/>
      </c>
      <c r="AI22" s="85" t="str">
        <f>IF(ROUNDUP(SUM('Patient &amp; Case Type Summary'!AI43:AI44)/NumberOfBeds_per_centre,0)=0,"",ROUNDUP(SUM('Patient &amp; Case Type Summary'!AI43:AI44)/NumberOfBeds_per_centre,0))</f>
        <v/>
      </c>
      <c r="AJ22" s="85" t="str">
        <f>IF(ROUNDUP(SUM('Patient &amp; Case Type Summary'!AJ43:AJ44)/NumberOfBeds_per_centre,0)=0,"",ROUNDUP(SUM('Patient &amp; Case Type Summary'!AJ43:AJ44)/NumberOfBeds_per_centre,0))</f>
        <v/>
      </c>
      <c r="AK22" s="85" t="str">
        <f>IF(ROUNDUP(SUM('Patient &amp; Case Type Summary'!AK43:AK44)/NumberOfBeds_per_centre,0)=0,"",ROUNDUP(SUM('Patient &amp; Case Type Summary'!AK43:AK44)/NumberOfBeds_per_centre,0))</f>
        <v/>
      </c>
      <c r="AL22" s="85" t="str">
        <f>IF(ROUNDUP(SUM('Patient &amp; Case Type Summary'!AL43:AL44)/NumberOfBeds_per_centre,0)=0,"",ROUNDUP(SUM('Patient &amp; Case Type Summary'!AL43:AL44)/NumberOfBeds_per_centre,0))</f>
        <v/>
      </c>
      <c r="AM22" s="85" t="str">
        <f>IF(ROUNDUP(SUM('Patient &amp; Case Type Summary'!AM43:AM44)/NumberOfBeds_per_centre,0)=0,"",ROUNDUP(SUM('Patient &amp; Case Type Summary'!AM43:AM44)/NumberOfBeds_per_centre,0))</f>
        <v/>
      </c>
      <c r="AN22" s="85" t="str">
        <f>IF(ROUNDUP(SUM('Patient &amp; Case Type Summary'!AN43:AN44)/NumberOfBeds_per_centre,0)=0,"",ROUNDUP(SUM('Patient &amp; Case Type Summary'!AN43:AN44)/NumberOfBeds_per_centre,0))</f>
        <v/>
      </c>
      <c r="AO22" s="85" t="str">
        <f>IF(ROUNDUP(SUM('Patient &amp; Case Type Summary'!AO43:AO44)/NumberOfBeds_per_centre,0)=0,"",ROUNDUP(SUM('Patient &amp; Case Type Summary'!AO43:AO44)/NumberOfBeds_per_centre,0))</f>
        <v/>
      </c>
      <c r="AP22" s="85" t="str">
        <f>IF(ROUNDUP(SUM('Patient &amp; Case Type Summary'!AP43:AP44)/NumberOfBeds_per_centre,0)=0,"",ROUNDUP(SUM('Patient &amp; Case Type Summary'!AP43:AP44)/NumberOfBeds_per_centre,0))</f>
        <v/>
      </c>
      <c r="AQ22" s="85" t="str">
        <f>IF(ROUNDUP(SUM('Patient &amp; Case Type Summary'!AQ43:AQ44)/NumberOfBeds_per_centre,0)=0,"",ROUNDUP(SUM('Patient &amp; Case Type Summary'!AQ43:AQ44)/NumberOfBeds_per_centre,0))</f>
        <v/>
      </c>
      <c r="AR22" s="85" t="str">
        <f>IF(ROUNDUP(SUM('Patient &amp; Case Type Summary'!AR43:AR44)/NumberOfBeds_per_centre,0)=0,"",ROUNDUP(SUM('Patient &amp; Case Type Summary'!AR43:AR44)/NumberOfBeds_per_centre,0))</f>
        <v/>
      </c>
      <c r="AS22" s="85" t="str">
        <f>IF(ROUNDUP(SUM('Patient &amp; Case Type Summary'!AS43:AS44)/NumberOfBeds_per_centre,0)=0,"",ROUNDUP(SUM('Patient &amp; Case Type Summary'!AS43:AS44)/NumberOfBeds_per_centre,0))</f>
        <v/>
      </c>
      <c r="AT22" s="85" t="str">
        <f>IF(ROUNDUP(SUM('Patient &amp; Case Type Summary'!AT43:AT44)/NumberOfBeds_per_centre,0)=0,"",ROUNDUP(SUM('Patient &amp; Case Type Summary'!AT43:AT44)/NumberOfBeds_per_centre,0))</f>
        <v/>
      </c>
      <c r="AU22" s="85" t="str">
        <f>IF(ROUNDUP(SUM('Patient &amp; Case Type Summary'!AU43:AU44)/NumberOfBeds_per_centre,0)=0,"",ROUNDUP(SUM('Patient &amp; Case Type Summary'!AU43:AU44)/NumberOfBeds_per_centre,0))</f>
        <v/>
      </c>
      <c r="AV22" s="85" t="str">
        <f>IF(ROUNDUP(SUM('Patient &amp; Case Type Summary'!AV43:AV44)/NumberOfBeds_per_centre,0)=0,"",ROUNDUP(SUM('Patient &amp; Case Type Summary'!AV43:AV44)/NumberOfBeds_per_centre,0))</f>
        <v/>
      </c>
      <c r="AW22" s="85" t="str">
        <f>IF(ROUNDUP(SUM('Patient &amp; Case Type Summary'!AW43:AW44)/NumberOfBeds_per_centre,0)=0,"",ROUNDUP(SUM('Patient &amp; Case Type Summary'!AW43:AW44)/NumberOfBeds_per_centre,0))</f>
        <v/>
      </c>
      <c r="AX22" s="85" t="str">
        <f>IF(ROUNDUP(SUM('Patient &amp; Case Type Summary'!AX43:AX44)/NumberOfBeds_per_centre,0)=0,"",ROUNDUP(SUM('Patient &amp; Case Type Summary'!AX43:AX44)/NumberOfBeds_per_centre,0))</f>
        <v/>
      </c>
      <c r="AY22" s="85" t="str">
        <f>IF(ROUNDUP(SUM('Patient &amp; Case Type Summary'!AY43:AY44)/NumberOfBeds_per_centre,0)=0,"",ROUNDUP(SUM('Patient &amp; Case Type Summary'!AY43:AY44)/NumberOfBeds_per_centre,0))</f>
        <v/>
      </c>
      <c r="AZ22" s="85" t="str">
        <f>IF(ROUNDUP(SUM('Patient &amp; Case Type Summary'!AZ43:AZ44)/NumberOfBeds_per_centre,0)=0,"",ROUNDUP(SUM('Patient &amp; Case Type Summary'!AZ43:AZ44)/NumberOfBeds_per_centre,0))</f>
        <v/>
      </c>
      <c r="BA22" s="85" t="str">
        <f>IF(ROUNDUP(SUM('Patient &amp; Case Type Summary'!BA43:BA44)/NumberOfBeds_per_centre,0)=0,"",ROUNDUP(SUM('Patient &amp; Case Type Summary'!BA43:BA44)/NumberOfBeds_per_centre,0))</f>
        <v/>
      </c>
      <c r="BB22" s="85" t="str">
        <f>IF(ROUNDUP(SUM('Patient &amp; Case Type Summary'!BB43:BB44)/NumberOfBeds_per_centre,0)=0,"",ROUNDUP(SUM('Patient &amp; Case Type Summary'!BB43:BB44)/NumberOfBeds_per_centre,0))</f>
        <v/>
      </c>
      <c r="BC22" s="85" t="str">
        <f>IF(ROUNDUP(SUM('Patient &amp; Case Type Summary'!BC43:BC44)/NumberOfBeds_per_centre,0)=0,"",ROUNDUP(SUM('Patient &amp; Case Type Summary'!BC43:BC44)/NumberOfBeds_per_centre,0))</f>
        <v/>
      </c>
      <c r="BD22" s="85" t="str">
        <f>IF(ROUNDUP(SUM('Patient &amp; Case Type Summary'!BD43:BD44)/NumberOfBeds_per_centre,0)=0,"",ROUNDUP(SUM('Patient &amp; Case Type Summary'!BD43:BD44)/NumberOfBeds_per_centre,0))</f>
        <v/>
      </c>
      <c r="BF22" s="39">
        <f t="shared" ca="1" si="37"/>
        <v>13</v>
      </c>
      <c r="BH22" s="86">
        <f ca="1">IF(Start_week_for_forecasting+'User Dashboard'!$I$19='Patient Calc Assumptions'!$C$50,MAX($D22:$BD22),INDEX('Patient &amp; HCW Summary'!D22:BD22,MATCH(WeekSuppliedUntil,D$10:BD$10,0)))</f>
        <v>6</v>
      </c>
    </row>
    <row r="24" spans="2:60" s="83" customFormat="1" x14ac:dyDescent="0.25">
      <c r="B24" s="124" t="s">
        <v>292</v>
      </c>
      <c r="D24" s="125"/>
      <c r="E24" s="125"/>
      <c r="F24" s="125"/>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c r="BA24" s="125"/>
      <c r="BB24" s="125"/>
      <c r="BC24" s="125"/>
      <c r="BD24" s="125"/>
    </row>
    <row r="25" spans="2:60" x14ac:dyDescent="0.25">
      <c r="B25" t="s">
        <v>311</v>
      </c>
      <c r="D25" s="85">
        <f>'Patient &amp; Case Type Summary'!D63</f>
        <v>1.0133333333333332</v>
      </c>
      <c r="E25" s="85">
        <f>'Patient &amp; Case Type Summary'!E63</f>
        <v>2.3951001364950559</v>
      </c>
      <c r="F25" s="85">
        <f>'Patient &amp; Case Type Summary'!F63</f>
        <v>8.0561244758095008</v>
      </c>
      <c r="G25" s="85">
        <f>'Patient &amp; Case Type Summary'!G63</f>
        <v>27.097464770183677</v>
      </c>
      <c r="H25" s="85">
        <f>'Patient &amp; Case Type Summary'!H63</f>
        <v>91.144643950845108</v>
      </c>
      <c r="I25" s="85">
        <f>'Patient &amp; Case Type Summary'!I63</f>
        <v>306.57281747136693</v>
      </c>
      <c r="J25" s="85">
        <f>'Patient &amp; Case Type Summary'!J63</f>
        <v>103.11839329036165</v>
      </c>
      <c r="K25" s="85">
        <f>'Patient &amp; Case Type Summary'!K63</f>
        <v>346.84754905835098</v>
      </c>
      <c r="L25" s="85">
        <f>'Patient &amp; Case Type Summary'!L63</f>
        <v>1166.6514425708172</v>
      </c>
      <c r="M25" s="85">
        <f>'Patient &amp; Case Type Summary'!M63</f>
        <v>3924.1320636334954</v>
      </c>
      <c r="N25" s="85">
        <f>'Patient &amp; Case Type Summary'!N63</f>
        <v>13199.154341166268</v>
      </c>
      <c r="O25" s="85">
        <f>'Patient &amp; Case Type Summary'!O63</f>
        <v>44396.486279468983</v>
      </c>
      <c r="P25" s="85">
        <f>'Patient &amp; Case Type Summary'!P63</f>
        <v>149331.3846490646</v>
      </c>
      <c r="Q25" s="85">
        <f>'Patient &amp; Case Type Summary'!Q63</f>
        <v>502288.90414508793</v>
      </c>
      <c r="R25" s="85">
        <f>'Patient &amp; Case Type Summary'!R63</f>
        <v>173913.29318824547</v>
      </c>
      <c r="S25" s="85" t="str">
        <f>'Patient &amp; Case Type Summary'!S63</f>
        <v/>
      </c>
      <c r="T25" s="85" t="str">
        <f>'Patient &amp; Case Type Summary'!T63</f>
        <v/>
      </c>
      <c r="U25" s="85" t="str">
        <f>'Patient &amp; Case Type Summary'!U63</f>
        <v/>
      </c>
      <c r="V25" s="85" t="str">
        <f>'Patient &amp; Case Type Summary'!V63</f>
        <v/>
      </c>
      <c r="W25" s="85" t="str">
        <f>'Patient &amp; Case Type Summary'!W63</f>
        <v/>
      </c>
      <c r="X25" s="85" t="str">
        <f>'Patient &amp; Case Type Summary'!X63</f>
        <v/>
      </c>
      <c r="Y25" s="85" t="str">
        <f>'Patient &amp; Case Type Summary'!Y63</f>
        <v/>
      </c>
      <c r="Z25" s="85" t="str">
        <f>'Patient &amp; Case Type Summary'!Z63</f>
        <v/>
      </c>
      <c r="AA25" s="85" t="str">
        <f>'Patient &amp; Case Type Summary'!AA63</f>
        <v/>
      </c>
      <c r="AB25" s="85" t="str">
        <f>'Patient &amp; Case Type Summary'!AB63</f>
        <v/>
      </c>
      <c r="AC25" s="85" t="str">
        <f>'Patient &amp; Case Type Summary'!AC63</f>
        <v/>
      </c>
      <c r="AD25" s="85" t="str">
        <f>'Patient &amp; Case Type Summary'!AD63</f>
        <v/>
      </c>
      <c r="AE25" s="85" t="str">
        <f>'Patient &amp; Case Type Summary'!AE63</f>
        <v/>
      </c>
      <c r="AF25" s="85" t="str">
        <f>'Patient &amp; Case Type Summary'!AF63</f>
        <v/>
      </c>
      <c r="AG25" s="85" t="str">
        <f>'Patient &amp; Case Type Summary'!AG63</f>
        <v/>
      </c>
      <c r="AH25" s="85" t="str">
        <f>'Patient &amp; Case Type Summary'!AH63</f>
        <v/>
      </c>
      <c r="AI25" s="85" t="str">
        <f>'Patient &amp; Case Type Summary'!AI63</f>
        <v/>
      </c>
      <c r="AJ25" s="85" t="str">
        <f>'Patient &amp; Case Type Summary'!AJ63</f>
        <v/>
      </c>
      <c r="AK25" s="85" t="str">
        <f>'Patient &amp; Case Type Summary'!AK63</f>
        <v/>
      </c>
      <c r="AL25" s="85" t="str">
        <f>'Patient &amp; Case Type Summary'!AL63</f>
        <v/>
      </c>
      <c r="AM25" s="85" t="str">
        <f>'Patient &amp; Case Type Summary'!AM63</f>
        <v/>
      </c>
      <c r="AN25" s="85" t="str">
        <f>'Patient &amp; Case Type Summary'!AN63</f>
        <v/>
      </c>
      <c r="AO25" s="85" t="str">
        <f>'Patient &amp; Case Type Summary'!AO63</f>
        <v/>
      </c>
      <c r="AP25" s="85" t="str">
        <f>'Patient &amp; Case Type Summary'!AP63</f>
        <v/>
      </c>
      <c r="AQ25" s="85" t="str">
        <f>'Patient &amp; Case Type Summary'!AQ63</f>
        <v/>
      </c>
      <c r="AR25" s="85" t="str">
        <f>'Patient &amp; Case Type Summary'!AR63</f>
        <v/>
      </c>
      <c r="AS25" s="85" t="str">
        <f>'Patient &amp; Case Type Summary'!AS63</f>
        <v/>
      </c>
      <c r="AT25" s="85" t="str">
        <f>'Patient &amp; Case Type Summary'!AT63</f>
        <v/>
      </c>
      <c r="AU25" s="85" t="str">
        <f>'Patient &amp; Case Type Summary'!AU63</f>
        <v/>
      </c>
      <c r="AV25" s="85" t="str">
        <f>'Patient &amp; Case Type Summary'!AV63</f>
        <v/>
      </c>
      <c r="AW25" s="85" t="str">
        <f>'Patient &amp; Case Type Summary'!AW63</f>
        <v/>
      </c>
      <c r="AX25" s="85" t="str">
        <f>'Patient &amp; Case Type Summary'!AX63</f>
        <v/>
      </c>
      <c r="AY25" s="85" t="str">
        <f>'Patient &amp; Case Type Summary'!AY63</f>
        <v/>
      </c>
      <c r="AZ25" s="85" t="str">
        <f>'Patient &amp; Case Type Summary'!AZ63</f>
        <v/>
      </c>
      <c r="BA25" s="85" t="str">
        <f>'Patient &amp; Case Type Summary'!BA63</f>
        <v/>
      </c>
      <c r="BB25" s="85" t="str">
        <f>'Patient &amp; Case Type Summary'!BB63</f>
        <v/>
      </c>
      <c r="BC25" s="85" t="str">
        <f>'Patient &amp; Case Type Summary'!BC63</f>
        <v/>
      </c>
      <c r="BD25" s="85" t="str">
        <f>'Patient &amp; Case Type Summary'!BD63</f>
        <v/>
      </c>
      <c r="BF25" s="39">
        <f>SUMIFS($D25:$BD25,$D$10:$BD$10,"&lt;="&amp;WeekSuppliedUntil,$D$10:$BD$10,"&gt;="&amp;Start_week_for_forecasting)</f>
        <v>539.39787742839519</v>
      </c>
      <c r="BH25" s="86">
        <f>IF(Start_week_for_forecasting+'User Dashboard'!$I$19='Patient Calc Assumptions'!$C$50,MAX($D25:$BD25),INDEX('Patient &amp; HCW Summary'!D25:BD25,MATCH(WeekSuppliedUntil,D$10:BD$10,0)))</f>
        <v>103.11839329036165</v>
      </c>
    </row>
    <row r="26" spans="2:60" x14ac:dyDescent="0.25">
      <c r="B26" t="s">
        <v>313</v>
      </c>
      <c r="D26" s="85">
        <f>'HCW &amp; Staff Summary'!D28</f>
        <v>1.0133333333333332</v>
      </c>
      <c r="E26" s="85">
        <f>'HCW &amp; Staff Summary'!E28</f>
        <v>2.3951001364950559</v>
      </c>
      <c r="F26" s="85">
        <f>'HCW &amp; Staff Summary'!F28</f>
        <v>8.0561244758095008</v>
      </c>
      <c r="G26" s="85">
        <f>'HCW &amp; Staff Summary'!G28</f>
        <v>27.097464770183677</v>
      </c>
      <c r="H26" s="85">
        <f>'HCW &amp; Staff Summary'!H28</f>
        <v>91.144643950845108</v>
      </c>
      <c r="I26" s="85">
        <f>'HCW &amp; Staff Summary'!I28</f>
        <v>306.57281747136693</v>
      </c>
      <c r="J26" s="85">
        <f>'HCW &amp; Staff Summary'!J28</f>
        <v>103.11839329036165</v>
      </c>
      <c r="K26" s="85">
        <f>'HCW &amp; Staff Summary'!K28</f>
        <v>346.84754905835098</v>
      </c>
      <c r="L26" s="85">
        <f>'HCW &amp; Staff Summary'!L28</f>
        <v>1166.6514425708172</v>
      </c>
      <c r="M26" s="85">
        <f>'HCW &amp; Staff Summary'!M28</f>
        <v>3924.1320636334954</v>
      </c>
      <c r="N26" s="85">
        <f>'HCW &amp; Staff Summary'!N28</f>
        <v>13199.154341166268</v>
      </c>
      <c r="O26" s="85">
        <f>'HCW &amp; Staff Summary'!O28</f>
        <v>44396.486279468983</v>
      </c>
      <c r="P26" s="85">
        <f>'HCW &amp; Staff Summary'!P28</f>
        <v>149331.3846490646</v>
      </c>
      <c r="Q26" s="85">
        <f>'HCW &amp; Staff Summary'!Q28</f>
        <v>502288.90414508793</v>
      </c>
      <c r="R26" s="85">
        <f>'HCW &amp; Staff Summary'!R28</f>
        <v>173913.29318824547</v>
      </c>
      <c r="S26" s="85" t="str">
        <f>'HCW &amp; Staff Summary'!S28</f>
        <v/>
      </c>
      <c r="T26" s="85" t="str">
        <f>'HCW &amp; Staff Summary'!T28</f>
        <v/>
      </c>
      <c r="U26" s="85" t="str">
        <f>'HCW &amp; Staff Summary'!U28</f>
        <v/>
      </c>
      <c r="V26" s="85" t="str">
        <f>'HCW &amp; Staff Summary'!V28</f>
        <v/>
      </c>
      <c r="W26" s="85" t="str">
        <f>'HCW &amp; Staff Summary'!W28</f>
        <v/>
      </c>
      <c r="X26" s="85" t="str">
        <f>'HCW &amp; Staff Summary'!X28</f>
        <v/>
      </c>
      <c r="Y26" s="85" t="str">
        <f>'HCW &amp; Staff Summary'!Y28</f>
        <v/>
      </c>
      <c r="Z26" s="85" t="str">
        <f>'HCW &amp; Staff Summary'!Z28</f>
        <v/>
      </c>
      <c r="AA26" s="85" t="str">
        <f>'HCW &amp; Staff Summary'!AA28</f>
        <v/>
      </c>
      <c r="AB26" s="85" t="str">
        <f>'HCW &amp; Staff Summary'!AB28</f>
        <v/>
      </c>
      <c r="AC26" s="85" t="str">
        <f>'HCW &amp; Staff Summary'!AC28</f>
        <v/>
      </c>
      <c r="AD26" s="85" t="str">
        <f>'HCW &amp; Staff Summary'!AD28</f>
        <v/>
      </c>
      <c r="AE26" s="85" t="str">
        <f>'HCW &amp; Staff Summary'!AE28</f>
        <v/>
      </c>
      <c r="AF26" s="85" t="str">
        <f>'HCW &amp; Staff Summary'!AF28</f>
        <v/>
      </c>
      <c r="AG26" s="85" t="str">
        <f>'HCW &amp; Staff Summary'!AG28</f>
        <v/>
      </c>
      <c r="AH26" s="85" t="str">
        <f>'HCW &amp; Staff Summary'!AH28</f>
        <v/>
      </c>
      <c r="AI26" s="85" t="str">
        <f>'HCW &amp; Staff Summary'!AI28</f>
        <v/>
      </c>
      <c r="AJ26" s="85" t="str">
        <f>'HCW &amp; Staff Summary'!AJ28</f>
        <v/>
      </c>
      <c r="AK26" s="85" t="str">
        <f>'HCW &amp; Staff Summary'!AK28</f>
        <v/>
      </c>
      <c r="AL26" s="85" t="str">
        <f>'HCW &amp; Staff Summary'!AL28</f>
        <v/>
      </c>
      <c r="AM26" s="85" t="str">
        <f>'HCW &amp; Staff Summary'!AM28</f>
        <v/>
      </c>
      <c r="AN26" s="85" t="str">
        <f>'HCW &amp; Staff Summary'!AN28</f>
        <v/>
      </c>
      <c r="AO26" s="85" t="str">
        <f>'HCW &amp; Staff Summary'!AO28</f>
        <v/>
      </c>
      <c r="AP26" s="85" t="str">
        <f>'HCW &amp; Staff Summary'!AP28</f>
        <v/>
      </c>
      <c r="AQ26" s="85" t="str">
        <f>'HCW &amp; Staff Summary'!AQ28</f>
        <v/>
      </c>
      <c r="AR26" s="85" t="str">
        <f>'HCW &amp; Staff Summary'!AR28</f>
        <v/>
      </c>
      <c r="AS26" s="85" t="str">
        <f>'HCW &amp; Staff Summary'!AS28</f>
        <v/>
      </c>
      <c r="AT26" s="85" t="str">
        <f>'HCW &amp; Staff Summary'!AT28</f>
        <v/>
      </c>
      <c r="AU26" s="85" t="str">
        <f>'HCW &amp; Staff Summary'!AU28</f>
        <v/>
      </c>
      <c r="AV26" s="85" t="str">
        <f>'HCW &amp; Staff Summary'!AV28</f>
        <v/>
      </c>
      <c r="AW26" s="85" t="str">
        <f>'HCW &amp; Staff Summary'!AW28</f>
        <v/>
      </c>
      <c r="AX26" s="85" t="str">
        <f>'HCW &amp; Staff Summary'!AX28</f>
        <v/>
      </c>
      <c r="AY26" s="85" t="str">
        <f>'HCW &amp; Staff Summary'!AY28</f>
        <v/>
      </c>
      <c r="AZ26" s="85" t="str">
        <f>'HCW &amp; Staff Summary'!AZ28</f>
        <v/>
      </c>
      <c r="BA26" s="85" t="str">
        <f>'HCW &amp; Staff Summary'!BA28</f>
        <v/>
      </c>
      <c r="BB26" s="85" t="str">
        <f>'HCW &amp; Staff Summary'!BB28</f>
        <v/>
      </c>
      <c r="BC26" s="85" t="str">
        <f>'HCW &amp; Staff Summary'!BC28</f>
        <v/>
      </c>
      <c r="BD26" s="85" t="str">
        <f>'HCW &amp; Staff Summary'!BD28</f>
        <v/>
      </c>
      <c r="BF26" s="39">
        <f>SUMIFS($D26:$BD26,$D$10:$BD$10,"&lt;="&amp;WeekSuppliedUntil,$D$10:$BD$10,"&gt;="&amp;Start_week_for_forecasting)</f>
        <v>539.39787742839519</v>
      </c>
      <c r="BH26" s="86">
        <f>IF(Start_week_for_forecasting+'User Dashboard'!$I$19='Patient Calc Assumptions'!$C$50,MAX($D26:$BD26),INDEX('Patient &amp; HCW Summary'!D26:BD26,MATCH(WeekSuppliedUntil,D$10:BD$10,0)))</f>
        <v>103.11839329036165</v>
      </c>
    </row>
    <row r="27" spans="2:60" x14ac:dyDescent="0.25">
      <c r="B27" t="s">
        <v>271</v>
      </c>
      <c r="D27" s="85">
        <f>'HCW &amp; Staff Summary'!D32</f>
        <v>1</v>
      </c>
      <c r="E27" s="85">
        <f>'HCW &amp; Staff Summary'!E32</f>
        <v>1</v>
      </c>
      <c r="F27" s="85">
        <f>'HCW &amp; Staff Summary'!F32</f>
        <v>1</v>
      </c>
      <c r="G27" s="85">
        <f>'HCW &amp; Staff Summary'!G32</f>
        <v>3</v>
      </c>
      <c r="H27" s="85">
        <f>'HCW &amp; Staff Summary'!H32</f>
        <v>10</v>
      </c>
      <c r="I27" s="85">
        <f>'HCW &amp; Staff Summary'!I32</f>
        <v>33</v>
      </c>
      <c r="J27" s="85">
        <f>'HCW &amp; Staff Summary'!J32</f>
        <v>12</v>
      </c>
      <c r="K27" s="85">
        <f>'HCW &amp; Staff Summary'!K32</f>
        <v>38</v>
      </c>
      <c r="L27" s="85">
        <f>'HCW &amp; Staff Summary'!L32</f>
        <v>125</v>
      </c>
      <c r="M27" s="85">
        <f>'HCW &amp; Staff Summary'!M32</f>
        <v>421</v>
      </c>
      <c r="N27" s="85">
        <f>'HCW &amp; Staff Summary'!N32</f>
        <v>1415</v>
      </c>
      <c r="O27" s="85">
        <f>'HCW &amp; Staff Summary'!O32</f>
        <v>4757</v>
      </c>
      <c r="P27" s="85">
        <f>'HCW &amp; Staff Summary'!P32</f>
        <v>16000</v>
      </c>
      <c r="Q27" s="85">
        <f>'HCW &amp; Staff Summary'!Q32</f>
        <v>53817</v>
      </c>
      <c r="R27" s="85">
        <f>'HCW &amp; Staff Summary'!R32</f>
        <v>18634</v>
      </c>
      <c r="S27" s="85" t="str">
        <f>'HCW &amp; Staff Summary'!S32</f>
        <v/>
      </c>
      <c r="T27" s="85" t="str">
        <f>'HCW &amp; Staff Summary'!T32</f>
        <v/>
      </c>
      <c r="U27" s="85" t="str">
        <f>'HCW &amp; Staff Summary'!U32</f>
        <v/>
      </c>
      <c r="V27" s="85" t="str">
        <f>'HCW &amp; Staff Summary'!V32</f>
        <v/>
      </c>
      <c r="W27" s="85" t="str">
        <f>'HCW &amp; Staff Summary'!W32</f>
        <v/>
      </c>
      <c r="X27" s="85" t="str">
        <f>'HCW &amp; Staff Summary'!X32</f>
        <v/>
      </c>
      <c r="Y27" s="85" t="str">
        <f>'HCW &amp; Staff Summary'!Y32</f>
        <v/>
      </c>
      <c r="Z27" s="85" t="str">
        <f>'HCW &amp; Staff Summary'!Z32</f>
        <v/>
      </c>
      <c r="AA27" s="85" t="str">
        <f>'HCW &amp; Staff Summary'!AA32</f>
        <v/>
      </c>
      <c r="AB27" s="85" t="str">
        <f>'HCW &amp; Staff Summary'!AB32</f>
        <v/>
      </c>
      <c r="AC27" s="85" t="str">
        <f>'HCW &amp; Staff Summary'!AC32</f>
        <v/>
      </c>
      <c r="AD27" s="85" t="str">
        <f>'HCW &amp; Staff Summary'!AD32</f>
        <v/>
      </c>
      <c r="AE27" s="85" t="str">
        <f>'HCW &amp; Staff Summary'!AE32</f>
        <v/>
      </c>
      <c r="AF27" s="85" t="str">
        <f>'HCW &amp; Staff Summary'!AF32</f>
        <v/>
      </c>
      <c r="AG27" s="85" t="str">
        <f>'HCW &amp; Staff Summary'!AG32</f>
        <v/>
      </c>
      <c r="AH27" s="85" t="str">
        <f>'HCW &amp; Staff Summary'!AH32</f>
        <v/>
      </c>
      <c r="AI27" s="85" t="str">
        <f>'HCW &amp; Staff Summary'!AI32</f>
        <v/>
      </c>
      <c r="AJ27" s="85" t="str">
        <f>'HCW &amp; Staff Summary'!AJ32</f>
        <v/>
      </c>
      <c r="AK27" s="85" t="str">
        <f>'HCW &amp; Staff Summary'!AK32</f>
        <v/>
      </c>
      <c r="AL27" s="85" t="str">
        <f>'HCW &amp; Staff Summary'!AL32</f>
        <v/>
      </c>
      <c r="AM27" s="85" t="str">
        <f>'HCW &amp; Staff Summary'!AM32</f>
        <v/>
      </c>
      <c r="AN27" s="85" t="str">
        <f>'HCW &amp; Staff Summary'!AN32</f>
        <v/>
      </c>
      <c r="AO27" s="85" t="str">
        <f>'HCW &amp; Staff Summary'!AO32</f>
        <v/>
      </c>
      <c r="AP27" s="85" t="str">
        <f>'HCW &amp; Staff Summary'!AP32</f>
        <v/>
      </c>
      <c r="AQ27" s="85" t="str">
        <f>'HCW &amp; Staff Summary'!AQ32</f>
        <v/>
      </c>
      <c r="AR27" s="85" t="str">
        <f>'HCW &amp; Staff Summary'!AR32</f>
        <v/>
      </c>
      <c r="AS27" s="85" t="str">
        <f>'HCW &amp; Staff Summary'!AS32</f>
        <v/>
      </c>
      <c r="AT27" s="85" t="str">
        <f>'HCW &amp; Staff Summary'!AT32</f>
        <v/>
      </c>
      <c r="AU27" s="85" t="str">
        <f>'HCW &amp; Staff Summary'!AU32</f>
        <v/>
      </c>
      <c r="AV27" s="85" t="str">
        <f>'HCW &amp; Staff Summary'!AV32</f>
        <v/>
      </c>
      <c r="AW27" s="85" t="str">
        <f>'HCW &amp; Staff Summary'!AW32</f>
        <v/>
      </c>
      <c r="AX27" s="85" t="str">
        <f>'HCW &amp; Staff Summary'!AX32</f>
        <v/>
      </c>
      <c r="AY27" s="85" t="str">
        <f>'HCW &amp; Staff Summary'!AY32</f>
        <v/>
      </c>
      <c r="AZ27" s="85" t="str">
        <f>'HCW &amp; Staff Summary'!AZ32</f>
        <v/>
      </c>
      <c r="BA27" s="85" t="str">
        <f>'HCW &amp; Staff Summary'!BA32</f>
        <v/>
      </c>
      <c r="BB27" s="85" t="str">
        <f>'HCW &amp; Staff Summary'!BB32</f>
        <v/>
      </c>
      <c r="BC27" s="85" t="str">
        <f>'HCW &amp; Staff Summary'!BC32</f>
        <v/>
      </c>
      <c r="BD27" s="85" t="str">
        <f>'HCW &amp; Staff Summary'!BD32</f>
        <v/>
      </c>
      <c r="BF27" s="39">
        <f>SUMIFS($D27:$BD27,$D$10:$BD$10,"&lt;="&amp;WeekSuppliedUntil,$D$10:$BD$10,"&gt;="&amp;Start_week_for_forecasting)</f>
        <v>61</v>
      </c>
      <c r="BH27" s="86">
        <f>IF(Start_week_for_forecasting+'User Dashboard'!$I$19='Patient Calc Assumptions'!$C$50,MAX($D27:$BD27),INDEX('Patient &amp; HCW Summary'!D27:BD27,MATCH(WeekSuppliedUntil,D$10:BD$10,0)))</f>
        <v>12</v>
      </c>
    </row>
    <row r="28" spans="2:60" x14ac:dyDescent="0.25">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78"/>
      <c r="AS28" s="78"/>
      <c r="AT28" s="78"/>
      <c r="AU28" s="78"/>
      <c r="AV28" s="78"/>
      <c r="AW28" s="78"/>
      <c r="AX28" s="78"/>
      <c r="AY28" s="78"/>
      <c r="AZ28" s="78"/>
      <c r="BA28" s="78"/>
      <c r="BB28" s="78"/>
      <c r="BC28" s="78"/>
      <c r="BD28" s="78"/>
    </row>
    <row r="30" spans="2:60" s="83" customFormat="1" x14ac:dyDescent="0.25">
      <c r="B30" s="124" t="s">
        <v>317</v>
      </c>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row>
    <row r="31" spans="2:60" x14ac:dyDescent="0.25">
      <c r="B31" t="s">
        <v>800</v>
      </c>
      <c r="D31" s="85">
        <f>'Patient &amp; Case Type Summary'!D60</f>
        <v>4.4000000000000004</v>
      </c>
      <c r="E31" s="85">
        <f>'Patient &amp; Case Type Summary'!E60</f>
        <v>10.399776908465375</v>
      </c>
      <c r="F31" s="85">
        <f>'Patient &amp; Case Type Summary'!F60</f>
        <v>34.980540487067572</v>
      </c>
      <c r="G31" s="85">
        <f>'Patient &amp; Case Type Summary'!G60</f>
        <v>117.66004439685018</v>
      </c>
      <c r="H31" s="85">
        <f>'Patient &amp; Case Type Summary'!H60</f>
        <v>395.75963820761689</v>
      </c>
      <c r="I31" s="85">
        <f>'Patient &amp; Case Type Summary'!I60</f>
        <v>1331.1714442835669</v>
      </c>
      <c r="J31" s="85">
        <f>'Patient &amp; Case Type Summary'!J60</f>
        <v>997.26340879494489</v>
      </c>
      <c r="K31" s="85">
        <f>'Patient &amp; Case Type Summary'!K60</f>
        <v>3354.3809020774734</v>
      </c>
      <c r="L31" s="85">
        <f>'Patient &amp; Case Type Summary'!L60</f>
        <v>11282.747503809878</v>
      </c>
      <c r="M31" s="85">
        <f>'Patient &amp; Case Type Summary'!M60</f>
        <v>37950.487720666046</v>
      </c>
      <c r="N31" s="85">
        <f>'Patient &amp; Case Type Summary'!N60</f>
        <v>127649.71632575273</v>
      </c>
      <c r="O31" s="85">
        <f>'Patient &amp; Case Type Summary'!O60</f>
        <v>429360.75546591711</v>
      </c>
      <c r="P31" s="85">
        <f>'Patient &amp; Case Type Summary'!P60</f>
        <v>1444191.6804876642</v>
      </c>
      <c r="Q31" s="85">
        <f>'Patient &amp; Case Type Summary'!Q60</f>
        <v>4857662.4282452576</v>
      </c>
      <c r="R31" s="85">
        <f>'Patient &amp; Case Type Summary'!R60</f>
        <v>1681924.611754742</v>
      </c>
      <c r="S31" s="85" t="str">
        <f>'Patient &amp; Case Type Summary'!S60</f>
        <v/>
      </c>
      <c r="T31" s="85" t="str">
        <f>'Patient &amp; Case Type Summary'!T60</f>
        <v/>
      </c>
      <c r="U31" s="85" t="str">
        <f>'Patient &amp; Case Type Summary'!U60</f>
        <v/>
      </c>
      <c r="V31" s="85" t="str">
        <f>'Patient &amp; Case Type Summary'!V60</f>
        <v/>
      </c>
      <c r="W31" s="85" t="str">
        <f>'Patient &amp; Case Type Summary'!W60</f>
        <v/>
      </c>
      <c r="X31" s="85" t="str">
        <f>'Patient &amp; Case Type Summary'!X60</f>
        <v/>
      </c>
      <c r="Y31" s="85" t="str">
        <f>'Patient &amp; Case Type Summary'!Y60</f>
        <v/>
      </c>
      <c r="Z31" s="85" t="str">
        <f>'Patient &amp; Case Type Summary'!Z60</f>
        <v/>
      </c>
      <c r="AA31" s="85" t="str">
        <f>'Patient &amp; Case Type Summary'!AA60</f>
        <v/>
      </c>
      <c r="AB31" s="85" t="str">
        <f>'Patient &amp; Case Type Summary'!AB60</f>
        <v/>
      </c>
      <c r="AC31" s="85" t="str">
        <f>'Patient &amp; Case Type Summary'!AC60</f>
        <v/>
      </c>
      <c r="AD31" s="85" t="str">
        <f>'Patient &amp; Case Type Summary'!AD60</f>
        <v/>
      </c>
      <c r="AE31" s="85" t="str">
        <f>'Patient &amp; Case Type Summary'!AE60</f>
        <v/>
      </c>
      <c r="AF31" s="85" t="str">
        <f>'Patient &amp; Case Type Summary'!AF60</f>
        <v/>
      </c>
      <c r="AG31" s="85" t="str">
        <f>'Patient &amp; Case Type Summary'!AG60</f>
        <v/>
      </c>
      <c r="AH31" s="85" t="str">
        <f>'Patient &amp; Case Type Summary'!AH60</f>
        <v/>
      </c>
      <c r="AI31" s="85" t="str">
        <f>'Patient &amp; Case Type Summary'!AI60</f>
        <v/>
      </c>
      <c r="AJ31" s="85" t="str">
        <f>'Patient &amp; Case Type Summary'!AJ60</f>
        <v/>
      </c>
      <c r="AK31" s="85" t="str">
        <f>'Patient &amp; Case Type Summary'!AK60</f>
        <v/>
      </c>
      <c r="AL31" s="85" t="str">
        <f>'Patient &amp; Case Type Summary'!AL60</f>
        <v/>
      </c>
      <c r="AM31" s="85" t="str">
        <f>'Patient &amp; Case Type Summary'!AM60</f>
        <v/>
      </c>
      <c r="AN31" s="85" t="str">
        <f>'Patient &amp; Case Type Summary'!AN60</f>
        <v/>
      </c>
      <c r="AO31" s="85" t="str">
        <f>'Patient &amp; Case Type Summary'!AO60</f>
        <v/>
      </c>
      <c r="AP31" s="85" t="str">
        <f>'Patient &amp; Case Type Summary'!AP60</f>
        <v/>
      </c>
      <c r="AQ31" s="85" t="str">
        <f>'Patient &amp; Case Type Summary'!AQ60</f>
        <v/>
      </c>
      <c r="AR31" s="85" t="str">
        <f>'Patient &amp; Case Type Summary'!AR60</f>
        <v/>
      </c>
      <c r="AS31" s="85" t="str">
        <f>'Patient &amp; Case Type Summary'!AS60</f>
        <v/>
      </c>
      <c r="AT31" s="85" t="str">
        <f>'Patient &amp; Case Type Summary'!AT60</f>
        <v/>
      </c>
      <c r="AU31" s="85" t="str">
        <f>'Patient &amp; Case Type Summary'!AU60</f>
        <v/>
      </c>
      <c r="AV31" s="85" t="str">
        <f>'Patient &amp; Case Type Summary'!AV60</f>
        <v/>
      </c>
      <c r="AW31" s="85" t="str">
        <f>'Patient &amp; Case Type Summary'!AW60</f>
        <v/>
      </c>
      <c r="AX31" s="85" t="str">
        <f>'Patient &amp; Case Type Summary'!AX60</f>
        <v/>
      </c>
      <c r="AY31" s="85" t="str">
        <f>'Patient &amp; Case Type Summary'!AY60</f>
        <v/>
      </c>
      <c r="AZ31" s="85" t="str">
        <f>'Patient &amp; Case Type Summary'!AZ60</f>
        <v/>
      </c>
      <c r="BA31" s="85" t="str">
        <f>'Patient &amp; Case Type Summary'!BA60</f>
        <v/>
      </c>
      <c r="BB31" s="85" t="str">
        <f>'Patient &amp; Case Type Summary'!BB60</f>
        <v/>
      </c>
      <c r="BC31" s="85" t="str">
        <f>'Patient &amp; Case Type Summary'!BC60</f>
        <v/>
      </c>
      <c r="BD31" s="85" t="str">
        <f>'Patient &amp; Case Type Summary'!BD60</f>
        <v/>
      </c>
      <c r="BF31" s="39">
        <f>SUMIFS($D31:$BD31,$D$10:$BD$10,"&lt;="&amp;WeekSuppliedUntil,$D$10:$BD$10,"&gt;="&amp;Start_week_for_forecasting)</f>
        <v>2891.6348530785117</v>
      </c>
      <c r="BH31" s="86">
        <f>IF(Start_week_for_forecasting+'User Dashboard'!$I$19='Patient Calc Assumptions'!$C$50,MAX($D31:$BD31),INDEX('Patient &amp; HCW Summary'!D31:BD31,MATCH(WeekSuppliedUntil,D$10:BD$10,0)))</f>
        <v>997.26340879494489</v>
      </c>
    </row>
    <row r="32" spans="2:60" x14ac:dyDescent="0.25">
      <c r="B32" s="131" t="s">
        <v>1383</v>
      </c>
      <c r="D32" s="12">
        <f>'HCW &amp; Staff Summary'!D36</f>
        <v>1</v>
      </c>
      <c r="E32" s="12">
        <f>'HCW &amp; Staff Summary'!E36</f>
        <v>1</v>
      </c>
      <c r="F32" s="12">
        <f>'HCW &amp; Staff Summary'!F36</f>
        <v>1</v>
      </c>
      <c r="G32" s="12">
        <f>'HCW &amp; Staff Summary'!G36</f>
        <v>1</v>
      </c>
      <c r="H32" s="12">
        <f>'HCW &amp; Staff Summary'!H36</f>
        <v>1</v>
      </c>
      <c r="I32" s="12">
        <f>'HCW &amp; Staff Summary'!I36</f>
        <v>2</v>
      </c>
      <c r="J32" s="515">
        <f>'HCW &amp; Staff Summary'!J36</f>
        <v>2</v>
      </c>
      <c r="K32" s="515">
        <f>'HCW &amp; Staff Summary'!K36</f>
        <v>4</v>
      </c>
      <c r="L32" s="12">
        <f>'HCW &amp; Staff Summary'!L36</f>
        <v>13</v>
      </c>
      <c r="M32" s="12">
        <f>'HCW &amp; Staff Summary'!M36</f>
        <v>41</v>
      </c>
      <c r="N32" s="12">
        <f>'HCW &amp; Staff Summary'!N36</f>
        <v>137</v>
      </c>
      <c r="O32" s="12">
        <f>'HCW &amp; Staff Summary'!O36</f>
        <v>461</v>
      </c>
      <c r="P32" s="12">
        <f>'HCW &amp; Staff Summary'!P36</f>
        <v>1548</v>
      </c>
      <c r="Q32" s="12">
        <f>'HCW &amp; Staff Summary'!Q36</f>
        <v>5111.121278037599</v>
      </c>
      <c r="R32" s="12">
        <f>'HCW &amp; Staff Summary'!R36</f>
        <v>1803</v>
      </c>
      <c r="S32" s="12" t="str">
        <f>'HCW &amp; Staff Summary'!S36</f>
        <v/>
      </c>
      <c r="T32" s="12" t="str">
        <f>'HCW &amp; Staff Summary'!T36</f>
        <v/>
      </c>
      <c r="U32" s="12" t="str">
        <f>'HCW &amp; Staff Summary'!U36</f>
        <v/>
      </c>
      <c r="V32" s="12" t="str">
        <f>'HCW &amp; Staff Summary'!V36</f>
        <v/>
      </c>
      <c r="W32" s="12" t="str">
        <f>'HCW &amp; Staff Summary'!W36</f>
        <v/>
      </c>
      <c r="X32" s="12" t="str">
        <f>'HCW &amp; Staff Summary'!X36</f>
        <v/>
      </c>
      <c r="Y32" s="12" t="str">
        <f>'HCW &amp; Staff Summary'!Y36</f>
        <v/>
      </c>
      <c r="Z32" s="12" t="str">
        <f>'HCW &amp; Staff Summary'!Z36</f>
        <v/>
      </c>
      <c r="AA32" s="12" t="str">
        <f>'HCW &amp; Staff Summary'!AA36</f>
        <v/>
      </c>
      <c r="AB32" s="12" t="str">
        <f>'HCW &amp; Staff Summary'!AB36</f>
        <v/>
      </c>
      <c r="AC32" s="12" t="str">
        <f>'HCW &amp; Staff Summary'!AC36</f>
        <v/>
      </c>
      <c r="AD32" s="12" t="str">
        <f>'HCW &amp; Staff Summary'!AD36</f>
        <v/>
      </c>
      <c r="AE32" s="12" t="str">
        <f>'HCW &amp; Staff Summary'!AE36</f>
        <v/>
      </c>
      <c r="AF32" s="12" t="str">
        <f>'HCW &amp; Staff Summary'!AF36</f>
        <v/>
      </c>
      <c r="AG32" s="12" t="str">
        <f>'HCW &amp; Staff Summary'!AG36</f>
        <v/>
      </c>
      <c r="AH32" s="12" t="str">
        <f>'HCW &amp; Staff Summary'!AH36</f>
        <v/>
      </c>
      <c r="AI32" s="12" t="str">
        <f>'HCW &amp; Staff Summary'!AI36</f>
        <v/>
      </c>
      <c r="AJ32" s="12" t="str">
        <f>'HCW &amp; Staff Summary'!AJ36</f>
        <v/>
      </c>
      <c r="AK32" s="12" t="str">
        <f>'HCW &amp; Staff Summary'!AK36</f>
        <v/>
      </c>
      <c r="AL32" s="12" t="str">
        <f>'HCW &amp; Staff Summary'!AL36</f>
        <v/>
      </c>
      <c r="AM32" s="12" t="str">
        <f>'HCW &amp; Staff Summary'!AM36</f>
        <v/>
      </c>
      <c r="AN32" s="12" t="str">
        <f>'HCW &amp; Staff Summary'!AN36</f>
        <v/>
      </c>
      <c r="AO32" s="12" t="str">
        <f>'HCW &amp; Staff Summary'!AO36</f>
        <v/>
      </c>
      <c r="AP32" s="12" t="str">
        <f>'HCW &amp; Staff Summary'!AP36</f>
        <v/>
      </c>
      <c r="AQ32" s="12" t="str">
        <f>'HCW &amp; Staff Summary'!AQ36</f>
        <v/>
      </c>
      <c r="AR32" s="12" t="str">
        <f>'HCW &amp; Staff Summary'!AR36</f>
        <v/>
      </c>
      <c r="AS32" s="12" t="str">
        <f>'HCW &amp; Staff Summary'!AS36</f>
        <v/>
      </c>
      <c r="AT32" s="12" t="str">
        <f>'HCW &amp; Staff Summary'!AT36</f>
        <v/>
      </c>
      <c r="AU32" s="12" t="str">
        <f>'HCW &amp; Staff Summary'!AU36</f>
        <v/>
      </c>
      <c r="AV32" s="12" t="str">
        <f>'HCW &amp; Staff Summary'!AV36</f>
        <v/>
      </c>
      <c r="AW32" s="12" t="str">
        <f>'HCW &amp; Staff Summary'!AW36</f>
        <v/>
      </c>
      <c r="AX32" s="12" t="str">
        <f>'HCW &amp; Staff Summary'!AX36</f>
        <v/>
      </c>
      <c r="AY32" s="12" t="str">
        <f>'HCW &amp; Staff Summary'!AY36</f>
        <v/>
      </c>
      <c r="AZ32" s="12" t="str">
        <f>'HCW &amp; Staff Summary'!AZ36</f>
        <v/>
      </c>
      <c r="BA32" s="12" t="str">
        <f>'HCW &amp; Staff Summary'!BA36</f>
        <v/>
      </c>
      <c r="BB32" s="12" t="str">
        <f>'HCW &amp; Staff Summary'!BB36</f>
        <v/>
      </c>
      <c r="BC32" s="12" t="str">
        <f>'HCW &amp; Staff Summary'!BC36</f>
        <v/>
      </c>
      <c r="BD32" s="12" t="str">
        <f>'HCW &amp; Staff Summary'!BD36</f>
        <v/>
      </c>
      <c r="BF32" s="39">
        <f>SUMIFS($D32:$BD32,$D$10:$BD$10,"&lt;="&amp;WeekSuppliedUntil,$D$10:$BD$10,"&gt;="&amp;Start_week_for_forecasting)</f>
        <v>9</v>
      </c>
      <c r="BH32" s="86">
        <f>IF(Start_week_for_forecasting+'User Dashboard'!$I$19='Patient Calc Assumptions'!$C$50,MAX($D32:$BD32),INDEX('Patient &amp; HCW Summary'!D32:BD32,MATCH(WeekSuppliedUntil,D$10:BD$10,0)))</f>
        <v>2</v>
      </c>
    </row>
    <row r="33" spans="2:60" x14ac:dyDescent="0.25">
      <c r="B33" s="131" t="s">
        <v>272</v>
      </c>
      <c r="D33" s="12">
        <f>'HCW &amp; Staff Summary'!D37</f>
        <v>1</v>
      </c>
      <c r="E33" s="12">
        <f>'HCW &amp; Staff Summary'!E37</f>
        <v>1</v>
      </c>
      <c r="F33" s="12">
        <f>'HCW &amp; Staff Summary'!F37</f>
        <v>1</v>
      </c>
      <c r="G33" s="12">
        <f>'HCW &amp; Staff Summary'!G37</f>
        <v>1</v>
      </c>
      <c r="H33" s="12">
        <f>'HCW &amp; Staff Summary'!H37</f>
        <v>1</v>
      </c>
      <c r="I33" s="12">
        <f>'HCW &amp; Staff Summary'!I37</f>
        <v>1</v>
      </c>
      <c r="J33" s="12">
        <f>'HCW &amp; Staff Summary'!J37</f>
        <v>1</v>
      </c>
      <c r="K33" s="12">
        <f>'HCW &amp; Staff Summary'!K37</f>
        <v>2</v>
      </c>
      <c r="L33" s="12">
        <f>'HCW &amp; Staff Summary'!L37</f>
        <v>5</v>
      </c>
      <c r="M33" s="12">
        <f>'HCW &amp; Staff Summary'!M37</f>
        <v>14</v>
      </c>
      <c r="N33" s="12">
        <f>'HCW &amp; Staff Summary'!N37</f>
        <v>46</v>
      </c>
      <c r="O33" s="12">
        <f>'HCW &amp; Staff Summary'!O37</f>
        <v>154</v>
      </c>
      <c r="P33" s="12">
        <f>'HCW &amp; Staff Summary'!P37</f>
        <v>516</v>
      </c>
      <c r="Q33" s="12">
        <f>'HCW &amp; Staff Summary'!Q37</f>
        <v>1735</v>
      </c>
      <c r="R33" s="12">
        <f>'HCW &amp; Staff Summary'!R37</f>
        <v>601</v>
      </c>
      <c r="S33" s="12" t="str">
        <f>'HCW &amp; Staff Summary'!S37</f>
        <v/>
      </c>
      <c r="T33" s="12" t="str">
        <f>'HCW &amp; Staff Summary'!T37</f>
        <v/>
      </c>
      <c r="U33" s="12" t="str">
        <f>'HCW &amp; Staff Summary'!U37</f>
        <v/>
      </c>
      <c r="V33" s="12" t="str">
        <f>'HCW &amp; Staff Summary'!V37</f>
        <v/>
      </c>
      <c r="W33" s="12" t="str">
        <f>'HCW &amp; Staff Summary'!W37</f>
        <v/>
      </c>
      <c r="X33" s="12" t="str">
        <f>'HCW &amp; Staff Summary'!X37</f>
        <v/>
      </c>
      <c r="Y33" s="12" t="str">
        <f>'HCW &amp; Staff Summary'!Y37</f>
        <v/>
      </c>
      <c r="Z33" s="12" t="str">
        <f>'HCW &amp; Staff Summary'!Z37</f>
        <v/>
      </c>
      <c r="AA33" s="12" t="str">
        <f>'HCW &amp; Staff Summary'!AA37</f>
        <v/>
      </c>
      <c r="AB33" s="12" t="str">
        <f>'HCW &amp; Staff Summary'!AB37</f>
        <v/>
      </c>
      <c r="AC33" s="12" t="str">
        <f>'HCW &amp; Staff Summary'!AC37</f>
        <v/>
      </c>
      <c r="AD33" s="12" t="str">
        <f>'HCW &amp; Staff Summary'!AD37</f>
        <v/>
      </c>
      <c r="AE33" s="12" t="str">
        <f>'HCW &amp; Staff Summary'!AE37</f>
        <v/>
      </c>
      <c r="AF33" s="12" t="str">
        <f>'HCW &amp; Staff Summary'!AF37</f>
        <v/>
      </c>
      <c r="AG33" s="12" t="str">
        <f>'HCW &amp; Staff Summary'!AG37</f>
        <v/>
      </c>
      <c r="AH33" s="12" t="str">
        <f>'HCW &amp; Staff Summary'!AH37</f>
        <v/>
      </c>
      <c r="AI33" s="12" t="str">
        <f>'HCW &amp; Staff Summary'!AI37</f>
        <v/>
      </c>
      <c r="AJ33" s="12" t="str">
        <f>'HCW &amp; Staff Summary'!AJ37</f>
        <v/>
      </c>
      <c r="AK33" s="12" t="str">
        <f>'HCW &amp; Staff Summary'!AK37</f>
        <v/>
      </c>
      <c r="AL33" s="12" t="str">
        <f>'HCW &amp; Staff Summary'!AL37</f>
        <v/>
      </c>
      <c r="AM33" s="12" t="str">
        <f>'HCW &amp; Staff Summary'!AM37</f>
        <v/>
      </c>
      <c r="AN33" s="12" t="str">
        <f>'HCW &amp; Staff Summary'!AN37</f>
        <v/>
      </c>
      <c r="AO33" s="12" t="str">
        <f>'HCW &amp; Staff Summary'!AO37</f>
        <v/>
      </c>
      <c r="AP33" s="12" t="str">
        <f>'HCW &amp; Staff Summary'!AP37</f>
        <v/>
      </c>
      <c r="AQ33" s="12" t="str">
        <f>'HCW &amp; Staff Summary'!AQ37</f>
        <v/>
      </c>
      <c r="AR33" s="12" t="str">
        <f>'HCW &amp; Staff Summary'!AR37</f>
        <v/>
      </c>
      <c r="AS33" s="12" t="str">
        <f>'HCW &amp; Staff Summary'!AS37</f>
        <v/>
      </c>
      <c r="AT33" s="12" t="str">
        <f>'HCW &amp; Staff Summary'!AT37</f>
        <v/>
      </c>
      <c r="AU33" s="12" t="str">
        <f>'HCW &amp; Staff Summary'!AU37</f>
        <v/>
      </c>
      <c r="AV33" s="12" t="str">
        <f>'HCW &amp; Staff Summary'!AV37</f>
        <v/>
      </c>
      <c r="AW33" s="12" t="str">
        <f>'HCW &amp; Staff Summary'!AW37</f>
        <v/>
      </c>
      <c r="AX33" s="12" t="str">
        <f>'HCW &amp; Staff Summary'!AX37</f>
        <v/>
      </c>
      <c r="AY33" s="12" t="str">
        <f>'HCW &amp; Staff Summary'!AY37</f>
        <v/>
      </c>
      <c r="AZ33" s="12" t="str">
        <f>'HCW &amp; Staff Summary'!AZ37</f>
        <v/>
      </c>
      <c r="BA33" s="12" t="str">
        <f>'HCW &amp; Staff Summary'!BA37</f>
        <v/>
      </c>
      <c r="BB33" s="12" t="str">
        <f>'HCW &amp; Staff Summary'!BB37</f>
        <v/>
      </c>
      <c r="BC33" s="12" t="str">
        <f>'HCW &amp; Staff Summary'!BC37</f>
        <v/>
      </c>
      <c r="BD33" s="12" t="str">
        <f>'HCW &amp; Staff Summary'!BD37</f>
        <v/>
      </c>
      <c r="BF33" s="39">
        <f>SUMIFS($D33:$BD33,$D$10:$BD$10,"&lt;="&amp;WeekSuppliedUntil,$D$10:$BD$10,"&gt;="&amp;Start_week_for_forecasting)</f>
        <v>7</v>
      </c>
      <c r="BH33" s="86">
        <f>IF(Start_week_for_forecasting+'User Dashboard'!$I$19='Patient Calc Assumptions'!$C$50,MAX($D33:$BD33),INDEX('Patient &amp; HCW Summary'!D33:BD33,MATCH(WeekSuppliedUntil,D$10:BD$10,0)))</f>
        <v>1</v>
      </c>
    </row>
    <row r="35" spans="2:60" s="83" customFormat="1" x14ac:dyDescent="0.25">
      <c r="B35" s="124"/>
      <c r="D35" s="125"/>
      <c r="E35" s="125"/>
      <c r="F35" s="125"/>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row>
  </sheetData>
  <sheetProtection algorithmName="SHA-512" hashValue="Djnu49TZowdh7GN2S3+l9qM/azg/0ENLFIxFgqoszW1RteHHF808u7a1CmxPiE0TmLqrTedWQalbsTrd38JxIA==" saltValue="QIIQACnNjYfBrg+3rwIsmQ==" spinCount="100000" sheet="1" objects="1" scenarios="1"/>
  <mergeCells count="1">
    <mergeCell ref="D9:BD9"/>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B2:BH37"/>
  <sheetViews>
    <sheetView showGridLines="0" topLeftCell="AZ18" zoomScale="60" zoomScaleNormal="60" workbookViewId="0">
      <selection activeCell="BH37" sqref="BH37"/>
    </sheetView>
  </sheetViews>
  <sheetFormatPr defaultRowHeight="15" x14ac:dyDescent="0.25"/>
  <cols>
    <col min="1" max="1" width="3.42578125" customWidth="1"/>
    <col min="2" max="2" width="34.5703125" bestFit="1" customWidth="1"/>
    <col min="3" max="3" width="21" customWidth="1"/>
    <col min="4" max="4" width="14" customWidth="1"/>
    <col min="5" max="5" width="14" style="138" customWidth="1"/>
    <col min="6" max="9" width="14" customWidth="1"/>
    <col min="10" max="54" width="14" style="138" customWidth="1"/>
    <col min="55" max="56" width="14" customWidth="1"/>
    <col min="58" max="58" width="12.42578125" bestFit="1" customWidth="1"/>
    <col min="59" max="59" width="4.42578125" customWidth="1"/>
    <col min="60" max="60" width="13.7109375" style="78" bestFit="1" customWidth="1"/>
  </cols>
  <sheetData>
    <row r="2" spans="2:60" s="29" customFormat="1" ht="18.75" x14ac:dyDescent="0.3">
      <c r="B2" s="29" t="s">
        <v>1172</v>
      </c>
      <c r="BH2" s="323"/>
    </row>
    <row r="4" spans="2:60" s="16" customFormat="1" x14ac:dyDescent="0.25">
      <c r="B4" s="15" t="s">
        <v>1246</v>
      </c>
      <c r="C4" s="15"/>
    </row>
    <row r="5" spans="2:60" s="138" customFormat="1" x14ac:dyDescent="0.25"/>
    <row r="6" spans="2:60" s="138" customFormat="1" x14ac:dyDescent="0.25">
      <c r="B6" s="138" t="s">
        <v>1243</v>
      </c>
      <c r="D6" s="39">
        <f>IF(ISBLANK('User Dashboard'!$C$28),'Staff &amp; Infra Assumptions'!$C$49,IF(ISBLANK('User Dashboard'!$C$29),'User Dashboard'!$C$28*'Staff &amp; Infra Assumptions'!$C$46,'User Dashboard'!$C$28*'Staff &amp; Infra Assumptions'!$C$46*'User Dashboard'!$C$29))</f>
        <v>110042.93052631579</v>
      </c>
      <c r="E6" s="138" t="s">
        <v>1397</v>
      </c>
    </row>
    <row r="7" spans="2:60" s="138" customFormat="1" x14ac:dyDescent="0.25">
      <c r="B7" s="138" t="s">
        <v>1244</v>
      </c>
      <c r="D7" s="39">
        <f>IF(ISBLANK('User Dashboard'!$C$28),'Staff &amp; Infra Assumptions'!$C$50,IF(ISBLANK('User Dashboard'!$C$29),'User Dashboard'!$C$28*'Staff &amp; Infra Assumptions'!$C$47,'User Dashboard'!$C$28*'Staff &amp; Infra Assumptions'!$C$47*'User Dashboard'!$C$29))</f>
        <v>85971.039473684214</v>
      </c>
      <c r="E7" s="6" t="s">
        <v>1397</v>
      </c>
    </row>
    <row r="8" spans="2:60" s="138" customFormat="1" x14ac:dyDescent="0.25">
      <c r="B8" s="138" t="s">
        <v>1389</v>
      </c>
      <c r="D8" s="39">
        <f>IF(ISBLANK('User Dashboard'!$C$30),'Staff &amp; Infra Assumptions'!$C$51,IF(ISBLANK('User Dashboard'!$C$31),'User Dashboard'!$C$30,'User Dashboard'!$C$30*'User Dashboard'!$C$31))</f>
        <v>5111.121278037599</v>
      </c>
      <c r="H8" s="162"/>
    </row>
    <row r="9" spans="2:60" s="138" customFormat="1" x14ac:dyDescent="0.25">
      <c r="B9" s="138" t="s">
        <v>1247</v>
      </c>
      <c r="D9" s="39">
        <f>'Staff &amp; Infra Assumptions'!$C$53</f>
        <v>66653.52</v>
      </c>
      <c r="E9" s="138" t="s">
        <v>1396</v>
      </c>
      <c r="H9" s="162"/>
    </row>
    <row r="10" spans="2:60" s="138" customFormat="1" x14ac:dyDescent="0.25"/>
    <row r="11" spans="2:60" s="16" customFormat="1" x14ac:dyDescent="0.25">
      <c r="B11" s="15" t="s">
        <v>764</v>
      </c>
      <c r="C11" s="15"/>
      <c r="BH11" s="324"/>
    </row>
    <row r="12" spans="2:60" s="63" customFormat="1" x14ac:dyDescent="0.25">
      <c r="B12" s="64" t="s">
        <v>304</v>
      </c>
      <c r="C12" s="64"/>
      <c r="D12" s="754" t="s">
        <v>790</v>
      </c>
      <c r="E12" s="754"/>
      <c r="F12" s="754"/>
      <c r="G12" s="754"/>
      <c r="H12" s="754"/>
      <c r="I12" s="754"/>
      <c r="J12" s="754"/>
      <c r="K12" s="754"/>
      <c r="L12" s="754"/>
      <c r="M12" s="754"/>
      <c r="N12" s="754"/>
      <c r="O12" s="754"/>
      <c r="P12" s="754"/>
      <c r="Q12" s="754"/>
      <c r="R12" s="754"/>
      <c r="S12" s="754"/>
      <c r="T12" s="754"/>
      <c r="U12" s="754"/>
      <c r="V12" s="754"/>
      <c r="W12" s="754"/>
      <c r="X12" s="754"/>
      <c r="Y12" s="754"/>
      <c r="Z12" s="754"/>
      <c r="AA12" s="754"/>
      <c r="AB12" s="754"/>
      <c r="AC12" s="754"/>
      <c r="AD12" s="754"/>
      <c r="AE12" s="754"/>
      <c r="AF12" s="754"/>
      <c r="AG12" s="754"/>
      <c r="AH12" s="754"/>
      <c r="AI12" s="754"/>
      <c r="AJ12" s="754"/>
      <c r="AK12" s="754"/>
      <c r="AL12" s="754"/>
      <c r="AM12" s="754"/>
      <c r="AN12" s="754"/>
      <c r="AO12" s="754"/>
      <c r="AP12" s="754"/>
      <c r="AQ12" s="754"/>
      <c r="AR12" s="754"/>
      <c r="AS12" s="754"/>
      <c r="AT12" s="754"/>
      <c r="AU12" s="754"/>
      <c r="AV12" s="754"/>
      <c r="AW12" s="754"/>
      <c r="AX12" s="754"/>
      <c r="AY12" s="754"/>
      <c r="AZ12" s="754"/>
      <c r="BA12" s="754"/>
      <c r="BB12" s="754"/>
      <c r="BC12" s="754"/>
      <c r="BD12" s="754"/>
      <c r="BH12" s="325"/>
    </row>
    <row r="13" spans="2:60" x14ac:dyDescent="0.25">
      <c r="D13" s="753" t="s">
        <v>273</v>
      </c>
      <c r="E13" s="753"/>
      <c r="F13" s="753"/>
      <c r="G13" s="753"/>
      <c r="H13" s="753"/>
      <c r="I13" s="753"/>
      <c r="J13" s="753"/>
      <c r="K13" s="753"/>
      <c r="L13" s="753"/>
      <c r="M13" s="753"/>
      <c r="N13" s="753"/>
      <c r="O13" s="753"/>
      <c r="P13" s="753"/>
      <c r="Q13" s="753"/>
      <c r="R13" s="753"/>
      <c r="S13" s="753"/>
      <c r="T13" s="753"/>
      <c r="U13" s="753"/>
      <c r="V13" s="753"/>
      <c r="W13" s="753"/>
      <c r="X13" s="753"/>
      <c r="Y13" s="753"/>
      <c r="Z13" s="753"/>
      <c r="AA13" s="753"/>
      <c r="AB13" s="753"/>
      <c r="AC13" s="753"/>
      <c r="AD13" s="753"/>
      <c r="AE13" s="753"/>
      <c r="AF13" s="753"/>
      <c r="AG13" s="753"/>
      <c r="AH13" s="753"/>
      <c r="AI13" s="753"/>
      <c r="AJ13" s="753"/>
      <c r="AK13" s="753"/>
      <c r="AL13" s="753"/>
      <c r="AM13" s="753"/>
      <c r="AN13" s="753"/>
      <c r="AO13" s="753"/>
      <c r="AP13" s="753"/>
      <c r="AQ13" s="753"/>
      <c r="AR13" s="753"/>
      <c r="AS13" s="753"/>
      <c r="AT13" s="753"/>
      <c r="AU13" s="753"/>
      <c r="AV13" s="753"/>
      <c r="AW13" s="753"/>
      <c r="AX13" s="753"/>
      <c r="AY13" s="753"/>
      <c r="AZ13" s="753"/>
      <c r="BA13" s="753"/>
      <c r="BB13" s="753"/>
      <c r="BC13" s="753"/>
      <c r="BD13" s="753"/>
    </row>
    <row r="14" spans="2:60" x14ac:dyDescent="0.25">
      <c r="D14" s="32">
        <v>0</v>
      </c>
      <c r="E14" s="32">
        <v>1</v>
      </c>
      <c r="F14" s="32">
        <v>2</v>
      </c>
      <c r="G14" s="32">
        <v>3</v>
      </c>
      <c r="H14" s="32">
        <v>4</v>
      </c>
      <c r="I14" s="122">
        <v>5</v>
      </c>
      <c r="J14" s="32">
        <v>6</v>
      </c>
      <c r="K14" s="32">
        <v>7</v>
      </c>
      <c r="L14" s="32">
        <v>8</v>
      </c>
      <c r="M14" s="32">
        <v>9</v>
      </c>
      <c r="N14" s="32">
        <v>10</v>
      </c>
      <c r="O14" s="122">
        <v>11</v>
      </c>
      <c r="P14" s="32">
        <v>12</v>
      </c>
      <c r="Q14" s="32">
        <v>13</v>
      </c>
      <c r="R14" s="32">
        <v>14</v>
      </c>
      <c r="S14" s="32">
        <v>15</v>
      </c>
      <c r="T14" s="32">
        <v>16</v>
      </c>
      <c r="U14" s="122">
        <v>17</v>
      </c>
      <c r="V14" s="32">
        <v>18</v>
      </c>
      <c r="W14" s="32">
        <v>19</v>
      </c>
      <c r="X14" s="32">
        <v>20</v>
      </c>
      <c r="Y14" s="32">
        <v>21</v>
      </c>
      <c r="Z14" s="32">
        <v>22</v>
      </c>
      <c r="AA14" s="122">
        <v>23</v>
      </c>
      <c r="AB14" s="32">
        <v>24</v>
      </c>
      <c r="AC14" s="32">
        <v>25</v>
      </c>
      <c r="AD14" s="32">
        <v>26</v>
      </c>
      <c r="AE14" s="32">
        <v>27</v>
      </c>
      <c r="AF14" s="32">
        <v>28</v>
      </c>
      <c r="AG14" s="122">
        <v>29</v>
      </c>
      <c r="AH14" s="32">
        <v>30</v>
      </c>
      <c r="AI14" s="32">
        <v>31</v>
      </c>
      <c r="AJ14" s="32">
        <v>32</v>
      </c>
      <c r="AK14" s="32">
        <v>33</v>
      </c>
      <c r="AL14" s="32">
        <v>34</v>
      </c>
      <c r="AM14" s="122">
        <v>35</v>
      </c>
      <c r="AN14" s="32">
        <v>36</v>
      </c>
      <c r="AO14" s="32">
        <v>37</v>
      </c>
      <c r="AP14" s="32">
        <v>38</v>
      </c>
      <c r="AQ14" s="32">
        <v>39</v>
      </c>
      <c r="AR14" s="32">
        <v>40</v>
      </c>
      <c r="AS14" s="122">
        <v>41</v>
      </c>
      <c r="AT14" s="32">
        <v>42</v>
      </c>
      <c r="AU14" s="32">
        <v>43</v>
      </c>
      <c r="AV14" s="32">
        <v>44</v>
      </c>
      <c r="AW14" s="32">
        <v>45</v>
      </c>
      <c r="AX14" s="32">
        <v>46</v>
      </c>
      <c r="AY14" s="122">
        <v>47</v>
      </c>
      <c r="AZ14" s="32">
        <v>48</v>
      </c>
      <c r="BA14" s="32">
        <v>49</v>
      </c>
      <c r="BB14" s="32">
        <v>50</v>
      </c>
      <c r="BC14" s="32">
        <v>51</v>
      </c>
      <c r="BD14" s="32">
        <v>52</v>
      </c>
    </row>
    <row r="15" spans="2:60" s="63" customFormat="1" x14ac:dyDescent="0.25">
      <c r="B15" s="64" t="s">
        <v>785</v>
      </c>
      <c r="C15" s="64"/>
      <c r="BH15" s="325"/>
    </row>
    <row r="16" spans="2:60" s="65" customFormat="1" ht="67.900000000000006" customHeight="1" x14ac:dyDescent="0.25">
      <c r="B16" s="66" t="s">
        <v>281</v>
      </c>
      <c r="C16" s="69" t="s">
        <v>293</v>
      </c>
      <c r="D16" s="755" t="s">
        <v>950</v>
      </c>
      <c r="E16" s="755"/>
      <c r="F16" s="755"/>
      <c r="G16" s="755"/>
      <c r="H16" s="755"/>
      <c r="I16" s="755"/>
      <c r="J16" s="755"/>
      <c r="K16" s="755"/>
      <c r="L16" s="755"/>
      <c r="M16" s="755"/>
      <c r="N16" s="755"/>
      <c r="O16" s="755"/>
      <c r="P16" s="755"/>
      <c r="Q16" s="755"/>
      <c r="R16" s="755"/>
      <c r="S16" s="755"/>
      <c r="T16" s="755"/>
      <c r="U16" s="755"/>
      <c r="V16" s="755"/>
      <c r="W16" s="755"/>
      <c r="X16" s="755"/>
      <c r="Y16" s="755"/>
      <c r="Z16" s="755"/>
      <c r="AA16" s="755"/>
      <c r="AB16" s="755"/>
      <c r="AC16" s="755"/>
      <c r="AD16" s="755"/>
      <c r="AE16" s="755"/>
      <c r="AF16" s="755"/>
      <c r="AG16" s="755"/>
      <c r="AH16" s="755"/>
      <c r="AI16" s="755"/>
      <c r="AJ16" s="755"/>
      <c r="AK16" s="755"/>
      <c r="AL16" s="755"/>
      <c r="AM16" s="755"/>
      <c r="AN16" s="755"/>
      <c r="AO16" s="755"/>
      <c r="AP16" s="755"/>
      <c r="AQ16" s="755"/>
      <c r="AR16" s="755"/>
      <c r="AS16" s="755"/>
      <c r="AT16" s="755"/>
      <c r="AU16" s="755"/>
      <c r="AV16" s="755"/>
      <c r="AW16" s="755"/>
      <c r="AX16" s="755"/>
      <c r="AY16" s="755"/>
      <c r="AZ16" s="755"/>
      <c r="BA16" s="755"/>
      <c r="BB16" s="755"/>
      <c r="BC16" s="755"/>
      <c r="BD16" s="755"/>
      <c r="BF16" s="116" t="s">
        <v>355</v>
      </c>
      <c r="BH16" s="326" t="s">
        <v>775</v>
      </c>
    </row>
    <row r="17" spans="2:60" s="8" customFormat="1" x14ac:dyDescent="0.25">
      <c r="B17" s="81" t="s">
        <v>988</v>
      </c>
      <c r="C17" s="81"/>
      <c r="D17" s="85">
        <f ca="1">IFERROR(VLOOKUP(D14,'Automated Patient Calcs'!$A:$Q,17,FALSE),"")</f>
        <v>0.15</v>
      </c>
      <c r="E17" s="85">
        <f ca="1">IFERROR(VLOOKUP(E14,'Automated Patient Calcs'!$A:$Q,17,FALSE),"")</f>
        <v>0.35453784915222863</v>
      </c>
      <c r="F17" s="85">
        <f ca="1">IFERROR(VLOOKUP(F14,'Automated Patient Calcs'!$A:$Q,17,FALSE),"")</f>
        <v>1.1925184256954853</v>
      </c>
      <c r="G17" s="85">
        <f ca="1">IFERROR(VLOOKUP(G14,'Automated Patient Calcs'!$A:$Q,17,FALSE),"")</f>
        <v>4.0111378771653463</v>
      </c>
      <c r="H17" s="85">
        <f ca="1">IFERROR(VLOOKUP(H14,'Automated Patient Calcs'!$A:$Q,17,FALSE),"")</f>
        <v>13.491805847986939</v>
      </c>
      <c r="I17" s="85">
        <f ca="1">IFERROR(VLOOKUP(I14,'Automated Patient Calcs'!$A:$Q,17,FALSE),"")</f>
        <v>45.380844691485237</v>
      </c>
      <c r="J17" s="85">
        <f ca="1">IFERROR(VLOOKUP(J14,'Automated Patient Calcs'!$A:$Q,17,FALSE),"")</f>
        <v>152.64235848902217</v>
      </c>
      <c r="K17" s="85">
        <f ca="1">IFERROR(VLOOKUP(K14,'Automated Patient Calcs'!$A:$Q,17,FALSE),"")</f>
        <v>513.42564827716421</v>
      </c>
      <c r="L17" s="85">
        <f ca="1">IFERROR(VLOOKUP(L14,'Automated Patient Calcs'!$A:$Q,17,FALSE),"")</f>
        <v>1726.9511485423282</v>
      </c>
      <c r="M17" s="85">
        <f ca="1">IFERROR(VLOOKUP(M14,'Automated Patient Calcs'!$A:$Q,17,FALSE),"")</f>
        <v>5808.7481205101085</v>
      </c>
      <c r="N17" s="85">
        <f ca="1">IFERROR(VLOOKUP(N14,'Automated Patient Calcs'!$A:$Q,17,FALSE),"")</f>
        <v>19538.221886594805</v>
      </c>
      <c r="O17" s="85">
        <f ca="1">IFERROR(VLOOKUP(O14,'Automated Patient Calcs'!$A:$Q,17,FALSE),"")</f>
        <v>65718.482979477121</v>
      </c>
      <c r="P17" s="85">
        <f ca="1">IFERROR(VLOOKUP(P14,'Automated Patient Calcs'!$A:$Q,17,FALSE),"")</f>
        <v>221049.74701341795</v>
      </c>
      <c r="Q17" s="85">
        <f ca="1">IFERROR(VLOOKUP(Q14,'Automated Patient Calcs'!$A:$Q,17,FALSE),"")</f>
        <v>743519.75942529459</v>
      </c>
      <c r="R17" s="85">
        <f ca="1">IFERROR(VLOOKUP(R14,'Automated Patient Calcs'!$A:$Q,17,FALSE),"")</f>
        <v>257437.44057470537</v>
      </c>
      <c r="S17" s="85" t="str">
        <f>IFERROR(VLOOKUP(S14,'Automated Patient Calcs'!$A:$Q,17,FALSE),"")</f>
        <v/>
      </c>
      <c r="T17" s="85" t="str">
        <f>IFERROR(VLOOKUP(T14,'Automated Patient Calcs'!$A:$Q,17,FALSE),"")</f>
        <v/>
      </c>
      <c r="U17" s="85" t="str">
        <f>IFERROR(VLOOKUP(U14,'Automated Patient Calcs'!$A:$Q,17,FALSE),"")</f>
        <v/>
      </c>
      <c r="V17" s="85" t="str">
        <f>IFERROR(VLOOKUP(V14,'Automated Patient Calcs'!$A:$Q,17,FALSE),"")</f>
        <v/>
      </c>
      <c r="W17" s="85" t="str">
        <f>IFERROR(VLOOKUP(W14,'Automated Patient Calcs'!$A:$Q,17,FALSE),"")</f>
        <v/>
      </c>
      <c r="X17" s="85" t="str">
        <f>IFERROR(VLOOKUP(X14,'Automated Patient Calcs'!$A:$Q,17,FALSE),"")</f>
        <v/>
      </c>
      <c r="Y17" s="85" t="str">
        <f>IFERROR(VLOOKUP(Y14,'Automated Patient Calcs'!$A:$Q,17,FALSE),"")</f>
        <v/>
      </c>
      <c r="Z17" s="85" t="str">
        <f>IFERROR(VLOOKUP(Z14,'Automated Patient Calcs'!$A:$Q,17,FALSE),"")</f>
        <v/>
      </c>
      <c r="AA17" s="85" t="str">
        <f>IFERROR(VLOOKUP(AA14,'Automated Patient Calcs'!$A:$Q,17,FALSE),"")</f>
        <v/>
      </c>
      <c r="AB17" s="85" t="str">
        <f>IFERROR(VLOOKUP(AB14,'Automated Patient Calcs'!$A:$Q,17,FALSE),"")</f>
        <v/>
      </c>
      <c r="AC17" s="85" t="str">
        <f>IFERROR(VLOOKUP(AC14,'Automated Patient Calcs'!$A:$Q,17,FALSE),"")</f>
        <v/>
      </c>
      <c r="AD17" s="85" t="str">
        <f>IFERROR(VLOOKUP(AD14,'Automated Patient Calcs'!$A:$Q,17,FALSE),"")</f>
        <v/>
      </c>
      <c r="AE17" s="85" t="str">
        <f>IFERROR(VLOOKUP(AE14,'Automated Patient Calcs'!$A:$Q,17,FALSE),"")</f>
        <v/>
      </c>
      <c r="AF17" s="85" t="str">
        <f>IFERROR(VLOOKUP(AF14,'Automated Patient Calcs'!$A:$Q,17,FALSE),"")</f>
        <v/>
      </c>
      <c r="AG17" s="85" t="str">
        <f>IFERROR(VLOOKUP(AG14,'Automated Patient Calcs'!$A:$Q,17,FALSE),"")</f>
        <v/>
      </c>
      <c r="AH17" s="85" t="str">
        <f>IFERROR(VLOOKUP(AH14,'Automated Patient Calcs'!$A:$Q,17,FALSE),"")</f>
        <v/>
      </c>
      <c r="AI17" s="85" t="str">
        <f>IFERROR(VLOOKUP(AI14,'Automated Patient Calcs'!$A:$Q,17,FALSE),"")</f>
        <v/>
      </c>
      <c r="AJ17" s="85" t="str">
        <f>IFERROR(VLOOKUP(AJ14,'Automated Patient Calcs'!$A:$Q,17,FALSE),"")</f>
        <v/>
      </c>
      <c r="AK17" s="85" t="str">
        <f>IFERROR(VLOOKUP(AK14,'Automated Patient Calcs'!$A:$Q,17,FALSE),"")</f>
        <v/>
      </c>
      <c r="AL17" s="85" t="str">
        <f>IFERROR(VLOOKUP(AL14,'Automated Patient Calcs'!$A:$Q,17,FALSE),"")</f>
        <v/>
      </c>
      <c r="AM17" s="85" t="str">
        <f>IFERROR(VLOOKUP(AM14,'Automated Patient Calcs'!$A:$Q,17,FALSE),"")</f>
        <v/>
      </c>
      <c r="AN17" s="85" t="str">
        <f>IFERROR(VLOOKUP(AN14,'Automated Patient Calcs'!$A:$Q,17,FALSE),"")</f>
        <v/>
      </c>
      <c r="AO17" s="85" t="str">
        <f>IFERROR(VLOOKUP(AO14,'Automated Patient Calcs'!$A:$Q,17,FALSE),"")</f>
        <v/>
      </c>
      <c r="AP17" s="85" t="str">
        <f>IFERROR(VLOOKUP(AP14,'Automated Patient Calcs'!$A:$Q,17,FALSE),"")</f>
        <v/>
      </c>
      <c r="AQ17" s="85" t="str">
        <f>IFERROR(VLOOKUP(AQ14,'Automated Patient Calcs'!$A:$Q,17,FALSE),"")</f>
        <v/>
      </c>
      <c r="AR17" s="85" t="str">
        <f>IFERROR(VLOOKUP(AR14,'Automated Patient Calcs'!$A:$Q,17,FALSE),"")</f>
        <v/>
      </c>
      <c r="AS17" s="85" t="str">
        <f>IFERROR(VLOOKUP(AS14,'Automated Patient Calcs'!$A:$Q,17,FALSE),"")</f>
        <v/>
      </c>
      <c r="AT17" s="85" t="str">
        <f>IFERROR(VLOOKUP(AT14,'Automated Patient Calcs'!$A:$Q,17,FALSE),"")</f>
        <v/>
      </c>
      <c r="AU17" s="85" t="str">
        <f>IFERROR(VLOOKUP(AU14,'Automated Patient Calcs'!$A:$Q,17,FALSE),"")</f>
        <v/>
      </c>
      <c r="AV17" s="85" t="str">
        <f>IFERROR(VLOOKUP(AV14,'Automated Patient Calcs'!$A:$Q,17,FALSE),"")</f>
        <v/>
      </c>
      <c r="AW17" s="85" t="str">
        <f>IFERROR(VLOOKUP(AW14,'Automated Patient Calcs'!$A:$Q,17,FALSE),"")</f>
        <v/>
      </c>
      <c r="AX17" s="85" t="str">
        <f>IFERROR(VLOOKUP(AX14,'Automated Patient Calcs'!$A:$Q,17,FALSE),"")</f>
        <v/>
      </c>
      <c r="AY17" s="85" t="str">
        <f>IFERROR(VLOOKUP(AY14,'Automated Patient Calcs'!$A:$Q,17,FALSE),"")</f>
        <v/>
      </c>
      <c r="AZ17" s="85" t="str">
        <f>IFERROR(VLOOKUP(AZ14,'Automated Patient Calcs'!$A:$Q,17,FALSE),"")</f>
        <v/>
      </c>
      <c r="BA17" s="85" t="str">
        <f>IFERROR(VLOOKUP(BA14,'Automated Patient Calcs'!$A:$Q,17,FALSE),"")</f>
        <v/>
      </c>
      <c r="BB17" s="85" t="str">
        <f>IFERROR(VLOOKUP(BB14,'Automated Patient Calcs'!$A:$Q,17,FALSE),"")</f>
        <v/>
      </c>
      <c r="BC17" s="85" t="str">
        <f>IFERROR(VLOOKUP(BC14,'Automated Patient Calcs'!$A:$Q,17,FALSE),"")</f>
        <v/>
      </c>
      <c r="BD17" s="85" t="str">
        <f>IFERROR(VLOOKUP(BD14,'Automated Patient Calcs'!$A:$Q,17,FALSE),"")</f>
        <v/>
      </c>
      <c r="BF17" s="39">
        <f ca="1">SUMIFS('Automated Patient Calcs'!$Q$2:$Q$54,'Automated Patient Calcs'!$A$2:$A$54,"&gt;="&amp;Start_week_for_forecasting,'Automated Patient Calcs'!$A$2:$A$54,"&lt;="&amp;WeekSuppliedUntil)</f>
        <v>217.22320318050743</v>
      </c>
      <c r="BG17" s="84"/>
      <c r="BH17" s="39">
        <f ca="1">IF(Start_week_for_forecasting+'User Dashboard'!$I$19='Patient Calc Assumptions'!$C$50,MAX($D17:$BD17),INDEX($D17:$BD17,MATCH(WeekSuppliedUntil,D$14:BD$14,0)))</f>
        <v>152.64235848902217</v>
      </c>
    </row>
    <row r="18" spans="2:60" s="8" customFormat="1" x14ac:dyDescent="0.25">
      <c r="B18" s="81" t="s">
        <v>989</v>
      </c>
      <c r="C18" s="81"/>
      <c r="D18" s="85">
        <f ca="1">IFERROR(VLOOKUP(D14,'Automated Patient Calcs'!$A:$R,18,FALSE),"")</f>
        <v>0.05</v>
      </c>
      <c r="E18" s="85">
        <f ca="1">IFERROR(VLOOKUP(E14,'Automated Patient Calcs'!$A:$R,18,FALSE),"")</f>
        <v>0.16817928305074292</v>
      </c>
      <c r="F18" s="85">
        <f ca="1">IFERROR(VLOOKUP(F14,'Automated Patient Calcs'!$A:$R,18,FALSE),"")</f>
        <v>0.51568542494923797</v>
      </c>
      <c r="G18" s="85">
        <f ca="1">IFERROR(VLOOKUP(G14,'Automated Patient Calcs'!$A:$R,18,FALSE),"")</f>
        <v>1.7345521009536109</v>
      </c>
      <c r="H18" s="85">
        <f ca="1">IFERROR(VLOOKUP(H14,'Automated Patient Calcs'!$A:$R,18,FALSE),"")</f>
        <v>5.8343145750507626</v>
      </c>
      <c r="I18" s="85">
        <f ca="1">IFERROR(VLOOKUP(I14,'Automated Patient Calcs'!$A:$R,18,FALSE),"")</f>
        <v>19.624216846490725</v>
      </c>
      <c r="J18" s="85">
        <f ca="1">IFERROR(VLOOKUP(J14,'Automated Patient Calcs'!$A:$R,18,FALSE),"")</f>
        <v>66.007734393502474</v>
      </c>
      <c r="K18" s="85">
        <f ca="1">IFERROR(VLOOKUP(K14,'Automated Patient Calcs'!$A:$R,18,FALSE),"")</f>
        <v>222.02266892206217</v>
      </c>
      <c r="L18" s="85">
        <f ca="1">IFERROR(VLOOKUP(L14,'Automated Patient Calcs'!$A:$R,18,FALSE),"")</f>
        <v>746.79226560649761</v>
      </c>
      <c r="M18" s="85">
        <f ca="1">IFERROR(VLOOKUP(M14,'Automated Patient Calcs'!$A:$R,18,FALSE),"")</f>
        <v>2511.8997563508124</v>
      </c>
      <c r="N18" s="85">
        <f ca="1">IFERROR(VLOOKUP(N14,'Automated Patient Calcs'!$A:$R,18,FALSE),"")</f>
        <v>8448.990002368304</v>
      </c>
      <c r="O18" s="85">
        <f ca="1">IFERROR(VLOOKUP(O14,'Automated Patient Calcs'!$A:$R,18,FALSE),"")</f>
        <v>28418.901622023976</v>
      </c>
      <c r="P18" s="85">
        <f ca="1">IFERROR(VLOOKUP(P14,'Automated Patient Calcs'!$A:$R,18,FALSE),"")</f>
        <v>95589.409997631708</v>
      </c>
      <c r="Q18" s="85">
        <f ca="1">IFERROR(VLOOKUP(Q14,'Automated Patient Calcs'!$A:$R,18,FALSE),"")</f>
        <v>321523.16881290422</v>
      </c>
      <c r="R18" s="85">
        <f ca="1">IFERROR(VLOOKUP(R14,'Automated Patient Calcs'!$A:$R,18,FALSE),"")</f>
        <v>333652.40000000002</v>
      </c>
      <c r="S18" s="85" t="str">
        <f>IFERROR(VLOOKUP(S14,'Automated Patient Calcs'!$A:$R,18,FALSE),"")</f>
        <v/>
      </c>
      <c r="T18" s="85" t="str">
        <f>IFERROR(VLOOKUP(T14,'Automated Patient Calcs'!$A:$R,18,FALSE),"")</f>
        <v/>
      </c>
      <c r="U18" s="85" t="str">
        <f>IFERROR(VLOOKUP(U14,'Automated Patient Calcs'!$A:$R,18,FALSE),"")</f>
        <v/>
      </c>
      <c r="V18" s="85" t="str">
        <f>IFERROR(VLOOKUP(V14,'Automated Patient Calcs'!$A:$R,18,FALSE),"")</f>
        <v/>
      </c>
      <c r="W18" s="85" t="str">
        <f>IFERROR(VLOOKUP(W14,'Automated Patient Calcs'!$A:$R,18,FALSE),"")</f>
        <v/>
      </c>
      <c r="X18" s="85" t="str">
        <f>IFERROR(VLOOKUP(X14,'Automated Patient Calcs'!$A:$R,18,FALSE),"")</f>
        <v/>
      </c>
      <c r="Y18" s="85" t="str">
        <f>IFERROR(VLOOKUP(Y14,'Automated Patient Calcs'!$A:$R,18,FALSE),"")</f>
        <v/>
      </c>
      <c r="Z18" s="85" t="str">
        <f>IFERROR(VLOOKUP(Z14,'Automated Patient Calcs'!$A:$R,18,FALSE),"")</f>
        <v/>
      </c>
      <c r="AA18" s="85" t="str">
        <f>IFERROR(VLOOKUP(AA14,'Automated Patient Calcs'!$A:$R,18,FALSE),"")</f>
        <v/>
      </c>
      <c r="AB18" s="85" t="str">
        <f>IFERROR(VLOOKUP(AB14,'Automated Patient Calcs'!$A:$R,18,FALSE),"")</f>
        <v/>
      </c>
      <c r="AC18" s="85" t="str">
        <f>IFERROR(VLOOKUP(AC14,'Automated Patient Calcs'!$A:$R,18,FALSE),"")</f>
        <v/>
      </c>
      <c r="AD18" s="85" t="str">
        <f>IFERROR(VLOOKUP(AD14,'Automated Patient Calcs'!$A:$R,18,FALSE),"")</f>
        <v/>
      </c>
      <c r="AE18" s="85" t="str">
        <f>IFERROR(VLOOKUP(AE14,'Automated Patient Calcs'!$A:$R,18,FALSE),"")</f>
        <v/>
      </c>
      <c r="AF18" s="85" t="str">
        <f>IFERROR(VLOOKUP(AF14,'Automated Patient Calcs'!$A:$R,18,FALSE),"")</f>
        <v/>
      </c>
      <c r="AG18" s="85" t="str">
        <f>IFERROR(VLOOKUP(AG14,'Automated Patient Calcs'!$A:$R,18,FALSE),"")</f>
        <v/>
      </c>
      <c r="AH18" s="85" t="str">
        <f>IFERROR(VLOOKUP(AH14,'Automated Patient Calcs'!$A:$R,18,FALSE),"")</f>
        <v/>
      </c>
      <c r="AI18" s="85" t="str">
        <f>IFERROR(VLOOKUP(AI14,'Automated Patient Calcs'!$A:$R,18,FALSE),"")</f>
        <v/>
      </c>
      <c r="AJ18" s="85" t="str">
        <f>IFERROR(VLOOKUP(AJ14,'Automated Patient Calcs'!$A:$R,18,FALSE),"")</f>
        <v/>
      </c>
      <c r="AK18" s="85" t="str">
        <f>IFERROR(VLOOKUP(AK14,'Automated Patient Calcs'!$A:$R,18,FALSE),"")</f>
        <v/>
      </c>
      <c r="AL18" s="85" t="str">
        <f>IFERROR(VLOOKUP(AL14,'Automated Patient Calcs'!$A:$R,18,FALSE),"")</f>
        <v/>
      </c>
      <c r="AM18" s="85" t="str">
        <f>IFERROR(VLOOKUP(AM14,'Automated Patient Calcs'!$A:$R,18,FALSE),"")</f>
        <v/>
      </c>
      <c r="AN18" s="85" t="str">
        <f>IFERROR(VLOOKUP(AN14,'Automated Patient Calcs'!$A:$R,18,FALSE),"")</f>
        <v/>
      </c>
      <c r="AO18" s="85" t="str">
        <f>IFERROR(VLOOKUP(AO14,'Automated Patient Calcs'!$A:$R,18,FALSE),"")</f>
        <v/>
      </c>
      <c r="AP18" s="85" t="str">
        <f>IFERROR(VLOOKUP(AP14,'Automated Patient Calcs'!$A:$R,18,FALSE),"")</f>
        <v/>
      </c>
      <c r="AQ18" s="85" t="str">
        <f>IFERROR(VLOOKUP(AQ14,'Automated Patient Calcs'!$A:$R,18,FALSE),"")</f>
        <v/>
      </c>
      <c r="AR18" s="85" t="str">
        <f>IFERROR(VLOOKUP(AR14,'Automated Patient Calcs'!$A:$R,18,FALSE),"")</f>
        <v/>
      </c>
      <c r="AS18" s="85" t="str">
        <f>IFERROR(VLOOKUP(AS14,'Automated Patient Calcs'!$A:$R,18,FALSE),"")</f>
        <v/>
      </c>
      <c r="AT18" s="85" t="str">
        <f>IFERROR(VLOOKUP(AT14,'Automated Patient Calcs'!$A:$R,18,FALSE),"")</f>
        <v/>
      </c>
      <c r="AU18" s="85" t="str">
        <f>IFERROR(VLOOKUP(AU14,'Automated Patient Calcs'!$A:$R,18,FALSE),"")</f>
        <v/>
      </c>
      <c r="AV18" s="85" t="str">
        <f>IFERROR(VLOOKUP(AV14,'Automated Patient Calcs'!$A:$R,18,FALSE),"")</f>
        <v/>
      </c>
      <c r="AW18" s="85" t="str">
        <f>IFERROR(VLOOKUP(AW14,'Automated Patient Calcs'!$A:$R,18,FALSE),"")</f>
        <v/>
      </c>
      <c r="AX18" s="85" t="str">
        <f>IFERROR(VLOOKUP(AX14,'Automated Patient Calcs'!$A:$R,18,FALSE),"")</f>
        <v/>
      </c>
      <c r="AY18" s="85" t="str">
        <f>IFERROR(VLOOKUP(AY14,'Automated Patient Calcs'!$A:$R,18,FALSE),"")</f>
        <v/>
      </c>
      <c r="AZ18" s="85" t="str">
        <f>IFERROR(VLOOKUP(AZ14,'Automated Patient Calcs'!$A:$R,18,FALSE),"")</f>
        <v/>
      </c>
      <c r="BA18" s="85" t="str">
        <f>IFERROR(VLOOKUP(BA14,'Automated Patient Calcs'!$A:$R,18,FALSE),"")</f>
        <v/>
      </c>
      <c r="BB18" s="85" t="str">
        <f>IFERROR(VLOOKUP(BB14,'Automated Patient Calcs'!$A:$R,18,FALSE),"")</f>
        <v/>
      </c>
      <c r="BC18" s="85" t="str">
        <f>IFERROR(VLOOKUP(BC14,'Automated Patient Calcs'!$A:$R,18,FALSE),"")</f>
        <v/>
      </c>
      <c r="BD18" s="85" t="str">
        <f>IFERROR(VLOOKUP(BD14,'Automated Patient Calcs'!$A:$R,18,FALSE),"")</f>
        <v/>
      </c>
      <c r="BF18" s="39">
        <f ca="1">SUMIFS('Automated Patient Calcs'!$R$2:$R$54,'Automated Patient Calcs'!$A$2:$A$54,"&gt;="&amp;Start_week_for_forecasting,'Automated Patient Calcs'!$A$2:$A$54,"&lt;="&amp;WeekSuppliedUntil)</f>
        <v>93.93468262399756</v>
      </c>
      <c r="BG18" s="84"/>
      <c r="BH18" s="39">
        <f ca="1">IF(Start_week_for_forecasting+'User Dashboard'!$I$19='Patient Calc Assumptions'!$C$50,MAX($D18:$BD18),INDEX($D18:$BD18,MATCH(WeekSuppliedUntil,D$14:BD$14,0)))</f>
        <v>66.007734393502474</v>
      </c>
    </row>
    <row r="19" spans="2:60" s="8" customFormat="1" ht="15.75" thickBot="1" x14ac:dyDescent="0.3">
      <c r="B19" s="81" t="s">
        <v>781</v>
      </c>
      <c r="C19" s="81"/>
      <c r="D19" s="128">
        <f ca="1">IFERROR(IF(D17="","",SUM(D17:D18)),"")</f>
        <v>0.2</v>
      </c>
      <c r="E19" s="128">
        <f ca="1">IFERROR(IF(E17="","",SUM(E17:E18)),"")</f>
        <v>0.52271713220297156</v>
      </c>
      <c r="F19" s="128">
        <f t="shared" ref="F19:T19" ca="1" si="0">IFERROR(IF(F17="","",SUM(F17:F18)),"")</f>
        <v>1.7082038506447232</v>
      </c>
      <c r="G19" s="128">
        <f t="shared" ca="1" si="0"/>
        <v>5.745689978118957</v>
      </c>
      <c r="H19" s="128">
        <f t="shared" ca="1" si="0"/>
        <v>19.3261204230377</v>
      </c>
      <c r="I19" s="128">
        <f t="shared" ca="1" si="0"/>
        <v>65.005061537975962</v>
      </c>
      <c r="J19" s="128">
        <f t="shared" ca="1" si="0"/>
        <v>218.65009288252463</v>
      </c>
      <c r="K19" s="128">
        <f t="shared" ca="1" si="0"/>
        <v>735.44831719922638</v>
      </c>
      <c r="L19" s="128">
        <f t="shared" ca="1" si="0"/>
        <v>2473.7434141488257</v>
      </c>
      <c r="M19" s="128">
        <f t="shared" ca="1" si="0"/>
        <v>8320.6478768609213</v>
      </c>
      <c r="N19" s="128">
        <f t="shared" ca="1" si="0"/>
        <v>27987.211888963109</v>
      </c>
      <c r="O19" s="128">
        <f t="shared" ca="1" si="0"/>
        <v>94137.384601501093</v>
      </c>
      <c r="P19" s="128">
        <f t="shared" ca="1" si="0"/>
        <v>316639.15701104968</v>
      </c>
      <c r="Q19" s="128">
        <f t="shared" ca="1" si="0"/>
        <v>1065042.9282381989</v>
      </c>
      <c r="R19" s="128">
        <f t="shared" ca="1" si="0"/>
        <v>591089.84057470539</v>
      </c>
      <c r="S19" s="128" t="str">
        <f t="shared" si="0"/>
        <v/>
      </c>
      <c r="T19" s="128" t="str">
        <f t="shared" si="0"/>
        <v/>
      </c>
      <c r="U19" s="128" t="str">
        <f t="shared" ref="U19" si="1">IFERROR(IF(U17="","",SUM(U17:U18)),"")</f>
        <v/>
      </c>
      <c r="V19" s="128" t="str">
        <f t="shared" ref="V19" si="2">IFERROR(IF(V17="","",SUM(V17:V18)),"")</f>
        <v/>
      </c>
      <c r="W19" s="128" t="str">
        <f t="shared" ref="W19" si="3">IFERROR(IF(W17="","",SUM(W17:W18)),"")</f>
        <v/>
      </c>
      <c r="X19" s="128" t="str">
        <f t="shared" ref="X19" si="4">IFERROR(IF(X17="","",SUM(X17:X18)),"")</f>
        <v/>
      </c>
      <c r="Y19" s="128" t="str">
        <f t="shared" ref="Y19" si="5">IFERROR(IF(Y17="","",SUM(Y17:Y18)),"")</f>
        <v/>
      </c>
      <c r="Z19" s="128" t="str">
        <f t="shared" ref="Z19" si="6">IFERROR(IF(Z17="","",SUM(Z17:Z18)),"")</f>
        <v/>
      </c>
      <c r="AA19" s="128" t="str">
        <f t="shared" ref="AA19" si="7">IFERROR(IF(AA17="","",SUM(AA17:AA18)),"")</f>
        <v/>
      </c>
      <c r="AB19" s="128" t="str">
        <f t="shared" ref="AB19" si="8">IFERROR(IF(AB17="","",SUM(AB17:AB18)),"")</f>
        <v/>
      </c>
      <c r="AC19" s="128" t="str">
        <f t="shared" ref="AC19" si="9">IFERROR(IF(AC17="","",SUM(AC17:AC18)),"")</f>
        <v/>
      </c>
      <c r="AD19" s="128" t="str">
        <f t="shared" ref="AD19" si="10">IFERROR(IF(AD17="","",SUM(AD17:AD18)),"")</f>
        <v/>
      </c>
      <c r="AE19" s="128" t="str">
        <f t="shared" ref="AE19" si="11">IFERROR(IF(AE17="","",SUM(AE17:AE18)),"")</f>
        <v/>
      </c>
      <c r="AF19" s="128" t="str">
        <f t="shared" ref="AF19" si="12">IFERROR(IF(AF17="","",SUM(AF17:AF18)),"")</f>
        <v/>
      </c>
      <c r="AG19" s="128" t="str">
        <f t="shared" ref="AG19:AI19" si="13">IFERROR(IF(AG17="","",SUM(AG17:AG18)),"")</f>
        <v/>
      </c>
      <c r="AH19" s="128" t="str">
        <f t="shared" si="13"/>
        <v/>
      </c>
      <c r="AI19" s="128" t="str">
        <f t="shared" si="13"/>
        <v/>
      </c>
      <c r="AJ19" s="128" t="str">
        <f t="shared" ref="AJ19" si="14">IFERROR(IF(AJ17="","",SUM(AJ17:AJ18)),"")</f>
        <v/>
      </c>
      <c r="AK19" s="128" t="str">
        <f t="shared" ref="AK19" si="15">IFERROR(IF(AK17="","",SUM(AK17:AK18)),"")</f>
        <v/>
      </c>
      <c r="AL19" s="128" t="str">
        <f t="shared" ref="AL19" si="16">IFERROR(IF(AL17="","",SUM(AL17:AL18)),"")</f>
        <v/>
      </c>
      <c r="AM19" s="128" t="str">
        <f t="shared" ref="AM19" si="17">IFERROR(IF(AM17="","",SUM(AM17:AM18)),"")</f>
        <v/>
      </c>
      <c r="AN19" s="128" t="str">
        <f t="shared" ref="AN19" si="18">IFERROR(IF(AN17="","",SUM(AN17:AN18)),"")</f>
        <v/>
      </c>
      <c r="AO19" s="128" t="str">
        <f t="shared" ref="AO19" si="19">IFERROR(IF(AO17="","",SUM(AO17:AO18)),"")</f>
        <v/>
      </c>
      <c r="AP19" s="128" t="str">
        <f t="shared" ref="AP19" si="20">IFERROR(IF(AP17="","",SUM(AP17:AP18)),"")</f>
        <v/>
      </c>
      <c r="AQ19" s="128" t="str">
        <f t="shared" ref="AQ19" si="21">IFERROR(IF(AQ17="","",SUM(AQ17:AQ18)),"")</f>
        <v/>
      </c>
      <c r="AR19" s="128" t="str">
        <f t="shared" ref="AR19" si="22">IFERROR(IF(AR17="","",SUM(AR17:AR18)),"")</f>
        <v/>
      </c>
      <c r="AS19" s="128" t="str">
        <f t="shared" ref="AS19" si="23">IFERROR(IF(AS17="","",SUM(AS17:AS18)),"")</f>
        <v/>
      </c>
      <c r="AT19" s="128" t="str">
        <f t="shared" ref="AT19" si="24">IFERROR(IF(AT17="","",SUM(AT17:AT18)),"")</f>
        <v/>
      </c>
      <c r="AU19" s="128" t="str">
        <f t="shared" ref="AU19" si="25">IFERROR(IF(AU17="","",SUM(AU17:AU18)),"")</f>
        <v/>
      </c>
      <c r="AV19" s="128" t="str">
        <f t="shared" ref="AV19:AX19" si="26">IFERROR(IF(AV17="","",SUM(AV17:AV18)),"")</f>
        <v/>
      </c>
      <c r="AW19" s="128" t="str">
        <f t="shared" si="26"/>
        <v/>
      </c>
      <c r="AX19" s="128" t="str">
        <f t="shared" si="26"/>
        <v/>
      </c>
      <c r="AY19" s="128" t="str">
        <f t="shared" ref="AY19" si="27">IFERROR(IF(AY17="","",SUM(AY17:AY18)),"")</f>
        <v/>
      </c>
      <c r="AZ19" s="128" t="str">
        <f t="shared" ref="AZ19" si="28">IFERROR(IF(AZ17="","",SUM(AZ17:AZ18)),"")</f>
        <v/>
      </c>
      <c r="BA19" s="128" t="str">
        <f t="shared" ref="BA19" si="29">IFERROR(IF(BA17="","",SUM(BA17:BA18)),"")</f>
        <v/>
      </c>
      <c r="BB19" s="128" t="str">
        <f t="shared" ref="BB19" si="30">IFERROR(IF(BB17="","",SUM(BB17:BB18)),"")</f>
        <v/>
      </c>
      <c r="BC19" s="128" t="str">
        <f t="shared" ref="BC19" si="31">IFERROR(IF(BC17="","",SUM(BC17:BC18)),"")</f>
        <v/>
      </c>
      <c r="BD19" s="128" t="str">
        <f t="shared" ref="BD19" si="32">IFERROR(IF(BD17="","",SUM(BD17:BD18)),"")</f>
        <v/>
      </c>
      <c r="BF19" s="121"/>
      <c r="BH19" s="327"/>
    </row>
    <row r="20" spans="2:60" s="8" customFormat="1" x14ac:dyDescent="0.25">
      <c r="B20" s="81"/>
      <c r="C20" s="81"/>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F20" s="121"/>
      <c r="BH20" s="327"/>
    </row>
    <row r="21" spans="2:60" x14ac:dyDescent="0.25">
      <c r="B21" s="62" t="s">
        <v>271</v>
      </c>
      <c r="C21" s="62"/>
      <c r="D21" s="39">
        <f t="shared" ref="D21:AI21" ca="1" si="33">IFERROR(IF(D19*HCWs_per_bed&lt;$D$6,D19*HCWs_per_bed,$D$6),"")</f>
        <v>0.32000000000000006</v>
      </c>
      <c r="E21" s="39">
        <f t="shared" ca="1" si="33"/>
        <v>0.83634741152475456</v>
      </c>
      <c r="F21" s="39">
        <f t="shared" ca="1" si="33"/>
        <v>2.7331261610315574</v>
      </c>
      <c r="G21" s="39">
        <f t="shared" ca="1" si="33"/>
        <v>9.1931039649903319</v>
      </c>
      <c r="H21" s="39">
        <f t="shared" ca="1" si="33"/>
        <v>30.921792676860321</v>
      </c>
      <c r="I21" s="39">
        <f t="shared" ca="1" si="33"/>
        <v>104.00809846076154</v>
      </c>
      <c r="J21" s="39">
        <f t="shared" ca="1" si="33"/>
        <v>349.84014861203946</v>
      </c>
      <c r="K21" s="39">
        <f t="shared" ca="1" si="33"/>
        <v>1176.7173075187623</v>
      </c>
      <c r="L21" s="39">
        <f t="shared" ca="1" si="33"/>
        <v>3957.989462638121</v>
      </c>
      <c r="M21" s="39">
        <f t="shared" ca="1" si="33"/>
        <v>13313.036602977474</v>
      </c>
      <c r="N21" s="39">
        <f t="shared" ca="1" si="33"/>
        <v>44779.539022340978</v>
      </c>
      <c r="O21" s="39">
        <f t="shared" ca="1" si="33"/>
        <v>110042.93052631579</v>
      </c>
      <c r="P21" s="39">
        <f t="shared" ca="1" si="33"/>
        <v>110042.93052631579</v>
      </c>
      <c r="Q21" s="39">
        <f t="shared" ca="1" si="33"/>
        <v>110042.93052631579</v>
      </c>
      <c r="R21" s="39">
        <f t="shared" ca="1" si="33"/>
        <v>110042.93052631579</v>
      </c>
      <c r="S21" s="39" t="str">
        <f t="shared" si="33"/>
        <v/>
      </c>
      <c r="T21" s="39" t="str">
        <f t="shared" si="33"/>
        <v/>
      </c>
      <c r="U21" s="39" t="str">
        <f t="shared" si="33"/>
        <v/>
      </c>
      <c r="V21" s="39" t="str">
        <f t="shared" si="33"/>
        <v/>
      </c>
      <c r="W21" s="39" t="str">
        <f t="shared" si="33"/>
        <v/>
      </c>
      <c r="X21" s="39" t="str">
        <f t="shared" si="33"/>
        <v/>
      </c>
      <c r="Y21" s="39" t="str">
        <f t="shared" si="33"/>
        <v/>
      </c>
      <c r="Z21" s="39" t="str">
        <f t="shared" si="33"/>
        <v/>
      </c>
      <c r="AA21" s="39" t="str">
        <f t="shared" si="33"/>
        <v/>
      </c>
      <c r="AB21" s="39" t="str">
        <f t="shared" si="33"/>
        <v/>
      </c>
      <c r="AC21" s="39" t="str">
        <f t="shared" si="33"/>
        <v/>
      </c>
      <c r="AD21" s="39" t="str">
        <f t="shared" si="33"/>
        <v/>
      </c>
      <c r="AE21" s="39" t="str">
        <f t="shared" si="33"/>
        <v/>
      </c>
      <c r="AF21" s="39" t="str">
        <f t="shared" si="33"/>
        <v/>
      </c>
      <c r="AG21" s="39" t="str">
        <f t="shared" si="33"/>
        <v/>
      </c>
      <c r="AH21" s="39" t="str">
        <f t="shared" si="33"/>
        <v/>
      </c>
      <c r="AI21" s="39" t="str">
        <f t="shared" si="33"/>
        <v/>
      </c>
      <c r="AJ21" s="39" t="str">
        <f t="shared" ref="AJ21:BD21" si="34">IFERROR(IF(AJ19*HCWs_per_bed&lt;$D$6,AJ19*HCWs_per_bed,$D$6),"")</f>
        <v/>
      </c>
      <c r="AK21" s="39" t="str">
        <f t="shared" si="34"/>
        <v/>
      </c>
      <c r="AL21" s="39" t="str">
        <f t="shared" si="34"/>
        <v/>
      </c>
      <c r="AM21" s="39" t="str">
        <f t="shared" si="34"/>
        <v/>
      </c>
      <c r="AN21" s="39" t="str">
        <f t="shared" si="34"/>
        <v/>
      </c>
      <c r="AO21" s="39" t="str">
        <f t="shared" si="34"/>
        <v/>
      </c>
      <c r="AP21" s="39" t="str">
        <f t="shared" si="34"/>
        <v/>
      </c>
      <c r="AQ21" s="39" t="str">
        <f t="shared" si="34"/>
        <v/>
      </c>
      <c r="AR21" s="39" t="str">
        <f t="shared" si="34"/>
        <v/>
      </c>
      <c r="AS21" s="39" t="str">
        <f t="shared" si="34"/>
        <v/>
      </c>
      <c r="AT21" s="39" t="str">
        <f t="shared" si="34"/>
        <v/>
      </c>
      <c r="AU21" s="39" t="str">
        <f t="shared" si="34"/>
        <v/>
      </c>
      <c r="AV21" s="39" t="str">
        <f t="shared" si="34"/>
        <v/>
      </c>
      <c r="AW21" s="39" t="str">
        <f t="shared" si="34"/>
        <v/>
      </c>
      <c r="AX21" s="39" t="str">
        <f t="shared" si="34"/>
        <v/>
      </c>
      <c r="AY21" s="39" t="str">
        <f t="shared" si="34"/>
        <v/>
      </c>
      <c r="AZ21" s="39" t="str">
        <f t="shared" si="34"/>
        <v/>
      </c>
      <c r="BA21" s="39" t="str">
        <f t="shared" si="34"/>
        <v/>
      </c>
      <c r="BB21" s="39" t="str">
        <f t="shared" si="34"/>
        <v/>
      </c>
      <c r="BC21" s="39" t="str">
        <f t="shared" si="34"/>
        <v/>
      </c>
      <c r="BD21" s="39" t="str">
        <f t="shared" si="34"/>
        <v/>
      </c>
      <c r="BF21" s="39">
        <f ca="1">SUMIFS(D21:BD21,D14:BD14,"&gt;="&amp;Start_week_for_forecasting,D14:BD14,"&lt;="&amp;WeekSuppliedUntil)</f>
        <v>497.85261728720798</v>
      </c>
      <c r="BG21" s="84"/>
      <c r="BH21" s="39">
        <f ca="1">IF(Start_week_for_forecasting+'User Dashboard'!$I$19='Patient Calc Assumptions'!$C$50,MAX($D21:$BD21),INDEX($D21:$BD21,MATCH(WeekSuppliedUntil,D$14:BD$14,0)))</f>
        <v>349.84014861203946</v>
      </c>
    </row>
    <row r="22" spans="2:60" x14ac:dyDescent="0.25">
      <c r="B22" s="62" t="s">
        <v>272</v>
      </c>
      <c r="C22" s="62"/>
      <c r="D22" s="39">
        <f t="shared" ref="D22:AI22" ca="1" si="35">IFERROR(IF(D19*Hygienists_per_bed&lt;$D$9,D19*Hygienists_per_bed,$D$9),"")</f>
        <v>0.16000000000000003</v>
      </c>
      <c r="E22" s="39">
        <f t="shared" ca="1" si="35"/>
        <v>0.41817370576237728</v>
      </c>
      <c r="F22" s="39">
        <f t="shared" ca="1" si="35"/>
        <v>1.3665630805157787</v>
      </c>
      <c r="G22" s="39">
        <f t="shared" ca="1" si="35"/>
        <v>4.5965519824951659</v>
      </c>
      <c r="H22" s="39">
        <f t="shared" ca="1" si="35"/>
        <v>15.46089633843016</v>
      </c>
      <c r="I22" s="39">
        <f t="shared" ca="1" si="35"/>
        <v>52.004049230380772</v>
      </c>
      <c r="J22" s="39">
        <f t="shared" ca="1" si="35"/>
        <v>174.92007430601973</v>
      </c>
      <c r="K22" s="39">
        <f t="shared" ca="1" si="35"/>
        <v>588.35865375938113</v>
      </c>
      <c r="L22" s="39">
        <f t="shared" ca="1" si="35"/>
        <v>1978.9947313190605</v>
      </c>
      <c r="M22" s="39">
        <f t="shared" ca="1" si="35"/>
        <v>6656.5183014887371</v>
      </c>
      <c r="N22" s="39">
        <f t="shared" ca="1" si="35"/>
        <v>22389.769511170489</v>
      </c>
      <c r="O22" s="39">
        <f t="shared" ca="1" si="35"/>
        <v>66653.52</v>
      </c>
      <c r="P22" s="39">
        <f t="shared" ca="1" si="35"/>
        <v>66653.52</v>
      </c>
      <c r="Q22" s="39">
        <f t="shared" ca="1" si="35"/>
        <v>66653.52</v>
      </c>
      <c r="R22" s="39">
        <f t="shared" ca="1" si="35"/>
        <v>66653.52</v>
      </c>
      <c r="S22" s="39" t="str">
        <f t="shared" si="35"/>
        <v/>
      </c>
      <c r="T22" s="39" t="str">
        <f t="shared" si="35"/>
        <v/>
      </c>
      <c r="U22" s="39" t="str">
        <f t="shared" si="35"/>
        <v/>
      </c>
      <c r="V22" s="39" t="str">
        <f t="shared" si="35"/>
        <v/>
      </c>
      <c r="W22" s="39" t="str">
        <f t="shared" si="35"/>
        <v/>
      </c>
      <c r="X22" s="39" t="str">
        <f t="shared" si="35"/>
        <v/>
      </c>
      <c r="Y22" s="39" t="str">
        <f t="shared" si="35"/>
        <v/>
      </c>
      <c r="Z22" s="39" t="str">
        <f t="shared" si="35"/>
        <v/>
      </c>
      <c r="AA22" s="39" t="str">
        <f t="shared" si="35"/>
        <v/>
      </c>
      <c r="AB22" s="39" t="str">
        <f t="shared" si="35"/>
        <v/>
      </c>
      <c r="AC22" s="39" t="str">
        <f t="shared" si="35"/>
        <v/>
      </c>
      <c r="AD22" s="39" t="str">
        <f t="shared" si="35"/>
        <v/>
      </c>
      <c r="AE22" s="39" t="str">
        <f t="shared" si="35"/>
        <v/>
      </c>
      <c r="AF22" s="39" t="str">
        <f t="shared" si="35"/>
        <v/>
      </c>
      <c r="AG22" s="39" t="str">
        <f t="shared" si="35"/>
        <v/>
      </c>
      <c r="AH22" s="39" t="str">
        <f t="shared" si="35"/>
        <v/>
      </c>
      <c r="AI22" s="39" t="str">
        <f t="shared" si="35"/>
        <v/>
      </c>
      <c r="AJ22" s="39" t="str">
        <f t="shared" ref="AJ22:BD22" si="36">IFERROR(IF(AJ19*Hygienists_per_bed&lt;$D$9,AJ19*Hygienists_per_bed,$D$9),"")</f>
        <v/>
      </c>
      <c r="AK22" s="39" t="str">
        <f t="shared" si="36"/>
        <v/>
      </c>
      <c r="AL22" s="39" t="str">
        <f t="shared" si="36"/>
        <v/>
      </c>
      <c r="AM22" s="39" t="str">
        <f t="shared" si="36"/>
        <v/>
      </c>
      <c r="AN22" s="39" t="str">
        <f t="shared" si="36"/>
        <v/>
      </c>
      <c r="AO22" s="39" t="str">
        <f t="shared" si="36"/>
        <v/>
      </c>
      <c r="AP22" s="39" t="str">
        <f t="shared" si="36"/>
        <v/>
      </c>
      <c r="AQ22" s="39" t="str">
        <f t="shared" si="36"/>
        <v/>
      </c>
      <c r="AR22" s="39" t="str">
        <f t="shared" si="36"/>
        <v/>
      </c>
      <c r="AS22" s="39" t="str">
        <f t="shared" si="36"/>
        <v/>
      </c>
      <c r="AT22" s="39" t="str">
        <f t="shared" si="36"/>
        <v/>
      </c>
      <c r="AU22" s="39" t="str">
        <f t="shared" si="36"/>
        <v/>
      </c>
      <c r="AV22" s="39" t="str">
        <f t="shared" si="36"/>
        <v/>
      </c>
      <c r="AW22" s="39" t="str">
        <f t="shared" si="36"/>
        <v/>
      </c>
      <c r="AX22" s="39" t="str">
        <f t="shared" si="36"/>
        <v/>
      </c>
      <c r="AY22" s="39" t="str">
        <f t="shared" si="36"/>
        <v/>
      </c>
      <c r="AZ22" s="39" t="str">
        <f t="shared" si="36"/>
        <v/>
      </c>
      <c r="BA22" s="39" t="str">
        <f t="shared" si="36"/>
        <v/>
      </c>
      <c r="BB22" s="39" t="str">
        <f t="shared" si="36"/>
        <v/>
      </c>
      <c r="BC22" s="39" t="str">
        <f t="shared" si="36"/>
        <v/>
      </c>
      <c r="BD22" s="39" t="str">
        <f t="shared" si="36"/>
        <v/>
      </c>
      <c r="BF22" s="39">
        <f ca="1">SUMIFS(D22:BD22,D14:BD14,"&gt;="&amp;Start_week_for_forecasting,D14:BD14,"&lt;="&amp;WeekSuppliedUntil)</f>
        <v>248.92630864360399</v>
      </c>
      <c r="BH22" s="39">
        <f ca="1">IF(Start_week_for_forecasting+'User Dashboard'!$I$19='Patient Calc Assumptions'!$C$50,MAX($D22:$BD22),INDEX($D22:$BD22,MATCH(WeekSuppliedUntil,D$14:BD$14,0)))</f>
        <v>174.92007430601973</v>
      </c>
    </row>
    <row r="23" spans="2:60" x14ac:dyDescent="0.25">
      <c r="B23" s="62" t="s">
        <v>313</v>
      </c>
      <c r="C23" s="62"/>
      <c r="D23" s="39">
        <f t="shared" ref="D23:AI23" ca="1" si="37">IFERROR(D19*Caretakers_per_bed,"")</f>
        <v>0.2</v>
      </c>
      <c r="E23" s="39">
        <f t="shared" ca="1" si="37"/>
        <v>0.52271713220297156</v>
      </c>
      <c r="F23" s="39">
        <f t="shared" ca="1" si="37"/>
        <v>1.7082038506447232</v>
      </c>
      <c r="G23" s="39">
        <f t="shared" ca="1" si="37"/>
        <v>5.745689978118957</v>
      </c>
      <c r="H23" s="39">
        <f t="shared" ca="1" si="37"/>
        <v>19.3261204230377</v>
      </c>
      <c r="I23" s="39">
        <f t="shared" ca="1" si="37"/>
        <v>65.005061537975962</v>
      </c>
      <c r="J23" s="39">
        <f t="shared" ca="1" si="37"/>
        <v>218.65009288252463</v>
      </c>
      <c r="K23" s="39">
        <f t="shared" ca="1" si="37"/>
        <v>735.44831719922638</v>
      </c>
      <c r="L23" s="39">
        <f t="shared" ca="1" si="37"/>
        <v>2473.7434141488257</v>
      </c>
      <c r="M23" s="39">
        <f t="shared" ca="1" si="37"/>
        <v>8320.6478768609213</v>
      </c>
      <c r="N23" s="39">
        <f t="shared" ca="1" si="37"/>
        <v>27987.211888963109</v>
      </c>
      <c r="O23" s="39">
        <f t="shared" ca="1" si="37"/>
        <v>94137.384601501093</v>
      </c>
      <c r="P23" s="39">
        <f t="shared" ca="1" si="37"/>
        <v>316639.15701104968</v>
      </c>
      <c r="Q23" s="39">
        <f t="shared" ca="1" si="37"/>
        <v>1065042.9282381989</v>
      </c>
      <c r="R23" s="39">
        <f t="shared" ca="1" si="37"/>
        <v>591089.84057470539</v>
      </c>
      <c r="S23" s="39" t="str">
        <f t="shared" si="37"/>
        <v/>
      </c>
      <c r="T23" s="39" t="str">
        <f t="shared" si="37"/>
        <v/>
      </c>
      <c r="U23" s="39" t="str">
        <f t="shared" si="37"/>
        <v/>
      </c>
      <c r="V23" s="39" t="str">
        <f t="shared" si="37"/>
        <v/>
      </c>
      <c r="W23" s="39" t="str">
        <f>IFERROR(W19*Caretakers_per_bed,"")</f>
        <v/>
      </c>
      <c r="X23" s="39" t="str">
        <f t="shared" si="37"/>
        <v/>
      </c>
      <c r="Y23" s="39" t="str">
        <f t="shared" si="37"/>
        <v/>
      </c>
      <c r="Z23" s="39" t="str">
        <f t="shared" si="37"/>
        <v/>
      </c>
      <c r="AA23" s="39" t="str">
        <f t="shared" si="37"/>
        <v/>
      </c>
      <c r="AB23" s="39" t="str">
        <f t="shared" si="37"/>
        <v/>
      </c>
      <c r="AC23" s="39" t="str">
        <f t="shared" si="37"/>
        <v/>
      </c>
      <c r="AD23" s="39" t="str">
        <f t="shared" si="37"/>
        <v/>
      </c>
      <c r="AE23" s="39" t="str">
        <f t="shared" si="37"/>
        <v/>
      </c>
      <c r="AF23" s="39" t="str">
        <f t="shared" si="37"/>
        <v/>
      </c>
      <c r="AG23" s="39" t="str">
        <f t="shared" si="37"/>
        <v/>
      </c>
      <c r="AH23" s="39" t="str">
        <f t="shared" si="37"/>
        <v/>
      </c>
      <c r="AI23" s="39" t="str">
        <f t="shared" si="37"/>
        <v/>
      </c>
      <c r="AJ23" s="39" t="str">
        <f t="shared" ref="AJ23:BD23" si="38">IFERROR(AJ19*Caretakers_per_bed,"")</f>
        <v/>
      </c>
      <c r="AK23" s="39" t="str">
        <f t="shared" si="38"/>
        <v/>
      </c>
      <c r="AL23" s="39" t="str">
        <f t="shared" si="38"/>
        <v/>
      </c>
      <c r="AM23" s="39" t="str">
        <f t="shared" si="38"/>
        <v/>
      </c>
      <c r="AN23" s="39" t="str">
        <f t="shared" si="38"/>
        <v/>
      </c>
      <c r="AO23" s="39" t="str">
        <f t="shared" si="38"/>
        <v/>
      </c>
      <c r="AP23" s="39" t="str">
        <f t="shared" si="38"/>
        <v/>
      </c>
      <c r="AQ23" s="39" t="str">
        <f t="shared" si="38"/>
        <v/>
      </c>
      <c r="AR23" s="39" t="str">
        <f t="shared" si="38"/>
        <v/>
      </c>
      <c r="AS23" s="39" t="str">
        <f t="shared" si="38"/>
        <v/>
      </c>
      <c r="AT23" s="39" t="str">
        <f t="shared" si="38"/>
        <v/>
      </c>
      <c r="AU23" s="39" t="str">
        <f t="shared" si="38"/>
        <v/>
      </c>
      <c r="AV23" s="39" t="str">
        <f t="shared" si="38"/>
        <v/>
      </c>
      <c r="AW23" s="39" t="str">
        <f t="shared" si="38"/>
        <v/>
      </c>
      <c r="AX23" s="39" t="str">
        <f t="shared" si="38"/>
        <v/>
      </c>
      <c r="AY23" s="39" t="str">
        <f t="shared" si="38"/>
        <v/>
      </c>
      <c r="AZ23" s="39" t="str">
        <f t="shared" si="38"/>
        <v/>
      </c>
      <c r="BA23" s="39" t="str">
        <f t="shared" si="38"/>
        <v/>
      </c>
      <c r="BB23" s="39" t="str">
        <f t="shared" si="38"/>
        <v/>
      </c>
      <c r="BC23" s="39" t="str">
        <f t="shared" si="38"/>
        <v/>
      </c>
      <c r="BD23" s="39" t="str">
        <f t="shared" si="38"/>
        <v/>
      </c>
      <c r="BF23" s="39">
        <f ca="1">SUMIFS(D23:BD23,D14:BD14,"&gt;="&amp;Start_week_for_forecasting,D14:BD14,"&lt;="&amp;WeekSuppliedUntil)</f>
        <v>311.15788580450493</v>
      </c>
      <c r="BH23" s="39">
        <f ca="1">IF(Start_week_for_forecasting+'User Dashboard'!$I$19='Patient Calc Assumptions'!$C$50,MAX($D23:$BD23),INDEX($D23:$BD23,MATCH(WeekSuppliedUntil,D$14:BD$14,0)))</f>
        <v>218.65009288252463</v>
      </c>
    </row>
    <row r="24" spans="2:60" x14ac:dyDescent="0.25">
      <c r="B24" s="62" t="s">
        <v>314</v>
      </c>
      <c r="C24" s="62"/>
      <c r="D24" s="39">
        <f t="shared" ref="D24:AI24" ca="1" si="39">IFERROR(D19*Ambulanciers_per_bed,"")</f>
        <v>4.0000000000000001E-3</v>
      </c>
      <c r="E24" s="39">
        <f t="shared" ca="1" si="39"/>
        <v>1.0454342644059431E-2</v>
      </c>
      <c r="F24" s="39">
        <f t="shared" ca="1" si="39"/>
        <v>3.4164077012894464E-2</v>
      </c>
      <c r="G24" s="39">
        <f t="shared" ca="1" si="39"/>
        <v>0.11491379956237914</v>
      </c>
      <c r="H24" s="39">
        <f t="shared" ca="1" si="39"/>
        <v>0.38652240846075403</v>
      </c>
      <c r="I24" s="39">
        <f t="shared" ca="1" si="39"/>
        <v>1.3001012307595192</v>
      </c>
      <c r="J24" s="39">
        <f t="shared" ca="1" si="39"/>
        <v>4.3730018576504923</v>
      </c>
      <c r="K24" s="39">
        <f t="shared" ca="1" si="39"/>
        <v>14.708966343984528</v>
      </c>
      <c r="L24" s="39">
        <f t="shared" ca="1" si="39"/>
        <v>49.474868282976516</v>
      </c>
      <c r="M24" s="39">
        <f t="shared" ca="1" si="39"/>
        <v>166.41295753721843</v>
      </c>
      <c r="N24" s="39">
        <f t="shared" ca="1" si="39"/>
        <v>559.74423777926222</v>
      </c>
      <c r="O24" s="39">
        <f t="shared" ca="1" si="39"/>
        <v>1882.7476920300219</v>
      </c>
      <c r="P24" s="39">
        <f t="shared" ca="1" si="39"/>
        <v>6332.783140220994</v>
      </c>
      <c r="Q24" s="39">
        <f t="shared" ca="1" si="39"/>
        <v>21300.858564763977</v>
      </c>
      <c r="R24" s="39">
        <f t="shared" ca="1" si="39"/>
        <v>11821.796811494109</v>
      </c>
      <c r="S24" s="39" t="str">
        <f t="shared" si="39"/>
        <v/>
      </c>
      <c r="T24" s="39" t="str">
        <f t="shared" si="39"/>
        <v/>
      </c>
      <c r="U24" s="39" t="str">
        <f t="shared" si="39"/>
        <v/>
      </c>
      <c r="V24" s="39" t="str">
        <f t="shared" si="39"/>
        <v/>
      </c>
      <c r="W24" s="39" t="str">
        <f t="shared" si="39"/>
        <v/>
      </c>
      <c r="X24" s="39" t="str">
        <f t="shared" si="39"/>
        <v/>
      </c>
      <c r="Y24" s="39" t="str">
        <f t="shared" si="39"/>
        <v/>
      </c>
      <c r="Z24" s="39" t="str">
        <f t="shared" si="39"/>
        <v/>
      </c>
      <c r="AA24" s="39" t="str">
        <f t="shared" si="39"/>
        <v/>
      </c>
      <c r="AB24" s="39" t="str">
        <f t="shared" si="39"/>
        <v/>
      </c>
      <c r="AC24" s="39" t="str">
        <f t="shared" si="39"/>
        <v/>
      </c>
      <c r="AD24" s="39" t="str">
        <f t="shared" si="39"/>
        <v/>
      </c>
      <c r="AE24" s="39" t="str">
        <f t="shared" si="39"/>
        <v/>
      </c>
      <c r="AF24" s="39" t="str">
        <f t="shared" si="39"/>
        <v/>
      </c>
      <c r="AG24" s="39" t="str">
        <f t="shared" si="39"/>
        <v/>
      </c>
      <c r="AH24" s="39" t="str">
        <f t="shared" si="39"/>
        <v/>
      </c>
      <c r="AI24" s="39" t="str">
        <f t="shared" si="39"/>
        <v/>
      </c>
      <c r="AJ24" s="39" t="str">
        <f t="shared" ref="AJ24:BD24" si="40">IFERROR(AJ19*Ambulanciers_per_bed,"")</f>
        <v/>
      </c>
      <c r="AK24" s="39" t="str">
        <f t="shared" si="40"/>
        <v/>
      </c>
      <c r="AL24" s="39" t="str">
        <f t="shared" si="40"/>
        <v/>
      </c>
      <c r="AM24" s="39" t="str">
        <f t="shared" si="40"/>
        <v/>
      </c>
      <c r="AN24" s="39" t="str">
        <f t="shared" si="40"/>
        <v/>
      </c>
      <c r="AO24" s="39" t="str">
        <f t="shared" si="40"/>
        <v/>
      </c>
      <c r="AP24" s="39" t="str">
        <f t="shared" si="40"/>
        <v/>
      </c>
      <c r="AQ24" s="39" t="str">
        <f t="shared" si="40"/>
        <v/>
      </c>
      <c r="AR24" s="39" t="str">
        <f t="shared" si="40"/>
        <v/>
      </c>
      <c r="AS24" s="39" t="str">
        <f t="shared" si="40"/>
        <v/>
      </c>
      <c r="AT24" s="39" t="str">
        <f t="shared" si="40"/>
        <v/>
      </c>
      <c r="AU24" s="39" t="str">
        <f t="shared" si="40"/>
        <v/>
      </c>
      <c r="AV24" s="39" t="str">
        <f t="shared" si="40"/>
        <v/>
      </c>
      <c r="AW24" s="39" t="str">
        <f t="shared" si="40"/>
        <v/>
      </c>
      <c r="AX24" s="39" t="str">
        <f t="shared" si="40"/>
        <v/>
      </c>
      <c r="AY24" s="39" t="str">
        <f t="shared" si="40"/>
        <v/>
      </c>
      <c r="AZ24" s="39" t="str">
        <f t="shared" si="40"/>
        <v/>
      </c>
      <c r="BA24" s="39" t="str">
        <f t="shared" si="40"/>
        <v/>
      </c>
      <c r="BB24" s="39" t="str">
        <f t="shared" si="40"/>
        <v/>
      </c>
      <c r="BC24" s="39" t="str">
        <f t="shared" si="40"/>
        <v/>
      </c>
      <c r="BD24" s="39" t="str">
        <f t="shared" si="40"/>
        <v/>
      </c>
      <c r="BF24" s="39">
        <f ca="1">SUMIFS(D24:BD24,D14:BD14,"&gt;="&amp;Start_week_for_forecasting,D14:BD14,"&lt;="&amp;WeekSuppliedUntil)</f>
        <v>6.2231577160900988</v>
      </c>
      <c r="BH24" s="39">
        <f ca="1">IF(Start_week_for_forecasting+'User Dashboard'!$I$19='Patient Calc Assumptions'!$C$50,MAX($D24:$BD24),INDEX($D24:$BD24,MATCH(WeekSuppliedUntil,D$14:BD$14,0)))</f>
        <v>4.3730018576504923</v>
      </c>
    </row>
    <row r="25" spans="2:60" s="8" customFormat="1" x14ac:dyDescent="0.25">
      <c r="B25" s="371" t="s">
        <v>1248</v>
      </c>
      <c r="C25" s="62"/>
      <c r="D25" s="86">
        <f t="shared" ref="D25:AI25" ca="1" si="41">IFERROR(D19*HCWs_per_bed,"")</f>
        <v>0.32000000000000006</v>
      </c>
      <c r="E25" s="86">
        <f t="shared" ca="1" si="41"/>
        <v>0.83634741152475456</v>
      </c>
      <c r="F25" s="86">
        <f t="shared" ca="1" si="41"/>
        <v>2.7331261610315574</v>
      </c>
      <c r="G25" s="86">
        <f t="shared" ca="1" si="41"/>
        <v>9.1931039649903319</v>
      </c>
      <c r="H25" s="86">
        <f t="shared" ca="1" si="41"/>
        <v>30.921792676860321</v>
      </c>
      <c r="I25" s="86">
        <f t="shared" ca="1" si="41"/>
        <v>104.00809846076154</v>
      </c>
      <c r="J25" s="86">
        <f t="shared" ca="1" si="41"/>
        <v>349.84014861203946</v>
      </c>
      <c r="K25" s="86">
        <f t="shared" ca="1" si="41"/>
        <v>1176.7173075187623</v>
      </c>
      <c r="L25" s="86">
        <f t="shared" ca="1" si="41"/>
        <v>3957.989462638121</v>
      </c>
      <c r="M25" s="86">
        <f t="shared" ca="1" si="41"/>
        <v>13313.036602977474</v>
      </c>
      <c r="N25" s="86">
        <f t="shared" ca="1" si="41"/>
        <v>44779.539022340978</v>
      </c>
      <c r="O25" s="86">
        <f t="shared" ca="1" si="41"/>
        <v>150619.81536240174</v>
      </c>
      <c r="P25" s="86">
        <f t="shared" ca="1" si="41"/>
        <v>506622.65121767949</v>
      </c>
      <c r="Q25" s="86">
        <f t="shared" ca="1" si="41"/>
        <v>1704068.6851811183</v>
      </c>
      <c r="R25" s="86">
        <f t="shared" ca="1" si="41"/>
        <v>945743.74491952872</v>
      </c>
      <c r="S25" s="86" t="str">
        <f t="shared" si="41"/>
        <v/>
      </c>
      <c r="T25" s="86" t="str">
        <f t="shared" si="41"/>
        <v/>
      </c>
      <c r="U25" s="86" t="str">
        <f t="shared" si="41"/>
        <v/>
      </c>
      <c r="V25" s="86" t="str">
        <f t="shared" si="41"/>
        <v/>
      </c>
      <c r="W25" s="86" t="str">
        <f t="shared" si="41"/>
        <v/>
      </c>
      <c r="X25" s="86" t="str">
        <f t="shared" si="41"/>
        <v/>
      </c>
      <c r="Y25" s="86" t="str">
        <f t="shared" si="41"/>
        <v/>
      </c>
      <c r="Z25" s="86" t="str">
        <f t="shared" si="41"/>
        <v/>
      </c>
      <c r="AA25" s="86" t="str">
        <f t="shared" si="41"/>
        <v/>
      </c>
      <c r="AB25" s="86" t="str">
        <f t="shared" si="41"/>
        <v/>
      </c>
      <c r="AC25" s="86" t="str">
        <f t="shared" si="41"/>
        <v/>
      </c>
      <c r="AD25" s="86" t="str">
        <f t="shared" si="41"/>
        <v/>
      </c>
      <c r="AE25" s="86" t="str">
        <f t="shared" si="41"/>
        <v/>
      </c>
      <c r="AF25" s="86" t="str">
        <f t="shared" si="41"/>
        <v/>
      </c>
      <c r="AG25" s="86" t="str">
        <f t="shared" si="41"/>
        <v/>
      </c>
      <c r="AH25" s="86" t="str">
        <f t="shared" si="41"/>
        <v/>
      </c>
      <c r="AI25" s="86" t="str">
        <f t="shared" si="41"/>
        <v/>
      </c>
      <c r="AJ25" s="86" t="str">
        <f t="shared" ref="AJ25:BD25" si="42">IFERROR(AJ19*HCWs_per_bed,"")</f>
        <v/>
      </c>
      <c r="AK25" s="86" t="str">
        <f t="shared" si="42"/>
        <v/>
      </c>
      <c r="AL25" s="86" t="str">
        <f t="shared" si="42"/>
        <v/>
      </c>
      <c r="AM25" s="86" t="str">
        <f t="shared" si="42"/>
        <v/>
      </c>
      <c r="AN25" s="86" t="str">
        <f t="shared" si="42"/>
        <v/>
      </c>
      <c r="AO25" s="86" t="str">
        <f t="shared" si="42"/>
        <v/>
      </c>
      <c r="AP25" s="86" t="str">
        <f t="shared" si="42"/>
        <v/>
      </c>
      <c r="AQ25" s="86" t="str">
        <f t="shared" si="42"/>
        <v/>
      </c>
      <c r="AR25" s="86" t="str">
        <f t="shared" si="42"/>
        <v/>
      </c>
      <c r="AS25" s="86" t="str">
        <f t="shared" si="42"/>
        <v/>
      </c>
      <c r="AT25" s="86" t="str">
        <f t="shared" si="42"/>
        <v/>
      </c>
      <c r="AU25" s="86" t="str">
        <f t="shared" si="42"/>
        <v/>
      </c>
      <c r="AV25" s="86" t="str">
        <f t="shared" si="42"/>
        <v/>
      </c>
      <c r="AW25" s="86" t="str">
        <f t="shared" si="42"/>
        <v/>
      </c>
      <c r="AX25" s="86" t="str">
        <f t="shared" si="42"/>
        <v/>
      </c>
      <c r="AY25" s="86" t="str">
        <f t="shared" si="42"/>
        <v/>
      </c>
      <c r="AZ25" s="86" t="str">
        <f t="shared" si="42"/>
        <v/>
      </c>
      <c r="BA25" s="86" t="str">
        <f t="shared" si="42"/>
        <v/>
      </c>
      <c r="BB25" s="86" t="str">
        <f t="shared" si="42"/>
        <v/>
      </c>
      <c r="BC25" s="86" t="str">
        <f t="shared" si="42"/>
        <v/>
      </c>
      <c r="BD25" s="86" t="str">
        <f t="shared" si="42"/>
        <v/>
      </c>
      <c r="BF25" s="39">
        <f ca="1">SUMIFS(D25:BD25,D14:BD14,"&gt;="&amp;Start_week_for_forecasting,D14:BD14,"&lt;="&amp;WeekSuppliedUntil)</f>
        <v>497.85261728720798</v>
      </c>
      <c r="BH25" s="39">
        <f ca="1">IF(Start_week_for_forecasting+'User Dashboard'!$I$19='Patient Calc Assumptions'!$C$50,MAX($D25:$BD25),INDEX($D25:$BD25,MATCH(WeekSuppliedUntil,D$14:BD$14,0)))</f>
        <v>349.84014861203946</v>
      </c>
    </row>
    <row r="26" spans="2:60" s="65" customFormat="1" x14ac:dyDescent="0.25">
      <c r="B26" s="66" t="s">
        <v>282</v>
      </c>
      <c r="C26" s="66"/>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F26" s="68"/>
      <c r="BH26" s="67"/>
    </row>
    <row r="27" spans="2:60" s="8" customFormat="1" x14ac:dyDescent="0.25">
      <c r="B27" s="81" t="s">
        <v>793</v>
      </c>
      <c r="C27" s="3" t="s">
        <v>794</v>
      </c>
      <c r="D27" s="85">
        <f>IFERROR(INDEX('Patient &amp; Case Type Summary'!$D$63:$BD$63,MATCH(D$14,'Patient &amp; Case Type Summary'!$D$21:$BD$21,0)),"")</f>
        <v>1.0133333333333332</v>
      </c>
      <c r="E27" s="85">
        <f>IFERROR(INDEX('Patient &amp; Case Type Summary'!$D$63:$BD$63,MATCH(E$14,'Patient &amp; Case Type Summary'!$D$21:$BD$21,0)),"")</f>
        <v>2.3951001364950559</v>
      </c>
      <c r="F27" s="85">
        <f>IFERROR(INDEX('Patient &amp; Case Type Summary'!$D$63:$BD$63,MATCH(F$14,'Patient &amp; Case Type Summary'!$D$21:$BD$21,0)),"")</f>
        <v>8.0561244758095008</v>
      </c>
      <c r="G27" s="85">
        <f>IFERROR(INDEX('Patient &amp; Case Type Summary'!$D$63:$BD$63,MATCH(G$14,'Patient &amp; Case Type Summary'!$D$21:$BD$21,0)),"")</f>
        <v>27.097464770183677</v>
      </c>
      <c r="H27" s="85">
        <f>IFERROR(INDEX('Patient &amp; Case Type Summary'!$D$63:$BD$63,MATCH(H$14,'Patient &amp; Case Type Summary'!$D$21:$BD$21,0)),"")</f>
        <v>91.144643950845108</v>
      </c>
      <c r="I27" s="85">
        <f>IFERROR(INDEX('Patient &amp; Case Type Summary'!$D$63:$BD$63,MATCH(I$14,'Patient &amp; Case Type Summary'!$D$21:$BD$21,0)),"")</f>
        <v>306.57281747136693</v>
      </c>
      <c r="J27" s="85">
        <f>IFERROR(INDEX('Patient &amp; Case Type Summary'!$D$63:$BD$63,MATCH(J$14,'Patient &amp; Case Type Summary'!$D$21:$BD$21,0)),"")</f>
        <v>103.11839329036165</v>
      </c>
      <c r="K27" s="85">
        <f>IFERROR(INDEX('Patient &amp; Case Type Summary'!$D$63:$BD$63,MATCH(K$14,'Patient &amp; Case Type Summary'!$D$21:$BD$21,0)),"")</f>
        <v>346.84754905835098</v>
      </c>
      <c r="L27" s="85">
        <f>IFERROR(INDEX('Patient &amp; Case Type Summary'!$D$63:$BD$63,MATCH(L$14,'Patient &amp; Case Type Summary'!$D$21:$BD$21,0)),"")</f>
        <v>1166.6514425708172</v>
      </c>
      <c r="M27" s="85">
        <f>IFERROR(INDEX('Patient &amp; Case Type Summary'!$D$63:$BD$63,MATCH(M$14,'Patient &amp; Case Type Summary'!$D$21:$BD$21,0)),"")</f>
        <v>3924.1320636334954</v>
      </c>
      <c r="N27" s="85">
        <f>IFERROR(INDEX('Patient &amp; Case Type Summary'!$D$63:$BD$63,MATCH(N$14,'Patient &amp; Case Type Summary'!$D$21:$BD$21,0)),"")</f>
        <v>13199.154341166268</v>
      </c>
      <c r="O27" s="85">
        <f>IFERROR(INDEX('Patient &amp; Case Type Summary'!$D$63:$BD$63,MATCH(O$14,'Patient &amp; Case Type Summary'!$D$21:$BD$21,0)),"")</f>
        <v>44396.486279468983</v>
      </c>
      <c r="P27" s="85">
        <f>IFERROR(INDEX('Patient &amp; Case Type Summary'!$D$63:$BD$63,MATCH(P$14,'Patient &amp; Case Type Summary'!$D$21:$BD$21,0)),"")</f>
        <v>149331.3846490646</v>
      </c>
      <c r="Q27" s="85">
        <f>IFERROR(INDEX('Patient &amp; Case Type Summary'!$D$63:$BD$63,MATCH(Q$14,'Patient &amp; Case Type Summary'!$D$21:$BD$21,0)),"")</f>
        <v>502288.90414508793</v>
      </c>
      <c r="R27" s="85">
        <f>IFERROR(INDEX('Patient &amp; Case Type Summary'!$D$63:$BD$63,MATCH(R$14,'Patient &amp; Case Type Summary'!$D$21:$BD$21,0)),"")</f>
        <v>173913.29318824547</v>
      </c>
      <c r="S27" s="85" t="str">
        <f>IFERROR(INDEX('Patient &amp; Case Type Summary'!$D$63:$BD$63,MATCH(S$14,'Patient &amp; Case Type Summary'!$D$21:$BD$21,0)),"")</f>
        <v/>
      </c>
      <c r="T27" s="85" t="str">
        <f>IFERROR(INDEX('Patient &amp; Case Type Summary'!$D$63:$BD$63,MATCH(T$14,'Patient &amp; Case Type Summary'!$D$21:$BD$21,0)),"")</f>
        <v/>
      </c>
      <c r="U27" s="85" t="str">
        <f>IFERROR(INDEX('Patient &amp; Case Type Summary'!$D$63:$BD$63,MATCH(U$14,'Patient &amp; Case Type Summary'!$D$21:$BD$21,0)),"")</f>
        <v/>
      </c>
      <c r="V27" s="85" t="str">
        <f>IFERROR(INDEX('Patient &amp; Case Type Summary'!$D$63:$BD$63,MATCH(V$14,'Patient &amp; Case Type Summary'!$D$21:$BD$21,0)),"")</f>
        <v/>
      </c>
      <c r="W27" s="85" t="str">
        <f>IFERROR(INDEX('Patient &amp; Case Type Summary'!$D$63:$BD$63,MATCH(W$14,'Patient &amp; Case Type Summary'!$D$21:$BD$21,0)),"")</f>
        <v/>
      </c>
      <c r="X27" s="85" t="str">
        <f>IFERROR(INDEX('Patient &amp; Case Type Summary'!$D$63:$BD$63,MATCH(X$14,'Patient &amp; Case Type Summary'!$D$21:$BD$21,0)),"")</f>
        <v/>
      </c>
      <c r="Y27" s="85" t="str">
        <f>IFERROR(INDEX('Patient &amp; Case Type Summary'!$D$63:$BD$63,MATCH(Y$14,'Patient &amp; Case Type Summary'!$D$21:$BD$21,0)),"")</f>
        <v/>
      </c>
      <c r="Z27" s="85" t="str">
        <f>IFERROR(INDEX('Patient &amp; Case Type Summary'!$D$63:$BD$63,MATCH(Z$14,'Patient &amp; Case Type Summary'!$D$21:$BD$21,0)),"")</f>
        <v/>
      </c>
      <c r="AA27" s="85" t="str">
        <f>IFERROR(INDEX('Patient &amp; Case Type Summary'!$D$63:$BD$63,MATCH(AA$14,'Patient &amp; Case Type Summary'!$D$21:$BD$21,0)),"")</f>
        <v/>
      </c>
      <c r="AB27" s="85" t="str">
        <f>IFERROR(INDEX('Patient &amp; Case Type Summary'!$D$63:$BD$63,MATCH(AB$14,'Patient &amp; Case Type Summary'!$D$21:$BD$21,0)),"")</f>
        <v/>
      </c>
      <c r="AC27" s="85" t="str">
        <f>IFERROR(INDEX('Patient &amp; Case Type Summary'!$D$63:$BD$63,MATCH(AC$14,'Patient &amp; Case Type Summary'!$D$21:$BD$21,0)),"")</f>
        <v/>
      </c>
      <c r="AD27" s="85" t="str">
        <f>IFERROR(INDEX('Patient &amp; Case Type Summary'!$D$63:$BD$63,MATCH(AD$14,'Patient &amp; Case Type Summary'!$D$21:$BD$21,0)),"")</f>
        <v/>
      </c>
      <c r="AE27" s="85" t="str">
        <f>IFERROR(INDEX('Patient &amp; Case Type Summary'!$D$63:$BD$63,MATCH(AE$14,'Patient &amp; Case Type Summary'!$D$21:$BD$21,0)),"")</f>
        <v/>
      </c>
      <c r="AF27" s="85" t="str">
        <f>IFERROR(INDEX('Patient &amp; Case Type Summary'!$D$63:$BD$63,MATCH(AF$14,'Patient &amp; Case Type Summary'!$D$21:$BD$21,0)),"")</f>
        <v/>
      </c>
      <c r="AG27" s="85" t="str">
        <f>IFERROR(INDEX('Patient &amp; Case Type Summary'!$D$63:$BD$63,MATCH(AG$14,'Patient &amp; Case Type Summary'!$D$21:$BD$21,0)),"")</f>
        <v/>
      </c>
      <c r="AH27" s="85" t="str">
        <f>IFERROR(INDEX('Patient &amp; Case Type Summary'!$D$63:$BD$63,MATCH(AH$14,'Patient &amp; Case Type Summary'!$D$21:$BD$21,0)),"")</f>
        <v/>
      </c>
      <c r="AI27" s="85" t="str">
        <f>IFERROR(INDEX('Patient &amp; Case Type Summary'!$D$63:$BD$63,MATCH(AI$14,'Patient &amp; Case Type Summary'!$D$21:$BD$21,0)),"")</f>
        <v/>
      </c>
      <c r="AJ27" s="85" t="str">
        <f>IFERROR(INDEX('Patient &amp; Case Type Summary'!$D$63:$BD$63,MATCH(AJ$14,'Patient &amp; Case Type Summary'!$D$21:$BD$21,0)),"")</f>
        <v/>
      </c>
      <c r="AK27" s="85" t="str">
        <f>IFERROR(INDEX('Patient &amp; Case Type Summary'!$D$63:$BD$63,MATCH(AK$14,'Patient &amp; Case Type Summary'!$D$21:$BD$21,0)),"")</f>
        <v/>
      </c>
      <c r="AL27" s="85" t="str">
        <f>IFERROR(INDEX('Patient &amp; Case Type Summary'!$D$63:$BD$63,MATCH(AL$14,'Patient &amp; Case Type Summary'!$D$21:$BD$21,0)),"")</f>
        <v/>
      </c>
      <c r="AM27" s="85" t="str">
        <f>IFERROR(INDEX('Patient &amp; Case Type Summary'!$D$63:$BD$63,MATCH(AM$14,'Patient &amp; Case Type Summary'!$D$21:$BD$21,0)),"")</f>
        <v/>
      </c>
      <c r="AN27" s="85" t="str">
        <f>IFERROR(INDEX('Patient &amp; Case Type Summary'!$D$63:$BD$63,MATCH(AN$14,'Patient &amp; Case Type Summary'!$D$21:$BD$21,0)),"")</f>
        <v/>
      </c>
      <c r="AO27" s="85" t="str">
        <f>IFERROR(INDEX('Patient &amp; Case Type Summary'!$D$63:$BD$63,MATCH(AO$14,'Patient &amp; Case Type Summary'!$D$21:$BD$21,0)),"")</f>
        <v/>
      </c>
      <c r="AP27" s="85" t="str">
        <f>IFERROR(INDEX('Patient &amp; Case Type Summary'!$D$63:$BD$63,MATCH(AP$14,'Patient &amp; Case Type Summary'!$D$21:$BD$21,0)),"")</f>
        <v/>
      </c>
      <c r="AQ27" s="85" t="str">
        <f>IFERROR(INDEX('Patient &amp; Case Type Summary'!$D$63:$BD$63,MATCH(AQ$14,'Patient &amp; Case Type Summary'!$D$21:$BD$21,0)),"")</f>
        <v/>
      </c>
      <c r="AR27" s="85" t="str">
        <f>IFERROR(INDEX('Patient &amp; Case Type Summary'!$D$63:$BD$63,MATCH(AR$14,'Patient &amp; Case Type Summary'!$D$21:$BD$21,0)),"")</f>
        <v/>
      </c>
      <c r="AS27" s="85" t="str">
        <f>IFERROR(INDEX('Patient &amp; Case Type Summary'!$D$63:$BD$63,MATCH(AS$14,'Patient &amp; Case Type Summary'!$D$21:$BD$21,0)),"")</f>
        <v/>
      </c>
      <c r="AT27" s="85" t="str">
        <f>IFERROR(INDEX('Patient &amp; Case Type Summary'!$D$63:$BD$63,MATCH(AT$14,'Patient &amp; Case Type Summary'!$D$21:$BD$21,0)),"")</f>
        <v/>
      </c>
      <c r="AU27" s="85" t="str">
        <f>IFERROR(INDEX('Patient &amp; Case Type Summary'!$D$63:$BD$63,MATCH(AU$14,'Patient &amp; Case Type Summary'!$D$21:$BD$21,0)),"")</f>
        <v/>
      </c>
      <c r="AV27" s="85" t="str">
        <f>IFERROR(INDEX('Patient &amp; Case Type Summary'!$D$63:$BD$63,MATCH(AV$14,'Patient &amp; Case Type Summary'!$D$21:$BD$21,0)),"")</f>
        <v/>
      </c>
      <c r="AW27" s="85" t="str">
        <f>IFERROR(INDEX('Patient &amp; Case Type Summary'!$D$63:$BD$63,MATCH(AW$14,'Patient &amp; Case Type Summary'!$D$21:$BD$21,0)),"")</f>
        <v/>
      </c>
      <c r="AX27" s="85" t="str">
        <f>IFERROR(INDEX('Patient &amp; Case Type Summary'!$D$63:$BD$63,MATCH(AX$14,'Patient &amp; Case Type Summary'!$D$21:$BD$21,0)),"")</f>
        <v/>
      </c>
      <c r="AY27" s="85" t="str">
        <f>IFERROR(INDEX('Patient &amp; Case Type Summary'!$D$63:$BD$63,MATCH(AY$14,'Patient &amp; Case Type Summary'!$D$21:$BD$21,0)),"")</f>
        <v/>
      </c>
      <c r="AZ27" s="85" t="str">
        <f>IFERROR(INDEX('Patient &amp; Case Type Summary'!$D$63:$BD$63,MATCH(AZ$14,'Patient &amp; Case Type Summary'!$D$21:$BD$21,0)),"")</f>
        <v/>
      </c>
      <c r="BA27" s="85" t="str">
        <f>IFERROR(INDEX('Patient &amp; Case Type Summary'!$D$63:$BD$63,MATCH(BA$14,'Patient &amp; Case Type Summary'!$D$21:$BD$21,0)),"")</f>
        <v/>
      </c>
      <c r="BB27" s="85" t="str">
        <f>IFERROR(INDEX('Patient &amp; Case Type Summary'!$D$63:$BD$63,MATCH(BB$14,'Patient &amp; Case Type Summary'!$D$21:$BD$21,0)),"")</f>
        <v/>
      </c>
      <c r="BC27" s="85" t="str">
        <f>IFERROR(INDEX('Patient &amp; Case Type Summary'!$D$63:$BD$63,MATCH(BC$14,'Patient &amp; Case Type Summary'!$D$21:$BD$21,0)),"")</f>
        <v/>
      </c>
      <c r="BD27" s="85" t="str">
        <f>IFERROR(INDEX('Patient &amp; Case Type Summary'!$D$63:$BD$63,MATCH(BD$14,'Patient &amp; Case Type Summary'!$D$21:$BD$21,0)),"")</f>
        <v/>
      </c>
      <c r="BF27" s="82"/>
      <c r="BH27" s="80"/>
    </row>
    <row r="28" spans="2:60" ht="30" x14ac:dyDescent="0.25">
      <c r="B28" s="62" t="s">
        <v>313</v>
      </c>
      <c r="C28" s="143" t="s">
        <v>795</v>
      </c>
      <c r="D28" s="39">
        <f t="shared" ref="D28:AI28" si="43">IFERROR(D27*Caretaker_to_outpatient,"")</f>
        <v>1.0133333333333332</v>
      </c>
      <c r="E28" s="39">
        <f t="shared" si="43"/>
        <v>2.3951001364950559</v>
      </c>
      <c r="F28" s="39">
        <f t="shared" si="43"/>
        <v>8.0561244758095008</v>
      </c>
      <c r="G28" s="39">
        <f t="shared" si="43"/>
        <v>27.097464770183677</v>
      </c>
      <c r="H28" s="39">
        <f t="shared" si="43"/>
        <v>91.144643950845108</v>
      </c>
      <c r="I28" s="39">
        <f t="shared" si="43"/>
        <v>306.57281747136693</v>
      </c>
      <c r="J28" s="39">
        <f t="shared" si="43"/>
        <v>103.11839329036165</v>
      </c>
      <c r="K28" s="39">
        <f t="shared" si="43"/>
        <v>346.84754905835098</v>
      </c>
      <c r="L28" s="39">
        <f t="shared" si="43"/>
        <v>1166.6514425708172</v>
      </c>
      <c r="M28" s="39">
        <f t="shared" si="43"/>
        <v>3924.1320636334954</v>
      </c>
      <c r="N28" s="39">
        <f t="shared" si="43"/>
        <v>13199.154341166268</v>
      </c>
      <c r="O28" s="39">
        <f t="shared" si="43"/>
        <v>44396.486279468983</v>
      </c>
      <c r="P28" s="39">
        <f t="shared" si="43"/>
        <v>149331.3846490646</v>
      </c>
      <c r="Q28" s="39">
        <f t="shared" si="43"/>
        <v>502288.90414508793</v>
      </c>
      <c r="R28" s="39">
        <f t="shared" si="43"/>
        <v>173913.29318824547</v>
      </c>
      <c r="S28" s="39" t="str">
        <f t="shared" si="43"/>
        <v/>
      </c>
      <c r="T28" s="39" t="str">
        <f t="shared" si="43"/>
        <v/>
      </c>
      <c r="U28" s="39" t="str">
        <f t="shared" si="43"/>
        <v/>
      </c>
      <c r="V28" s="39" t="str">
        <f t="shared" si="43"/>
        <v/>
      </c>
      <c r="W28" s="39" t="str">
        <f t="shared" si="43"/>
        <v/>
      </c>
      <c r="X28" s="39" t="str">
        <f t="shared" si="43"/>
        <v/>
      </c>
      <c r="Y28" s="39" t="str">
        <f t="shared" si="43"/>
        <v/>
      </c>
      <c r="Z28" s="39" t="str">
        <f t="shared" si="43"/>
        <v/>
      </c>
      <c r="AA28" s="39" t="str">
        <f t="shared" si="43"/>
        <v/>
      </c>
      <c r="AB28" s="39" t="str">
        <f t="shared" si="43"/>
        <v/>
      </c>
      <c r="AC28" s="39" t="str">
        <f t="shared" si="43"/>
        <v/>
      </c>
      <c r="AD28" s="39" t="str">
        <f t="shared" si="43"/>
        <v/>
      </c>
      <c r="AE28" s="39" t="str">
        <f t="shared" si="43"/>
        <v/>
      </c>
      <c r="AF28" s="39" t="str">
        <f t="shared" si="43"/>
        <v/>
      </c>
      <c r="AG28" s="39" t="str">
        <f t="shared" si="43"/>
        <v/>
      </c>
      <c r="AH28" s="39" t="str">
        <f t="shared" si="43"/>
        <v/>
      </c>
      <c r="AI28" s="39" t="str">
        <f t="shared" si="43"/>
        <v/>
      </c>
      <c r="AJ28" s="39" t="str">
        <f t="shared" ref="AJ28:BD28" si="44">IFERROR(AJ27*Caretaker_to_outpatient,"")</f>
        <v/>
      </c>
      <c r="AK28" s="39" t="str">
        <f t="shared" si="44"/>
        <v/>
      </c>
      <c r="AL28" s="39" t="str">
        <f t="shared" si="44"/>
        <v/>
      </c>
      <c r="AM28" s="39" t="str">
        <f t="shared" si="44"/>
        <v/>
      </c>
      <c r="AN28" s="39" t="str">
        <f t="shared" si="44"/>
        <v/>
      </c>
      <c r="AO28" s="39" t="str">
        <f t="shared" si="44"/>
        <v/>
      </c>
      <c r="AP28" s="39" t="str">
        <f t="shared" si="44"/>
        <v/>
      </c>
      <c r="AQ28" s="39" t="str">
        <f t="shared" si="44"/>
        <v/>
      </c>
      <c r="AR28" s="39" t="str">
        <f t="shared" si="44"/>
        <v/>
      </c>
      <c r="AS28" s="39" t="str">
        <f t="shared" si="44"/>
        <v/>
      </c>
      <c r="AT28" s="39" t="str">
        <f t="shared" si="44"/>
        <v/>
      </c>
      <c r="AU28" s="39" t="str">
        <f t="shared" si="44"/>
        <v/>
      </c>
      <c r="AV28" s="39" t="str">
        <f t="shared" si="44"/>
        <v/>
      </c>
      <c r="AW28" s="39" t="str">
        <f t="shared" si="44"/>
        <v/>
      </c>
      <c r="AX28" s="39" t="str">
        <f t="shared" si="44"/>
        <v/>
      </c>
      <c r="AY28" s="39" t="str">
        <f t="shared" si="44"/>
        <v/>
      </c>
      <c r="AZ28" s="39" t="str">
        <f t="shared" si="44"/>
        <v/>
      </c>
      <c r="BA28" s="39" t="str">
        <f t="shared" si="44"/>
        <v/>
      </c>
      <c r="BB28" s="39" t="str">
        <f t="shared" si="44"/>
        <v/>
      </c>
      <c r="BC28" s="39" t="str">
        <f t="shared" si="44"/>
        <v/>
      </c>
      <c r="BD28" s="39" t="str">
        <f t="shared" si="44"/>
        <v/>
      </c>
      <c r="BF28" s="39">
        <f>SUMIFS(D28:BD28,D$14:BD$14,"&gt;="&amp;Start_week_for_forecasting,D$14:BD$14,"&lt;="&amp;WeekSuppliedUntil)</f>
        <v>539.39787742839519</v>
      </c>
      <c r="BG28" s="138"/>
      <c r="BH28" s="39">
        <f>IF(Start_week_for_forecasting+'User Dashboard'!$I$19='Patient Calc Assumptions'!$C$50,MAX($D28:$BD28),INDEX($D28:$BD28,MATCH(WeekSuppliedUntil,D$14:BD$14,0)))</f>
        <v>103.11839329036165</v>
      </c>
    </row>
    <row r="29" spans="2:60" s="8" customFormat="1" x14ac:dyDescent="0.25">
      <c r="B29" s="62"/>
      <c r="C29" s="62"/>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F29" s="80"/>
      <c r="BH29" s="80"/>
    </row>
    <row r="30" spans="2:60" s="65" customFormat="1" x14ac:dyDescent="0.25">
      <c r="B30" s="66" t="s">
        <v>312</v>
      </c>
      <c r="C30" s="66"/>
      <c r="D30" s="67"/>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F30" s="68"/>
      <c r="BH30" s="67"/>
    </row>
    <row r="31" spans="2:60" s="8" customFormat="1" ht="57.6" customHeight="1" x14ac:dyDescent="0.25">
      <c r="B31" s="398" t="s">
        <v>311</v>
      </c>
      <c r="C31" s="399" t="s">
        <v>797</v>
      </c>
      <c r="D31" s="85">
        <f>IFERROR(INDEX('Patient &amp; Case Type Summary'!$D$62:$BD$62,MATCH(D$14,'Patient &amp; Case Type Summary'!$D$21:$BD$21,0)),"")</f>
        <v>3.8</v>
      </c>
      <c r="E31" s="85">
        <f>IFERROR(INDEX('Patient &amp; Case Type Summary'!$D$62:$BD$62,MATCH(E$14,'Patient &amp; Case Type Summary'!$D$21:$BD$21,0)),"")</f>
        <v>8.9816255118564605</v>
      </c>
      <c r="F31" s="85">
        <f>IFERROR(INDEX('Patient &amp; Case Type Summary'!$D$62:$BD$62,MATCH(F$14,'Patient &amp; Case Type Summary'!$D$21:$BD$21,0)),"")</f>
        <v>30.210466784285629</v>
      </c>
      <c r="G31" s="85">
        <f>IFERROR(INDEX('Patient &amp; Case Type Summary'!$D$62:$BD$62,MATCH(G$14,'Patient &amp; Case Type Summary'!$D$21:$BD$21,0)),"")</f>
        <v>101.6154928881888</v>
      </c>
      <c r="H31" s="85">
        <f>IFERROR(INDEX('Patient &amp; Case Type Summary'!$D$62:$BD$62,MATCH(H$14,'Patient &amp; Case Type Summary'!$D$21:$BD$21,0)),"")</f>
        <v>341.79241481566913</v>
      </c>
      <c r="I31" s="85">
        <f>IFERROR(INDEX('Patient &amp; Case Type Summary'!$D$62:$BD$62,MATCH(I$14,'Patient &amp; Case Type Summary'!$D$21:$BD$21,0)),"")</f>
        <v>1149.648065517626</v>
      </c>
      <c r="J31" s="85">
        <f>IFERROR(INDEX('Patient &amp; Case Type Summary'!$D$62:$BD$62,MATCH(J$14,'Patient &amp; Case Type Summary'!$D$21:$BD$21,0)),"")</f>
        <v>386.69397483885621</v>
      </c>
      <c r="K31" s="85">
        <f>IFERROR(INDEX('Patient &amp; Case Type Summary'!$D$62:$BD$62,MATCH(K$14,'Patient &amp; Case Type Summary'!$D$21:$BD$21,0)),"")</f>
        <v>1300.6783089688163</v>
      </c>
      <c r="L31" s="85">
        <f>IFERROR(INDEX('Patient &amp; Case Type Summary'!$D$62:$BD$62,MATCH(L$14,'Patient &amp; Case Type Summary'!$D$21:$BD$21,0)),"")</f>
        <v>4374.9429096405647</v>
      </c>
      <c r="M31" s="85">
        <f>IFERROR(INDEX('Patient &amp; Case Type Summary'!$D$62:$BD$62,MATCH(M$14,'Patient &amp; Case Type Summary'!$D$21:$BD$21,0)),"")</f>
        <v>14715.495238625608</v>
      </c>
      <c r="N31" s="85">
        <f>IFERROR(INDEX('Patient &amp; Case Type Summary'!$D$62:$BD$62,MATCH(N$14,'Patient &amp; Case Type Summary'!$D$21:$BD$21,0)),"")</f>
        <v>49496.828779373507</v>
      </c>
      <c r="O31" s="85">
        <f>IFERROR(INDEX('Patient &amp; Case Type Summary'!$D$62:$BD$62,MATCH(O$14,'Patient &amp; Case Type Summary'!$D$21:$BD$21,0)),"")</f>
        <v>166486.82354800869</v>
      </c>
      <c r="P31" s="85">
        <f>IFERROR(INDEX('Patient &amp; Case Type Summary'!$D$62:$BD$62,MATCH(P$14,'Patient &amp; Case Type Summary'!$D$21:$BD$21,0)),"")</f>
        <v>559992.69243399228</v>
      </c>
      <c r="Q31" s="85">
        <f>IFERROR(INDEX('Patient &amp; Case Type Summary'!$D$62:$BD$62,MATCH(Q$14,'Patient &amp; Case Type Summary'!$D$21:$BD$21,0)),"")</f>
        <v>1883583.3905440797</v>
      </c>
      <c r="R31" s="85">
        <f>IFERROR(INDEX('Patient &amp; Case Type Summary'!$D$62:$BD$62,MATCH(R$14,'Patient &amp; Case Type Summary'!$D$21:$BD$21,0)),"")</f>
        <v>652174.84945592051</v>
      </c>
      <c r="S31" s="85" t="str">
        <f>IFERROR(INDEX('Patient &amp; Case Type Summary'!$D$62:$BD$62,MATCH(S$14,'Patient &amp; Case Type Summary'!$D$21:$BD$21,0)),"")</f>
        <v/>
      </c>
      <c r="T31" s="85" t="str">
        <f>IFERROR(INDEX('Patient &amp; Case Type Summary'!$D$57:$BD$57,MATCH(T$14,'Patient &amp; Case Type Summary'!$D$21:$BD$21,0)),"")</f>
        <v/>
      </c>
      <c r="U31" s="85" t="str">
        <f>IFERROR(INDEX('Patient &amp; Case Type Summary'!$D$57:$BD$57,MATCH(U$14,'Patient &amp; Case Type Summary'!$D$21:$BD$21,0)),"")</f>
        <v/>
      </c>
      <c r="V31" s="85" t="str">
        <f>IFERROR(INDEX('Patient &amp; Case Type Summary'!$D$57:$BD$57,MATCH(V$14,'Patient &amp; Case Type Summary'!$D$21:$BD$21,0)),"")</f>
        <v/>
      </c>
      <c r="W31" s="85" t="str">
        <f>IFERROR(INDEX('Patient &amp; Case Type Summary'!$D$57:$BD$57,MATCH(W$14,'Patient &amp; Case Type Summary'!$D$21:$BD$21,0)),"")</f>
        <v/>
      </c>
      <c r="X31" s="85" t="str">
        <f>IFERROR(INDEX('Patient &amp; Case Type Summary'!$D$57:$BD$57,MATCH(X$14,'Patient &amp; Case Type Summary'!$D$21:$BD$21,0)),"")</f>
        <v/>
      </c>
      <c r="Y31" s="85" t="str">
        <f>IFERROR(INDEX('Patient &amp; Case Type Summary'!$D$57:$BD$57,MATCH(Y$14,'Patient &amp; Case Type Summary'!$D$21:$BD$21,0)),"")</f>
        <v/>
      </c>
      <c r="Z31" s="85" t="str">
        <f>IFERROR(INDEX('Patient &amp; Case Type Summary'!$D$57:$BD$57,MATCH(Z$14,'Patient &amp; Case Type Summary'!$D$21:$BD$21,0)),"")</f>
        <v/>
      </c>
      <c r="AA31" s="85" t="str">
        <f>IFERROR(INDEX('Patient &amp; Case Type Summary'!$D$57:$BD$57,MATCH(AA$14,'Patient &amp; Case Type Summary'!$D$21:$BD$21,0)),"")</f>
        <v/>
      </c>
      <c r="AB31" s="85" t="str">
        <f>IFERROR(INDEX('Patient &amp; Case Type Summary'!$D$57:$BD$57,MATCH(AB$14,'Patient &amp; Case Type Summary'!$D$21:$BD$21,0)),"")</f>
        <v/>
      </c>
      <c r="AC31" s="85" t="str">
        <f>IFERROR(INDEX('Patient &amp; Case Type Summary'!$D$57:$BD$57,MATCH(AC$14,'Patient &amp; Case Type Summary'!$D$21:$BD$21,0)),"")</f>
        <v/>
      </c>
      <c r="AD31" s="85" t="str">
        <f>IFERROR(INDEX('Patient &amp; Case Type Summary'!$D$57:$BD$57,MATCH(AD$14,'Patient &amp; Case Type Summary'!$D$21:$BD$21,0)),"")</f>
        <v/>
      </c>
      <c r="AE31" s="85" t="str">
        <f>IFERROR(INDEX('Patient &amp; Case Type Summary'!$D$57:$BD$57,MATCH(AE$14,'Patient &amp; Case Type Summary'!$D$21:$BD$21,0)),"")</f>
        <v/>
      </c>
      <c r="AF31" s="85" t="str">
        <f>IFERROR(INDEX('Patient &amp; Case Type Summary'!$D$57:$BD$57,MATCH(AF$14,'Patient &amp; Case Type Summary'!$D$21:$BD$21,0)),"")</f>
        <v/>
      </c>
      <c r="AG31" s="85" t="str">
        <f>IFERROR(INDEX('Patient &amp; Case Type Summary'!$D$57:$BD$57,MATCH(AG$14,'Patient &amp; Case Type Summary'!$D$21:$BD$21,0)),"")</f>
        <v/>
      </c>
      <c r="AH31" s="85" t="str">
        <f>IFERROR(INDEX('Patient &amp; Case Type Summary'!$D$57:$BD$57,MATCH(AH$14,'Patient &amp; Case Type Summary'!$D$21:$BD$21,0)),"")</f>
        <v/>
      </c>
      <c r="AI31" s="85" t="str">
        <f>IFERROR(INDEX('Patient &amp; Case Type Summary'!$D$57:$BD$57,MATCH(AI$14,'Patient &amp; Case Type Summary'!$D$21:$BD$21,0)),"")</f>
        <v/>
      </c>
      <c r="AJ31" s="85" t="str">
        <f>IFERROR(INDEX('Patient &amp; Case Type Summary'!$D$57:$BD$57,MATCH(AJ$14,'Patient &amp; Case Type Summary'!$D$21:$BD$21,0)),"")</f>
        <v/>
      </c>
      <c r="AK31" s="85" t="str">
        <f>IFERROR(INDEX('Patient &amp; Case Type Summary'!$D$57:$BD$57,MATCH(AK$14,'Patient &amp; Case Type Summary'!$D$21:$BD$21,0)),"")</f>
        <v/>
      </c>
      <c r="AL31" s="85" t="str">
        <f>IFERROR(INDEX('Patient &amp; Case Type Summary'!$D$57:$BD$57,MATCH(AL$14,'Patient &amp; Case Type Summary'!$D$21:$BD$21,0)),"")</f>
        <v/>
      </c>
      <c r="AM31" s="85" t="str">
        <f>IFERROR(INDEX('Patient &amp; Case Type Summary'!$D$57:$BD$57,MATCH(AM$14,'Patient &amp; Case Type Summary'!$D$21:$BD$21,0)),"")</f>
        <v/>
      </c>
      <c r="AN31" s="85" t="str">
        <f>IFERROR(INDEX('Patient &amp; Case Type Summary'!$D$57:$BD$57,MATCH(AN$14,'Patient &amp; Case Type Summary'!$D$21:$BD$21,0)),"")</f>
        <v/>
      </c>
      <c r="AO31" s="85" t="str">
        <f>IFERROR(INDEX('Patient &amp; Case Type Summary'!$D$57:$BD$57,MATCH(AO$14,'Patient &amp; Case Type Summary'!$D$21:$BD$21,0)),"")</f>
        <v/>
      </c>
      <c r="AP31" s="85" t="str">
        <f>IFERROR(INDEX('Patient &amp; Case Type Summary'!$D$57:$BD$57,MATCH(AP$14,'Patient &amp; Case Type Summary'!$D$21:$BD$21,0)),"")</f>
        <v/>
      </c>
      <c r="AQ31" s="85" t="str">
        <f>IFERROR(INDEX('Patient &amp; Case Type Summary'!$D$57:$BD$57,MATCH(AQ$14,'Patient &amp; Case Type Summary'!$D$21:$BD$21,0)),"")</f>
        <v/>
      </c>
      <c r="AR31" s="85" t="str">
        <f>IFERROR(INDEX('Patient &amp; Case Type Summary'!$D$57:$BD$57,MATCH(AR$14,'Patient &amp; Case Type Summary'!$D$21:$BD$21,0)),"")</f>
        <v/>
      </c>
      <c r="AS31" s="85" t="str">
        <f>IFERROR(INDEX('Patient &amp; Case Type Summary'!$D$57:$BD$57,MATCH(AS$14,'Patient &amp; Case Type Summary'!$D$21:$BD$21,0)),"")</f>
        <v/>
      </c>
      <c r="AT31" s="85" t="str">
        <f>IFERROR(INDEX('Patient &amp; Case Type Summary'!$D$57:$BD$57,MATCH(AT$14,'Patient &amp; Case Type Summary'!$D$21:$BD$21,0)),"")</f>
        <v/>
      </c>
      <c r="AU31" s="85" t="str">
        <f>IFERROR(INDEX('Patient &amp; Case Type Summary'!$D$57:$BD$57,MATCH(AU$14,'Patient &amp; Case Type Summary'!$D$21:$BD$21,0)),"")</f>
        <v/>
      </c>
      <c r="AV31" s="85" t="str">
        <f>IFERROR(INDEX('Patient &amp; Case Type Summary'!$D$57:$BD$57,MATCH(AV$14,'Patient &amp; Case Type Summary'!$D$21:$BD$21,0)),"")</f>
        <v/>
      </c>
      <c r="AW31" s="85" t="str">
        <f>IFERROR(INDEX('Patient &amp; Case Type Summary'!$D$57:$BD$57,MATCH(AW$14,'Patient &amp; Case Type Summary'!$D$21:$BD$21,0)),"")</f>
        <v/>
      </c>
      <c r="AX31" s="85" t="str">
        <f>IFERROR(INDEX('Patient &amp; Case Type Summary'!$D$57:$BD$57,MATCH(AX$14,'Patient &amp; Case Type Summary'!$D$21:$BD$21,0)),"")</f>
        <v/>
      </c>
      <c r="AY31" s="85" t="str">
        <f>IFERROR(INDEX('Patient &amp; Case Type Summary'!$D$57:$BD$57,MATCH(AY$14,'Patient &amp; Case Type Summary'!$D$21:$BD$21,0)),"")</f>
        <v/>
      </c>
      <c r="AZ31" s="85" t="str">
        <f>IFERROR(INDEX('Patient &amp; Case Type Summary'!$D$57:$BD$57,MATCH(AZ$14,'Patient &amp; Case Type Summary'!$D$21:$BD$21,0)),"")</f>
        <v/>
      </c>
      <c r="BA31" s="85" t="str">
        <f>IFERROR(INDEX('Patient &amp; Case Type Summary'!$D$57:$BD$57,MATCH(BA$14,'Patient &amp; Case Type Summary'!$D$21:$BD$21,0)),"")</f>
        <v/>
      </c>
      <c r="BB31" s="85" t="str">
        <f>IFERROR(INDEX('Patient &amp; Case Type Summary'!$D$57:$BD$57,MATCH(BB$14,'Patient &amp; Case Type Summary'!$D$21:$BD$21,0)),"")</f>
        <v/>
      </c>
      <c r="BC31" s="85" t="str">
        <f>IFERROR(INDEX('Patient &amp; Case Type Summary'!$D$57:$BD$57,MATCH(BC$14,'Patient &amp; Case Type Summary'!$D$21:$BD$21,0)),"")</f>
        <v/>
      </c>
      <c r="BD31" s="85" t="str">
        <f>IFERROR(INDEX('Patient &amp; Case Type Summary'!$D$57:$BD$57,MATCH(BD$14,'Patient &amp; Case Type Summary'!$D$21:$BD$21,0)),"")</f>
        <v/>
      </c>
      <c r="BF31" s="39">
        <f>SUMIFS(D31:BD31,D$14:BD$14,"&gt;="&amp;Start_week_for_forecasting,D$14:BD$14,"&lt;="&amp;WeekSuppliedUntil)</f>
        <v>2022.7420403564824</v>
      </c>
      <c r="BG31" s="138"/>
      <c r="BH31" s="39">
        <f>IF(Start_week_for_forecasting+'User Dashboard'!$I$19='Patient Calc Assumptions'!$C$50,MAX($D31:$BD31),INDEX($D31:$BD31,MATCH(WeekSuppliedUntil,D$14:BD$14,0)))</f>
        <v>386.69397483885621</v>
      </c>
    </row>
    <row r="32" spans="2:60" x14ac:dyDescent="0.25">
      <c r="B32" s="62" t="s">
        <v>271</v>
      </c>
      <c r="C32" s="62" t="s">
        <v>1294</v>
      </c>
      <c r="D32" s="39">
        <f t="shared" ref="D32:AI32" si="45">IFERROR(IF(ROUNDUP(D31/7/Tests_per_HCW,0)&lt;$D$7,(ROUNDUP(D31/7/Tests_per_HCW,0)),$D$7),"")</f>
        <v>1</v>
      </c>
      <c r="E32" s="39">
        <f t="shared" si="45"/>
        <v>1</v>
      </c>
      <c r="F32" s="39">
        <f t="shared" si="45"/>
        <v>1</v>
      </c>
      <c r="G32" s="39">
        <f t="shared" si="45"/>
        <v>3</v>
      </c>
      <c r="H32" s="39">
        <f t="shared" si="45"/>
        <v>10</v>
      </c>
      <c r="I32" s="39">
        <f t="shared" si="45"/>
        <v>33</v>
      </c>
      <c r="J32" s="39">
        <f t="shared" si="45"/>
        <v>12</v>
      </c>
      <c r="K32" s="39">
        <f t="shared" si="45"/>
        <v>38</v>
      </c>
      <c r="L32" s="39">
        <f t="shared" si="45"/>
        <v>125</v>
      </c>
      <c r="M32" s="39">
        <f t="shared" si="45"/>
        <v>421</v>
      </c>
      <c r="N32" s="39">
        <f t="shared" si="45"/>
        <v>1415</v>
      </c>
      <c r="O32" s="39">
        <f t="shared" si="45"/>
        <v>4757</v>
      </c>
      <c r="P32" s="39">
        <f t="shared" si="45"/>
        <v>16000</v>
      </c>
      <c r="Q32" s="39">
        <f t="shared" si="45"/>
        <v>53817</v>
      </c>
      <c r="R32" s="39">
        <f t="shared" si="45"/>
        <v>18634</v>
      </c>
      <c r="S32" s="39" t="str">
        <f t="shared" si="45"/>
        <v/>
      </c>
      <c r="T32" s="39" t="str">
        <f t="shared" si="45"/>
        <v/>
      </c>
      <c r="U32" s="39" t="str">
        <f t="shared" si="45"/>
        <v/>
      </c>
      <c r="V32" s="39" t="str">
        <f t="shared" si="45"/>
        <v/>
      </c>
      <c r="W32" s="39" t="str">
        <f t="shared" si="45"/>
        <v/>
      </c>
      <c r="X32" s="39" t="str">
        <f t="shared" si="45"/>
        <v/>
      </c>
      <c r="Y32" s="39" t="str">
        <f t="shared" si="45"/>
        <v/>
      </c>
      <c r="Z32" s="39" t="str">
        <f t="shared" si="45"/>
        <v/>
      </c>
      <c r="AA32" s="39" t="str">
        <f t="shared" si="45"/>
        <v/>
      </c>
      <c r="AB32" s="39" t="str">
        <f t="shared" si="45"/>
        <v/>
      </c>
      <c r="AC32" s="39" t="str">
        <f t="shared" si="45"/>
        <v/>
      </c>
      <c r="AD32" s="39" t="str">
        <f t="shared" si="45"/>
        <v/>
      </c>
      <c r="AE32" s="39" t="str">
        <f t="shared" si="45"/>
        <v/>
      </c>
      <c r="AF32" s="39" t="str">
        <f t="shared" si="45"/>
        <v/>
      </c>
      <c r="AG32" s="39" t="str">
        <f t="shared" si="45"/>
        <v/>
      </c>
      <c r="AH32" s="39" t="str">
        <f t="shared" si="45"/>
        <v/>
      </c>
      <c r="AI32" s="39" t="str">
        <f t="shared" si="45"/>
        <v/>
      </c>
      <c r="AJ32" s="39" t="str">
        <f t="shared" ref="AJ32:BD32" si="46">IFERROR(IF(ROUNDUP(AJ31/7/Tests_per_HCW,0)&lt;$D$7,(ROUNDUP(AJ31/7/Tests_per_HCW,0)),$D$7),"")</f>
        <v/>
      </c>
      <c r="AK32" s="39" t="str">
        <f t="shared" si="46"/>
        <v/>
      </c>
      <c r="AL32" s="39" t="str">
        <f t="shared" si="46"/>
        <v/>
      </c>
      <c r="AM32" s="39" t="str">
        <f t="shared" si="46"/>
        <v/>
      </c>
      <c r="AN32" s="39" t="str">
        <f t="shared" si="46"/>
        <v/>
      </c>
      <c r="AO32" s="39" t="str">
        <f t="shared" si="46"/>
        <v/>
      </c>
      <c r="AP32" s="39" t="str">
        <f t="shared" si="46"/>
        <v/>
      </c>
      <c r="AQ32" s="39" t="str">
        <f t="shared" si="46"/>
        <v/>
      </c>
      <c r="AR32" s="39" t="str">
        <f t="shared" si="46"/>
        <v/>
      </c>
      <c r="AS32" s="39" t="str">
        <f t="shared" si="46"/>
        <v/>
      </c>
      <c r="AT32" s="39" t="str">
        <f t="shared" si="46"/>
        <v/>
      </c>
      <c r="AU32" s="39" t="str">
        <f t="shared" si="46"/>
        <v/>
      </c>
      <c r="AV32" s="39" t="str">
        <f t="shared" si="46"/>
        <v/>
      </c>
      <c r="AW32" s="39" t="str">
        <f t="shared" si="46"/>
        <v/>
      </c>
      <c r="AX32" s="39" t="str">
        <f t="shared" si="46"/>
        <v/>
      </c>
      <c r="AY32" s="39" t="str">
        <f t="shared" si="46"/>
        <v/>
      </c>
      <c r="AZ32" s="39" t="str">
        <f t="shared" si="46"/>
        <v/>
      </c>
      <c r="BA32" s="39" t="str">
        <f t="shared" si="46"/>
        <v/>
      </c>
      <c r="BB32" s="39" t="str">
        <f t="shared" si="46"/>
        <v/>
      </c>
      <c r="BC32" s="39" t="str">
        <f t="shared" si="46"/>
        <v/>
      </c>
      <c r="BD32" s="39" t="str">
        <f t="shared" si="46"/>
        <v/>
      </c>
      <c r="BF32" s="39">
        <f>SUMIFS(D32:BD32,D$14:BD$14,"&gt;="&amp;Start_week_for_forecasting,D$14:BD$14,"&lt;="&amp;WeekSuppliedUntil)</f>
        <v>61</v>
      </c>
      <c r="BG32" s="138"/>
      <c r="BH32" s="39">
        <f>IF(Start_week_for_forecasting+'User Dashboard'!$I$19='Patient Calc Assumptions'!$C$50,MAX($D32:$BD32),INDEX($D32:$BD32,MATCH(WeekSuppliedUntil,D$14:BD$14,0)))</f>
        <v>12</v>
      </c>
    </row>
    <row r="33" spans="2:60" s="8" customFormat="1" x14ac:dyDescent="0.25">
      <c r="B33" s="371" t="s">
        <v>1249</v>
      </c>
      <c r="C33" s="62"/>
      <c r="D33" s="86">
        <f t="shared" ref="D33:AI33" si="47">IFERROR((ROUNDUP(D31/7/Tests_per_HCW,0)),"")</f>
        <v>1</v>
      </c>
      <c r="E33" s="86">
        <f t="shared" si="47"/>
        <v>1</v>
      </c>
      <c r="F33" s="86">
        <f t="shared" si="47"/>
        <v>1</v>
      </c>
      <c r="G33" s="86">
        <f t="shared" si="47"/>
        <v>3</v>
      </c>
      <c r="H33" s="86">
        <f t="shared" si="47"/>
        <v>10</v>
      </c>
      <c r="I33" s="86">
        <f t="shared" si="47"/>
        <v>33</v>
      </c>
      <c r="J33" s="86">
        <f t="shared" si="47"/>
        <v>12</v>
      </c>
      <c r="K33" s="86">
        <f t="shared" si="47"/>
        <v>38</v>
      </c>
      <c r="L33" s="86">
        <f t="shared" si="47"/>
        <v>125</v>
      </c>
      <c r="M33" s="86">
        <f t="shared" si="47"/>
        <v>421</v>
      </c>
      <c r="N33" s="86">
        <f t="shared" si="47"/>
        <v>1415</v>
      </c>
      <c r="O33" s="86">
        <f t="shared" si="47"/>
        <v>4757</v>
      </c>
      <c r="P33" s="86">
        <f t="shared" si="47"/>
        <v>16000</v>
      </c>
      <c r="Q33" s="86">
        <f t="shared" si="47"/>
        <v>53817</v>
      </c>
      <c r="R33" s="86">
        <f t="shared" si="47"/>
        <v>18634</v>
      </c>
      <c r="S33" s="86" t="str">
        <f t="shared" si="47"/>
        <v/>
      </c>
      <c r="T33" s="86" t="str">
        <f t="shared" si="47"/>
        <v/>
      </c>
      <c r="U33" s="86" t="str">
        <f t="shared" si="47"/>
        <v/>
      </c>
      <c r="V33" s="86" t="str">
        <f t="shared" si="47"/>
        <v/>
      </c>
      <c r="W33" s="86" t="str">
        <f t="shared" si="47"/>
        <v/>
      </c>
      <c r="X33" s="86" t="str">
        <f t="shared" si="47"/>
        <v/>
      </c>
      <c r="Y33" s="86" t="str">
        <f t="shared" si="47"/>
        <v/>
      </c>
      <c r="Z33" s="86" t="str">
        <f t="shared" si="47"/>
        <v/>
      </c>
      <c r="AA33" s="86" t="str">
        <f t="shared" si="47"/>
        <v/>
      </c>
      <c r="AB33" s="86" t="str">
        <f t="shared" si="47"/>
        <v/>
      </c>
      <c r="AC33" s="86" t="str">
        <f t="shared" si="47"/>
        <v/>
      </c>
      <c r="AD33" s="86" t="str">
        <f t="shared" si="47"/>
        <v/>
      </c>
      <c r="AE33" s="86" t="str">
        <f t="shared" si="47"/>
        <v/>
      </c>
      <c r="AF33" s="86" t="str">
        <f t="shared" si="47"/>
        <v/>
      </c>
      <c r="AG33" s="86" t="str">
        <f t="shared" si="47"/>
        <v/>
      </c>
      <c r="AH33" s="86" t="str">
        <f t="shared" si="47"/>
        <v/>
      </c>
      <c r="AI33" s="86" t="str">
        <f t="shared" si="47"/>
        <v/>
      </c>
      <c r="AJ33" s="86" t="str">
        <f t="shared" ref="AJ33:BD33" si="48">IFERROR((ROUNDUP(AJ31/7/Tests_per_HCW,0)),"")</f>
        <v/>
      </c>
      <c r="AK33" s="86" t="str">
        <f t="shared" si="48"/>
        <v/>
      </c>
      <c r="AL33" s="86" t="str">
        <f t="shared" si="48"/>
        <v/>
      </c>
      <c r="AM33" s="86" t="str">
        <f t="shared" si="48"/>
        <v/>
      </c>
      <c r="AN33" s="86" t="str">
        <f t="shared" si="48"/>
        <v/>
      </c>
      <c r="AO33" s="86" t="str">
        <f t="shared" si="48"/>
        <v/>
      </c>
      <c r="AP33" s="86" t="str">
        <f t="shared" si="48"/>
        <v/>
      </c>
      <c r="AQ33" s="86" t="str">
        <f t="shared" si="48"/>
        <v/>
      </c>
      <c r="AR33" s="86" t="str">
        <f t="shared" si="48"/>
        <v/>
      </c>
      <c r="AS33" s="86" t="str">
        <f t="shared" si="48"/>
        <v/>
      </c>
      <c r="AT33" s="86" t="str">
        <f t="shared" si="48"/>
        <v/>
      </c>
      <c r="AU33" s="86" t="str">
        <f t="shared" si="48"/>
        <v/>
      </c>
      <c r="AV33" s="86" t="str">
        <f t="shared" si="48"/>
        <v/>
      </c>
      <c r="AW33" s="86" t="str">
        <f t="shared" si="48"/>
        <v/>
      </c>
      <c r="AX33" s="86" t="str">
        <f t="shared" si="48"/>
        <v/>
      </c>
      <c r="AY33" s="86" t="str">
        <f t="shared" si="48"/>
        <v/>
      </c>
      <c r="AZ33" s="86" t="str">
        <f t="shared" si="48"/>
        <v/>
      </c>
      <c r="BA33" s="86" t="str">
        <f t="shared" si="48"/>
        <v/>
      </c>
      <c r="BB33" s="86" t="str">
        <f t="shared" si="48"/>
        <v/>
      </c>
      <c r="BC33" s="86" t="str">
        <f t="shared" si="48"/>
        <v/>
      </c>
      <c r="BD33" s="86" t="str">
        <f t="shared" si="48"/>
        <v/>
      </c>
      <c r="BF33" s="39">
        <f>SUMIFS(D33:BD33,D$14:BD$14,"&gt;="&amp;Start_week_for_forecasting,D$14:BD$14,"&lt;="&amp;WeekSuppliedUntil)</f>
        <v>61</v>
      </c>
      <c r="BG33" s="138"/>
      <c r="BH33" s="39">
        <f>IF(Start_week_for_forecasting+'User Dashboard'!$I$19='Patient Calc Assumptions'!$C$50,MAX($D33:$BD33),INDEX($D33:$BD33,MATCH(WeekSuppliedUntil,D$14:BD$14,0)))</f>
        <v>12</v>
      </c>
    </row>
    <row r="34" spans="2:60" s="65" customFormat="1" x14ac:dyDescent="0.25">
      <c r="B34" s="66" t="s">
        <v>276</v>
      </c>
      <c r="C34" s="66"/>
      <c r="D34" s="67"/>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F34" s="68"/>
      <c r="BH34" s="67"/>
    </row>
    <row r="35" spans="2:60" s="8" customFormat="1" x14ac:dyDescent="0.25">
      <c r="B35" s="62" t="s">
        <v>792</v>
      </c>
      <c r="C35" s="120"/>
      <c r="D35" s="85">
        <f>IFERROR('Patient &amp; Case Type Summary'!D60,"")</f>
        <v>4.4000000000000004</v>
      </c>
      <c r="E35" s="85">
        <f>IFERROR('Patient &amp; Case Type Summary'!E60,"")</f>
        <v>10.399776908465375</v>
      </c>
      <c r="F35" s="85">
        <f>IFERROR('Patient &amp; Case Type Summary'!F60,"")</f>
        <v>34.980540487067572</v>
      </c>
      <c r="G35" s="85">
        <f>IFERROR('Patient &amp; Case Type Summary'!G60,"")</f>
        <v>117.66004439685018</v>
      </c>
      <c r="H35" s="85">
        <f>IFERROR('Patient &amp; Case Type Summary'!H60,"")</f>
        <v>395.75963820761689</v>
      </c>
      <c r="I35" s="85">
        <f>IFERROR('Patient &amp; Case Type Summary'!I60,"")</f>
        <v>1331.1714442835669</v>
      </c>
      <c r="J35" s="85">
        <f>IFERROR('Patient &amp; Case Type Summary'!J60,"")</f>
        <v>997.26340879494489</v>
      </c>
      <c r="K35" s="85">
        <f>IFERROR('Patient &amp; Case Type Summary'!K60,"")</f>
        <v>3354.3809020774734</v>
      </c>
      <c r="L35" s="85">
        <f>IFERROR('Patient &amp; Case Type Summary'!L60,"")</f>
        <v>11282.747503809878</v>
      </c>
      <c r="M35" s="85">
        <f>IFERROR('Patient &amp; Case Type Summary'!M60,"")</f>
        <v>37950.487720666046</v>
      </c>
      <c r="N35" s="85">
        <f>IFERROR('Patient &amp; Case Type Summary'!N60,"")</f>
        <v>127649.71632575273</v>
      </c>
      <c r="O35" s="85">
        <f>IFERROR('Patient &amp; Case Type Summary'!O60,"")</f>
        <v>429360.75546591711</v>
      </c>
      <c r="P35" s="85">
        <f>IFERROR('Patient &amp; Case Type Summary'!P60,"")</f>
        <v>1444191.6804876642</v>
      </c>
      <c r="Q35" s="85">
        <f>IFERROR('Patient &amp; Case Type Summary'!Q60,"")</f>
        <v>4857662.4282452576</v>
      </c>
      <c r="R35" s="85">
        <f>IFERROR('Patient &amp; Case Type Summary'!R60,"")</f>
        <v>1681924.611754742</v>
      </c>
      <c r="S35" s="85" t="str">
        <f>IFERROR('Patient &amp; Case Type Summary'!S60,"")</f>
        <v/>
      </c>
      <c r="T35" s="85" t="str">
        <f>IFERROR('Patient &amp; Case Type Summary'!T60,"")</f>
        <v/>
      </c>
      <c r="U35" s="85" t="str">
        <f>IFERROR('Patient &amp; Case Type Summary'!U60,"")</f>
        <v/>
      </c>
      <c r="V35" s="85" t="str">
        <f>IFERROR('Patient &amp; Case Type Summary'!V60,"")</f>
        <v/>
      </c>
      <c r="W35" s="85" t="str">
        <f>IFERROR('Patient &amp; Case Type Summary'!W60,"")</f>
        <v/>
      </c>
      <c r="X35" s="85" t="str">
        <f>IFERROR('Patient &amp; Case Type Summary'!X60,"")</f>
        <v/>
      </c>
      <c r="Y35" s="85" t="str">
        <f>IFERROR('Patient &amp; Case Type Summary'!Y60,"")</f>
        <v/>
      </c>
      <c r="Z35" s="85" t="str">
        <f>IFERROR('Patient &amp; Case Type Summary'!Z60,"")</f>
        <v/>
      </c>
      <c r="AA35" s="85" t="str">
        <f>IFERROR('Patient &amp; Case Type Summary'!AA60,"")</f>
        <v/>
      </c>
      <c r="AB35" s="85" t="str">
        <f>IFERROR('Patient &amp; Case Type Summary'!AB60,"")</f>
        <v/>
      </c>
      <c r="AC35" s="85" t="str">
        <f>IFERROR('Patient &amp; Case Type Summary'!AC60,"")</f>
        <v/>
      </c>
      <c r="AD35" s="85" t="str">
        <f>IFERROR('Patient &amp; Case Type Summary'!AD60,"")</f>
        <v/>
      </c>
      <c r="AE35" s="85" t="str">
        <f>IFERROR('Patient &amp; Case Type Summary'!AE60,"")</f>
        <v/>
      </c>
      <c r="AF35" s="85" t="str">
        <f>IFERROR('Patient &amp; Case Type Summary'!AF60,"")</f>
        <v/>
      </c>
      <c r="AG35" s="85" t="str">
        <f>IFERROR('Patient &amp; Case Type Summary'!AG60,"")</f>
        <v/>
      </c>
      <c r="AH35" s="85" t="str">
        <f>IFERROR('Patient &amp; Case Type Summary'!AH60,"")</f>
        <v/>
      </c>
      <c r="AI35" s="85" t="str">
        <f>IFERROR('Patient &amp; Case Type Summary'!AI60,"")</f>
        <v/>
      </c>
      <c r="AJ35" s="85" t="str">
        <f>IFERROR('Patient &amp; Case Type Summary'!AJ60,"")</f>
        <v/>
      </c>
      <c r="AK35" s="85" t="str">
        <f>IFERROR('Patient &amp; Case Type Summary'!AK60,"")</f>
        <v/>
      </c>
      <c r="AL35" s="85" t="str">
        <f>IFERROR('Patient &amp; Case Type Summary'!AL60,"")</f>
        <v/>
      </c>
      <c r="AM35" s="85" t="str">
        <f>IFERROR('Patient &amp; Case Type Summary'!AM60,"")</f>
        <v/>
      </c>
      <c r="AN35" s="85" t="str">
        <f>IFERROR('Patient &amp; Case Type Summary'!AN60,"")</f>
        <v/>
      </c>
      <c r="AO35" s="85" t="str">
        <f>IFERROR('Patient &amp; Case Type Summary'!AO60,"")</f>
        <v/>
      </c>
      <c r="AP35" s="85" t="str">
        <f>IFERROR('Patient &amp; Case Type Summary'!AP60,"")</f>
        <v/>
      </c>
      <c r="AQ35" s="85" t="str">
        <f>IFERROR('Patient &amp; Case Type Summary'!AQ60,"")</f>
        <v/>
      </c>
      <c r="AR35" s="85" t="str">
        <f>IFERROR('Patient &amp; Case Type Summary'!AR60,"")</f>
        <v/>
      </c>
      <c r="AS35" s="85" t="str">
        <f>IFERROR('Patient &amp; Case Type Summary'!AS60,"")</f>
        <v/>
      </c>
      <c r="AT35" s="85" t="str">
        <f>IFERROR('Patient &amp; Case Type Summary'!AT60,"")</f>
        <v/>
      </c>
      <c r="AU35" s="85" t="str">
        <f>IFERROR('Patient &amp; Case Type Summary'!AU60,"")</f>
        <v/>
      </c>
      <c r="AV35" s="85" t="str">
        <f>IFERROR('Patient &amp; Case Type Summary'!AV60,"")</f>
        <v/>
      </c>
      <c r="AW35" s="85" t="str">
        <f>IFERROR('Patient &amp; Case Type Summary'!AW60,"")</f>
        <v/>
      </c>
      <c r="AX35" s="85" t="str">
        <f>IFERROR('Patient &amp; Case Type Summary'!AX60,"")</f>
        <v/>
      </c>
      <c r="AY35" s="85" t="str">
        <f>IFERROR('Patient &amp; Case Type Summary'!AY60,"")</f>
        <v/>
      </c>
      <c r="AZ35" s="85" t="str">
        <f>IFERROR('Patient &amp; Case Type Summary'!AZ60,"")</f>
        <v/>
      </c>
      <c r="BA35" s="85" t="str">
        <f>IFERROR('Patient &amp; Case Type Summary'!BA60,"")</f>
        <v/>
      </c>
      <c r="BB35" s="85" t="str">
        <f>IFERROR('Patient &amp; Case Type Summary'!BB60,"")</f>
        <v/>
      </c>
      <c r="BC35" s="85" t="str">
        <f>IFERROR('Patient &amp; Case Type Summary'!BC60,"")</f>
        <v/>
      </c>
      <c r="BD35" s="85" t="str">
        <f>IFERROR('Patient &amp; Case Type Summary'!BD60,"")</f>
        <v/>
      </c>
      <c r="BF35" s="82"/>
      <c r="BH35" s="80"/>
    </row>
    <row r="36" spans="2:60" x14ac:dyDescent="0.25">
      <c r="B36" s="62" t="s">
        <v>1383</v>
      </c>
      <c r="C36" s="62"/>
      <c r="D36" s="39">
        <f t="shared" ref="D36:AI36" si="49">IFERROR(IF(ROUNDUP(D35/(Tests_per_day_per_lab*7)*HCW_per_lab,0)&lt;$D$8,ROUNDUP(D35/(Tests_per_day_per_lab*7)*HCW_per_lab,0),$D$8),"")</f>
        <v>1</v>
      </c>
      <c r="E36" s="39">
        <f t="shared" si="49"/>
        <v>1</v>
      </c>
      <c r="F36" s="39">
        <f t="shared" si="49"/>
        <v>1</v>
      </c>
      <c r="G36" s="39">
        <f t="shared" si="49"/>
        <v>1</v>
      </c>
      <c r="H36" s="39">
        <f t="shared" si="49"/>
        <v>1</v>
      </c>
      <c r="I36" s="39">
        <f t="shared" si="49"/>
        <v>2</v>
      </c>
      <c r="J36" s="39">
        <f t="shared" si="49"/>
        <v>2</v>
      </c>
      <c r="K36" s="39">
        <f t="shared" si="49"/>
        <v>4</v>
      </c>
      <c r="L36" s="39">
        <f t="shared" si="49"/>
        <v>13</v>
      </c>
      <c r="M36" s="39">
        <f t="shared" si="49"/>
        <v>41</v>
      </c>
      <c r="N36" s="39">
        <f t="shared" si="49"/>
        <v>137</v>
      </c>
      <c r="O36" s="39">
        <f t="shared" si="49"/>
        <v>461</v>
      </c>
      <c r="P36" s="39">
        <f t="shared" si="49"/>
        <v>1548</v>
      </c>
      <c r="Q36" s="39">
        <f t="shared" si="49"/>
        <v>5111.121278037599</v>
      </c>
      <c r="R36" s="39">
        <f t="shared" si="49"/>
        <v>1803</v>
      </c>
      <c r="S36" s="39" t="str">
        <f t="shared" si="49"/>
        <v/>
      </c>
      <c r="T36" s="39" t="str">
        <f t="shared" si="49"/>
        <v/>
      </c>
      <c r="U36" s="39" t="str">
        <f t="shared" si="49"/>
        <v/>
      </c>
      <c r="V36" s="39" t="str">
        <f t="shared" si="49"/>
        <v/>
      </c>
      <c r="W36" s="39" t="str">
        <f t="shared" si="49"/>
        <v/>
      </c>
      <c r="X36" s="39" t="str">
        <f t="shared" si="49"/>
        <v/>
      </c>
      <c r="Y36" s="39" t="str">
        <f t="shared" si="49"/>
        <v/>
      </c>
      <c r="Z36" s="39" t="str">
        <f t="shared" si="49"/>
        <v/>
      </c>
      <c r="AA36" s="39" t="str">
        <f t="shared" si="49"/>
        <v/>
      </c>
      <c r="AB36" s="39" t="str">
        <f t="shared" si="49"/>
        <v/>
      </c>
      <c r="AC36" s="39" t="str">
        <f t="shared" si="49"/>
        <v/>
      </c>
      <c r="AD36" s="39" t="str">
        <f t="shared" si="49"/>
        <v/>
      </c>
      <c r="AE36" s="39" t="str">
        <f t="shared" si="49"/>
        <v/>
      </c>
      <c r="AF36" s="39" t="str">
        <f t="shared" si="49"/>
        <v/>
      </c>
      <c r="AG36" s="39" t="str">
        <f t="shared" si="49"/>
        <v/>
      </c>
      <c r="AH36" s="39" t="str">
        <f t="shared" si="49"/>
        <v/>
      </c>
      <c r="AI36" s="39" t="str">
        <f t="shared" si="49"/>
        <v/>
      </c>
      <c r="AJ36" s="39" t="str">
        <f t="shared" ref="AJ36:BD36" si="50">IFERROR(IF(ROUNDUP(AJ35/(Tests_per_day_per_lab*7)*HCW_per_lab,0)&lt;$D$8,ROUNDUP(AJ35/(Tests_per_day_per_lab*7)*HCW_per_lab,0),$D$8),"")</f>
        <v/>
      </c>
      <c r="AK36" s="39" t="str">
        <f t="shared" si="50"/>
        <v/>
      </c>
      <c r="AL36" s="39" t="str">
        <f t="shared" si="50"/>
        <v/>
      </c>
      <c r="AM36" s="39" t="str">
        <f t="shared" si="50"/>
        <v/>
      </c>
      <c r="AN36" s="39" t="str">
        <f t="shared" si="50"/>
        <v/>
      </c>
      <c r="AO36" s="39" t="str">
        <f t="shared" si="50"/>
        <v/>
      </c>
      <c r="AP36" s="39" t="str">
        <f t="shared" si="50"/>
        <v/>
      </c>
      <c r="AQ36" s="39" t="str">
        <f t="shared" si="50"/>
        <v/>
      </c>
      <c r="AR36" s="39" t="str">
        <f t="shared" si="50"/>
        <v/>
      </c>
      <c r="AS36" s="39" t="str">
        <f t="shared" si="50"/>
        <v/>
      </c>
      <c r="AT36" s="39" t="str">
        <f t="shared" si="50"/>
        <v/>
      </c>
      <c r="AU36" s="39" t="str">
        <f t="shared" si="50"/>
        <v/>
      </c>
      <c r="AV36" s="39" t="str">
        <f t="shared" si="50"/>
        <v/>
      </c>
      <c r="AW36" s="39" t="str">
        <f t="shared" si="50"/>
        <v/>
      </c>
      <c r="AX36" s="39" t="str">
        <f t="shared" si="50"/>
        <v/>
      </c>
      <c r="AY36" s="39" t="str">
        <f t="shared" si="50"/>
        <v/>
      </c>
      <c r="AZ36" s="39" t="str">
        <f t="shared" si="50"/>
        <v/>
      </c>
      <c r="BA36" s="39" t="str">
        <f t="shared" si="50"/>
        <v/>
      </c>
      <c r="BB36" s="39" t="str">
        <f t="shared" si="50"/>
        <v/>
      </c>
      <c r="BC36" s="39" t="str">
        <f t="shared" si="50"/>
        <v/>
      </c>
      <c r="BD36" s="39" t="str">
        <f t="shared" si="50"/>
        <v/>
      </c>
      <c r="BF36" s="39">
        <f>SUMIFS(D36:BD36,D$14:BD$14,"&gt;="&amp;Start_week_for_forecasting,D$14:BD$14,"&lt;="&amp;WeekSuppliedUntil)</f>
        <v>9</v>
      </c>
      <c r="BG36" s="138"/>
      <c r="BH36" s="39">
        <f>IF(Start_week_for_forecasting+'User Dashboard'!$I$19='Patient Calc Assumptions'!$C$50,MAX($D36:$BD36),INDEX($D36:$BD36,MATCH(WeekSuppliedUntil,D$14:BD$14,0)))</f>
        <v>2</v>
      </c>
    </row>
    <row r="37" spans="2:60" x14ac:dyDescent="0.25">
      <c r="B37" s="62" t="s">
        <v>272</v>
      </c>
      <c r="C37" s="62"/>
      <c r="D37" s="39">
        <f t="shared" ref="D37:AI37" si="51">IFERROR(ROUNDUP(D35/(Tests_per_day_per_lab*7)*Hygienists_per_lab,0),"")</f>
        <v>1</v>
      </c>
      <c r="E37" s="39">
        <f t="shared" si="51"/>
        <v>1</v>
      </c>
      <c r="F37" s="39">
        <f t="shared" si="51"/>
        <v>1</v>
      </c>
      <c r="G37" s="39">
        <f t="shared" si="51"/>
        <v>1</v>
      </c>
      <c r="H37" s="39">
        <f t="shared" si="51"/>
        <v>1</v>
      </c>
      <c r="I37" s="39">
        <f t="shared" si="51"/>
        <v>1</v>
      </c>
      <c r="J37" s="39">
        <f t="shared" si="51"/>
        <v>1</v>
      </c>
      <c r="K37" s="39">
        <f t="shared" si="51"/>
        <v>2</v>
      </c>
      <c r="L37" s="39">
        <f t="shared" si="51"/>
        <v>5</v>
      </c>
      <c r="M37" s="39">
        <f t="shared" si="51"/>
        <v>14</v>
      </c>
      <c r="N37" s="39">
        <f t="shared" si="51"/>
        <v>46</v>
      </c>
      <c r="O37" s="39">
        <f t="shared" si="51"/>
        <v>154</v>
      </c>
      <c r="P37" s="39">
        <f t="shared" si="51"/>
        <v>516</v>
      </c>
      <c r="Q37" s="39">
        <f t="shared" si="51"/>
        <v>1735</v>
      </c>
      <c r="R37" s="39">
        <f t="shared" si="51"/>
        <v>601</v>
      </c>
      <c r="S37" s="39" t="str">
        <f t="shared" si="51"/>
        <v/>
      </c>
      <c r="T37" s="39" t="str">
        <f t="shared" si="51"/>
        <v/>
      </c>
      <c r="U37" s="39" t="str">
        <f t="shared" si="51"/>
        <v/>
      </c>
      <c r="V37" s="39" t="str">
        <f t="shared" si="51"/>
        <v/>
      </c>
      <c r="W37" s="39" t="str">
        <f t="shared" si="51"/>
        <v/>
      </c>
      <c r="X37" s="39" t="str">
        <f t="shared" si="51"/>
        <v/>
      </c>
      <c r="Y37" s="39" t="str">
        <f t="shared" si="51"/>
        <v/>
      </c>
      <c r="Z37" s="39" t="str">
        <f t="shared" si="51"/>
        <v/>
      </c>
      <c r="AA37" s="39" t="str">
        <f t="shared" si="51"/>
        <v/>
      </c>
      <c r="AB37" s="39" t="str">
        <f t="shared" si="51"/>
        <v/>
      </c>
      <c r="AC37" s="39" t="str">
        <f t="shared" si="51"/>
        <v/>
      </c>
      <c r="AD37" s="39" t="str">
        <f t="shared" si="51"/>
        <v/>
      </c>
      <c r="AE37" s="39" t="str">
        <f t="shared" si="51"/>
        <v/>
      </c>
      <c r="AF37" s="39" t="str">
        <f t="shared" si="51"/>
        <v/>
      </c>
      <c r="AG37" s="39" t="str">
        <f t="shared" si="51"/>
        <v/>
      </c>
      <c r="AH37" s="39" t="str">
        <f t="shared" si="51"/>
        <v/>
      </c>
      <c r="AI37" s="39" t="str">
        <f t="shared" si="51"/>
        <v/>
      </c>
      <c r="AJ37" s="39" t="str">
        <f t="shared" ref="AJ37:BD37" si="52">IFERROR(ROUNDUP(AJ35/(Tests_per_day_per_lab*7)*Hygienists_per_lab,0),"")</f>
        <v/>
      </c>
      <c r="AK37" s="39" t="str">
        <f t="shared" si="52"/>
        <v/>
      </c>
      <c r="AL37" s="39" t="str">
        <f t="shared" si="52"/>
        <v/>
      </c>
      <c r="AM37" s="39" t="str">
        <f t="shared" si="52"/>
        <v/>
      </c>
      <c r="AN37" s="39" t="str">
        <f t="shared" si="52"/>
        <v/>
      </c>
      <c r="AO37" s="39" t="str">
        <f t="shared" si="52"/>
        <v/>
      </c>
      <c r="AP37" s="39" t="str">
        <f t="shared" si="52"/>
        <v/>
      </c>
      <c r="AQ37" s="39" t="str">
        <f t="shared" si="52"/>
        <v/>
      </c>
      <c r="AR37" s="39" t="str">
        <f t="shared" si="52"/>
        <v/>
      </c>
      <c r="AS37" s="39" t="str">
        <f t="shared" si="52"/>
        <v/>
      </c>
      <c r="AT37" s="39" t="str">
        <f t="shared" si="52"/>
        <v/>
      </c>
      <c r="AU37" s="39" t="str">
        <f t="shared" si="52"/>
        <v/>
      </c>
      <c r="AV37" s="39" t="str">
        <f t="shared" si="52"/>
        <v/>
      </c>
      <c r="AW37" s="39" t="str">
        <f t="shared" si="52"/>
        <v/>
      </c>
      <c r="AX37" s="39" t="str">
        <f t="shared" si="52"/>
        <v/>
      </c>
      <c r="AY37" s="39" t="str">
        <f t="shared" si="52"/>
        <v/>
      </c>
      <c r="AZ37" s="39" t="str">
        <f t="shared" si="52"/>
        <v/>
      </c>
      <c r="BA37" s="39" t="str">
        <f t="shared" si="52"/>
        <v/>
      </c>
      <c r="BB37" s="39" t="str">
        <f t="shared" si="52"/>
        <v/>
      </c>
      <c r="BC37" s="39" t="str">
        <f t="shared" si="52"/>
        <v/>
      </c>
      <c r="BD37" s="39" t="str">
        <f t="shared" si="52"/>
        <v/>
      </c>
      <c r="BF37" s="39">
        <f>SUMIFS(D37:BD37,D$14:BD$14,"&gt;="&amp;Start_week_for_forecasting,D$14:BD$14,"&lt;="&amp;WeekSuppliedUntil)</f>
        <v>7</v>
      </c>
      <c r="BG37" s="138"/>
      <c r="BH37" s="39">
        <f>IF(Start_week_for_forecasting+'User Dashboard'!$I$19='Patient Calc Assumptions'!$C$50,MAX($D37:$BD37),INDEX($D37:$BD37,MATCH(WeekSuppliedUntil,D$14:BD$14,0)))</f>
        <v>1</v>
      </c>
    </row>
  </sheetData>
  <sheetProtection algorithmName="SHA-512" hashValue="sMGtatbmFABbfZLixF3Q6HiU2SdKnNuUL9ghORScFT75tzaVnhTq4onr10XDnN4QRjfWUDR7b8G6xaCYSk87sA==" saltValue="XYFIvSKfNtflFXBxb7ODuw==" spinCount="100000" sheet="1" objects="1" scenarios="1"/>
  <mergeCells count="3">
    <mergeCell ref="D12:BD12"/>
    <mergeCell ref="D13:BD13"/>
    <mergeCell ref="D16:BD16"/>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2:BR67"/>
  <sheetViews>
    <sheetView showGridLines="0" topLeftCell="AW37" zoomScale="70" zoomScaleNormal="70" workbookViewId="0">
      <selection activeCell="BH58" sqref="BH58"/>
    </sheetView>
  </sheetViews>
  <sheetFormatPr defaultColWidth="8.5703125" defaultRowHeight="15" outlineLevelCol="1" x14ac:dyDescent="0.25"/>
  <cols>
    <col min="1" max="1" width="3.42578125" customWidth="1"/>
    <col min="2" max="2" width="34.42578125" bestFit="1" customWidth="1"/>
    <col min="3" max="3" width="40.7109375" customWidth="1"/>
    <col min="4" max="4" width="16.28515625" bestFit="1" customWidth="1" outlineLevel="1"/>
    <col min="5" max="6" width="12" customWidth="1" outlineLevel="1"/>
    <col min="7" max="14" width="13" customWidth="1" outlineLevel="1"/>
    <col min="15" max="15" width="13.5703125" bestFit="1" customWidth="1" outlineLevel="1"/>
    <col min="16" max="16" width="14.7109375" customWidth="1"/>
    <col min="17" max="17" width="15.42578125" bestFit="1" customWidth="1"/>
    <col min="18" max="18" width="8.5703125" customWidth="1"/>
    <col min="19" max="19" width="8.5703125" style="138" customWidth="1"/>
    <col min="20" max="21" width="8.5703125" customWidth="1"/>
    <col min="22" max="22" width="15" bestFit="1" customWidth="1"/>
    <col min="23" max="23" width="15.42578125" bestFit="1" customWidth="1"/>
    <col min="24" max="24" width="14" bestFit="1" customWidth="1"/>
    <col min="25" max="25" width="9.5703125" customWidth="1"/>
    <col min="26" max="27" width="11.42578125" customWidth="1"/>
    <col min="28" max="29" width="12.42578125" customWidth="1"/>
    <col min="30" max="30" width="13" customWidth="1"/>
    <col min="31" max="57" width="13" style="138" customWidth="1"/>
    <col min="58" max="58" width="15.85546875" style="138" customWidth="1"/>
    <col min="59" max="59" width="13" style="138" customWidth="1"/>
    <col min="60" max="60" width="14.140625" style="138" customWidth="1"/>
    <col min="61" max="70" width="13" style="138" customWidth="1"/>
    <col min="72" max="72" width="23.42578125" bestFit="1" customWidth="1"/>
    <col min="74" max="74" width="22.5703125" bestFit="1" customWidth="1"/>
  </cols>
  <sheetData>
    <row r="2" spans="2:15" s="29" customFormat="1" ht="18.75" x14ac:dyDescent="0.3">
      <c r="B2" s="29" t="s">
        <v>1174</v>
      </c>
    </row>
    <row r="4" spans="2:15" s="16" customFormat="1" hidden="1" x14ac:dyDescent="0.25">
      <c r="B4" s="15" t="s">
        <v>286</v>
      </c>
      <c r="C4" s="15"/>
    </row>
    <row r="5" spans="2:15" hidden="1" x14ac:dyDescent="0.25">
      <c r="B5" t="s">
        <v>287</v>
      </c>
      <c r="D5" s="12"/>
    </row>
    <row r="6" spans="2:15" hidden="1" x14ac:dyDescent="0.25">
      <c r="B6" t="s">
        <v>288</v>
      </c>
      <c r="D6" s="13"/>
    </row>
    <row r="7" spans="2:15" hidden="1" x14ac:dyDescent="0.25">
      <c r="B7" s="6" t="s">
        <v>289</v>
      </c>
      <c r="C7" s="6"/>
      <c r="D7" s="14"/>
    </row>
    <row r="8" spans="2:15" hidden="1" x14ac:dyDescent="0.25"/>
    <row r="9" spans="2:15" s="16" customFormat="1" x14ac:dyDescent="0.25">
      <c r="B9" s="15" t="s">
        <v>813</v>
      </c>
      <c r="C9" s="15"/>
    </row>
    <row r="10" spans="2:15" x14ac:dyDescent="0.25">
      <c r="B10" s="757" t="s">
        <v>1589</v>
      </c>
      <c r="C10" s="757"/>
      <c r="D10" s="757"/>
      <c r="E10" s="757"/>
      <c r="F10" s="757"/>
      <c r="G10" s="757"/>
      <c r="H10" s="757"/>
      <c r="I10" s="757"/>
      <c r="J10" s="757"/>
      <c r="K10" s="757"/>
      <c r="L10" s="210"/>
      <c r="M10" s="210"/>
      <c r="N10" s="210"/>
      <c r="O10" s="210"/>
    </row>
    <row r="11" spans="2:15" ht="17.100000000000001" customHeight="1" x14ac:dyDescent="0.25">
      <c r="B11" s="210"/>
      <c r="C11" s="210"/>
      <c r="D11" s="210"/>
      <c r="E11" s="210"/>
      <c r="F11" s="210"/>
      <c r="G11" s="210"/>
      <c r="H11" s="210"/>
      <c r="I11" s="210"/>
      <c r="J11" s="210"/>
      <c r="K11" s="210"/>
      <c r="L11" s="210"/>
      <c r="M11" s="210"/>
      <c r="N11" s="210"/>
      <c r="O11" s="210"/>
    </row>
    <row r="12" spans="2:15" s="16" customFormat="1" x14ac:dyDescent="0.25">
      <c r="B12" s="15" t="s">
        <v>1246</v>
      </c>
      <c r="C12" s="15"/>
    </row>
    <row r="14" spans="2:15" s="138" customFormat="1" x14ac:dyDescent="0.25">
      <c r="B14" s="138" t="s">
        <v>949</v>
      </c>
      <c r="D14" s="39">
        <f>IF(ISBLANK('User Dashboard'!$I$28),Output_beds_in_country,'User Dashboard'!$I$28)</f>
        <v>83316.899999999994</v>
      </c>
    </row>
    <row r="15" spans="2:15" s="138" customFormat="1" x14ac:dyDescent="0.25">
      <c r="B15" s="138" t="s">
        <v>948</v>
      </c>
      <c r="D15" s="39">
        <f>IF(ISBLANK('User Dashboard'!$I$28),$D$14,'User Dashboard'!$I$28)</f>
        <v>83316.899999999994</v>
      </c>
      <c r="E15" s="653" t="s">
        <v>1579</v>
      </c>
    </row>
    <row r="16" spans="2:15" s="138" customFormat="1" x14ac:dyDescent="0.25">
      <c r="B16" s="138" t="s">
        <v>922</v>
      </c>
      <c r="D16" s="38">
        <f>D15-D17</f>
        <v>80550.778919999997</v>
      </c>
      <c r="E16" s="654" t="s">
        <v>1580</v>
      </c>
      <c r="H16" s="162"/>
    </row>
    <row r="17" spans="1:70" s="138" customFormat="1" x14ac:dyDescent="0.25">
      <c r="B17" s="138" t="s">
        <v>921</v>
      </c>
      <c r="D17" s="39">
        <f>IF(ISBLANK('User Dashboard'!$I$29),$D$14*IF('User Dashboard'!$C$17="Manual",'Hospital Beds by Country'!$BV$16,INDEX('Hospital Beds by Country'!$BQ$5:$BQ$268,MATCH('User Dashboard'!$C$17,'Hospital Beds by Country'!$B$5:$B$268,0))/100),$D$14*'User Dashboard'!$I$29)</f>
        <v>2766.1210799999999</v>
      </c>
      <c r="E17" s="31" t="s">
        <v>1578</v>
      </c>
      <c r="H17" s="162"/>
    </row>
    <row r="18" spans="1:70" s="138" customFormat="1" x14ac:dyDescent="0.25"/>
    <row r="19" spans="1:70" s="63" customFormat="1" x14ac:dyDescent="0.25">
      <c r="D19" s="754" t="s">
        <v>840</v>
      </c>
      <c r="E19" s="754"/>
      <c r="F19" s="754"/>
      <c r="G19" s="754"/>
      <c r="H19" s="754"/>
      <c r="I19" s="754"/>
      <c r="J19" s="754"/>
      <c r="K19" s="754"/>
      <c r="L19" s="754"/>
      <c r="M19" s="754"/>
      <c r="N19" s="754"/>
      <c r="O19" s="754"/>
      <c r="P19" s="754"/>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2"/>
      <c r="BA19" s="172"/>
      <c r="BB19" s="172"/>
      <c r="BC19" s="172"/>
      <c r="BD19" s="172"/>
    </row>
    <row r="20" spans="1:70" x14ac:dyDescent="0.25">
      <c r="D20" s="756" t="s">
        <v>347</v>
      </c>
      <c r="E20" s="756"/>
      <c r="F20" s="756"/>
      <c r="G20" s="756"/>
      <c r="H20" s="756"/>
      <c r="I20" s="756"/>
      <c r="J20" s="756"/>
      <c r="K20" s="756"/>
      <c r="L20" s="756"/>
      <c r="M20" s="756"/>
      <c r="N20" s="756"/>
      <c r="O20" s="756"/>
      <c r="P20" s="756"/>
      <c r="Q20" s="756"/>
      <c r="R20" s="756"/>
      <c r="S20" s="756"/>
      <c r="T20" s="756"/>
      <c r="U20" s="756"/>
      <c r="V20" s="756"/>
      <c r="W20" s="756"/>
      <c r="X20" s="756"/>
      <c r="Y20" s="756"/>
      <c r="Z20" s="756"/>
      <c r="AA20" s="756"/>
      <c r="AB20" s="756"/>
      <c r="AC20" s="756"/>
      <c r="AD20" s="756"/>
      <c r="AE20" s="756"/>
      <c r="AF20" s="756"/>
      <c r="AG20" s="756"/>
      <c r="AH20" s="756"/>
      <c r="AI20" s="756"/>
      <c r="AJ20" s="756"/>
      <c r="AK20" s="756"/>
      <c r="AL20" s="756"/>
      <c r="AM20" s="756"/>
      <c r="AN20" s="756"/>
      <c r="AO20" s="756"/>
      <c r="AP20" s="756"/>
      <c r="AQ20" s="756"/>
      <c r="AR20" s="756"/>
      <c r="AS20" s="756"/>
      <c r="AT20" s="756"/>
      <c r="AU20" s="756"/>
      <c r="AV20" s="756"/>
      <c r="AW20" s="756"/>
      <c r="AX20" s="756"/>
      <c r="AY20" s="756"/>
      <c r="AZ20" s="756"/>
      <c r="BA20" s="756"/>
      <c r="BB20" s="756"/>
      <c r="BC20" s="756"/>
      <c r="BD20" s="756"/>
      <c r="BE20"/>
      <c r="BF20"/>
      <c r="BG20"/>
      <c r="BH20"/>
      <c r="BI20"/>
      <c r="BJ20"/>
      <c r="BK20"/>
      <c r="BL20"/>
      <c r="BM20"/>
      <c r="BN20"/>
      <c r="BO20"/>
      <c r="BP20"/>
      <c r="BQ20"/>
      <c r="BR20"/>
    </row>
    <row r="21" spans="1:70" x14ac:dyDescent="0.25">
      <c r="D21" s="28">
        <v>0</v>
      </c>
      <c r="E21" s="28">
        <v>1</v>
      </c>
      <c r="F21" s="28">
        <v>2</v>
      </c>
      <c r="G21" s="28">
        <v>3</v>
      </c>
      <c r="H21" s="28">
        <v>4</v>
      </c>
      <c r="I21" s="27">
        <v>5</v>
      </c>
      <c r="J21" s="27">
        <v>6</v>
      </c>
      <c r="K21" s="27">
        <v>7</v>
      </c>
      <c r="L21" s="27">
        <v>8</v>
      </c>
      <c r="M21" s="28">
        <v>9</v>
      </c>
      <c r="N21" s="28">
        <v>10</v>
      </c>
      <c r="O21" s="28">
        <v>11</v>
      </c>
      <c r="P21" s="28">
        <v>12</v>
      </c>
      <c r="Q21" s="28">
        <v>13</v>
      </c>
      <c r="R21" s="28">
        <v>14</v>
      </c>
      <c r="S21" s="28">
        <v>15</v>
      </c>
      <c r="T21" s="28">
        <v>16</v>
      </c>
      <c r="U21" s="28">
        <v>17</v>
      </c>
      <c r="V21" s="28">
        <v>18</v>
      </c>
      <c r="W21" s="28">
        <v>19</v>
      </c>
      <c r="X21" s="28">
        <v>20</v>
      </c>
      <c r="Y21" s="28">
        <v>21</v>
      </c>
      <c r="Z21" s="28">
        <v>22</v>
      </c>
      <c r="AA21" s="28">
        <v>23</v>
      </c>
      <c r="AB21" s="28">
        <v>24</v>
      </c>
      <c r="AC21" s="28">
        <v>25</v>
      </c>
      <c r="AD21" s="28">
        <v>26</v>
      </c>
      <c r="AE21" s="28">
        <v>27</v>
      </c>
      <c r="AF21" s="28">
        <v>28</v>
      </c>
      <c r="AG21" s="28">
        <v>29</v>
      </c>
      <c r="AH21" s="28">
        <v>30</v>
      </c>
      <c r="AI21" s="28">
        <v>31</v>
      </c>
      <c r="AJ21" s="28">
        <v>32</v>
      </c>
      <c r="AK21" s="28">
        <v>33</v>
      </c>
      <c r="AL21" s="28">
        <v>34</v>
      </c>
      <c r="AM21" s="28">
        <v>35</v>
      </c>
      <c r="AN21" s="28">
        <v>36</v>
      </c>
      <c r="AO21" s="28">
        <v>37</v>
      </c>
      <c r="AP21" s="28">
        <v>38</v>
      </c>
      <c r="AQ21" s="28">
        <v>39</v>
      </c>
      <c r="AR21" s="28">
        <v>40</v>
      </c>
      <c r="AS21" s="28">
        <v>41</v>
      </c>
      <c r="AT21" s="28">
        <v>42</v>
      </c>
      <c r="AU21" s="28">
        <v>43</v>
      </c>
      <c r="AV21" s="28">
        <v>44</v>
      </c>
      <c r="AW21" s="28">
        <v>45</v>
      </c>
      <c r="AX21" s="28">
        <v>46</v>
      </c>
      <c r="AY21" s="28">
        <v>47</v>
      </c>
      <c r="AZ21" s="28">
        <v>48</v>
      </c>
      <c r="BA21" s="28">
        <v>49</v>
      </c>
      <c r="BB21" s="28">
        <v>50</v>
      </c>
      <c r="BC21" s="28">
        <v>51</v>
      </c>
      <c r="BD21" s="28">
        <v>52</v>
      </c>
      <c r="BE21"/>
      <c r="BF21" s="28" t="s">
        <v>847</v>
      </c>
      <c r="BG21"/>
      <c r="BH21" s="28" t="s">
        <v>952</v>
      </c>
      <c r="BI21"/>
      <c r="BJ21"/>
      <c r="BK21"/>
      <c r="BL21"/>
      <c r="BM21"/>
      <c r="BN21"/>
      <c r="BO21"/>
      <c r="BP21"/>
      <c r="BQ21"/>
      <c r="BR21"/>
    </row>
    <row r="22" spans="1:70" x14ac:dyDescent="0.25">
      <c r="A22" s="65"/>
      <c r="B22" s="65"/>
      <c r="C22" s="66" t="s">
        <v>945</v>
      </c>
      <c r="D22" s="38">
        <f>IFERROR(VLOOKUP(D$21,'Automated Patient Calcs'!$A:$C,3,FALSE),"")</f>
        <v>1</v>
      </c>
      <c r="E22" s="38">
        <f>IFERROR(VLOOKUP(E$21,'Automated Patient Calcs'!$A:$C,3,FALSE),"")</f>
        <v>2.363585661014858</v>
      </c>
      <c r="F22" s="38">
        <f>IFERROR(VLOOKUP(F$21,'Automated Patient Calcs'!$A:$C,3,FALSE),"")</f>
        <v>7.9501228379699018</v>
      </c>
      <c r="G22" s="38">
        <f>IFERROR(VLOOKUP(G$21,'Automated Patient Calcs'!$A:$C,3,FALSE),"")</f>
        <v>26.740919181102313</v>
      </c>
      <c r="H22" s="38">
        <f>IFERROR(VLOOKUP(H$21,'Automated Patient Calcs'!$A:$C,3,FALSE),"")</f>
        <v>89.945372319912934</v>
      </c>
      <c r="I22" s="38">
        <f>IFERROR(VLOOKUP(I$21,'Automated Patient Calcs'!$A:$C,3,FALSE),"")</f>
        <v>302.5389646099016</v>
      </c>
      <c r="J22" s="38">
        <f>IFERROR(VLOOKUP(J$21,'Automated Patient Calcs'!$A:$C,3,FALSE),"")</f>
        <v>1017.6157232601479</v>
      </c>
      <c r="K22" s="38">
        <f>IFERROR(VLOOKUP(K$21,'Automated Patient Calcs'!$A:$C,3,FALSE),"")</f>
        <v>3422.8376551810952</v>
      </c>
      <c r="L22" s="38">
        <f>IFERROR(VLOOKUP(L$21,'Automated Patient Calcs'!$A:$C,3,FALSE),"")</f>
        <v>11513.007656948856</v>
      </c>
      <c r="M22" s="38">
        <f>IFERROR(VLOOKUP(M$21,'Automated Patient Calcs'!$A:$C,3,FALSE),"")</f>
        <v>38724.98747006739</v>
      </c>
      <c r="N22" s="38">
        <f>IFERROR(VLOOKUP(N$21,'Automated Patient Calcs'!$A:$C,3,FALSE),"")</f>
        <v>130254.8125772987</v>
      </c>
      <c r="O22" s="38">
        <f>IFERROR(VLOOKUP(O$21,'Automated Patient Calcs'!$A:$C,3,FALSE),"")</f>
        <v>438123.21986318077</v>
      </c>
      <c r="P22" s="38">
        <f>IFERROR(VLOOKUP(P$21,'Automated Patient Calcs'!$A:$C,3,FALSE),"")</f>
        <v>1473664.980089453</v>
      </c>
      <c r="Q22" s="38">
        <f>IFERROR(VLOOKUP(Q$21,'Automated Patient Calcs'!$A:$C,3,FALSE),"")</f>
        <v>4956798.3961686306</v>
      </c>
      <c r="R22" s="38">
        <f>IFERROR(VLOOKUP(R$21,'Automated Patient Calcs'!$A:$C,3,FALSE),"")</f>
        <v>1716249.6038313694</v>
      </c>
      <c r="S22" s="38" t="str">
        <f>IFERROR(VLOOKUP(S$21,'Automated Patient Calcs'!$A:$C,3,FALSE),"")</f>
        <v/>
      </c>
      <c r="T22" s="38" t="str">
        <f>IFERROR(VLOOKUP(T$21,'Automated Patient Calcs'!$A:$C,3,FALSE),"")</f>
        <v/>
      </c>
      <c r="U22" s="38" t="str">
        <f>IFERROR(VLOOKUP(U$21,'Automated Patient Calcs'!$A:$C,3,FALSE),"")</f>
        <v/>
      </c>
      <c r="V22" s="38" t="str">
        <f>IFERROR(VLOOKUP(V$21,'Automated Patient Calcs'!$A:$C,3,FALSE),"")</f>
        <v/>
      </c>
      <c r="W22" s="38" t="str">
        <f>IFERROR(VLOOKUP(W$21,'Automated Patient Calcs'!$A:$C,3,FALSE),"")</f>
        <v/>
      </c>
      <c r="X22" s="38" t="str">
        <f>IFERROR(VLOOKUP(X$21,'Automated Patient Calcs'!$A:$C,3,FALSE),"")</f>
        <v/>
      </c>
      <c r="Y22" s="38" t="str">
        <f>IFERROR(VLOOKUP(Y$21,'Automated Patient Calcs'!$A:$C,3,FALSE),"")</f>
        <v/>
      </c>
      <c r="Z22" s="38" t="str">
        <f>IFERROR(VLOOKUP(Z$21,'Automated Patient Calcs'!$A:$C,3,FALSE),"")</f>
        <v/>
      </c>
      <c r="AA22" s="38" t="str">
        <f>IFERROR(VLOOKUP(AA$21,'Automated Patient Calcs'!$A:$C,3,FALSE),"")</f>
        <v/>
      </c>
      <c r="AB22" s="38" t="str">
        <f>IFERROR(VLOOKUP(AB$21,'Automated Patient Calcs'!$A:$C,3,FALSE),"")</f>
        <v/>
      </c>
      <c r="AC22" s="38" t="str">
        <f>IFERROR(VLOOKUP(AC$21,'Automated Patient Calcs'!$A:$C,3,FALSE),"")</f>
        <v/>
      </c>
      <c r="AD22" s="38" t="str">
        <f>IFERROR(VLOOKUP(AD$21,'Automated Patient Calcs'!$A:$C,3,FALSE),"")</f>
        <v/>
      </c>
      <c r="AE22" s="38" t="str">
        <f>IFERROR(VLOOKUP(AE$21,'Automated Patient Calcs'!$A:$C,3,FALSE),"")</f>
        <v/>
      </c>
      <c r="AF22" s="38" t="str">
        <f>IFERROR(VLOOKUP(AF$21,'Automated Patient Calcs'!$A:$C,3,FALSE),"")</f>
        <v/>
      </c>
      <c r="AG22" s="38" t="str">
        <f>IFERROR(VLOOKUP(AG$21,'Automated Patient Calcs'!$A:$C,3,FALSE),"")</f>
        <v/>
      </c>
      <c r="AH22" s="38" t="str">
        <f>IFERROR(VLOOKUP(AH$21,'Automated Patient Calcs'!$A:$C,3,FALSE),"")</f>
        <v/>
      </c>
      <c r="AI22" s="38" t="str">
        <f>IFERROR(VLOOKUP(AI$21,'Automated Patient Calcs'!$A:$C,3,FALSE),"")</f>
        <v/>
      </c>
      <c r="AJ22" s="38" t="str">
        <f>IFERROR(VLOOKUP(AJ$21,'Automated Patient Calcs'!$A:$C,3,FALSE),"")</f>
        <v/>
      </c>
      <c r="AK22" s="38" t="str">
        <f>IFERROR(VLOOKUP(AK$21,'Automated Patient Calcs'!$A:$C,3,FALSE),"")</f>
        <v/>
      </c>
      <c r="AL22" s="38" t="str">
        <f>IFERROR(VLOOKUP(AL$21,'Automated Patient Calcs'!$A:$C,3,FALSE),"")</f>
        <v/>
      </c>
      <c r="AM22" s="38" t="str">
        <f>IFERROR(VLOOKUP(AM$21,'Automated Patient Calcs'!$A:$C,3,FALSE),"")</f>
        <v/>
      </c>
      <c r="AN22" s="38" t="str">
        <f>IFERROR(VLOOKUP(AN$21,'Automated Patient Calcs'!$A:$C,3,FALSE),"")</f>
        <v/>
      </c>
      <c r="AO22" s="38" t="str">
        <f>IFERROR(VLOOKUP(AO$21,'Automated Patient Calcs'!$A:$C,3,FALSE),"")</f>
        <v/>
      </c>
      <c r="AP22" s="38" t="str">
        <f>IFERROR(VLOOKUP(AP$21,'Automated Patient Calcs'!$A:$C,3,FALSE),"")</f>
        <v/>
      </c>
      <c r="AQ22" s="38" t="str">
        <f>IFERROR(VLOOKUP(AQ$21,'Automated Patient Calcs'!$A:$C,3,FALSE),"")</f>
        <v/>
      </c>
      <c r="AR22" s="38" t="str">
        <f>IFERROR(VLOOKUP(AR$21,'Automated Patient Calcs'!$A:$C,3,FALSE),"")</f>
        <v/>
      </c>
      <c r="AS22" s="38" t="str">
        <f>IFERROR(VLOOKUP(AS$21,'Automated Patient Calcs'!$A:$C,3,FALSE),"")</f>
        <v/>
      </c>
      <c r="AT22" s="38" t="str">
        <f>IFERROR(VLOOKUP(AT$21,'Automated Patient Calcs'!$A:$C,3,FALSE),"")</f>
        <v/>
      </c>
      <c r="AU22" s="38" t="str">
        <f>IFERROR(VLOOKUP(AU$21,'Automated Patient Calcs'!$A:$C,3,FALSE),"")</f>
        <v/>
      </c>
      <c r="AV22" s="38" t="str">
        <f>IFERROR(VLOOKUP(AV$21,'Automated Patient Calcs'!$A:$C,3,FALSE),"")</f>
        <v/>
      </c>
      <c r="AW22" s="38" t="str">
        <f>IFERROR(VLOOKUP(AW$21,'Automated Patient Calcs'!$A:$C,3,FALSE),"")</f>
        <v/>
      </c>
      <c r="AX22" s="38" t="str">
        <f>IFERROR(VLOOKUP(AX$21,'Automated Patient Calcs'!$A:$C,3,FALSE),"")</f>
        <v/>
      </c>
      <c r="AY22" s="38" t="str">
        <f>IFERROR(VLOOKUP(AY$21,'Automated Patient Calcs'!$A:$C,3,FALSE),"")</f>
        <v/>
      </c>
      <c r="AZ22" s="38" t="str">
        <f>IFERROR(VLOOKUP(AZ$21,'Automated Patient Calcs'!$A:$C,3,FALSE),"")</f>
        <v/>
      </c>
      <c r="BA22" s="38" t="str">
        <f>IFERROR(VLOOKUP(BA$21,'Automated Patient Calcs'!$A:$C,3,FALSE),"")</f>
        <v/>
      </c>
      <c r="BB22" s="38" t="str">
        <f>IFERROR(VLOOKUP(BB$21,'Automated Patient Calcs'!$A:$C,3,FALSE),"")</f>
        <v/>
      </c>
      <c r="BC22" s="38" t="str">
        <f>IFERROR(VLOOKUP(BC$21,'Automated Patient Calcs'!$A:$C,3,FALSE),"")</f>
        <v/>
      </c>
      <c r="BD22" s="38" t="str">
        <f>IFERROR(VLOOKUP(BD$21,'Automated Patient Calcs'!$A:$C,3,FALSE),"")</f>
        <v/>
      </c>
      <c r="BE22"/>
      <c r="BF22" s="136">
        <f>SUMIFS('Automated Patient Calcs'!$C$2:$C$54,'Automated Patient Calcs'!$A$2:$A$54,"&gt;="&amp;Start_week_for_forecasting,'Automated Patient Calcs'!$A$2:$A$54,"&lt;="&amp;WeekSuppliedUntil)</f>
        <v>1448.1546878700494</v>
      </c>
      <c r="BG22"/>
      <c r="BH22"/>
      <c r="BI22"/>
      <c r="BJ22"/>
      <c r="BK22"/>
      <c r="BL22"/>
      <c r="BM22"/>
      <c r="BN22"/>
      <c r="BO22"/>
      <c r="BP22"/>
      <c r="BQ22"/>
      <c r="BR22"/>
    </row>
    <row r="23" spans="1:70" x14ac:dyDescent="0.25">
      <c r="C23" t="s">
        <v>344</v>
      </c>
      <c r="D23" s="38">
        <f>IFERROR(VLOOKUP(D$21,'Automated Patient Calcs'!$A:$E,5,FALSE),"")</f>
        <v>0.8</v>
      </c>
      <c r="E23" s="38">
        <f>IFERROR(VLOOKUP(E$21,'Automated Patient Calcs'!$A:$E,5,FALSE),"")</f>
        <v>1.8908685288118865</v>
      </c>
      <c r="F23" s="38">
        <f>IFERROR(VLOOKUP(F$21,'Automated Patient Calcs'!$A:$E,5,FALSE),"")</f>
        <v>6.3600982703759215</v>
      </c>
      <c r="G23" s="38">
        <f>IFERROR(VLOOKUP(G$21,'Automated Patient Calcs'!$A:$E,5,FALSE),"")</f>
        <v>21.392735344881853</v>
      </c>
      <c r="H23" s="38">
        <f>IFERROR(VLOOKUP(H$21,'Automated Patient Calcs'!$A:$E,5,FALSE),"")</f>
        <v>71.956297855930345</v>
      </c>
      <c r="I23" s="38">
        <f>IFERROR(VLOOKUP(I$21,'Automated Patient Calcs'!$A:$E,5,FALSE),"")</f>
        <v>242.0311716879213</v>
      </c>
      <c r="J23" s="38">
        <f>IFERROR(VLOOKUP(J$21,'Automated Patient Calcs'!$A:$E,5,FALSE),"")</f>
        <v>814.0925786081184</v>
      </c>
      <c r="K23" s="38">
        <f>IFERROR(VLOOKUP(K$21,'Automated Patient Calcs'!$A:$E,5,FALSE),"")</f>
        <v>2738.2701241448763</v>
      </c>
      <c r="L23" s="38">
        <f>IFERROR(VLOOKUP(L$21,'Automated Patient Calcs'!$A:$E,5,FALSE),"")</f>
        <v>9210.4061255590841</v>
      </c>
      <c r="M23" s="38">
        <f>IFERROR(VLOOKUP(M$21,'Automated Patient Calcs'!$A:$E,5,FALSE),"")</f>
        <v>30979.989976053912</v>
      </c>
      <c r="N23" s="38">
        <f>IFERROR(VLOOKUP(N$21,'Automated Patient Calcs'!$A:$E,5,FALSE),"")</f>
        <v>104203.85006183897</v>
      </c>
      <c r="O23" s="38">
        <f>IFERROR(VLOOKUP(O$21,'Automated Patient Calcs'!$A:$E,5,FALSE),"")</f>
        <v>350498.57589054463</v>
      </c>
      <c r="P23" s="38">
        <f>IFERROR(VLOOKUP(P$21,'Automated Patient Calcs'!$A:$E,5,FALSE),"")</f>
        <v>1178931.9840715625</v>
      </c>
      <c r="Q23" s="38">
        <f>IFERROR(VLOOKUP(Q$21,'Automated Patient Calcs'!$A:$E,5,FALSE),"")</f>
        <v>3965438.7169349045</v>
      </c>
      <c r="R23" s="38">
        <f>IFERROR(VLOOKUP(R$21,'Automated Patient Calcs'!$A:$E,5,FALSE),"")</f>
        <v>1372999.6830650957</v>
      </c>
      <c r="S23" s="38" t="str">
        <f>IFERROR(VLOOKUP(S$21,'Automated Patient Calcs'!$A:$E,5,FALSE),"")</f>
        <v/>
      </c>
      <c r="T23" s="38" t="str">
        <f>IFERROR(VLOOKUP(T$21,'Automated Patient Calcs'!$A:$E,5,FALSE),"")</f>
        <v/>
      </c>
      <c r="U23" s="38" t="str">
        <f>IFERROR(VLOOKUP(U$21,'Automated Patient Calcs'!$A:$E,5,FALSE),"")</f>
        <v/>
      </c>
      <c r="V23" s="38" t="str">
        <f>IFERROR(VLOOKUP(V$21,'Automated Patient Calcs'!$A:$E,5,FALSE),"")</f>
        <v/>
      </c>
      <c r="W23" s="38" t="str">
        <f>IFERROR(VLOOKUP(W$21,'Automated Patient Calcs'!$A:$E,5,FALSE),"")</f>
        <v/>
      </c>
      <c r="X23" s="38" t="str">
        <f>IFERROR(VLOOKUP(X$21,'Automated Patient Calcs'!$A:$E,5,FALSE),"")</f>
        <v/>
      </c>
      <c r="Y23" s="38" t="str">
        <f>IFERROR(VLOOKUP(Y$21,'Automated Patient Calcs'!$A:$E,5,FALSE),"")</f>
        <v/>
      </c>
      <c r="Z23" s="38" t="str">
        <f>IFERROR(VLOOKUP(Z$21,'Automated Patient Calcs'!$A:$E,5,FALSE),"")</f>
        <v/>
      </c>
      <c r="AA23" s="38" t="str">
        <f>IFERROR(VLOOKUP(AA$21,'Automated Patient Calcs'!$A:$E,5,FALSE),"")</f>
        <v/>
      </c>
      <c r="AB23" s="38" t="str">
        <f>IFERROR(VLOOKUP(AB$21,'Automated Patient Calcs'!$A:$E,5,FALSE),"")</f>
        <v/>
      </c>
      <c r="AC23" s="38" t="str">
        <f>IFERROR(VLOOKUP(AC$21,'Automated Patient Calcs'!$A:$E,5,FALSE),"")</f>
        <v/>
      </c>
      <c r="AD23" s="38" t="str">
        <f>IFERROR(VLOOKUP(AD$21,'Automated Patient Calcs'!$A:$E,5,FALSE),"")</f>
        <v/>
      </c>
      <c r="AE23" s="38" t="str">
        <f>IFERROR(VLOOKUP(AE$21,'Automated Patient Calcs'!$A:$E,5,FALSE),"")</f>
        <v/>
      </c>
      <c r="AF23" s="38" t="str">
        <f>IFERROR(VLOOKUP(AF$21,'Automated Patient Calcs'!$A:$E,5,FALSE),"")</f>
        <v/>
      </c>
      <c r="AG23" s="38" t="str">
        <f>IFERROR(VLOOKUP(AG$21,'Automated Patient Calcs'!$A:$E,5,FALSE),"")</f>
        <v/>
      </c>
      <c r="AH23" s="38" t="str">
        <f>IFERROR(VLOOKUP(AH$21,'Automated Patient Calcs'!$A:$E,5,FALSE),"")</f>
        <v/>
      </c>
      <c r="AI23" s="38" t="str">
        <f>IFERROR(VLOOKUP(AI$21,'Automated Patient Calcs'!$A:$E,5,FALSE),"")</f>
        <v/>
      </c>
      <c r="AJ23" s="38" t="str">
        <f>IFERROR(VLOOKUP(AJ$21,'Automated Patient Calcs'!$A:$E,5,FALSE),"")</f>
        <v/>
      </c>
      <c r="AK23" s="38" t="str">
        <f>IFERROR(VLOOKUP(AK$21,'Automated Patient Calcs'!$A:$E,5,FALSE),"")</f>
        <v/>
      </c>
      <c r="AL23" s="38" t="str">
        <f>IFERROR(VLOOKUP(AL$21,'Automated Patient Calcs'!$A:$E,5,FALSE),"")</f>
        <v/>
      </c>
      <c r="AM23" s="38" t="str">
        <f>IFERROR(VLOOKUP(AM$21,'Automated Patient Calcs'!$A:$E,5,FALSE),"")</f>
        <v/>
      </c>
      <c r="AN23" s="38" t="str">
        <f>IFERROR(VLOOKUP(AN$21,'Automated Patient Calcs'!$A:$E,5,FALSE),"")</f>
        <v/>
      </c>
      <c r="AO23" s="38" t="str">
        <f>IFERROR(VLOOKUP(AO$21,'Automated Patient Calcs'!$A:$E,5,FALSE),"")</f>
        <v/>
      </c>
      <c r="AP23" s="38" t="str">
        <f>IFERROR(VLOOKUP(AP$21,'Automated Patient Calcs'!$A:$E,5,FALSE),"")</f>
        <v/>
      </c>
      <c r="AQ23" s="38" t="str">
        <f>IFERROR(VLOOKUP(AQ$21,'Automated Patient Calcs'!$A:$E,5,FALSE),"")</f>
        <v/>
      </c>
      <c r="AR23" s="38" t="str">
        <f>IFERROR(VLOOKUP(AR$21,'Automated Patient Calcs'!$A:$E,5,FALSE),"")</f>
        <v/>
      </c>
      <c r="AS23" s="38" t="str">
        <f>IFERROR(VLOOKUP(AS$21,'Automated Patient Calcs'!$A:$E,5,FALSE),"")</f>
        <v/>
      </c>
      <c r="AT23" s="38" t="str">
        <f>IFERROR(VLOOKUP(AT$21,'Automated Patient Calcs'!$A:$E,5,FALSE),"")</f>
        <v/>
      </c>
      <c r="AU23" s="38" t="str">
        <f>IFERROR(VLOOKUP(AU$21,'Automated Patient Calcs'!$A:$E,5,FALSE),"")</f>
        <v/>
      </c>
      <c r="AV23" s="38" t="str">
        <f>IFERROR(VLOOKUP(AV$21,'Automated Patient Calcs'!$A:$E,5,FALSE),"")</f>
        <v/>
      </c>
      <c r="AW23" s="38" t="str">
        <f>IFERROR(VLOOKUP(AW$21,'Automated Patient Calcs'!$A:$E,5,FALSE),"")</f>
        <v/>
      </c>
      <c r="AX23" s="38" t="str">
        <f>IFERROR(VLOOKUP(AX$21,'Automated Patient Calcs'!$A:$E,5,FALSE),"")</f>
        <v/>
      </c>
      <c r="AY23" s="38" t="str">
        <f>IFERROR(VLOOKUP(AY$21,'Automated Patient Calcs'!$A:$E,5,FALSE),"")</f>
        <v/>
      </c>
      <c r="AZ23" s="38" t="str">
        <f>IFERROR(VLOOKUP(AZ$21,'Automated Patient Calcs'!$A:$E,5,FALSE),"")</f>
        <v/>
      </c>
      <c r="BA23" s="38" t="str">
        <f>IFERROR(VLOOKUP(BA$21,'Automated Patient Calcs'!$A:$E,5,FALSE),"")</f>
        <v/>
      </c>
      <c r="BB23" s="38" t="str">
        <f>IFERROR(VLOOKUP(BB$21,'Automated Patient Calcs'!$A:$E,5,FALSE),"")</f>
        <v/>
      </c>
      <c r="BC23" s="38" t="str">
        <f>IFERROR(VLOOKUP(BC$21,'Automated Patient Calcs'!$A:$E,5,FALSE),"")</f>
        <v/>
      </c>
      <c r="BD23" s="38" t="str">
        <f>IFERROR(VLOOKUP(BD$21,'Automated Patient Calcs'!$A:$E,5,FALSE),"")</f>
        <v/>
      </c>
      <c r="BE23"/>
      <c r="BF23" s="136">
        <f>SUMIFS('Automated Patient Calcs'!$E$2:$E$54,'Automated Patient Calcs'!$A$2:$A$54,"&gt;="&amp;Start_week_for_forecasting,'Automated Patient Calcs'!$A$2:$A$54,"&lt;="&amp;WeekSuppliedUntil)</f>
        <v>1158.5237502960397</v>
      </c>
      <c r="BG23"/>
      <c r="BH23"/>
      <c r="BI23"/>
      <c r="BJ23"/>
      <c r="BK23"/>
      <c r="BL23"/>
      <c r="BM23"/>
      <c r="BN23"/>
      <c r="BO23"/>
      <c r="BP23"/>
      <c r="BQ23"/>
      <c r="BR23"/>
    </row>
    <row r="24" spans="1:70" x14ac:dyDescent="0.25">
      <c r="C24" t="s">
        <v>343</v>
      </c>
      <c r="D24" s="38">
        <f>IFERROR(VLOOKUP(D$21,'Automated Patient Calcs'!$A:$G,7,FALSE),"")</f>
        <v>0.15</v>
      </c>
      <c r="E24" s="38">
        <f>IFERROR(VLOOKUP(E$21,'Automated Patient Calcs'!$A:$G,7,FALSE),"")</f>
        <v>0.35453784915222869</v>
      </c>
      <c r="F24" s="38">
        <f>IFERROR(VLOOKUP(F$21,'Automated Patient Calcs'!$A:$G,7,FALSE),"")</f>
        <v>1.1925184256954853</v>
      </c>
      <c r="G24" s="38">
        <f>IFERROR(VLOOKUP(G$21,'Automated Patient Calcs'!$A:$G,7,FALSE),"")</f>
        <v>4.0111378771653472</v>
      </c>
      <c r="H24" s="38">
        <f>IFERROR(VLOOKUP(H$21,'Automated Patient Calcs'!$A:$G,7,FALSE),"")</f>
        <v>13.49180584798694</v>
      </c>
      <c r="I24" s="38">
        <f>IFERROR(VLOOKUP(I$21,'Automated Patient Calcs'!$A:$G,7,FALSE),"")</f>
        <v>45.380844691485237</v>
      </c>
      <c r="J24" s="38">
        <f>IFERROR(VLOOKUP(J$21,'Automated Patient Calcs'!$A:$G,7,FALSE),"")</f>
        <v>152.64235848902217</v>
      </c>
      <c r="K24" s="38">
        <f>IFERROR(VLOOKUP(K$21,'Automated Patient Calcs'!$A:$G,7,FALSE),"")</f>
        <v>513.42564827716421</v>
      </c>
      <c r="L24" s="38">
        <f>IFERROR(VLOOKUP(L$21,'Automated Patient Calcs'!$A:$G,7,FALSE),"")</f>
        <v>1726.9511485423284</v>
      </c>
      <c r="M24" s="38">
        <f>IFERROR(VLOOKUP(M$21,'Automated Patient Calcs'!$A:$G,7,FALSE),"")</f>
        <v>5808.7481205101085</v>
      </c>
      <c r="N24" s="38">
        <f>IFERROR(VLOOKUP(N$21,'Automated Patient Calcs'!$A:$G,7,FALSE),"")</f>
        <v>19538.221886594805</v>
      </c>
      <c r="O24" s="38">
        <f>IFERROR(VLOOKUP(O$21,'Automated Patient Calcs'!$A:$G,7,FALSE),"")</f>
        <v>65718.482979477107</v>
      </c>
      <c r="P24" s="38">
        <f>IFERROR(VLOOKUP(P$21,'Automated Patient Calcs'!$A:$G,7,FALSE),"")</f>
        <v>221049.74701341795</v>
      </c>
      <c r="Q24" s="38">
        <f>IFERROR(VLOOKUP(Q$21,'Automated Patient Calcs'!$A:$G,7,FALSE),"")</f>
        <v>743519.75942529459</v>
      </c>
      <c r="R24" s="38">
        <f>IFERROR(VLOOKUP(R$21,'Automated Patient Calcs'!$A:$G,7,FALSE),"")</f>
        <v>257437.4405747054</v>
      </c>
      <c r="S24" s="38" t="str">
        <f>IFERROR(VLOOKUP(S$21,'Automated Patient Calcs'!$A:$G,7,FALSE),"")</f>
        <v/>
      </c>
      <c r="T24" s="38" t="str">
        <f>IFERROR(VLOOKUP(T$21,'Automated Patient Calcs'!$A:$G,7,FALSE),"")</f>
        <v/>
      </c>
      <c r="U24" s="38" t="str">
        <f>IFERROR(VLOOKUP(U$21,'Automated Patient Calcs'!$A:$G,7,FALSE),"")</f>
        <v/>
      </c>
      <c r="V24" s="38" t="str">
        <f>IFERROR(VLOOKUP(V$21,'Automated Patient Calcs'!$A:$G,7,FALSE),"")</f>
        <v/>
      </c>
      <c r="W24" s="38" t="str">
        <f>IFERROR(VLOOKUP(W$21,'Automated Patient Calcs'!$A:$G,7,FALSE),"")</f>
        <v/>
      </c>
      <c r="X24" s="38" t="str">
        <f>IFERROR(VLOOKUP(X$21,'Automated Patient Calcs'!$A:$G,7,FALSE),"")</f>
        <v/>
      </c>
      <c r="Y24" s="38" t="str">
        <f>IFERROR(VLOOKUP(Y$21,'Automated Patient Calcs'!$A:$G,7,FALSE),"")</f>
        <v/>
      </c>
      <c r="Z24" s="38" t="str">
        <f>IFERROR(VLOOKUP(Z$21,'Automated Patient Calcs'!$A:$G,7,FALSE),"")</f>
        <v/>
      </c>
      <c r="AA24" s="38" t="str">
        <f>IFERROR(VLOOKUP(AA$21,'Automated Patient Calcs'!$A:$G,7,FALSE),"")</f>
        <v/>
      </c>
      <c r="AB24" s="38" t="str">
        <f>IFERROR(VLOOKUP(AB$21,'Automated Patient Calcs'!$A:$G,7,FALSE),"")</f>
        <v/>
      </c>
      <c r="AC24" s="38" t="str">
        <f>IFERROR(VLOOKUP(AC$21,'Automated Patient Calcs'!$A:$G,7,FALSE),"")</f>
        <v/>
      </c>
      <c r="AD24" s="38" t="str">
        <f>IFERROR(VLOOKUP(AD$21,'Automated Patient Calcs'!$A:$G,7,FALSE),"")</f>
        <v/>
      </c>
      <c r="AE24" s="38" t="str">
        <f>IFERROR(VLOOKUP(AE$21,'Automated Patient Calcs'!$A:$G,7,FALSE),"")</f>
        <v/>
      </c>
      <c r="AF24" s="38" t="str">
        <f>IFERROR(VLOOKUP(AF$21,'Automated Patient Calcs'!$A:$G,7,FALSE),"")</f>
        <v/>
      </c>
      <c r="AG24" s="38" t="str">
        <f>IFERROR(VLOOKUP(AG$21,'Automated Patient Calcs'!$A:$G,7,FALSE),"")</f>
        <v/>
      </c>
      <c r="AH24" s="38" t="str">
        <f>IFERROR(VLOOKUP(AH$21,'Automated Patient Calcs'!$A:$G,7,FALSE),"")</f>
        <v/>
      </c>
      <c r="AI24" s="38" t="str">
        <f>IFERROR(VLOOKUP(AI$21,'Automated Patient Calcs'!$A:$G,7,FALSE),"")</f>
        <v/>
      </c>
      <c r="AJ24" s="38" t="str">
        <f>IFERROR(VLOOKUP(AJ$21,'Automated Patient Calcs'!$A:$G,7,FALSE),"")</f>
        <v/>
      </c>
      <c r="AK24" s="38" t="str">
        <f>IFERROR(VLOOKUP(AK$21,'Automated Patient Calcs'!$A:$G,7,FALSE),"")</f>
        <v/>
      </c>
      <c r="AL24" s="38" t="str">
        <f>IFERROR(VLOOKUP(AL$21,'Automated Patient Calcs'!$A:$G,7,FALSE),"")</f>
        <v/>
      </c>
      <c r="AM24" s="38" t="str">
        <f>IFERROR(VLOOKUP(AM$21,'Automated Patient Calcs'!$A:$G,7,FALSE),"")</f>
        <v/>
      </c>
      <c r="AN24" s="38" t="str">
        <f>IFERROR(VLOOKUP(AN$21,'Automated Patient Calcs'!$A:$G,7,FALSE),"")</f>
        <v/>
      </c>
      <c r="AO24" s="38" t="str">
        <f>IFERROR(VLOOKUP(AO$21,'Automated Patient Calcs'!$A:$G,7,FALSE),"")</f>
        <v/>
      </c>
      <c r="AP24" s="38" t="str">
        <f>IFERROR(VLOOKUP(AP$21,'Automated Patient Calcs'!$A:$G,7,FALSE),"")</f>
        <v/>
      </c>
      <c r="AQ24" s="38" t="str">
        <f>IFERROR(VLOOKUP(AQ$21,'Automated Patient Calcs'!$A:$G,7,FALSE),"")</f>
        <v/>
      </c>
      <c r="AR24" s="38" t="str">
        <f>IFERROR(VLOOKUP(AR$21,'Automated Patient Calcs'!$A:$G,7,FALSE),"")</f>
        <v/>
      </c>
      <c r="AS24" s="38" t="str">
        <f>IFERROR(VLOOKUP(AS$21,'Automated Patient Calcs'!$A:$G,7,FALSE),"")</f>
        <v/>
      </c>
      <c r="AT24" s="38" t="str">
        <f>IFERROR(VLOOKUP(AT$21,'Automated Patient Calcs'!$A:$G,7,FALSE),"")</f>
        <v/>
      </c>
      <c r="AU24" s="38" t="str">
        <f>IFERROR(VLOOKUP(AU$21,'Automated Patient Calcs'!$A:$G,7,FALSE),"")</f>
        <v/>
      </c>
      <c r="AV24" s="38" t="str">
        <f>IFERROR(VLOOKUP(AV$21,'Automated Patient Calcs'!$A:$G,7,FALSE),"")</f>
        <v/>
      </c>
      <c r="AW24" s="38" t="str">
        <f>IFERROR(VLOOKUP(AW$21,'Automated Patient Calcs'!$A:$G,7,FALSE),"")</f>
        <v/>
      </c>
      <c r="AX24" s="38" t="str">
        <f>IFERROR(VLOOKUP(AX$21,'Automated Patient Calcs'!$A:$G,7,FALSE),"")</f>
        <v/>
      </c>
      <c r="AY24" s="38" t="str">
        <f>IFERROR(VLOOKUP(AY$21,'Automated Patient Calcs'!$A:$G,7,FALSE),"")</f>
        <v/>
      </c>
      <c r="AZ24" s="38" t="str">
        <f>IFERROR(VLOOKUP(AZ$21,'Automated Patient Calcs'!$A:$G,7,FALSE),"")</f>
        <v/>
      </c>
      <c r="BA24" s="38" t="str">
        <f>IFERROR(VLOOKUP(BA$21,'Automated Patient Calcs'!$A:$G,7,FALSE),"")</f>
        <v/>
      </c>
      <c r="BB24" s="38" t="str">
        <f>IFERROR(VLOOKUP(BB$21,'Automated Patient Calcs'!$A:$G,7,FALSE),"")</f>
        <v/>
      </c>
      <c r="BC24" s="38" t="str">
        <f>IFERROR(VLOOKUP(BC$21,'Automated Patient Calcs'!$A:$G,7,FALSE),"")</f>
        <v/>
      </c>
      <c r="BD24" s="38" t="str">
        <f>IFERROR(VLOOKUP(BD$21,'Automated Patient Calcs'!$A:$G,7,FALSE),"")</f>
        <v/>
      </c>
      <c r="BE24"/>
      <c r="BF24" s="136">
        <f>SUMIFS('Automated Patient Calcs'!$G$2:$G$54,'Automated Patient Calcs'!$A$2:$A$54,"&gt;="&amp;Start_week_for_forecasting,'Automated Patient Calcs'!$A$2:$A$54,"&lt;="&amp;WeekSuppliedUntil)</f>
        <v>217.22320318050743</v>
      </c>
      <c r="BG24"/>
      <c r="BH24"/>
      <c r="BI24"/>
      <c r="BJ24"/>
      <c r="BK24"/>
      <c r="BL24"/>
      <c r="BM24"/>
      <c r="BN24"/>
      <c r="BO24"/>
      <c r="BP24"/>
      <c r="BQ24"/>
      <c r="BR24"/>
    </row>
    <row r="25" spans="1:70" x14ac:dyDescent="0.25">
      <c r="C25" t="s">
        <v>345</v>
      </c>
      <c r="D25" s="38">
        <f>IFERROR(VLOOKUP(D$21,'Automated Patient Calcs'!$A:$I,9,FALSE),"")</f>
        <v>0.05</v>
      </c>
      <c r="E25" s="38">
        <f>IFERROR(VLOOKUP(E$21,'Automated Patient Calcs'!$A:$I,9,FALSE),"")</f>
        <v>0.11817928305074291</v>
      </c>
      <c r="F25" s="38">
        <f>IFERROR(VLOOKUP(F$21,'Automated Patient Calcs'!$A:$I,9,FALSE),"")</f>
        <v>0.39750614189849509</v>
      </c>
      <c r="G25" s="38">
        <f>IFERROR(VLOOKUP(G$21,'Automated Patient Calcs'!$A:$I,9,FALSE),"")</f>
        <v>1.3370459590551158</v>
      </c>
      <c r="H25" s="38">
        <f>IFERROR(VLOOKUP(H$21,'Automated Patient Calcs'!$A:$I,9,FALSE),"")</f>
        <v>4.4972686159956465</v>
      </c>
      <c r="I25" s="38">
        <f>IFERROR(VLOOKUP(I$21,'Automated Patient Calcs'!$A:$I,9,FALSE),"")</f>
        <v>15.126948230495081</v>
      </c>
      <c r="J25" s="38">
        <f>IFERROR(VLOOKUP(J$21,'Automated Patient Calcs'!$A:$I,9,FALSE),"")</f>
        <v>50.8807861630074</v>
      </c>
      <c r="K25" s="38">
        <f>IFERROR(VLOOKUP(K$21,'Automated Patient Calcs'!$A:$I,9,FALSE),"")</f>
        <v>171.14188275905477</v>
      </c>
      <c r="L25" s="38">
        <f>IFERROR(VLOOKUP(L$21,'Automated Patient Calcs'!$A:$I,9,FALSE),"")</f>
        <v>575.65038284744276</v>
      </c>
      <c r="M25" s="38">
        <f>IFERROR(VLOOKUP(M$21,'Automated Patient Calcs'!$A:$I,9,FALSE),"")</f>
        <v>1936.2493735033695</v>
      </c>
      <c r="N25" s="38">
        <f>IFERROR(VLOOKUP(N$21,'Automated Patient Calcs'!$A:$I,9,FALSE),"")</f>
        <v>6512.7406288649354</v>
      </c>
      <c r="O25" s="38">
        <f>IFERROR(VLOOKUP(O$21,'Automated Patient Calcs'!$A:$I,9,FALSE),"")</f>
        <v>21906.160993159039</v>
      </c>
      <c r="P25" s="38">
        <f>IFERROR(VLOOKUP(P$21,'Automated Patient Calcs'!$A:$I,9,FALSE),"")</f>
        <v>73683.249004472658</v>
      </c>
      <c r="Q25" s="38">
        <f>IFERROR(VLOOKUP(Q$21,'Automated Patient Calcs'!$A:$I,9,FALSE),"")</f>
        <v>247839.91980843153</v>
      </c>
      <c r="R25" s="38">
        <f>IFERROR(VLOOKUP(R$21,'Automated Patient Calcs'!$A:$I,9,FALSE),"")</f>
        <v>85812.48019156848</v>
      </c>
      <c r="S25" s="38" t="str">
        <f>IFERROR(VLOOKUP(S$21,'Automated Patient Calcs'!$A:$I,9,FALSE),"")</f>
        <v/>
      </c>
      <c r="T25" s="38" t="str">
        <f>IFERROR(VLOOKUP(T$21,'Automated Patient Calcs'!$A:$I,9,FALSE),"")</f>
        <v/>
      </c>
      <c r="U25" s="38" t="str">
        <f>IFERROR(VLOOKUP(U$21,'Automated Patient Calcs'!$A:$I,9,FALSE),"")</f>
        <v/>
      </c>
      <c r="V25" s="38" t="str">
        <f>IFERROR(VLOOKUP(V$21,'Automated Patient Calcs'!$A:$I,9,FALSE),"")</f>
        <v/>
      </c>
      <c r="W25" s="38" t="str">
        <f>IFERROR(VLOOKUP(W$21,'Automated Patient Calcs'!$A:$I,9,FALSE),"")</f>
        <v/>
      </c>
      <c r="X25" s="38" t="str">
        <f>IFERROR(VLOOKUP(X$21,'Automated Patient Calcs'!$A:$I,9,FALSE),"")</f>
        <v/>
      </c>
      <c r="Y25" s="38" t="str">
        <f>IFERROR(VLOOKUP(Y$21,'Automated Patient Calcs'!$A:$I,9,FALSE),"")</f>
        <v/>
      </c>
      <c r="Z25" s="38" t="str">
        <f>IFERROR(VLOOKUP(Z$21,'Automated Patient Calcs'!$A:$I,9,FALSE),"")</f>
        <v/>
      </c>
      <c r="AA25" s="38" t="str">
        <f>IFERROR(VLOOKUP(AA$21,'Automated Patient Calcs'!$A:$I,9,FALSE),"")</f>
        <v/>
      </c>
      <c r="AB25" s="38" t="str">
        <f>IFERROR(VLOOKUP(AB$21,'Automated Patient Calcs'!$A:$I,9,FALSE),"")</f>
        <v/>
      </c>
      <c r="AC25" s="38" t="str">
        <f>IFERROR(VLOOKUP(AC$21,'Automated Patient Calcs'!$A:$I,9,FALSE),"")</f>
        <v/>
      </c>
      <c r="AD25" s="38" t="str">
        <f>IFERROR(VLOOKUP(AD$21,'Automated Patient Calcs'!$A:$I,9,FALSE),"")</f>
        <v/>
      </c>
      <c r="AE25" s="38" t="str">
        <f>IFERROR(VLOOKUP(AE$21,'Automated Patient Calcs'!$A:$I,9,FALSE),"")</f>
        <v/>
      </c>
      <c r="AF25" s="38" t="str">
        <f>IFERROR(VLOOKUP(AF$21,'Automated Patient Calcs'!$A:$I,9,FALSE),"")</f>
        <v/>
      </c>
      <c r="AG25" s="38" t="str">
        <f>IFERROR(VLOOKUP(AG$21,'Automated Patient Calcs'!$A:$I,9,FALSE),"")</f>
        <v/>
      </c>
      <c r="AH25" s="38" t="str">
        <f>IFERROR(VLOOKUP(AH$21,'Automated Patient Calcs'!$A:$I,9,FALSE),"")</f>
        <v/>
      </c>
      <c r="AI25" s="38" t="str">
        <f>IFERROR(VLOOKUP(AI$21,'Automated Patient Calcs'!$A:$I,9,FALSE),"")</f>
        <v/>
      </c>
      <c r="AJ25" s="38" t="str">
        <f>IFERROR(VLOOKUP(AJ$21,'Automated Patient Calcs'!$A:$I,9,FALSE),"")</f>
        <v/>
      </c>
      <c r="AK25" s="38" t="str">
        <f>IFERROR(VLOOKUP(AK$21,'Automated Patient Calcs'!$A:$I,9,FALSE),"")</f>
        <v/>
      </c>
      <c r="AL25" s="38" t="str">
        <f>IFERROR(VLOOKUP(AL$21,'Automated Patient Calcs'!$A:$I,9,FALSE),"")</f>
        <v/>
      </c>
      <c r="AM25" s="38" t="str">
        <f>IFERROR(VLOOKUP(AM$21,'Automated Patient Calcs'!$A:$I,9,FALSE),"")</f>
        <v/>
      </c>
      <c r="AN25" s="38" t="str">
        <f>IFERROR(VLOOKUP(AN$21,'Automated Patient Calcs'!$A:$I,9,FALSE),"")</f>
        <v/>
      </c>
      <c r="AO25" s="38" t="str">
        <f>IFERROR(VLOOKUP(AO$21,'Automated Patient Calcs'!$A:$I,9,FALSE),"")</f>
        <v/>
      </c>
      <c r="AP25" s="38" t="str">
        <f>IFERROR(VLOOKUP(AP$21,'Automated Patient Calcs'!$A:$I,9,FALSE),"")</f>
        <v/>
      </c>
      <c r="AQ25" s="38" t="str">
        <f>IFERROR(VLOOKUP(AQ$21,'Automated Patient Calcs'!$A:$I,9,FALSE),"")</f>
        <v/>
      </c>
      <c r="AR25" s="38" t="str">
        <f>IFERROR(VLOOKUP(AR$21,'Automated Patient Calcs'!$A:$I,9,FALSE),"")</f>
        <v/>
      </c>
      <c r="AS25" s="38" t="str">
        <f>IFERROR(VLOOKUP(AS$21,'Automated Patient Calcs'!$A:$I,9,FALSE),"")</f>
        <v/>
      </c>
      <c r="AT25" s="38" t="str">
        <f>IFERROR(VLOOKUP(AT$21,'Automated Patient Calcs'!$A:$I,9,FALSE),"")</f>
        <v/>
      </c>
      <c r="AU25" s="38" t="str">
        <f>IFERROR(VLOOKUP(AU$21,'Automated Patient Calcs'!$A:$I,9,FALSE),"")</f>
        <v/>
      </c>
      <c r="AV25" s="38" t="str">
        <f>IFERROR(VLOOKUP(AV$21,'Automated Patient Calcs'!$A:$I,9,FALSE),"")</f>
        <v/>
      </c>
      <c r="AW25" s="38" t="str">
        <f>IFERROR(VLOOKUP(AW$21,'Automated Patient Calcs'!$A:$I,9,FALSE),"")</f>
        <v/>
      </c>
      <c r="AX25" s="38" t="str">
        <f>IFERROR(VLOOKUP(AX$21,'Automated Patient Calcs'!$A:$I,9,FALSE),"")</f>
        <v/>
      </c>
      <c r="AY25" s="38" t="str">
        <f>IFERROR(VLOOKUP(AY$21,'Automated Patient Calcs'!$A:$I,9,FALSE),"")</f>
        <v/>
      </c>
      <c r="AZ25" s="38" t="str">
        <f>IFERROR(VLOOKUP(AZ$21,'Automated Patient Calcs'!$A:$I,9,FALSE),"")</f>
        <v/>
      </c>
      <c r="BA25" s="38" t="str">
        <f>IFERROR(VLOOKUP(BA$21,'Automated Patient Calcs'!$A:$I,9,FALSE),"")</f>
        <v/>
      </c>
      <c r="BB25" s="38" t="str">
        <f>IFERROR(VLOOKUP(BB$21,'Automated Patient Calcs'!$A:$I,9,FALSE),"")</f>
        <v/>
      </c>
      <c r="BC25" s="38" t="str">
        <f>IFERROR(VLOOKUP(BC$21,'Automated Patient Calcs'!$A:$I,9,FALSE),"")</f>
        <v/>
      </c>
      <c r="BD25" s="38" t="str">
        <f>IFERROR(VLOOKUP(BD$21,'Automated Patient Calcs'!$A:$I,9,FALSE),"")</f>
        <v/>
      </c>
      <c r="BE25"/>
      <c r="BF25" s="136">
        <f>SUMIFS('Automated Patient Calcs'!$I$2:$I$54,'Automated Patient Calcs'!$A$2:$A$54,"&gt;="&amp;Start_week_for_forecasting,'Automated Patient Calcs'!$A$2:$A$54,"&lt;="&amp;WeekSuppliedUntil)</f>
        <v>72.40773439350248</v>
      </c>
      <c r="BG25"/>
      <c r="BH25"/>
      <c r="BI25"/>
      <c r="BJ25"/>
      <c r="BK25"/>
      <c r="BL25"/>
      <c r="BM25"/>
      <c r="BN25"/>
      <c r="BO25"/>
      <c r="BP25"/>
      <c r="BQ25"/>
      <c r="BR25"/>
    </row>
    <row r="26" spans="1:70" ht="13.5" customHeight="1" x14ac:dyDescent="0.25">
      <c r="C26" s="167" t="s">
        <v>777</v>
      </c>
      <c r="D26" s="38">
        <f>IFERROR(VLOOKUP(D$21,'Automated Patient Calcs'!$A:$T,20,FALSE),"")</f>
        <v>3</v>
      </c>
      <c r="E26" s="38">
        <f>IFERROR(VLOOKUP(E$21,'Automated Patient Calcs'!$A:$T,20,FALSE),"")</f>
        <v>7.0907569830445745</v>
      </c>
      <c r="F26" s="38">
        <f>IFERROR(VLOOKUP(F$21,'Automated Patient Calcs'!$A:$T,20,FALSE),"")</f>
        <v>23.850368513909707</v>
      </c>
      <c r="G26" s="38">
        <f>IFERROR(VLOOKUP(G$21,'Automated Patient Calcs'!$A:$T,20,FALSE),"")</f>
        <v>80.22275754330694</v>
      </c>
      <c r="H26" s="38">
        <f>IFERROR(VLOOKUP(H$21,'Automated Patient Calcs'!$A:$T,20,FALSE),"")</f>
        <v>269.83611695973877</v>
      </c>
      <c r="I26" s="38">
        <f>IFERROR(VLOOKUP(I$21,'Automated Patient Calcs'!$A:$T,20,FALSE),"")</f>
        <v>907.61689382970485</v>
      </c>
      <c r="J26" s="38">
        <f>IFERROR(VLOOKUP(J$21,'Automated Patient Calcs'!$A:$T,20,FALSE),"")</f>
        <v>3052.8471697804434</v>
      </c>
      <c r="K26" s="38">
        <f>IFERROR(VLOOKUP(K$21,'Automated Patient Calcs'!$A:$T,20,FALSE),"")</f>
        <v>10268.512965543287</v>
      </c>
      <c r="L26" s="38">
        <f>IFERROR(VLOOKUP(L$21,'Automated Patient Calcs'!$A:$T,20,FALSE),"")</f>
        <v>34539.022970846563</v>
      </c>
      <c r="M26" s="38">
        <f>IFERROR(VLOOKUP(M$21,'Automated Patient Calcs'!$A:$T,20,FALSE),"")</f>
        <v>116174.96241020216</v>
      </c>
      <c r="N26" s="38">
        <f>IFERROR(VLOOKUP(N$21,'Automated Patient Calcs'!$A:$T,20,FALSE),"")</f>
        <v>390764.43773189606</v>
      </c>
      <c r="O26" s="38">
        <f>IFERROR(VLOOKUP(O$21,'Automated Patient Calcs'!$A:$T,20,FALSE),"")</f>
        <v>1314369.6595895423</v>
      </c>
      <c r="P26" s="38">
        <f>IFERROR(VLOOKUP(P$21,'Automated Patient Calcs'!$A:$T,20,FALSE),"")</f>
        <v>4420994.9402683591</v>
      </c>
      <c r="Q26" s="38">
        <f>IFERROR(VLOOKUP(Q$21,'Automated Patient Calcs'!$A:$T,20,FALSE),"")</f>
        <v>14870395.188505892</v>
      </c>
      <c r="R26" s="38">
        <f>IFERROR(VLOOKUP(R$21,'Automated Patient Calcs'!$A:$T,20,FALSE),"")</f>
        <v>5148748.8114941083</v>
      </c>
      <c r="S26" s="38" t="str">
        <f>IFERROR(VLOOKUP(S$21,'Automated Patient Calcs'!$A:$T,20,FALSE),"")</f>
        <v/>
      </c>
      <c r="T26" s="38" t="str">
        <f>IFERROR(VLOOKUP(T$21,'Automated Patient Calcs'!$A:$T,20,FALSE),"")</f>
        <v/>
      </c>
      <c r="U26" s="38" t="str">
        <f>IFERROR(VLOOKUP(U$21,'Automated Patient Calcs'!$A:$T,20,FALSE),"")</f>
        <v/>
      </c>
      <c r="V26" s="38" t="str">
        <f>IFERROR(VLOOKUP(V$21,'Automated Patient Calcs'!$A:$T,20,FALSE),"")</f>
        <v/>
      </c>
      <c r="W26" s="38" t="str">
        <f>IFERROR(VLOOKUP(W$21,'Automated Patient Calcs'!$A:$T,20,FALSE),"")</f>
        <v/>
      </c>
      <c r="X26" s="38" t="str">
        <f>IFERROR(VLOOKUP(X$21,'Automated Patient Calcs'!$A:$T,20,FALSE),"")</f>
        <v/>
      </c>
      <c r="Y26" s="38" t="str">
        <f>IFERROR(VLOOKUP(Y$21,'Automated Patient Calcs'!$A:$T,20,FALSE),"")</f>
        <v/>
      </c>
      <c r="Z26" s="38" t="str">
        <f>IFERROR(VLOOKUP(Z$21,'Automated Patient Calcs'!$A:$T,20,FALSE),"")</f>
        <v/>
      </c>
      <c r="AA26" s="38" t="str">
        <f>IFERROR(VLOOKUP(AA$21,'Automated Patient Calcs'!$A:$T,20,FALSE),"")</f>
        <v/>
      </c>
      <c r="AB26" s="38" t="str">
        <f>IFERROR(VLOOKUP(AB$21,'Automated Patient Calcs'!$A:$T,20,FALSE),"")</f>
        <v/>
      </c>
      <c r="AC26" s="38" t="str">
        <f>IFERROR(VLOOKUP(AC$21,'Automated Patient Calcs'!$A:$T,20,FALSE),"")</f>
        <v/>
      </c>
      <c r="AD26" s="38" t="str">
        <f>IFERROR(VLOOKUP(AD$21,'Automated Patient Calcs'!$A:$T,20,FALSE),"")</f>
        <v/>
      </c>
      <c r="AE26" s="38" t="str">
        <f>IFERROR(VLOOKUP(AE$21,'Automated Patient Calcs'!$A:$T,20,FALSE),"")</f>
        <v/>
      </c>
      <c r="AF26" s="38" t="str">
        <f>IFERROR(VLOOKUP(AF$21,'Automated Patient Calcs'!$A:$T,20,FALSE),"")</f>
        <v/>
      </c>
      <c r="AG26" s="38" t="str">
        <f>IFERROR(VLOOKUP(AG$21,'Automated Patient Calcs'!$A:$T,20,FALSE),"")</f>
        <v/>
      </c>
      <c r="AH26" s="38" t="str">
        <f>IFERROR(VLOOKUP(AH$21,'Automated Patient Calcs'!$A:$T,20,FALSE),"")</f>
        <v/>
      </c>
      <c r="AI26" s="38" t="str">
        <f>IFERROR(VLOOKUP(AI$21,'Automated Patient Calcs'!$A:$T,20,FALSE),"")</f>
        <v/>
      </c>
      <c r="AJ26" s="38" t="str">
        <f>IFERROR(VLOOKUP(AJ$21,'Automated Patient Calcs'!$A:$T,20,FALSE),"")</f>
        <v/>
      </c>
      <c r="AK26" s="38" t="str">
        <f>IFERROR(VLOOKUP(AK$21,'Automated Patient Calcs'!$A:$T,20,FALSE),"")</f>
        <v/>
      </c>
      <c r="AL26" s="38" t="str">
        <f>IFERROR(VLOOKUP(AL$21,'Automated Patient Calcs'!$A:$T,20,FALSE),"")</f>
        <v/>
      </c>
      <c r="AM26" s="38" t="str">
        <f>IFERROR(VLOOKUP(AM$21,'Automated Patient Calcs'!$A:$T,20,FALSE),"")</f>
        <v/>
      </c>
      <c r="AN26" s="38" t="str">
        <f>IFERROR(VLOOKUP(AN$21,'Automated Patient Calcs'!$A:$T,20,FALSE),"")</f>
        <v/>
      </c>
      <c r="AO26" s="38" t="str">
        <f>IFERROR(VLOOKUP(AO$21,'Automated Patient Calcs'!$A:$T,20,FALSE),"")</f>
        <v/>
      </c>
      <c r="AP26" s="38" t="str">
        <f>IFERROR(VLOOKUP(AP$21,'Automated Patient Calcs'!$A:$T,20,FALSE),"")</f>
        <v/>
      </c>
      <c r="AQ26" s="38" t="str">
        <f>IFERROR(VLOOKUP(AQ$21,'Automated Patient Calcs'!$A:$T,20,FALSE),"")</f>
        <v/>
      </c>
      <c r="AR26" s="38" t="str">
        <f>IFERROR(VLOOKUP(AR$21,'Automated Patient Calcs'!$A:$T,20,FALSE),"")</f>
        <v/>
      </c>
      <c r="AS26" s="38" t="str">
        <f>IFERROR(VLOOKUP(AS$21,'Automated Patient Calcs'!$A:$T,20,FALSE),"")</f>
        <v/>
      </c>
      <c r="AT26" s="38" t="str">
        <f>IFERROR(VLOOKUP(AT$21,'Automated Patient Calcs'!$A:$T,20,FALSE),"")</f>
        <v/>
      </c>
      <c r="AU26" s="38" t="str">
        <f>IFERROR(VLOOKUP(AU$21,'Automated Patient Calcs'!$A:$T,20,FALSE),"")</f>
        <v/>
      </c>
      <c r="AV26" s="38" t="str">
        <f>IFERROR(VLOOKUP(AV$21,'Automated Patient Calcs'!$A:$T,20,FALSE),"")</f>
        <v/>
      </c>
      <c r="AW26" s="38" t="str">
        <f>IFERROR(VLOOKUP(AW$21,'Automated Patient Calcs'!$A:$T,20,FALSE),"")</f>
        <v/>
      </c>
      <c r="AX26" s="38" t="str">
        <f>IFERROR(VLOOKUP(AX$21,'Automated Patient Calcs'!$A:$T,20,FALSE),"")</f>
        <v/>
      </c>
      <c r="AY26" s="38" t="str">
        <f>IFERROR(VLOOKUP(AY$21,'Automated Patient Calcs'!$A:$T,20,FALSE),"")</f>
        <v/>
      </c>
      <c r="AZ26" s="38" t="str">
        <f>IFERROR(VLOOKUP(AZ$21,'Automated Patient Calcs'!$A:$T,20,FALSE),"")</f>
        <v/>
      </c>
      <c r="BA26" s="38" t="str">
        <f>IFERROR(VLOOKUP(BA$21,'Automated Patient Calcs'!$A:$T,20,FALSE),"")</f>
        <v/>
      </c>
      <c r="BB26" s="38" t="str">
        <f>IFERROR(VLOOKUP(BB$21,'Automated Patient Calcs'!$A:$T,20,FALSE),"")</f>
        <v/>
      </c>
      <c r="BC26" s="38" t="str">
        <f>IFERROR(VLOOKUP(BC$21,'Automated Patient Calcs'!$A:$T,20,FALSE),"")</f>
        <v/>
      </c>
      <c r="BD26" s="38" t="str">
        <f>IFERROR(VLOOKUP(BD$21,'Automated Patient Calcs'!$A:$T,20,FALSE),"")</f>
        <v/>
      </c>
      <c r="BE26"/>
      <c r="BF26"/>
      <c r="BG26"/>
      <c r="BH26"/>
      <c r="BI26"/>
      <c r="BJ26"/>
      <c r="BK26"/>
      <c r="BL26"/>
      <c r="BM26"/>
      <c r="BN26"/>
      <c r="BO26"/>
      <c r="BP26"/>
      <c r="BQ26"/>
      <c r="BR26"/>
    </row>
    <row r="27" spans="1:70" s="138" customFormat="1" ht="13.5" customHeight="1" x14ac:dyDescent="0.25">
      <c r="C27" s="163" t="s">
        <v>939</v>
      </c>
      <c r="D27" s="118">
        <f>IFERROR(IF(D24="","",IF(D24&lt;=$D$16,D24,$D$16)),"")</f>
        <v>0.15</v>
      </c>
      <c r="E27" s="118">
        <f t="shared" ref="E27:BD27" si="0">IFERROR(IF(E24="","",IF(E24&lt;=$D$16,E24,$D$16)),"")</f>
        <v>0.35453784915222869</v>
      </c>
      <c r="F27" s="118">
        <f t="shared" si="0"/>
        <v>1.1925184256954853</v>
      </c>
      <c r="G27" s="118">
        <f t="shared" si="0"/>
        <v>4.0111378771653472</v>
      </c>
      <c r="H27" s="118">
        <f t="shared" si="0"/>
        <v>13.49180584798694</v>
      </c>
      <c r="I27" s="118">
        <f t="shared" si="0"/>
        <v>45.380844691485237</v>
      </c>
      <c r="J27" s="118">
        <f t="shared" si="0"/>
        <v>152.64235848902217</v>
      </c>
      <c r="K27" s="118">
        <f t="shared" si="0"/>
        <v>513.42564827716421</v>
      </c>
      <c r="L27" s="118">
        <f t="shared" si="0"/>
        <v>1726.9511485423284</v>
      </c>
      <c r="M27" s="118">
        <f t="shared" si="0"/>
        <v>5808.7481205101085</v>
      </c>
      <c r="N27" s="118">
        <f t="shared" si="0"/>
        <v>19538.221886594805</v>
      </c>
      <c r="O27" s="118">
        <f t="shared" si="0"/>
        <v>65718.482979477107</v>
      </c>
      <c r="P27" s="118">
        <f t="shared" si="0"/>
        <v>80550.778919999997</v>
      </c>
      <c r="Q27" s="118">
        <f t="shared" si="0"/>
        <v>80550.778919999997</v>
      </c>
      <c r="R27" s="118">
        <f t="shared" si="0"/>
        <v>80550.778919999997</v>
      </c>
      <c r="S27" s="118" t="str">
        <f t="shared" si="0"/>
        <v/>
      </c>
      <c r="T27" s="118" t="str">
        <f t="shared" si="0"/>
        <v/>
      </c>
      <c r="U27" s="118" t="str">
        <f t="shared" si="0"/>
        <v/>
      </c>
      <c r="V27" s="118" t="str">
        <f t="shared" si="0"/>
        <v/>
      </c>
      <c r="W27" s="118" t="str">
        <f t="shared" si="0"/>
        <v/>
      </c>
      <c r="X27" s="118" t="str">
        <f t="shared" si="0"/>
        <v/>
      </c>
      <c r="Y27" s="118" t="str">
        <f t="shared" si="0"/>
        <v/>
      </c>
      <c r="Z27" s="118" t="str">
        <f t="shared" si="0"/>
        <v/>
      </c>
      <c r="AA27" s="118" t="str">
        <f t="shared" si="0"/>
        <v/>
      </c>
      <c r="AB27" s="118" t="str">
        <f t="shared" si="0"/>
        <v/>
      </c>
      <c r="AC27" s="118" t="str">
        <f t="shared" si="0"/>
        <v/>
      </c>
      <c r="AD27" s="118" t="str">
        <f t="shared" si="0"/>
        <v/>
      </c>
      <c r="AE27" s="118" t="str">
        <f t="shared" si="0"/>
        <v/>
      </c>
      <c r="AF27" s="118" t="str">
        <f t="shared" si="0"/>
        <v/>
      </c>
      <c r="AG27" s="118" t="str">
        <f t="shared" si="0"/>
        <v/>
      </c>
      <c r="AH27" s="118" t="str">
        <f t="shared" si="0"/>
        <v/>
      </c>
      <c r="AI27" s="118" t="str">
        <f t="shared" si="0"/>
        <v/>
      </c>
      <c r="AJ27" s="118" t="str">
        <f t="shared" si="0"/>
        <v/>
      </c>
      <c r="AK27" s="118" t="str">
        <f t="shared" si="0"/>
        <v/>
      </c>
      <c r="AL27" s="118" t="str">
        <f t="shared" si="0"/>
        <v/>
      </c>
      <c r="AM27" s="118" t="str">
        <f t="shared" si="0"/>
        <v/>
      </c>
      <c r="AN27" s="118" t="str">
        <f t="shared" si="0"/>
        <v/>
      </c>
      <c r="AO27" s="118" t="str">
        <f t="shared" si="0"/>
        <v/>
      </c>
      <c r="AP27" s="118" t="str">
        <f t="shared" si="0"/>
        <v/>
      </c>
      <c r="AQ27" s="118" t="str">
        <f t="shared" si="0"/>
        <v/>
      </c>
      <c r="AR27" s="118" t="str">
        <f t="shared" si="0"/>
        <v/>
      </c>
      <c r="AS27" s="118" t="str">
        <f t="shared" si="0"/>
        <v/>
      </c>
      <c r="AT27" s="118" t="str">
        <f t="shared" si="0"/>
        <v/>
      </c>
      <c r="AU27" s="118" t="str">
        <f t="shared" si="0"/>
        <v/>
      </c>
      <c r="AV27" s="118" t="str">
        <f t="shared" si="0"/>
        <v/>
      </c>
      <c r="AW27" s="118" t="str">
        <f t="shared" si="0"/>
        <v/>
      </c>
      <c r="AX27" s="118" t="str">
        <f t="shared" si="0"/>
        <v/>
      </c>
      <c r="AY27" s="118" t="str">
        <f t="shared" si="0"/>
        <v/>
      </c>
      <c r="AZ27" s="118" t="str">
        <f t="shared" si="0"/>
        <v/>
      </c>
      <c r="BA27" s="118" t="str">
        <f t="shared" si="0"/>
        <v/>
      </c>
      <c r="BB27" s="118" t="str">
        <f t="shared" si="0"/>
        <v/>
      </c>
      <c r="BC27" s="118" t="str">
        <f t="shared" si="0"/>
        <v/>
      </c>
      <c r="BD27" s="118" t="str">
        <f t="shared" si="0"/>
        <v/>
      </c>
      <c r="BF27" s="171"/>
      <c r="BH27" s="136">
        <f>SUMIFS($D27:$BD27,$D$21:$BD$21,"&lt;="&amp;WeekSuppliedUntil,$D$21:$BD$21,"&gt;="&amp;Start_week_for_forecasting)</f>
        <v>217.22320318050743</v>
      </c>
    </row>
    <row r="28" spans="1:70" s="138" customFormat="1" ht="13.5" customHeight="1" x14ac:dyDescent="0.25">
      <c r="C28" s="163" t="s">
        <v>940</v>
      </c>
      <c r="D28" s="118">
        <f>IFERROR(IF(D25="","",IF(D25&lt;=$D$17,D25,$D$17)),"")</f>
        <v>0.05</v>
      </c>
      <c r="E28" s="118">
        <f t="shared" ref="E28:BD28" si="1">IFERROR(IF(E25="","",IF(E25&lt;=$D$17,E25,$D$17)),"")</f>
        <v>0.11817928305074291</v>
      </c>
      <c r="F28" s="118">
        <f t="shared" si="1"/>
        <v>0.39750614189849509</v>
      </c>
      <c r="G28" s="118">
        <f t="shared" si="1"/>
        <v>1.3370459590551158</v>
      </c>
      <c r="H28" s="118">
        <f t="shared" si="1"/>
        <v>4.4972686159956465</v>
      </c>
      <c r="I28" s="118">
        <f t="shared" si="1"/>
        <v>15.126948230495081</v>
      </c>
      <c r="J28" s="118">
        <f t="shared" si="1"/>
        <v>50.8807861630074</v>
      </c>
      <c r="K28" s="118">
        <f t="shared" si="1"/>
        <v>171.14188275905477</v>
      </c>
      <c r="L28" s="118">
        <f t="shared" si="1"/>
        <v>575.65038284744276</v>
      </c>
      <c r="M28" s="118">
        <f t="shared" si="1"/>
        <v>1936.2493735033695</v>
      </c>
      <c r="N28" s="118">
        <f t="shared" si="1"/>
        <v>2766.1210799999999</v>
      </c>
      <c r="O28" s="118">
        <f t="shared" si="1"/>
        <v>2766.1210799999999</v>
      </c>
      <c r="P28" s="118">
        <f t="shared" si="1"/>
        <v>2766.1210799999999</v>
      </c>
      <c r="Q28" s="118">
        <f t="shared" si="1"/>
        <v>2766.1210799999999</v>
      </c>
      <c r="R28" s="118">
        <f t="shared" si="1"/>
        <v>2766.1210799999999</v>
      </c>
      <c r="S28" s="118" t="str">
        <f t="shared" si="1"/>
        <v/>
      </c>
      <c r="T28" s="118" t="str">
        <f t="shared" si="1"/>
        <v/>
      </c>
      <c r="U28" s="118" t="str">
        <f t="shared" si="1"/>
        <v/>
      </c>
      <c r="V28" s="118" t="str">
        <f t="shared" si="1"/>
        <v/>
      </c>
      <c r="W28" s="118" t="str">
        <f t="shared" si="1"/>
        <v/>
      </c>
      <c r="X28" s="118" t="str">
        <f t="shared" si="1"/>
        <v/>
      </c>
      <c r="Y28" s="118" t="str">
        <f t="shared" si="1"/>
        <v/>
      </c>
      <c r="Z28" s="118" t="str">
        <f t="shared" si="1"/>
        <v/>
      </c>
      <c r="AA28" s="118" t="str">
        <f t="shared" si="1"/>
        <v/>
      </c>
      <c r="AB28" s="118" t="str">
        <f t="shared" si="1"/>
        <v/>
      </c>
      <c r="AC28" s="118" t="str">
        <f t="shared" si="1"/>
        <v/>
      </c>
      <c r="AD28" s="118" t="str">
        <f t="shared" si="1"/>
        <v/>
      </c>
      <c r="AE28" s="118" t="str">
        <f t="shared" si="1"/>
        <v/>
      </c>
      <c r="AF28" s="118" t="str">
        <f t="shared" si="1"/>
        <v/>
      </c>
      <c r="AG28" s="118" t="str">
        <f t="shared" si="1"/>
        <v/>
      </c>
      <c r="AH28" s="118" t="str">
        <f t="shared" si="1"/>
        <v/>
      </c>
      <c r="AI28" s="118" t="str">
        <f t="shared" si="1"/>
        <v/>
      </c>
      <c r="AJ28" s="118" t="str">
        <f t="shared" si="1"/>
        <v/>
      </c>
      <c r="AK28" s="118" t="str">
        <f t="shared" si="1"/>
        <v/>
      </c>
      <c r="AL28" s="118" t="str">
        <f t="shared" si="1"/>
        <v/>
      </c>
      <c r="AM28" s="118" t="str">
        <f t="shared" si="1"/>
        <v/>
      </c>
      <c r="AN28" s="118" t="str">
        <f t="shared" si="1"/>
        <v/>
      </c>
      <c r="AO28" s="118" t="str">
        <f t="shared" si="1"/>
        <v/>
      </c>
      <c r="AP28" s="118" t="str">
        <f t="shared" si="1"/>
        <v/>
      </c>
      <c r="AQ28" s="118" t="str">
        <f t="shared" si="1"/>
        <v/>
      </c>
      <c r="AR28" s="118" t="str">
        <f t="shared" si="1"/>
        <v/>
      </c>
      <c r="AS28" s="118" t="str">
        <f t="shared" si="1"/>
        <v/>
      </c>
      <c r="AT28" s="118" t="str">
        <f t="shared" si="1"/>
        <v/>
      </c>
      <c r="AU28" s="118" t="str">
        <f t="shared" si="1"/>
        <v/>
      </c>
      <c r="AV28" s="118" t="str">
        <f t="shared" si="1"/>
        <v/>
      </c>
      <c r="AW28" s="118" t="str">
        <f t="shared" si="1"/>
        <v/>
      </c>
      <c r="AX28" s="118" t="str">
        <f t="shared" si="1"/>
        <v/>
      </c>
      <c r="AY28" s="118" t="str">
        <f t="shared" si="1"/>
        <v/>
      </c>
      <c r="AZ28" s="118" t="str">
        <f t="shared" si="1"/>
        <v/>
      </c>
      <c r="BA28" s="118" t="str">
        <f t="shared" si="1"/>
        <v/>
      </c>
      <c r="BB28" s="118" t="str">
        <f t="shared" si="1"/>
        <v/>
      </c>
      <c r="BC28" s="118" t="str">
        <f t="shared" si="1"/>
        <v/>
      </c>
      <c r="BD28" s="118" t="str">
        <f t="shared" si="1"/>
        <v/>
      </c>
      <c r="BH28" s="136">
        <f>SUMIFS($D28:$BD28,$D$21:$BD$21,"&lt;="&amp;WeekSuppliedUntil,$D$21:$BD$21,"&gt;="&amp;Start_week_for_forecasting)</f>
        <v>72.40773439350248</v>
      </c>
    </row>
    <row r="29" spans="1:70" x14ac:dyDescent="0.25">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c r="BF29"/>
      <c r="BG29"/>
      <c r="BH29"/>
      <c r="BI29"/>
      <c r="BJ29"/>
      <c r="BK29"/>
      <c r="BL29"/>
      <c r="BM29"/>
      <c r="BN29"/>
      <c r="BO29"/>
      <c r="BP29"/>
      <c r="BQ29"/>
      <c r="BR29"/>
    </row>
    <row r="30" spans="1:70" s="65" customFormat="1" x14ac:dyDescent="0.25">
      <c r="C30" s="66" t="s">
        <v>814</v>
      </c>
    </row>
    <row r="31" spans="1:70" ht="15.6" customHeight="1" x14ac:dyDescent="0.25">
      <c r="C31" t="s">
        <v>344</v>
      </c>
      <c r="D31" s="38">
        <f ca="1">IFERROR(VLOOKUP(D$21,'Automated Patient Calcs'!$A:$K,11,FALSE),"")</f>
        <v>0</v>
      </c>
      <c r="E31" s="38">
        <f ca="1">IFERROR(VLOOKUP(E$21,'Automated Patient Calcs'!$A:$K,11,FALSE),"")</f>
        <v>0</v>
      </c>
      <c r="F31" s="38">
        <f ca="1">IFERROR(VLOOKUP(F$21,'Automated Patient Calcs'!$A:$K,11,FALSE),"")</f>
        <v>0.8</v>
      </c>
      <c r="G31" s="38">
        <f ca="1">IFERROR(VLOOKUP(G$21,'Automated Patient Calcs'!$A:$K,11,FALSE),"")</f>
        <v>1.8908685288118865</v>
      </c>
      <c r="H31" s="38">
        <f ca="1">IFERROR(VLOOKUP(H$21,'Automated Patient Calcs'!$A:$K,11,FALSE),"")</f>
        <v>6.3600982703759215</v>
      </c>
      <c r="I31" s="38">
        <f ca="1">IFERROR(VLOOKUP(I$21,'Automated Patient Calcs'!$A:$K,11,FALSE),"")</f>
        <v>21.392735344881853</v>
      </c>
      <c r="J31" s="38">
        <f ca="1">IFERROR(VLOOKUP(J$21,'Automated Patient Calcs'!$A:$K,11,FALSE),"")</f>
        <v>71.956297855930345</v>
      </c>
      <c r="K31" s="38">
        <f ca="1">IFERROR(VLOOKUP(K$21,'Automated Patient Calcs'!$A:$K,11,FALSE),"")</f>
        <v>242.0311716879213</v>
      </c>
      <c r="L31" s="38">
        <f ca="1">IFERROR(VLOOKUP(L$21,'Automated Patient Calcs'!$A:$K,11,FALSE),"")</f>
        <v>814.0925786081184</v>
      </c>
      <c r="M31" s="38">
        <f ca="1">IFERROR(VLOOKUP(M$21,'Automated Patient Calcs'!$A:$K,11,FALSE),"")</f>
        <v>2738.2701241448763</v>
      </c>
      <c r="N31" s="38">
        <f ca="1">IFERROR(VLOOKUP(N$21,'Automated Patient Calcs'!$A:$K,11,FALSE),"")</f>
        <v>9210.4061255590841</v>
      </c>
      <c r="O31" s="38">
        <f ca="1">IFERROR(VLOOKUP(O$21,'Automated Patient Calcs'!$A:$K,11,FALSE),"")</f>
        <v>30979.989976053912</v>
      </c>
      <c r="P31" s="38">
        <f ca="1">IFERROR(VLOOKUP(P$21,'Automated Patient Calcs'!$A:$K,11,FALSE),"")</f>
        <v>104203.85006183897</v>
      </c>
      <c r="Q31" s="38">
        <f ca="1">IFERROR(VLOOKUP(Q$21,'Automated Patient Calcs'!$A:$K,11,FALSE),"")</f>
        <v>350498.57589054463</v>
      </c>
      <c r="R31" s="38">
        <f ca="1">IFERROR(VLOOKUP(R$21,'Automated Patient Calcs'!$A:$K,11,FALSE),"")</f>
        <v>1178931.9840715625</v>
      </c>
      <c r="S31" s="38" t="str">
        <f>IFERROR(VLOOKUP(S$21,'Automated Patient Calcs'!$A:$K,11,FALSE),"")</f>
        <v/>
      </c>
      <c r="T31" s="38" t="str">
        <f>IFERROR(VLOOKUP(T$21,'Automated Patient Calcs'!$A:$K,11,FALSE),"")</f>
        <v/>
      </c>
      <c r="U31" s="38" t="str">
        <f>IFERROR(VLOOKUP(U$21,'Automated Patient Calcs'!$A:$K,11,FALSE),"")</f>
        <v/>
      </c>
      <c r="V31" s="38" t="str">
        <f>IFERROR(VLOOKUP(V$21,'Automated Patient Calcs'!$A:$K,11,FALSE),"")</f>
        <v/>
      </c>
      <c r="W31" s="38" t="str">
        <f>IFERROR(VLOOKUP(W$21,'Automated Patient Calcs'!$A:$K,11,FALSE),"")</f>
        <v/>
      </c>
      <c r="X31" s="38" t="str">
        <f>IFERROR(VLOOKUP(X$21,'Automated Patient Calcs'!$A:$K,11,FALSE),"")</f>
        <v/>
      </c>
      <c r="Y31" s="38" t="str">
        <f>IFERROR(VLOOKUP(Y$21,'Automated Patient Calcs'!$A:$K,11,FALSE),"")</f>
        <v/>
      </c>
      <c r="Z31" s="38" t="str">
        <f>IFERROR(VLOOKUP(Z$21,'Automated Patient Calcs'!$A:$K,11,FALSE),"")</f>
        <v/>
      </c>
      <c r="AA31" s="38" t="str">
        <f>IFERROR(VLOOKUP(AA$21,'Automated Patient Calcs'!$A:$K,11,FALSE),"")</f>
        <v/>
      </c>
      <c r="AB31" s="38" t="str">
        <f>IFERROR(VLOOKUP(AB$21,'Automated Patient Calcs'!$A:$K,11,FALSE),"")</f>
        <v/>
      </c>
      <c r="AC31" s="38" t="str">
        <f>IFERROR(VLOOKUP(AC$21,'Automated Patient Calcs'!$A:$K,11,FALSE),"")</f>
        <v/>
      </c>
      <c r="AD31" s="38" t="str">
        <f>IFERROR(VLOOKUP(AD$21,'Automated Patient Calcs'!$A:$K,11,FALSE),"")</f>
        <v/>
      </c>
      <c r="AE31" s="38" t="str">
        <f>IFERROR(VLOOKUP(AE$21,'Automated Patient Calcs'!$A:$K,11,FALSE),"")</f>
        <v/>
      </c>
      <c r="AF31" s="38" t="str">
        <f>IFERROR(VLOOKUP(AF$21,'Automated Patient Calcs'!$A:$K,11,FALSE),"")</f>
        <v/>
      </c>
      <c r="AG31" s="38" t="str">
        <f>IFERROR(VLOOKUP(AG$21,'Automated Patient Calcs'!$A:$K,11,FALSE),"")</f>
        <v/>
      </c>
      <c r="AH31" s="38" t="str">
        <f>IFERROR(VLOOKUP(AH$21,'Automated Patient Calcs'!$A:$K,11,FALSE),"")</f>
        <v/>
      </c>
      <c r="AI31" s="38" t="str">
        <f>IFERROR(VLOOKUP(AI$21,'Automated Patient Calcs'!$A:$K,11,FALSE),"")</f>
        <v/>
      </c>
      <c r="AJ31" s="38" t="str">
        <f>IFERROR(VLOOKUP(AJ$21,'Automated Patient Calcs'!$A:$K,11,FALSE),"")</f>
        <v/>
      </c>
      <c r="AK31" s="38" t="str">
        <f>IFERROR(VLOOKUP(AK$21,'Automated Patient Calcs'!$A:$K,11,FALSE),"")</f>
        <v/>
      </c>
      <c r="AL31" s="38" t="str">
        <f>IFERROR(VLOOKUP(AL$21,'Automated Patient Calcs'!$A:$K,11,FALSE),"")</f>
        <v/>
      </c>
      <c r="AM31" s="38" t="str">
        <f>IFERROR(VLOOKUP(AM$21,'Automated Patient Calcs'!$A:$K,11,FALSE),"")</f>
        <v/>
      </c>
      <c r="AN31" s="38" t="str">
        <f>IFERROR(VLOOKUP(AN$21,'Automated Patient Calcs'!$A:$K,11,FALSE),"")</f>
        <v/>
      </c>
      <c r="AO31" s="38" t="str">
        <f>IFERROR(VLOOKUP(AO$21,'Automated Patient Calcs'!$A:$K,11,FALSE),"")</f>
        <v/>
      </c>
      <c r="AP31" s="38" t="str">
        <f>IFERROR(VLOOKUP(AP$21,'Automated Patient Calcs'!$A:$K,11,FALSE),"")</f>
        <v/>
      </c>
      <c r="AQ31" s="38" t="str">
        <f>IFERROR(VLOOKUP(AQ$21,'Automated Patient Calcs'!$A:$K,11,FALSE),"")</f>
        <v/>
      </c>
      <c r="AR31" s="38" t="str">
        <f>IFERROR(VLOOKUP(AR$21,'Automated Patient Calcs'!$A:$K,11,FALSE),"")</f>
        <v/>
      </c>
      <c r="AS31" s="38" t="str">
        <f>IFERROR(VLOOKUP(AS$21,'Automated Patient Calcs'!$A:$K,11,FALSE),"")</f>
        <v/>
      </c>
      <c r="AT31" s="38" t="str">
        <f>IFERROR(VLOOKUP(AT$21,'Automated Patient Calcs'!$A:$K,11,FALSE),"")</f>
        <v/>
      </c>
      <c r="AU31" s="38" t="str">
        <f>IFERROR(VLOOKUP(AU$21,'Automated Patient Calcs'!$A:$K,11,FALSE),"")</f>
        <v/>
      </c>
      <c r="AV31" s="38" t="str">
        <f>IFERROR(VLOOKUP(AV$21,'Automated Patient Calcs'!$A:$K,11,FALSE),"")</f>
        <v/>
      </c>
      <c r="AW31" s="38" t="str">
        <f>IFERROR(VLOOKUP(AW$21,'Automated Patient Calcs'!$A:$K,11,FALSE),"")</f>
        <v/>
      </c>
      <c r="AX31" s="38" t="str">
        <f>IFERROR(VLOOKUP(AX$21,'Automated Patient Calcs'!$A:$K,11,FALSE),"")</f>
        <v/>
      </c>
      <c r="AY31" s="38" t="str">
        <f>IFERROR(VLOOKUP(AY$21,'Automated Patient Calcs'!$A:$K,11,FALSE),"")</f>
        <v/>
      </c>
      <c r="AZ31" s="38" t="str">
        <f>IFERROR(VLOOKUP(AZ$21,'Automated Patient Calcs'!$A:$K,11,FALSE),"")</f>
        <v/>
      </c>
      <c r="BA31" s="38" t="str">
        <f>IFERROR(VLOOKUP(BA$21,'Automated Patient Calcs'!$A:$K,11,FALSE),"")</f>
        <v/>
      </c>
      <c r="BB31" s="38" t="str">
        <f>IFERROR(VLOOKUP(BB$21,'Automated Patient Calcs'!$A:$K,11,FALSE),"")</f>
        <v/>
      </c>
      <c r="BC31" s="38" t="str">
        <f>IFERROR(VLOOKUP(BC$21,'Automated Patient Calcs'!$A:$K,11,FALSE),"")</f>
        <v/>
      </c>
      <c r="BD31" s="38" t="str">
        <f>IFERROR(VLOOKUP(BD$21,'Automated Patient Calcs'!$A:$K,11,FALSE),"")</f>
        <v/>
      </c>
      <c r="BE31"/>
      <c r="BF31"/>
      <c r="BG31"/>
      <c r="BH31"/>
      <c r="BI31"/>
      <c r="BJ31"/>
      <c r="BK31"/>
      <c r="BL31"/>
      <c r="BM31"/>
      <c r="BN31"/>
      <c r="BO31"/>
      <c r="BP31"/>
      <c r="BQ31"/>
      <c r="BR31"/>
    </row>
    <row r="32" spans="1:70" ht="15.6" customHeight="1" x14ac:dyDescent="0.25">
      <c r="C32" t="s">
        <v>343</v>
      </c>
      <c r="D32" s="38">
        <f ca="1">IFERROR(VLOOKUP(D$21,'Automated Patient Calcs'!$A:$M,13,FALSE),"")</f>
        <v>0</v>
      </c>
      <c r="E32" s="38">
        <f ca="1">IFERROR(VLOOKUP(E$21,'Automated Patient Calcs'!$A:$M,13,FALSE),"")</f>
        <v>0.15</v>
      </c>
      <c r="F32" s="38">
        <f ca="1">IFERROR(VLOOKUP(F$21,'Automated Patient Calcs'!$A:$M,13,FALSE),"")</f>
        <v>0.35453784915222869</v>
      </c>
      <c r="G32" s="38">
        <f ca="1">IFERROR(VLOOKUP(G$21,'Automated Patient Calcs'!$A:$M,13,FALSE),"")</f>
        <v>1.1925184256954853</v>
      </c>
      <c r="H32" s="38">
        <f ca="1">IFERROR(VLOOKUP(H$21,'Automated Patient Calcs'!$A:$M,13,FALSE),"")</f>
        <v>4.0111378771653472</v>
      </c>
      <c r="I32" s="38">
        <f ca="1">IFERROR(VLOOKUP(I$21,'Automated Patient Calcs'!$A:$M,13,FALSE),"")</f>
        <v>13.49180584798694</v>
      </c>
      <c r="J32" s="38">
        <f ca="1">IFERROR(VLOOKUP(J$21,'Automated Patient Calcs'!$A:$M,13,FALSE),"")</f>
        <v>45.380844691485237</v>
      </c>
      <c r="K32" s="38">
        <f ca="1">IFERROR(VLOOKUP(K$21,'Automated Patient Calcs'!$A:$M,13,FALSE),"")</f>
        <v>152.64235848902217</v>
      </c>
      <c r="L32" s="38">
        <f ca="1">IFERROR(VLOOKUP(L$21,'Automated Patient Calcs'!$A:$M,13,FALSE),"")</f>
        <v>513.42564827716421</v>
      </c>
      <c r="M32" s="38">
        <f ca="1">IFERROR(VLOOKUP(M$21,'Automated Patient Calcs'!$A:$M,13,FALSE),"")</f>
        <v>1726.9511485423284</v>
      </c>
      <c r="N32" s="38">
        <f ca="1">IFERROR(VLOOKUP(N$21,'Automated Patient Calcs'!$A:$M,13,FALSE),"")</f>
        <v>5808.7481205101085</v>
      </c>
      <c r="O32" s="38">
        <f ca="1">IFERROR(VLOOKUP(O$21,'Automated Patient Calcs'!$A:$M,13,FALSE),"")</f>
        <v>19538.221886594805</v>
      </c>
      <c r="P32" s="38">
        <f ca="1">IFERROR(VLOOKUP(P$21,'Automated Patient Calcs'!$A:$M,13,FALSE),"")</f>
        <v>65718.482979477107</v>
      </c>
      <c r="Q32" s="38">
        <f ca="1">IFERROR(VLOOKUP(Q$21,'Automated Patient Calcs'!$A:$M,13,FALSE),"")</f>
        <v>221049.74701341795</v>
      </c>
      <c r="R32" s="38">
        <f ca="1">IFERROR(VLOOKUP(R$21,'Automated Patient Calcs'!$A:$M,13,FALSE),"")</f>
        <v>743519.75942529459</v>
      </c>
      <c r="S32" s="38" t="str">
        <f>IFERROR(VLOOKUP(S$21,'Automated Patient Calcs'!$A:$M,13,FALSE),"")</f>
        <v/>
      </c>
      <c r="T32" s="38" t="str">
        <f>IFERROR(VLOOKUP(T$21,'Automated Patient Calcs'!$A:$M,13,FALSE),"")</f>
        <v/>
      </c>
      <c r="U32" s="38" t="str">
        <f>IFERROR(VLOOKUP(U$21,'Automated Patient Calcs'!$A:$M,13,FALSE),"")</f>
        <v/>
      </c>
      <c r="V32" s="38" t="str">
        <f>IFERROR(VLOOKUP(V$21,'Automated Patient Calcs'!$A:$M,13,FALSE),"")</f>
        <v/>
      </c>
      <c r="W32" s="38" t="str">
        <f>IFERROR(VLOOKUP(W$21,'Automated Patient Calcs'!$A:$M,13,FALSE),"")</f>
        <v/>
      </c>
      <c r="X32" s="38" t="str">
        <f>IFERROR(VLOOKUP(X$21,'Automated Patient Calcs'!$A:$M,13,FALSE),"")</f>
        <v/>
      </c>
      <c r="Y32" s="38" t="str">
        <f>IFERROR(VLOOKUP(Y$21,'Automated Patient Calcs'!$A:$M,13,FALSE),"")</f>
        <v/>
      </c>
      <c r="Z32" s="38" t="str">
        <f>IFERROR(VLOOKUP(Z$21,'Automated Patient Calcs'!$A:$M,13,FALSE),"")</f>
        <v/>
      </c>
      <c r="AA32" s="38" t="str">
        <f>IFERROR(VLOOKUP(AA$21,'Automated Patient Calcs'!$A:$M,13,FALSE),"")</f>
        <v/>
      </c>
      <c r="AB32" s="38" t="str">
        <f>IFERROR(VLOOKUP(AB$21,'Automated Patient Calcs'!$A:$M,13,FALSE),"")</f>
        <v/>
      </c>
      <c r="AC32" s="38" t="str">
        <f>IFERROR(VLOOKUP(AC$21,'Automated Patient Calcs'!$A:$M,13,FALSE),"")</f>
        <v/>
      </c>
      <c r="AD32" s="38" t="str">
        <f>IFERROR(VLOOKUP(AD$21,'Automated Patient Calcs'!$A:$M,13,FALSE),"")</f>
        <v/>
      </c>
      <c r="AE32" s="38" t="str">
        <f>IFERROR(VLOOKUP(AE$21,'Automated Patient Calcs'!$A:$M,13,FALSE),"")</f>
        <v/>
      </c>
      <c r="AF32" s="38" t="str">
        <f>IFERROR(VLOOKUP(AF$21,'Automated Patient Calcs'!$A:$M,13,FALSE),"")</f>
        <v/>
      </c>
      <c r="AG32" s="38" t="str">
        <f>IFERROR(VLOOKUP(AG$21,'Automated Patient Calcs'!$A:$M,13,FALSE),"")</f>
        <v/>
      </c>
      <c r="AH32" s="38" t="str">
        <f>IFERROR(VLOOKUP(AH$21,'Automated Patient Calcs'!$A:$M,13,FALSE),"")</f>
        <v/>
      </c>
      <c r="AI32" s="38" t="str">
        <f>IFERROR(VLOOKUP(AI$21,'Automated Patient Calcs'!$A:$M,13,FALSE),"")</f>
        <v/>
      </c>
      <c r="AJ32" s="38" t="str">
        <f>IFERROR(VLOOKUP(AJ$21,'Automated Patient Calcs'!$A:$M,13,FALSE),"")</f>
        <v/>
      </c>
      <c r="AK32" s="38" t="str">
        <f>IFERROR(VLOOKUP(AK$21,'Automated Patient Calcs'!$A:$M,13,FALSE),"")</f>
        <v/>
      </c>
      <c r="AL32" s="38" t="str">
        <f>IFERROR(VLOOKUP(AL$21,'Automated Patient Calcs'!$A:$M,13,FALSE),"")</f>
        <v/>
      </c>
      <c r="AM32" s="38" t="str">
        <f>IFERROR(VLOOKUP(AM$21,'Automated Patient Calcs'!$A:$M,13,FALSE),"")</f>
        <v/>
      </c>
      <c r="AN32" s="38" t="str">
        <f>IFERROR(VLOOKUP(AN$21,'Automated Patient Calcs'!$A:$M,13,FALSE),"")</f>
        <v/>
      </c>
      <c r="AO32" s="38" t="str">
        <f>IFERROR(VLOOKUP(AO$21,'Automated Patient Calcs'!$A:$M,13,FALSE),"")</f>
        <v/>
      </c>
      <c r="AP32" s="38" t="str">
        <f>IFERROR(VLOOKUP(AP$21,'Automated Patient Calcs'!$A:$M,13,FALSE),"")</f>
        <v/>
      </c>
      <c r="AQ32" s="38" t="str">
        <f>IFERROR(VLOOKUP(AQ$21,'Automated Patient Calcs'!$A:$M,13,FALSE),"")</f>
        <v/>
      </c>
      <c r="AR32" s="38" t="str">
        <f>IFERROR(VLOOKUP(AR$21,'Automated Patient Calcs'!$A:$M,13,FALSE),"")</f>
        <v/>
      </c>
      <c r="AS32" s="38" t="str">
        <f>IFERROR(VLOOKUP(AS$21,'Automated Patient Calcs'!$A:$M,13,FALSE),"")</f>
        <v/>
      </c>
      <c r="AT32" s="38" t="str">
        <f>IFERROR(VLOOKUP(AT$21,'Automated Patient Calcs'!$A:$M,13,FALSE),"")</f>
        <v/>
      </c>
      <c r="AU32" s="38" t="str">
        <f>IFERROR(VLOOKUP(AU$21,'Automated Patient Calcs'!$A:$M,13,FALSE),"")</f>
        <v/>
      </c>
      <c r="AV32" s="38" t="str">
        <f>IFERROR(VLOOKUP(AV$21,'Automated Patient Calcs'!$A:$M,13,FALSE),"")</f>
        <v/>
      </c>
      <c r="AW32" s="38" t="str">
        <f>IFERROR(VLOOKUP(AW$21,'Automated Patient Calcs'!$A:$M,13,FALSE),"")</f>
        <v/>
      </c>
      <c r="AX32" s="38" t="str">
        <f>IFERROR(VLOOKUP(AX$21,'Automated Patient Calcs'!$A:$M,13,FALSE),"")</f>
        <v/>
      </c>
      <c r="AY32" s="38" t="str">
        <f>IFERROR(VLOOKUP(AY$21,'Automated Patient Calcs'!$A:$M,13,FALSE),"")</f>
        <v/>
      </c>
      <c r="AZ32" s="38" t="str">
        <f>IFERROR(VLOOKUP(AZ$21,'Automated Patient Calcs'!$A:$M,13,FALSE),"")</f>
        <v/>
      </c>
      <c r="BA32" s="38" t="str">
        <f>IFERROR(VLOOKUP(BA$21,'Automated Patient Calcs'!$A:$M,13,FALSE),"")</f>
        <v/>
      </c>
      <c r="BB32" s="38" t="str">
        <f>IFERROR(VLOOKUP(BB$21,'Automated Patient Calcs'!$A:$M,13,FALSE),"")</f>
        <v/>
      </c>
      <c r="BC32" s="38" t="str">
        <f>IFERROR(VLOOKUP(BC$21,'Automated Patient Calcs'!$A:$M,13,FALSE),"")</f>
        <v/>
      </c>
      <c r="BD32" s="38" t="str">
        <f>IFERROR(VLOOKUP(BD$21,'Automated Patient Calcs'!$A:$M,13,FALSE),"")</f>
        <v/>
      </c>
      <c r="BE32"/>
      <c r="BF32"/>
      <c r="BG32"/>
      <c r="BH32"/>
      <c r="BI32"/>
      <c r="BJ32"/>
      <c r="BK32"/>
      <c r="BL32"/>
      <c r="BM32"/>
      <c r="BN32"/>
      <c r="BO32"/>
      <c r="BP32"/>
      <c r="BQ32"/>
      <c r="BR32"/>
    </row>
    <row r="33" spans="3:70" ht="15.6" customHeight="1" x14ac:dyDescent="0.25">
      <c r="C33" t="s">
        <v>345</v>
      </c>
      <c r="D33" s="38">
        <f ca="1">IFERROR(VLOOKUP(D$21,'Automated Patient Calcs'!$A:$O,15,FALSE),"")</f>
        <v>0</v>
      </c>
      <c r="E33" s="38">
        <f ca="1">IFERROR(VLOOKUP(E$21,'Automated Patient Calcs'!$A:$O,15,FALSE),"")</f>
        <v>0</v>
      </c>
      <c r="F33" s="38">
        <f ca="1">IFERROR(VLOOKUP(F$21,'Automated Patient Calcs'!$A:$O,15,FALSE),"")</f>
        <v>0.05</v>
      </c>
      <c r="G33" s="38">
        <f ca="1">IFERROR(VLOOKUP(G$21,'Automated Patient Calcs'!$A:$O,15,FALSE),"")</f>
        <v>0.11817928305074291</v>
      </c>
      <c r="H33" s="38">
        <f ca="1">IFERROR(VLOOKUP(H$21,'Automated Patient Calcs'!$A:$O,15,FALSE),"")</f>
        <v>0.39750614189849509</v>
      </c>
      <c r="I33" s="38">
        <f ca="1">IFERROR(VLOOKUP(I$21,'Automated Patient Calcs'!$A:$O,15,FALSE),"")</f>
        <v>1.3370459590551158</v>
      </c>
      <c r="J33" s="38">
        <f ca="1">IFERROR(VLOOKUP(J$21,'Automated Patient Calcs'!$A:$O,15,FALSE),"")</f>
        <v>4.4972686159956465</v>
      </c>
      <c r="K33" s="38">
        <f ca="1">IFERROR(VLOOKUP(K$21,'Automated Patient Calcs'!$A:$O,15,FALSE),"")</f>
        <v>15.126948230495081</v>
      </c>
      <c r="L33" s="38">
        <f ca="1">IFERROR(VLOOKUP(L$21,'Automated Patient Calcs'!$A:$O,15,FALSE),"")</f>
        <v>50.8807861630074</v>
      </c>
      <c r="M33" s="38">
        <f ca="1">IFERROR(VLOOKUP(M$21,'Automated Patient Calcs'!$A:$O,15,FALSE),"")</f>
        <v>171.14188275905477</v>
      </c>
      <c r="N33" s="38">
        <f ca="1">IFERROR(VLOOKUP(N$21,'Automated Patient Calcs'!$A:$O,15,FALSE),"")</f>
        <v>575.65038284744276</v>
      </c>
      <c r="O33" s="38">
        <f ca="1">IFERROR(VLOOKUP(O$21,'Automated Patient Calcs'!$A:$O,15,FALSE),"")</f>
        <v>1936.2493735033695</v>
      </c>
      <c r="P33" s="38">
        <f ca="1">IFERROR(VLOOKUP(P$21,'Automated Patient Calcs'!$A:$O,15,FALSE),"")</f>
        <v>6512.7406288649354</v>
      </c>
      <c r="Q33" s="38">
        <f ca="1">IFERROR(VLOOKUP(Q$21,'Automated Patient Calcs'!$A:$O,15,FALSE),"")</f>
        <v>21906.160993159039</v>
      </c>
      <c r="R33" s="38">
        <f ca="1">IFERROR(VLOOKUP(R$21,'Automated Patient Calcs'!$A:$O,15,FALSE),"")</f>
        <v>73683.249004472658</v>
      </c>
      <c r="S33" s="38" t="str">
        <f>IFERROR(VLOOKUP(S$21,'Automated Patient Calcs'!$A:$O,15,FALSE),"")</f>
        <v/>
      </c>
      <c r="T33" s="38" t="str">
        <f>IFERROR(VLOOKUP(T$21,'Automated Patient Calcs'!$A:$O,15,FALSE),"")</f>
        <v/>
      </c>
      <c r="U33" s="38" t="str">
        <f>IFERROR(VLOOKUP(U$21,'Automated Patient Calcs'!$A:$O,15,FALSE),"")</f>
        <v/>
      </c>
      <c r="V33" s="38" t="str">
        <f>IFERROR(VLOOKUP(V$21,'Automated Patient Calcs'!$A:$O,15,FALSE),"")</f>
        <v/>
      </c>
      <c r="W33" s="38" t="str">
        <f>IFERROR(VLOOKUP(W$21,'Automated Patient Calcs'!$A:$O,15,FALSE),"")</f>
        <v/>
      </c>
      <c r="X33" s="38" t="str">
        <f>IFERROR(VLOOKUP(X$21,'Automated Patient Calcs'!$A:$O,15,FALSE),"")</f>
        <v/>
      </c>
      <c r="Y33" s="38" t="str">
        <f>IFERROR(VLOOKUP(Y$21,'Automated Patient Calcs'!$A:$O,15,FALSE),"")</f>
        <v/>
      </c>
      <c r="Z33" s="38" t="str">
        <f>IFERROR(VLOOKUP(Z$21,'Automated Patient Calcs'!$A:$O,15,FALSE),"")</f>
        <v/>
      </c>
      <c r="AA33" s="38" t="str">
        <f>IFERROR(VLOOKUP(AA$21,'Automated Patient Calcs'!$A:$O,15,FALSE),"")</f>
        <v/>
      </c>
      <c r="AB33" s="38" t="str">
        <f>IFERROR(VLOOKUP(AB$21,'Automated Patient Calcs'!$A:$O,15,FALSE),"")</f>
        <v/>
      </c>
      <c r="AC33" s="38" t="str">
        <f>IFERROR(VLOOKUP(AC$21,'Automated Patient Calcs'!$A:$O,15,FALSE),"")</f>
        <v/>
      </c>
      <c r="AD33" s="38" t="str">
        <f>IFERROR(VLOOKUP(AD$21,'Automated Patient Calcs'!$A:$O,15,FALSE),"")</f>
        <v/>
      </c>
      <c r="AE33" s="38" t="str">
        <f>IFERROR(VLOOKUP(AE$21,'Automated Patient Calcs'!$A:$O,15,FALSE),"")</f>
        <v/>
      </c>
      <c r="AF33" s="38" t="str">
        <f>IFERROR(VLOOKUP(AF$21,'Automated Patient Calcs'!$A:$O,15,FALSE),"")</f>
        <v/>
      </c>
      <c r="AG33" s="38" t="str">
        <f>IFERROR(VLOOKUP(AG$21,'Automated Patient Calcs'!$A:$O,15,FALSE),"")</f>
        <v/>
      </c>
      <c r="AH33" s="38" t="str">
        <f>IFERROR(VLOOKUP(AH$21,'Automated Patient Calcs'!$A:$O,15,FALSE),"")</f>
        <v/>
      </c>
      <c r="AI33" s="38" t="str">
        <f>IFERROR(VLOOKUP(AI$21,'Automated Patient Calcs'!$A:$O,15,FALSE),"")</f>
        <v/>
      </c>
      <c r="AJ33" s="38" t="str">
        <f>IFERROR(VLOOKUP(AJ$21,'Automated Patient Calcs'!$A:$O,15,FALSE),"")</f>
        <v/>
      </c>
      <c r="AK33" s="38" t="str">
        <f>IFERROR(VLOOKUP(AK$21,'Automated Patient Calcs'!$A:$O,15,FALSE),"")</f>
        <v/>
      </c>
      <c r="AL33" s="38" t="str">
        <f>IFERROR(VLOOKUP(AL$21,'Automated Patient Calcs'!$A:$O,15,FALSE),"")</f>
        <v/>
      </c>
      <c r="AM33" s="38" t="str">
        <f>IFERROR(VLOOKUP(AM$21,'Automated Patient Calcs'!$A:$O,15,FALSE),"")</f>
        <v/>
      </c>
      <c r="AN33" s="38" t="str">
        <f>IFERROR(VLOOKUP(AN$21,'Automated Patient Calcs'!$A:$O,15,FALSE),"")</f>
        <v/>
      </c>
      <c r="AO33" s="38" t="str">
        <f>IFERROR(VLOOKUP(AO$21,'Automated Patient Calcs'!$A:$O,15,FALSE),"")</f>
        <v/>
      </c>
      <c r="AP33" s="38" t="str">
        <f>IFERROR(VLOOKUP(AP$21,'Automated Patient Calcs'!$A:$O,15,FALSE),"")</f>
        <v/>
      </c>
      <c r="AQ33" s="38" t="str">
        <f>IFERROR(VLOOKUP(AQ$21,'Automated Patient Calcs'!$A:$O,15,FALSE),"")</f>
        <v/>
      </c>
      <c r="AR33" s="38" t="str">
        <f>IFERROR(VLOOKUP(AR$21,'Automated Patient Calcs'!$A:$O,15,FALSE),"")</f>
        <v/>
      </c>
      <c r="AS33" s="38" t="str">
        <f>IFERROR(VLOOKUP(AS$21,'Automated Patient Calcs'!$A:$O,15,FALSE),"")</f>
        <v/>
      </c>
      <c r="AT33" s="38" t="str">
        <f>IFERROR(VLOOKUP(AT$21,'Automated Patient Calcs'!$A:$O,15,FALSE),"")</f>
        <v/>
      </c>
      <c r="AU33" s="38" t="str">
        <f>IFERROR(VLOOKUP(AU$21,'Automated Patient Calcs'!$A:$O,15,FALSE),"")</f>
        <v/>
      </c>
      <c r="AV33" s="38" t="str">
        <f>IFERROR(VLOOKUP(AV$21,'Automated Patient Calcs'!$A:$O,15,FALSE),"")</f>
        <v/>
      </c>
      <c r="AW33" s="38" t="str">
        <f>IFERROR(VLOOKUP(AW$21,'Automated Patient Calcs'!$A:$O,15,FALSE),"")</f>
        <v/>
      </c>
      <c r="AX33" s="38" t="str">
        <f>IFERROR(VLOOKUP(AX$21,'Automated Patient Calcs'!$A:$O,15,FALSE),"")</f>
        <v/>
      </c>
      <c r="AY33" s="38" t="str">
        <f>IFERROR(VLOOKUP(AY$21,'Automated Patient Calcs'!$A:$O,15,FALSE),"")</f>
        <v/>
      </c>
      <c r="AZ33" s="38" t="str">
        <f>IFERROR(VLOOKUP(AZ$21,'Automated Patient Calcs'!$A:$O,15,FALSE),"")</f>
        <v/>
      </c>
      <c r="BA33" s="38" t="str">
        <f>IFERROR(VLOOKUP(BA$21,'Automated Patient Calcs'!$A:$O,15,FALSE),"")</f>
        <v/>
      </c>
      <c r="BB33" s="38" t="str">
        <f>IFERROR(VLOOKUP(BB$21,'Automated Patient Calcs'!$A:$O,15,FALSE),"")</f>
        <v/>
      </c>
      <c r="BC33" s="38" t="str">
        <f>IFERROR(VLOOKUP(BC$21,'Automated Patient Calcs'!$A:$O,15,FALSE),"")</f>
        <v/>
      </c>
      <c r="BD33" s="38" t="str">
        <f>IFERROR(VLOOKUP(BD$21,'Automated Patient Calcs'!$A:$O,15,FALSE),"")</f>
        <v/>
      </c>
      <c r="BE33"/>
      <c r="BF33"/>
      <c r="BG33"/>
      <c r="BH33"/>
      <c r="BI33"/>
      <c r="BJ33"/>
      <c r="BK33"/>
      <c r="BL33"/>
      <c r="BM33"/>
      <c r="BN33"/>
      <c r="BO33"/>
      <c r="BP33"/>
      <c r="BQ33"/>
      <c r="BR33"/>
    </row>
    <row r="34" spans="3:70" s="138" customFormat="1" ht="25.5" customHeight="1" x14ac:dyDescent="0.25">
      <c r="C34" s="184" t="s">
        <v>941</v>
      </c>
      <c r="D34" s="86">
        <f t="shared" ref="D34:AI34" ca="1" si="2">IFERROR(IF(D27="","",IF(ISTEXT((OFFSET(D$27,0,-BedStay_Severe))),0,(OFFSET(D$27,0,-BedStay_Severe)))),"")</f>
        <v>0</v>
      </c>
      <c r="E34" s="86">
        <f t="shared" ca="1" si="2"/>
        <v>0.15</v>
      </c>
      <c r="F34" s="86">
        <f t="shared" ca="1" si="2"/>
        <v>0.35453784915222869</v>
      </c>
      <c r="G34" s="86">
        <f t="shared" ca="1" si="2"/>
        <v>1.1925184256954853</v>
      </c>
      <c r="H34" s="86">
        <f t="shared" ca="1" si="2"/>
        <v>4.0111378771653472</v>
      </c>
      <c r="I34" s="86">
        <f t="shared" ca="1" si="2"/>
        <v>13.49180584798694</v>
      </c>
      <c r="J34" s="86">
        <f t="shared" ca="1" si="2"/>
        <v>45.380844691485237</v>
      </c>
      <c r="K34" s="86">
        <f t="shared" ca="1" si="2"/>
        <v>152.64235848902217</v>
      </c>
      <c r="L34" s="86">
        <f t="shared" ca="1" si="2"/>
        <v>513.42564827716421</v>
      </c>
      <c r="M34" s="86">
        <f t="shared" ca="1" si="2"/>
        <v>1726.9511485423284</v>
      </c>
      <c r="N34" s="86">
        <f t="shared" ca="1" si="2"/>
        <v>5808.7481205101085</v>
      </c>
      <c r="O34" s="86">
        <f t="shared" ca="1" si="2"/>
        <v>19538.221886594805</v>
      </c>
      <c r="P34" s="86">
        <f t="shared" ca="1" si="2"/>
        <v>65718.482979477107</v>
      </c>
      <c r="Q34" s="86">
        <f t="shared" ca="1" si="2"/>
        <v>80550.778919999997</v>
      </c>
      <c r="R34" s="86">
        <f t="shared" ca="1" si="2"/>
        <v>80550.778919999997</v>
      </c>
      <c r="S34" s="86" t="str">
        <f t="shared" ca="1" si="2"/>
        <v/>
      </c>
      <c r="T34" s="86" t="str">
        <f t="shared" ca="1" si="2"/>
        <v/>
      </c>
      <c r="U34" s="86" t="str">
        <f t="shared" ca="1" si="2"/>
        <v/>
      </c>
      <c r="V34" s="86" t="str">
        <f t="shared" ca="1" si="2"/>
        <v/>
      </c>
      <c r="W34" s="86" t="str">
        <f t="shared" ca="1" si="2"/>
        <v/>
      </c>
      <c r="X34" s="86" t="str">
        <f t="shared" ca="1" si="2"/>
        <v/>
      </c>
      <c r="Y34" s="86" t="str">
        <f t="shared" ca="1" si="2"/>
        <v/>
      </c>
      <c r="Z34" s="86" t="str">
        <f t="shared" ca="1" si="2"/>
        <v/>
      </c>
      <c r="AA34" s="86" t="str">
        <f t="shared" ca="1" si="2"/>
        <v/>
      </c>
      <c r="AB34" s="86" t="str">
        <f t="shared" ca="1" si="2"/>
        <v/>
      </c>
      <c r="AC34" s="86" t="str">
        <f t="shared" ca="1" si="2"/>
        <v/>
      </c>
      <c r="AD34" s="86" t="str">
        <f t="shared" ca="1" si="2"/>
        <v/>
      </c>
      <c r="AE34" s="86" t="str">
        <f t="shared" ca="1" si="2"/>
        <v/>
      </c>
      <c r="AF34" s="86" t="str">
        <f t="shared" ca="1" si="2"/>
        <v/>
      </c>
      <c r="AG34" s="86" t="str">
        <f t="shared" ca="1" si="2"/>
        <v/>
      </c>
      <c r="AH34" s="86" t="str">
        <f t="shared" ca="1" si="2"/>
        <v/>
      </c>
      <c r="AI34" s="86" t="str">
        <f t="shared" ca="1" si="2"/>
        <v/>
      </c>
      <c r="AJ34" s="86" t="str">
        <f t="shared" ref="AJ34:BD34" ca="1" si="3">IFERROR(IF(AJ27="","",IF(ISTEXT((OFFSET(AJ$27,0,-BedStay_Severe))),0,(OFFSET(AJ$27,0,-BedStay_Severe)))),"")</f>
        <v/>
      </c>
      <c r="AK34" s="86" t="str">
        <f t="shared" ca="1" si="3"/>
        <v/>
      </c>
      <c r="AL34" s="86" t="str">
        <f t="shared" ca="1" si="3"/>
        <v/>
      </c>
      <c r="AM34" s="86" t="str">
        <f t="shared" ca="1" si="3"/>
        <v/>
      </c>
      <c r="AN34" s="86" t="str">
        <f t="shared" ca="1" si="3"/>
        <v/>
      </c>
      <c r="AO34" s="86" t="str">
        <f t="shared" ca="1" si="3"/>
        <v/>
      </c>
      <c r="AP34" s="86" t="str">
        <f t="shared" ca="1" si="3"/>
        <v/>
      </c>
      <c r="AQ34" s="86" t="str">
        <f t="shared" ca="1" si="3"/>
        <v/>
      </c>
      <c r="AR34" s="86" t="str">
        <f t="shared" ca="1" si="3"/>
        <v/>
      </c>
      <c r="AS34" s="86" t="str">
        <f t="shared" ca="1" si="3"/>
        <v/>
      </c>
      <c r="AT34" s="86" t="str">
        <f t="shared" ca="1" si="3"/>
        <v/>
      </c>
      <c r="AU34" s="86" t="str">
        <f t="shared" ca="1" si="3"/>
        <v/>
      </c>
      <c r="AV34" s="86" t="str">
        <f t="shared" ca="1" si="3"/>
        <v/>
      </c>
      <c r="AW34" s="86" t="str">
        <f t="shared" ca="1" si="3"/>
        <v/>
      </c>
      <c r="AX34" s="86" t="str">
        <f t="shared" ca="1" si="3"/>
        <v/>
      </c>
      <c r="AY34" s="86" t="str">
        <f t="shared" ca="1" si="3"/>
        <v/>
      </c>
      <c r="AZ34" s="86" t="str">
        <f t="shared" ca="1" si="3"/>
        <v/>
      </c>
      <c r="BA34" s="86" t="str">
        <f t="shared" ca="1" si="3"/>
        <v/>
      </c>
      <c r="BB34" s="86" t="str">
        <f t="shared" ca="1" si="3"/>
        <v/>
      </c>
      <c r="BC34" s="86" t="str">
        <f t="shared" ca="1" si="3"/>
        <v/>
      </c>
      <c r="BD34" s="86" t="str">
        <f t="shared" ca="1" si="3"/>
        <v/>
      </c>
      <c r="BE34" s="31" t="s">
        <v>953</v>
      </c>
      <c r="BF34" s="79"/>
    </row>
    <row r="35" spans="3:70" s="138" customFormat="1" ht="25.5" customHeight="1" x14ac:dyDescent="0.25">
      <c r="C35" s="184" t="s">
        <v>942</v>
      </c>
      <c r="D35" s="86">
        <f t="shared" ref="D35:AI35" ca="1" si="4">IFERROR(IF(D28="","",IF(ISTEXT((OFFSET(D$28,0,-BedStay_Critical))),0,(OFFSET(D$28,0,-BedStay_Critical)))),"")</f>
        <v>0</v>
      </c>
      <c r="E35" s="86">
        <f t="shared" ca="1" si="4"/>
        <v>0</v>
      </c>
      <c r="F35" s="86">
        <f t="shared" ca="1" si="4"/>
        <v>0.05</v>
      </c>
      <c r="G35" s="86">
        <f t="shared" ca="1" si="4"/>
        <v>0.11817928305074291</v>
      </c>
      <c r="H35" s="86">
        <f t="shared" ca="1" si="4"/>
        <v>0.39750614189849509</v>
      </c>
      <c r="I35" s="86">
        <f t="shared" ca="1" si="4"/>
        <v>1.3370459590551158</v>
      </c>
      <c r="J35" s="86">
        <f t="shared" ca="1" si="4"/>
        <v>4.4972686159956465</v>
      </c>
      <c r="K35" s="86">
        <f t="shared" ca="1" si="4"/>
        <v>15.126948230495081</v>
      </c>
      <c r="L35" s="86">
        <f t="shared" ca="1" si="4"/>
        <v>50.8807861630074</v>
      </c>
      <c r="M35" s="86">
        <f t="shared" ca="1" si="4"/>
        <v>171.14188275905477</v>
      </c>
      <c r="N35" s="86">
        <f t="shared" ca="1" si="4"/>
        <v>575.65038284744276</v>
      </c>
      <c r="O35" s="86">
        <f t="shared" ca="1" si="4"/>
        <v>1936.2493735033695</v>
      </c>
      <c r="P35" s="86">
        <f t="shared" ca="1" si="4"/>
        <v>2766.1210799999999</v>
      </c>
      <c r="Q35" s="86">
        <f t="shared" ca="1" si="4"/>
        <v>2766.1210799999999</v>
      </c>
      <c r="R35" s="86">
        <f t="shared" ca="1" si="4"/>
        <v>2766.1210799999999</v>
      </c>
      <c r="S35" s="86" t="str">
        <f t="shared" ca="1" si="4"/>
        <v/>
      </c>
      <c r="T35" s="86" t="str">
        <f t="shared" ca="1" si="4"/>
        <v/>
      </c>
      <c r="U35" s="86" t="str">
        <f t="shared" ca="1" si="4"/>
        <v/>
      </c>
      <c r="V35" s="86" t="str">
        <f t="shared" ca="1" si="4"/>
        <v/>
      </c>
      <c r="W35" s="86" t="str">
        <f t="shared" ca="1" si="4"/>
        <v/>
      </c>
      <c r="X35" s="86" t="str">
        <f t="shared" ca="1" si="4"/>
        <v/>
      </c>
      <c r="Y35" s="86" t="str">
        <f t="shared" ca="1" si="4"/>
        <v/>
      </c>
      <c r="Z35" s="86" t="str">
        <f t="shared" ca="1" si="4"/>
        <v/>
      </c>
      <c r="AA35" s="86" t="str">
        <f t="shared" ca="1" si="4"/>
        <v/>
      </c>
      <c r="AB35" s="86" t="str">
        <f t="shared" ca="1" si="4"/>
        <v/>
      </c>
      <c r="AC35" s="86" t="str">
        <f t="shared" ca="1" si="4"/>
        <v/>
      </c>
      <c r="AD35" s="86" t="str">
        <f t="shared" ca="1" si="4"/>
        <v/>
      </c>
      <c r="AE35" s="86" t="str">
        <f t="shared" ca="1" si="4"/>
        <v/>
      </c>
      <c r="AF35" s="86" t="str">
        <f t="shared" ca="1" si="4"/>
        <v/>
      </c>
      <c r="AG35" s="86" t="str">
        <f t="shared" ca="1" si="4"/>
        <v/>
      </c>
      <c r="AH35" s="86" t="str">
        <f t="shared" ca="1" si="4"/>
        <v/>
      </c>
      <c r="AI35" s="86" t="str">
        <f t="shared" ca="1" si="4"/>
        <v/>
      </c>
      <c r="AJ35" s="86" t="str">
        <f t="shared" ref="AJ35:BD35" ca="1" si="5">IFERROR(IF(AJ28="","",IF(ISTEXT((OFFSET(AJ$28,0,-BedStay_Critical))),0,(OFFSET(AJ$28,0,-BedStay_Critical)))),"")</f>
        <v/>
      </c>
      <c r="AK35" s="86" t="str">
        <f t="shared" ca="1" si="5"/>
        <v/>
      </c>
      <c r="AL35" s="86" t="str">
        <f t="shared" ca="1" si="5"/>
        <v/>
      </c>
      <c r="AM35" s="86" t="str">
        <f t="shared" ca="1" si="5"/>
        <v/>
      </c>
      <c r="AN35" s="86" t="str">
        <f t="shared" ca="1" si="5"/>
        <v/>
      </c>
      <c r="AO35" s="86" t="str">
        <f t="shared" ca="1" si="5"/>
        <v/>
      </c>
      <c r="AP35" s="86" t="str">
        <f t="shared" ca="1" si="5"/>
        <v/>
      </c>
      <c r="AQ35" s="86" t="str">
        <f t="shared" ca="1" si="5"/>
        <v/>
      </c>
      <c r="AR35" s="86" t="str">
        <f t="shared" ca="1" si="5"/>
        <v/>
      </c>
      <c r="AS35" s="86" t="str">
        <f t="shared" ca="1" si="5"/>
        <v/>
      </c>
      <c r="AT35" s="86" t="str">
        <f t="shared" ca="1" si="5"/>
        <v/>
      </c>
      <c r="AU35" s="86" t="str">
        <f t="shared" ca="1" si="5"/>
        <v/>
      </c>
      <c r="AV35" s="86" t="str">
        <f t="shared" ca="1" si="5"/>
        <v/>
      </c>
      <c r="AW35" s="86" t="str">
        <f t="shared" ca="1" si="5"/>
        <v/>
      </c>
      <c r="AX35" s="86" t="str">
        <f t="shared" ca="1" si="5"/>
        <v/>
      </c>
      <c r="AY35" s="86" t="str">
        <f t="shared" ca="1" si="5"/>
        <v/>
      </c>
      <c r="AZ35" s="86" t="str">
        <f t="shared" ca="1" si="5"/>
        <v/>
      </c>
      <c r="BA35" s="86" t="str">
        <f t="shared" ca="1" si="5"/>
        <v/>
      </c>
      <c r="BB35" s="86" t="str">
        <f t="shared" ca="1" si="5"/>
        <v/>
      </c>
      <c r="BC35" s="86" t="str">
        <f t="shared" ca="1" si="5"/>
        <v/>
      </c>
      <c r="BD35" s="86" t="str">
        <f t="shared" ca="1" si="5"/>
        <v/>
      </c>
    </row>
    <row r="36" spans="3:70" x14ac:dyDescent="0.25">
      <c r="E36" s="138"/>
      <c r="F36" s="138"/>
      <c r="G36" s="138"/>
      <c r="H36" s="138"/>
      <c r="I36" s="138"/>
      <c r="J36" s="138"/>
      <c r="K36" s="138"/>
      <c r="L36" s="138"/>
      <c r="M36" s="138"/>
      <c r="N36" s="138"/>
      <c r="O36" s="138"/>
      <c r="P36" s="138"/>
      <c r="Q36" s="138"/>
      <c r="R36" s="138"/>
      <c r="T36" s="138"/>
      <c r="U36" s="138"/>
      <c r="V36" s="138"/>
      <c r="W36" s="138"/>
      <c r="X36" s="138"/>
      <c r="Y36" s="138"/>
      <c r="Z36" s="138"/>
      <c r="AA36" s="138"/>
      <c r="AB36" s="138"/>
      <c r="AC36" s="138"/>
      <c r="AD36" s="138"/>
      <c r="BE36"/>
      <c r="BF36"/>
      <c r="BG36"/>
      <c r="BH36"/>
      <c r="BI36"/>
      <c r="BJ36"/>
      <c r="BK36"/>
      <c r="BL36"/>
      <c r="BM36"/>
      <c r="BN36"/>
      <c r="BO36"/>
      <c r="BP36"/>
      <c r="BQ36"/>
      <c r="BR36"/>
    </row>
    <row r="37" spans="3:70" s="65" customFormat="1" x14ac:dyDescent="0.25">
      <c r="C37" s="66" t="s">
        <v>815</v>
      </c>
      <c r="BF37" s="169"/>
    </row>
    <row r="38" spans="3:70" x14ac:dyDescent="0.25">
      <c r="C38" t="s">
        <v>344</v>
      </c>
      <c r="D38" s="38">
        <f ca="1">IFERROR(VLOOKUP(D$21,'Automated Patient Calcs'!$A:$P,16,FALSE),"")</f>
        <v>0.8</v>
      </c>
      <c r="E38" s="38">
        <f ca="1">IFERROR(VLOOKUP(E$21,'Automated Patient Calcs'!$A:$P,16,FALSE),"")</f>
        <v>2.6908685288118868</v>
      </c>
      <c r="F38" s="38">
        <f ca="1">IFERROR(VLOOKUP(F$21,'Automated Patient Calcs'!$A:$P,16,FALSE),"")</f>
        <v>8.2509667991878075</v>
      </c>
      <c r="G38" s="38">
        <f ca="1">IFERROR(VLOOKUP(G$21,'Automated Patient Calcs'!$A:$P,16,FALSE),"")</f>
        <v>27.752833615257774</v>
      </c>
      <c r="H38" s="38">
        <f ca="1">IFERROR(VLOOKUP(H$21,'Automated Patient Calcs'!$A:$P,16,FALSE),"")</f>
        <v>93.349033200812201</v>
      </c>
      <c r="I38" s="38">
        <f ca="1">IFERROR(VLOOKUP(I$21,'Automated Patient Calcs'!$A:$P,16,FALSE),"")</f>
        <v>313.9874695438516</v>
      </c>
      <c r="J38" s="38">
        <f ca="1">IFERROR(VLOOKUP(J$21,'Automated Patient Calcs'!$A:$P,16,FALSE),"")</f>
        <v>1056.1237502960396</v>
      </c>
      <c r="K38" s="38">
        <f ca="1">IFERROR(VLOOKUP(K$21,'Automated Patient Calcs'!$A:$P,16,FALSE),"")</f>
        <v>3552.3627027529947</v>
      </c>
      <c r="L38" s="38">
        <f ca="1">IFERROR(VLOOKUP(L$21,'Automated Patient Calcs'!$A:$P,16,FALSE),"")</f>
        <v>11948.676249703962</v>
      </c>
      <c r="M38" s="38">
        <f ca="1">IFERROR(VLOOKUP(M$21,'Automated Patient Calcs'!$A:$P,16,FALSE),"")</f>
        <v>40190.396101612998</v>
      </c>
      <c r="N38" s="38">
        <f ca="1">IFERROR(VLOOKUP(N$21,'Automated Patient Calcs'!$A:$P,16,FALSE),"")</f>
        <v>135183.84003789286</v>
      </c>
      <c r="O38" s="38">
        <f ca="1">IFERROR(VLOOKUP(O$21,'Automated Patient Calcs'!$A:$P,16,FALSE),"")</f>
        <v>454702.42595238361</v>
      </c>
      <c r="P38" s="38">
        <f ca="1">IFERROR(VLOOKUP(P$21,'Automated Patient Calcs'!$A:$P,16,FALSE),"")</f>
        <v>1529430.5599621073</v>
      </c>
      <c r="Q38" s="38">
        <f ca="1">IFERROR(VLOOKUP(Q$21,'Automated Patient Calcs'!$A:$P,16,FALSE),"")</f>
        <v>5144370.7010064675</v>
      </c>
      <c r="R38" s="38">
        <f ca="1">IFERROR(VLOOKUP(R$21,'Automated Patient Calcs'!$A:$P,16,FALSE),"")</f>
        <v>5338438.4000000004</v>
      </c>
      <c r="S38" s="38" t="str">
        <f>IFERROR(VLOOKUP(S$21,'Automated Patient Calcs'!$A:$P,16,FALSE),"")</f>
        <v/>
      </c>
      <c r="T38" s="38" t="str">
        <f>IFERROR(VLOOKUP(T$21,'Automated Patient Calcs'!$A:$P,16,FALSE),"")</f>
        <v/>
      </c>
      <c r="U38" s="38" t="str">
        <f>IFERROR(VLOOKUP(U$21,'Automated Patient Calcs'!$A:$P,16,FALSE),"")</f>
        <v/>
      </c>
      <c r="V38" s="38" t="str">
        <f>IFERROR(VLOOKUP(V$21,'Automated Patient Calcs'!$A:$P,16,FALSE),"")</f>
        <v/>
      </c>
      <c r="W38" s="38" t="str">
        <f>IFERROR(VLOOKUP(W$21,'Automated Patient Calcs'!$A:$P,16,FALSE),"")</f>
        <v/>
      </c>
      <c r="X38" s="38" t="str">
        <f>IFERROR(VLOOKUP(X$21,'Automated Patient Calcs'!$A:$P,16,FALSE),"")</f>
        <v/>
      </c>
      <c r="Y38" s="38" t="str">
        <f>IFERROR(VLOOKUP(Y$21,'Automated Patient Calcs'!$A:$P,16,FALSE),"")</f>
        <v/>
      </c>
      <c r="Z38" s="38" t="str">
        <f>IFERROR(VLOOKUP(Z$21,'Automated Patient Calcs'!$A:$P,16,FALSE),"")</f>
        <v/>
      </c>
      <c r="AA38" s="38" t="str">
        <f>IFERROR(VLOOKUP(AA$21,'Automated Patient Calcs'!$A:$P,16,FALSE),"")</f>
        <v/>
      </c>
      <c r="AB38" s="38" t="str">
        <f>IFERROR(VLOOKUP(AB$21,'Automated Patient Calcs'!$A:$P,16,FALSE),"")</f>
        <v/>
      </c>
      <c r="AC38" s="38" t="str">
        <f>IFERROR(VLOOKUP(AC$21,'Automated Patient Calcs'!$A:$P,16,FALSE),"")</f>
        <v/>
      </c>
      <c r="AD38" s="38" t="str">
        <f>IFERROR(VLOOKUP(AD$21,'Automated Patient Calcs'!$A:$P,16,FALSE),"")</f>
        <v/>
      </c>
      <c r="AE38" s="38" t="str">
        <f>IFERROR(VLOOKUP(AE$21,'Automated Patient Calcs'!$A:$P,16,FALSE),"")</f>
        <v/>
      </c>
      <c r="AF38" s="38" t="str">
        <f>IFERROR(VLOOKUP(AF$21,'Automated Patient Calcs'!$A:$P,16,FALSE),"")</f>
        <v/>
      </c>
      <c r="AG38" s="38" t="str">
        <f>IFERROR(VLOOKUP(AG$21,'Automated Patient Calcs'!$A:$P,16,FALSE),"")</f>
        <v/>
      </c>
      <c r="AH38" s="38" t="str">
        <f>IFERROR(VLOOKUP(AH$21,'Automated Patient Calcs'!$A:$P,16,FALSE),"")</f>
        <v/>
      </c>
      <c r="AI38" s="38" t="str">
        <f>IFERROR(VLOOKUP(AI$21,'Automated Patient Calcs'!$A:$P,16,FALSE),"")</f>
        <v/>
      </c>
      <c r="AJ38" s="38" t="str">
        <f>IFERROR(VLOOKUP(AJ$21,'Automated Patient Calcs'!$A:$P,16,FALSE),"")</f>
        <v/>
      </c>
      <c r="AK38" s="38" t="str">
        <f>IFERROR(VLOOKUP(AK$21,'Automated Patient Calcs'!$A:$P,16,FALSE),"")</f>
        <v/>
      </c>
      <c r="AL38" s="38" t="str">
        <f>IFERROR(VLOOKUP(AL$21,'Automated Patient Calcs'!$A:$P,16,FALSE),"")</f>
        <v/>
      </c>
      <c r="AM38" s="38" t="str">
        <f>IFERROR(VLOOKUP(AM$21,'Automated Patient Calcs'!$A:$P,16,FALSE),"")</f>
        <v/>
      </c>
      <c r="AN38" s="38" t="str">
        <f>IFERROR(VLOOKUP(AN$21,'Automated Patient Calcs'!$A:$P,16,FALSE),"")</f>
        <v/>
      </c>
      <c r="AO38" s="38" t="str">
        <f>IFERROR(VLOOKUP(AO$21,'Automated Patient Calcs'!$A:$P,16,FALSE),"")</f>
        <v/>
      </c>
      <c r="AP38" s="38" t="str">
        <f>IFERROR(VLOOKUP(AP$21,'Automated Patient Calcs'!$A:$P,16,FALSE),"")</f>
        <v/>
      </c>
      <c r="AQ38" s="38" t="str">
        <f>IFERROR(VLOOKUP(AQ$21,'Automated Patient Calcs'!$A:$P,16,FALSE),"")</f>
        <v/>
      </c>
      <c r="AR38" s="38" t="str">
        <f>IFERROR(VLOOKUP(AR$21,'Automated Patient Calcs'!$A:$P,16,FALSE),"")</f>
        <v/>
      </c>
      <c r="AS38" s="38" t="str">
        <f>IFERROR(VLOOKUP(AS$21,'Automated Patient Calcs'!$A:$P,16,FALSE),"")</f>
        <v/>
      </c>
      <c r="AT38" s="38" t="str">
        <f>IFERROR(VLOOKUP(AT$21,'Automated Patient Calcs'!$A:$P,16,FALSE),"")</f>
        <v/>
      </c>
      <c r="AU38" s="38" t="str">
        <f>IFERROR(VLOOKUP(AU$21,'Automated Patient Calcs'!$A:$P,16,FALSE),"")</f>
        <v/>
      </c>
      <c r="AV38" s="38" t="str">
        <f>IFERROR(VLOOKUP(AV$21,'Automated Patient Calcs'!$A:$P,16,FALSE),"")</f>
        <v/>
      </c>
      <c r="AW38" s="38" t="str">
        <f>IFERROR(VLOOKUP(AW$21,'Automated Patient Calcs'!$A:$P,16,FALSE),"")</f>
        <v/>
      </c>
      <c r="AX38" s="38" t="str">
        <f>IFERROR(VLOOKUP(AX$21,'Automated Patient Calcs'!$A:$P,16,FALSE),"")</f>
        <v/>
      </c>
      <c r="AY38" s="38" t="str">
        <f>IFERROR(VLOOKUP(AY$21,'Automated Patient Calcs'!$A:$P,16,FALSE),"")</f>
        <v/>
      </c>
      <c r="AZ38" s="38" t="str">
        <f>IFERROR(VLOOKUP(AZ$21,'Automated Patient Calcs'!$A:$P,16,FALSE),"")</f>
        <v/>
      </c>
      <c r="BA38" s="38" t="str">
        <f>IFERROR(VLOOKUP(BA$21,'Automated Patient Calcs'!$A:$P,16,FALSE),"")</f>
        <v/>
      </c>
      <c r="BB38" s="38" t="str">
        <f>IFERROR(VLOOKUP(BB$21,'Automated Patient Calcs'!$A:$P,16,FALSE),"")</f>
        <v/>
      </c>
      <c r="BC38" s="38" t="str">
        <f>IFERROR(VLOOKUP(BC$21,'Automated Patient Calcs'!$A:$P,16,FALSE),"")</f>
        <v/>
      </c>
      <c r="BD38" s="38" t="str">
        <f>IFERROR(VLOOKUP(BD$21,'Automated Patient Calcs'!$A:$P,16,FALSE),"")</f>
        <v/>
      </c>
      <c r="BE38"/>
      <c r="BF38" s="170"/>
      <c r="BG38"/>
      <c r="BH38"/>
      <c r="BI38"/>
      <c r="BJ38"/>
      <c r="BK38"/>
      <c r="BL38"/>
      <c r="BM38"/>
      <c r="BN38"/>
      <c r="BO38"/>
      <c r="BP38"/>
      <c r="BQ38"/>
      <c r="BR38"/>
    </row>
    <row r="39" spans="3:70" x14ac:dyDescent="0.25">
      <c r="C39" t="s">
        <v>343</v>
      </c>
      <c r="D39" s="38">
        <f ca="1">IFERROR(VLOOKUP(D$21,'Automated Patient Calcs'!$A:$Q,17,FALSE),"")</f>
        <v>0.15</v>
      </c>
      <c r="E39" s="38">
        <f ca="1">IFERROR(VLOOKUP(E$21,'Automated Patient Calcs'!$A:$Q,17,FALSE),"")</f>
        <v>0.35453784915222863</v>
      </c>
      <c r="F39" s="38">
        <f ca="1">IFERROR(VLOOKUP(F$21,'Automated Patient Calcs'!$A:$Q,17,FALSE),"")</f>
        <v>1.1925184256954853</v>
      </c>
      <c r="G39" s="38">
        <f ca="1">IFERROR(VLOOKUP(G$21,'Automated Patient Calcs'!$A:$Q,17,FALSE),"")</f>
        <v>4.0111378771653463</v>
      </c>
      <c r="H39" s="38">
        <f ca="1">IFERROR(VLOOKUP(H$21,'Automated Patient Calcs'!$A:$Q,17,FALSE),"")</f>
        <v>13.491805847986939</v>
      </c>
      <c r="I39" s="38">
        <f ca="1">IFERROR(VLOOKUP(I$21,'Automated Patient Calcs'!$A:$Q,17,FALSE),"")</f>
        <v>45.380844691485237</v>
      </c>
      <c r="J39" s="38">
        <f ca="1">IFERROR(VLOOKUP(J$21,'Automated Patient Calcs'!$A:$Q,17,FALSE),"")</f>
        <v>152.64235848902217</v>
      </c>
      <c r="K39" s="38">
        <f ca="1">IFERROR(VLOOKUP(K$21,'Automated Patient Calcs'!$A:$Q,17,FALSE),"")</f>
        <v>513.42564827716421</v>
      </c>
      <c r="L39" s="38">
        <f ca="1">IFERROR(VLOOKUP(L$21,'Automated Patient Calcs'!$A:$Q,17,FALSE),"")</f>
        <v>1726.9511485423282</v>
      </c>
      <c r="M39" s="38">
        <f ca="1">IFERROR(VLOOKUP(M$21,'Automated Patient Calcs'!$A:$Q,17,FALSE),"")</f>
        <v>5808.7481205101085</v>
      </c>
      <c r="N39" s="38">
        <f ca="1">IFERROR(VLOOKUP(N$21,'Automated Patient Calcs'!$A:$Q,17,FALSE),"")</f>
        <v>19538.221886594805</v>
      </c>
      <c r="O39" s="38">
        <f ca="1">IFERROR(VLOOKUP(O$21,'Automated Patient Calcs'!$A:$Q,17,FALSE),"")</f>
        <v>65718.482979477121</v>
      </c>
      <c r="P39" s="38">
        <f ca="1">IFERROR(VLOOKUP(P$21,'Automated Patient Calcs'!$A:$Q,17,FALSE),"")</f>
        <v>221049.74701341795</v>
      </c>
      <c r="Q39" s="38">
        <f ca="1">IFERROR(VLOOKUP(Q$21,'Automated Patient Calcs'!$A:$Q,17,FALSE),"")</f>
        <v>743519.75942529459</v>
      </c>
      <c r="R39" s="38">
        <f ca="1">IFERROR(VLOOKUP(R$21,'Automated Patient Calcs'!$A:$Q,17,FALSE),"")</f>
        <v>257437.44057470537</v>
      </c>
      <c r="S39" s="38" t="str">
        <f>IFERROR(VLOOKUP(S$21,'Automated Patient Calcs'!$A:$Q,17,FALSE),"")</f>
        <v/>
      </c>
      <c r="T39" s="38" t="str">
        <f>IFERROR(VLOOKUP(T$21,'Automated Patient Calcs'!$A:$Q,17,FALSE),"")</f>
        <v/>
      </c>
      <c r="U39" s="38" t="str">
        <f>IFERROR(VLOOKUP(U$21,'Automated Patient Calcs'!$A:$Q,17,FALSE),"")</f>
        <v/>
      </c>
      <c r="V39" s="38" t="str">
        <f>IFERROR(VLOOKUP(V$21,'Automated Patient Calcs'!$A:$Q,17,FALSE),"")</f>
        <v/>
      </c>
      <c r="W39" s="38" t="str">
        <f>IFERROR(VLOOKUP(W$21,'Automated Patient Calcs'!$A:$Q,17,FALSE),"")</f>
        <v/>
      </c>
      <c r="X39" s="38" t="str">
        <f>IFERROR(VLOOKUP(X$21,'Automated Patient Calcs'!$A:$Q,17,FALSE),"")</f>
        <v/>
      </c>
      <c r="Y39" s="38" t="str">
        <f>IFERROR(VLOOKUP(Y$21,'Automated Patient Calcs'!$A:$Q,17,FALSE),"")</f>
        <v/>
      </c>
      <c r="Z39" s="38" t="str">
        <f>IFERROR(VLOOKUP(Z$21,'Automated Patient Calcs'!$A:$Q,17,FALSE),"")</f>
        <v/>
      </c>
      <c r="AA39" s="38" t="str">
        <f>IFERROR(VLOOKUP(AA$21,'Automated Patient Calcs'!$A:$Q,17,FALSE),"")</f>
        <v/>
      </c>
      <c r="AB39" s="38" t="str">
        <f>IFERROR(VLOOKUP(AB$21,'Automated Patient Calcs'!$A:$Q,17,FALSE),"")</f>
        <v/>
      </c>
      <c r="AC39" s="38" t="str">
        <f>IFERROR(VLOOKUP(AC$21,'Automated Patient Calcs'!$A:$Q,17,FALSE),"")</f>
        <v/>
      </c>
      <c r="AD39" s="38" t="str">
        <f>IFERROR(VLOOKUP(AD$21,'Automated Patient Calcs'!$A:$Q,17,FALSE),"")</f>
        <v/>
      </c>
      <c r="AE39" s="38" t="str">
        <f>IFERROR(VLOOKUP(AE$21,'Automated Patient Calcs'!$A:$Q,17,FALSE),"")</f>
        <v/>
      </c>
      <c r="AF39" s="38" t="str">
        <f>IFERROR(VLOOKUP(AF$21,'Automated Patient Calcs'!$A:$Q,17,FALSE),"")</f>
        <v/>
      </c>
      <c r="AG39" s="38" t="str">
        <f>IFERROR(VLOOKUP(AG$21,'Automated Patient Calcs'!$A:$Q,17,FALSE),"")</f>
        <v/>
      </c>
      <c r="AH39" s="38" t="str">
        <f>IFERROR(VLOOKUP(AH$21,'Automated Patient Calcs'!$A:$Q,17,FALSE),"")</f>
        <v/>
      </c>
      <c r="AI39" s="38" t="str">
        <f>IFERROR(VLOOKUP(AI$21,'Automated Patient Calcs'!$A:$Q,17,FALSE),"")</f>
        <v/>
      </c>
      <c r="AJ39" s="38" t="str">
        <f>IFERROR(VLOOKUP(AJ$21,'Automated Patient Calcs'!$A:$Q,17,FALSE),"")</f>
        <v/>
      </c>
      <c r="AK39" s="38" t="str">
        <f>IFERROR(VLOOKUP(AK$21,'Automated Patient Calcs'!$A:$Q,17,FALSE),"")</f>
        <v/>
      </c>
      <c r="AL39" s="38" t="str">
        <f>IFERROR(VLOOKUP(AL$21,'Automated Patient Calcs'!$A:$Q,17,FALSE),"")</f>
        <v/>
      </c>
      <c r="AM39" s="38" t="str">
        <f>IFERROR(VLOOKUP(AM$21,'Automated Patient Calcs'!$A:$Q,17,FALSE),"")</f>
        <v/>
      </c>
      <c r="AN39" s="38" t="str">
        <f>IFERROR(VLOOKUP(AN$21,'Automated Patient Calcs'!$A:$Q,17,FALSE),"")</f>
        <v/>
      </c>
      <c r="AO39" s="38" t="str">
        <f>IFERROR(VLOOKUP(AO$21,'Automated Patient Calcs'!$A:$Q,17,FALSE),"")</f>
        <v/>
      </c>
      <c r="AP39" s="38" t="str">
        <f>IFERROR(VLOOKUP(AP$21,'Automated Patient Calcs'!$A:$Q,17,FALSE),"")</f>
        <v/>
      </c>
      <c r="AQ39" s="38" t="str">
        <f>IFERROR(VLOOKUP(AQ$21,'Automated Patient Calcs'!$A:$Q,17,FALSE),"")</f>
        <v/>
      </c>
      <c r="AR39" s="38" t="str">
        <f>IFERROR(VLOOKUP(AR$21,'Automated Patient Calcs'!$A:$Q,17,FALSE),"")</f>
        <v/>
      </c>
      <c r="AS39" s="38" t="str">
        <f>IFERROR(VLOOKUP(AS$21,'Automated Patient Calcs'!$A:$Q,17,FALSE),"")</f>
        <v/>
      </c>
      <c r="AT39" s="38" t="str">
        <f>IFERROR(VLOOKUP(AT$21,'Automated Patient Calcs'!$A:$Q,17,FALSE),"")</f>
        <v/>
      </c>
      <c r="AU39" s="38" t="str">
        <f>IFERROR(VLOOKUP(AU$21,'Automated Patient Calcs'!$A:$Q,17,FALSE),"")</f>
        <v/>
      </c>
      <c r="AV39" s="38" t="str">
        <f>IFERROR(VLOOKUP(AV$21,'Automated Patient Calcs'!$A:$Q,17,FALSE),"")</f>
        <v/>
      </c>
      <c r="AW39" s="38" t="str">
        <f>IFERROR(VLOOKUP(AW$21,'Automated Patient Calcs'!$A:$Q,17,FALSE),"")</f>
        <v/>
      </c>
      <c r="AX39" s="38" t="str">
        <f>IFERROR(VLOOKUP(AX$21,'Automated Patient Calcs'!$A:$Q,17,FALSE),"")</f>
        <v/>
      </c>
      <c r="AY39" s="38" t="str">
        <f>IFERROR(VLOOKUP(AY$21,'Automated Patient Calcs'!$A:$Q,17,FALSE),"")</f>
        <v/>
      </c>
      <c r="AZ39" s="38" t="str">
        <f>IFERROR(VLOOKUP(AZ$21,'Automated Patient Calcs'!$A:$Q,17,FALSE),"")</f>
        <v/>
      </c>
      <c r="BA39" s="38" t="str">
        <f>IFERROR(VLOOKUP(BA$21,'Automated Patient Calcs'!$A:$Q,17,FALSE),"")</f>
        <v/>
      </c>
      <c r="BB39" s="38" t="str">
        <f>IFERROR(VLOOKUP(BB$21,'Automated Patient Calcs'!$A:$Q,17,FALSE),"")</f>
        <v/>
      </c>
      <c r="BC39" s="38" t="str">
        <f>IFERROR(VLOOKUP(BC$21,'Automated Patient Calcs'!$A:$Q,17,FALSE),"")</f>
        <v/>
      </c>
      <c r="BD39" s="38" t="str">
        <f>IFERROR(VLOOKUP(BD$21,'Automated Patient Calcs'!$A:$Q,17,FALSE),"")</f>
        <v/>
      </c>
      <c r="BE39"/>
      <c r="BF39" s="170"/>
      <c r="BG39"/>
      <c r="BH39"/>
      <c r="BI39"/>
      <c r="BJ39"/>
      <c r="BK39"/>
      <c r="BL39"/>
      <c r="BM39"/>
      <c r="BN39"/>
      <c r="BO39"/>
      <c r="BP39"/>
      <c r="BQ39"/>
      <c r="BR39"/>
    </row>
    <row r="40" spans="3:70" x14ac:dyDescent="0.25">
      <c r="C40" t="s">
        <v>345</v>
      </c>
      <c r="D40" s="38">
        <f ca="1">IFERROR(VLOOKUP(D$21,'Automated Patient Calcs'!$A:$R,18,FALSE),"")</f>
        <v>0.05</v>
      </c>
      <c r="E40" s="38">
        <f ca="1">IFERROR(VLOOKUP(E$21,'Automated Patient Calcs'!$A:$R,18,FALSE),"")</f>
        <v>0.16817928305074292</v>
      </c>
      <c r="F40" s="38">
        <f ca="1">IFERROR(VLOOKUP(F$21,'Automated Patient Calcs'!$A:$R,18,FALSE),"")</f>
        <v>0.51568542494923797</v>
      </c>
      <c r="G40" s="38">
        <f ca="1">IFERROR(VLOOKUP(G$21,'Automated Patient Calcs'!$A:$R,18,FALSE),"")</f>
        <v>1.7345521009536109</v>
      </c>
      <c r="H40" s="38">
        <f ca="1">IFERROR(VLOOKUP(H$21,'Automated Patient Calcs'!$A:$R,18,FALSE),"")</f>
        <v>5.8343145750507626</v>
      </c>
      <c r="I40" s="38">
        <f ca="1">IFERROR(VLOOKUP(I$21,'Automated Patient Calcs'!$A:$R,18,FALSE),"")</f>
        <v>19.624216846490725</v>
      </c>
      <c r="J40" s="38">
        <f ca="1">IFERROR(VLOOKUP(J$21,'Automated Patient Calcs'!$A:$R,18,FALSE),"")</f>
        <v>66.007734393502474</v>
      </c>
      <c r="K40" s="38">
        <f ca="1">IFERROR(VLOOKUP(K$21,'Automated Patient Calcs'!$A:$R,18,FALSE),"")</f>
        <v>222.02266892206217</v>
      </c>
      <c r="L40" s="38">
        <f ca="1">IFERROR(VLOOKUP(L$21,'Automated Patient Calcs'!$A:$R,18,FALSE),"")</f>
        <v>746.79226560649761</v>
      </c>
      <c r="M40" s="38">
        <f ca="1">IFERROR(VLOOKUP(M$21,'Automated Patient Calcs'!$A:$R,18,FALSE),"")</f>
        <v>2511.8997563508124</v>
      </c>
      <c r="N40" s="38">
        <f ca="1">IFERROR(VLOOKUP(N$21,'Automated Patient Calcs'!$A:$R,18,FALSE),"")</f>
        <v>8448.990002368304</v>
      </c>
      <c r="O40" s="38">
        <f ca="1">IFERROR(VLOOKUP(O$21,'Automated Patient Calcs'!$A:$R,18,FALSE),"")</f>
        <v>28418.901622023976</v>
      </c>
      <c r="P40" s="38">
        <f ca="1">IFERROR(VLOOKUP(P$21,'Automated Patient Calcs'!$A:$R,18,FALSE),"")</f>
        <v>95589.409997631708</v>
      </c>
      <c r="Q40" s="38">
        <f ca="1">IFERROR(VLOOKUP(Q$21,'Automated Patient Calcs'!$A:$R,18,FALSE),"")</f>
        <v>321523.16881290422</v>
      </c>
      <c r="R40" s="38">
        <f ca="1">IFERROR(VLOOKUP(R$21,'Automated Patient Calcs'!$A:$R,18,FALSE),"")</f>
        <v>333652.40000000002</v>
      </c>
      <c r="S40" s="38" t="str">
        <f>IFERROR(VLOOKUP(S$21,'Automated Patient Calcs'!$A:$R,18,FALSE),"")</f>
        <v/>
      </c>
      <c r="T40" s="38" t="str">
        <f>IFERROR(VLOOKUP(T$21,'Automated Patient Calcs'!$A:$R,18,FALSE),"")</f>
        <v/>
      </c>
      <c r="U40" s="38" t="str">
        <f>IFERROR(VLOOKUP(U$21,'Automated Patient Calcs'!$A:$R,18,FALSE),"")</f>
        <v/>
      </c>
      <c r="V40" s="38" t="str">
        <f>IFERROR(VLOOKUP(V$21,'Automated Patient Calcs'!$A:$R,18,FALSE),"")</f>
        <v/>
      </c>
      <c r="W40" s="38" t="str">
        <f>IFERROR(VLOOKUP(W$21,'Automated Patient Calcs'!$A:$R,18,FALSE),"")</f>
        <v/>
      </c>
      <c r="X40" s="38" t="str">
        <f>IFERROR(VLOOKUP(X$21,'Automated Patient Calcs'!$A:$R,18,FALSE),"")</f>
        <v/>
      </c>
      <c r="Y40" s="38" t="str">
        <f>IFERROR(VLOOKUP(Y$21,'Automated Patient Calcs'!$A:$R,18,FALSE),"")</f>
        <v/>
      </c>
      <c r="Z40" s="38" t="str">
        <f>IFERROR(VLOOKUP(Z$21,'Automated Patient Calcs'!$A:$R,18,FALSE),"")</f>
        <v/>
      </c>
      <c r="AA40" s="38" t="str">
        <f>IFERROR(VLOOKUP(AA$21,'Automated Patient Calcs'!$A:$R,18,FALSE),"")</f>
        <v/>
      </c>
      <c r="AB40" s="38" t="str">
        <f>IFERROR(VLOOKUP(AB$21,'Automated Patient Calcs'!$A:$R,18,FALSE),"")</f>
        <v/>
      </c>
      <c r="AC40" s="38" t="str">
        <f>IFERROR(VLOOKUP(AC$21,'Automated Patient Calcs'!$A:$R,18,FALSE),"")</f>
        <v/>
      </c>
      <c r="AD40" s="38" t="str">
        <f>IFERROR(VLOOKUP(AD$21,'Automated Patient Calcs'!$A:$R,18,FALSE),"")</f>
        <v/>
      </c>
      <c r="AE40" s="38" t="str">
        <f>IFERROR(VLOOKUP(AE$21,'Automated Patient Calcs'!$A:$R,18,FALSE),"")</f>
        <v/>
      </c>
      <c r="AF40" s="38" t="str">
        <f>IFERROR(VLOOKUP(AF$21,'Automated Patient Calcs'!$A:$R,18,FALSE),"")</f>
        <v/>
      </c>
      <c r="AG40" s="38" t="str">
        <f>IFERROR(VLOOKUP(AG$21,'Automated Patient Calcs'!$A:$R,18,FALSE),"")</f>
        <v/>
      </c>
      <c r="AH40" s="38" t="str">
        <f>IFERROR(VLOOKUP(AH$21,'Automated Patient Calcs'!$A:$R,18,FALSE),"")</f>
        <v/>
      </c>
      <c r="AI40" s="38" t="str">
        <f>IFERROR(VLOOKUP(AI$21,'Automated Patient Calcs'!$A:$R,18,FALSE),"")</f>
        <v/>
      </c>
      <c r="AJ40" s="38" t="str">
        <f>IFERROR(VLOOKUP(AJ$21,'Automated Patient Calcs'!$A:$R,18,FALSE),"")</f>
        <v/>
      </c>
      <c r="AK40" s="38" t="str">
        <f>IFERROR(VLOOKUP(AK$21,'Automated Patient Calcs'!$A:$R,18,FALSE),"")</f>
        <v/>
      </c>
      <c r="AL40" s="38" t="str">
        <f>IFERROR(VLOOKUP(AL$21,'Automated Patient Calcs'!$A:$R,18,FALSE),"")</f>
        <v/>
      </c>
      <c r="AM40" s="38" t="str">
        <f>IFERROR(VLOOKUP(AM$21,'Automated Patient Calcs'!$A:$R,18,FALSE),"")</f>
        <v/>
      </c>
      <c r="AN40" s="38" t="str">
        <f>IFERROR(VLOOKUP(AN$21,'Automated Patient Calcs'!$A:$R,18,FALSE),"")</f>
        <v/>
      </c>
      <c r="AO40" s="38" t="str">
        <f>IFERROR(VLOOKUP(AO$21,'Automated Patient Calcs'!$A:$R,18,FALSE),"")</f>
        <v/>
      </c>
      <c r="AP40" s="38" t="str">
        <f>IFERROR(VLOOKUP(AP$21,'Automated Patient Calcs'!$A:$R,18,FALSE),"")</f>
        <v/>
      </c>
      <c r="AQ40" s="38" t="str">
        <f>IFERROR(VLOOKUP(AQ$21,'Automated Patient Calcs'!$A:$R,18,FALSE),"")</f>
        <v/>
      </c>
      <c r="AR40" s="38" t="str">
        <f>IFERROR(VLOOKUP(AR$21,'Automated Patient Calcs'!$A:$R,18,FALSE),"")</f>
        <v/>
      </c>
      <c r="AS40" s="38" t="str">
        <f>IFERROR(VLOOKUP(AS$21,'Automated Patient Calcs'!$A:$R,18,FALSE),"")</f>
        <v/>
      </c>
      <c r="AT40" s="38" t="str">
        <f>IFERROR(VLOOKUP(AT$21,'Automated Patient Calcs'!$A:$R,18,FALSE),"")</f>
        <v/>
      </c>
      <c r="AU40" s="38" t="str">
        <f>IFERROR(VLOOKUP(AU$21,'Automated Patient Calcs'!$A:$R,18,FALSE),"")</f>
        <v/>
      </c>
      <c r="AV40" s="38" t="str">
        <f>IFERROR(VLOOKUP(AV$21,'Automated Patient Calcs'!$A:$R,18,FALSE),"")</f>
        <v/>
      </c>
      <c r="AW40" s="38" t="str">
        <f>IFERROR(VLOOKUP(AW$21,'Automated Patient Calcs'!$A:$R,18,FALSE),"")</f>
        <v/>
      </c>
      <c r="AX40" s="38" t="str">
        <f>IFERROR(VLOOKUP(AX$21,'Automated Patient Calcs'!$A:$R,18,FALSE),"")</f>
        <v/>
      </c>
      <c r="AY40" s="38" t="str">
        <f>IFERROR(VLOOKUP(AY$21,'Automated Patient Calcs'!$A:$R,18,FALSE),"")</f>
        <v/>
      </c>
      <c r="AZ40" s="38" t="str">
        <f>IFERROR(VLOOKUP(AZ$21,'Automated Patient Calcs'!$A:$R,18,FALSE),"")</f>
        <v/>
      </c>
      <c r="BA40" s="38" t="str">
        <f>IFERROR(VLOOKUP(BA$21,'Automated Patient Calcs'!$A:$R,18,FALSE),"")</f>
        <v/>
      </c>
      <c r="BB40" s="38" t="str">
        <f>IFERROR(VLOOKUP(BB$21,'Automated Patient Calcs'!$A:$R,18,FALSE),"")</f>
        <v/>
      </c>
      <c r="BC40" s="38" t="str">
        <f>IFERROR(VLOOKUP(BC$21,'Automated Patient Calcs'!$A:$R,18,FALSE),"")</f>
        <v/>
      </c>
      <c r="BD40" s="38" t="str">
        <f>IFERROR(VLOOKUP(BD$21,'Automated Patient Calcs'!$A:$R,18,FALSE),"")</f>
        <v/>
      </c>
      <c r="BE40"/>
      <c r="BF40" s="170"/>
      <c r="BG40"/>
      <c r="BH40"/>
      <c r="BI40"/>
      <c r="BJ40"/>
      <c r="BK40"/>
      <c r="BL40"/>
      <c r="BM40"/>
      <c r="BN40"/>
      <c r="BO40"/>
      <c r="BP40"/>
      <c r="BQ40"/>
      <c r="BR40"/>
    </row>
    <row r="41" spans="3:70" x14ac:dyDescent="0.25">
      <c r="C41" s="31" t="s">
        <v>778</v>
      </c>
      <c r="D41" s="118">
        <f ca="1">IFERROR(IF(D38="","",SUM(D38:D40)),"")</f>
        <v>1</v>
      </c>
      <c r="E41" s="118">
        <f t="shared" ref="E41:Q41" ca="1" si="6">IFERROR(IF(E38="","",SUM(E38:E40)),"")</f>
        <v>3.2135856610148581</v>
      </c>
      <c r="F41" s="118">
        <f t="shared" ca="1" si="6"/>
        <v>9.9591706498325312</v>
      </c>
      <c r="G41" s="118">
        <f t="shared" ca="1" si="6"/>
        <v>33.498523593376731</v>
      </c>
      <c r="H41" s="118">
        <f t="shared" ca="1" si="6"/>
        <v>112.67515362384991</v>
      </c>
      <c r="I41" s="118">
        <f t="shared" ca="1" si="6"/>
        <v>378.99253108182756</v>
      </c>
      <c r="J41" s="118">
        <f t="shared" ca="1" si="6"/>
        <v>1274.7738431785642</v>
      </c>
      <c r="K41" s="118">
        <f t="shared" ca="1" si="6"/>
        <v>4287.8110199522216</v>
      </c>
      <c r="L41" s="118">
        <f t="shared" ca="1" si="6"/>
        <v>14422.419663852788</v>
      </c>
      <c r="M41" s="118">
        <f t="shared" ca="1" si="6"/>
        <v>48511.043978473914</v>
      </c>
      <c r="N41" s="118">
        <f t="shared" ca="1" si="6"/>
        <v>163171.05192685599</v>
      </c>
      <c r="O41" s="118">
        <f t="shared" ca="1" si="6"/>
        <v>548839.81055388472</v>
      </c>
      <c r="P41" s="118">
        <f t="shared" ca="1" si="6"/>
        <v>1846069.7169731571</v>
      </c>
      <c r="Q41" s="118">
        <f t="shared" ca="1" si="6"/>
        <v>6209413.6292446665</v>
      </c>
      <c r="R41" s="118">
        <f t="shared" ref="R41" ca="1" si="7">IFERROR(IF(R38="","",SUM(R38:R40)),"")</f>
        <v>5929528.2405747063</v>
      </c>
      <c r="S41" s="118" t="str">
        <f t="shared" ref="S41" si="8">IFERROR(IF(S38="","",SUM(S38:S40)),"")</f>
        <v/>
      </c>
      <c r="T41" s="118" t="str">
        <f t="shared" ref="T41" si="9">IFERROR(IF(T38="","",SUM(T38:T40)),"")</f>
        <v/>
      </c>
      <c r="U41" s="118" t="str">
        <f t="shared" ref="U41" si="10">IFERROR(IF(U38="","",SUM(U38:U40)),"")</f>
        <v/>
      </c>
      <c r="V41" s="118" t="str">
        <f t="shared" ref="V41" si="11">IFERROR(IF(V38="","",SUM(V38:V40)),"")</f>
        <v/>
      </c>
      <c r="W41" s="118" t="str">
        <f t="shared" ref="W41" si="12">IFERROR(IF(W38="","",SUM(W38:W40)),"")</f>
        <v/>
      </c>
      <c r="X41" s="118" t="str">
        <f t="shared" ref="X41" si="13">IFERROR(IF(X38="","",SUM(X38:X40)),"")</f>
        <v/>
      </c>
      <c r="Y41" s="118" t="str">
        <f t="shared" ref="Y41" si="14">IFERROR(IF(Y38="","",SUM(Y38:Y40)),"")</f>
        <v/>
      </c>
      <c r="Z41" s="118" t="str">
        <f t="shared" ref="Z41" si="15">IFERROR(IF(Z38="","",SUM(Z38:Z40)),"")</f>
        <v/>
      </c>
      <c r="AA41" s="118" t="str">
        <f t="shared" ref="AA41" si="16">IFERROR(IF(AA38="","",SUM(AA38:AA40)),"")</f>
        <v/>
      </c>
      <c r="AB41" s="118" t="str">
        <f t="shared" ref="AB41" si="17">IFERROR(IF(AB38="","",SUM(AB38:AB40)),"")</f>
        <v/>
      </c>
      <c r="AC41" s="118" t="str">
        <f t="shared" ref="AC41:AD41" si="18">IFERROR(IF(AC38="","",SUM(AC38:AC40)),"")</f>
        <v/>
      </c>
      <c r="AD41" s="118" t="str">
        <f t="shared" si="18"/>
        <v/>
      </c>
      <c r="AE41" s="118" t="str">
        <f t="shared" ref="AE41" si="19">IFERROR(IF(AE38="","",SUM(AE38:AE40)),"")</f>
        <v/>
      </c>
      <c r="AF41" s="118" t="str">
        <f t="shared" ref="AF41" si="20">IFERROR(IF(AF38="","",SUM(AF38:AF40)),"")</f>
        <v/>
      </c>
      <c r="AG41" s="118" t="str">
        <f t="shared" ref="AG41" si="21">IFERROR(IF(AG38="","",SUM(AG38:AG40)),"")</f>
        <v/>
      </c>
      <c r="AH41" s="118" t="str">
        <f t="shared" ref="AH41" si="22">IFERROR(IF(AH38="","",SUM(AH38:AH40)),"")</f>
        <v/>
      </c>
      <c r="AI41" s="118" t="str">
        <f t="shared" ref="AI41" si="23">IFERROR(IF(AI38="","",SUM(AI38:AI40)),"")</f>
        <v/>
      </c>
      <c r="AJ41" s="118" t="str">
        <f t="shared" ref="AJ41" si="24">IFERROR(IF(AJ38="","",SUM(AJ38:AJ40)),"")</f>
        <v/>
      </c>
      <c r="AK41" s="118" t="str">
        <f t="shared" ref="AK41" si="25">IFERROR(IF(AK38="","",SUM(AK38:AK40)),"")</f>
        <v/>
      </c>
      <c r="AL41" s="118" t="str">
        <f t="shared" ref="AL41" si="26">IFERROR(IF(AL38="","",SUM(AL38:AL40)),"")</f>
        <v/>
      </c>
      <c r="AM41" s="118" t="str">
        <f t="shared" ref="AM41" si="27">IFERROR(IF(AM38="","",SUM(AM38:AM40)),"")</f>
        <v/>
      </c>
      <c r="AN41" s="118" t="str">
        <f t="shared" ref="AN41" si="28">IFERROR(IF(AN38="","",SUM(AN38:AN40)),"")</f>
        <v/>
      </c>
      <c r="AO41" s="118" t="str">
        <f t="shared" ref="AO41" si="29">IFERROR(IF(AO38="","",SUM(AO38:AO40)),"")</f>
        <v/>
      </c>
      <c r="AP41" s="118" t="str">
        <f t="shared" ref="AP41:AQ41" si="30">IFERROR(IF(AP38="","",SUM(AP38:AP40)),"")</f>
        <v/>
      </c>
      <c r="AQ41" s="118" t="str">
        <f t="shared" si="30"/>
        <v/>
      </c>
      <c r="AR41" s="118" t="str">
        <f t="shared" ref="AR41" si="31">IFERROR(IF(AR38="","",SUM(AR38:AR40)),"")</f>
        <v/>
      </c>
      <c r="AS41" s="118" t="str">
        <f t="shared" ref="AS41" si="32">IFERROR(IF(AS38="","",SUM(AS38:AS40)),"")</f>
        <v/>
      </c>
      <c r="AT41" s="118" t="str">
        <f t="shared" ref="AT41" si="33">IFERROR(IF(AT38="","",SUM(AT38:AT40)),"")</f>
        <v/>
      </c>
      <c r="AU41" s="118" t="str">
        <f t="shared" ref="AU41" si="34">IFERROR(IF(AU38="","",SUM(AU38:AU40)),"")</f>
        <v/>
      </c>
      <c r="AV41" s="118" t="str">
        <f t="shared" ref="AV41" si="35">IFERROR(IF(AV38="","",SUM(AV38:AV40)),"")</f>
        <v/>
      </c>
      <c r="AW41" s="118" t="str">
        <f t="shared" ref="AW41" si="36">IFERROR(IF(AW38="","",SUM(AW38:AW40)),"")</f>
        <v/>
      </c>
      <c r="AX41" s="118" t="str">
        <f t="shared" ref="AX41" si="37">IFERROR(IF(AX38="","",SUM(AX38:AX40)),"")</f>
        <v/>
      </c>
      <c r="AY41" s="118" t="str">
        <f t="shared" ref="AY41" si="38">IFERROR(IF(AY38="","",SUM(AY38:AY40)),"")</f>
        <v/>
      </c>
      <c r="AZ41" s="118" t="str">
        <f t="shared" ref="AZ41" si="39">IFERROR(IF(AZ38="","",SUM(AZ38:AZ40)),"")</f>
        <v/>
      </c>
      <c r="BA41" s="118" t="str">
        <f t="shared" ref="BA41" si="40">IFERROR(IF(BA38="","",SUM(BA38:BA40)),"")</f>
        <v/>
      </c>
      <c r="BB41" s="118" t="str">
        <f t="shared" ref="BB41" si="41">IFERROR(IF(BB38="","",SUM(BB38:BB40)),"")</f>
        <v/>
      </c>
      <c r="BC41" s="118" t="str">
        <f t="shared" ref="BC41:BD41" si="42">IFERROR(IF(BC38="","",SUM(BC38:BC40)),"")</f>
        <v/>
      </c>
      <c r="BD41" s="118" t="str">
        <f t="shared" si="42"/>
        <v/>
      </c>
      <c r="BE41"/>
      <c r="BF41" s="170"/>
      <c r="BG41"/>
      <c r="BH41"/>
      <c r="BI41"/>
      <c r="BJ41"/>
      <c r="BK41"/>
      <c r="BL41"/>
      <c r="BM41"/>
      <c r="BN41"/>
      <c r="BO41"/>
      <c r="BP41"/>
      <c r="BQ41"/>
      <c r="BR41"/>
    </row>
    <row r="42" spans="3:70" ht="23.85" customHeight="1" x14ac:dyDescent="0.25">
      <c r="C42" s="119" t="s">
        <v>777</v>
      </c>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66"/>
      <c r="AI42" s="166"/>
      <c r="AJ42" s="166"/>
      <c r="AK42" s="166"/>
      <c r="AL42" s="166"/>
      <c r="AM42" s="166"/>
      <c r="AN42" s="166"/>
      <c r="AO42" s="166"/>
      <c r="AP42" s="166"/>
      <c r="AQ42" s="166"/>
      <c r="AR42" s="166"/>
      <c r="AS42" s="166"/>
      <c r="AT42" s="166"/>
      <c r="AU42" s="166"/>
      <c r="AV42" s="166"/>
      <c r="AW42" s="166"/>
      <c r="AX42" s="166"/>
      <c r="AY42" s="166"/>
      <c r="AZ42" s="166"/>
      <c r="BA42" s="166"/>
      <c r="BB42" s="166"/>
      <c r="BC42" s="166"/>
      <c r="BD42" s="166"/>
      <c r="BE42"/>
      <c r="BF42" s="9"/>
      <c r="BG42"/>
      <c r="BH42"/>
      <c r="BI42"/>
      <c r="BJ42"/>
      <c r="BK42"/>
      <c r="BL42"/>
      <c r="BM42"/>
      <c r="BN42"/>
      <c r="BO42"/>
      <c r="BP42"/>
      <c r="BQ42"/>
      <c r="BR42"/>
    </row>
    <row r="43" spans="3:70" s="138" customFormat="1" ht="20.100000000000001" customHeight="1" x14ac:dyDescent="0.25">
      <c r="C43" s="163" t="s">
        <v>943</v>
      </c>
      <c r="D43" s="118">
        <f ca="1">IFERROR(IF(D39="","",IF(D39&lt;$D$16,D39,$D$16)),"")</f>
        <v>0.15</v>
      </c>
      <c r="E43" s="118">
        <f t="shared" ref="E43:BD43" ca="1" si="43">IFERROR(IF(E39="","",IF(E39&lt;$D$16,E39,$D$16)),"")</f>
        <v>0.35453784915222863</v>
      </c>
      <c r="F43" s="118">
        <f t="shared" ca="1" si="43"/>
        <v>1.1925184256954853</v>
      </c>
      <c r="G43" s="118">
        <f t="shared" ca="1" si="43"/>
        <v>4.0111378771653463</v>
      </c>
      <c r="H43" s="118">
        <f t="shared" ca="1" si="43"/>
        <v>13.491805847986939</v>
      </c>
      <c r="I43" s="118">
        <f t="shared" ca="1" si="43"/>
        <v>45.380844691485237</v>
      </c>
      <c r="J43" s="118">
        <f t="shared" ca="1" si="43"/>
        <v>152.64235848902217</v>
      </c>
      <c r="K43" s="118">
        <f t="shared" ca="1" si="43"/>
        <v>513.42564827716421</v>
      </c>
      <c r="L43" s="118">
        <f t="shared" ca="1" si="43"/>
        <v>1726.9511485423282</v>
      </c>
      <c r="M43" s="118">
        <f t="shared" ca="1" si="43"/>
        <v>5808.7481205101085</v>
      </c>
      <c r="N43" s="118">
        <f t="shared" ca="1" si="43"/>
        <v>19538.221886594805</v>
      </c>
      <c r="O43" s="118">
        <f ca="1">IFERROR(IF(O39="","",IF(O39&lt;$D$16,O39,$D$16)),"")</f>
        <v>65718.482979477121</v>
      </c>
      <c r="P43" s="118">
        <f t="shared" ca="1" si="43"/>
        <v>80550.778919999997</v>
      </c>
      <c r="Q43" s="118">
        <f t="shared" ca="1" si="43"/>
        <v>80550.778919999997</v>
      </c>
      <c r="R43" s="118">
        <f t="shared" ca="1" si="43"/>
        <v>80550.778919999997</v>
      </c>
      <c r="S43" s="118" t="str">
        <f t="shared" si="43"/>
        <v/>
      </c>
      <c r="T43" s="118" t="str">
        <f t="shared" si="43"/>
        <v/>
      </c>
      <c r="U43" s="118" t="str">
        <f t="shared" si="43"/>
        <v/>
      </c>
      <c r="V43" s="118" t="str">
        <f t="shared" si="43"/>
        <v/>
      </c>
      <c r="W43" s="118" t="str">
        <f t="shared" si="43"/>
        <v/>
      </c>
      <c r="X43" s="118" t="str">
        <f t="shared" si="43"/>
        <v/>
      </c>
      <c r="Y43" s="118" t="str">
        <f t="shared" si="43"/>
        <v/>
      </c>
      <c r="Z43" s="118" t="str">
        <f t="shared" si="43"/>
        <v/>
      </c>
      <c r="AA43" s="118" t="str">
        <f t="shared" si="43"/>
        <v/>
      </c>
      <c r="AB43" s="118" t="str">
        <f t="shared" si="43"/>
        <v/>
      </c>
      <c r="AC43" s="118" t="str">
        <f t="shared" si="43"/>
        <v/>
      </c>
      <c r="AD43" s="118" t="str">
        <f t="shared" si="43"/>
        <v/>
      </c>
      <c r="AE43" s="118" t="str">
        <f t="shared" si="43"/>
        <v/>
      </c>
      <c r="AF43" s="118" t="str">
        <f t="shared" si="43"/>
        <v/>
      </c>
      <c r="AG43" s="118" t="str">
        <f t="shared" si="43"/>
        <v/>
      </c>
      <c r="AH43" s="118" t="str">
        <f t="shared" si="43"/>
        <v/>
      </c>
      <c r="AI43" s="118" t="str">
        <f t="shared" si="43"/>
        <v/>
      </c>
      <c r="AJ43" s="118" t="str">
        <f t="shared" si="43"/>
        <v/>
      </c>
      <c r="AK43" s="118" t="str">
        <f t="shared" si="43"/>
        <v/>
      </c>
      <c r="AL43" s="118" t="str">
        <f t="shared" si="43"/>
        <v/>
      </c>
      <c r="AM43" s="118" t="str">
        <f t="shared" si="43"/>
        <v/>
      </c>
      <c r="AN43" s="118" t="str">
        <f t="shared" si="43"/>
        <v/>
      </c>
      <c r="AO43" s="118" t="str">
        <f t="shared" si="43"/>
        <v/>
      </c>
      <c r="AP43" s="118" t="str">
        <f t="shared" si="43"/>
        <v/>
      </c>
      <c r="AQ43" s="118" t="str">
        <f t="shared" si="43"/>
        <v/>
      </c>
      <c r="AR43" s="118" t="str">
        <f t="shared" si="43"/>
        <v/>
      </c>
      <c r="AS43" s="118" t="str">
        <f t="shared" si="43"/>
        <v/>
      </c>
      <c r="AT43" s="118" t="str">
        <f t="shared" si="43"/>
        <v/>
      </c>
      <c r="AU43" s="118" t="str">
        <f t="shared" si="43"/>
        <v/>
      </c>
      <c r="AV43" s="118" t="str">
        <f t="shared" si="43"/>
        <v/>
      </c>
      <c r="AW43" s="118" t="str">
        <f t="shared" si="43"/>
        <v/>
      </c>
      <c r="AX43" s="118" t="str">
        <f t="shared" si="43"/>
        <v/>
      </c>
      <c r="AY43" s="118" t="str">
        <f t="shared" si="43"/>
        <v/>
      </c>
      <c r="AZ43" s="118" t="str">
        <f t="shared" si="43"/>
        <v/>
      </c>
      <c r="BA43" s="118" t="str">
        <f t="shared" si="43"/>
        <v/>
      </c>
      <c r="BB43" s="118" t="str">
        <f t="shared" si="43"/>
        <v/>
      </c>
      <c r="BC43" s="118" t="str">
        <f t="shared" si="43"/>
        <v/>
      </c>
      <c r="BD43" s="118" t="str">
        <f t="shared" si="43"/>
        <v/>
      </c>
      <c r="BF43" s="170"/>
    </row>
    <row r="44" spans="3:70" s="138" customFormat="1" ht="20.100000000000001" customHeight="1" x14ac:dyDescent="0.25">
      <c r="C44" s="163" t="s">
        <v>944</v>
      </c>
      <c r="D44" s="118">
        <f ca="1">IFERROR(IF(D40="","",IF(D40&lt;$D$17,D40,$D$17)),"")</f>
        <v>0.05</v>
      </c>
      <c r="E44" s="118">
        <f t="shared" ref="E44:BD44" ca="1" si="44">IFERROR(IF(E40="","",IF(E40&lt;$D$17,E40,$D$17)),"")</f>
        <v>0.16817928305074292</v>
      </c>
      <c r="F44" s="118">
        <f t="shared" ca="1" si="44"/>
        <v>0.51568542494923797</v>
      </c>
      <c r="G44" s="118">
        <f t="shared" ca="1" si="44"/>
        <v>1.7345521009536109</v>
      </c>
      <c r="H44" s="118">
        <f t="shared" ca="1" si="44"/>
        <v>5.8343145750507626</v>
      </c>
      <c r="I44" s="118">
        <f t="shared" ca="1" si="44"/>
        <v>19.624216846490725</v>
      </c>
      <c r="J44" s="118">
        <f t="shared" ca="1" si="44"/>
        <v>66.007734393502474</v>
      </c>
      <c r="K44" s="118">
        <f t="shared" ca="1" si="44"/>
        <v>222.02266892206217</v>
      </c>
      <c r="L44" s="118">
        <f t="shared" ca="1" si="44"/>
        <v>746.79226560649761</v>
      </c>
      <c r="M44" s="118">
        <f t="shared" ca="1" si="44"/>
        <v>2511.8997563508124</v>
      </c>
      <c r="N44" s="118">
        <f t="shared" ca="1" si="44"/>
        <v>2766.1210799999999</v>
      </c>
      <c r="O44" s="118">
        <f t="shared" ca="1" si="44"/>
        <v>2766.1210799999999</v>
      </c>
      <c r="P44" s="118">
        <f t="shared" ca="1" si="44"/>
        <v>2766.1210799999999</v>
      </c>
      <c r="Q44" s="118">
        <f t="shared" ca="1" si="44"/>
        <v>2766.1210799999999</v>
      </c>
      <c r="R44" s="118">
        <f t="shared" ca="1" si="44"/>
        <v>2766.1210799999999</v>
      </c>
      <c r="S44" s="118" t="str">
        <f t="shared" si="44"/>
        <v/>
      </c>
      <c r="T44" s="118" t="str">
        <f t="shared" si="44"/>
        <v/>
      </c>
      <c r="U44" s="118" t="str">
        <f t="shared" si="44"/>
        <v/>
      </c>
      <c r="V44" s="118" t="str">
        <f t="shared" si="44"/>
        <v/>
      </c>
      <c r="W44" s="118" t="str">
        <f t="shared" si="44"/>
        <v/>
      </c>
      <c r="X44" s="118" t="str">
        <f t="shared" si="44"/>
        <v/>
      </c>
      <c r="Y44" s="118" t="str">
        <f t="shared" si="44"/>
        <v/>
      </c>
      <c r="Z44" s="118" t="str">
        <f t="shared" si="44"/>
        <v/>
      </c>
      <c r="AA44" s="118" t="str">
        <f t="shared" si="44"/>
        <v/>
      </c>
      <c r="AB44" s="118" t="str">
        <f t="shared" si="44"/>
        <v/>
      </c>
      <c r="AC44" s="118" t="str">
        <f t="shared" si="44"/>
        <v/>
      </c>
      <c r="AD44" s="118" t="str">
        <f t="shared" si="44"/>
        <v/>
      </c>
      <c r="AE44" s="118" t="str">
        <f t="shared" si="44"/>
        <v/>
      </c>
      <c r="AF44" s="118" t="str">
        <f t="shared" si="44"/>
        <v/>
      </c>
      <c r="AG44" s="118" t="str">
        <f t="shared" si="44"/>
        <v/>
      </c>
      <c r="AH44" s="118" t="str">
        <f t="shared" si="44"/>
        <v/>
      </c>
      <c r="AI44" s="118" t="str">
        <f t="shared" si="44"/>
        <v/>
      </c>
      <c r="AJ44" s="118" t="str">
        <f t="shared" si="44"/>
        <v/>
      </c>
      <c r="AK44" s="118" t="str">
        <f t="shared" si="44"/>
        <v/>
      </c>
      <c r="AL44" s="118" t="str">
        <f t="shared" si="44"/>
        <v/>
      </c>
      <c r="AM44" s="118" t="str">
        <f t="shared" si="44"/>
        <v/>
      </c>
      <c r="AN44" s="118" t="str">
        <f t="shared" si="44"/>
        <v/>
      </c>
      <c r="AO44" s="118" t="str">
        <f t="shared" si="44"/>
        <v/>
      </c>
      <c r="AP44" s="118" t="str">
        <f t="shared" si="44"/>
        <v/>
      </c>
      <c r="AQ44" s="118" t="str">
        <f t="shared" si="44"/>
        <v/>
      </c>
      <c r="AR44" s="118" t="str">
        <f t="shared" si="44"/>
        <v/>
      </c>
      <c r="AS44" s="118" t="str">
        <f t="shared" si="44"/>
        <v/>
      </c>
      <c r="AT44" s="118" t="str">
        <f t="shared" si="44"/>
        <v/>
      </c>
      <c r="AU44" s="118" t="str">
        <f t="shared" si="44"/>
        <v/>
      </c>
      <c r="AV44" s="118" t="str">
        <f t="shared" si="44"/>
        <v/>
      </c>
      <c r="AW44" s="118" t="str">
        <f t="shared" si="44"/>
        <v/>
      </c>
      <c r="AX44" s="118" t="str">
        <f t="shared" si="44"/>
        <v/>
      </c>
      <c r="AY44" s="118" t="str">
        <f t="shared" si="44"/>
        <v/>
      </c>
      <c r="AZ44" s="118" t="str">
        <f t="shared" si="44"/>
        <v/>
      </c>
      <c r="BA44" s="118" t="str">
        <f t="shared" si="44"/>
        <v/>
      </c>
      <c r="BB44" s="118" t="str">
        <f t="shared" si="44"/>
        <v/>
      </c>
      <c r="BC44" s="118" t="str">
        <f t="shared" si="44"/>
        <v/>
      </c>
      <c r="BD44" s="118" t="str">
        <f t="shared" si="44"/>
        <v/>
      </c>
      <c r="BF44" s="170"/>
    </row>
    <row r="45" spans="3:70" x14ac:dyDescent="0.25">
      <c r="C45" s="6"/>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c r="BF45"/>
      <c r="BG45"/>
      <c r="BH45"/>
      <c r="BI45"/>
      <c r="BJ45"/>
      <c r="BK45"/>
      <c r="BL45"/>
      <c r="BM45"/>
      <c r="BN45"/>
      <c r="BO45"/>
      <c r="BP45"/>
      <c r="BQ45"/>
      <c r="BR45"/>
    </row>
    <row r="46" spans="3:70" s="65" customFormat="1" collapsed="1" x14ac:dyDescent="0.25">
      <c r="C46" s="66" t="s">
        <v>816</v>
      </c>
    </row>
    <row r="47" spans="3:70" x14ac:dyDescent="0.25">
      <c r="C47" s="3" t="s">
        <v>986</v>
      </c>
      <c r="D47" s="38">
        <f>IFERROR(VLOOKUP(D$21,'Automated Patient Calcs'!$A:$T,20,FALSE),"")</f>
        <v>3</v>
      </c>
      <c r="E47" s="38">
        <f>IFERROR(VLOOKUP(E$21,'Automated Patient Calcs'!$A:$T,20,FALSE),"")</f>
        <v>7.0907569830445745</v>
      </c>
      <c r="F47" s="38">
        <f>IFERROR(VLOOKUP(F$21,'Automated Patient Calcs'!$A:$T,20,FALSE),"")</f>
        <v>23.850368513909707</v>
      </c>
      <c r="G47" s="38">
        <f>IFERROR(VLOOKUP(G$21,'Automated Patient Calcs'!$A:$T,20,FALSE),"")</f>
        <v>80.22275754330694</v>
      </c>
      <c r="H47" s="38">
        <f>IFERROR(VLOOKUP(H$21,'Automated Patient Calcs'!$A:$T,20,FALSE),"")</f>
        <v>269.83611695973877</v>
      </c>
      <c r="I47" s="38">
        <f>IFERROR(VLOOKUP(I$21,'Automated Patient Calcs'!$A:$T,20,FALSE),"")</f>
        <v>907.61689382970485</v>
      </c>
      <c r="J47" s="38">
        <f>IFERROR(VLOOKUP(J$21,'Automated Patient Calcs'!$A:$T,20,FALSE),"")</f>
        <v>3052.8471697804434</v>
      </c>
      <c r="K47" s="38">
        <f>IFERROR(VLOOKUP(K$21,'Automated Patient Calcs'!$A:$T,20,FALSE),"")</f>
        <v>10268.512965543287</v>
      </c>
      <c r="L47" s="38">
        <f>IFERROR(VLOOKUP(L$21,'Automated Patient Calcs'!$A:$T,20,FALSE),"")</f>
        <v>34539.022970846563</v>
      </c>
      <c r="M47" s="38">
        <f>IFERROR(VLOOKUP(M$21,'Automated Patient Calcs'!$A:$T,20,FALSE),"")</f>
        <v>116174.96241020216</v>
      </c>
      <c r="N47" s="38">
        <f>IFERROR(VLOOKUP(N$21,'Automated Patient Calcs'!$A:$T,20,FALSE),"")</f>
        <v>390764.43773189606</v>
      </c>
      <c r="O47" s="38">
        <f>IFERROR(VLOOKUP(O$21,'Automated Patient Calcs'!$A:$T,20,FALSE),"")</f>
        <v>1314369.6595895423</v>
      </c>
      <c r="P47" s="38">
        <f>IFERROR(VLOOKUP(P$21,'Automated Patient Calcs'!$A:$T,20,FALSE),"")</f>
        <v>4420994.9402683591</v>
      </c>
      <c r="Q47" s="38">
        <f>IFERROR(VLOOKUP(Q$21,'Automated Patient Calcs'!$A:$T,20,FALSE),"")</f>
        <v>14870395.188505892</v>
      </c>
      <c r="R47" s="38">
        <f>IFERROR(VLOOKUP(R$21,'Automated Patient Calcs'!$A:$T,20,FALSE),"")</f>
        <v>5148748.8114941083</v>
      </c>
      <c r="S47" s="38" t="str">
        <f>IFERROR(VLOOKUP(S$21,'Automated Patient Calcs'!$A:$T,20,FALSE),"")</f>
        <v/>
      </c>
      <c r="T47" s="38" t="str">
        <f>IFERROR(VLOOKUP(T$21,'Automated Patient Calcs'!$A:$T,20,FALSE),"")</f>
        <v/>
      </c>
      <c r="U47" s="38" t="str">
        <f>IFERROR(VLOOKUP(U$21,'Automated Patient Calcs'!$A:$T,20,FALSE),"")</f>
        <v/>
      </c>
      <c r="V47" s="38" t="str">
        <f>IFERROR(VLOOKUP(V$21,'Automated Patient Calcs'!$A:$T,20,FALSE),"")</f>
        <v/>
      </c>
      <c r="W47" s="38" t="str">
        <f>IFERROR(VLOOKUP(W$21,'Automated Patient Calcs'!$A:$T,20,FALSE),"")</f>
        <v/>
      </c>
      <c r="X47" s="38" t="str">
        <f>IFERROR(VLOOKUP(X$21,'Automated Patient Calcs'!$A:$T,20,FALSE),"")</f>
        <v/>
      </c>
      <c r="Y47" s="38" t="str">
        <f>IFERROR(VLOOKUP(Y$21,'Automated Patient Calcs'!$A:$T,20,FALSE),"")</f>
        <v/>
      </c>
      <c r="Z47" s="38" t="str">
        <f>IFERROR(VLOOKUP(Z$21,'Automated Patient Calcs'!$A:$T,20,FALSE),"")</f>
        <v/>
      </c>
      <c r="AA47" s="38" t="str">
        <f>IFERROR(VLOOKUP(AA$21,'Automated Patient Calcs'!$A:$T,20,FALSE),"")</f>
        <v/>
      </c>
      <c r="AB47" s="38" t="str">
        <f>IFERROR(VLOOKUP(AB$21,'Automated Patient Calcs'!$A:$T,20,FALSE),"")</f>
        <v/>
      </c>
      <c r="AC47" s="38" t="str">
        <f>IFERROR(VLOOKUP(AC$21,'Automated Patient Calcs'!$A:$T,20,FALSE),"")</f>
        <v/>
      </c>
      <c r="AD47" s="38" t="str">
        <f>IFERROR(VLOOKUP(AD$21,'Automated Patient Calcs'!$A:$T,20,FALSE),"")</f>
        <v/>
      </c>
      <c r="AE47" s="38" t="str">
        <f>IFERROR(VLOOKUP(AE$21,'Automated Patient Calcs'!$A:$T,20,FALSE),"")</f>
        <v/>
      </c>
      <c r="AF47" s="38" t="str">
        <f>IFERROR(VLOOKUP(AF$21,'Automated Patient Calcs'!$A:$T,20,FALSE),"")</f>
        <v/>
      </c>
      <c r="AG47" s="38" t="str">
        <f>IFERROR(VLOOKUP(AG$21,'Automated Patient Calcs'!$A:$T,20,FALSE),"")</f>
        <v/>
      </c>
      <c r="AH47" s="38" t="str">
        <f>IFERROR(VLOOKUP(AH$21,'Automated Patient Calcs'!$A:$T,20,FALSE),"")</f>
        <v/>
      </c>
      <c r="AI47" s="38" t="str">
        <f>IFERROR(VLOOKUP(AI$21,'Automated Patient Calcs'!$A:$T,20,FALSE),"")</f>
        <v/>
      </c>
      <c r="AJ47" s="38" t="str">
        <f>IFERROR(VLOOKUP(AJ$21,'Automated Patient Calcs'!$A:$T,20,FALSE),"")</f>
        <v/>
      </c>
      <c r="AK47" s="38" t="str">
        <f>IFERROR(VLOOKUP(AK$21,'Automated Patient Calcs'!$A:$T,20,FALSE),"")</f>
        <v/>
      </c>
      <c r="AL47" s="38" t="str">
        <f>IFERROR(VLOOKUP(AL$21,'Automated Patient Calcs'!$A:$T,20,FALSE),"")</f>
        <v/>
      </c>
      <c r="AM47" s="38" t="str">
        <f>IFERROR(VLOOKUP(AM$21,'Automated Patient Calcs'!$A:$T,20,FALSE),"")</f>
        <v/>
      </c>
      <c r="AN47" s="38" t="str">
        <f>IFERROR(VLOOKUP(AN$21,'Automated Patient Calcs'!$A:$T,20,FALSE),"")</f>
        <v/>
      </c>
      <c r="AO47" s="38" t="str">
        <f>IFERROR(VLOOKUP(AO$21,'Automated Patient Calcs'!$A:$T,20,FALSE),"")</f>
        <v/>
      </c>
      <c r="AP47" s="38" t="str">
        <f>IFERROR(VLOOKUP(AP$21,'Automated Patient Calcs'!$A:$T,20,FALSE),"")</f>
        <v/>
      </c>
      <c r="AQ47" s="38" t="str">
        <f>IFERROR(VLOOKUP(AQ$21,'Automated Patient Calcs'!$A:$T,20,FALSE),"")</f>
        <v/>
      </c>
      <c r="AR47" s="38" t="str">
        <f>IFERROR(VLOOKUP(AR$21,'Automated Patient Calcs'!$A:$T,20,FALSE),"")</f>
        <v/>
      </c>
      <c r="AS47" s="38" t="str">
        <f>IFERROR(VLOOKUP(AS$21,'Automated Patient Calcs'!$A:$T,20,FALSE),"")</f>
        <v/>
      </c>
      <c r="AT47" s="38" t="str">
        <f>IFERROR(VLOOKUP(AT$21,'Automated Patient Calcs'!$A:$T,20,FALSE),"")</f>
        <v/>
      </c>
      <c r="AU47" s="38" t="str">
        <f>IFERROR(VLOOKUP(AU$21,'Automated Patient Calcs'!$A:$T,20,FALSE),"")</f>
        <v/>
      </c>
      <c r="AV47" s="38" t="str">
        <f>IFERROR(VLOOKUP(AV$21,'Automated Patient Calcs'!$A:$T,20,FALSE),"")</f>
        <v/>
      </c>
      <c r="AW47" s="38" t="str">
        <f>IFERROR(VLOOKUP(AW$21,'Automated Patient Calcs'!$A:$T,20,FALSE),"")</f>
        <v/>
      </c>
      <c r="AX47" s="38" t="str">
        <f>IFERROR(VLOOKUP(AX$21,'Automated Patient Calcs'!$A:$T,20,FALSE),"")</f>
        <v/>
      </c>
      <c r="AY47" s="38" t="str">
        <f>IFERROR(VLOOKUP(AY$21,'Automated Patient Calcs'!$A:$T,20,FALSE),"")</f>
        <v/>
      </c>
      <c r="AZ47" s="38" t="str">
        <f>IFERROR(VLOOKUP(AZ$21,'Automated Patient Calcs'!$A:$T,20,FALSE),"")</f>
        <v/>
      </c>
      <c r="BA47" s="38" t="str">
        <f>IFERROR(VLOOKUP(BA$21,'Automated Patient Calcs'!$A:$T,20,FALSE),"")</f>
        <v/>
      </c>
      <c r="BB47" s="38" t="str">
        <f>IFERROR(VLOOKUP(BB$21,'Automated Patient Calcs'!$A:$T,20,FALSE),"")</f>
        <v/>
      </c>
      <c r="BC47" s="38" t="str">
        <f>IFERROR(VLOOKUP(BC$21,'Automated Patient Calcs'!$A:$T,20,FALSE),"")</f>
        <v/>
      </c>
      <c r="BD47" s="38" t="str">
        <f>IFERROR(VLOOKUP(BD$21,'Automated Patient Calcs'!$A:$T,20,FALSE),"")</f>
        <v/>
      </c>
      <c r="BE47"/>
      <c r="BF47"/>
      <c r="BG47"/>
      <c r="BH47"/>
      <c r="BI47"/>
      <c r="BJ47"/>
      <c r="BK47"/>
      <c r="BL47"/>
      <c r="BM47"/>
      <c r="BN47"/>
      <c r="BO47"/>
      <c r="BP47"/>
      <c r="BQ47"/>
      <c r="BR47"/>
    </row>
    <row r="48" spans="3:70" x14ac:dyDescent="0.25">
      <c r="C48" s="6" t="s">
        <v>987</v>
      </c>
      <c r="D48" s="38">
        <f>IFERROR(D22+D47,"")</f>
        <v>4</v>
      </c>
      <c r="E48" s="38">
        <f t="shared" ref="E48:R48" si="45">IFERROR(E22+E47,"")</f>
        <v>9.454342644059432</v>
      </c>
      <c r="F48" s="38">
        <f t="shared" si="45"/>
        <v>31.800491351879607</v>
      </c>
      <c r="G48" s="38">
        <f t="shared" si="45"/>
        <v>106.96367672440925</v>
      </c>
      <c r="H48" s="38">
        <f t="shared" si="45"/>
        <v>359.78148927965174</v>
      </c>
      <c r="I48" s="38">
        <f t="shared" si="45"/>
        <v>1210.1558584396064</v>
      </c>
      <c r="J48" s="38">
        <f t="shared" si="45"/>
        <v>4070.4628930405916</v>
      </c>
      <c r="K48" s="38">
        <f t="shared" si="45"/>
        <v>13691.350620724381</v>
      </c>
      <c r="L48" s="38">
        <f t="shared" si="45"/>
        <v>46052.030627795422</v>
      </c>
      <c r="M48" s="38">
        <f t="shared" si="45"/>
        <v>154899.94988026956</v>
      </c>
      <c r="N48" s="38">
        <f t="shared" si="45"/>
        <v>521019.25030919479</v>
      </c>
      <c r="O48" s="38">
        <f t="shared" si="45"/>
        <v>1752492.8794527231</v>
      </c>
      <c r="P48" s="38">
        <f t="shared" si="45"/>
        <v>5894659.9203578122</v>
      </c>
      <c r="Q48" s="38">
        <f t="shared" si="45"/>
        <v>19827193.584674522</v>
      </c>
      <c r="R48" s="38">
        <f t="shared" si="45"/>
        <v>6864998.4153254777</v>
      </c>
      <c r="S48" s="38" t="str">
        <f t="shared" ref="S48" si="46">IFERROR(S22+S47,"")</f>
        <v/>
      </c>
      <c r="T48" s="38" t="str">
        <f t="shared" ref="T48" si="47">IFERROR(T22+T47,"")</f>
        <v/>
      </c>
      <c r="U48" s="38" t="str">
        <f t="shared" ref="U48" si="48">IFERROR(U22+U47,"")</f>
        <v/>
      </c>
      <c r="V48" s="38" t="str">
        <f t="shared" ref="V48" si="49">IFERROR(V22+V47,"")</f>
        <v/>
      </c>
      <c r="W48" s="38" t="str">
        <f t="shared" ref="W48" si="50">IFERROR(W22+W47,"")</f>
        <v/>
      </c>
      <c r="X48" s="38" t="str">
        <f t="shared" ref="X48" si="51">IFERROR(X22+X47,"")</f>
        <v/>
      </c>
      <c r="Y48" s="38" t="str">
        <f t="shared" ref="Y48" si="52">IFERROR(Y22+Y47,"")</f>
        <v/>
      </c>
      <c r="Z48" s="38" t="str">
        <f t="shared" ref="Z48" si="53">IFERROR(Z22+Z47,"")</f>
        <v/>
      </c>
      <c r="AA48" s="38" t="str">
        <f t="shared" ref="AA48" si="54">IFERROR(AA22+AA47,"")</f>
        <v/>
      </c>
      <c r="AB48" s="38" t="str">
        <f t="shared" ref="AB48" si="55">IFERROR(AB22+AB47,"")</f>
        <v/>
      </c>
      <c r="AC48" s="38" t="str">
        <f t="shared" ref="AC48" si="56">IFERROR(AC22+AC47,"")</f>
        <v/>
      </c>
      <c r="AD48" s="38" t="str">
        <f t="shared" ref="AD48" si="57">IFERROR(AD22+AD47,"")</f>
        <v/>
      </c>
      <c r="AE48" s="38" t="str">
        <f t="shared" ref="AE48:AF48" si="58">IFERROR(AE22+AE47,"")</f>
        <v/>
      </c>
      <c r="AF48" s="38" t="str">
        <f t="shared" si="58"/>
        <v/>
      </c>
      <c r="AG48" s="38" t="str">
        <f t="shared" ref="AG48" si="59">IFERROR(AG22+AG47,"")</f>
        <v/>
      </c>
      <c r="AH48" s="38" t="str">
        <f t="shared" ref="AH48" si="60">IFERROR(AH22+AH47,"")</f>
        <v/>
      </c>
      <c r="AI48" s="38" t="str">
        <f t="shared" ref="AI48" si="61">IFERROR(AI22+AI47,"")</f>
        <v/>
      </c>
      <c r="AJ48" s="38" t="str">
        <f t="shared" ref="AJ48" si="62">IFERROR(AJ22+AJ47,"")</f>
        <v/>
      </c>
      <c r="AK48" s="38" t="str">
        <f t="shared" ref="AK48" si="63">IFERROR(AK22+AK47,"")</f>
        <v/>
      </c>
      <c r="AL48" s="38" t="str">
        <f t="shared" ref="AL48" si="64">IFERROR(AL22+AL47,"")</f>
        <v/>
      </c>
      <c r="AM48" s="38" t="str">
        <f t="shared" ref="AM48" si="65">IFERROR(AM22+AM47,"")</f>
        <v/>
      </c>
      <c r="AN48" s="38" t="str">
        <f t="shared" ref="AN48" si="66">IFERROR(AN22+AN47,"")</f>
        <v/>
      </c>
      <c r="AO48" s="38" t="str">
        <f t="shared" ref="AO48" si="67">IFERROR(AO22+AO47,"")</f>
        <v/>
      </c>
      <c r="AP48" s="38" t="str">
        <f t="shared" ref="AP48" si="68">IFERROR(AP22+AP47,"")</f>
        <v/>
      </c>
      <c r="AQ48" s="38" t="str">
        <f t="shared" ref="AQ48" si="69">IFERROR(AQ22+AQ47,"")</f>
        <v/>
      </c>
      <c r="AR48" s="38" t="str">
        <f t="shared" ref="AR48" si="70">IFERROR(AR22+AR47,"")</f>
        <v/>
      </c>
      <c r="AS48" s="38" t="str">
        <f t="shared" ref="AS48:AT48" si="71">IFERROR(AS22+AS47,"")</f>
        <v/>
      </c>
      <c r="AT48" s="38" t="str">
        <f t="shared" si="71"/>
        <v/>
      </c>
      <c r="AU48" s="38" t="str">
        <f t="shared" ref="AU48" si="72">IFERROR(AU22+AU47,"")</f>
        <v/>
      </c>
      <c r="AV48" s="38" t="str">
        <f t="shared" ref="AV48" si="73">IFERROR(AV22+AV47,"")</f>
        <v/>
      </c>
      <c r="AW48" s="38" t="str">
        <f t="shared" ref="AW48" si="74">IFERROR(AW22+AW47,"")</f>
        <v/>
      </c>
      <c r="AX48" s="38" t="str">
        <f t="shared" ref="AX48" si="75">IFERROR(AX22+AX47,"")</f>
        <v/>
      </c>
      <c r="AY48" s="38" t="str">
        <f t="shared" ref="AY48" si="76">IFERROR(AY22+AY47,"")</f>
        <v/>
      </c>
      <c r="AZ48" s="38" t="str">
        <f t="shared" ref="AZ48" si="77">IFERROR(AZ22+AZ47,"")</f>
        <v/>
      </c>
      <c r="BA48" s="38" t="str">
        <f t="shared" ref="BA48" si="78">IFERROR(BA22+BA47,"")</f>
        <v/>
      </c>
      <c r="BB48" s="38" t="str">
        <f t="shared" ref="BB48" si="79">IFERROR(BB22+BB47,"")</f>
        <v/>
      </c>
      <c r="BC48" s="38" t="str">
        <f t="shared" ref="BC48" si="80">IFERROR(BC22+BC47,"")</f>
        <v/>
      </c>
      <c r="BD48" s="38" t="str">
        <f t="shared" ref="BD48" si="81">IFERROR(BD22+BD47,"")</f>
        <v/>
      </c>
      <c r="BE48"/>
      <c r="BF48"/>
      <c r="BG48"/>
      <c r="BH48"/>
      <c r="BI48"/>
      <c r="BJ48"/>
      <c r="BK48"/>
      <c r="BL48"/>
      <c r="BM48"/>
      <c r="BN48"/>
      <c r="BO48"/>
      <c r="BP48"/>
      <c r="BQ48"/>
      <c r="BR48"/>
    </row>
    <row r="49" spans="3:70" s="8" customFormat="1" x14ac:dyDescent="0.25">
      <c r="C49" s="3"/>
    </row>
    <row r="50" spans="3:70" s="8" customFormat="1" x14ac:dyDescent="0.25">
      <c r="C50" s="120" t="s">
        <v>779</v>
      </c>
      <c r="BF50" s="28" t="s">
        <v>847</v>
      </c>
      <c r="BH50" s="27" t="s">
        <v>951</v>
      </c>
    </row>
    <row r="51" spans="3:70" x14ac:dyDescent="0.25">
      <c r="C51" s="6" t="s">
        <v>817</v>
      </c>
      <c r="D51" s="38">
        <f t="shared" ref="D51:AI51" si="82">IFERROR(IF(D24="","",SUM(D24:D25)*Tests_SevereOrCritical),"")</f>
        <v>0.60000000000000009</v>
      </c>
      <c r="E51" s="38">
        <f t="shared" si="82"/>
        <v>1.418151396608915</v>
      </c>
      <c r="F51" s="38">
        <f t="shared" si="82"/>
        <v>4.7700737027819411</v>
      </c>
      <c r="G51" s="38">
        <f t="shared" si="82"/>
        <v>16.044551508661389</v>
      </c>
      <c r="H51" s="38">
        <f t="shared" si="82"/>
        <v>53.967223391947755</v>
      </c>
      <c r="I51" s="38">
        <f t="shared" si="82"/>
        <v>181.52337876594095</v>
      </c>
      <c r="J51" s="38">
        <f t="shared" si="82"/>
        <v>610.56943395608869</v>
      </c>
      <c r="K51" s="38">
        <f t="shared" si="82"/>
        <v>2053.7025931086569</v>
      </c>
      <c r="L51" s="38">
        <f t="shared" si="82"/>
        <v>6907.8045941693126</v>
      </c>
      <c r="M51" s="38">
        <f t="shared" si="82"/>
        <v>23234.992482040434</v>
      </c>
      <c r="N51" s="38">
        <f t="shared" si="82"/>
        <v>78152.887546379221</v>
      </c>
      <c r="O51" s="38">
        <f t="shared" si="82"/>
        <v>262873.93191790843</v>
      </c>
      <c r="P51" s="174">
        <f t="shared" si="82"/>
        <v>884198.9880536719</v>
      </c>
      <c r="Q51" s="174">
        <f t="shared" si="82"/>
        <v>2974079.0377011783</v>
      </c>
      <c r="R51" s="174">
        <f t="shared" si="82"/>
        <v>1029749.7622988216</v>
      </c>
      <c r="S51" s="174" t="str">
        <f t="shared" si="82"/>
        <v/>
      </c>
      <c r="T51" s="174" t="str">
        <f t="shared" si="82"/>
        <v/>
      </c>
      <c r="U51" s="174" t="str">
        <f t="shared" si="82"/>
        <v/>
      </c>
      <c r="V51" s="174" t="str">
        <f t="shared" si="82"/>
        <v/>
      </c>
      <c r="W51" s="174" t="str">
        <f t="shared" si="82"/>
        <v/>
      </c>
      <c r="X51" s="174" t="str">
        <f t="shared" si="82"/>
        <v/>
      </c>
      <c r="Y51" s="174" t="str">
        <f t="shared" si="82"/>
        <v/>
      </c>
      <c r="Z51" s="174" t="str">
        <f t="shared" si="82"/>
        <v/>
      </c>
      <c r="AA51" s="174" t="str">
        <f t="shared" si="82"/>
        <v/>
      </c>
      <c r="AB51" s="174" t="str">
        <f t="shared" si="82"/>
        <v/>
      </c>
      <c r="AC51" s="174" t="str">
        <f t="shared" si="82"/>
        <v/>
      </c>
      <c r="AD51" s="174" t="str">
        <f t="shared" si="82"/>
        <v/>
      </c>
      <c r="AE51" s="174" t="str">
        <f t="shared" si="82"/>
        <v/>
      </c>
      <c r="AF51" s="174" t="str">
        <f t="shared" si="82"/>
        <v/>
      </c>
      <c r="AG51" s="174" t="str">
        <f t="shared" si="82"/>
        <v/>
      </c>
      <c r="AH51" s="174" t="str">
        <f t="shared" si="82"/>
        <v/>
      </c>
      <c r="AI51" s="174" t="str">
        <f t="shared" si="82"/>
        <v/>
      </c>
      <c r="AJ51" s="174" t="str">
        <f t="shared" ref="AJ51:BD51" si="83">IFERROR(IF(AJ24="","",SUM(AJ24:AJ25)*Tests_SevereOrCritical),"")</f>
        <v/>
      </c>
      <c r="AK51" s="174" t="str">
        <f t="shared" si="83"/>
        <v/>
      </c>
      <c r="AL51" s="174" t="str">
        <f t="shared" si="83"/>
        <v/>
      </c>
      <c r="AM51" s="174" t="str">
        <f t="shared" si="83"/>
        <v/>
      </c>
      <c r="AN51" s="174" t="str">
        <f t="shared" si="83"/>
        <v/>
      </c>
      <c r="AO51" s="174" t="str">
        <f t="shared" si="83"/>
        <v/>
      </c>
      <c r="AP51" s="174" t="str">
        <f t="shared" si="83"/>
        <v/>
      </c>
      <c r="AQ51" s="174" t="str">
        <f t="shared" si="83"/>
        <v/>
      </c>
      <c r="AR51" s="174" t="str">
        <f t="shared" si="83"/>
        <v/>
      </c>
      <c r="AS51" s="174" t="str">
        <f t="shared" si="83"/>
        <v/>
      </c>
      <c r="AT51" s="174" t="str">
        <f t="shared" si="83"/>
        <v/>
      </c>
      <c r="AU51" s="174" t="str">
        <f t="shared" si="83"/>
        <v/>
      </c>
      <c r="AV51" s="174" t="str">
        <f t="shared" si="83"/>
        <v/>
      </c>
      <c r="AW51" s="174" t="str">
        <f t="shared" si="83"/>
        <v/>
      </c>
      <c r="AX51" s="174" t="str">
        <f t="shared" si="83"/>
        <v/>
      </c>
      <c r="AY51" s="174" t="str">
        <f t="shared" si="83"/>
        <v/>
      </c>
      <c r="AZ51" s="174" t="str">
        <f t="shared" si="83"/>
        <v/>
      </c>
      <c r="BA51" s="174" t="str">
        <f t="shared" si="83"/>
        <v/>
      </c>
      <c r="BB51" s="174" t="str">
        <f t="shared" si="83"/>
        <v/>
      </c>
      <c r="BC51" s="174" t="str">
        <f t="shared" si="83"/>
        <v/>
      </c>
      <c r="BD51" s="174" t="str">
        <f t="shared" si="83"/>
        <v/>
      </c>
      <c r="BE51"/>
      <c r="BF51" s="136">
        <f>SUMIFS($D51:$BD51,$D$21:$BD$21,"&lt;="&amp;WeekSuppliedUntil,$D$21:$BD$21,"&gt;="&amp;Start_week_for_forecasting)</f>
        <v>868.8928127220297</v>
      </c>
      <c r="BG51"/>
      <c r="BH51"/>
      <c r="BI51"/>
      <c r="BJ51"/>
      <c r="BK51"/>
      <c r="BL51"/>
      <c r="BM51"/>
      <c r="BN51"/>
      <c r="BO51"/>
      <c r="BP51"/>
      <c r="BQ51"/>
      <c r="BR51"/>
    </row>
    <row r="52" spans="3:70" x14ac:dyDescent="0.25">
      <c r="C52" s="6" t="s">
        <v>818</v>
      </c>
      <c r="D52" s="38">
        <f t="shared" ref="D52:AI52" si="84">IFERROR((D26+D23)*Tests_MildOrSuspected,"")</f>
        <v>3.8</v>
      </c>
      <c r="E52" s="38">
        <f t="shared" si="84"/>
        <v>8.9816255118564605</v>
      </c>
      <c r="F52" s="38">
        <f t="shared" si="84"/>
        <v>30.210466784285629</v>
      </c>
      <c r="G52" s="38">
        <f t="shared" si="84"/>
        <v>101.6154928881888</v>
      </c>
      <c r="H52" s="38">
        <f t="shared" si="84"/>
        <v>341.79241481566913</v>
      </c>
      <c r="I52" s="38">
        <f t="shared" si="84"/>
        <v>1149.648065517626</v>
      </c>
      <c r="J52" s="38">
        <f t="shared" si="84"/>
        <v>3866.9397483885618</v>
      </c>
      <c r="K52" s="38">
        <f t="shared" si="84"/>
        <v>13006.783089688162</v>
      </c>
      <c r="L52" s="38">
        <f t="shared" si="84"/>
        <v>43749.429096405649</v>
      </c>
      <c r="M52" s="38">
        <f t="shared" si="84"/>
        <v>147154.95238625607</v>
      </c>
      <c r="N52" s="38">
        <f t="shared" si="84"/>
        <v>494968.28779373504</v>
      </c>
      <c r="O52" s="38">
        <f t="shared" si="84"/>
        <v>1664868.2354800869</v>
      </c>
      <c r="P52" s="38">
        <f t="shared" si="84"/>
        <v>5599926.9243399221</v>
      </c>
      <c r="Q52" s="38">
        <f t="shared" si="84"/>
        <v>18835833.905440796</v>
      </c>
      <c r="R52" s="38">
        <f t="shared" si="84"/>
        <v>6521748.4945592042</v>
      </c>
      <c r="S52" s="38" t="str">
        <f t="shared" si="84"/>
        <v/>
      </c>
      <c r="T52" s="38" t="str">
        <f t="shared" si="84"/>
        <v/>
      </c>
      <c r="U52" s="38" t="str">
        <f t="shared" si="84"/>
        <v/>
      </c>
      <c r="V52" s="38" t="str">
        <f t="shared" si="84"/>
        <v/>
      </c>
      <c r="W52" s="38" t="str">
        <f t="shared" si="84"/>
        <v/>
      </c>
      <c r="X52" s="38" t="str">
        <f t="shared" si="84"/>
        <v/>
      </c>
      <c r="Y52" s="38" t="str">
        <f t="shared" si="84"/>
        <v/>
      </c>
      <c r="Z52" s="38" t="str">
        <f t="shared" si="84"/>
        <v/>
      </c>
      <c r="AA52" s="38" t="str">
        <f t="shared" si="84"/>
        <v/>
      </c>
      <c r="AB52" s="38" t="str">
        <f t="shared" si="84"/>
        <v/>
      </c>
      <c r="AC52" s="38" t="str">
        <f t="shared" si="84"/>
        <v/>
      </c>
      <c r="AD52" s="38" t="str">
        <f t="shared" si="84"/>
        <v/>
      </c>
      <c r="AE52" s="38" t="str">
        <f t="shared" si="84"/>
        <v/>
      </c>
      <c r="AF52" s="38" t="str">
        <f t="shared" si="84"/>
        <v/>
      </c>
      <c r="AG52" s="38" t="str">
        <f t="shared" si="84"/>
        <v/>
      </c>
      <c r="AH52" s="38" t="str">
        <f t="shared" si="84"/>
        <v/>
      </c>
      <c r="AI52" s="38" t="str">
        <f t="shared" si="84"/>
        <v/>
      </c>
      <c r="AJ52" s="38" t="str">
        <f t="shared" ref="AJ52:BD52" si="85">IFERROR((AJ26+AJ23)*Tests_MildOrSuspected,"")</f>
        <v/>
      </c>
      <c r="AK52" s="38" t="str">
        <f t="shared" si="85"/>
        <v/>
      </c>
      <c r="AL52" s="38" t="str">
        <f t="shared" si="85"/>
        <v/>
      </c>
      <c r="AM52" s="38" t="str">
        <f t="shared" si="85"/>
        <v/>
      </c>
      <c r="AN52" s="38" t="str">
        <f t="shared" si="85"/>
        <v/>
      </c>
      <c r="AO52" s="38" t="str">
        <f t="shared" si="85"/>
        <v/>
      </c>
      <c r="AP52" s="38" t="str">
        <f t="shared" si="85"/>
        <v/>
      </c>
      <c r="AQ52" s="38" t="str">
        <f t="shared" si="85"/>
        <v/>
      </c>
      <c r="AR52" s="38" t="str">
        <f t="shared" si="85"/>
        <v/>
      </c>
      <c r="AS52" s="38" t="str">
        <f t="shared" si="85"/>
        <v/>
      </c>
      <c r="AT52" s="38" t="str">
        <f t="shared" si="85"/>
        <v/>
      </c>
      <c r="AU52" s="38" t="str">
        <f t="shared" si="85"/>
        <v/>
      </c>
      <c r="AV52" s="38" t="str">
        <f t="shared" si="85"/>
        <v/>
      </c>
      <c r="AW52" s="38" t="str">
        <f t="shared" si="85"/>
        <v/>
      </c>
      <c r="AX52" s="38" t="str">
        <f t="shared" si="85"/>
        <v/>
      </c>
      <c r="AY52" s="38" t="str">
        <f t="shared" si="85"/>
        <v/>
      </c>
      <c r="AZ52" s="38" t="str">
        <f t="shared" si="85"/>
        <v/>
      </c>
      <c r="BA52" s="38" t="str">
        <f t="shared" si="85"/>
        <v/>
      </c>
      <c r="BB52" s="38" t="str">
        <f t="shared" si="85"/>
        <v/>
      </c>
      <c r="BC52" s="38" t="str">
        <f t="shared" si="85"/>
        <v/>
      </c>
      <c r="BD52" s="38" t="str">
        <f t="shared" si="85"/>
        <v/>
      </c>
      <c r="BE52"/>
      <c r="BF52" s="136">
        <f>SUMIFS($D52:$BD52,$D$21:$BD$21,"&lt;="&amp;WeekSuppliedUntil,$D$21:$BD$21,"&gt;="&amp;Start_week_for_forecasting)</f>
        <v>5502.9878139061875</v>
      </c>
      <c r="BG52"/>
      <c r="BH52"/>
      <c r="BI52"/>
      <c r="BJ52"/>
      <c r="BK52"/>
      <c r="BL52"/>
      <c r="BM52"/>
      <c r="BN52"/>
      <c r="BO52"/>
      <c r="BP52"/>
      <c r="BQ52"/>
      <c r="BR52"/>
    </row>
    <row r="53" spans="3:70" ht="15.75" thickBot="1" x14ac:dyDescent="0.3">
      <c r="C53" s="6" t="s">
        <v>259</v>
      </c>
      <c r="D53" s="146">
        <f>IFERROR(VLOOKUP(D$21,'Automated Patient Calcs'!$A:$V,22,FALSE),"")</f>
        <v>4.4000000000000004</v>
      </c>
      <c r="E53" s="146">
        <f>IFERROR(VLOOKUP(E$21,'Automated Patient Calcs'!$A:$V,22,FALSE),"")</f>
        <v>10.399776908465377</v>
      </c>
      <c r="F53" s="146">
        <f>IFERROR(VLOOKUP(F$21,'Automated Patient Calcs'!$A:$V,22,FALSE),"")</f>
        <v>34.980540487067572</v>
      </c>
      <c r="G53" s="146">
        <f>IFERROR(VLOOKUP(G$21,'Automated Patient Calcs'!$A:$V,22,FALSE),"")</f>
        <v>117.66004439685018</v>
      </c>
      <c r="H53" s="146">
        <f>IFERROR(VLOOKUP(H$21,'Automated Patient Calcs'!$A:$V,22,FALSE),"")</f>
        <v>395.75963820761689</v>
      </c>
      <c r="I53" s="146">
        <f>IFERROR(VLOOKUP(I$21,'Automated Patient Calcs'!$A:$V,22,FALSE),"")</f>
        <v>1331.1714442835671</v>
      </c>
      <c r="J53" s="146">
        <f>IFERROR(VLOOKUP(J$21,'Automated Patient Calcs'!$A:$V,22,FALSE),"")</f>
        <v>4477.509182344651</v>
      </c>
      <c r="K53" s="146">
        <f>IFERROR(VLOOKUP(K$21,'Automated Patient Calcs'!$A:$V,22,FALSE),"")</f>
        <v>15060.48568279682</v>
      </c>
      <c r="L53" s="146">
        <f>IFERROR(VLOOKUP(L$21,'Automated Patient Calcs'!$A:$V,22,FALSE),"")</f>
        <v>50657.233690574962</v>
      </c>
      <c r="M53" s="146">
        <f>IFERROR(VLOOKUP(M$21,'Automated Patient Calcs'!$A:$V,22,FALSE),"")</f>
        <v>170389.9448682965</v>
      </c>
      <c r="N53" s="146">
        <f>IFERROR(VLOOKUP(N$21,'Automated Patient Calcs'!$A:$V,22,FALSE),"")</f>
        <v>573121.17534011428</v>
      </c>
      <c r="O53" s="146">
        <f>IFERROR(VLOOKUP(O$21,'Automated Patient Calcs'!$A:$V,22,FALSE),"")</f>
        <v>1927742.1673979955</v>
      </c>
      <c r="P53" s="146">
        <f>IFERROR(VLOOKUP(P$21,'Automated Patient Calcs'!$A:$V,22,FALSE),"")</f>
        <v>6484125.9123935942</v>
      </c>
      <c r="Q53" s="146">
        <f>IFERROR(VLOOKUP(Q$21,'Automated Patient Calcs'!$A:$V,22,FALSE),"")</f>
        <v>21809912.943141975</v>
      </c>
      <c r="R53" s="146">
        <f>IFERROR(VLOOKUP(R$21,'Automated Patient Calcs'!$A:$V,22,FALSE),"")</f>
        <v>7551498.2568580257</v>
      </c>
      <c r="S53" s="146" t="str">
        <f>IFERROR(VLOOKUP(S$21,'Automated Patient Calcs'!$A:$V,22,FALSE),"")</f>
        <v/>
      </c>
      <c r="T53" s="146" t="str">
        <f>IFERROR(VLOOKUP(T$21,'Automated Patient Calcs'!$A:$V,22,FALSE),"")</f>
        <v/>
      </c>
      <c r="U53" s="146" t="str">
        <f>IFERROR(VLOOKUP(U$21,'Automated Patient Calcs'!$A:$V,22,FALSE),"")</f>
        <v/>
      </c>
      <c r="V53" s="146" t="str">
        <f>IFERROR(VLOOKUP(V$21,'Automated Patient Calcs'!$A:$V,22,FALSE),"")</f>
        <v/>
      </c>
      <c r="W53" s="146" t="str">
        <f>IFERROR(VLOOKUP(W$21,'Automated Patient Calcs'!$A:$V,22,FALSE),"")</f>
        <v/>
      </c>
      <c r="X53" s="146" t="str">
        <f>IFERROR(VLOOKUP(X$21,'Automated Patient Calcs'!$A:$V,22,FALSE),"")</f>
        <v/>
      </c>
      <c r="Y53" s="146" t="str">
        <f>IFERROR(VLOOKUP(Y$21,'Automated Patient Calcs'!$A:$V,22,FALSE),"")</f>
        <v/>
      </c>
      <c r="Z53" s="146" t="str">
        <f>IFERROR(VLOOKUP(Z$21,'Automated Patient Calcs'!$A:$V,22,FALSE),"")</f>
        <v/>
      </c>
      <c r="AA53" s="146" t="str">
        <f>IFERROR(VLOOKUP(AA$21,'Automated Patient Calcs'!$A:$V,22,FALSE),"")</f>
        <v/>
      </c>
      <c r="AB53" s="146" t="str">
        <f>IFERROR(VLOOKUP(AB$21,'Automated Patient Calcs'!$A:$V,22,FALSE),"")</f>
        <v/>
      </c>
      <c r="AC53" s="146" t="str">
        <f>IFERROR(VLOOKUP(AC$21,'Automated Patient Calcs'!$A:$V,22,FALSE),"")</f>
        <v/>
      </c>
      <c r="AD53" s="146" t="str">
        <f>IFERROR(VLOOKUP(AD$21,'Automated Patient Calcs'!$A:$V,22,FALSE),"")</f>
        <v/>
      </c>
      <c r="AE53" s="146" t="str">
        <f>IFERROR(VLOOKUP(AE$21,'Automated Patient Calcs'!$A:$V,22,FALSE),"")</f>
        <v/>
      </c>
      <c r="AF53" s="146" t="str">
        <f>IFERROR(VLOOKUP(AF$21,'Automated Patient Calcs'!$A:$V,22,FALSE),"")</f>
        <v/>
      </c>
      <c r="AG53" s="146" t="str">
        <f>IFERROR(VLOOKUP(AG$21,'Automated Patient Calcs'!$A:$V,22,FALSE),"")</f>
        <v/>
      </c>
      <c r="AH53" s="146" t="str">
        <f>IFERROR(VLOOKUP(AH$21,'Automated Patient Calcs'!$A:$V,22,FALSE),"")</f>
        <v/>
      </c>
      <c r="AI53" s="146" t="str">
        <f>IFERROR(VLOOKUP(AI$21,'Automated Patient Calcs'!$A:$V,22,FALSE),"")</f>
        <v/>
      </c>
      <c r="AJ53" s="146" t="str">
        <f>IFERROR(VLOOKUP(AJ$21,'Automated Patient Calcs'!$A:$V,22,FALSE),"")</f>
        <v/>
      </c>
      <c r="AK53" s="146" t="str">
        <f>IFERROR(VLOOKUP(AK$21,'Automated Patient Calcs'!$A:$V,22,FALSE),"")</f>
        <v/>
      </c>
      <c r="AL53" s="146" t="str">
        <f>IFERROR(VLOOKUP(AL$21,'Automated Patient Calcs'!$A:$V,22,FALSE),"")</f>
        <v/>
      </c>
      <c r="AM53" s="146" t="str">
        <f>IFERROR(VLOOKUP(AM$21,'Automated Patient Calcs'!$A:$V,22,FALSE),"")</f>
        <v/>
      </c>
      <c r="AN53" s="146" t="str">
        <f>IFERROR(VLOOKUP(AN$21,'Automated Patient Calcs'!$A:$V,22,FALSE),"")</f>
        <v/>
      </c>
      <c r="AO53" s="146" t="str">
        <f>IFERROR(VLOOKUP(AO$21,'Automated Patient Calcs'!$A:$V,22,FALSE),"")</f>
        <v/>
      </c>
      <c r="AP53" s="146" t="str">
        <f>IFERROR(VLOOKUP(AP$21,'Automated Patient Calcs'!$A:$V,22,FALSE),"")</f>
        <v/>
      </c>
      <c r="AQ53" s="146" t="str">
        <f>IFERROR(VLOOKUP(AQ$21,'Automated Patient Calcs'!$A:$V,22,FALSE),"")</f>
        <v/>
      </c>
      <c r="AR53" s="146" t="str">
        <f>IFERROR(VLOOKUP(AR$21,'Automated Patient Calcs'!$A:$V,22,FALSE),"")</f>
        <v/>
      </c>
      <c r="AS53" s="146" t="str">
        <f>IFERROR(VLOOKUP(AS$21,'Automated Patient Calcs'!$A:$V,22,FALSE),"")</f>
        <v/>
      </c>
      <c r="AT53" s="146" t="str">
        <f>IFERROR(VLOOKUP(AT$21,'Automated Patient Calcs'!$A:$V,22,FALSE),"")</f>
        <v/>
      </c>
      <c r="AU53" s="146" t="str">
        <f>IFERROR(VLOOKUP(AU$21,'Automated Patient Calcs'!$A:$V,22,FALSE),"")</f>
        <v/>
      </c>
      <c r="AV53" s="146" t="str">
        <f>IFERROR(VLOOKUP(AV$21,'Automated Patient Calcs'!$A:$V,22,FALSE),"")</f>
        <v/>
      </c>
      <c r="AW53" s="146" t="str">
        <f>IFERROR(VLOOKUP(AW$21,'Automated Patient Calcs'!$A:$V,22,FALSE),"")</f>
        <v/>
      </c>
      <c r="AX53" s="146" t="str">
        <f>IFERROR(VLOOKUP(AX$21,'Automated Patient Calcs'!$A:$V,22,FALSE),"")</f>
        <v/>
      </c>
      <c r="AY53" s="146" t="str">
        <f>IFERROR(VLOOKUP(AY$21,'Automated Patient Calcs'!$A:$V,22,FALSE),"")</f>
        <v/>
      </c>
      <c r="AZ53" s="146" t="str">
        <f>IFERROR(VLOOKUP(AZ$21,'Automated Patient Calcs'!$A:$V,22,FALSE),"")</f>
        <v/>
      </c>
      <c r="BA53" s="146" t="str">
        <f>IFERROR(VLOOKUP(BA$21,'Automated Patient Calcs'!$A:$V,22,FALSE),"")</f>
        <v/>
      </c>
      <c r="BB53" s="146" t="str">
        <f>IFERROR(VLOOKUP(BB$21,'Automated Patient Calcs'!$A:$V,22,FALSE),"")</f>
        <v/>
      </c>
      <c r="BC53" s="146" t="str">
        <f>IFERROR(VLOOKUP(BC$21,'Automated Patient Calcs'!$A:$V,22,FALSE),"")</f>
        <v/>
      </c>
      <c r="BD53" s="146" t="str">
        <f>IFERROR(VLOOKUP(BD$21,'Automated Patient Calcs'!$A:$V,22,FALSE),"")</f>
        <v/>
      </c>
      <c r="BE53"/>
      <c r="BF53" s="137">
        <f>SUMIFS($D53:$BD53,$D$21:$BD$21,"&lt;="&amp;WeekSuppliedUntil,$D$21:$BD$21,"&gt;="&amp;Start_week_for_forecasting)</f>
        <v>6371.8806266282181</v>
      </c>
      <c r="BG53"/>
      <c r="BH53" s="39">
        <f>IF(Start_week_for_forecasting+'User Dashboard'!$I$19='Patient Calc Assumptions'!$C$50,MAX($D53:$BD53),INDEX($D53:$BD53,MATCH(WeekSuppliedUntil,'Patient &amp; Case Type Summary'!$D$21:$BD$21,0)))</f>
        <v>4477.509182344651</v>
      </c>
      <c r="BI53"/>
      <c r="BJ53"/>
      <c r="BK53"/>
      <c r="BL53"/>
      <c r="BM53"/>
      <c r="BN53"/>
      <c r="BO53"/>
      <c r="BP53"/>
      <c r="BQ53"/>
      <c r="BR53"/>
    </row>
    <row r="54" spans="3:70" s="8" customFormat="1" x14ac:dyDescent="0.25">
      <c r="C54" s="3"/>
    </row>
    <row r="55" spans="3:70" s="8" customFormat="1" x14ac:dyDescent="0.25">
      <c r="C55" s="120" t="s">
        <v>853</v>
      </c>
      <c r="BF55" s="28" t="s">
        <v>847</v>
      </c>
      <c r="BH55" s="27" t="s">
        <v>951</v>
      </c>
    </row>
    <row r="56" spans="3:70" s="8" customFormat="1" x14ac:dyDescent="0.25">
      <c r="C56" s="6" t="s">
        <v>817</v>
      </c>
      <c r="D56" s="38">
        <f>IFERROR(D51,"")</f>
        <v>0.60000000000000009</v>
      </c>
      <c r="E56" s="38">
        <f t="shared" ref="E56:R56" si="86">IFERROR(E51,"")</f>
        <v>1.418151396608915</v>
      </c>
      <c r="F56" s="38">
        <f>IFERROR(F51,"")</f>
        <v>4.7700737027819411</v>
      </c>
      <c r="G56" s="38">
        <f t="shared" si="86"/>
        <v>16.044551508661389</v>
      </c>
      <c r="H56" s="38">
        <f t="shared" si="86"/>
        <v>53.967223391947755</v>
      </c>
      <c r="I56" s="38">
        <f t="shared" si="86"/>
        <v>181.52337876594095</v>
      </c>
      <c r="J56" s="38">
        <f t="shared" si="86"/>
        <v>610.56943395608869</v>
      </c>
      <c r="K56" s="38">
        <f t="shared" si="86"/>
        <v>2053.7025931086569</v>
      </c>
      <c r="L56" s="38">
        <f t="shared" si="86"/>
        <v>6907.8045941693126</v>
      </c>
      <c r="M56" s="38">
        <f t="shared" si="86"/>
        <v>23234.992482040434</v>
      </c>
      <c r="N56" s="38">
        <f t="shared" si="86"/>
        <v>78152.887546379221</v>
      </c>
      <c r="O56" s="38">
        <f t="shared" si="86"/>
        <v>262873.93191790843</v>
      </c>
      <c r="P56" s="38">
        <f t="shared" si="86"/>
        <v>884198.9880536719</v>
      </c>
      <c r="Q56" s="38">
        <f t="shared" si="86"/>
        <v>2974079.0377011783</v>
      </c>
      <c r="R56" s="38">
        <f t="shared" si="86"/>
        <v>1029749.7622988216</v>
      </c>
      <c r="S56" s="38" t="str">
        <f t="shared" ref="S56:BD56" si="87">IFERROR(S51,"")</f>
        <v/>
      </c>
      <c r="T56" s="38" t="str">
        <f t="shared" si="87"/>
        <v/>
      </c>
      <c r="U56" s="38" t="str">
        <f t="shared" si="87"/>
        <v/>
      </c>
      <c r="V56" s="38" t="str">
        <f t="shared" si="87"/>
        <v/>
      </c>
      <c r="W56" s="38" t="str">
        <f t="shared" si="87"/>
        <v/>
      </c>
      <c r="X56" s="38" t="str">
        <f t="shared" si="87"/>
        <v/>
      </c>
      <c r="Y56" s="38" t="str">
        <f t="shared" si="87"/>
        <v/>
      </c>
      <c r="Z56" s="38" t="str">
        <f t="shared" si="87"/>
        <v/>
      </c>
      <c r="AA56" s="38" t="str">
        <f t="shared" si="87"/>
        <v/>
      </c>
      <c r="AB56" s="38" t="str">
        <f t="shared" si="87"/>
        <v/>
      </c>
      <c r="AC56" s="38" t="str">
        <f t="shared" si="87"/>
        <v/>
      </c>
      <c r="AD56" s="38" t="str">
        <f t="shared" si="87"/>
        <v/>
      </c>
      <c r="AE56" s="38" t="str">
        <f t="shared" si="87"/>
        <v/>
      </c>
      <c r="AF56" s="38" t="str">
        <f t="shared" si="87"/>
        <v/>
      </c>
      <c r="AG56" s="38" t="str">
        <f t="shared" si="87"/>
        <v/>
      </c>
      <c r="AH56" s="38" t="str">
        <f t="shared" si="87"/>
        <v/>
      </c>
      <c r="AI56" s="38" t="str">
        <f t="shared" si="87"/>
        <v/>
      </c>
      <c r="AJ56" s="38" t="str">
        <f t="shared" si="87"/>
        <v/>
      </c>
      <c r="AK56" s="38" t="str">
        <f t="shared" si="87"/>
        <v/>
      </c>
      <c r="AL56" s="38" t="str">
        <f t="shared" si="87"/>
        <v/>
      </c>
      <c r="AM56" s="38" t="str">
        <f t="shared" si="87"/>
        <v/>
      </c>
      <c r="AN56" s="38" t="str">
        <f t="shared" si="87"/>
        <v/>
      </c>
      <c r="AO56" s="38" t="str">
        <f t="shared" si="87"/>
        <v/>
      </c>
      <c r="AP56" s="38" t="str">
        <f t="shared" si="87"/>
        <v/>
      </c>
      <c r="AQ56" s="38" t="str">
        <f t="shared" si="87"/>
        <v/>
      </c>
      <c r="AR56" s="38" t="str">
        <f t="shared" si="87"/>
        <v/>
      </c>
      <c r="AS56" s="38" t="str">
        <f t="shared" si="87"/>
        <v/>
      </c>
      <c r="AT56" s="38" t="str">
        <f t="shared" si="87"/>
        <v/>
      </c>
      <c r="AU56" s="38" t="str">
        <f t="shared" si="87"/>
        <v/>
      </c>
      <c r="AV56" s="38" t="str">
        <f t="shared" si="87"/>
        <v/>
      </c>
      <c r="AW56" s="38" t="str">
        <f t="shared" si="87"/>
        <v/>
      </c>
      <c r="AX56" s="38" t="str">
        <f t="shared" si="87"/>
        <v/>
      </c>
      <c r="AY56" s="38" t="str">
        <f t="shared" si="87"/>
        <v/>
      </c>
      <c r="AZ56" s="38" t="str">
        <f t="shared" si="87"/>
        <v/>
      </c>
      <c r="BA56" s="38" t="str">
        <f t="shared" si="87"/>
        <v/>
      </c>
      <c r="BB56" s="38" t="str">
        <f t="shared" si="87"/>
        <v/>
      </c>
      <c r="BC56" s="38" t="str">
        <f t="shared" si="87"/>
        <v/>
      </c>
      <c r="BD56" s="38" t="str">
        <f t="shared" si="87"/>
        <v/>
      </c>
      <c r="BF56" s="136">
        <f>SUMIFS($D56:$BD56,$D$21:$BD$21,"&lt;="&amp;WeekSuppliedUntil,$D$21:$BD$21,"&gt;="&amp;Start_week_for_forecasting)</f>
        <v>868.8928127220297</v>
      </c>
    </row>
    <row r="57" spans="3:70" x14ac:dyDescent="0.25">
      <c r="C57" s="6" t="s">
        <v>819</v>
      </c>
      <c r="D57" s="38">
        <f t="shared" ref="D57:AI57" si="88">IFERROR(IF(D53&lt;=CutOffMaxTests,D52,D52*TestingRate),"")</f>
        <v>3.8</v>
      </c>
      <c r="E57" s="38">
        <f t="shared" si="88"/>
        <v>8.9816255118564605</v>
      </c>
      <c r="F57" s="38">
        <f>IFERROR(IF(F53&lt;=CutOffMaxTests,F52,F52*TestingRate),"")</f>
        <v>30.210466784285629</v>
      </c>
      <c r="G57" s="38">
        <f t="shared" si="88"/>
        <v>101.6154928881888</v>
      </c>
      <c r="H57" s="38">
        <f t="shared" si="88"/>
        <v>341.79241481566913</v>
      </c>
      <c r="I57" s="38">
        <f t="shared" si="88"/>
        <v>1149.648065517626</v>
      </c>
      <c r="J57" s="38">
        <f t="shared" si="88"/>
        <v>386.69397483885621</v>
      </c>
      <c r="K57" s="38">
        <f t="shared" si="88"/>
        <v>1300.6783089688163</v>
      </c>
      <c r="L57" s="38">
        <f>IFERROR(IF(L53&lt;=CutOffMaxTests,L52,L52*TestingRate),"")</f>
        <v>4374.9429096405647</v>
      </c>
      <c r="M57" s="38">
        <f t="shared" si="88"/>
        <v>14715.495238625608</v>
      </c>
      <c r="N57" s="38">
        <f t="shared" si="88"/>
        <v>49496.828779373507</v>
      </c>
      <c r="O57" s="38">
        <f t="shared" si="88"/>
        <v>166486.82354800869</v>
      </c>
      <c r="P57" s="38">
        <f t="shared" si="88"/>
        <v>559992.69243399228</v>
      </c>
      <c r="Q57" s="38">
        <f t="shared" si="88"/>
        <v>1883583.3905440797</v>
      </c>
      <c r="R57" s="38">
        <f t="shared" si="88"/>
        <v>652174.84945592051</v>
      </c>
      <c r="S57" s="38" t="str">
        <f t="shared" si="88"/>
        <v/>
      </c>
      <c r="T57" s="38" t="str">
        <f t="shared" si="88"/>
        <v/>
      </c>
      <c r="U57" s="38" t="str">
        <f t="shared" si="88"/>
        <v/>
      </c>
      <c r="V57" s="38" t="str">
        <f t="shared" si="88"/>
        <v/>
      </c>
      <c r="W57" s="38" t="str">
        <f t="shared" si="88"/>
        <v/>
      </c>
      <c r="X57" s="38" t="str">
        <f t="shared" si="88"/>
        <v/>
      </c>
      <c r="Y57" s="38" t="str">
        <f t="shared" si="88"/>
        <v/>
      </c>
      <c r="Z57" s="38" t="str">
        <f t="shared" si="88"/>
        <v/>
      </c>
      <c r="AA57" s="38" t="str">
        <f t="shared" si="88"/>
        <v/>
      </c>
      <c r="AB57" s="38" t="str">
        <f t="shared" si="88"/>
        <v/>
      </c>
      <c r="AC57" s="38" t="str">
        <f t="shared" si="88"/>
        <v/>
      </c>
      <c r="AD57" s="38" t="str">
        <f t="shared" si="88"/>
        <v/>
      </c>
      <c r="AE57" s="38" t="str">
        <f t="shared" si="88"/>
        <v/>
      </c>
      <c r="AF57" s="38" t="str">
        <f t="shared" si="88"/>
        <v/>
      </c>
      <c r="AG57" s="38" t="str">
        <f t="shared" si="88"/>
        <v/>
      </c>
      <c r="AH57" s="38" t="str">
        <f t="shared" si="88"/>
        <v/>
      </c>
      <c r="AI57" s="38" t="str">
        <f t="shared" si="88"/>
        <v/>
      </c>
      <c r="AJ57" s="38" t="str">
        <f t="shared" ref="AJ57:BD57" si="89">IFERROR(IF(AJ53&lt;=CutOffMaxTests,AJ52,AJ52*TestingRate),"")</f>
        <v/>
      </c>
      <c r="AK57" s="38" t="str">
        <f t="shared" si="89"/>
        <v/>
      </c>
      <c r="AL57" s="38" t="str">
        <f t="shared" si="89"/>
        <v/>
      </c>
      <c r="AM57" s="38" t="str">
        <f t="shared" si="89"/>
        <v/>
      </c>
      <c r="AN57" s="38" t="str">
        <f t="shared" si="89"/>
        <v/>
      </c>
      <c r="AO57" s="38" t="str">
        <f t="shared" si="89"/>
        <v/>
      </c>
      <c r="AP57" s="38" t="str">
        <f t="shared" si="89"/>
        <v/>
      </c>
      <c r="AQ57" s="38" t="str">
        <f t="shared" si="89"/>
        <v/>
      </c>
      <c r="AR57" s="38" t="str">
        <f t="shared" si="89"/>
        <v/>
      </c>
      <c r="AS57" s="38" t="str">
        <f t="shared" si="89"/>
        <v/>
      </c>
      <c r="AT57" s="38" t="str">
        <f t="shared" si="89"/>
        <v/>
      </c>
      <c r="AU57" s="38" t="str">
        <f t="shared" si="89"/>
        <v/>
      </c>
      <c r="AV57" s="38" t="str">
        <f t="shared" si="89"/>
        <v/>
      </c>
      <c r="AW57" s="38" t="str">
        <f t="shared" si="89"/>
        <v/>
      </c>
      <c r="AX57" s="38" t="str">
        <f t="shared" si="89"/>
        <v/>
      </c>
      <c r="AY57" s="38" t="str">
        <f t="shared" si="89"/>
        <v/>
      </c>
      <c r="AZ57" s="38" t="str">
        <f t="shared" si="89"/>
        <v/>
      </c>
      <c r="BA57" s="38" t="str">
        <f t="shared" si="89"/>
        <v/>
      </c>
      <c r="BB57" s="38" t="str">
        <f t="shared" si="89"/>
        <v/>
      </c>
      <c r="BC57" s="38" t="str">
        <f t="shared" si="89"/>
        <v/>
      </c>
      <c r="BD57" s="38" t="str">
        <f t="shared" si="89"/>
        <v/>
      </c>
      <c r="BE57"/>
      <c r="BF57" s="136">
        <f>SUMIFS($D57:$BD57,$D$21:$BD$21,"&lt;="&amp;WeekSuppliedUntil,$D$21:$BD$21,"&gt;="&amp;Start_week_for_forecasting)</f>
        <v>2022.7420403564824</v>
      </c>
      <c r="BG57"/>
      <c r="BH57"/>
      <c r="BI57"/>
      <c r="BJ57"/>
      <c r="BK57"/>
      <c r="BL57"/>
      <c r="BM57"/>
      <c r="BN57"/>
      <c r="BO57"/>
      <c r="BP57"/>
      <c r="BQ57"/>
      <c r="BR57"/>
    </row>
    <row r="58" spans="3:70" ht="15.75" thickBot="1" x14ac:dyDescent="0.3">
      <c r="C58" s="6" t="s">
        <v>259</v>
      </c>
      <c r="D58" s="146">
        <f>IFERROR(IF(D56="","",SUM(D56:D57)),"")</f>
        <v>4.4000000000000004</v>
      </c>
      <c r="E58" s="146">
        <f t="shared" ref="E58:BD58" si="90">IFERROR(IF(E56="","",SUM(E56:E57)),"")</f>
        <v>10.399776908465375</v>
      </c>
      <c r="F58" s="146">
        <f t="shared" si="90"/>
        <v>34.980540487067572</v>
      </c>
      <c r="G58" s="146">
        <f t="shared" si="90"/>
        <v>117.66004439685018</v>
      </c>
      <c r="H58" s="146">
        <f t="shared" si="90"/>
        <v>395.75963820761689</v>
      </c>
      <c r="I58" s="146">
        <f t="shared" si="90"/>
        <v>1331.1714442835669</v>
      </c>
      <c r="J58" s="146">
        <f t="shared" si="90"/>
        <v>997.26340879494489</v>
      </c>
      <c r="K58" s="146">
        <f t="shared" si="90"/>
        <v>3354.3809020774734</v>
      </c>
      <c r="L58" s="146">
        <f t="shared" si="90"/>
        <v>11282.747503809878</v>
      </c>
      <c r="M58" s="146">
        <f t="shared" si="90"/>
        <v>37950.487720666046</v>
      </c>
      <c r="N58" s="146">
        <f t="shared" si="90"/>
        <v>127649.71632575273</v>
      </c>
      <c r="O58" s="146">
        <f t="shared" si="90"/>
        <v>429360.75546591711</v>
      </c>
      <c r="P58" s="146">
        <f t="shared" si="90"/>
        <v>1444191.6804876642</v>
      </c>
      <c r="Q58" s="146">
        <f t="shared" si="90"/>
        <v>4857662.4282452576</v>
      </c>
      <c r="R58" s="146">
        <f t="shared" si="90"/>
        <v>1681924.611754742</v>
      </c>
      <c r="S58" s="146" t="str">
        <f t="shared" si="90"/>
        <v/>
      </c>
      <c r="T58" s="146" t="str">
        <f t="shared" si="90"/>
        <v/>
      </c>
      <c r="U58" s="146" t="str">
        <f t="shared" si="90"/>
        <v/>
      </c>
      <c r="V58" s="146" t="str">
        <f t="shared" si="90"/>
        <v/>
      </c>
      <c r="W58" s="146" t="str">
        <f t="shared" si="90"/>
        <v/>
      </c>
      <c r="X58" s="146" t="str">
        <f t="shared" si="90"/>
        <v/>
      </c>
      <c r="Y58" s="146" t="str">
        <f t="shared" si="90"/>
        <v/>
      </c>
      <c r="Z58" s="146" t="str">
        <f t="shared" si="90"/>
        <v/>
      </c>
      <c r="AA58" s="146" t="str">
        <f t="shared" si="90"/>
        <v/>
      </c>
      <c r="AB58" s="146" t="str">
        <f t="shared" si="90"/>
        <v/>
      </c>
      <c r="AC58" s="146" t="str">
        <f t="shared" si="90"/>
        <v/>
      </c>
      <c r="AD58" s="146" t="str">
        <f t="shared" si="90"/>
        <v/>
      </c>
      <c r="AE58" s="146" t="str">
        <f t="shared" si="90"/>
        <v/>
      </c>
      <c r="AF58" s="146" t="str">
        <f t="shared" si="90"/>
        <v/>
      </c>
      <c r="AG58" s="146" t="str">
        <f t="shared" si="90"/>
        <v/>
      </c>
      <c r="AH58" s="146" t="str">
        <f t="shared" si="90"/>
        <v/>
      </c>
      <c r="AI58" s="146" t="str">
        <f t="shared" si="90"/>
        <v/>
      </c>
      <c r="AJ58" s="146" t="str">
        <f t="shared" si="90"/>
        <v/>
      </c>
      <c r="AK58" s="146" t="str">
        <f t="shared" si="90"/>
        <v/>
      </c>
      <c r="AL58" s="146" t="str">
        <f t="shared" si="90"/>
        <v/>
      </c>
      <c r="AM58" s="146" t="str">
        <f t="shared" si="90"/>
        <v/>
      </c>
      <c r="AN58" s="146" t="str">
        <f t="shared" si="90"/>
        <v/>
      </c>
      <c r="AO58" s="146" t="str">
        <f t="shared" si="90"/>
        <v/>
      </c>
      <c r="AP58" s="146" t="str">
        <f t="shared" si="90"/>
        <v/>
      </c>
      <c r="AQ58" s="146" t="str">
        <f t="shared" si="90"/>
        <v/>
      </c>
      <c r="AR58" s="146" t="str">
        <f t="shared" si="90"/>
        <v/>
      </c>
      <c r="AS58" s="146" t="str">
        <f t="shared" si="90"/>
        <v/>
      </c>
      <c r="AT58" s="146" t="str">
        <f t="shared" si="90"/>
        <v/>
      </c>
      <c r="AU58" s="146" t="str">
        <f t="shared" si="90"/>
        <v/>
      </c>
      <c r="AV58" s="146" t="str">
        <f t="shared" si="90"/>
        <v/>
      </c>
      <c r="AW58" s="146" t="str">
        <f t="shared" si="90"/>
        <v/>
      </c>
      <c r="AX58" s="146" t="str">
        <f t="shared" si="90"/>
        <v/>
      </c>
      <c r="AY58" s="146" t="str">
        <f t="shared" si="90"/>
        <v/>
      </c>
      <c r="AZ58" s="146" t="str">
        <f t="shared" si="90"/>
        <v/>
      </c>
      <c r="BA58" s="146" t="str">
        <f t="shared" si="90"/>
        <v/>
      </c>
      <c r="BB58" s="146" t="str">
        <f t="shared" si="90"/>
        <v/>
      </c>
      <c r="BC58" s="146" t="str">
        <f t="shared" si="90"/>
        <v/>
      </c>
      <c r="BD58" s="146" t="str">
        <f t="shared" si="90"/>
        <v/>
      </c>
      <c r="BE58"/>
      <c r="BF58" s="137">
        <f>SUMIFS($D58:$BD58,$D$21:$BD$21,"&lt;="&amp;WeekSuppliedUntil,$D$21:$BD$21,"&gt;="&amp;Start_week_for_forecasting)</f>
        <v>2891.6348530785117</v>
      </c>
      <c r="BG58"/>
      <c r="BH58" s="39">
        <f>IF(Start_week_for_forecasting+'User Dashboard'!$I$19='Patient Calc Assumptions'!$C$50,MAX($D58:$BD58),INDEX($D58:$BD58,MATCH(WeekSuppliedUntil,'Patient &amp; Case Type Summary'!$D$21:$BD$21,0)))</f>
        <v>997.26340879494489</v>
      </c>
      <c r="BI58"/>
      <c r="BJ58"/>
      <c r="BK58"/>
      <c r="BL58"/>
      <c r="BM58"/>
      <c r="BN58"/>
      <c r="BO58"/>
      <c r="BP58"/>
      <c r="BQ58"/>
      <c r="BR58"/>
    </row>
    <row r="59" spans="3:70" s="8" customFormat="1" x14ac:dyDescent="0.25">
      <c r="C59" s="3"/>
    </row>
    <row r="60" spans="3:70" x14ac:dyDescent="0.25">
      <c r="C60" s="4" t="s">
        <v>820</v>
      </c>
      <c r="D60" s="38">
        <f t="shared" ref="D60:AI60" si="91">IFERROR(IF(TestingStrategy="All Suspected Cases",IF((D53/7)&lt;=MaxTestsPerDay,D53,MaxTestsPerDay*7),IF((D58/7)&lt;=MaxTestsPerDay,D58,MaxTestsPerDay*7)),"")</f>
        <v>4.4000000000000004</v>
      </c>
      <c r="E60" s="38">
        <f t="shared" si="91"/>
        <v>10.399776908465375</v>
      </c>
      <c r="F60" s="38">
        <f t="shared" si="91"/>
        <v>34.980540487067572</v>
      </c>
      <c r="G60" s="38">
        <f t="shared" si="91"/>
        <v>117.66004439685018</v>
      </c>
      <c r="H60" s="38">
        <f t="shared" si="91"/>
        <v>395.75963820761689</v>
      </c>
      <c r="I60" s="38">
        <f t="shared" si="91"/>
        <v>1331.1714442835669</v>
      </c>
      <c r="J60" s="38">
        <f t="shared" si="91"/>
        <v>997.26340879494489</v>
      </c>
      <c r="K60" s="38">
        <f t="shared" si="91"/>
        <v>3354.3809020774734</v>
      </c>
      <c r="L60" s="38">
        <f t="shared" si="91"/>
        <v>11282.747503809878</v>
      </c>
      <c r="M60" s="38">
        <f t="shared" si="91"/>
        <v>37950.487720666046</v>
      </c>
      <c r="N60" s="38">
        <f t="shared" si="91"/>
        <v>127649.71632575273</v>
      </c>
      <c r="O60" s="38">
        <f t="shared" si="91"/>
        <v>429360.75546591711</v>
      </c>
      <c r="P60" s="38">
        <f t="shared" si="91"/>
        <v>1444191.6804876642</v>
      </c>
      <c r="Q60" s="38">
        <f t="shared" si="91"/>
        <v>4857662.4282452576</v>
      </c>
      <c r="R60" s="38">
        <f t="shared" si="91"/>
        <v>1681924.611754742</v>
      </c>
      <c r="S60" s="38" t="str">
        <f t="shared" si="91"/>
        <v/>
      </c>
      <c r="T60" s="38" t="str">
        <f t="shared" si="91"/>
        <v/>
      </c>
      <c r="U60" s="38" t="str">
        <f t="shared" si="91"/>
        <v/>
      </c>
      <c r="V60" s="38" t="str">
        <f t="shared" si="91"/>
        <v/>
      </c>
      <c r="W60" s="38" t="str">
        <f t="shared" si="91"/>
        <v/>
      </c>
      <c r="X60" s="38" t="str">
        <f t="shared" si="91"/>
        <v/>
      </c>
      <c r="Y60" s="38" t="str">
        <f t="shared" si="91"/>
        <v/>
      </c>
      <c r="Z60" s="38" t="str">
        <f t="shared" si="91"/>
        <v/>
      </c>
      <c r="AA60" s="38" t="str">
        <f t="shared" si="91"/>
        <v/>
      </c>
      <c r="AB60" s="38" t="str">
        <f t="shared" si="91"/>
        <v/>
      </c>
      <c r="AC60" s="38" t="str">
        <f t="shared" si="91"/>
        <v/>
      </c>
      <c r="AD60" s="38" t="str">
        <f t="shared" si="91"/>
        <v/>
      </c>
      <c r="AE60" s="38" t="str">
        <f t="shared" si="91"/>
        <v/>
      </c>
      <c r="AF60" s="38" t="str">
        <f t="shared" si="91"/>
        <v/>
      </c>
      <c r="AG60" s="38" t="str">
        <f t="shared" si="91"/>
        <v/>
      </c>
      <c r="AH60" s="38" t="str">
        <f t="shared" si="91"/>
        <v/>
      </c>
      <c r="AI60" s="38" t="str">
        <f t="shared" si="91"/>
        <v/>
      </c>
      <c r="AJ60" s="38" t="str">
        <f t="shared" ref="AJ60:BD60" si="92">IFERROR(IF(TestingStrategy="All Suspected Cases",IF((AJ53/7)&lt;=MaxTestsPerDay,AJ53,MaxTestsPerDay*7),IF((AJ58/7)&lt;=MaxTestsPerDay,AJ58,MaxTestsPerDay*7)),"")</f>
        <v/>
      </c>
      <c r="AK60" s="38" t="str">
        <f t="shared" si="92"/>
        <v/>
      </c>
      <c r="AL60" s="38" t="str">
        <f t="shared" si="92"/>
        <v/>
      </c>
      <c r="AM60" s="38" t="str">
        <f t="shared" si="92"/>
        <v/>
      </c>
      <c r="AN60" s="38" t="str">
        <f t="shared" si="92"/>
        <v/>
      </c>
      <c r="AO60" s="38" t="str">
        <f t="shared" si="92"/>
        <v/>
      </c>
      <c r="AP60" s="38" t="str">
        <f t="shared" si="92"/>
        <v/>
      </c>
      <c r="AQ60" s="38" t="str">
        <f t="shared" si="92"/>
        <v/>
      </c>
      <c r="AR60" s="38" t="str">
        <f t="shared" si="92"/>
        <v/>
      </c>
      <c r="AS60" s="38" t="str">
        <f t="shared" si="92"/>
        <v/>
      </c>
      <c r="AT60" s="38" t="str">
        <f t="shared" si="92"/>
        <v/>
      </c>
      <c r="AU60" s="38" t="str">
        <f t="shared" si="92"/>
        <v/>
      </c>
      <c r="AV60" s="38" t="str">
        <f t="shared" si="92"/>
        <v/>
      </c>
      <c r="AW60" s="38" t="str">
        <f t="shared" si="92"/>
        <v/>
      </c>
      <c r="AX60" s="38" t="str">
        <f t="shared" si="92"/>
        <v/>
      </c>
      <c r="AY60" s="38" t="str">
        <f t="shared" si="92"/>
        <v/>
      </c>
      <c r="AZ60" s="38" t="str">
        <f t="shared" si="92"/>
        <v/>
      </c>
      <c r="BA60" s="38" t="str">
        <f t="shared" si="92"/>
        <v/>
      </c>
      <c r="BB60" s="38" t="str">
        <f t="shared" si="92"/>
        <v/>
      </c>
      <c r="BC60" s="38" t="str">
        <f t="shared" si="92"/>
        <v/>
      </c>
      <c r="BD60" s="38" t="str">
        <f t="shared" si="92"/>
        <v/>
      </c>
      <c r="BE60"/>
      <c r="BF60" s="28" t="s">
        <v>847</v>
      </c>
      <c r="BG60" s="8"/>
      <c r="BH60"/>
      <c r="BI60"/>
      <c r="BJ60"/>
      <c r="BK60"/>
      <c r="BL60"/>
      <c r="BM60"/>
      <c r="BN60"/>
      <c r="BO60"/>
      <c r="BP60"/>
      <c r="BQ60"/>
      <c r="BR60"/>
    </row>
    <row r="61" spans="3:70" x14ac:dyDescent="0.25">
      <c r="C61" s="130" t="s">
        <v>829</v>
      </c>
      <c r="D61" s="38">
        <f>IFERROR(IF(TestingStrategy="All Suspected Cases",IF((D51/7)&lt;=MaxTestsPerDay,D51,MaxTestsPerDay*7),IF((D56/7)&lt;=MaxTestsPerDay,D56,MaxTestsPerDay*7)),"")</f>
        <v>0.60000000000000009</v>
      </c>
      <c r="E61" s="38">
        <f t="shared" ref="E61:AI61" si="93">IFERROR(IF(TestingStrategy="All Suspected Cases",IF((E51/7)&lt;=MaxTestsPerDay,E51,MaxTestsPerDay*7),IF((E56/7)&lt;=MaxTestsPerDay,E56,MaxTestsPerDay*7)),"")</f>
        <v>1.418151396608915</v>
      </c>
      <c r="F61" s="38">
        <f t="shared" si="93"/>
        <v>4.7700737027819411</v>
      </c>
      <c r="G61" s="38">
        <f t="shared" si="93"/>
        <v>16.044551508661389</v>
      </c>
      <c r="H61" s="38">
        <f t="shared" si="93"/>
        <v>53.967223391947755</v>
      </c>
      <c r="I61" s="38">
        <f t="shared" si="93"/>
        <v>181.52337876594095</v>
      </c>
      <c r="J61" s="38">
        <f t="shared" si="93"/>
        <v>610.56943395608869</v>
      </c>
      <c r="K61" s="38">
        <f t="shared" si="93"/>
        <v>2053.7025931086569</v>
      </c>
      <c r="L61" s="38">
        <f t="shared" si="93"/>
        <v>6907.8045941693126</v>
      </c>
      <c r="M61" s="38">
        <f t="shared" si="93"/>
        <v>23234.992482040434</v>
      </c>
      <c r="N61" s="38">
        <f t="shared" si="93"/>
        <v>78152.887546379221</v>
      </c>
      <c r="O61" s="38">
        <f t="shared" si="93"/>
        <v>262873.93191790843</v>
      </c>
      <c r="P61" s="38">
        <f t="shared" si="93"/>
        <v>884198.9880536719</v>
      </c>
      <c r="Q61" s="38">
        <f t="shared" si="93"/>
        <v>2974079.0377011783</v>
      </c>
      <c r="R61" s="38">
        <f t="shared" si="93"/>
        <v>1029749.7622988216</v>
      </c>
      <c r="S61" s="38" t="str">
        <f t="shared" si="93"/>
        <v/>
      </c>
      <c r="T61" s="38" t="str">
        <f t="shared" si="93"/>
        <v/>
      </c>
      <c r="U61" s="38" t="str">
        <f t="shared" si="93"/>
        <v/>
      </c>
      <c r="V61" s="38" t="str">
        <f t="shared" si="93"/>
        <v/>
      </c>
      <c r="W61" s="38" t="str">
        <f t="shared" si="93"/>
        <v/>
      </c>
      <c r="X61" s="38" t="str">
        <f t="shared" si="93"/>
        <v/>
      </c>
      <c r="Y61" s="38" t="str">
        <f t="shared" si="93"/>
        <v/>
      </c>
      <c r="Z61" s="38" t="str">
        <f t="shared" si="93"/>
        <v/>
      </c>
      <c r="AA61" s="38" t="str">
        <f t="shared" si="93"/>
        <v/>
      </c>
      <c r="AB61" s="38" t="str">
        <f t="shared" si="93"/>
        <v/>
      </c>
      <c r="AC61" s="38" t="str">
        <f t="shared" si="93"/>
        <v/>
      </c>
      <c r="AD61" s="38" t="str">
        <f t="shared" si="93"/>
        <v/>
      </c>
      <c r="AE61" s="38" t="str">
        <f t="shared" si="93"/>
        <v/>
      </c>
      <c r="AF61" s="38" t="str">
        <f t="shared" si="93"/>
        <v/>
      </c>
      <c r="AG61" s="38" t="str">
        <f t="shared" si="93"/>
        <v/>
      </c>
      <c r="AH61" s="38" t="str">
        <f t="shared" si="93"/>
        <v/>
      </c>
      <c r="AI61" s="38" t="str">
        <f t="shared" si="93"/>
        <v/>
      </c>
      <c r="AJ61" s="38" t="str">
        <f t="shared" ref="AJ61:BD61" si="94">IFERROR(IF(TestingStrategy="All Suspected Cases",IF((AJ51/7)&lt;=MaxTestsPerDay,AJ51,MaxTestsPerDay*7),IF((AJ56/7)&lt;=MaxTestsPerDay,AJ56,MaxTestsPerDay*7)),"")</f>
        <v/>
      </c>
      <c r="AK61" s="38" t="str">
        <f t="shared" si="94"/>
        <v/>
      </c>
      <c r="AL61" s="38" t="str">
        <f t="shared" si="94"/>
        <v/>
      </c>
      <c r="AM61" s="38" t="str">
        <f t="shared" si="94"/>
        <v/>
      </c>
      <c r="AN61" s="38" t="str">
        <f t="shared" si="94"/>
        <v/>
      </c>
      <c r="AO61" s="38" t="str">
        <f t="shared" si="94"/>
        <v/>
      </c>
      <c r="AP61" s="38" t="str">
        <f t="shared" si="94"/>
        <v/>
      </c>
      <c r="AQ61" s="38" t="str">
        <f t="shared" si="94"/>
        <v/>
      </c>
      <c r="AR61" s="38" t="str">
        <f t="shared" si="94"/>
        <v/>
      </c>
      <c r="AS61" s="38" t="str">
        <f t="shared" si="94"/>
        <v/>
      </c>
      <c r="AT61" s="38" t="str">
        <f t="shared" si="94"/>
        <v/>
      </c>
      <c r="AU61" s="38" t="str">
        <f t="shared" si="94"/>
        <v/>
      </c>
      <c r="AV61" s="38" t="str">
        <f t="shared" si="94"/>
        <v/>
      </c>
      <c r="AW61" s="38" t="str">
        <f t="shared" si="94"/>
        <v/>
      </c>
      <c r="AX61" s="38" t="str">
        <f t="shared" si="94"/>
        <v/>
      </c>
      <c r="AY61" s="38" t="str">
        <f t="shared" si="94"/>
        <v/>
      </c>
      <c r="AZ61" s="38" t="str">
        <f t="shared" si="94"/>
        <v/>
      </c>
      <c r="BA61" s="38" t="str">
        <f t="shared" si="94"/>
        <v/>
      </c>
      <c r="BB61" s="38" t="str">
        <f t="shared" si="94"/>
        <v/>
      </c>
      <c r="BC61" s="38" t="str">
        <f t="shared" si="94"/>
        <v/>
      </c>
      <c r="BD61" s="38" t="str">
        <f t="shared" si="94"/>
        <v/>
      </c>
      <c r="BE61"/>
      <c r="BF61" s="136">
        <f>SUMIFS($D61:$BD61,$D$21:$BD$21,"&lt;="&amp;WeekSuppliedUntil,$D$21:$BD$21,"&gt;="&amp;Start_week_for_forecasting)</f>
        <v>868.8928127220297</v>
      </c>
      <c r="BG61" s="8"/>
      <c r="BH61"/>
      <c r="BI61"/>
      <c r="BJ61"/>
      <c r="BK61"/>
      <c r="BL61"/>
      <c r="BM61"/>
      <c r="BN61"/>
      <c r="BO61"/>
      <c r="BP61"/>
      <c r="BQ61"/>
      <c r="BR61"/>
    </row>
    <row r="62" spans="3:70" x14ac:dyDescent="0.25">
      <c r="C62" s="130" t="s">
        <v>830</v>
      </c>
      <c r="D62" s="38">
        <f>IFERROR(IF(TestingStrategy="All Suspected Cases",IF((D52/7)&lt;=MaxTestsPerDay,D52,MaxTestsPerDay*7),IF((D57/7)&lt;=MaxTestsPerDay,D57,MaxTestsPerDay*7)),"")</f>
        <v>3.8</v>
      </c>
      <c r="E62" s="38">
        <f t="shared" ref="E62:AI62" si="95">IFERROR(IF(TestingStrategy="All Suspected Cases",IF((E52/7)&lt;=MaxTestsPerDay,E52,MaxTestsPerDay*7),IF((E57/7)&lt;=MaxTestsPerDay,E57,MaxTestsPerDay*7)),"")</f>
        <v>8.9816255118564605</v>
      </c>
      <c r="F62" s="38">
        <f t="shared" si="95"/>
        <v>30.210466784285629</v>
      </c>
      <c r="G62" s="38">
        <f t="shared" si="95"/>
        <v>101.6154928881888</v>
      </c>
      <c r="H62" s="38">
        <f t="shared" si="95"/>
        <v>341.79241481566913</v>
      </c>
      <c r="I62" s="38">
        <f>IFERROR(IF(TestingStrategy="All Suspected Cases",IF((I52/7)&lt;=MaxTestsPerDay,I52,MaxTestsPerDay*7),IF((I57/7)&lt;=MaxTestsPerDay,I57,MaxTestsPerDay*7)),"")</f>
        <v>1149.648065517626</v>
      </c>
      <c r="J62" s="38">
        <f>IFERROR(IF(TestingStrategy="All Suspected Cases",IF((J52/7)&lt;=MaxTestsPerDay,J52,MaxTestsPerDay*7),IF((J57/7)&lt;=MaxTestsPerDay,J57,MaxTestsPerDay*7)),"")</f>
        <v>386.69397483885621</v>
      </c>
      <c r="K62" s="38">
        <f t="shared" si="95"/>
        <v>1300.6783089688163</v>
      </c>
      <c r="L62" s="38">
        <f t="shared" si="95"/>
        <v>4374.9429096405647</v>
      </c>
      <c r="M62" s="38">
        <f t="shared" si="95"/>
        <v>14715.495238625608</v>
      </c>
      <c r="N62" s="38">
        <f t="shared" si="95"/>
        <v>49496.828779373507</v>
      </c>
      <c r="O62" s="38">
        <f t="shared" si="95"/>
        <v>166486.82354800869</v>
      </c>
      <c r="P62" s="38">
        <f t="shared" si="95"/>
        <v>559992.69243399228</v>
      </c>
      <c r="Q62" s="38">
        <f t="shared" si="95"/>
        <v>1883583.3905440797</v>
      </c>
      <c r="R62" s="38">
        <f t="shared" si="95"/>
        <v>652174.84945592051</v>
      </c>
      <c r="S62" s="38" t="str">
        <f t="shared" si="95"/>
        <v/>
      </c>
      <c r="T62" s="38" t="str">
        <f t="shared" si="95"/>
        <v/>
      </c>
      <c r="U62" s="38" t="str">
        <f t="shared" si="95"/>
        <v/>
      </c>
      <c r="V62" s="38" t="str">
        <f t="shared" si="95"/>
        <v/>
      </c>
      <c r="W62" s="38" t="str">
        <f t="shared" si="95"/>
        <v/>
      </c>
      <c r="X62" s="38" t="str">
        <f t="shared" si="95"/>
        <v/>
      </c>
      <c r="Y62" s="38" t="str">
        <f t="shared" si="95"/>
        <v/>
      </c>
      <c r="Z62" s="38" t="str">
        <f t="shared" si="95"/>
        <v/>
      </c>
      <c r="AA62" s="38" t="str">
        <f t="shared" si="95"/>
        <v/>
      </c>
      <c r="AB62" s="38" t="str">
        <f t="shared" si="95"/>
        <v/>
      </c>
      <c r="AC62" s="38" t="str">
        <f t="shared" si="95"/>
        <v/>
      </c>
      <c r="AD62" s="38" t="str">
        <f t="shared" si="95"/>
        <v/>
      </c>
      <c r="AE62" s="38" t="str">
        <f t="shared" si="95"/>
        <v/>
      </c>
      <c r="AF62" s="38" t="str">
        <f t="shared" si="95"/>
        <v/>
      </c>
      <c r="AG62" s="38" t="str">
        <f t="shared" si="95"/>
        <v/>
      </c>
      <c r="AH62" s="38" t="str">
        <f t="shared" si="95"/>
        <v/>
      </c>
      <c r="AI62" s="38" t="str">
        <f t="shared" si="95"/>
        <v/>
      </c>
      <c r="AJ62" s="38" t="str">
        <f t="shared" ref="AJ62:BD62" si="96">IFERROR(IF(TestingStrategy="All Suspected Cases",IF((AJ52/7)&lt;=MaxTestsPerDay,AJ52,MaxTestsPerDay*7),IF((AJ57/7)&lt;=MaxTestsPerDay,AJ57,MaxTestsPerDay*7)),"")</f>
        <v/>
      </c>
      <c r="AK62" s="38" t="str">
        <f t="shared" si="96"/>
        <v/>
      </c>
      <c r="AL62" s="38" t="str">
        <f t="shared" si="96"/>
        <v/>
      </c>
      <c r="AM62" s="38" t="str">
        <f t="shared" si="96"/>
        <v/>
      </c>
      <c r="AN62" s="38" t="str">
        <f t="shared" si="96"/>
        <v/>
      </c>
      <c r="AO62" s="38" t="str">
        <f t="shared" si="96"/>
        <v/>
      </c>
      <c r="AP62" s="38" t="str">
        <f t="shared" si="96"/>
        <v/>
      </c>
      <c r="AQ62" s="38" t="str">
        <f t="shared" si="96"/>
        <v/>
      </c>
      <c r="AR62" s="38" t="str">
        <f t="shared" si="96"/>
        <v/>
      </c>
      <c r="AS62" s="38" t="str">
        <f t="shared" si="96"/>
        <v/>
      </c>
      <c r="AT62" s="38" t="str">
        <f t="shared" si="96"/>
        <v/>
      </c>
      <c r="AU62" s="38" t="str">
        <f t="shared" si="96"/>
        <v/>
      </c>
      <c r="AV62" s="38" t="str">
        <f t="shared" si="96"/>
        <v/>
      </c>
      <c r="AW62" s="38" t="str">
        <f t="shared" si="96"/>
        <v/>
      </c>
      <c r="AX62" s="38" t="str">
        <f t="shared" si="96"/>
        <v/>
      </c>
      <c r="AY62" s="38" t="str">
        <f t="shared" si="96"/>
        <v/>
      </c>
      <c r="AZ62" s="38" t="str">
        <f t="shared" si="96"/>
        <v/>
      </c>
      <c r="BA62" s="38" t="str">
        <f t="shared" si="96"/>
        <v/>
      </c>
      <c r="BB62" s="38" t="str">
        <f t="shared" si="96"/>
        <v/>
      </c>
      <c r="BC62" s="38" t="str">
        <f t="shared" si="96"/>
        <v/>
      </c>
      <c r="BD62" s="38" t="str">
        <f t="shared" si="96"/>
        <v/>
      </c>
      <c r="BE62"/>
      <c r="BF62" s="136">
        <f>SUMIFS($D62:$BD62,$D$21:$BD$21,"&lt;="&amp;WeekSuppliedUntil,$D$21:$BD$21,"&gt;="&amp;Start_week_for_forecasting)</f>
        <v>2022.7420403564824</v>
      </c>
      <c r="BG62" s="621"/>
      <c r="BH62"/>
      <c r="BI62"/>
      <c r="BJ62"/>
      <c r="BK62"/>
      <c r="BL62"/>
      <c r="BM62"/>
      <c r="BN62"/>
      <c r="BO62"/>
      <c r="BP62"/>
      <c r="BQ62"/>
      <c r="BR62"/>
    </row>
    <row r="63" spans="3:70" x14ac:dyDescent="0.25">
      <c r="C63" s="168" t="s">
        <v>831</v>
      </c>
      <c r="D63" s="183">
        <f t="shared" ref="D63:AI63" si="97">IFERROR(IF(TestingStrategy="All suspected cases",D$23,D62*((MildCasePercentage/1)/SuspectedCaseMultiplier)),"")</f>
        <v>1.0133333333333332</v>
      </c>
      <c r="E63" s="183">
        <f t="shared" si="97"/>
        <v>2.3951001364950559</v>
      </c>
      <c r="F63" s="183">
        <f t="shared" si="97"/>
        <v>8.0561244758095008</v>
      </c>
      <c r="G63" s="183">
        <f t="shared" si="97"/>
        <v>27.097464770183677</v>
      </c>
      <c r="H63" s="183">
        <f t="shared" si="97"/>
        <v>91.144643950845108</v>
      </c>
      <c r="I63" s="183">
        <f t="shared" si="97"/>
        <v>306.57281747136693</v>
      </c>
      <c r="J63" s="183">
        <f t="shared" si="97"/>
        <v>103.11839329036165</v>
      </c>
      <c r="K63" s="183">
        <f t="shared" si="97"/>
        <v>346.84754905835098</v>
      </c>
      <c r="L63" s="183">
        <f t="shared" si="97"/>
        <v>1166.6514425708172</v>
      </c>
      <c r="M63" s="183">
        <f t="shared" si="97"/>
        <v>3924.1320636334954</v>
      </c>
      <c r="N63" s="183">
        <f t="shared" si="97"/>
        <v>13199.154341166268</v>
      </c>
      <c r="O63" s="183">
        <f t="shared" si="97"/>
        <v>44396.486279468983</v>
      </c>
      <c r="P63" s="183">
        <f t="shared" si="97"/>
        <v>149331.3846490646</v>
      </c>
      <c r="Q63" s="183">
        <f t="shared" si="97"/>
        <v>502288.90414508793</v>
      </c>
      <c r="R63" s="183">
        <f t="shared" si="97"/>
        <v>173913.29318824547</v>
      </c>
      <c r="S63" s="183" t="str">
        <f t="shared" si="97"/>
        <v/>
      </c>
      <c r="T63" s="183" t="str">
        <f t="shared" si="97"/>
        <v/>
      </c>
      <c r="U63" s="183" t="str">
        <f t="shared" si="97"/>
        <v/>
      </c>
      <c r="V63" s="183" t="str">
        <f t="shared" si="97"/>
        <v/>
      </c>
      <c r="W63" s="183" t="str">
        <f t="shared" si="97"/>
        <v/>
      </c>
      <c r="X63" s="183" t="str">
        <f t="shared" si="97"/>
        <v/>
      </c>
      <c r="Y63" s="183" t="str">
        <f t="shared" si="97"/>
        <v/>
      </c>
      <c r="Z63" s="183" t="str">
        <f t="shared" si="97"/>
        <v/>
      </c>
      <c r="AA63" s="183" t="str">
        <f t="shared" si="97"/>
        <v/>
      </c>
      <c r="AB63" s="183" t="str">
        <f t="shared" si="97"/>
        <v/>
      </c>
      <c r="AC63" s="183" t="str">
        <f t="shared" si="97"/>
        <v/>
      </c>
      <c r="AD63" s="183" t="str">
        <f t="shared" si="97"/>
        <v/>
      </c>
      <c r="AE63" s="183" t="str">
        <f t="shared" si="97"/>
        <v/>
      </c>
      <c r="AF63" s="183" t="str">
        <f t="shared" si="97"/>
        <v/>
      </c>
      <c r="AG63" s="183" t="str">
        <f t="shared" si="97"/>
        <v/>
      </c>
      <c r="AH63" s="183" t="str">
        <f t="shared" si="97"/>
        <v/>
      </c>
      <c r="AI63" s="183" t="str">
        <f t="shared" si="97"/>
        <v/>
      </c>
      <c r="AJ63" s="183" t="str">
        <f t="shared" ref="AJ63:BD63" si="98">IFERROR(IF(TestingStrategy="All suspected cases",AJ$23,AJ62*((MildCasePercentage/1)/SuspectedCaseMultiplier)),"")</f>
        <v/>
      </c>
      <c r="AK63" s="183" t="str">
        <f t="shared" si="98"/>
        <v/>
      </c>
      <c r="AL63" s="183" t="str">
        <f t="shared" si="98"/>
        <v/>
      </c>
      <c r="AM63" s="183" t="str">
        <f t="shared" si="98"/>
        <v/>
      </c>
      <c r="AN63" s="183" t="str">
        <f t="shared" si="98"/>
        <v/>
      </c>
      <c r="AO63" s="183" t="str">
        <f t="shared" si="98"/>
        <v/>
      </c>
      <c r="AP63" s="183" t="str">
        <f t="shared" si="98"/>
        <v/>
      </c>
      <c r="AQ63" s="183" t="str">
        <f t="shared" si="98"/>
        <v/>
      </c>
      <c r="AR63" s="183" t="str">
        <f t="shared" si="98"/>
        <v/>
      </c>
      <c r="AS63" s="183" t="str">
        <f t="shared" si="98"/>
        <v/>
      </c>
      <c r="AT63" s="183" t="str">
        <f t="shared" si="98"/>
        <v/>
      </c>
      <c r="AU63" s="183" t="str">
        <f t="shared" si="98"/>
        <v/>
      </c>
      <c r="AV63" s="183" t="str">
        <f t="shared" si="98"/>
        <v/>
      </c>
      <c r="AW63" s="183" t="str">
        <f t="shared" si="98"/>
        <v/>
      </c>
      <c r="AX63" s="183" t="str">
        <f t="shared" si="98"/>
        <v/>
      </c>
      <c r="AY63" s="183" t="str">
        <f t="shared" si="98"/>
        <v/>
      </c>
      <c r="AZ63" s="183" t="str">
        <f t="shared" si="98"/>
        <v/>
      </c>
      <c r="BA63" s="183" t="str">
        <f t="shared" si="98"/>
        <v/>
      </c>
      <c r="BB63" s="183" t="str">
        <f t="shared" si="98"/>
        <v/>
      </c>
      <c r="BC63" s="183" t="str">
        <f t="shared" si="98"/>
        <v/>
      </c>
      <c r="BD63" s="183" t="str">
        <f t="shared" si="98"/>
        <v/>
      </c>
      <c r="BE63"/>
      <c r="BF63" s="137">
        <f>SUMIFS($D63:$BD63,$D$21:$BD$21,"&lt;="&amp;WeekSuppliedUntil,$D$21:$BD$21,"&gt;="&amp;Start_week_for_forecasting)</f>
        <v>539.39787742839519</v>
      </c>
      <c r="BG63" s="621"/>
      <c r="BH63"/>
      <c r="BI63"/>
      <c r="BJ63"/>
      <c r="BK63"/>
      <c r="BL63"/>
      <c r="BM63"/>
      <c r="BN63"/>
      <c r="BO63"/>
      <c r="BP63"/>
      <c r="BQ63"/>
      <c r="BR63"/>
    </row>
    <row r="64" spans="3:70" x14ac:dyDescent="0.25">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A64" s="79"/>
      <c r="BB64" s="79"/>
      <c r="BC64" s="79"/>
      <c r="BD64" s="79"/>
      <c r="BE64" s="79"/>
      <c r="BF64" s="79"/>
      <c r="BG64" s="79"/>
      <c r="BH64" s="79"/>
      <c r="BI64" s="79"/>
      <c r="BJ64" s="79"/>
      <c r="BK64" s="79"/>
      <c r="BL64" s="79"/>
      <c r="BM64" s="79"/>
      <c r="BN64" s="79"/>
      <c r="BO64" s="79"/>
      <c r="BP64" s="79"/>
      <c r="BQ64" s="79"/>
      <c r="BR64" s="79"/>
    </row>
    <row r="65" spans="3:15" x14ac:dyDescent="0.25">
      <c r="C65" s="8"/>
      <c r="D65" s="651"/>
      <c r="E65" s="79"/>
      <c r="F65" s="79"/>
      <c r="G65" s="79"/>
      <c r="H65" s="79"/>
      <c r="I65" s="79"/>
      <c r="J65" s="79"/>
      <c r="K65" s="79"/>
      <c r="L65" s="79"/>
      <c r="M65" s="79"/>
      <c r="N65" s="79"/>
      <c r="O65" s="79"/>
    </row>
    <row r="67" spans="3:15" x14ac:dyDescent="0.25">
      <c r="D67" s="652"/>
      <c r="E67" s="652"/>
    </row>
  </sheetData>
  <sheetProtection algorithmName="SHA-512" hashValue="JZgvCIv22TxFuJSj4yryOHpeU8YWX4nszlzCuNtBGXiihiWz9ao6uGPK2vLdHAQmGJysQedAg/pW2glA3mRVEg==" saltValue="50XjsFlu72ynGmaKvCSeTQ==" spinCount="100000" sheet="1" objects="1" scenarios="1"/>
  <mergeCells count="3">
    <mergeCell ref="D19:P19"/>
    <mergeCell ref="D20:BD20"/>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t H s 8 U B q V 7 F m n A A A A + Q A A A B I A H A B D b 2 5 m a W c v U G F j a 2 F n Z S 5 4 b W w g o h g A K K A U A A A A A A A A A A A A A A A A A A A A A A A A A A A A h Y / R C o I w G I V f R X b v N i d G y O + 8 6 D Y h k K L b M Z e O d I a b z X f r o k f q F R L K 6 q 7 L c / g O f O d x u 0 M + d W 1 w V Y P V v c l Q h C k K l J F 9 p U 2 d o d G d w j X K O e y E P I t a B T N s b D p Z n a H G u U t K i P c e + x j 3 Q 0 0 Y p R E 5 F t t S N q o T o T b W C S M V + q y q / y v E 4 f C S 4 Q w n K 5 x Q F u M o o g z I 0 k O h z Z d h s z K m Q H 5 K 2 I y t G w f F l Q n 3 J Z A l A n n f 4 E 9 Q S w M E F A A C A A g A t H s 8 U 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R 7 P F A o i k e 4 D g A A A B E A A A A T A B w A R m 9 y b X V s Y X M v U 2 V j d G l v b j E u b S C i G A A o o B Q A A A A A A A A A A A A A A A A A A A A A A A A A A A A r T k 0 u y c z P U w i G 0 I b W A F B L A Q I t A B Q A A g A I A L R 7 P F A a l e x Z p w A A A P k A A A A S A A A A A A A A A A A A A A A A A A A A A A B D b 2 5 m a W c v U G F j a 2 F n Z S 5 4 b W x Q S w E C L Q A U A A I A C A C 0 e z x Q D 8 r p q 6 Q A A A D p A A A A E w A A A A A A A A A A A A A A A A D z A A A A W 0 N v b n R l b n R f V H l w Z X N d L n h t b F B L A Q I t A B Q A A g A I A L R 7 P F A 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c g g D j f F D p R Z + s F S V 1 p f K H A A A A A A I A A A A A A A N m A A D A A A A A E A A A A I Q b / T A 9 Y P X O J e v F J w G B P M M A A A A A B I A A A K A A A A A Q A A A A B 2 O z D W b r X 2 Z n r K n 7 4 f A W 1 V A A A A A s p w U s 4 1 P x n b m u W H j Q G h Z b Z x Z I m H j b W e T W p S 6 e 3 7 g z u U u 6 Y 3 W q c E p X Y g 4 T i Z Q Z x d H b 6 l I s I h K k P n N U t 1 Z 0 b 9 L R Y B Q / Z i F c 5 h m x n Q D E O / 7 y e B Q A A A D p 9 i r c J 7 2 o E O g s w 7 A e v x 6 Z D a 2 q 1 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10286B3B45C49A4F8171599D907ECCD8" ma:contentTypeVersion="13" ma:contentTypeDescription="Create a new document." ma:contentTypeScope="" ma:versionID="6437627d9a52e0b755cf587b1c47a126">
  <xsd:schema xmlns:xsd="http://www.w3.org/2001/XMLSchema" xmlns:xs="http://www.w3.org/2001/XMLSchema" xmlns:p="http://schemas.microsoft.com/office/2006/metadata/properties" xmlns:ns3="b7a63352-765f-4f80-a2ca-5551bcebce40" xmlns:ns4="2f7087ff-3fee-40f1-9c46-baa7a18a8d5c" targetNamespace="http://schemas.microsoft.com/office/2006/metadata/properties" ma:root="true" ma:fieldsID="bddc1bfca8529ced144a020243fc85ff" ns3:_="" ns4:_="">
    <xsd:import namespace="b7a63352-765f-4f80-a2ca-5551bcebce40"/>
    <xsd:import namespace="2f7087ff-3fee-40f1-9c46-baa7a18a8d5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3352-765f-4f80-a2ca-5551bcebce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7087ff-3fee-40f1-9c46-baa7a18a8d5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85B1FE2-4DF2-424F-A0C7-F9C8EF7245E3}">
  <ds:schemaRefs>
    <ds:schemaRef ds:uri="http://schemas.microsoft.com/DataMashup"/>
  </ds:schemaRefs>
</ds:datastoreItem>
</file>

<file path=customXml/itemProps2.xml><?xml version="1.0" encoding="utf-8"?>
<ds:datastoreItem xmlns:ds="http://schemas.openxmlformats.org/officeDocument/2006/customXml" ds:itemID="{D5DF53CD-CB05-4C47-A250-BC38289E2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63352-765f-4f80-a2ca-5551bcebce40"/>
    <ds:schemaRef ds:uri="2f7087ff-3fee-40f1-9c46-baa7a18a8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13482A-2B3D-4BFC-97F0-84259D10CABF}">
  <ds:schemaRefs>
    <ds:schemaRef ds:uri="http://schemas.microsoft.com/sharepoint/v3/contenttype/forms"/>
  </ds:schemaRefs>
</ds:datastoreItem>
</file>

<file path=customXml/itemProps4.xml><?xml version="1.0" encoding="utf-8"?>
<ds:datastoreItem xmlns:ds="http://schemas.openxmlformats.org/officeDocument/2006/customXml" ds:itemID="{7A253DB3-17EC-4F53-AA94-487C04F0E967}">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2f7087ff-3fee-40f1-9c46-baa7a18a8d5c"/>
    <ds:schemaRef ds:uri="http://schemas.microsoft.com/office/infopath/2007/PartnerControls"/>
    <ds:schemaRef ds:uri="http://purl.org/dc/elements/1.1/"/>
    <ds:schemaRef ds:uri="b7a63352-765f-4f80-a2ca-5551bcebce40"/>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84</vt:i4>
      </vt:variant>
    </vt:vector>
  </HeadingPairs>
  <TitlesOfParts>
    <vt:vector size="116" baseType="lpstr">
      <vt:lpstr>DISCLAIMER</vt:lpstr>
      <vt:lpstr>Tool Overview</vt:lpstr>
      <vt:lpstr>User Dashboard</vt:lpstr>
      <vt:lpstr>Case cluster output</vt:lpstr>
      <vt:lpstr>Equipment Needed by Setting</vt:lpstr>
      <vt:lpstr>SUMMARY TABS -&gt;</vt:lpstr>
      <vt:lpstr>Patient &amp; HCW Summary</vt:lpstr>
      <vt:lpstr>HCW &amp; Staff Summary</vt:lpstr>
      <vt:lpstr>Patient &amp; Case Type Summary</vt:lpstr>
      <vt:lpstr>ASSUMPTIONS -&gt;</vt:lpstr>
      <vt:lpstr>Patient &amp; Testing Assumptions</vt:lpstr>
      <vt:lpstr>Equipment Assumptions</vt:lpstr>
      <vt:lpstr>Staff &amp; Infra Assumptions</vt:lpstr>
      <vt:lpstr>Oxygen Use Assumptions</vt:lpstr>
      <vt:lpstr>PATIENT CALCS -&gt;</vt:lpstr>
      <vt:lpstr>Patient Calc Assumptions</vt:lpstr>
      <vt:lpstr>Automated Patient Calcs</vt:lpstr>
      <vt:lpstr>Manual Patient Calcs</vt:lpstr>
      <vt:lpstr>COMMODITY DETAILS -&gt;</vt:lpstr>
      <vt:lpstr>Patient Care Equip</vt:lpstr>
      <vt:lpstr>Required Drug Package</vt:lpstr>
      <vt:lpstr>Required Consumables Package</vt:lpstr>
      <vt:lpstr>REFERENCE DATA -&gt;</vt:lpstr>
      <vt:lpstr>HCW Summary Data</vt:lpstr>
      <vt:lpstr>WB Physician Data</vt:lpstr>
      <vt:lpstr>WHO Labs Data</vt:lpstr>
      <vt:lpstr>WB CHWs Data</vt:lpstr>
      <vt:lpstr>WB Nurses &amp; Midwives data</vt:lpstr>
      <vt:lpstr>Hospital Beds by Country</vt:lpstr>
      <vt:lpstr>Tabular Pop Data by Age</vt:lpstr>
      <vt:lpstr>Population Data by Age</vt:lpstr>
      <vt:lpstr>User options</vt:lpstr>
      <vt:lpstr>All_Outpatients_diagnosed</vt:lpstr>
      <vt:lpstr>Ambulanciers_per_bed</vt:lpstr>
      <vt:lpstr>Attack_rate_modelled</vt:lpstr>
      <vt:lpstr>AttackRate</vt:lpstr>
      <vt:lpstr>BedStay_Critical</vt:lpstr>
      <vt:lpstr>BedStay_Severe</vt:lpstr>
      <vt:lpstr>Caretaker_to_outpatient</vt:lpstr>
      <vt:lpstr>Caretakers_for_diagnosed_outpatients</vt:lpstr>
      <vt:lpstr>Caretakers_per_bed</vt:lpstr>
      <vt:lpstr>CritcalCasePercentage</vt:lpstr>
      <vt:lpstr>Critical_patients_that_get_a_bed</vt:lpstr>
      <vt:lpstr>CriticalCasePercentage</vt:lpstr>
      <vt:lpstr>Current_known_cases</vt:lpstr>
      <vt:lpstr>CutOffMaxTests</vt:lpstr>
      <vt:lpstr>Doubling_rate_modelled</vt:lpstr>
      <vt:lpstr>Equipment_usage_table</vt:lpstr>
      <vt:lpstr>Fast_doubling_rate</vt:lpstr>
      <vt:lpstr>HCW_per_lab</vt:lpstr>
      <vt:lpstr>HCWs_per_bed</vt:lpstr>
      <vt:lpstr>Hygienists_per_bed</vt:lpstr>
      <vt:lpstr>Hygienists_per_lab</vt:lpstr>
      <vt:lpstr>Inpatient_PPE_usage</vt:lpstr>
      <vt:lpstr>Inpatient_table</vt:lpstr>
      <vt:lpstr>Lab_table</vt:lpstr>
      <vt:lpstr>Max_critical_beds_for_period</vt:lpstr>
      <vt:lpstr>Max_critical_capped_beds</vt:lpstr>
      <vt:lpstr>Max_HCW_for_outpatient</vt:lpstr>
      <vt:lpstr>Max_hospitals_operating</vt:lpstr>
      <vt:lpstr>Max_inpatient_ambulancier</vt:lpstr>
      <vt:lpstr>Max_inpatient_beds</vt:lpstr>
      <vt:lpstr>Max_inpatient_caretaker</vt:lpstr>
      <vt:lpstr>Max_inpatient_HCWs</vt:lpstr>
      <vt:lpstr>Max_inpatient_hygienist</vt:lpstr>
      <vt:lpstr>Max_Lab_HCWs</vt:lpstr>
      <vt:lpstr>Max_Lab_hygienists</vt:lpstr>
      <vt:lpstr>Max_severe_beds_for_period</vt:lpstr>
      <vt:lpstr>Max_severe_capped_beds</vt:lpstr>
      <vt:lpstr>Max_total_capped_beds</vt:lpstr>
      <vt:lpstr>MaxTestsPerDay</vt:lpstr>
      <vt:lpstr>Medium_doubling_rate</vt:lpstr>
      <vt:lpstr>MildCasePercentage</vt:lpstr>
      <vt:lpstr>Multiplier_non_reusable</vt:lpstr>
      <vt:lpstr>Multiplier_reuseable</vt:lpstr>
      <vt:lpstr>NumberOfBeds_per_centre</vt:lpstr>
      <vt:lpstr>DISCLAIMER!OLE_LINK1</vt:lpstr>
      <vt:lpstr>Outpatient_Table</vt:lpstr>
      <vt:lpstr>Output_beds_in_country</vt:lpstr>
      <vt:lpstr>SearchItem_EUT</vt:lpstr>
      <vt:lpstr>SearchUser_EUT</vt:lpstr>
      <vt:lpstr>SearchUser_IUT</vt:lpstr>
      <vt:lpstr>SelfQuarantine_Mild</vt:lpstr>
      <vt:lpstr>Severe_patients_that_get_a_bed</vt:lpstr>
      <vt:lpstr>SevereCasePercentage</vt:lpstr>
      <vt:lpstr>Slow_doubling_rate</vt:lpstr>
      <vt:lpstr>Start_week_for_forecasting</vt:lpstr>
      <vt:lpstr>SuspectedCaseMultiplier</vt:lpstr>
      <vt:lpstr>TestingRate</vt:lpstr>
      <vt:lpstr>TestingStrategy</vt:lpstr>
      <vt:lpstr>Tests_MildOrSuspected</vt:lpstr>
      <vt:lpstr>Tests_per_day_per_lab</vt:lpstr>
      <vt:lpstr>Tests_per_HCW</vt:lpstr>
      <vt:lpstr>Tests_SevereOrCritical</vt:lpstr>
      <vt:lpstr>Total_admitted_capped_critical_patients</vt:lpstr>
      <vt:lpstr>Total_admitted_capped_severe_patients</vt:lpstr>
      <vt:lpstr>Total_caretaker</vt:lpstr>
      <vt:lpstr>Total_caretaker_for_outpatient</vt:lpstr>
      <vt:lpstr>Total_critical_cases_for_period</vt:lpstr>
      <vt:lpstr>Total_HCW_for_outpatient</vt:lpstr>
      <vt:lpstr>Total_HCW_labs</vt:lpstr>
      <vt:lpstr>Total_hospitals_operating_per_week</vt:lpstr>
      <vt:lpstr>Total_hygienist_labs</vt:lpstr>
      <vt:lpstr>Total_inpatient_ambulancier</vt:lpstr>
      <vt:lpstr>Total_Inpatient_caretaker</vt:lpstr>
      <vt:lpstr>Total_Inpatient_days</vt:lpstr>
      <vt:lpstr>Total_inpatient_HCW</vt:lpstr>
      <vt:lpstr>Total_inpatient_Hygienist</vt:lpstr>
      <vt:lpstr>Total_mild_cases_for_period</vt:lpstr>
      <vt:lpstr>Total_new_cases_for_period</vt:lpstr>
      <vt:lpstr>Total_Outpatient</vt:lpstr>
      <vt:lpstr>Total_severe_cases_for_period</vt:lpstr>
      <vt:lpstr>Total_tests_conducted</vt:lpstr>
      <vt:lpstr>Total_tests_if_decreased_rate</vt:lpstr>
      <vt:lpstr>Total_tests_if_everyone</vt:lpstr>
      <vt:lpstr>WeekSuppliedUntil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SAARES, Aurora</dc:creator>
  <cp:lastModifiedBy>Beth Evans</cp:lastModifiedBy>
  <dcterms:created xsi:type="dcterms:W3CDTF">2020-01-28T10:36:37Z</dcterms:created>
  <dcterms:modified xsi:type="dcterms:W3CDTF">2020-03-31T14:19:52Z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0x01010010286B3B45C49A4F8171599D907ECCD8</vt:lpwstr>
  </property>
</Properties>
</file>